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_Settings" sheetId="1" r:id="rId3"/>
    <sheet state="visible" name="Test2" sheetId="2" r:id="rId4"/>
    <sheet state="visible" name="_MappingManualSheet" sheetId="3" r:id="rId5"/>
    <sheet state="visible" name="_Modules" sheetId="4" r:id="rId6"/>
    <sheet state="visible" name="Allocation" sheetId="5" r:id="rId7"/>
    <sheet state="visible" name="CorporateActions" sheetId="6" r:id="rId8"/>
    <sheet state="visible" name="Blotter" sheetId="7" r:id="rId9"/>
    <sheet state="visible" name="TT" sheetId="8" r:id="rId10"/>
    <sheet state="visible" name="Rebalancer" sheetId="9" r:id="rId11"/>
    <sheet state="visible" name="Compliance" sheetId="10" r:id="rId12"/>
    <sheet state="visible" name="PTT" sheetId="11" r:id="rId13"/>
    <sheet state="visible" name="GeneralLedger" sheetId="12" r:id="rId14"/>
    <sheet state="visible" name="Closing" sheetId="13" r:id="rId15"/>
    <sheet state="visible" name="PM" sheetId="14" r:id="rId16"/>
    <sheet state="visible" name="_Categories" sheetId="15" r:id="rId17"/>
    <sheet state="visible" name="MTT" sheetId="16" r:id="rId18"/>
    <sheet state="visible" name="MasterFundAllocation" sheetId="17" r:id="rId19"/>
    <sheet state="hidden" name="RegressionAllocationProrata_NAV" sheetId="18" r:id="rId20"/>
    <sheet state="visible" name="PartialAllocation" sheetId="19" r:id="rId21"/>
    <sheet state="visible" name="Acceptance" sheetId="20" r:id="rId22"/>
    <sheet state="visible" name="MatchClosingTransaction" sheetId="21" r:id="rId23"/>
    <sheet state="visible" name="Test" sheetId="22" r:id="rId24"/>
    <sheet state="visible" name="Copy of Test" sheetId="23" r:id="rId25"/>
    <sheet state="visible" name="TimeZone" sheetId="24" r:id="rId26"/>
    <sheet state="visible" name="Live TT" sheetId="25" r:id="rId27"/>
    <sheet state="visible" name="Leveling" sheetId="26" r:id="rId28"/>
  </sheets>
  <definedNames>
    <definedName hidden="1" localSheetId="19" name="Z_605ED43B_7EC1_4455_932A_3B4DAD37EF52_.wvu.FilterData">Acceptance!$F$5:$F$129</definedName>
  </definedNames>
  <calcPr/>
  <customWorkbookViews>
    <customWorkbookView activeSheetId="0" maximized="1" tabRatio="600" windowHeight="0" windowWidth="0" guid="{605ED43B-7EC1-4455-932A-3B4DAD37EF52}" name="Filter 1"/>
  </customWorkbookViews>
</workbook>
</file>

<file path=xl/sharedStrings.xml><?xml version="1.0" encoding="utf-8"?>
<sst xmlns="http://schemas.openxmlformats.org/spreadsheetml/2006/main" count="36525" uniqueCount="5833">
  <si>
    <t>Settings</t>
  </si>
  <si>
    <t>Module Step Setting File</t>
  </si>
  <si>
    <t>1BICZ_GcMhh_S937ZinFvSYqvvKYtOYB2Bc4woEPpgPg</t>
  </si>
  <si>
    <t>Data Template Setting File</t>
  </si>
  <si>
    <t>1LlJy0pMIs_C6VOkb1HUuIvPUorktKFRVBdyB4BiJL0w</t>
  </si>
  <si>
    <t/>
  </si>
  <si>
    <t>Test Cases</t>
  </si>
  <si>
    <t>TestCaseID</t>
  </si>
  <si>
    <t>Description</t>
  </si>
  <si>
    <t>Category</t>
  </si>
  <si>
    <t>Module</t>
  </si>
  <si>
    <t>Step</t>
  </si>
  <si>
    <t>Sheet link</t>
  </si>
  <si>
    <t>Input Sheet 1</t>
  </si>
  <si>
    <t>Input Sheet 2</t>
  </si>
  <si>
    <t>Input Sheet 3</t>
  </si>
  <si>
    <t>Input Sheet 4</t>
  </si>
  <si>
    <t>Manual Test Case ID</t>
  </si>
  <si>
    <t>Blotter-0032</t>
  </si>
  <si>
    <t>ModifyBlotter</t>
  </si>
  <si>
    <t>Regression</t>
  </si>
  <si>
    <t>TradingTicket</t>
  </si>
  <si>
    <t>CreateStageOrder</t>
  </si>
  <si>
    <t>https://docs.google.com/spreadsheets/d/11N1xVkd0lxlDmoAqx75wGKk-ZGm406_4GLG-ElpVeI8/edit#gid=1265827041</t>
  </si>
  <si>
    <t>ThirdParty</t>
  </si>
  <si>
    <t>ViewThirdParty</t>
  </si>
  <si>
    <t>https://docs.google.com/spreadsheets/d/11N1xVkd0lxlDmoAqx75wGKk-ZGm406_4GLG-ElpVeI8/edit#gid=1485386805</t>
  </si>
  <si>
    <t>Blotter-0035</t>
  </si>
  <si>
    <t>OpeningManager</t>
  </si>
  <si>
    <t>https://docs.google.com/spreadsheets/d/1ffslSxdQ59rVzIO3BKCWUNnvV-VPcHTJ4kWp_KChEKY/edit#gid=676922251</t>
  </si>
  <si>
    <t>Blotter-0036</t>
  </si>
  <si>
    <t>ThirdPartyWork</t>
  </si>
  <si>
    <t>https://docs.google.com/spreadsheets/d/17gl1xvTzNlwHNw-rfNOcMHS8VpMfdTEvdyBu-o1UsAM/edit#gid=763824888</t>
  </si>
  <si>
    <t>test-0987</t>
  </si>
  <si>
    <t>abcv</t>
  </si>
  <si>
    <t>test-1234</t>
  </si>
  <si>
    <t>Automation</t>
  </si>
  <si>
    <t>https://docs.google.com/spreadsheets/d/199QF_5XnFmOjmj4wkei9HGcg58ODat4P24aJ9CLLj7w/edit#gid=1822962724</t>
  </si>
  <si>
    <t>asdf-0099</t>
  </si>
  <si>
    <t>https://docs.google.com/spreadsheets/d/1B-0zKOs-N9bHItZq9YkUH7A1e5A320HxZJSacoc-SpQ/edit#gid=1998731781</t>
  </si>
  <si>
    <t>asdf-1111</t>
  </si>
  <si>
    <t>https://docs.google.com/spreadsheets/d/1CizgH5TjkDXH1tG2N9AEqwPQiCAVFg2BTk_3VYLfgLA/edit#gid=42456026</t>
  </si>
  <si>
    <t>Acceptance</t>
  </si>
  <si>
    <t>Blotter</t>
  </si>
  <si>
    <t>ThirdPartyView-0001</t>
  </si>
  <si>
    <t>https://docs.google.com/spreadsheets/d/1hVquAdem71XmMiiR58rU-GukxYRpxU3AOzQ3sqM7R2M/edit#gid=1326637722</t>
  </si>
  <si>
    <t>ThirdPartyView-0002</t>
  </si>
  <si>
    <t>https://docs.google.com/spreadsheets/d/1qpcIwoUhvM3JuSq-FF1dLbpm21J4WTf9HW3c9tiNeu0/edit#gid=527898590</t>
  </si>
  <si>
    <t>ThirdPartyView-0003</t>
  </si>
  <si>
    <t>https://docs.google.com/spreadsheets/d/1-FK2OPOe10ZWK6zdQUk73zlAKM_4Hs06FOdHBsCK7TA/edit#gid=1496685089</t>
  </si>
  <si>
    <t>VerifyWorkingSub-0001</t>
  </si>
  <si>
    <t>CreateDoneAwayOrder</t>
  </si>
  <si>
    <t>https://docs.google.com/spreadsheets/d/1CSLGn3XiG8-sB-qFarhYAYAMXevROBp50Dc3GCBcM1s/edit#gid=637060435</t>
  </si>
  <si>
    <t>VerifyWorkingSubs</t>
  </si>
  <si>
    <t>https://docs.google.com/spreadsheets/d/1CSLGn3XiG8-sB-qFarhYAYAMXevROBp50Dc3GCBcM1s/edit#gid=1399409343</t>
  </si>
  <si>
    <t>ThirdPartyJob-001</t>
  </si>
  <si>
    <t>ThirdPartyViewFunction</t>
  </si>
  <si>
    <t>SelectThirdPartyJob</t>
  </si>
  <si>
    <t>https://docs.google.com/spreadsheets/d/1eJp_SzfrTJ7AilTZqSY1_IdBX8l13stncXy_xOj1dTg/edit#gid=1313632740</t>
  </si>
  <si>
    <t>TP-0002</t>
  </si>
  <si>
    <t>ThirdPartyView</t>
  </si>
  <si>
    <t>https://docs.google.com/spreadsheets/d/1yfAy_GlI0w2IxfN100Xln8vAaInIk98CZQkHSpFWBVw/edit#gid=1927790273</t>
  </si>
  <si>
    <t>TP-0003</t>
  </si>
  <si>
    <t>ThirdPartyGenerate</t>
  </si>
  <si>
    <t>GenerateAllThirdPartyData</t>
  </si>
  <si>
    <t>https://docs.google.com/spreadsheets/d/1mlOLk1vzc2GsZ0T43TUDUu-sFT5FPYNv0IiVnCtwD5Q/edit#gid=1994652307</t>
  </si>
  <si>
    <t>TP-0004</t>
  </si>
  <si>
    <t>ThirdPartySendData</t>
  </si>
  <si>
    <t>SendAllThirdPartyData</t>
  </si>
  <si>
    <t>https://docs.google.com/spreadsheets/d/1Dtc8sMU2UVeKXWwAmEkXhlHvYEvNyg4ekcJFHS25tsY/edit#gid=1781101257</t>
  </si>
  <si>
    <t>LTT-0002</t>
  </si>
  <si>
    <t>Live TT</t>
  </si>
  <si>
    <t>Simulator</t>
  </si>
  <si>
    <t>SetManualResponse</t>
  </si>
  <si>
    <t>CreateLiveOrder</t>
  </si>
  <si>
    <t>SelectTrade</t>
  </si>
  <si>
    <t>AcknowledgeTrade</t>
  </si>
  <si>
    <t>VerifySubOrder</t>
  </si>
  <si>
    <t>VerifySubOrder1</t>
  </si>
  <si>
    <t>VerifyOrder</t>
  </si>
  <si>
    <t>SelectTrade1</t>
  </si>
  <si>
    <t>ExecuteTrade</t>
  </si>
  <si>
    <t>VerifySubOrder2</t>
  </si>
  <si>
    <t>VerifyOrder1</t>
  </si>
  <si>
    <t>Closing-0041</t>
  </si>
  <si>
    <t>Expire: Option</t>
  </si>
  <si>
    <t>Closing</t>
  </si>
  <si>
    <t>ClosingCleanUp</t>
  </si>
  <si>
    <t>Allocation</t>
  </si>
  <si>
    <t>CleanUp</t>
  </si>
  <si>
    <t>GetDataClosing</t>
  </si>
  <si>
    <t>VerifyLongPositionsGrid</t>
  </si>
  <si>
    <t>SelectTradeUnexpiredUnsettled</t>
  </si>
  <si>
    <t>Expire</t>
  </si>
  <si>
    <t>VerifyExpiredSettledGrid</t>
  </si>
  <si>
    <t>GetDataAllocation</t>
  </si>
  <si>
    <t>CheckAllocatedGroups</t>
  </si>
  <si>
    <t>UnWindTradeSettlement</t>
  </si>
  <si>
    <t xml:space="preserve"> </t>
  </si>
  <si>
    <t>TP-0001</t>
  </si>
  <si>
    <t xml:space="preserve">Third Party </t>
  </si>
  <si>
    <t>VerifyThirdPartyView</t>
  </si>
  <si>
    <t>DD-0001</t>
  </si>
  <si>
    <t>PM - Filter</t>
  </si>
  <si>
    <t>PortfolioManagement</t>
  </si>
  <si>
    <t>FilterPM</t>
  </si>
  <si>
    <t>CheckDashboardPM</t>
  </si>
  <si>
    <t>Blotter-1000</t>
  </si>
  <si>
    <t>Check ViewAllocationDetails</t>
  </si>
  <si>
    <t>TradeNewSubOrder</t>
  </si>
  <si>
    <t>CreateNewSubOrder</t>
  </si>
  <si>
    <t>SelectTradeWorkingSubsBlotter</t>
  </si>
  <si>
    <t>ViewAllocationDetailsWorkingSub</t>
  </si>
  <si>
    <t>VerifyViewAllocationDetails</t>
  </si>
  <si>
    <t>Blotter-2000</t>
  </si>
  <si>
    <t>Test</t>
  </si>
  <si>
    <t>PTT</t>
  </si>
  <si>
    <t>VerifyPTT</t>
  </si>
  <si>
    <t>Allocation-1200</t>
  </si>
  <si>
    <t>Editing of UnAllocated
 Trade</t>
  </si>
  <si>
    <t>SelectUnallocatedGroup</t>
  </si>
  <si>
    <t>EditUnallocatedGrid</t>
  </si>
  <si>
    <t>CheckUnallocatedGroups</t>
  </si>
  <si>
    <t>Allocation-1201</t>
  </si>
  <si>
    <t>Editing of Allocated
 Trade</t>
  </si>
  <si>
    <t>SelectAllocatedGroup</t>
  </si>
  <si>
    <t>EditAllocatedGrid</t>
  </si>
  <si>
    <t>Allocation-1205</t>
  </si>
  <si>
    <t>Expand Collapse</t>
  </si>
  <si>
    <t>SaveLayoutAllocationUI</t>
  </si>
  <si>
    <t>Blotter-3000</t>
  </si>
  <si>
    <t>Go To Allocation</t>
  </si>
  <si>
    <t>SelectTradeOnOrderGrid</t>
  </si>
  <si>
    <t>GoToAllocation</t>
  </si>
  <si>
    <t>Blotter-7000</t>
  </si>
  <si>
    <t>Save Layout</t>
  </si>
  <si>
    <t>Blotter-10000</t>
  </si>
  <si>
    <t>ClearUI</t>
  </si>
  <si>
    <t>Rebal-001</t>
  </si>
  <si>
    <t>Rebalancer</t>
  </si>
  <si>
    <t>AddCash</t>
  </si>
  <si>
    <t>ModifyRebalance</t>
  </si>
  <si>
    <t>Alloc</t>
  </si>
  <si>
    <t>CommissionBulkChangeOnTaxlots</t>
  </si>
  <si>
    <t>Admin-0001</t>
  </si>
  <si>
    <t>Admin</t>
  </si>
  <si>
    <t>SetCheckSide</t>
  </si>
  <si>
    <t>PranaClient</t>
  </si>
  <si>
    <t>RestartClient</t>
  </si>
  <si>
    <t>TradeServer</t>
  </si>
  <si>
    <t>RestartServer</t>
  </si>
  <si>
    <t>Trade-0001</t>
  </si>
  <si>
    <t>ConfigUpdator</t>
  </si>
  <si>
    <t>Change the checkside from server from false to true</t>
  </si>
  <si>
    <t>SetGeneralPreferences</t>
  </si>
  <si>
    <t>CATest-0000</t>
  </si>
  <si>
    <t>CA Testing</t>
  </si>
  <si>
    <t>CorporateAction</t>
  </si>
  <si>
    <t>SpinOff</t>
  </si>
  <si>
    <t>CATest-0001</t>
  </si>
  <si>
    <t>SpinOff-0001</t>
  </si>
  <si>
    <t>OpenSpinOff</t>
  </si>
  <si>
    <t>SpinOffTest</t>
  </si>
  <si>
    <t>Open Spin off from corporate action</t>
  </si>
  <si>
    <t>SpinOff-0002</t>
  </si>
  <si>
    <t>Open Spin Off and enter the data in fields</t>
  </si>
  <si>
    <t>SpinOff-0003</t>
  </si>
  <si>
    <t>Account Select Test</t>
  </si>
  <si>
    <t>SpinOff-0004</t>
  </si>
  <si>
    <t>OpenTTFromPST</t>
  </si>
  <si>
    <t>FX-0001</t>
  </si>
  <si>
    <t>FX(Buy GBP and Sell USD)</t>
  </si>
  <si>
    <t>DailyValuation</t>
  </si>
  <si>
    <t>GetForexConversion</t>
  </si>
  <si>
    <t>UpdateForexConversionMonthly</t>
  </si>
  <si>
    <t>CashSettlementAtClosingDtSpotPx</t>
  </si>
  <si>
    <t>GetDataAllocation1</t>
  </si>
  <si>
    <t>CheckAllocatedGroups1</t>
  </si>
  <si>
    <t>GeneralLedger</t>
  </si>
  <si>
    <t>GetTradingTransaction</t>
  </si>
  <si>
    <t>VerifyTradingTransaction</t>
  </si>
  <si>
    <t>RunRevaluation</t>
  </si>
  <si>
    <t>VerifyRevaluationData</t>
  </si>
  <si>
    <t>FX-0002</t>
  </si>
  <si>
    <t>FX Forward(Buy USD and Sell GBP ,EUR/USD 02/06/2019)</t>
  </si>
  <si>
    <t>UpdateForwardPoints</t>
  </si>
  <si>
    <t>FX-0003</t>
  </si>
  <si>
    <t>USD/CAD (Buy USD and sell CAD)</t>
  </si>
  <si>
    <t>FX-0004</t>
  </si>
  <si>
    <t xml:space="preserve">FX  (Sell USD and Buy GBP)
</t>
  </si>
  <si>
    <t>FX-0005</t>
  </si>
  <si>
    <t>FX (Sell CAD and Buy USD)</t>
  </si>
  <si>
    <t>SpinOff-0005</t>
  </si>
  <si>
    <t>Verify the all Spin Off functionality</t>
  </si>
  <si>
    <t>GetDailyCash</t>
  </si>
  <si>
    <t>UpdateDailyCash</t>
  </si>
  <si>
    <t>VerifyAndApplyCorpAction</t>
  </si>
  <si>
    <t>SpinOff-0006</t>
  </si>
  <si>
    <t>Verify and Save Corporate Action</t>
  </si>
  <si>
    <t>SaveCorporateAction</t>
  </si>
  <si>
    <t>Test-00010</t>
  </si>
  <si>
    <t>GetNonTradingTransaction</t>
  </si>
  <si>
    <t>AddNonTradingTransaction</t>
  </si>
  <si>
    <t>GetMarkPriceData</t>
  </si>
  <si>
    <t>UpdateMarkPrice</t>
  </si>
  <si>
    <t>GetDayEndCash</t>
  </si>
  <si>
    <t>CalculateDayEndCash</t>
  </si>
  <si>
    <t>GetAccountBalance</t>
  </si>
  <si>
    <t>GetRevaluationData</t>
  </si>
  <si>
    <t>GetActivityData</t>
  </si>
  <si>
    <t>VerifyActivity</t>
  </si>
  <si>
    <t>Recon-0001</t>
  </si>
  <si>
    <t>TT-899</t>
  </si>
  <si>
    <t>CancelWorkingSubs</t>
  </si>
  <si>
    <t>AP-0001</t>
  </si>
  <si>
    <t>Allocation Check side Prefernce for selected assets</t>
  </si>
  <si>
    <t>DisableChecksideForAsset</t>
  </si>
  <si>
    <t>DisableChecksideForAccount</t>
  </si>
  <si>
    <t>DisableChecksideForCounterParty</t>
  </si>
  <si>
    <t>AP-0002</t>
  </si>
  <si>
    <t>Combined allocation check side prefrences step</t>
  </si>
  <si>
    <t>DisableCheckside</t>
  </si>
  <si>
    <t>Test 1</t>
  </si>
  <si>
    <t>Checking value on allocation and blotter</t>
  </si>
  <si>
    <t>Demo11</t>
  </si>
  <si>
    <t xml:space="preserve">Verify the cases </t>
  </si>
  <si>
    <t>Demo123</t>
  </si>
  <si>
    <t>Checking value on various modules</t>
  </si>
  <si>
    <t>GetDataCash</t>
  </si>
  <si>
    <t>Demo Mf1</t>
  </si>
  <si>
    <t>Check Master Fund Tab</t>
  </si>
  <si>
    <t>ApplyMasterFundFilter</t>
  </si>
  <si>
    <t>Demo MFU</t>
  </si>
  <si>
    <t>Demo MFA</t>
  </si>
  <si>
    <t>Demo TT1</t>
  </si>
  <si>
    <t>Check masterfund values</t>
  </si>
  <si>
    <t>ShowMasterFund</t>
  </si>
  <si>
    <t>Demo MF check</t>
  </si>
  <si>
    <t>Checkside of MF on admin</t>
  </si>
  <si>
    <t>ShowMasterFundOnTT</t>
  </si>
  <si>
    <t>Check 1</t>
  </si>
  <si>
    <t>Check master fund</t>
  </si>
  <si>
    <t>Check TT1</t>
  </si>
  <si>
    <t>MasterFund and Trade attribute6 on Replacing the Order</t>
  </si>
  <si>
    <t>UpdateMasterFundOnTT</t>
  </si>
  <si>
    <t>Unallocate</t>
  </si>
  <si>
    <t>EnterAccountValuesToAllocate</t>
  </si>
  <si>
    <t>Allocate</t>
  </si>
  <si>
    <t>ReplaceSubOrder</t>
  </si>
  <si>
    <t>CreateReplaceOrder</t>
  </si>
  <si>
    <t>CheckPortfolioManagement</t>
  </si>
  <si>
    <t>Check TT2</t>
  </si>
  <si>
    <t>Client and Account name on Blotter
1.Select the client name
2.Do not select any account.
3.Create Order .
4.Client Name should be Updated on blotter
5.Select Trade,Right click and select Trade new sub
6.Trading Ticket opens up and Client and Account must be retained on the TT UI.</t>
  </si>
  <si>
    <t>Check TT3</t>
  </si>
  <si>
    <t>Change of MasterFund
1.Trade a unallocated trade with MasterFund NewMF.
2.From Allocation ,now allocate the trade in other account.(which is assigned in NewMF1 Master fund) and save.
3.In allocated grid ,Verify it.
4.On PM Verify it
5.On Blotter , verify it.</t>
  </si>
  <si>
    <t>Check MF[Client]</t>
  </si>
  <si>
    <t>Checking master fund as a client from admin.</t>
  </si>
  <si>
    <t>ShowMasterFundAsClient</t>
  </si>
  <si>
    <t>TT Check 0001</t>
  </si>
  <si>
    <t>Show masterfund on TT
1.Open Admin
2.Go to Masterfunds
3.Select Show MF as Client .
4.select Show MF on TT.
5.Restart the client .
6.Enter the Client from TT
7.Validate symbols for Allocated and Unallocated
8.Check on Blotter , PM ,Allocation</t>
  </si>
  <si>
    <t>Check Mapping</t>
  </si>
  <si>
    <t>Check BrokerAccountAUECMapping</t>
  </si>
  <si>
    <t>SetBrokerAccountMapping</t>
  </si>
  <si>
    <t>Check Mapping 0001</t>
  </si>
  <si>
    <t>Broker -Account - AUEC Mapping
In Broker - Account - AUEC Mapping
Broker/Venue- NTDT/NTDT- Drops
Assigned Account - DT6
Assigned AUEC- NASDAQ
1.Now Trade ,FRU-TC .
2.Assigned broker must be visible</t>
  </si>
  <si>
    <t>GLFX-0001</t>
  </si>
  <si>
    <t>GLFX-0002</t>
  </si>
  <si>
    <t>GLFX-0005</t>
  </si>
  <si>
    <t>EUR/USD Forward - Sell Side
EUR DealIn</t>
  </si>
  <si>
    <t>GetForexConversion1</t>
  </si>
  <si>
    <t>UpdateForexConversionMonthly1</t>
  </si>
  <si>
    <t>GetForwardPoints</t>
  </si>
  <si>
    <t>GetForwardPoints1</t>
  </si>
  <si>
    <t>UpdateForwardPoints1</t>
  </si>
  <si>
    <t>GetForwardPoints2</t>
  </si>
  <si>
    <t>UpdateForwardPoints2</t>
  </si>
  <si>
    <t>GetForwardPoints3</t>
  </si>
  <si>
    <t>UpdateForwardPoints3</t>
  </si>
  <si>
    <t>GetForwardPoints4</t>
  </si>
  <si>
    <t>UpdateForwardPoints4</t>
  </si>
  <si>
    <t>GetForwardPoints5</t>
  </si>
  <si>
    <t>UpdateForwardPoints5</t>
  </si>
  <si>
    <t>GetForwardPoints6</t>
  </si>
  <si>
    <t>UpdateForwardPoints6</t>
  </si>
  <si>
    <t>Test Filter</t>
  </si>
  <si>
    <t>ApplyPrefetchFilters</t>
  </si>
  <si>
    <t>GLFX-0006</t>
  </si>
  <si>
    <t>EUR/USD Forward - Buy Side
USD DealIn</t>
  </si>
  <si>
    <t>GLFX-0007</t>
  </si>
  <si>
    <t>USD/CAD Forward - Buy Side
CAD DealIn</t>
  </si>
  <si>
    <t>Clean Up-2700</t>
  </si>
  <si>
    <t>DeleteClientData</t>
  </si>
  <si>
    <t>Clean Up-2800</t>
  </si>
  <si>
    <t>Clean Up-2900</t>
  </si>
  <si>
    <t>Clean Up-3000</t>
  </si>
  <si>
    <t>Check TT2 New</t>
  </si>
  <si>
    <t>"Client and Account name on Blotter
1.Select the client name
2.Do not select any account.
3.Create Order .
4.Client Name should be Updated on blotter
5.Select Trade,Right click and select Trade new sub
6.Trading Ticket opens up and Client and Account must be retained on the TT UI."</t>
  </si>
  <si>
    <t>GLFX-0008</t>
  </si>
  <si>
    <t>USD/CAD Forward - Sell Side
Deal In Currency - USD</t>
  </si>
  <si>
    <t>GLFX-0003</t>
  </si>
  <si>
    <t>Import</t>
  </si>
  <si>
    <t>Check</t>
  </si>
  <si>
    <t>Client and Account name on Blotter
1.Select the client name
2.Do not select any account.
3.Create Order .
4.Client Name should be Updated on blotter
5.Select Trade,Right click and select Trade new sub and enter the account
6.Trading Ticket opens up and Client and Account must be retained on the TT UI</t>
  </si>
  <si>
    <t>GLFX-0004</t>
  </si>
  <si>
    <t>BMM-111</t>
  </si>
  <si>
    <t>PM-0053</t>
  </si>
  <si>
    <t>Close swap trade via PM</t>
  </si>
  <si>
    <t>BookOrUpdateSwap</t>
  </si>
  <si>
    <t>ClosePositionFromPM</t>
  </si>
  <si>
    <t>PM-3456</t>
  </si>
  <si>
    <t>PM TEST</t>
  </si>
  <si>
    <t>CloseAccountPositionFromPM</t>
  </si>
  <si>
    <t>TestThirdParty-0001</t>
  </si>
  <si>
    <t>Thirdparty test</t>
  </si>
  <si>
    <t>ThirdPartySend</t>
  </si>
  <si>
    <t>VerifyThirdPartySend</t>
  </si>
  <si>
    <t>TestThirdParty-0002</t>
  </si>
  <si>
    <t>ThirdParty test 2</t>
  </si>
  <si>
    <t>VerifyThirdPartyGenerate</t>
  </si>
  <si>
    <t>TestThirdParty-0003</t>
  </si>
  <si>
    <t>TP Test 3</t>
  </si>
  <si>
    <t>TestThirdParty-0004</t>
  </si>
  <si>
    <t>TP Test 4</t>
  </si>
  <si>
    <t>LiveTT-0004</t>
  </si>
  <si>
    <t>SelectTradeOnOrderGrid1</t>
  </si>
  <si>
    <t>VerifyWorkingSubs1</t>
  </si>
  <si>
    <t>RejectTrade</t>
  </si>
  <si>
    <t>SelectTradeOnOrderGrid2</t>
  </si>
  <si>
    <t>VerifyWorkingSubs2</t>
  </si>
  <si>
    <t>SelectTrade2</t>
  </si>
  <si>
    <t>ExecuteTrade2</t>
  </si>
  <si>
    <t>SelectTradeOnOrderGrid3</t>
  </si>
  <si>
    <t>VerifySubOrder3</t>
  </si>
  <si>
    <t>VerifyWorkingSubs3</t>
  </si>
  <si>
    <t>CancelTrade</t>
  </si>
  <si>
    <t>LiveTT-0005</t>
  </si>
  <si>
    <t>GetDataAllocation2</t>
  </si>
  <si>
    <t>CheckAllocatedGroups2</t>
  </si>
  <si>
    <t>VerifyShortPositionsGrid</t>
  </si>
  <si>
    <t>AutomaticClosing</t>
  </si>
  <si>
    <t>TT-09</t>
  </si>
  <si>
    <t>d</t>
  </si>
  <si>
    <t>AddFillsSubOrder</t>
  </si>
  <si>
    <t>EditAddFillsDetails</t>
  </si>
  <si>
    <t>ThirdParty-0001</t>
  </si>
  <si>
    <t xml:space="preserve">Enter a trade and verify its state after View, Generate and send on ThirdParty Manager. </t>
  </si>
  <si>
    <t>ThirdParty-0002</t>
  </si>
  <si>
    <t xml:space="preserve">Enter a trade and verify its state after View, Generate on ThirdParty Manager.Edit the trade and verify the state.Send the trade then again verify the state. </t>
  </si>
  <si>
    <t>ThirdParty-0003</t>
  </si>
  <si>
    <t xml:space="preserve">Enter a trade and verify its state after View, Generate on ThirdParty Manager.Unallocate the trade.View and verify the state it should be deleted.Send the trade then again verify the state. </t>
  </si>
  <si>
    <t>ThirdParty-0004</t>
  </si>
  <si>
    <t>Enter a buy and sell trade with same quantity and close the trades.Verify its state after View, Generate on ThirdParty Manager.Unwind the trades.View and verify the state of sell trade should be amended and buy trade is sent.</t>
  </si>
  <si>
    <t>GenerateThirdParty</t>
  </si>
  <si>
    <t>UnwindClosing</t>
  </si>
  <si>
    <t>ThirdParty-0005</t>
  </si>
  <si>
    <t>Enter a buy and sell trade with different quantity and close the trades.Verify its state after View, Generate on ThirdParty Manager.Unwind the trades.View and verify the state of sell trade should be amended and buy trade is sent.Generate and send.</t>
  </si>
  <si>
    <t>ThirdParty-0006</t>
  </si>
  <si>
    <t>- Enter an equity option into system
- Exercise/assign the trade
- View and Generate the data
- Close Thirdparty
- Unwind the closed entry
- Open thirdparty and View data
- Verify data
- Generate and Send</t>
  </si>
  <si>
    <t>ExerciseAssignment</t>
  </si>
  <si>
    <t>ThirdParty-0007</t>
  </si>
  <si>
    <t>- Enter a trade into system
- Open Thirdparty manager
- View, Generate and verify
- Close Thirdparty
- Unallocate that trade from allocation
- Open thirdparty manager and view
- Verify if state is deleted
- Reallocate the same trade in same account
- Verify on Thirdparty, state will be amended.</t>
  </si>
  <si>
    <t>VerifyThirdPartyView1</t>
  </si>
  <si>
    <t>AutomationSheetName</t>
  </si>
  <si>
    <t>ManualSheetName</t>
  </si>
  <si>
    <t>MasterFundAllocation</t>
  </si>
  <si>
    <t>Cash Management</t>
  </si>
  <si>
    <t>PM</t>
  </si>
  <si>
    <t>MTT</t>
  </si>
  <si>
    <t>Regression MTT</t>
  </si>
  <si>
    <t>TT</t>
  </si>
  <si>
    <t>Modules Info</t>
  </si>
  <si>
    <t>Modules</t>
  </si>
  <si>
    <t>1g8wLprruaWRC_5pQcovqkv8ZCiMt5fspCOACibdkz7g</t>
  </si>
  <si>
    <t>1aecq-HMDoDkIInONjPC11z5TBFHyJhv4ro66e2ZOphg</t>
  </si>
  <si>
    <t>1eDZq-_vllq4jwvwpk9qGnwQUhlb-sFvyFKPBriT2dA0</t>
  </si>
  <si>
    <t>1FBTO3wCB7odq-jpQMbYHgSrAL5-rFO2_kp9Kr2iXqXE</t>
  </si>
  <si>
    <t>1G0ZkXDrIDX_loGmAyLs_Shy8hExtTELtFXERbX-HdPo</t>
  </si>
  <si>
    <t>EditTradesAllocated</t>
  </si>
  <si>
    <t>1YgVZ1jEVgjUF1Dp8FAj_W_zLEZCyqvNMlWJIg0Tmkq4</t>
  </si>
  <si>
    <t>EditTradesUnallocated</t>
  </si>
  <si>
    <t>1MyB61T39MDAUyQqCUJLATzUT2f5UlE8nFq4ltWy_DJ4</t>
  </si>
  <si>
    <t>Reallocate</t>
  </si>
  <si>
    <t>undefined</t>
  </si>
  <si>
    <t>ReplaceFillsOnBlotter</t>
  </si>
  <si>
    <t>CheckBlotter</t>
  </si>
  <si>
    <t>16qheLbvgC92hKxalWDlpWfHBMyDDVqHERUCc7bQiO2A</t>
  </si>
  <si>
    <t>1zLd3ju-mV8f6PZiQUYLU-cAgAUwLwyoIAKuu0WgG2zI</t>
  </si>
  <si>
    <t>EnterCashDividends</t>
  </si>
  <si>
    <t>1sjDsI5FIL_l_G6osMJQ7e8auBgYd3R3JDaKWKV_8Og0</t>
  </si>
  <si>
    <t>EnterNonTradingTransaction</t>
  </si>
  <si>
    <t>1xn1P_Z-3N4d2BC1SUPly2HiVZazly5ZQcS18BfaTyho</t>
  </si>
  <si>
    <t>VerifyCash</t>
  </si>
  <si>
    <t>1vlvYPsiFAWjsnFrbkGn_fAvkwF00V3e7htalalU6QN4</t>
  </si>
  <si>
    <t>1o2rCg2FuoAOT5Pl8i4iFP_TwpPm0UB1dd49GbpkytfM</t>
  </si>
  <si>
    <t>1_v2niCJ9VGNvgEBpvz030BFqEISSUhYRHyWcAJAn_Eg</t>
  </si>
  <si>
    <t>1hsRs1-LY0akTrMe91ArnbLtk6GUy_bKxVwMYCaiMs-8</t>
  </si>
  <si>
    <t>14rwUHTx4auE_hf60WN-tNOx3atNg7QGvErWNwVQIRqE</t>
  </si>
  <si>
    <t>CreateTransaction</t>
  </si>
  <si>
    <t>1amshi8Ns36lsDpccBK0y_9bL_pQ2rHdGNYypcgzceUg</t>
  </si>
  <si>
    <t>UpdateBeta</t>
  </si>
  <si>
    <t>1YKttwHsdIskNDoo0Sl7HF2DWikROW-KA05qfT3GLIyI</t>
  </si>
  <si>
    <t>1YJ2rTp-OqQTGjubvs_cBC6fl0l94pyHI2eaLJzbddS4</t>
  </si>
  <si>
    <t>UpdateForexConversion</t>
  </si>
  <si>
    <t>1mLyEfNTVFd65cnE6GfgCRD6TdpKg1BgqNIDjHCFzyO4</t>
  </si>
  <si>
    <t>1M8d9TyOhMnA65NSIYvS6dR68SH5RL6oKahd6uz7yp6c</t>
  </si>
  <si>
    <t>1Q5uOVYo1NMRks6hQRJuV8XWMPb6VFEAbSzpgP1dot1I</t>
  </si>
  <si>
    <t>1iqfUyYqyebXIeNBGljH7-T8whBcywTlkBBU3dBZV06s</t>
  </si>
  <si>
    <t>1u0XMlZJy_Slp7uXMwirinW7StOOdTcWD-D8V07sO0VA</t>
  </si>
  <si>
    <t>PricingInput</t>
  </si>
  <si>
    <t>1mh3Z5PifhJ3yzX8TPeoc3H3nteNiA0V2tWFse0rVChE</t>
  </si>
  <si>
    <t>UpdateSharesOutstanding</t>
  </si>
  <si>
    <t>1vmZ6v1OyZ8SSi8bqqjK3ap3KtM_yPA_SEcIQgYiRInY</t>
  </si>
  <si>
    <t>SymbolLookup</t>
  </si>
  <si>
    <t>VerifySymbolLookUp</t>
  </si>
  <si>
    <t>1OiI1Pi_JAFOFi8ByMaD3_qqEXSv6yQMo_u6aGTozbl8</t>
  </si>
  <si>
    <t>SymbolLookupFromTT</t>
  </si>
  <si>
    <t>1ubfvE9sHq5KpJ9NazeH96CrVMJqAuol5Ya9GPjxWrgI</t>
  </si>
  <si>
    <t>UpdateUDA</t>
  </si>
  <si>
    <t>1z-v5fau00-VNexaHPo1P5yXblBk8HuV3oCrs4RhqBoY</t>
  </si>
  <si>
    <t>GetSymbol</t>
  </si>
  <si>
    <t>1mnpQnmAXV4LAGLZzV_thhANJkhIO7Z79eOSMXbWHZnQ</t>
  </si>
  <si>
    <t>GetDataSymbolLookup</t>
  </si>
  <si>
    <t>1uj2DKQ9zv-AbDIqeVKVIvkCejmmkExoWg37J8Cod6cA</t>
  </si>
  <si>
    <t>1hwH2b4Fpcasavb79bj5bZgWjFhBpZLb25MELejv-3gs</t>
  </si>
  <si>
    <t>SendThirdParty</t>
  </si>
  <si>
    <t>1kUti4bRPwJsQ6vfIX6TNDiq0h5TNyus7b8_3xx50eAo</t>
  </si>
  <si>
    <t>1L-T9YKEKNm_ncTLX6p563fxmzW1DvdfOn3fW5ZhQiKs</t>
  </si>
  <si>
    <t>SelectThirdPartyName</t>
  </si>
  <si>
    <t>1IDJnBcUTbSBdY9ib5g47fCpNwOJbrIdJqCXwjOG6uio</t>
  </si>
  <si>
    <t>VerifyThirdPartyData</t>
  </si>
  <si>
    <t>1Ut6wPoLPLqNX_jzI6wNy6077COb7nVQI8PVkhplQkPQ</t>
  </si>
  <si>
    <t>1R5gfRi3GgioP8d_KZ7As_bEtxonDghb0kgC4RZM-FM8</t>
  </si>
  <si>
    <t>PST</t>
  </si>
  <si>
    <t>RunPST</t>
  </si>
  <si>
    <t>1V4MJ7hYnKgrk9TG1Uooxjqd4HthKQbhHrDy-WG-2_zg</t>
  </si>
  <si>
    <t>PSTInputData</t>
  </si>
  <si>
    <t>1uopHJeJ5SwbAHXh20r-UtAPD6PHi_u54hjNbpPwEwBc</t>
  </si>
  <si>
    <t>PSTVerifyData</t>
  </si>
  <si>
    <t>1dlI4iRnpbN0Jp3SmI8H8j7cAWjtmx26kYKGl9T8zMt8</t>
  </si>
  <si>
    <t>PSTFunctionalities</t>
  </si>
  <si>
    <t>1gNJJpt5h8WueDYaccxMYcUsJSg-vrHkd7wCdN9BERNk</t>
  </si>
  <si>
    <t>OpenPSTFromPM</t>
  </si>
  <si>
    <t>1CRUOvrZHxYJa8JWZVSNaKMTuiFgsPoHl4ZOp9CVArA4</t>
  </si>
  <si>
    <t>1_NKxF1nvm7wWZjOkz9Rwq1O9gTMVrgrh8Fd3-4T-lNs</t>
  </si>
  <si>
    <t>CashDividend</t>
  </si>
  <si>
    <t>1bidnIIIJN0fcVjPEJaKWd2xd97LvxrTd-bobXRH77g8</t>
  </si>
  <si>
    <t>Exchange</t>
  </si>
  <si>
    <t>1L6t3pArCMy-x0rtEjJsAA8B-F2ZGViixq-huDlRTFMM</t>
  </si>
  <si>
    <t>Merger</t>
  </si>
  <si>
    <t>16pn78_DKg-vJasC-hdGzMxtD0tyxXLHdR0SNvLqRZpA</t>
  </si>
  <si>
    <t>NameChange</t>
  </si>
  <si>
    <t>1Qrnsq3539f2IzcyeG9eFQHqESJNtpWm95BzI-EnOoEs</t>
  </si>
  <si>
    <t>1i0qWRFtQLJXnQxsmIWjSFvV43s1Z3GiQphTVGrc__kM</t>
  </si>
  <si>
    <t>Split</t>
  </si>
  <si>
    <t>1XoJFaqU3SJM9wamFY1O8U8AsbIoq-5zdb74myrUwiJE</t>
  </si>
  <si>
    <t>StockDividend</t>
  </si>
  <si>
    <t>1e6FBRTvfbCODTYuoJO_FXOGIc49I0nSZFqjVSKbfkwc</t>
  </si>
  <si>
    <t>EnterDetailsOnTT</t>
  </si>
  <si>
    <t>10WzKYh5eXbqzEkPbJP3rrQoE0yxm4eJARpOYZCaK4Nw</t>
  </si>
  <si>
    <t>1UF6ywHMUk25IeO2-Ly3uujt2i70oU_JyyHDxuZBwSHE</t>
  </si>
  <si>
    <t>EditUnallocatedGroupSidePanel</t>
  </si>
  <si>
    <t>178GP7cyhQzXtg9SJcKtRdz2mYVeJ1mw5u608HlVU07A</t>
  </si>
  <si>
    <t>TradeAttributeBulkChange</t>
  </si>
  <si>
    <t>1l0GLpYQmV88pL7ql-_LklRMvNzv9DoG0nhtT0l7qu4Y</t>
  </si>
  <si>
    <t>ApplyBulkUpdateOnGroups</t>
  </si>
  <si>
    <t>1_mxt8Noz_OS5yWWFelEqvL_L00Cc7kr9y0ugx9ThGKc</t>
  </si>
  <si>
    <t>1LhzE_fO-OMLchyuCvQ9jomS7cBWTJyqLQZxh8Hq0XV8</t>
  </si>
  <si>
    <t>GeneralPreferencesDefaultRule</t>
  </si>
  <si>
    <t>19mCdLRcMdkGYF-EvyCA_GGApPeWZp305-Ln5INbQDcU</t>
  </si>
  <si>
    <t>GeneralPrefCompanyUserWise</t>
  </si>
  <si>
    <t>1619J_-xPH3Z3ewyjI4EUU0nEP8jsYxyahZ2FqN4ZN8U</t>
  </si>
  <si>
    <t>RenameTradeAttributes</t>
  </si>
  <si>
    <t>1mUdADs9UwZEQq1foIWwVUPO8p46DB_BnhQxGeytDfno</t>
  </si>
  <si>
    <t>SetGroupingRules</t>
  </si>
  <si>
    <t>1KHli8V3xI67r36Z7aNtbOupws6XQPJVKxxL5siCMRzM</t>
  </si>
  <si>
    <t>SetMasterFundRatio</t>
  </si>
  <si>
    <t>1dYL7kIfNPFydrt-0Ve0Z3s6gYNVOJaJrJWAKo1BQ_WI</t>
  </si>
  <si>
    <t>CheckFixedPreference</t>
  </si>
  <si>
    <t>1bdAQJg2FxDkjzX_TP1xXWcnRwEi5n9FJC8J3-KSR7wA</t>
  </si>
  <si>
    <t>GetFixedPreference</t>
  </si>
  <si>
    <t>1PJiW9whzOakCeEtKLSW7C5zAs3Tx4K5S6mcsAEGGUu8</t>
  </si>
  <si>
    <t>AddCalculatedPreferences</t>
  </si>
  <si>
    <t>10zXvFYXyHQ90X3wK2HSQJ2lqexR-0RC4bzzSp-JbQHc</t>
  </si>
  <si>
    <t>BulkChangeCalculatedPreferences</t>
  </si>
  <si>
    <t>1F3fwfjIS9SMV6_m3lIgREUlXVMb9IFfERaVHuvM4CBk</t>
  </si>
  <si>
    <t>DeleteCalculatedPreferences</t>
  </si>
  <si>
    <t>1ZrgQvtI8X_--Dm9l-kzaJ6Gq_5caMWFPo51fjH3KXzo</t>
  </si>
  <si>
    <t>RenameCalculatedPreferences</t>
  </si>
  <si>
    <t>1KyE_QUvvDlsCZU6IlWexw9odmHdRfeThdOO3QSFbjEw</t>
  </si>
  <si>
    <t>CopyCalculatedPreferences</t>
  </si>
  <si>
    <t>1N_mkJ4fiEkH9pVZnh0eddUxy48N1y6MC54GUQ8pEyD0</t>
  </si>
  <si>
    <t>RunAutoGroup</t>
  </si>
  <si>
    <t>1qJnzyguLCsfOoRf5I-UQhNBKHsviE3qy4iemC-E0u78</t>
  </si>
  <si>
    <t>1QwpQZecM_2zXkA_4PTwvbVR2onbYBD7qQ70nPae5Hd8</t>
  </si>
  <si>
    <t>RunProrata</t>
  </si>
  <si>
    <t>1GeVqKzbpnvjpPFLRelOOBbYDGCA2uxzXUEw0T4w2DI0</t>
  </si>
  <si>
    <t>SetDefaultRuleCalculatedPref</t>
  </si>
  <si>
    <t>1exPe1oyvv2PJwTNbdKlHi_YCtxd_P0QTqPlWt1f8rCw</t>
  </si>
  <si>
    <t>SetTTUIPreferences</t>
  </si>
  <si>
    <t>1hUpf-J1dPldZKufA83WUPjGDyPfkFo9yOetwMzj7d-g</t>
  </si>
  <si>
    <t>TTPermissionLevel</t>
  </si>
  <si>
    <t>1JsRZ2cANl5oVEs1-lVguknbnNPMons5j_Eea5VKiLF0</t>
  </si>
  <si>
    <t>ValidateSymbolTT</t>
  </si>
  <si>
    <t>1f277s4HcqX7OU-cfFuRVZG9QztzbXbtZYthvXtOl4Qs</t>
  </si>
  <si>
    <t>VerifyDataTT</t>
  </si>
  <si>
    <t>SetUIPreferencesTT</t>
  </si>
  <si>
    <t>1I42JZcIqmR2ZwBjh16PY-zP5wD_2ffz27NiQ-gXK5UI</t>
  </si>
  <si>
    <t>SetBrokerWisePreferencesTT</t>
  </si>
  <si>
    <t>1T1zs2xPlO_bempQSBbahSbQZleB7jg5NbLYVIfLQ8iw</t>
  </si>
  <si>
    <t>BlotterFunctionalities</t>
  </si>
  <si>
    <t>1ebU-3uw_6S0IpC6uTA_Mp2EVmf10wUPzQSvBVFHYO8U</t>
  </si>
  <si>
    <t>TradeNewSub</t>
  </si>
  <si>
    <t>1XBTRABStUhotz6RcDu4QU-JBdy8qwgAbwJklr6y-evA</t>
  </si>
  <si>
    <t>1Xs49hRrRPS-kKb4VS6sYxwkeaGRbgYuCcvhpDWsKbMA</t>
  </si>
  <si>
    <t>1kEUHVUls6lwK7p1_yZ_-_dENblEgVVnKh1gpjWk9Ojo</t>
  </si>
  <si>
    <t>SetAccountValueCalculatedPref</t>
  </si>
  <si>
    <t>1He7OaCqcTteg4Y7VysnV3LECPyIPe82phCbijgaQfkI</t>
  </si>
  <si>
    <t>TradeAttributeBulkChangeGroups</t>
  </si>
  <si>
    <t>1p2knaANkAjU6Rc29dsSlBDCuCvHpDGbGJr7q0pzKc8E</t>
  </si>
  <si>
    <t>TradeAttributeBulkChangeTaxlots</t>
  </si>
  <si>
    <t>12NNklHNZeOf4DXcxau3v_UVy3az1s9M6DRCiiyPWoig</t>
  </si>
  <si>
    <t>AddCalculatedPreferenceToolbar</t>
  </si>
  <si>
    <t>1jToWnRYLXnjcRiBBUrDCD9ZiiENiwUgzNwKAKK45ZwQ</t>
  </si>
  <si>
    <t>1dC5aTXlbVB5i99RaMQttsvBjOnY9xbMXrPkPyO6Mw_s</t>
  </si>
  <si>
    <t>SetStrategyValueCalculatedPref</t>
  </si>
  <si>
    <t>1oOgyWmcwuTgl5RKZuPWL6r5A9gPRpasPoKJDwdzkY4M</t>
  </si>
  <si>
    <t>GetAccountDetails</t>
  </si>
  <si>
    <t>1_SFoR_bVR9O3JYJJrHz5WF2D-1iQlGtr16zI5pzKMgg</t>
  </si>
  <si>
    <t>ApplyBulkUpdateOnTaxlots</t>
  </si>
  <si>
    <t>1K04OHbJs6f4ZdmjyymHxFPkQcn3IA-y4foV0iLFJ67Y</t>
  </si>
  <si>
    <t>1iMjLB9SegpXSDLjvPduiXyxCbMybdHOw5xdlRvZUAV8</t>
  </si>
  <si>
    <t>CommissionBulkChangeOnGroups</t>
  </si>
  <si>
    <t>1XQPv2grnv0IYVhlFYZ4lE9A7UtuFlaUTLAOJ_2UTWWQ</t>
  </si>
  <si>
    <t>GetDividendData</t>
  </si>
  <si>
    <t>1KL8ZVRHcKobZctbKd9lwMQ4zh6Wdgp4vgNvp8ibzO80</t>
  </si>
  <si>
    <t>1tB4vDtU-wRVb6b4GFjJjG8sLFBFGSiTiY0_szJ6NPFU</t>
  </si>
  <si>
    <t>VerifyNonTradingTransaction</t>
  </si>
  <si>
    <t>1JBjk0ge-XlqS6mSlf5AYF60USBciqBN9-2EL9HqWU4g</t>
  </si>
  <si>
    <t>1y3VGhGGfKV33adXqWj6UkUUjAATUt1kMIZMDLTwvnQU</t>
  </si>
  <si>
    <t>VerifyDividend</t>
  </si>
  <si>
    <t>1113QVQN1UZN7nq6bejta4XAN7YgfJr4Nfm9YCKiUBvg</t>
  </si>
  <si>
    <t>1oekpnmI5KdgoXC072l1Zz1mX6fBTBnVdYbYH-PN_hb4</t>
  </si>
  <si>
    <t>GetOpeningBalanceData</t>
  </si>
  <si>
    <t>1pp2kdmzY_gMqY91wHyTsX-K1_EsosECT7sZDR4KVAdo</t>
  </si>
  <si>
    <t>EnterAllocatePreference</t>
  </si>
  <si>
    <t>1zmSiKEvfXe-b_0bpW8c_FN0Ba4cOZ2TeCMnv_r-dem8</t>
  </si>
  <si>
    <t>1aNenJ94TH0BzJ4uSpbC4V-M5ed8GAfkuxNA-zhK77eY</t>
  </si>
  <si>
    <t>Expnl</t>
  </si>
  <si>
    <t>RestartExpnl</t>
  </si>
  <si>
    <t>19BOmuUEhcyH_577PjpNKNdTn_MisNEkIkn9rDB9B_WM</t>
  </si>
  <si>
    <t>ClosePM</t>
  </si>
  <si>
    <t>EnterStrategyValuesToAllocate</t>
  </si>
  <si>
    <t>1LU4phd2j3qGretTjzXpdrNGJNMCTACxiYcOQr9cL-Jk</t>
  </si>
  <si>
    <t>SelectNonTradingTransaction</t>
  </si>
  <si>
    <t>1iWyzitoYlfjVRVUvfGxtkXYc6oBs41HfLYhkKGDtESM</t>
  </si>
  <si>
    <t>SelectNonTradingTranItem</t>
  </si>
  <si>
    <t>161MHsTW7pQ4WbTC3fmlmr-3BNN6KoLofYq4glnu8Db4</t>
  </si>
  <si>
    <t>CopyCalculatedPreferenceToolbar</t>
  </si>
  <si>
    <t>1mIcDMl0Hq_rMk_-7M7uqgmrdDyYkZpE5NfEVN0nrrNc</t>
  </si>
  <si>
    <t>SetGeneralRuleCalculatedPref</t>
  </si>
  <si>
    <t>1mQcMf5GmDkF6vOP0ifcocySBiLGJFGNVphk08KTmdIE</t>
  </si>
  <si>
    <t>DeleteNonTradingTransaction</t>
  </si>
  <si>
    <t>1nygItF0UmUJjvn8nff87Qlt-Usyu_vBwQdRr89o1M7g</t>
  </si>
  <si>
    <t>DeleteNonTradingTranItem</t>
  </si>
  <si>
    <t>1qEWWhGlmb-O8vd_ei1yIVQBVqn4GbpFNL7W-UmtjXu0</t>
  </si>
  <si>
    <t>ExportAllCalculatedPreferences</t>
  </si>
  <si>
    <t>13jB5_KVp9fcYLvMYzI_weiFw4qRCAJPKd0MvkIKeFJE</t>
  </si>
  <si>
    <t>1eWY3i5V2CUd0heVi1smkxuk0mWDSNLPqrEtSvOJy-gM</t>
  </si>
  <si>
    <t>AddNonTradingTranItem</t>
  </si>
  <si>
    <t>1Zoc8UJ8jmjVsGdL1QSlCBiq4LU_5o74smLRkhRKYGIk</t>
  </si>
  <si>
    <t>SaveCalculatedPreferences</t>
  </si>
  <si>
    <t>VerifyOpeningBalanceData</t>
  </si>
  <si>
    <t>1gMo0cZJKRp5apUL66KJdmh5m6-8R6eKnUhy_ctez1E0</t>
  </si>
  <si>
    <t>SelectOpeningBalanceTransaction</t>
  </si>
  <si>
    <t>1vgbRn4sy-VVlITtNQA1aqWVujby84HSgQgpWpMD8thU</t>
  </si>
  <si>
    <t xml:space="preserve">CreateStageOrder </t>
  </si>
  <si>
    <t>1utaQlZyPChrYjEJNTsKJFnLY5_Mz4WL1Ow1b9_rVt4M</t>
  </si>
  <si>
    <t>TransferToUserWorkingSubs</t>
  </si>
  <si>
    <t>162BihnB4_83GNGpbf-mQOozvIx_nf9ZvgJ-ZWwMldCU</t>
  </si>
  <si>
    <t>1OzlqxuZWxzLGoYPt3WWqEL8Yioca7MhnkbyEcmdq_a4</t>
  </si>
  <si>
    <t>ReplaceWorkingSubs</t>
  </si>
  <si>
    <t>1JBevor8gCZXCsakD7zf3mRjtgRkNqgH04Zw6BOiWnBU</t>
  </si>
  <si>
    <t>1hkYV9H3a-t_P2C_uVeLgLj6gVTphy81XUVMjP6PxJcI</t>
  </si>
  <si>
    <t>1UEPFgcoaatajkd2gZXxvjDRAe69si-3w7HiuMaEzNCQ</t>
  </si>
  <si>
    <t>ShowDetailsForAlgoTradeSubOrder</t>
  </si>
  <si>
    <t>1EbF2Puwfk9q9RDVV52whoOn8X_aqiRwqzAF7kyNJ4sQ</t>
  </si>
  <si>
    <t>SelectTradeOrderBlotter</t>
  </si>
  <si>
    <t>1dVMus9g6omAUxfzvO3zOKK2JzaUK402jmUZLE69z1qk</t>
  </si>
  <si>
    <t>AddFillsWorkingSubs</t>
  </si>
  <si>
    <t>1yWSCXvx7xtDuLrsDg1U3jnG8t5BgPh9tipAUhuvfWhg</t>
  </si>
  <si>
    <t>1r1DNmVMt8zp2Rh2ODA2AvQ2JVy_wbUbSVQTzelG_uJc</t>
  </si>
  <si>
    <t>ShowDetailsForAlgoTradeWorkingSubs</t>
  </si>
  <si>
    <t>1WM4VdK42RR8dhRH84QYaQdVs67v582HUpEAV8ZlIrNE</t>
  </si>
  <si>
    <t>SwapExpire</t>
  </si>
  <si>
    <t>1lxTKzP48dL11mFrekIoraN52hwBinmP7CaF8hguPiWM</t>
  </si>
  <si>
    <t>1MDINGPOr4HHdaf18VTPq9vzuogxMXdpnMpH-VhDjEJQ</t>
  </si>
  <si>
    <t>TransferToUserOrder</t>
  </si>
  <si>
    <t>19GkDFb9i_0Z7AmHMmxembI5JmX3LwAvR4o81AJhWhFo</t>
  </si>
  <si>
    <t>CloseCalculatedPreferences</t>
  </si>
  <si>
    <t>1m08EaZMEd_PJyF4u21O8zHkbqCEoIwUek1gV2O2zTFc</t>
  </si>
  <si>
    <t>EditOrder</t>
  </si>
  <si>
    <t>1FdiTr3p4sB_34AkxAC9yEN95HRwfW9kguJTWhbITGsw</t>
  </si>
  <si>
    <t>SelectTradeSubOrderBlotter</t>
  </si>
  <si>
    <t>1ydXTq4HfmMwXb26sbL559XVIKWx5MGzOpaRy7GE_Efg</t>
  </si>
  <si>
    <t>1KPvh5sbL5ZzT9aQj7y_m4SGJH4prbGMdD6q119JNWU0</t>
  </si>
  <si>
    <t>1DZHQRdplkZdEkQqJd57JvSzMbJiAOy8tzCAyF4lx9Pc</t>
  </si>
  <si>
    <t>RemoveSelectedOrders</t>
  </si>
  <si>
    <t>1I2h0eMj06q16qWu3x_COKaHmNHpQ-mfOD5zTiStq-8o</t>
  </si>
  <si>
    <t>CancelAllSelectedSubs</t>
  </si>
  <si>
    <t>1ViGu30XsXMHX3Gnsm5c3Mz2-nPuarZljWP7raZniByQ</t>
  </si>
  <si>
    <t>MultiTradingTicket</t>
  </si>
  <si>
    <t>1esI0BGt6MADNAOgxCxFY7iQUgwaJiIQ7naWRhJNE6YM</t>
  </si>
  <si>
    <t>AuditTrailOrderBlotter</t>
  </si>
  <si>
    <t>1LfowcSD0sKUNxqanW6Esrw-G4DfzBzHPlPhbQ2XNPIw</t>
  </si>
  <si>
    <t>1rrAQ76Oor5S147oQKB6NLIh3mFOTd7GM3_mcvZLjFHE</t>
  </si>
  <si>
    <t>RemoveStageOrder</t>
  </si>
  <si>
    <t>1yesBzCu7zJNRyFAlQoWYc-gHyFLfDXmOoydJChyl-y4</t>
  </si>
  <si>
    <t>SetGeneralPreference</t>
  </si>
  <si>
    <t>1JITDuhD-vpifKV9i-IxhKiXaxqcX9mb9wfZDFnhsWec</t>
  </si>
  <si>
    <t>1Yp_VjL3A4CtBxoINDdLuQKPrRswyInWrAfQ6XNJ_Mn0</t>
  </si>
  <si>
    <t>ExportCalculatedPreference</t>
  </si>
  <si>
    <t>1UwxdsAO5xYeShwsQjcIwFCmCJ4TG5e0pdbTda5C9Ni8</t>
  </si>
  <si>
    <t>SelectOpeningBalanceTranItem</t>
  </si>
  <si>
    <t>14ShL91t2z_z4pjEMFRSGO-cKRHuWmHiSIRjzX_Qvys0</t>
  </si>
  <si>
    <t>EODTPreferences</t>
  </si>
  <si>
    <t>1XjgKwmzutf0_o28Ts6VmVRIT8fBmEcIhwzHuDT77PY0</t>
  </si>
  <si>
    <t>LiveData</t>
  </si>
  <si>
    <t>1N4Ho-MHhVufhNMfh1YnjgLuTA5wHdrgUytI0nIpGAgU</t>
  </si>
  <si>
    <t>EditNonTradingTransaction</t>
  </si>
  <si>
    <t>1KnL6IlGeWCSJiWyvDA35CAD801GLFmPg0IX6tl2xueg</t>
  </si>
  <si>
    <t>EditNonTradingTranItem</t>
  </si>
  <si>
    <t>1Vt_LrjnJrYNeyFbrPWR2mccROtAbfJ0IUqL_Wlnjozc</t>
  </si>
  <si>
    <t>DeleteOpeningBalanceTransaction</t>
  </si>
  <si>
    <t>1_4ZRkd1BLcUVqdTKNYEbvwxBPa5d-wQ8fp3SWuaCy7A</t>
  </si>
  <si>
    <t>DeleteOpeningBalanceTranItem</t>
  </si>
  <si>
    <t>1Z5WgLneKTh_sh9eMVI6h6MjxHaHvWBqKNUSU7JcMrEw</t>
  </si>
  <si>
    <t>ImportCalculatedPreferences</t>
  </si>
  <si>
    <t>1EGUnde-7rtVt7KhAWLx5-c7imdcnI7BTbH0BYUiRkk0</t>
  </si>
  <si>
    <t>1voBPiwdXfPZyYmNsKVmA2-kAwnDtFcbCA87sa76dum4</t>
  </si>
  <si>
    <t>VerifyDayEndCash</t>
  </si>
  <si>
    <t>1ZbDcgCeQpkAKM8Smq6zd36nogNVo-xRaIYmfQtA9UL4</t>
  </si>
  <si>
    <t>OpenAuditTrailUnallocatedGroup</t>
  </si>
  <si>
    <t>1sluoFo9SO5FkDshIY4XRUBU75XlWkBbYHraHd-7ST9g</t>
  </si>
  <si>
    <t>DeleteCalculatedPreferencesTool</t>
  </si>
  <si>
    <t>1AXull1J67Ef-OGrKTmcUfNSyWZ44tBFwGHDEiuV4K6I</t>
  </si>
  <si>
    <t>ImportCalculatedPreferencesTool</t>
  </si>
  <si>
    <t>1tp0a67Fc8ilOxcv6kVJJ1NPGwgm9edRiLRaXX9e_OkI</t>
  </si>
  <si>
    <t>1y3edACvUtHcrCyn7bfzWXET_VAfASVChWeHuDnd6534</t>
  </si>
  <si>
    <t>ExportAllCalculatedPreferTool</t>
  </si>
  <si>
    <t>15QIleRp2-b0IYUI-ehetd2mHyt-4z9syDcieDD2mLxk</t>
  </si>
  <si>
    <t>OpenAuditTrailAllocatedGroup</t>
  </si>
  <si>
    <t>17oz5gRqUlS1UN4BHGRtOuPthFZ-IDInTSHds76IppLU</t>
  </si>
  <si>
    <t>OpenSymbolLookupUnallocateGroup</t>
  </si>
  <si>
    <t>1y2rmoKWRJ1cRiz5LhFrNvh7MxgCR7p_qT0aPh70qR8A</t>
  </si>
  <si>
    <t>OpenSymbolLookupAllocatedGroup</t>
  </si>
  <si>
    <t>1t9Nth6tICUr2n4BxjLmx_IVSI_93_xKyvYiTFrlGCz8</t>
  </si>
  <si>
    <t>DeleteFixedPreference</t>
  </si>
  <si>
    <t>1gGOAdMStsDesMjBSr8g-_5lpVc1kvIy1BnuZTTjh640</t>
  </si>
  <si>
    <t>TransferToUserSubOrder</t>
  </si>
  <si>
    <t>1QiiEz0ySEy6vxI_FQW0Oyptltoie_Q00dftKZnSh6Xo</t>
  </si>
  <si>
    <t>DetailsForAlgoTradeOrder</t>
  </si>
  <si>
    <t>1oBBieGcGJlG7p695WhgxWMljR6UsqhojEOG3y87RCNA</t>
  </si>
  <si>
    <t>1wduydFX2YVrARw9VzjjawbwipTCTBcRUuzJf4tubZuk</t>
  </si>
  <si>
    <t>ViewAllocationDetailsSubOrder</t>
  </si>
  <si>
    <t>1KBzhab8nYOXyv5aSvJP_X5HcdtJfDSEwj6kHJNOyd7g</t>
  </si>
  <si>
    <t>GetCashTransaction</t>
  </si>
  <si>
    <t>1XtDJ7ML3jp88_vzz8ZS2ZKkz67Q7-zPqUij0EbKbbVw</t>
  </si>
  <si>
    <t>SelectCashTransaction</t>
  </si>
  <si>
    <t>1PBzQjDn-uLpe6lby9ZXs-MQD3z1OdC5dbHW5C5tjNys</t>
  </si>
  <si>
    <t>DeleteCashTransaction</t>
  </si>
  <si>
    <t>1yETEpR6igPFUxBM62AiBHlKOsmKCMX4j30T8LHnQez4</t>
  </si>
  <si>
    <t>EditCashTransaction</t>
  </si>
  <si>
    <t>1D1W6qoo9tkPdR39-aHuoUX0hEX3enZDhH-iIikhQ-d4</t>
  </si>
  <si>
    <t>AddCashTransaction</t>
  </si>
  <si>
    <t>14MqHipTdSRMof0ARtfNiV8fv4gK4AF-d3MPVGJbqOOg</t>
  </si>
  <si>
    <t>EditAllocatedGroupSidePanel</t>
  </si>
  <si>
    <t>1kUWbSeRq9Kx5kPYaxJm_KewmivDpsFoMfKu4VV30Pk4</t>
  </si>
  <si>
    <t>1RptNgMr45cdFNddv6ho18s5DwPSwPTj9mRVC_7reYCI</t>
  </si>
  <si>
    <t>1Cq-hHSaleyn2gy_6GB9xJjU_0ugTIVRARiAM0FHa4G4</t>
  </si>
  <si>
    <t>1Oq2bmcs_t2fkEsKLzwvjEZy9j_SFxZTCU_MxNUYYftw</t>
  </si>
  <si>
    <t>1iHIPELmTNvhvWXMn6bOxUFX6JiD1ejHId3xi2Chht4k</t>
  </si>
  <si>
    <t>DeleteNAV</t>
  </si>
  <si>
    <t>1lbgb_8jmoEdzuZuuHQvH10vIWlHiLnPqYC_Wr0DhESU</t>
  </si>
  <si>
    <t>1jZnY_CVhLzzmvKxfBfsxnLwZf2RtWZ-MN3Y1uF1_amI</t>
  </si>
  <si>
    <t>16r-C2L02qnRI38CHZDWyOaetsSHUu2Mw793g1tvpIpI</t>
  </si>
  <si>
    <t>1ePZEjBZd78YQP-rq7AZFlzyArb7-YiwdeghwSAv1QlQ</t>
  </si>
  <si>
    <t>GetDailyBeta</t>
  </si>
  <si>
    <t>1B79uMruccnGWeGKALTAflbLgHoMXm1IgdX2B8Ucqa_E</t>
  </si>
  <si>
    <t>GetDailyVolatility</t>
  </si>
  <si>
    <t>1Hh6sSW8e_VVZ4DVVE4zBjNugoxSDhpdBZCruEQChFf8</t>
  </si>
  <si>
    <t>GetDailyDividendYield</t>
  </si>
  <si>
    <t>1gY9-2YPNtL77s9k_cntAIjcR9cq3Aahrrl2WXL_o5JU</t>
  </si>
  <si>
    <t>GetDailyTradingVolume</t>
  </si>
  <si>
    <t>1VrY4VyRfkYkLnvnSm5EtSK4R-X6B5stX3OSYLJ--sME</t>
  </si>
  <si>
    <t>GetDailyOutstandings</t>
  </si>
  <si>
    <t>1h06jLu5zeUmctus0uW7-ZesDghsfE-eXkupiTBp1GTI</t>
  </si>
  <si>
    <t>GroupTrades</t>
  </si>
  <si>
    <t>1Mbuj9mSB0c4i0yGl_1-F05ht2jy-nfPK1xSM2UTHLig</t>
  </si>
  <si>
    <t>UngroupTrades</t>
  </si>
  <si>
    <t>1ZaBzwiFzlYN1UVat9gzwJJ5YfnSJsRsvUy8rLjFpzNU</t>
  </si>
  <si>
    <t>DeleteGroup</t>
  </si>
  <si>
    <t>1k_SakBuHixRde3N78vqe0Xzz4YbR3PHZgilEIbGSL5g</t>
  </si>
  <si>
    <t>CloseOrder</t>
  </si>
  <si>
    <t>1ca-MGgJsOiH6Z4vGqxZxR70qPMVXodr10ZbXlf6JGIc</t>
  </si>
  <si>
    <t>GetDailyDelta</t>
  </si>
  <si>
    <t>10ZMbFQ1IOpiikdz1JBip5lEgKm7K0o73GeMGQw_WWEg</t>
  </si>
  <si>
    <t>UpdateDailyVolatility</t>
  </si>
  <si>
    <t>1MnWSvi2db05ijYL3yxelYbggoKOEB4tqVsGoVuMpo0w</t>
  </si>
  <si>
    <t>AddOpeningBalanceTransaction</t>
  </si>
  <si>
    <t>1uIPzugk4A0Aig_3XINMJZPNbHUDS4zwLVwY3w8ATO1A</t>
  </si>
  <si>
    <t>AddOpeningBalanceTranItem</t>
  </si>
  <si>
    <t>1Sab4sEMPQQmMNnQqMcUWYSJmliLjBODBD5yeMjdFhgU</t>
  </si>
  <si>
    <t>CancelAllSubs</t>
  </si>
  <si>
    <t>1k6fme1SUHKxMMvs_7pDlzlHfy6PnCjrD5nr0oUObP8U</t>
  </si>
  <si>
    <t>CancelSubOrder</t>
  </si>
  <si>
    <t>14HgNVXvvWVeYTuof36H_IqNsjK1qZHsSrd3cyWgEV20</t>
  </si>
  <si>
    <t>EditStageOrder</t>
  </si>
  <si>
    <t>16Hd1uBr9TwUlu8l7juEdLBhZkMF9sIopzgucI8_M6iA</t>
  </si>
  <si>
    <t>1TmaMB8hutbeWj90tA8b3Zfly3sZMP_h6hEdH1Vbw8YQ</t>
  </si>
  <si>
    <t>1KOFVOoYgmHTf_Vp-fA_08fGnmaDgawY2_lajm_7uAV0</t>
  </si>
  <si>
    <t>VerifyAlgoDetails</t>
  </si>
  <si>
    <t>1TNUck0SaxrVe5xR-hZVk4IQO60bu8WtnsxDlST8CuB4</t>
  </si>
  <si>
    <t>VerifyTransferToUserOrder</t>
  </si>
  <si>
    <t>1RJfPl4iaZz8CawEGxaANj1D2x68T9cY77IBiMpcNxdE</t>
  </si>
  <si>
    <t>VerifyTransferToUserSubOdr</t>
  </si>
  <si>
    <t>1t1_Ynjuhj9UV5aZ5PabXpZjtlb8IPAP6w8TjgM2lMTw</t>
  </si>
  <si>
    <t>VerifyTransferToUserWorkSub</t>
  </si>
  <si>
    <t>1vhUDc0WX3V1tKXZUIvTrNaYMrd24jvgTSjWKW12VIPI</t>
  </si>
  <si>
    <t>SaveLayoutOrderGrid</t>
  </si>
  <si>
    <t>1s8j1BwTci7OMcEPQGJYSC8jPp4VtA4n-Yv1EB3MBz_4</t>
  </si>
  <si>
    <t>UpdateDividendYield</t>
  </si>
  <si>
    <t>15sjhB-BIRBwi2e-PZX2xfulOXckPcf6kzO8Qb8eIwoc</t>
  </si>
  <si>
    <t>UpdateTradingVolume</t>
  </si>
  <si>
    <t>1RHeZAOoia-kMisKWcgjA812Af6pghU20uY-RjYQLua4</t>
  </si>
  <si>
    <t>UpdateDailyDelta</t>
  </si>
  <si>
    <t>1i0BJTtewAm-Tw9RIPRsNXIXxeIT0D0_5hJwPuVXJMZE</t>
  </si>
  <si>
    <t>UpdateDailyOutstandings</t>
  </si>
  <si>
    <t>1-kYes9vmlh0vfUCYsNfMTdRXTFFNaRdAyClm7hnenbI</t>
  </si>
  <si>
    <t>1UzMfpwAjUyk9WnDVMZK_kHHxNCMEARLolkuKGsMvvlQ</t>
  </si>
  <si>
    <t>ManualClosing</t>
  </si>
  <si>
    <t>1bPGQbk2_mQuUPclWX9ebo3C84Uzf_FF4lQI1RviO-ig</t>
  </si>
  <si>
    <t>14r4G7flfRDfDL5-P3iMQM217k7ZhvyyC6VkaMii-MSA</t>
  </si>
  <si>
    <t>1YhX2eyEmJGcNQA5YDh_ER6IXxAraufNxjQhusZZtfDE</t>
  </si>
  <si>
    <t>VerifyClosedTrades</t>
  </si>
  <si>
    <t>1OwJkklw75W9NELVVn8TTtgqWys12YDvopxklGMUg1gs</t>
  </si>
  <si>
    <t>1C_vJ0XpRLIoVnkP8Ssa7QKkkT8eiKc4uvZ3k0DjxIJ8</t>
  </si>
  <si>
    <t>1FJr_xqg8bpvvuCU1y-06ZaNQ1_IdawHi8G8PEuS-o30</t>
  </si>
  <si>
    <t>1fvsrbIVeh6F7h2zh025ZZnnqDf6pcYZ3GPvBxuPsDrc</t>
  </si>
  <si>
    <t>CashSettlementAtCost</t>
  </si>
  <si>
    <t>1OCYQ4wrJpJL5L_Ip18DPGT1DeOR1xxzBGIYEOk5LpSA</t>
  </si>
  <si>
    <t>CashSettlementAtZeroPrice</t>
  </si>
  <si>
    <t>1HRXWuGd8cyWSKBQ7FgVRSgYWk-8OLdmFUoD2OO_XcY4</t>
  </si>
  <si>
    <t>1EWxKvjgKPxS1p3L5mKTGqWEZQyH-odwKHKVLJL2Y-Co</t>
  </si>
  <si>
    <t>PhysicalSettlement</t>
  </si>
  <si>
    <t>1PLFOsuaXN90Q3ZzjCbJIGggH5AYI5Shk2Jf79_FITgs</t>
  </si>
  <si>
    <t>1WRRZAXso_l9Bm4-7j8y0UvXkHL9BCBtz9sj56-K9AtM</t>
  </si>
  <si>
    <t>1g1BVaEiCy91e0eOIZPywKlK9C20A_fuVTn74CuomgXo</t>
  </si>
  <si>
    <t>ExerciseAssignmentAtZero</t>
  </si>
  <si>
    <t>1MXus2Dl8kRugBPD1pvO3zfGi88sVQFeoS4psUcmZsTg</t>
  </si>
  <si>
    <t>SwapExpireAndRollover</t>
  </si>
  <si>
    <t>1HIzfUQVJ_cOzGjnP3yqgLnIACwEybqTRWANI1RaCxv0</t>
  </si>
  <si>
    <t>1WUeBiSPGJILkMvh3E7poEJPu7NgFhfm_X-Bv_nbGhvY</t>
  </si>
  <si>
    <t>VerifyUnExpiredUnSettledGrid</t>
  </si>
  <si>
    <t>1AEUQEHsl7WMqlKjD3Kh_Ol_F5nXx--_NoGMDIdJpFCM</t>
  </si>
  <si>
    <t>1Ao_cqiHT0CnAxgKJOfyeANF8k3qUQj3bwMniopb4GSI</t>
  </si>
  <si>
    <t>1c8KMmhwQfLdxujht3anfEgTTup9gIxKnfAUowkWtZhI</t>
  </si>
  <si>
    <t>VerifyCloseOrder</t>
  </si>
  <si>
    <t>1M91igsaDI-w6MNajtvmqeTIOo3T5DRFxUSWpIe8s3h0</t>
  </si>
  <si>
    <t>UnWindCloseOrder</t>
  </si>
  <si>
    <t>1pDj8oS-Dk1WLeC7qMiFw1U0NacKynRLHpIFPy9MaxGo</t>
  </si>
  <si>
    <t>1i1JslBhP31Zla4tutAQ4Tf0NMByxg36_0f7V_mUYwcA</t>
  </si>
  <si>
    <t>CloseClosingUI</t>
  </si>
  <si>
    <t>1GZQ2uebZQQWuKTfEz5-dlgHYZVKe6Ipj8nBOf4MtMck</t>
  </si>
  <si>
    <t>GetDailyCalculationsData</t>
  </si>
  <si>
    <t>16erp9QXlFdytdNJufHM_bDs8J6TmQZ3Pg9GGu_qz9_s</t>
  </si>
  <si>
    <t>CalculateDailyCalculations</t>
  </si>
  <si>
    <t>EditOpeningBalanceTransaction</t>
  </si>
  <si>
    <t>1CwjXkGBAo9VOfBvvNVGJ_h-yA7rNZpKLhof3iB4k0aI</t>
  </si>
  <si>
    <t>EditOpeningBalanceTranItem</t>
  </si>
  <si>
    <t>1zfb3DVTi-cYKUc6htaLp-mIIApQcHgai8bGqWBLbwsA</t>
  </si>
  <si>
    <t>UpdateNAV</t>
  </si>
  <si>
    <t>13VcwNlzkLQC7q1GBXVPVQCPQ-H0e_19HCRNWPctUziQ</t>
  </si>
  <si>
    <t>VerifyDailyCalTransactions</t>
  </si>
  <si>
    <t>16NpNjtU6cKaQOPSJHZURJsJgQc-UzasF8zesLepx6wk</t>
  </si>
  <si>
    <t>UpdateDailyCreditLimt</t>
  </si>
  <si>
    <t>17-JeVJd_vvgAEaabgIZWXp-R-RdEE7HgLgs7YMUnAQM</t>
  </si>
  <si>
    <t>RemoveDailyCreditLimit</t>
  </si>
  <si>
    <t>1UILg9fFAqy0FePXsL47QNXPXJq9mm5Wqgiv9cm7emlg</t>
  </si>
  <si>
    <t>RemoveDailyCash</t>
  </si>
  <si>
    <t>1ZbIpSDMavzuEEGnj-wEia66DI4JDF8oyMNhgI--MWO4</t>
  </si>
  <si>
    <t>RemoveNAV</t>
  </si>
  <si>
    <t>1TyPnk_nqBb3zJ0HQ7yBvaeOcKJERBImSdyGirN4woWM</t>
  </si>
  <si>
    <t>1MlmOyY8HQ3eRBPXhqiNJ8RVpy7nWPF20xBoJtX_QYwY</t>
  </si>
  <si>
    <t>GroupRowPM</t>
  </si>
  <si>
    <t>1ClpAx4ud9EHmyYiC_EG7H8WiHylHjv_EGWFXAjvTdkA</t>
  </si>
  <si>
    <t>CloseAllocation</t>
  </si>
  <si>
    <t>CheckDashboardWithPM</t>
  </si>
  <si>
    <t>RemoveFilterPM</t>
  </si>
  <si>
    <t>CheckSummaryRowsPM</t>
  </si>
  <si>
    <t>1kq-ZMRgpBT_3Nxea55HQM_-j9azo4L4iB-CuzUAPPFE</t>
  </si>
  <si>
    <t>CloseGeneralLedger</t>
  </si>
  <si>
    <t>ReplaceStageOrder</t>
  </si>
  <si>
    <t>1370sSwJ_VXgmhdmb3pCQcTlcU3ztmzTYc6vPoS-I2Rs</t>
  </si>
  <si>
    <t>VerifyAccountDetails</t>
  </si>
  <si>
    <t>1lsg_0uEXu3HH4_A9LuYRNenlpBwd4sjxTjFB8xlzdDw</t>
  </si>
  <si>
    <t>1oyvNRFVoJU95KpNy7o_IiQMZgNHP-Bi2KEpSlqaCnyg</t>
  </si>
  <si>
    <t>AddNewTransaction</t>
  </si>
  <si>
    <t>16Eh72qrKHascPtbWrHTlOLhfJHGfR4IZFDSlCSLxmSI</t>
  </si>
  <si>
    <t>TradeBloomberg</t>
  </si>
  <si>
    <t>1vXZOb9hT8U9HvANcidNDzQLV_Rg36UGBldNh3ILbBmc</t>
  </si>
  <si>
    <t>ClickSymbolLookup</t>
  </si>
  <si>
    <t>1g7stSFk607rGDVIaSnvY-ptgS4CJ0I2p3WOFDCBnziw</t>
  </si>
  <si>
    <t>PricingServer</t>
  </si>
  <si>
    <t>RestartPricingServer</t>
  </si>
  <si>
    <t>1gWKZIjUhrqy74A-4kOFSr-8X-j7OSRRxzFQf9sOTlOE</t>
  </si>
  <si>
    <t>1iETb10qf0A-gB4iUOWwuQuOLD_VgfsHyEAJHBA4DoHQ</t>
  </si>
  <si>
    <t>1S186VaVmLeTBBZvOvfZZkdYDpjAYEEcCLhDbU_-H4AQ</t>
  </si>
  <si>
    <t>CalculatePTT</t>
  </si>
  <si>
    <t>1n-0IidhwMIEAHTljc0dL6DfL_KtwHCHHMmQqIxrt5Pc</t>
  </si>
  <si>
    <t>TradeUsingPTT</t>
  </si>
  <si>
    <t>1MwIHIUJiRevw9hWzaIrZ6hjsnxhVBBEDgIyRlYx_JfM</t>
  </si>
  <si>
    <t>StageOrderUsingPTT</t>
  </si>
  <si>
    <t>1mGKbjwq4tDR3_X1Fuj7H3rI_B2Ox4KtfLZtHRiQj9VM</t>
  </si>
  <si>
    <t>CreateOrderPTT</t>
  </si>
  <si>
    <t>1KTUZ6X5yWioaVe8Cg2I9oK8yVSehu3uyHv4QfqEoHMo</t>
  </si>
  <si>
    <t>TradePTT</t>
  </si>
  <si>
    <t>1k8JhAu6jbmkg_8qpzw2AxNXUgP2YlVgQMW_LLIjefgk</t>
  </si>
  <si>
    <t>1yBlNELKkvQRYYPt6ZAov5fn5DWLS8c3IAyiNqQLdszM</t>
  </si>
  <si>
    <t>OpenPTTFromPM</t>
  </si>
  <si>
    <t>1fbjwLiHWAkTu__5roOILF0s1qjsRTN8icKEJcvGeH8o</t>
  </si>
  <si>
    <t>OpenMultiTTFromPTT</t>
  </si>
  <si>
    <t>1zrf_a-bbRXuVKhhrfdQixq9uC9b8OfysURDh1E9DT6c</t>
  </si>
  <si>
    <t>SelectMultiTT</t>
  </si>
  <si>
    <t>1oayAgLduY9MUtfSYRFGUG9RNS9a6iZ8nrakZBxpVSzw</t>
  </si>
  <si>
    <t>EditMultiTT</t>
  </si>
  <si>
    <t>1JqpSW4ajOSUcoS5mtjIaM7Hi6ArQs8MMsZLI6lP4uyQ</t>
  </si>
  <si>
    <t>EditTradeUsingMTT</t>
  </si>
  <si>
    <t>14b_da7R2FSzuGfC2aS_GrFc31XFQ6Z0PhavdHZ7qjeQ</t>
  </si>
  <si>
    <t>SelectTradeUsingMTT</t>
  </si>
  <si>
    <t>1chjNmgT6t6HAgsIjFHHA_HjHXYSib3ypiGcMnTZLj94</t>
  </si>
  <si>
    <t>GetPriceUsingMTT</t>
  </si>
  <si>
    <t>1RTzsTQKuw6sSM9Kr5VZsw1wV7gvDAsRrG_wV60tAcas</t>
  </si>
  <si>
    <t>DoneAwayUsingMTT</t>
  </si>
  <si>
    <t>1cNSM32G_N5SGvXu6lx-zWkXRAjYljk13sa5ei-vC56o</t>
  </si>
  <si>
    <t>SendOrderUsingMTT</t>
  </si>
  <si>
    <t>1jLxMpUTr7pXn7Fb2jwwRpn334fPe9S5MRdiVUan3HPQ</t>
  </si>
  <si>
    <t>UpdateGRAccountValue</t>
  </si>
  <si>
    <t>117ijYpKq9WwmtJBvvUq33hYFaZv0aHYbrrtnNPkf9nI</t>
  </si>
  <si>
    <t>BulkChangeTradeDoneAway</t>
  </si>
  <si>
    <t>1tdEQ0vUA4N2FN4RAxUzY8nTTCb6wdhcJbAfOmqjdKDQ</t>
  </si>
  <si>
    <t>UpdateGRStrategyValue</t>
  </si>
  <si>
    <t>132dwq5e7x9R9H3RUwShAPWvGm1jW2l04L5MFSiwJi78</t>
  </si>
  <si>
    <t>UpdateGRDefaultRule</t>
  </si>
  <si>
    <t>1N9a82N7mPInkiDNxvE007XkrnwKpfi3bTlMOfLUfVaw</t>
  </si>
  <si>
    <t>UpdateGeneralRulePref</t>
  </si>
  <si>
    <t>MultiTradingTicketFromBlotter</t>
  </si>
  <si>
    <t>1Jw4b7G1Z0ZXvJiWOGAg2-2iqjR560ENdPTlDh4fHUvc</t>
  </si>
  <si>
    <t>1QAUh1kMj_54htmyrqxjdQlxiqFvmJ8J6P-K_-Fqss-w</t>
  </si>
  <si>
    <t>ModifyGRPreferenceValues</t>
  </si>
  <si>
    <t>AddMFPreferences</t>
  </si>
  <si>
    <t>1M_FLEr6e22HBx7IQl8kV2NusNgjLGQvah8H14hifRkI</t>
  </si>
  <si>
    <t>AddMFPreferenceToolbar</t>
  </si>
  <si>
    <t>1PYN_ipgl8XummI4ut80O5TxWYml1LI7YKYLZE4fAMjU</t>
  </si>
  <si>
    <t>DeleteMFPreferences</t>
  </si>
  <si>
    <t>1W6g2r_d5Feoz-y2Su9u0dgDWFcbD9-4S1KRgk2UfxFA</t>
  </si>
  <si>
    <t>DeleteMFPreferenceToolbar</t>
  </si>
  <si>
    <t>1cZNS3kDcO7VYl26Huql-4phO2r-_ZrqLGre466WODbA</t>
  </si>
  <si>
    <t>RenameMFPreferences</t>
  </si>
  <si>
    <t>1ystb-FslRwNicLiDd8lAs6a6byTsbfFWFoiim2zgYPw</t>
  </si>
  <si>
    <t>SaveCloseMFPreference</t>
  </si>
  <si>
    <t>SetMFPrefAccountValues</t>
  </si>
  <si>
    <t>1MTbFLkBDQX_Lu2G0msIDum1Rmj-A7oU-ouidoZvyf_g</t>
  </si>
  <si>
    <t>ModifyMFPrefGeneralRuleValues</t>
  </si>
  <si>
    <t>SetMFPrefStrategyValues</t>
  </si>
  <si>
    <t>1B9ERzWjdzyr0fHLV5dZFtreFMs7hW-NSYYU_PKoLUWg</t>
  </si>
  <si>
    <t>SetMFPrefGeneralRule</t>
  </si>
  <si>
    <t>1A2pjhbdU0RqqqcBao-_4gv5NnxM46MyMUOmxRm0DWi8</t>
  </si>
  <si>
    <t>SetMFPrefFundDistribution</t>
  </si>
  <si>
    <t>13AQ3tbVAMHVBd_fPky1oSiB84tnTC1szO-VUa9qBigg</t>
  </si>
  <si>
    <t>SetMFPreferencesDefaultRule</t>
  </si>
  <si>
    <t>1Hv0Z5ssoqeLvkhuR2HFZzFSNTaTFuJc6FikZf44KOIw</t>
  </si>
  <si>
    <t>SetMFPrefFundDefaultRule</t>
  </si>
  <si>
    <t>19B6YRFRQDZpZLmLuGmVVYdPYGXcNeJN-b7khzCptlTc</t>
  </si>
  <si>
    <t>SetAccountFactor</t>
  </si>
  <si>
    <t>1vb9TVD-ohDLuvXO8ZK90_tG89vhQ6x6iCk8S-C2GeEk</t>
  </si>
  <si>
    <t>ClearPrefetchFilters</t>
  </si>
  <si>
    <t>ExpandCollapseAllUnallocated</t>
  </si>
  <si>
    <t>1YL6c6rK2NersJZ19X_FPPdb2ndygftjmpIAGUKYOThw</t>
  </si>
  <si>
    <t>ExpandCollapseAllAllocated</t>
  </si>
  <si>
    <t>1-zysK6eTkra8tpeUSlbhLhfLGsQDtZ5wngV6xhW7Y4U</t>
  </si>
  <si>
    <t>GenerateCashTransaction</t>
  </si>
  <si>
    <t>1mNMeBNOJywSPpU7QYU1vURZ42PPw7H8-GNKnam4kgDQ</t>
  </si>
  <si>
    <t>SaveAllocation</t>
  </si>
  <si>
    <t>UnallocateWithOutSave</t>
  </si>
  <si>
    <t>1M98UTVz-kOortSquZ3k8yDFCGL0P9mLMaN2q3yEUNuA</t>
  </si>
  <si>
    <t>UpdateServerConfig</t>
  </si>
  <si>
    <t>1seMhg4iNNOorLVaDP1KLD3-AaBkP6Og_iLfMW-ItgzU</t>
  </si>
  <si>
    <t>UpdatePricingConfig</t>
  </si>
  <si>
    <t>1MvTEQqM11huwRsoXl6xEi3IAzNeJdt61cEuMd9jn3_s</t>
  </si>
  <si>
    <t>UpdateExpnlConfig</t>
  </si>
  <si>
    <t>18U4mB8u1ZzddTJWR8e10hKB9G2PtkVaCRQs9M6dGmDw</t>
  </si>
  <si>
    <t>UpdateClientConfig</t>
  </si>
  <si>
    <t>1bvyqZwTrfgNJws3DmYVHW4MQFzGRa5k8KAaLOGczA1g</t>
  </si>
  <si>
    <t>OpenCreateTransactionFromPM</t>
  </si>
  <si>
    <t>OpenClosingFromPM</t>
  </si>
  <si>
    <t>OpenCorporateActionFromPM</t>
  </si>
  <si>
    <t>OpenDailyValuationFromPM</t>
  </si>
  <si>
    <t>1-P8y2jWa8-TgjIAgysm8LiFOFNCawLK6ehtNf8n3g0o</t>
  </si>
  <si>
    <t>ShowSummaryToolFromPM</t>
  </si>
  <si>
    <t>HideSummaryToolFromPM</t>
  </si>
  <si>
    <t>1r4mdKH6xHBGXly0xX_3kfVZnbgFRt6h09CKzb6B2j30</t>
  </si>
  <si>
    <t>CloseSelectedTaxlotsFromPM</t>
  </si>
  <si>
    <t>1bepmvkmXtLL4UpGLcjeYXrovfZi8iUwi1A3os0v1Uj0</t>
  </si>
  <si>
    <t>ExpandCollapsePM</t>
  </si>
  <si>
    <t>AddCustomViewPM</t>
  </si>
  <si>
    <t>1NbdvoXzq9bLTUkCX2_gVxCtjCR2kBldnGGw-z1Eim8I</t>
  </si>
  <si>
    <t>AddCustomViewRightClickPM</t>
  </si>
  <si>
    <t>1Q7iif6wWXqCIfSrgSBzoU30gZbMUkNAMhcF68qLMvps</t>
  </si>
  <si>
    <t>RenameCustomViewPM</t>
  </si>
  <si>
    <t>11-lGY3oTzf5kpgkJM4lHHX32AUcd6BpZ2CU2UsLPpAE</t>
  </si>
  <si>
    <t>DeleteCustomViewPM</t>
  </si>
  <si>
    <t>1X-gnstY40ismguHxChNKmthJ1G80Q49D37OBmzHA5BM</t>
  </si>
  <si>
    <t>SetClosingPreference</t>
  </si>
  <si>
    <t>1SBWCGC1qCDElP5xT215lxXFECJmufBKtZhmLiF-uDlE</t>
  </si>
  <si>
    <t>SaveTransaction</t>
  </si>
  <si>
    <t>13ZNMuqKcSpAW_MsR69_GoKBz_beluHfFVyViDpUnCkc</t>
  </si>
  <si>
    <t>1Qe_MB72ABGFy_tC-AtAJSBoOqNECmDnuHW2p--em0xc</t>
  </si>
  <si>
    <t>SetPTTPreference</t>
  </si>
  <si>
    <t>1ldeUCvJu8gA2hZDe6NneM5_zHpORs3VIMmFqtZK_zTo</t>
  </si>
  <si>
    <t>SetLongShortPTTPreference</t>
  </si>
  <si>
    <t>1K6pZbNryz6dksItb7aYYpqHUV4sWPVRsnYGiEZCb6BY</t>
  </si>
  <si>
    <t>VerifyTT</t>
  </si>
  <si>
    <t>1bKhXEya1wodNYLnY1-QcHI_XG3UWZaHQ81HV-TN-5Kc</t>
  </si>
  <si>
    <t>SaveLayoutAllocatedGrid</t>
  </si>
  <si>
    <t>1aTyf1QMUlY1sd90ATn_Ik7tSnqoJNJ2ORUTgE2CcKVc</t>
  </si>
  <si>
    <t>SaveLayoutUnallocatedGrid</t>
  </si>
  <si>
    <t>14EKTplxgrSnZ3LrmPGSsdvC3A1Cn7Gl3iYaLoliVy5c</t>
  </si>
  <si>
    <t>1w55ijS0jNdggXMegSAddndubbfCazPcYQ4T-iQXE9-8</t>
  </si>
  <si>
    <t>ClearFiltersAllocatedGrid</t>
  </si>
  <si>
    <t>ClearFiltersUnallocatedGrid</t>
  </si>
  <si>
    <t>VerifyLayoutAllocatedGrid</t>
  </si>
  <si>
    <t>1Dm60vGCrArH03PZJNSUJF2XSLE8bTZId3GMfDSiNsgE</t>
  </si>
  <si>
    <t>VerifyLayoutUnallocatedGrid</t>
  </si>
  <si>
    <t>13oH5Ytu1wVsxt5b13YVUvBPplFK0NO_TK4bRhOZWxN8</t>
  </si>
  <si>
    <t>1TZUZ5-nBzkzBtbjFUoa_EB6_eDzdYjS0ibH5XGYYwAw</t>
  </si>
  <si>
    <t>UpdateMarkPriceMonthly</t>
  </si>
  <si>
    <t>1CAqtQbVxh4NllyrMXscZd9EiKnaMKSW-_a9zZtK2ULI</t>
  </si>
  <si>
    <t>141237jvZTCMRUMwfe0LXJI6_OVqTlCniHe4xfwketxs</t>
  </si>
  <si>
    <t>CheckAllocatedTaxlots</t>
  </si>
  <si>
    <t>1ly27YrdiNWaAup2LCqtlbPCuNU2qHnDVGbGX6s6cAJM</t>
  </si>
  <si>
    <t>EditTradeUnexpiredUnsettled</t>
  </si>
  <si>
    <t>1gjlTvz7BOfWSUwRY25-5BkROLuD55WxDrFeD31t9BlQ</t>
  </si>
  <si>
    <t>ThirdPartyManagerFunction</t>
  </si>
  <si>
    <t>1F3VrDP9gZVgnN47cnexOSvCPCOWrB5TnPdoVFblX-Hs</t>
  </si>
  <si>
    <t>SelectFromThirdPartyGrid</t>
  </si>
  <si>
    <t>1_LSKrymEkIuBeyHqfZI1upyAoiYQgw0S0J0RO7IgiBw</t>
  </si>
  <si>
    <t>1Q9anI2VDWuslEj_JKPuWlj_ER5paw0uxtF2p1N3mqOA</t>
  </si>
  <si>
    <t>1N_tr8KIMlLRSTf8xjI6E_DCsfagISlV95aJSkQKRavk</t>
  </si>
  <si>
    <t>1JLfoMbfAcKX8sKuY5GBrk9VURM7QOEybGoh99ESKb-4</t>
  </si>
  <si>
    <t>1OPgUZqNYhV3KEPmPCahj5p6WvTvcu6yt-IilVEoYdck</t>
  </si>
  <si>
    <t>Compliance</t>
  </si>
  <si>
    <t>CheckCompliance</t>
  </si>
  <si>
    <t>1rHjLXpZjBLQM6QWnpXPgAllc-YEEgN3ft01yzOc3Z_k</t>
  </si>
  <si>
    <t>VerifyAccountDivisorWindow</t>
  </si>
  <si>
    <t>1o2I6wY7Q2ZhQmtkXdRpqlxQVJ8IApk0IcIxM0anIe4E</t>
  </si>
  <si>
    <t>VerifyAccountSymbolDivisorWindow</t>
  </si>
  <si>
    <t>1ADKVvtlUcDE2a_GFsrcnF3qLRtLLDQ1rEJbzQws78i8</t>
  </si>
  <si>
    <t>VerifyAggregationAccountSymbolWithNav</t>
  </si>
  <si>
    <t>1lnfZcSlUOa9o7gHKbVZNk25z7jkFzrWO3HCg1iRDEhg</t>
  </si>
  <si>
    <t>VerifyAggregationAccountWithNav</t>
  </si>
  <si>
    <t>1bVQ8hXYcI8QA4dwbvx9VW307agnDiO6msA8_55Z9Ho4</t>
  </si>
  <si>
    <t>VerifyAggregationMasterFundSymbolWithNav</t>
  </si>
  <si>
    <t>149nnw4Cwl1HHouYCXdqP9R7Mx98I_xiisiVCYk7UJkk</t>
  </si>
  <si>
    <t>VerifyAggregationMasterFundUnderlyingSymbolWithNav</t>
  </si>
  <si>
    <t>14DzH-ZDYwWbCfXuBzG8v04Qb1mQp1of2O6GLQXcWMsQ</t>
  </si>
  <si>
    <t>VerifyAggregationMasterFundWithNav</t>
  </si>
  <si>
    <t>1zsjoqOkIN3nYkIIxRHJMhmyX6J_C62DE3Oo2y7BGdVs</t>
  </si>
  <si>
    <t>VerifyAggregationSectorWithNav</t>
  </si>
  <si>
    <t>1PwtsUw7M1uKb7OUFflhtzsANVeSCTOQuOmvDpORnIho</t>
  </si>
  <si>
    <t>VerifyAggregationUnderlyingSymbolWithNav</t>
  </si>
  <si>
    <t>176-KXks3ZB5ZHuKBMwUMw29_Cv2044sZyo8Km9DSXhY</t>
  </si>
  <si>
    <t>VerifyAuecWindow</t>
  </si>
  <si>
    <t>16b_2-FgoStwuBkNr_JjCAyklRXIuqbbe3yokDxprokc</t>
  </si>
  <si>
    <t>VerifyBetaWindow</t>
  </si>
  <si>
    <t>1fbKcjC8gLwYcrNAXPL4_1obtoTCCX0MmPEKkR5s582U</t>
  </si>
  <si>
    <t>VerifyCustomSymbolDataWindow</t>
  </si>
  <si>
    <t>1-ro_FbZAIVOSxzuukFA-JqauiFzAp2zzPW1nR5HDbNQ</t>
  </si>
  <si>
    <t>VerifyDayEndCashAccountWindow</t>
  </si>
  <si>
    <t>14hibcKhSsVy9-wON6kpUuT3WpnX2wo9pBQzmPi8qLL0</t>
  </si>
  <si>
    <t>VerifyDbNavWindow</t>
  </si>
  <si>
    <t>18-WlIts2DAJ-WJbsdY1Rpj5dOSmW5uYCwetKlx26fnQ</t>
  </si>
  <si>
    <t>VerifyGlobalDivisorWindow</t>
  </si>
  <si>
    <t>1z5ONnrNdd3WVB7RZIGa-yHhn0U7mw19K0moh5ObmK-I</t>
  </si>
  <si>
    <t>VerifyPmCalculationPreferenceWindow</t>
  </si>
  <si>
    <t>1yse7cNfakHdRjfRrq1SQW0Yxxopg67W_juGAkOyqHPk</t>
  </si>
  <si>
    <t>VerifyRowCalculationBaseWindow</t>
  </si>
  <si>
    <t>16bZAwMHOfN8bD2TadtVor3HvDM0dtF51XYU1iRUEXpQ</t>
  </si>
  <si>
    <t>VerifySecurityWindow</t>
  </si>
  <si>
    <t>1xeK-JWq8oHwAbmnGt_N4qn9Nt8F9XHo5-Mtr0t_7pRw</t>
  </si>
  <si>
    <t>VerifySymbolDataWindow</t>
  </si>
  <si>
    <t>13iKSNjdwzv3DKe_1fcHZJ8GUk5s-HKAGG5PE6MY-smA</t>
  </si>
  <si>
    <t>VerifySymbolDivisorWindow</t>
  </si>
  <si>
    <t>1uyHz1cQUHCK-GcBufMehtS9i6BspKa5HVCLnf4pfGuk</t>
  </si>
  <si>
    <t>VerifyTaxlotWindow</t>
  </si>
  <si>
    <t>1LmfcHeXwbnPa-An0b_OD4pDLm7pUlzSX41G5QZ2Uons</t>
  </si>
  <si>
    <t>RestartEsper</t>
  </si>
  <si>
    <t>VerifyAccountNavPreferenceWindow</t>
  </si>
  <si>
    <t>1PbpS5QGNvwJE_YSvMrjHxbUPPQhcUDrQHC4N9KHYjWY</t>
  </si>
  <si>
    <t xml:space="preserve"> VerifyAggregationAccountUnderlyingSymbolWithNav</t>
  </si>
  <si>
    <t>1e43aiziZ9lVzR6j8eABeYJVnCkgU34OcPRcWujsT2Sk</t>
  </si>
  <si>
    <t>VerifyAggregationAssetWithNav</t>
  </si>
  <si>
    <t>1etvN2Ze8TA6NI_8xSaOdqLwhWnk9NXKUUDhi-_NctcY</t>
  </si>
  <si>
    <t>VerifyAggregationSymbolWithNav</t>
  </si>
  <si>
    <t>13XyCHzB6LhftZ5UNht5K7e3dan_fGbii_TnOOGLwDg0</t>
  </si>
  <si>
    <t>VerifyAggregationSubSectorWithNav</t>
  </si>
  <si>
    <t>1DBHQwTuKH0lzdeBCel_4raYQn6PkkFTYydpCHbsB4Qk</t>
  </si>
  <si>
    <t>VerifyAggregationGlobalWithNav</t>
  </si>
  <si>
    <t>1XVSAkmIoWI-AC0BHXwWO3TqCkz2uOlJFE5eM6W0_Cew</t>
  </si>
  <si>
    <t xml:space="preserve"> VerifyAggregationGlobalWithNav</t>
  </si>
  <si>
    <t xml:space="preserve"> VerifyAccrualForAccountWindow</t>
  </si>
  <si>
    <t>1zKkT3mW6MMJ2tPzzT2fHVQT6vyc0mePzllndBlUl5IM</t>
  </si>
  <si>
    <t>VerifyMasterFundDivisorWindow</t>
  </si>
  <si>
    <t>13rWeedH_MlhhxYACJeLeckVtBWejh246MGPN4QQpmMM</t>
  </si>
  <si>
    <t>VerifyMasterFundSymbolDivisorWindow</t>
  </si>
  <si>
    <t>1YPctyrs3yMgf0X1_jVz3LRORCo4B4cNqbyc_K0FujO0</t>
  </si>
  <si>
    <t>FetchAccountPositions</t>
  </si>
  <si>
    <t>1BeNn_44h4ClIE46em_ho4qgzGnXy_GxtYTH3cBmtKPk</t>
  </si>
  <si>
    <t>1jkLpZFgLuRokIigwbjW9_Z47rlvj-YDlRcP_c4XkP_k</t>
  </si>
  <si>
    <t>VerifyGridData</t>
  </si>
  <si>
    <t>1mspGsgTjI-yT8NsZKZn8moOE-Vp0hoNdUziI1pFBq0I</t>
  </si>
  <si>
    <t>RunRebalance</t>
  </si>
  <si>
    <t>1B2L3J6YUrDWz8rRtdvv0lYDQvnH8nYkmqQm12ZwK7jc</t>
  </si>
  <si>
    <t>1FTTZIzpIKJz6P-IPbrA5EPTxiMe2ARbyGfgsnMXlct4</t>
  </si>
  <si>
    <t>1sQAsvIkAT3oSRlv0P4ERgM6O-p9EGHnCNRCfZZ6EKPM</t>
  </si>
  <si>
    <t>18DR7gQzurIoB_fivnSt8QoqUWcLVRpZQSDr37UqoXKU</t>
  </si>
  <si>
    <t>1pp_DAI1bHvMNnrEvw8O7TeJWebgUjt3FSsdgjVWeJkE</t>
  </si>
  <si>
    <t>1hX7-3j5InwEYhwGhZXePVHcW-9vxINkOET671xdWGsc</t>
  </si>
  <si>
    <t>OpenLiveTT</t>
  </si>
  <si>
    <t>1q3BIdA-Gau2cX2cBnlgy7eas26rbuZEdQMfROhYvOgI</t>
  </si>
  <si>
    <t>115Bw2-ohdF1ilHcVpmgJ2DX9SJjX1zI-6SvF3CpCjm8</t>
  </si>
  <si>
    <t xml:space="preserve">SetManualResponse </t>
  </si>
  <si>
    <t>10qeNhV85AQPMToOqHZlhzdXyNnDNjiueFxVwGUI_MO4</t>
  </si>
  <si>
    <t>1LO0lVmw42vb8rN4FBdD2nZspNUXqgQCerd4ip5U8His</t>
  </si>
  <si>
    <t>RebalanceAcrossSecurities</t>
  </si>
  <si>
    <t>1C-pSRr2mYlstlgFOXGSaoMyr-7ZKnUyCiCZMgNR75C0</t>
  </si>
  <si>
    <t>1onX95lO5NTDqGvP-5pv_fQlL0p1SAPerH3jm5s9xIbE</t>
  </si>
  <si>
    <t>CloseSimulator</t>
  </si>
  <si>
    <t>1w1BRJVZsjn1B0PDYrYEKzXGEw-NFKSMIyNqeBCt4yec</t>
  </si>
  <si>
    <t>1m8_kQ_0tVJoTiBpYOtlKW23NWSHVfniRS6qC-gXm10s</t>
  </si>
  <si>
    <t>17N8VCOwI2fnS5Lh1_oE2TZ5tHs8EeP3ATBk93WwvRHk</t>
  </si>
  <si>
    <t>1F88uJdltwqga7oeOfytDjDGsBP4kpEF_aSFBEzDCUqY</t>
  </si>
  <si>
    <t>1yIy9yo2gUgRLah_KTWBr8Q8ouxWuW7qEoYCxd-IyZqU</t>
  </si>
  <si>
    <t>1vtwSXTZXLwVYR5bhmfKT7b9o6JVmS_9MOZn7CcypLvw</t>
  </si>
  <si>
    <t>1tY8_vmgwAtlU3wdGRDk8WSaRLCv6640XZ0pVR7jx06k</t>
  </si>
  <si>
    <t>1dXSCZtp_PbY2-xO4HyuQFjP9rqovyxBIHohhAalWHdk</t>
  </si>
  <si>
    <t>1MPDRlprMFMS8DkR-4ntdGvBOQ6Gp4Cbkz1mGJyRiPBU</t>
  </si>
  <si>
    <t>EditUnallocatedGridWPF</t>
  </si>
  <si>
    <t>1FoqMjsh7kSUAPZgAsBdK0Dgz6XaVskoGr37G773xRsI</t>
  </si>
  <si>
    <t>EditAllocatedGridWPF</t>
  </si>
  <si>
    <t>1JDZt3yDzGJYLwgfnrM-1JpkYjLh4xdqn3im1wNwUiWg</t>
  </si>
  <si>
    <t>EditAllocatedGridTaxlot</t>
  </si>
  <si>
    <t>1tuNkOgVUAgmGZdePkvb6Kq4fOIVUbM2Oo-j35VwEMxU</t>
  </si>
  <si>
    <t>ExpandCollapseAllocatedGrid</t>
  </si>
  <si>
    <t>1rFegPn3vtFd9CjW_Q7sLLAAJfMR24R2aIjZeDzV88kI</t>
  </si>
  <si>
    <t>ExpandCollapseUnallocatedGrid</t>
  </si>
  <si>
    <t>1AUbU9P9evi80SGX-0B0OEU4EIeSy8XoX0Jxc2neUG7Y</t>
  </si>
  <si>
    <t>OrderSide-0003</t>
  </si>
  <si>
    <t xml:space="preserve">Multiple  unallocated trade of different asset class and order side allocated using preferences by Allocation Preference Name OrderSidePref-17-05-17 
Default Rule Trade Quantity Prorata Allocation1 Match Closing Transaction False 
General Rule 1 
Include Equity Include Buy,Sell Allocation2-60 (Strategy S1-100) Allocation3-40 Trade Qty Account Inception Match Closing Transaction False 
General Rule 2 
Include Equity Exclude Buy,Sell Allocation2-100 Fair Pricing Current Preference Match Closing Transaction False 
General Rule 3 
Include Future  Allocation2-60     Allocation3-40 Fair Pricing Account Inception Match Closing Transaction True 
General Rule 4 
Include EquityOption Include Buy to Open, Sell to Close Trade Qty Current prefrence OFFSHORE 75 LP C/O 25 Match Closing Transaction False </t>
  </si>
  <si>
    <t>https://docs.google.com/spreadsheets/d/1kibmPU9KVG36TSvFz1QAzXR5hIb_9KFsACqy5MEVBgg/edit#gid=945675207</t>
  </si>
  <si>
    <t>https://docs.google.com/spreadsheets/d/1kibmPU9KVG36TSvFz1QAzXR5hIb_9KFsACqy5MEVBgg/edit#gid=1385689893</t>
  </si>
  <si>
    <t>https://docs.google.com/spreadsheets/d/1kibmPU9KVG36TSvFz1QAzXR5hIb_9KFsACqy5MEVBgg/edit#gid=1866030020</t>
  </si>
  <si>
    <t>https://docs.google.com/spreadsheets/d/1kibmPU9KVG36TSvFz1QAzXR5hIb_9KFsACqy5MEVBgg/edit#gid=1219518518</t>
  </si>
  <si>
    <t>https://docs.google.com/spreadsheets/d/1kibmPU9KVG36TSvFz1QAzXR5hIb_9KFsACqy5MEVBgg/edit#gid=1607706245</t>
  </si>
  <si>
    <t>SetGeneralRuleCalculatedPref1</t>
  </si>
  <si>
    <t>https://docs.google.com/spreadsheets/d/1kibmPU9KVG36TSvFz1QAzXR5hIb_9KFsACqy5MEVBgg/edit#gid=682200002</t>
  </si>
  <si>
    <t>UpdateGRAccountValue1</t>
  </si>
  <si>
    <t>UpdateGRDefaultRule1</t>
  </si>
  <si>
    <t>https://docs.google.com/spreadsheets/d/1kibmPU9KVG36TSvFz1QAzXR5hIb_9KFsACqy5MEVBgg/edit#gid=2135988556</t>
  </si>
  <si>
    <t>SetGeneralRuleCalculatedPref2</t>
  </si>
  <si>
    <t>https://docs.google.com/spreadsheets/d/1kibmPU9KVG36TSvFz1QAzXR5hIb_9KFsACqy5MEVBgg/edit#gid=917230216</t>
  </si>
  <si>
    <t>UpdateGRAccountValue2</t>
  </si>
  <si>
    <t>UpdateGRDefaultRule2</t>
  </si>
  <si>
    <t>https://docs.google.com/spreadsheets/d/1kibmPU9KVG36TSvFz1QAzXR5hIb_9KFsACqy5MEVBgg/edit#gid=688694307</t>
  </si>
  <si>
    <t>SetGeneralRuleCalculatedPref3</t>
  </si>
  <si>
    <t>https://docs.google.com/spreadsheets/d/1kibmPU9KVG36TSvFz1QAzXR5hIb_9KFsACqy5MEVBgg/edit#gid=2020053882</t>
  </si>
  <si>
    <t>UpdateGRAccountValue3</t>
  </si>
  <si>
    <t>UpdateGRDefaultRule3</t>
  </si>
  <si>
    <t>https://docs.google.com/spreadsheets/d/1kibmPU9KVG36TSvFz1QAzXR5hIb_9KFsACqy5MEVBgg/edit#gid=824268590</t>
  </si>
  <si>
    <t>https://docs.google.com/spreadsheets/d/1kibmPU9KVG36TSvFz1QAzXR5hIb_9KFsACqy5MEVBgg/edit#gid=690482143</t>
  </si>
  <si>
    <t>https://docs.google.com/spreadsheets/d/1kibmPU9KVG36TSvFz1QAzXR5hIb_9KFsACqy5MEVBgg/edit#gid=872955406</t>
  </si>
  <si>
    <t>https://docs.google.com/spreadsheets/d/1kibmPU9KVG36TSvFz1QAzXR5hIb_9KFsACqy5MEVBgg/edit#gid=24917259</t>
  </si>
  <si>
    <t>https://docs.google.com/spreadsheets/d/1kibmPU9KVG36TSvFz1QAzXR5hIb_9KFsACqy5MEVBgg/edit#gid=240791589</t>
  </si>
  <si>
    <t>https://docs.google.com/spreadsheets/d/1kibmPU9KVG36TSvFz1QAzXR5hIb_9KFsACqy5MEVBgg/edit#gid=1229600475</t>
  </si>
  <si>
    <t>https://docs.google.com/spreadsheets/d/1kibmPU9KVG36TSvFz1QAzXR5hIb_9KFsACqy5MEVBgg/edit#gid=1624573453</t>
  </si>
  <si>
    <t>https://docs.google.com/spreadsheets/d/1kibmPU9KVG36TSvFz1QAzXR5hIb_9KFsACqy5MEVBgg/edit#gid=1671847217</t>
  </si>
  <si>
    <t>OrderSide-0004</t>
  </si>
  <si>
    <t xml:space="preserve">Multiple trade of different asset class and order side allocated using preferences by TT Preference Name OrderSidePref-17-05-17 
Default Rule Trade Quantity Prorata Allocation1 Match Closing Transaction False 
General Rule 1 
Include Equity Include Buy,Sell Allocation2-60 (Strategy S1-100) Allocation3-40 Trade Qty Account Inception Match Closing Transaction False 
 General Rule 2 
Include Equity Exclude Buy,Sell Allocation2-100 Fair Pricing Current Preference Match Closing Transaction False 
General Rule 3 
Include Future Include Buy,Sell Allocation2-60 (Strategy S1-100) Allocation3-40 Fair Pricing Account Inception Match Closing Transaction True 
General Rule 4 
Include EquityOption Include Buy to Open, Sell to Close Trade Qty Current prefrence OFFSHORE 75 LP C/O 25 Match Closing Transaction False </t>
  </si>
  <si>
    <t>https://docs.google.com/spreadsheets/d/1v6xQ7i_53ts_VDqZNYd9CrjuyUMaDI_0ndcTfipQLOQ/edit#gid=739375516</t>
  </si>
  <si>
    <t>https://docs.google.com/spreadsheets/d/1v6xQ7i_53ts_VDqZNYd9CrjuyUMaDI_0ndcTfipQLOQ/edit#gid=163309445</t>
  </si>
  <si>
    <t>https://docs.google.com/spreadsheets/d/1v6xQ7i_53ts_VDqZNYd9CrjuyUMaDI_0ndcTfipQLOQ/edit#gid=1250170642</t>
  </si>
  <si>
    <t>https://docs.google.com/spreadsheets/d/1v6xQ7i_53ts_VDqZNYd9CrjuyUMaDI_0ndcTfipQLOQ/edit#gid=2034179571</t>
  </si>
  <si>
    <t>https://docs.google.com/spreadsheets/d/1v6xQ7i_53ts_VDqZNYd9CrjuyUMaDI_0ndcTfipQLOQ/edit#gid=6024352</t>
  </si>
  <si>
    <t>https://docs.google.com/spreadsheets/d/1v6xQ7i_53ts_VDqZNYd9CrjuyUMaDI_0ndcTfipQLOQ/edit#gid=701977132</t>
  </si>
  <si>
    <t>https://docs.google.com/spreadsheets/d/1v6xQ7i_53ts_VDqZNYd9CrjuyUMaDI_0ndcTfipQLOQ/edit#gid=1692916221</t>
  </si>
  <si>
    <t>https://docs.google.com/spreadsheets/d/1v6xQ7i_53ts_VDqZNYd9CrjuyUMaDI_0ndcTfipQLOQ/edit#gid=23242344</t>
  </si>
  <si>
    <t>https://docs.google.com/spreadsheets/d/1v6xQ7i_53ts_VDqZNYd9CrjuyUMaDI_0ndcTfipQLOQ/edit#gid=2011535565</t>
  </si>
  <si>
    <t>https://docs.google.com/spreadsheets/d/1v6xQ7i_53ts_VDqZNYd9CrjuyUMaDI_0ndcTfipQLOQ/edit#gid=1114477504</t>
  </si>
  <si>
    <t>https://docs.google.com/spreadsheets/d/1v6xQ7i_53ts_VDqZNYd9CrjuyUMaDI_0ndcTfipQLOQ/edit#gid=1721623626</t>
  </si>
  <si>
    <t>https://docs.google.com/spreadsheets/d/1v6xQ7i_53ts_VDqZNYd9CrjuyUMaDI_0ndcTfipQLOQ/edit#gid=1068305720</t>
  </si>
  <si>
    <t>https://docs.google.com/spreadsheets/d/1v6xQ7i_53ts_VDqZNYd9CrjuyUMaDI_0ndcTfipQLOQ/edit#gid=1218876040</t>
  </si>
  <si>
    <t>https://docs.google.com/spreadsheets/d/1v6xQ7i_53ts_VDqZNYd9CrjuyUMaDI_0ndcTfipQLOQ/edit#gid=622448239</t>
  </si>
  <si>
    <t>https://docs.google.com/spreadsheets/d/1v6xQ7i_53ts_VDqZNYd9CrjuyUMaDI_0ndcTfipQLOQ/edit#gid=2033492808</t>
  </si>
  <si>
    <t>https://docs.google.com/spreadsheets/d/1v6xQ7i_53ts_VDqZNYd9CrjuyUMaDI_0ndcTfipQLOQ/edit#gid=1732416356</t>
  </si>
  <si>
    <t>RegressionOS-0001</t>
  </si>
  <si>
    <t>Allocated trade using Pref1 having General rule for Equity Buy and Sell   from the TT</t>
  </si>
  <si>
    <t>https://docs.google.com/spreadsheets/d/1te6imWd5RNjE2fCT4YGN5Ka0-RFGopo9p-yC8O3uIpQ/edit#gid=1905507206</t>
  </si>
  <si>
    <t>https://docs.google.com/spreadsheets/d/1te6imWd5RNjE2fCT4YGN5Ka0-RFGopo9p-yC8O3uIpQ/edit#gid=177591972</t>
  </si>
  <si>
    <t>https://docs.google.com/spreadsheets/d/1te6imWd5RNjE2fCT4YGN5Ka0-RFGopo9p-yC8O3uIpQ/edit#gid=1604187378</t>
  </si>
  <si>
    <t>https://docs.google.com/spreadsheets/d/1te6imWd5RNjE2fCT4YGN5Ka0-RFGopo9p-yC8O3uIpQ/edit#gid=1100976793</t>
  </si>
  <si>
    <t>UpdateGRAccountValues</t>
  </si>
  <si>
    <t>https://docs.google.com/spreadsheets/d/1te6imWd5RNjE2fCT4YGN5Ka0-RFGopo9p-yC8O3uIpQ/edit#gid=1911321665</t>
  </si>
  <si>
    <t>https://docs.google.com/spreadsheets/d/1te6imWd5RNjE2fCT4YGN5Ka0-RFGopo9p-yC8O3uIpQ/edit#gid=1488067738</t>
  </si>
  <si>
    <t>https://docs.google.com/spreadsheets/d/1te6imWd5RNjE2fCT4YGN5Ka0-RFGopo9p-yC8O3uIpQ/edit#gid=1763487928</t>
  </si>
  <si>
    <t>https://docs.google.com/spreadsheets/d/1te6imWd5RNjE2fCT4YGN5Ka0-RFGopo9p-yC8O3uIpQ/edit#gid=341866858</t>
  </si>
  <si>
    <t>https://docs.google.com/spreadsheets/d/1te6imWd5RNjE2fCT4YGN5Ka0-RFGopo9p-yC8O3uIpQ/edit#gid=62593608</t>
  </si>
  <si>
    <t>https://docs.google.com/spreadsheets/d/1te6imWd5RNjE2fCT4YGN5Ka0-RFGopo9p-yC8O3uIpQ/edit#gid=1827532098</t>
  </si>
  <si>
    <t>RegressionOS-0002</t>
  </si>
  <si>
    <t>Allocate trade using Pref1 having General rule for Future from Allocation</t>
  </si>
  <si>
    <t>https://docs.google.com/spreadsheets/d/1nhxpB8ub1Btpq7g0ag9Oo1HmJ4zOQfroeAY9URcYmfc/edit#gid=675952245</t>
  </si>
  <si>
    <t>https://docs.google.com/spreadsheets/d/1nhxpB8ub1Btpq7g0ag9Oo1HmJ4zOQfroeAY9URcYmfc/edit#gid=1512838456</t>
  </si>
  <si>
    <t>https://docs.google.com/spreadsheets/d/1nhxpB8ub1Btpq7g0ag9Oo1HmJ4zOQfroeAY9URcYmfc/edit#gid=7659016</t>
  </si>
  <si>
    <t>https://docs.google.com/spreadsheets/d/1nhxpB8ub1Btpq7g0ag9Oo1HmJ4zOQfroeAY9URcYmfc/edit#gid=572777777</t>
  </si>
  <si>
    <t>https://docs.google.com/spreadsheets/d/1QfnEcki7sh_0XoTNNyTHSR_P0VHi2brGPRU7n9xzPZs/edit#gid=1207380893</t>
  </si>
  <si>
    <t>https://docs.google.com/spreadsheets/d/1nhxpB8ub1Btpq7g0ag9Oo1HmJ4zOQfroeAY9URcYmfc/edit#gid=1325668901</t>
  </si>
  <si>
    <t>https://docs.google.com/spreadsheets/d/1nhxpB8ub1Btpq7g0ag9Oo1HmJ4zOQfroeAY9URcYmfc/edit#gid=1749888180</t>
  </si>
  <si>
    <t>https://docs.google.com/spreadsheets/d/1nhxpB8ub1Btpq7g0ag9Oo1HmJ4zOQfroeAY9URcYmfc/edit#gid=1592393932</t>
  </si>
  <si>
    <t>https://docs.google.com/spreadsheets/d/1nhxpB8ub1Btpq7g0ag9Oo1HmJ4zOQfroeAY9URcYmfc/edit#gid=890331545</t>
  </si>
  <si>
    <t>https://docs.google.com/spreadsheets/d/1nhxpB8ub1Btpq7g0ag9Oo1HmJ4zOQfroeAY9URcYmfc/edit#gid=485052253</t>
  </si>
  <si>
    <t>https://docs.google.com/spreadsheets/d/1nhxpB8ub1Btpq7g0ag9Oo1HmJ4zOQfroeAY9URcYmfc/edit#gid=1171386742</t>
  </si>
  <si>
    <t>https://docs.google.com/spreadsheets/d/1nhxpB8ub1Btpq7g0ag9Oo1HmJ4zOQfroeAY9URcYmfc/edit#gid=458396814</t>
  </si>
  <si>
    <t xml:space="preserve">
CleanUp-0000</t>
  </si>
  <si>
    <t>ProrataNAV-0001</t>
  </si>
  <si>
    <t>Trade of Buy and Sell having equal quantity and price allocated through TT using the preference FUND1 100                        Default Rule : Prorata-NAV match closing transaction FALSE all are allocated because buy create position and sell close its position</t>
  </si>
  <si>
    <t>https://docs.google.com/spreadsheets/d/1Yi18wLCKXbOiWwBJlJFfeY1NPY5-iWcnsRt6ZNhe3-E/edit#gid=2108381199</t>
  </si>
  <si>
    <t>https://docs.google.com/spreadsheets/d/1Yi18wLCKXbOiWwBJlJFfeY1NPY5-iWcnsRt6ZNhe3-E/edit#gid=8838582</t>
  </si>
  <si>
    <t>https://docs.google.com/spreadsheets/d/1Yi18wLCKXbOiWwBJlJFfeY1NPY5-iWcnsRt6ZNhe3-E/edit#gid=291326854</t>
  </si>
  <si>
    <t>https://docs.google.com/spreadsheets/d/1Yi18wLCKXbOiWwBJlJFfeY1NPY5-iWcnsRt6ZNhe3-E/edit#gid=1986353782</t>
  </si>
  <si>
    <t>https://docs.google.com/spreadsheets/d/1Yi18wLCKXbOiWwBJlJFfeY1NPY5-iWcnsRt6ZNhe3-E/edit#gid=900858367</t>
  </si>
  <si>
    <t>https://docs.google.com/spreadsheets/d/1Yi18wLCKXbOiWwBJlJFfeY1NPY5-iWcnsRt6ZNhe3-E/edit#gid=928411986</t>
  </si>
  <si>
    <t>https://docs.google.com/spreadsheets/d/1Yi18wLCKXbOiWwBJlJFfeY1NPY5-iWcnsRt6ZNhe3-E/edit#gid=399632959</t>
  </si>
  <si>
    <t>https://docs.google.com/spreadsheets/d/1Yi18wLCKXbOiWwBJlJFfeY1NPY5-iWcnsRt6ZNhe3-E/edit#gid=1829766820</t>
  </si>
  <si>
    <t>https://docs.google.com/spreadsheets/d/1Yi18wLCKXbOiWwBJlJFfeY1NPY5-iWcnsRt6ZNhe3-E/edit#gid=220852531</t>
  </si>
  <si>
    <t>https://docs.google.com/spreadsheets/d/1eOrrNfW-3rdHrGxx5I90OvXITRaQB6kEJZxhiYUW91w/edit#gid=1931781337</t>
  </si>
  <si>
    <t>ProrataNAV-0002</t>
  </si>
  <si>
    <t>Trade of Buy and Sell unequal quantity allocated through TT using the preference FUND1 100                        Default Rule : Prorata-NAV match closing transaction TRUE  BUY allocated   SELL allocated because check side validation false on server side</t>
  </si>
  <si>
    <t>https://docs.google.com/spreadsheets/d/1m65FxRZCfTnFqeEy9nG_ye3Jvsss1ps3mX9W8cYE6zc/edit#gid=176029357</t>
  </si>
  <si>
    <t>https://docs.google.com/spreadsheets/d/1m65FxRZCfTnFqeEy9nG_ye3Jvsss1ps3mX9W8cYE6zc/edit#gid=17182188</t>
  </si>
  <si>
    <t>https://docs.google.com/spreadsheets/d/1m65FxRZCfTnFqeEy9nG_ye3Jvsss1ps3mX9W8cYE6zc/edit#gid=1887914641</t>
  </si>
  <si>
    <t>https://docs.google.com/spreadsheets/d/1m65FxRZCfTnFqeEy9nG_ye3Jvsss1ps3mX9W8cYE6zc/edit#gid=1412173100</t>
  </si>
  <si>
    <t>https://docs.google.com/spreadsheets/d/1m65FxRZCfTnFqeEy9nG_ye3Jvsss1ps3mX9W8cYE6zc/edit#gid=480812976</t>
  </si>
  <si>
    <t>https://docs.google.com/spreadsheets/d/1m65FxRZCfTnFqeEy9nG_ye3Jvsss1ps3mX9W8cYE6zc/edit#gid=1296498079</t>
  </si>
  <si>
    <t>https://docs.google.com/spreadsheets/d/1m65FxRZCfTnFqeEy9nG_ye3Jvsss1ps3mX9W8cYE6zc/edit#gid=1958421769</t>
  </si>
  <si>
    <t>https://docs.google.com/spreadsheets/d/1m65FxRZCfTnFqeEy9nG_ye3Jvsss1ps3mX9W8cYE6zc/edit#gid=1773552751</t>
  </si>
  <si>
    <t>https://docs.google.com/spreadsheets/d/1m65FxRZCfTnFqeEy9nG_ye3Jvsss1ps3mX9W8cYE6zc/edit#gid=1383646717</t>
  </si>
  <si>
    <t>https://docs.google.com/spreadsheets/d/1m65FxRZCfTnFqeEy9nG_ye3Jvsss1ps3mX9W8cYE6zc/edit#gid=909779536</t>
  </si>
  <si>
    <t>ProrataNAV-0003</t>
  </si>
  <si>
    <t>Unallocated trade of Buy and Sell allocated through Allocation by Preference CHECK SIDE VALIDATION TRUE Default Rule : Prorata-NAV match closing transaction FALSE FORCE ALLOCATION FALSE BUY allocated SELL allocated due to having position in the account created by buy trade.</t>
  </si>
  <si>
    <t>https://docs.google.com/spreadsheets/d/1JdzfvqsgYq2WAySJsPD6QgEaMs3rxlp_rHykaM7Qpnk/edit#gid=1753263377</t>
  </si>
  <si>
    <t>https://docs.google.com/spreadsheets/d/1JdzfvqsgYq2WAySJsPD6QgEaMs3rxlp_rHykaM7Qpnk/edit#gid=1425380497</t>
  </si>
  <si>
    <t>https://docs.google.com/spreadsheets/d/1JdzfvqsgYq2WAySJsPD6QgEaMs3rxlp_rHykaM7Qpnk/edit#gid=1776516553</t>
  </si>
  <si>
    <t>https://docs.google.com/spreadsheets/d/1JdzfvqsgYq2WAySJsPD6QgEaMs3rxlp_rHykaM7Qpnk/edit#gid=977165423</t>
  </si>
  <si>
    <t>https://docs.google.com/spreadsheets/d/1JdzfvqsgYq2WAySJsPD6QgEaMs3rxlp_rHykaM7Qpnk/edit#gid=161085792</t>
  </si>
  <si>
    <t>https://docs.google.com/spreadsheets/d/1JdzfvqsgYq2WAySJsPD6QgEaMs3rxlp_rHykaM7Qpnk/edit#gid=2110022642</t>
  </si>
  <si>
    <t>https://docs.google.com/spreadsheets/d/1JdzfvqsgYq2WAySJsPD6QgEaMs3rxlp_rHykaM7Qpnk/edit#gid=1239895923</t>
  </si>
  <si>
    <t>https://docs.google.com/spreadsheets/d/1JdzfvqsgYq2WAySJsPD6QgEaMs3rxlp_rHykaM7Qpnk/edit#gid=2140228634</t>
  </si>
  <si>
    <t>https://docs.google.com/spreadsheets/d/1JdzfvqsgYq2WAySJsPD6QgEaMs3rxlp_rHykaM7Qpnk/edit#gid=666177706</t>
  </si>
  <si>
    <t>https://docs.google.com/spreadsheets/d/1JdzfvqsgYq2WAySJsPD6QgEaMs3rxlp_rHykaM7Qpnk/edit#gid=155546221</t>
  </si>
  <si>
    <t>https://docs.google.com/spreadsheets/d/1JdzfvqsgYq2WAySJsPD6QgEaMs3rxlp_rHykaM7Qpnk/edit#gid=935137956</t>
  </si>
  <si>
    <t>ProrataNAV-0004</t>
  </si>
  <si>
    <t xml:space="preserve">Unallocated trade of Buy and Sell unequal quantity allocated through Allocation by Preference CHECKSIDE VALIDATION TRUE Default Rule : Prorata-NAV match closing transaction TRUE FORCE ALLOCATION true BUY allocated SELL allocated </t>
  </si>
  <si>
    <t>https://docs.google.com/spreadsheets/d/1BcTQFxJieZhVaisvuouNhJsV6404T8R5sMSOYu5Y7B0/edit#gid=1853059382</t>
  </si>
  <si>
    <t>https://docs.google.com/spreadsheets/d/1BcTQFxJieZhVaisvuouNhJsV6404T8R5sMSOYu5Y7B0/edit#gid=1238749366</t>
  </si>
  <si>
    <t>https://docs.google.com/spreadsheets/d/1BcTQFxJieZhVaisvuouNhJsV6404T8R5sMSOYu5Y7B0/edit#gid=499365654</t>
  </si>
  <si>
    <t>https://docs.google.com/spreadsheets/d/1BcTQFxJieZhVaisvuouNhJsV6404T8R5sMSOYu5Y7B0/edit#gid=919121815</t>
  </si>
  <si>
    <t>https://docs.google.com/spreadsheets/d/1BcTQFxJieZhVaisvuouNhJsV6404T8R5sMSOYu5Y7B0/edit#gid=576026858</t>
  </si>
  <si>
    <t>https://docs.google.com/spreadsheets/d/1BcTQFxJieZhVaisvuouNhJsV6404T8R5sMSOYu5Y7B0/edit#gid=441875545</t>
  </si>
  <si>
    <t>https://docs.google.com/spreadsheets/d/1BcTQFxJieZhVaisvuouNhJsV6404T8R5sMSOYu5Y7B0/edit#gid=734372369</t>
  </si>
  <si>
    <t>https://docs.google.com/spreadsheets/d/1BcTQFxJieZhVaisvuouNhJsV6404T8R5sMSOYu5Y7B0/edit#gid=340505176</t>
  </si>
  <si>
    <t>https://docs.google.com/spreadsheets/d/1BcTQFxJieZhVaisvuouNhJsV6404T8R5sMSOYu5Y7B0/edit#gid=1159793029</t>
  </si>
  <si>
    <t>https://docs.google.com/spreadsheets/d/1BcTQFxJieZhVaisvuouNhJsV6404T8R5sMSOYu5Y7B0/edit#gid=565976116</t>
  </si>
  <si>
    <t>https://docs.google.com/spreadsheets/d/1BcTQFxJieZhVaisvuouNhJsV6404T8R5sMSOYu5Y7B0/edit#gid=2119382432</t>
  </si>
  <si>
    <t>ProrataNAV-0005</t>
  </si>
  <si>
    <t>Multiple unallocated FUTURE trade of SELL allocated through Allocation by Preference CHECKSIDE VALIDATION FALSE Default Rule : Prorata-NAV match closing transaction FALSE all are allocated</t>
  </si>
  <si>
    <t>https://docs.google.com/spreadsheets/d/1LudQhqblJTjABTQtN2GqN3R0o7KUT0b0O-nmynRnZe0/edit#gid=1860445077</t>
  </si>
  <si>
    <t>https://docs.google.com/spreadsheets/d/1LudQhqblJTjABTQtN2GqN3R0o7KUT0b0O-nmynRnZe0/edit#gid=1959906071</t>
  </si>
  <si>
    <t>https://docs.google.com/spreadsheets/d/1LudQhqblJTjABTQtN2GqN3R0o7KUT0b0O-nmynRnZe0/edit#gid=2063166207</t>
  </si>
  <si>
    <t>https://docs.google.com/spreadsheets/d/1LudQhqblJTjABTQtN2GqN3R0o7KUT0b0O-nmynRnZe0/edit#gid=1318782427</t>
  </si>
  <si>
    <t>https://docs.google.com/spreadsheets/d/1LudQhqblJTjABTQtN2GqN3R0o7KUT0b0O-nmynRnZe0/edit#gid=327102075</t>
  </si>
  <si>
    <t>https://docs.google.com/spreadsheets/d/1LudQhqblJTjABTQtN2GqN3R0o7KUT0b0O-nmynRnZe0/edit#gid=408839816</t>
  </si>
  <si>
    <t>https://docs.google.com/spreadsheets/d/1LudQhqblJTjABTQtN2GqN3R0o7KUT0b0O-nmynRnZe0/edit#gid=462655551</t>
  </si>
  <si>
    <t>https://docs.google.com/spreadsheets/d/1LudQhqblJTjABTQtN2GqN3R0o7KUT0b0O-nmynRnZe0/edit#gid=1635967158</t>
  </si>
  <si>
    <t>https://docs.google.com/spreadsheets/d/1LudQhqblJTjABTQtN2GqN3R0o7KUT0b0O-nmynRnZe0/edit#gid=67805543</t>
  </si>
  <si>
    <t>https://docs.google.com/spreadsheets/d/1LudQhqblJTjABTQtN2GqN3R0o7KUT0b0O-nmynRnZe0/edit#gid=1545159088</t>
  </si>
  <si>
    <t>ProrataNAV-0006</t>
  </si>
  <si>
    <t>Only one account has NAV rest all are zero then allocate the trade using prorataNAV in allocation</t>
  </si>
  <si>
    <t>https://docs.google.com/spreadsheets/d/1vnaZ7UJqBhbSRFJh1dGrMvF1p6DH2A6_yHSORkEd-DI/edit#gid=1699453041</t>
  </si>
  <si>
    <t>https://docs.google.com/spreadsheets/d/1HblxGZctsKeu-4NRNhqpgL6ICf4osAY5wIg5e2bEkq4/edit#gid=654979074</t>
  </si>
  <si>
    <t>https://docs.google.com/spreadsheets/d/1vnaZ7UJqBhbSRFJh1dGrMvF1p6DH2A6_yHSORkEd-DI/edit#gid=819599620</t>
  </si>
  <si>
    <t>https://docs.google.com/spreadsheets/d/1vnaZ7UJqBhbSRFJh1dGrMvF1p6DH2A6_yHSORkEd-DI/edit#gid=1701340744</t>
  </si>
  <si>
    <t>https://docs.google.com/spreadsheets/d/1vnaZ7UJqBhbSRFJh1dGrMvF1p6DH2A6_yHSORkEd-DI/edit#gid=646119170</t>
  </si>
  <si>
    <t>https://docs.google.com/spreadsheets/d/1vnaZ7UJqBhbSRFJh1dGrMvF1p6DH2A6_yHSORkEd-DI/edit#gid=1548997494</t>
  </si>
  <si>
    <t>https://docs.google.com/spreadsheets/d/1vnaZ7UJqBhbSRFJh1dGrMvF1p6DH2A6_yHSORkEd-DI/edit#gid=945582300</t>
  </si>
  <si>
    <t>https://docs.google.com/spreadsheets/d/1vnaZ7UJqBhbSRFJh1dGrMvF1p6DH2A6_yHSORkEd-DI/edit#gid=1032668664</t>
  </si>
  <si>
    <t>https://docs.google.com/spreadsheets/d/1vnaZ7UJqBhbSRFJh1dGrMvF1p6DH2A6_yHSORkEd-DI/edit#gid=1457743581</t>
  </si>
  <si>
    <t>ProrataNAV-0007</t>
  </si>
  <si>
    <t>Only one account has NAV rest all are zero then allocate the trade using prorataNAV in TT</t>
  </si>
  <si>
    <t>https://docs.google.com/spreadsheets/d/1WP2hQK2umN_5Fy0TKu6xJPqDHVgaBEKbdozF6N-CAkU/edit#gid=1496174210</t>
  </si>
  <si>
    <t>https://docs.google.com/spreadsheets/d/1WP2hQK2umN_5Fy0TKu6xJPqDHVgaBEKbdozF6N-CAkU/edit#gid=346833308</t>
  </si>
  <si>
    <t>https://docs.google.com/spreadsheets/d/1WP2hQK2umN_5Fy0TKu6xJPqDHVgaBEKbdozF6N-CAkU/edit#gid=749234337</t>
  </si>
  <si>
    <t>https://docs.google.com/spreadsheets/d/1WP2hQK2umN_5Fy0TKu6xJPqDHVgaBEKbdozF6N-CAkU/edit#gid=1643679782</t>
  </si>
  <si>
    <t>https://docs.google.com/spreadsheets/d/1WP2hQK2umN_5Fy0TKu6xJPqDHVgaBEKbdozF6N-CAkU/edit#gid=221118522</t>
  </si>
  <si>
    <t>https://docs.google.com/spreadsheets/d/1WP2hQK2umN_5Fy0TKu6xJPqDHVgaBEKbdozF6N-CAkU/edit#gid=240056224</t>
  </si>
  <si>
    <t>https://docs.google.com/spreadsheets/d/1WP2hQK2umN_5Fy0TKu6xJPqDHVgaBEKbdozF6N-CAkU/edit#gid=886899580</t>
  </si>
  <si>
    <t>https://docs.google.com/spreadsheets/d/1WP2hQK2umN_5Fy0TKu6xJPqDHVgaBEKbdozF6N-CAkU/edit#gid=1458162283</t>
  </si>
  <si>
    <t>https://docs.google.com/spreadsheets/d/1WP2hQK2umN_5Fy0TKu6xJPqDHVgaBEKbdozF6N-CAkU/edit#gid=1730235506</t>
  </si>
  <si>
    <t>Allocation-0001</t>
  </si>
  <si>
    <t xml:space="preserve">Trade Allocation using:             NEWPREF1                   Default Rule:          Allocation2: 60             Alloaction3:40                            Fair Pricing                 Account Inception                Check side enabled         match closing transactions enabled </t>
  </si>
  <si>
    <t>https://docs.google.com/spreadsheets/d/1fMnIQsl_4g6Inj4nzujLbYQT3nGswfGlSdlEV1aa8Uk/edit#gid=756921024</t>
  </si>
  <si>
    <t>https://docs.google.com/spreadsheets/d/1fMnIQsl_4g6Inj4nzujLbYQT3nGswfGlSdlEV1aa8Uk/edit#gid=1410397664</t>
  </si>
  <si>
    <t>https://docs.google.com/spreadsheets/d/1fMnIQsl_4g6Inj4nzujLbYQT3nGswfGlSdlEV1aa8Uk/edit#gid=1285646612</t>
  </si>
  <si>
    <t>https://docs.google.com/spreadsheets/d/1fMnIQsl_4g6Inj4nzujLbYQT3nGswfGlSdlEV1aa8Uk/edit#gid=1041571911</t>
  </si>
  <si>
    <t>https://docs.google.com/spreadsheets/d/1fMnIQsl_4g6Inj4nzujLbYQT3nGswfGlSdlEV1aa8Uk/edit#gid=1500013900</t>
  </si>
  <si>
    <t>https://docs.google.com/spreadsheets/d/1fMnIQsl_4g6Inj4nzujLbYQT3nGswfGlSdlEV1aa8Uk/edit#gid=1463470369</t>
  </si>
  <si>
    <t>https://docs.google.com/spreadsheets/d/1fMnIQsl_4g6Inj4nzujLbYQT3nGswfGlSdlEV1aa8Uk/edit#gid=42263271</t>
  </si>
  <si>
    <t>https://docs.google.com/spreadsheets/d/1fMnIQsl_4g6Inj4nzujLbYQT3nGswfGlSdlEV1aa8Uk/edit#gid=1793604002</t>
  </si>
  <si>
    <t>https://docs.google.com/spreadsheets/d/1fMnIQsl_4g6Inj4nzujLbYQT3nGswfGlSdlEV1aa8Uk/edit#gid=1422061057</t>
  </si>
  <si>
    <t>https://docs.google.com/spreadsheets/d/1fMnIQsl_4g6Inj4nzujLbYQT3nGswfGlSdlEV1aa8Uk/edit#gid=1082273193</t>
  </si>
  <si>
    <t>https://docs.google.com/spreadsheets/d/1fMnIQsl_4g6Inj4nzujLbYQT3nGswfGlSdlEV1aa8Uk/edit#gid=816981708</t>
  </si>
  <si>
    <t>https://docs.google.com/spreadsheets/d/1fMnIQsl_4g6Inj4nzujLbYQT3nGswfGlSdlEV1aa8Uk/edit#gid=403204335</t>
  </si>
  <si>
    <t>https://docs.google.com/spreadsheets/d/1fMnIQsl_4g6Inj4nzujLbYQT3nGswfGlSdlEV1aa8Uk/edit#gid=989632709</t>
  </si>
  <si>
    <t>Allocation-0002</t>
  </si>
  <si>
    <t>Operation on Fixed Preference</t>
  </si>
  <si>
    <t>https://docs.google.com/spreadsheets/d/1kg8ZCFHep3wp4d2wS3yCWQrdlNzXkFMen66u4V2oO6c/edit#gid=356141440</t>
  </si>
  <si>
    <t>https://docs.google.com/spreadsheets/d/1kg8ZCFHep3wp4d2wS3yCWQrdlNzXkFMen66u4V2oO6c/edit#gid=1003804682</t>
  </si>
  <si>
    <t>https://docs.google.com/spreadsheets/d/1kg8ZCFHep3wp4d2wS3yCWQrdlNzXkFMen66u4V2oO6c/edit#gid=1836427195</t>
  </si>
  <si>
    <t>https://docs.google.com/spreadsheets/d/1kg8ZCFHep3wp4d2wS3yCWQrdlNzXkFMen66u4V2oO6c/edit#gid=1292408850</t>
  </si>
  <si>
    <t>https://docs.google.com/spreadsheets/d/1kg8ZCFHep3wp4d2wS3yCWQrdlNzXkFMen66u4V2oO6c/edit#gid=653015328</t>
  </si>
  <si>
    <t>Allocation-0003</t>
  </si>
  <si>
    <t>Operation on Calculated Preferences</t>
  </si>
  <si>
    <t>https://docs.google.com/spreadsheets/d/1CIE1ciSq6ueeJB1Qf7iJzcMzcGmC4OF1IYt4abCS5ZE/edit#gid=1339523006</t>
  </si>
  <si>
    <t>https://docs.google.com/spreadsheets/d/1CIE1ciSq6ueeJB1Qf7iJzcMzcGmC4OF1IYt4abCS5ZE/edit#gid=1686494265</t>
  </si>
  <si>
    <t>https://docs.google.com/spreadsheets/d/1CIE1ciSq6ueeJB1Qf7iJzcMzcGmC4OF1IYt4abCS5ZE/edit#gid=535108421</t>
  </si>
  <si>
    <t>https://docs.google.com/spreadsheets/d/1CIE1ciSq6ueeJB1Qf7iJzcMzcGmC4OF1IYt4abCS5ZE/edit#gid=51711026</t>
  </si>
  <si>
    <t>https://docs.google.com/spreadsheets/d/1CIE1ciSq6ueeJB1Qf7iJzcMzcGmC4OF1IYt4abCS5ZE/edit#gid=883987619</t>
  </si>
  <si>
    <t>https://docs.google.com/spreadsheets/d/1CIE1ciSq6ueeJB1Qf7iJzcMzcGmC4OF1IYt4abCS5ZE/edit#gid=802667153</t>
  </si>
  <si>
    <t>https://docs.google.com/spreadsheets/d/1CIE1ciSq6ueeJB1Qf7iJzcMzcGmC4OF1IYt4abCS5ZE/edit#gid=57464401</t>
  </si>
  <si>
    <t>Allocation-0004</t>
  </si>
  <si>
    <t>Operation on Calculated Preference from Toolbar</t>
  </si>
  <si>
    <t>https://docs.google.com/spreadsheets/d/11lNum8RWux74nDF7XiJhgCk7BfqPV4GVfDOu3tApaf0/edit#gid=1161268779</t>
  </si>
  <si>
    <t>https://docs.google.com/spreadsheets/d/11lNum8RWux74nDF7XiJhgCk7BfqPV4GVfDOu3tApaf0/edit#gid=1375111469</t>
  </si>
  <si>
    <t>https://docs.google.com/spreadsheets/d/11lNum8RWux74nDF7XiJhgCk7BfqPV4GVfDOu3tApaf0/edit#gid=531225679</t>
  </si>
  <si>
    <t>https://docs.google.com/spreadsheets/d/11lNum8RWux74nDF7XiJhgCk7BfqPV4GVfDOu3tApaf0/edit#gid=2006261113</t>
  </si>
  <si>
    <t>https://docs.google.com/spreadsheets/d/11lNum8RWux74nDF7XiJhgCk7BfqPV4GVfDOu3tApaf0/edit#gid=1673956248</t>
  </si>
  <si>
    <t>Allocation-0005</t>
  </si>
  <si>
    <t>Bulk Change on Calculated Preferences</t>
  </si>
  <si>
    <t>https://docs.google.com/spreadsheets/d/1GseEZi6Il2zIkO0nicvGS-fnJA5DsJJDkmpPn0t1U-k/edit#gid=1371762524</t>
  </si>
  <si>
    <t>Allocation-0006</t>
  </si>
  <si>
    <t>Swap Update for unallocated group</t>
  </si>
  <si>
    <t>https://docs.google.com/spreadsheets/d/1wQ-UIAoafQXlyw2vx5fdwulNpWW1xm4ahqiF9VWdipA/edit#gid=575630585</t>
  </si>
  <si>
    <t>https://docs.google.com/spreadsheets/d/1wQ-UIAoafQXlyw2vx5fdwulNpWW1xm4ahqiF9VWdipA/edit#gid=2097788891</t>
  </si>
  <si>
    <t>https://docs.google.com/spreadsheets/d/1wQ-UIAoafQXlyw2vx5fdwulNpWW1xm4ahqiF9VWdipA/edit#gid=1213963318</t>
  </si>
  <si>
    <t>Allocation-0007</t>
  </si>
  <si>
    <t xml:space="preserve">MASTER FUND RATIO </t>
  </si>
  <si>
    <t>https://docs.google.com/spreadsheets/d/1ACAHh8id7-s7i4b5MCId_X8QNxq3SEJFGa0JYmRCKtw/edit#gid=2019710448</t>
  </si>
  <si>
    <t>https://docs.google.com/spreadsheets/d/1ACAHh8id7-s7i4b5MCId_X8QNxq3SEJFGa0JYmRCKtw/edit#gid=827065942</t>
  </si>
  <si>
    <t>https://docs.google.com/spreadsheets/d/1ACAHh8id7-s7i4b5MCId_X8QNxq3SEJFGa0JYmRCKtw/edit#gid=2020234868</t>
  </si>
  <si>
    <t>https://docs.google.com/spreadsheets/d/1ACAHh8id7-s7i4b5MCId_X8QNxq3SEJFGa0JYmRCKtw/edit#gid=197856381</t>
  </si>
  <si>
    <t>https://docs.google.com/spreadsheets/d/1ACAHh8id7-s7i4b5MCId_X8QNxq3SEJFGa0JYmRCKtw/edit#gid=1585336270</t>
  </si>
  <si>
    <t>https://docs.google.com/spreadsheets/d/1ACAHh8id7-s7i4b5MCId_X8QNxq3SEJFGa0JYmRCKtw/edit#gid=1151376867</t>
  </si>
  <si>
    <t>https://docs.google.com/spreadsheets/d/1ACAHh8id7-s7i4b5MCId_X8QNxq3SEJFGa0JYmRCKtw/edit#gid=172641211</t>
  </si>
  <si>
    <t>https://docs.google.com/spreadsheets/d/1ACAHh8id7-s7i4b5MCId_X8QNxq3SEJFGa0JYmRCKtw/edit#gid=468209760</t>
  </si>
  <si>
    <t>https://docs.google.com/spreadsheets/d/1ACAHh8id7-s7i4b5MCId_X8QNxq3SEJFGa0JYmRCKtw/edit#gid=515291838</t>
  </si>
  <si>
    <t>https://docs.google.com/spreadsheets/d/1ACAHh8id7-s7i4b5MCId_X8QNxq3SEJFGa0JYmRCKtw/edit#gid=1711147725</t>
  </si>
  <si>
    <t>https://docs.google.com/spreadsheets/d/1ACAHh8id7-s7i4b5MCId_X8QNxq3SEJFGa0JYmRCKtw/edit#gid=1552042036</t>
  </si>
  <si>
    <t>https://docs.google.com/spreadsheets/d/1ACAHh8id7-s7i4b5MCId_X8QNxq3SEJFGa0JYmRCKtw/edit#gid=256757817</t>
  </si>
  <si>
    <t>https://docs.google.com/spreadsheets/d/1ACAHh8id7-s7i4b5MCId_X8QNxq3SEJFGa0JYmRCKtw/edit#gid=1136369085</t>
  </si>
  <si>
    <t>ResetPreferences</t>
  </si>
  <si>
    <t>Allocation-0009</t>
  </si>
  <si>
    <t>Attribute Renaming</t>
  </si>
  <si>
    <t>https://docs.google.com/spreadsheets/d/1cire5sYqQkFf-Rl9cbAZhno26FuWrp9zR3enevK18x0/edit#gid=238340812</t>
  </si>
  <si>
    <t>https://docs.google.com/spreadsheets/d/1cire5sYqQkFf-Rl9cbAZhno26FuWrp9zR3enevK18x0/edit#gid=721496547</t>
  </si>
  <si>
    <t>ResetTradeAttributes</t>
  </si>
  <si>
    <t>Allocation-0010</t>
  </si>
  <si>
    <t>Book as Swap for unallocated group</t>
  </si>
  <si>
    <t>https://docs.google.com/spreadsheets/d/1vlmdgvx2Pa9Ucoj3VHDd5rl6SWUk1k0i2PetAVInszE/edit#gid=275166109</t>
  </si>
  <si>
    <t>https://docs.google.com/spreadsheets/d/1vlmdgvx2Pa9Ucoj3VHDd5rl6SWUk1k0i2PetAVInszE/edit#gid=1205335677</t>
  </si>
  <si>
    <t>https://docs.google.com/spreadsheets/d/1vlmdgvx2Pa9Ucoj3VHDd5rl6SWUk1k0i2PetAVInszE/edit#gid=2145580812</t>
  </si>
  <si>
    <t>Allocation-0011</t>
  </si>
  <si>
    <t>Book as Swap for allocated group</t>
  </si>
  <si>
    <t>https://docs.google.com/spreadsheets/d/1KcX87dwXF9elykHdnWknccAmwpZzfJvCq_cqsqAL9pA/edit#gid=413321828</t>
  </si>
  <si>
    <t>https://docs.google.com/spreadsheets/d/1KcX87dwXF9elykHdnWknccAmwpZzfJvCq_cqsqAL9pA/edit#gid=460690180</t>
  </si>
  <si>
    <t>https://docs.google.com/spreadsheets/d/1KcX87dwXF9elykHdnWknccAmwpZzfJvCq_cqsqAL9pA/edit#gid=1972278486</t>
  </si>
  <si>
    <t>Allocation-0012</t>
  </si>
  <si>
    <t>Allocation of Buy Trade Allocate by Fixed Preference with PTT</t>
  </si>
  <si>
    <t>https://docs.google.com/spreadsheets/d/1lzhPynxH3Bn7rtqj7C5jUPQokVrzlmk19fZq7GYqC7k/edit#gid=1557485736</t>
  </si>
  <si>
    <t>https://docs.google.com/spreadsheets/d/1lzhPynxH3Bn7rtqj7C5jUPQokVrzlmk19fZq7GYqC7k/edit#gid=830707400</t>
  </si>
  <si>
    <t>https://docs.google.com/spreadsheets/d/1lzhPynxH3Bn7rtqj7C5jUPQokVrzlmk19fZq7GYqC7k/edit#gid=491598765</t>
  </si>
  <si>
    <t>https://docs.google.com/spreadsheets/d/1lzhPynxH3Bn7rtqj7C5jUPQokVrzlmk19fZq7GYqC7k/edit#gid=1715503428</t>
  </si>
  <si>
    <t>https://docs.google.com/spreadsheets/d/1lzhPynxH3Bn7rtqj7C5jUPQokVrzlmk19fZq7GYqC7k/edit#gid=1463338880</t>
  </si>
  <si>
    <t>https://docs.google.com/spreadsheets/d/1lzhPynxH3Bn7rtqj7C5jUPQokVrzlmk19fZq7GYqC7k/edit#gid=1515563446</t>
  </si>
  <si>
    <t>https://docs.google.com/spreadsheets/d/1lzhPynxH3Bn7rtqj7C5jUPQokVrzlmk19fZq7GYqC7k/edit#gid=370895819</t>
  </si>
  <si>
    <t>https://docs.google.com/spreadsheets/d/1lzhPynxH3Bn7rtqj7C5jUPQokVrzlmk19fZq7GYqC7k/edit#gid=15588261</t>
  </si>
  <si>
    <t>https://docs.google.com/spreadsheets/d/1lzhPynxH3Bn7rtqj7C5jUPQokVrzlmk19fZq7GYqC7k/edit#gid=1367290732</t>
  </si>
  <si>
    <t>https://docs.google.com/spreadsheets/d/1lzhPynxH3Bn7rtqj7C5jUPQokVrzlmk19fZq7GYqC7k/edit#gid=429649389</t>
  </si>
  <si>
    <t>https://docs.google.com/spreadsheets/d/1lzhPynxH3Bn7rtqj7C5jUPQokVrzlmk19fZq7GYqC7k/edit#gid=1007308504</t>
  </si>
  <si>
    <t>Allocation-0013</t>
  </si>
  <si>
    <t>Allocation of Buy Trade Allocate by Fixed Preference without PTT</t>
  </si>
  <si>
    <t>https://docs.google.com/spreadsheets/d/1zfan3f36LXH7f10VCzFrD-rQ4q8tSO0QFJhCUljR1fI/edit#gid=32820059</t>
  </si>
  <si>
    <t>https://docs.google.com/spreadsheets/d/1zfan3f36LXH7f10VCzFrD-rQ4q8tSO0QFJhCUljR1fI/edit#gid=1026358251</t>
  </si>
  <si>
    <t>https://docs.google.com/spreadsheets/d/1zfan3f36LXH7f10VCzFrD-rQ4q8tSO0QFJhCUljR1fI/edit#gid=360547347</t>
  </si>
  <si>
    <t>https://docs.google.com/spreadsheets/d/1zfan3f36LXH7f10VCzFrD-rQ4q8tSO0QFJhCUljR1fI/edit#gid=954464237</t>
  </si>
  <si>
    <t>https://docs.google.com/spreadsheets/d/1zfan3f36LXH7f10VCzFrD-rQ4q8tSO0QFJhCUljR1fI/edit#gid=127131649</t>
  </si>
  <si>
    <t>https://docs.google.com/spreadsheets/d/1zfan3f36LXH7f10VCzFrD-rQ4q8tSO0QFJhCUljR1fI/edit#gid=1766950143</t>
  </si>
  <si>
    <t>https://docs.google.com/spreadsheets/d/1zfan3f36LXH7f10VCzFrD-rQ4q8tSO0QFJhCUljR1fI/edit#gid=1458974471</t>
  </si>
  <si>
    <t>https://docs.google.com/spreadsheets/d/1zfan3f36LXH7f10VCzFrD-rQ4q8tSO0QFJhCUljR1fI/edit#gid=1488023057</t>
  </si>
  <si>
    <t>https://docs.google.com/spreadsheets/d/1zfan3f36LXH7f10VCzFrD-rQ4q8tSO0QFJhCUljR1fI/edit#gid=17486355</t>
  </si>
  <si>
    <t>https://docs.google.com/spreadsheets/d/1zfan3f36LXH7f10VCzFrD-rQ4q8tSO0QFJhCUljR1fI/edit#gid=2054000040</t>
  </si>
  <si>
    <t>https://docs.google.com/spreadsheets/d/1zfan3f36LXH7f10VCzFrD-rQ4q8tSO0QFJhCUljR1fI/edit#gid=1128212263</t>
  </si>
  <si>
    <t>Allocation-0014</t>
  </si>
  <si>
    <t>Default Rule:                        Allocation Method Trade Qunatity,                       Target % Last Update,                                 Match Closing True                              OFFSHORE 60                        rt 40                                      Allocate by Calculated Preference NewPref2</t>
  </si>
  <si>
    <t>https://docs.google.com/spreadsheets/d/1tTZX3NLX1PCJzAUjeFXLMuKqqbTHxwWExoX--01KqFU/edit#gid=1886443998</t>
  </si>
  <si>
    <t>https://docs.google.com/spreadsheets/d/1tTZX3NLX1PCJzAUjeFXLMuKqqbTHxwWExoX--01KqFU/edit#gid=402205988</t>
  </si>
  <si>
    <t>https://docs.google.com/spreadsheets/d/1tTZX3NLX1PCJzAUjeFXLMuKqqbTHxwWExoX--01KqFU/edit#gid=1777486759</t>
  </si>
  <si>
    <t>https://docs.google.com/spreadsheets/d/1tTZX3NLX1PCJzAUjeFXLMuKqqbTHxwWExoX--01KqFU/edit#gid=233696214</t>
  </si>
  <si>
    <t>https://docs.google.com/spreadsheets/d/1tTZX3NLX1PCJzAUjeFXLMuKqqbTHxwWExoX--01KqFU/edit#gid=962118788</t>
  </si>
  <si>
    <t>https://docs.google.com/spreadsheets/d/1tTZX3NLX1PCJzAUjeFXLMuKqqbTHxwWExoX--01KqFU/edit#gid=98166813</t>
  </si>
  <si>
    <t>https://docs.google.com/spreadsheets/d/1tTZX3NLX1PCJzAUjeFXLMuKqqbTHxwWExoX--01KqFU/edit#gid=289458807</t>
  </si>
  <si>
    <t>Allocation-0015</t>
  </si>
  <si>
    <t xml:space="preserve">Trade of Sell Short      Allocation using: NEWPREF                      Default Rule:                                  Allocation2: 35.5                                Allocation3: 64.5                         Trade Quantity                         Current Preference                                    Match Closing Tansactions enabled </t>
  </si>
  <si>
    <t>https://docs.google.com/spreadsheets/d/1U3aHdBqozS85_c_zmFPxEeLUDorXwFA2efFKO_Y8fQ8/edit#gid=179309735</t>
  </si>
  <si>
    <t>https://docs.google.com/spreadsheets/d/1U3aHdBqozS85_c_zmFPxEeLUDorXwFA2efFKO_Y8fQ8/edit#gid=1934557438</t>
  </si>
  <si>
    <t>https://docs.google.com/spreadsheets/d/1U3aHdBqozS85_c_zmFPxEeLUDorXwFA2efFKO_Y8fQ8/edit#gid=1936705354</t>
  </si>
  <si>
    <t>https://docs.google.com/spreadsheets/d/1U3aHdBqozS85_c_zmFPxEeLUDorXwFA2efFKO_Y8fQ8/edit#gid=610729750</t>
  </si>
  <si>
    <t>https://docs.google.com/spreadsheets/d/1U3aHdBqozS85_c_zmFPxEeLUDorXwFA2efFKO_Y8fQ8/edit#gid=1627655992</t>
  </si>
  <si>
    <t>https://docs.google.com/spreadsheets/d/1U3aHdBqozS85_c_zmFPxEeLUDorXwFA2efFKO_Y8fQ8/edit#gid=178809093</t>
  </si>
  <si>
    <t>https://docs.google.com/spreadsheets/d/1U3aHdBqozS85_c_zmFPxEeLUDorXwFA2efFKO_Y8fQ8/edit#gid=1611629058</t>
  </si>
  <si>
    <t>https://docs.google.com/spreadsheets/d/1U3aHdBqozS85_c_zmFPxEeLUDorXwFA2efFKO_Y8fQ8/edit#gid=1909612712</t>
  </si>
  <si>
    <t>https://docs.google.com/spreadsheets/d/1U3aHdBqozS85_c_zmFPxEeLUDorXwFA2efFKO_Y8fQ8/edit#gid=1617040660</t>
  </si>
  <si>
    <t>https://docs.google.com/spreadsheets/d/1U3aHdBqozS85_c_zmFPxEeLUDorXwFA2efFKO_Y8fQ8/edit#gid=316575702</t>
  </si>
  <si>
    <t>https://docs.google.com/spreadsheets/d/1U3aHdBqozS85_c_zmFPxEeLUDorXwFA2efFKO_Y8fQ8/edit#gid=1633488542</t>
  </si>
  <si>
    <t>Allocation-0017</t>
  </si>
  <si>
    <t>Journal Entries corrupted if user changes Trade Date without saving unallocated data first.</t>
  </si>
  <si>
    <t>https://docs.google.com/spreadsheets/d/1RoOUMDlE5a85KgOh90M7P_6s3_l8RC9Vhsng6uJLsVM/edit#gid=1316920810</t>
  </si>
  <si>
    <t>https://docs.google.com/spreadsheets/d/1RoOUMDlE5a85KgOh90M7P_6s3_l8RC9Vhsng6uJLsVM/edit#gid=84295695</t>
  </si>
  <si>
    <t>https://docs.google.com/spreadsheets/d/1RoOUMDlE5a85KgOh90M7P_6s3_l8RC9Vhsng6uJLsVM/edit#gid=34944726</t>
  </si>
  <si>
    <t>https://docs.google.com/spreadsheets/d/1RoOUMDlE5a85KgOh90M7P_6s3_l8RC9Vhsng6uJLsVM/edit#gid=1646602013</t>
  </si>
  <si>
    <t>https://docs.google.com/spreadsheets/d/1RoOUMDlE5a85KgOh90M7P_6s3_l8RC9Vhsng6uJLsVM/edit#gid=193684996</t>
  </si>
  <si>
    <t>https://docs.google.com/spreadsheets/d/1RoOUMDlE5a85KgOh90M7P_6s3_l8RC9Vhsng6uJLsVM/edit#gid=1795343760</t>
  </si>
  <si>
    <t>https://docs.google.com/spreadsheets/d/1RoOUMDlE5a85KgOh90M7P_6s3_l8RC9Vhsng6uJLsVM/edit#gid=648692049</t>
  </si>
  <si>
    <t>https://docs.google.com/spreadsheets/d/1RoOUMDlE5a85KgOh90M7P_6s3_l8RC9Vhsng6uJLsVM/edit#gid=206744070</t>
  </si>
  <si>
    <t>https://docs.google.com/spreadsheets/d/1RoOUMDlE5a85KgOh90M7P_6s3_l8RC9Vhsng6uJLsVM/edit#gid=911076797</t>
  </si>
  <si>
    <t>Allocation-0018</t>
  </si>
  <si>
    <t>Avg Price rounding off</t>
  </si>
  <si>
    <t>https://docs.google.com/spreadsheets/d/1_PSvOVuaMeWwLPgtbTwE7qfu5O57MUI5Ur4dP0Pk9z8/edit#gid=1468219194</t>
  </si>
  <si>
    <t>https://docs.google.com/spreadsheets/d/1_PSvOVuaMeWwLPgtbTwE7qfu5O57MUI5Ur4dP0Pk9z8/edit#gid=1444351732</t>
  </si>
  <si>
    <t>https://docs.google.com/spreadsheets/d/1_PSvOVuaMeWwLPgtbTwE7qfu5O57MUI5Ur4dP0Pk9z8/edit#gid=112981983</t>
  </si>
  <si>
    <t>https://docs.google.com/spreadsheets/d/1_PSvOVuaMeWwLPgtbTwE7qfu5O57MUI5Ur4dP0Pk9z8/edit#gid=273622828</t>
  </si>
  <si>
    <t>https://docs.google.com/spreadsheets/d/1_PSvOVuaMeWwLPgtbTwE7qfu5O57MUI5Ur4dP0Pk9z8/edit#gid=2113580380</t>
  </si>
  <si>
    <t>https://docs.google.com/spreadsheets/d/1_PSvOVuaMeWwLPgtbTwE7qfu5O57MUI5Ur4dP0Pk9z8/edit#gid=1206740922</t>
  </si>
  <si>
    <t>https://docs.google.com/spreadsheets/d/1_PSvOVuaMeWwLPgtbTwE7qfu5O57MUI5Ur4dP0Pk9z8/edit#gid=216279040</t>
  </si>
  <si>
    <t>https://docs.google.com/spreadsheets/d/1_PSvOVuaMeWwLPgtbTwE7qfu5O57MUI5Ur4dP0Pk9z8/edit#gid=620465801</t>
  </si>
  <si>
    <t>https://docs.google.com/spreadsheets/d/1_PSvOVuaMeWwLPgtbTwE7qfu5O57MUI5Ur4dP0Pk9z8/edit#gid=1812209618</t>
  </si>
  <si>
    <t>https://docs.google.com/spreadsheets/d/1_PSvOVuaMeWwLPgtbTwE7qfu5O57MUI5Ur4dP0Pk9z8/edit#gid=1562653261</t>
  </si>
  <si>
    <t>https://docs.google.com/spreadsheets/d/1_PSvOVuaMeWwLPgtbTwE7qfu5O57MUI5Ur4dP0Pk9z8/edit#gid=1120756598</t>
  </si>
  <si>
    <t>https://docs.google.com/spreadsheets/d/1_PSvOVuaMeWwLPgtbTwE7qfu5O57MUI5Ur4dP0Pk9z8/edit#gid=394696045</t>
  </si>
  <si>
    <t>https://docs.google.com/spreadsheets/d/1_PSvOVuaMeWwLPgtbTwE7qfu5O57MUI5Ur4dP0Pk9z8/edit#gid=350066026</t>
  </si>
  <si>
    <t>Allocation-0019</t>
  </si>
  <si>
    <t>Allocation using fixed Preference 
Scheme Basis : SymbolSIde</t>
  </si>
  <si>
    <t>https://docs.google.com/spreadsheets/d/1wHO0Dn3iytqx0akTAQhwbd6H2LyLID23CWjmagkUPMc/edit#gid=1727785877</t>
  </si>
  <si>
    <t>https://docs.google.com/spreadsheets/d/1wHO0Dn3iytqx0akTAQhwbd6H2LyLID23CWjmagkUPMc/edit#gid=1415464398</t>
  </si>
  <si>
    <t>https://docs.google.com/spreadsheets/d/1wHO0Dn3iytqx0akTAQhwbd6H2LyLID23CWjmagkUPMc/edit#gid=1893283597</t>
  </si>
  <si>
    <t>https://docs.google.com/spreadsheets/d/1wHO0Dn3iytqx0akTAQhwbd6H2LyLID23CWjmagkUPMc/edit#gid=79254341</t>
  </si>
  <si>
    <t>https://docs.google.com/spreadsheets/d/1wHO0Dn3iytqx0akTAQhwbd6H2LyLID23CWjmagkUPMc/edit#gid=493163125</t>
  </si>
  <si>
    <t>CreateDoneAwayOrder1</t>
  </si>
  <si>
    <t>https://docs.google.com/spreadsheets/d/1wHO0Dn3iytqx0akTAQhwbd6H2LyLID23CWjmagkUPMc/edit#gid=1891630744</t>
  </si>
  <si>
    <t>https://docs.google.com/spreadsheets/d/1wHO0Dn3iytqx0akTAQhwbd6H2LyLID23CWjmagkUPMc/edit#gid=1697801092</t>
  </si>
  <si>
    <t>https://docs.google.com/spreadsheets/d/1wHO0Dn3iytqx0akTAQhwbd6H2LyLID23CWjmagkUPMc/edit#gid=177790491</t>
  </si>
  <si>
    <t>https://docs.google.com/spreadsheets/d/1wHO0Dn3iytqx0akTAQhwbd6H2LyLID23CWjmagkUPMc/edit#gid=925348846</t>
  </si>
  <si>
    <t>https://docs.google.com/spreadsheets/d/1wHO0Dn3iytqx0akTAQhwbd6H2LyLID23CWjmagkUPMc/edit#gid=346777087</t>
  </si>
  <si>
    <t>https://docs.google.com/spreadsheets/d/1wHO0Dn3iytqx0akTAQhwbd6H2LyLID23CWjmagkUPMc/edit#gid=662789368</t>
  </si>
  <si>
    <t>https://docs.google.com/spreadsheets/d/1wHO0Dn3iytqx0akTAQhwbd6H2LyLID23CWjmagkUPMc/edit#gid=32225471</t>
  </si>
  <si>
    <t>https://docs.google.com/spreadsheets/d/1wHO0Dn3iytqx0akTAQhwbd6H2LyLID23CWjmagkUPMc/edit#gid=1915314852</t>
  </si>
  <si>
    <t>https://docs.google.com/spreadsheets/d/1wHO0Dn3iytqx0akTAQhwbd6H2LyLID23CWjmagkUPMc/edit#gid=1313771061</t>
  </si>
  <si>
    <t>https://docs.google.com/spreadsheets/d/1wHO0Dn3iytqx0akTAQhwbd6H2LyLID23CWjmagkUPMc/edit#gid=592206617</t>
  </si>
  <si>
    <t>https://docs.google.com/spreadsheets/d/1wHO0Dn3iytqx0akTAQhwbd6H2LyLID23CWjmagkUPMc/edit#gid=2081768671</t>
  </si>
  <si>
    <t>https://docs.google.com/spreadsheets/d/1wHO0Dn3iytqx0akTAQhwbd6H2LyLID23CWjmagkUPMc/edit#gid=2134042077</t>
  </si>
  <si>
    <t>https://docs.google.com/spreadsheets/d/1wHO0Dn3iytqx0akTAQhwbd6H2LyLID23CWjmagkUPMc/edit#gid=1173900750</t>
  </si>
  <si>
    <t>Allocation-0020</t>
  </si>
  <si>
    <t>Grid Editing</t>
  </si>
  <si>
    <t>https://docs.google.com/spreadsheets/d/1itbLHI0wY0OM0FzbzlLzBlYtkZp1YzfY9L6wsbQheGI/edit#gid=699945574</t>
  </si>
  <si>
    <t>https://docs.google.com/spreadsheets/d/1itbLHI0wY0OM0FzbzlLzBlYtkZp1YzfY9L6wsbQheGI/edit#gid=575251893</t>
  </si>
  <si>
    <t>https://docs.google.com/spreadsheets/d/1itbLHI0wY0OM0FzbzlLzBlYtkZp1YzfY9L6wsbQheGI/edit#gid=2144607735</t>
  </si>
  <si>
    <t>https://docs.google.com/spreadsheets/d/1itbLHI0wY0OM0FzbzlLzBlYtkZp1YzfY9L6wsbQheGI/edit#gid=1335926512</t>
  </si>
  <si>
    <t>https://docs.google.com/spreadsheets/d/1itbLHI0wY0OM0FzbzlLzBlYtkZp1YzfY9L6wsbQheGI/edit#gid=1930713758</t>
  </si>
  <si>
    <t>https://docs.google.com/spreadsheets/d/1itbLHI0wY0OM0FzbzlLzBlYtkZp1YzfY9L6wsbQheGI/edit#gid=662254501</t>
  </si>
  <si>
    <t>https://docs.google.com/spreadsheets/d/1itbLHI0wY0OM0FzbzlLzBlYtkZp1YzfY9L6wsbQheGI/edit#gid=785450001</t>
  </si>
  <si>
    <t>https://docs.google.com/spreadsheets/d/1itbLHI0wY0OM0FzbzlLzBlYtkZp1YzfY9L6wsbQheGI/edit#gid=519268972</t>
  </si>
  <si>
    <t>https://docs.google.com/spreadsheets/d/1itbLHI0wY0OM0FzbzlLzBlYtkZp1YzfY9L6wsbQheGI/edit#gid=15908599</t>
  </si>
  <si>
    <t>https://docs.google.com/spreadsheets/d/1itbLHI0wY0OM0FzbzlLzBlYtkZp1YzfY9L6wsbQheGI/edit#gid=1121414623</t>
  </si>
  <si>
    <t>https://docs.google.com/spreadsheets/d/1itbLHI0wY0OM0FzbzlLzBlYtkZp1YzfY9L6wsbQheGI/edit#gid=961808157</t>
  </si>
  <si>
    <t>https://docs.google.com/spreadsheets/d/1itbLHI0wY0OM0FzbzlLzBlYtkZp1YzfY9L6wsbQheGI/edit#gid=410518087</t>
  </si>
  <si>
    <t>https://docs.google.com/spreadsheets/d/1itbLHI0wY0OM0FzbzlLzBlYtkZp1YzfY9L6wsbQheGI/edit#gid=1531900266</t>
  </si>
  <si>
    <t>Allocation-0022</t>
  </si>
  <si>
    <t>Allocation using fixed Preference 
Scheme Basis : Symbol</t>
  </si>
  <si>
    <t>https://docs.google.com/spreadsheets/d/1udr4yjSIwUjF8sHyElC9R5wfa9q55386LZhBs6Dt3ns/edit#gid=2102840007</t>
  </si>
  <si>
    <t>https://docs.google.com/spreadsheets/d/1udr4yjSIwUjF8sHyElC9R5wfa9q55386LZhBs6Dt3ns/edit#gid=168622284</t>
  </si>
  <si>
    <t>https://docs.google.com/spreadsheets/d/1udr4yjSIwUjF8sHyElC9R5wfa9q55386LZhBs6Dt3ns/edit#gid=1119825656</t>
  </si>
  <si>
    <t>https://docs.google.com/spreadsheets/d/1udr4yjSIwUjF8sHyElC9R5wfa9q55386LZhBs6Dt3ns/edit#gid=941093872</t>
  </si>
  <si>
    <t>https://docs.google.com/spreadsheets/d/1udr4yjSIwUjF8sHyElC9R5wfa9q55386LZhBs6Dt3ns/edit#gid=1403012953</t>
  </si>
  <si>
    <t>https://docs.google.com/spreadsheets/d/1udr4yjSIwUjF8sHyElC9R5wfa9q55386LZhBs6Dt3ns/edit#gid=182305228</t>
  </si>
  <si>
    <t>https://docs.google.com/spreadsheets/d/1udr4yjSIwUjF8sHyElC9R5wfa9q55386LZhBs6Dt3ns/edit#gid=1755675013</t>
  </si>
  <si>
    <t>https://docs.google.com/spreadsheets/d/1udr4yjSIwUjF8sHyElC9R5wfa9q55386LZhBs6Dt3ns/edit#gid=32245058</t>
  </si>
  <si>
    <t>https://docs.google.com/spreadsheets/d/1udr4yjSIwUjF8sHyElC9R5wfa9q55386LZhBs6Dt3ns/edit#gid=517578214</t>
  </si>
  <si>
    <t>https://docs.google.com/spreadsheets/d/1udr4yjSIwUjF8sHyElC9R5wfa9q55386LZhBs6Dt3ns/edit#gid=390147551</t>
  </si>
  <si>
    <t>https://docs.google.com/spreadsheets/d/1udr4yjSIwUjF8sHyElC9R5wfa9q55386LZhBs6Dt3ns/edit#gid=1680166551</t>
  </si>
  <si>
    <t>https://docs.google.com/spreadsheets/d/1udr4yjSIwUjF8sHyElC9R5wfa9q55386LZhBs6Dt3ns/edit#gid=1453732824</t>
  </si>
  <si>
    <t>https://docs.google.com/spreadsheets/d/1udr4yjSIwUjF8sHyElC9R5wfa9q55386LZhBs6Dt3ns/edit#gid=91750420</t>
  </si>
  <si>
    <t>https://docs.google.com/spreadsheets/d/1udr4yjSIwUjF8sHyElC9R5wfa9q55386LZhBs6Dt3ns/edit#gid=65673055</t>
  </si>
  <si>
    <t>https://docs.google.com/spreadsheets/d/1udr4yjSIwUjF8sHyElC9R5wfa9q55386LZhBs6Dt3ns/edit#gid=1217606308</t>
  </si>
  <si>
    <t>https://docs.google.com/spreadsheets/d/1udr4yjSIwUjF8sHyElC9R5wfa9q55386LZhBs6Dt3ns/edit#gid=173451735</t>
  </si>
  <si>
    <t>https://docs.google.com/spreadsheets/d/1udr4yjSIwUjF8sHyElC9R5wfa9q55386LZhBs6Dt3ns/edit#gid=1053145088</t>
  </si>
  <si>
    <t>https://docs.google.com/spreadsheets/d/1udr4yjSIwUjF8sHyElC9R5wfa9q55386LZhBs6Dt3ns/edit#gid=1196936435</t>
  </si>
  <si>
    <t>https://docs.google.com/spreadsheets/d/1udr4yjSIwUjF8sHyElC9R5wfa9q55386LZhBs6Dt3ns/edit#gid=359567404</t>
  </si>
  <si>
    <t>https://docs.google.com/spreadsheets/d/1udr4yjSIwUjF8sHyElC9R5wfa9q55386LZhBs6Dt3ns/edit#gid=1536426044</t>
  </si>
  <si>
    <t>ResetGeneralPreferences</t>
  </si>
  <si>
    <t>Allocation-0025</t>
  </si>
  <si>
    <t>Allocation using Position File By clicking PRORATA button in menu bar of Allocation UI Allocationschemekey= SYMBOL by default (this entry is defined in prorata xslt)</t>
  </si>
  <si>
    <t>https://docs.google.com/spreadsheets/d/1n9qf5PVrH5l1eRKIPF07RJBEcBTUQ1MBWbcmASDdfjE/edit#gid=1672902603</t>
  </si>
  <si>
    <t>https://docs.google.com/spreadsheets/d/1n9qf5PVrH5l1eRKIPF07RJBEcBTUQ1MBWbcmASDdfjE/edit#gid=1130977505</t>
  </si>
  <si>
    <t>https://docs.google.com/spreadsheets/d/1n9qf5PVrH5l1eRKIPF07RJBEcBTUQ1MBWbcmASDdfjE/edit#gid=361680848</t>
  </si>
  <si>
    <t>https://docs.google.com/spreadsheets/d/1n9qf5PVrH5l1eRKIPF07RJBEcBTUQ1MBWbcmASDdfjE/edit#gid=388147581</t>
  </si>
  <si>
    <t>https://docs.google.com/spreadsheets/d/1n9qf5PVrH5l1eRKIPF07RJBEcBTUQ1MBWbcmASDdfjE/edit#gid=2133430115</t>
  </si>
  <si>
    <t>https://docs.google.com/spreadsheets/d/1n9qf5PVrH5l1eRKIPF07RJBEcBTUQ1MBWbcmASDdfjE/edit#gid=1447121183</t>
  </si>
  <si>
    <t>https://docs.google.com/spreadsheets/d/1n9qf5PVrH5l1eRKIPF07RJBEcBTUQ1MBWbcmASDdfjE/edit#gid=1514628461</t>
  </si>
  <si>
    <t>https://docs.google.com/spreadsheets/d/1n9qf5PVrH5l1eRKIPF07RJBEcBTUQ1MBWbcmASDdfjE/edit#gid=639061869</t>
  </si>
  <si>
    <t>https://docs.google.com/spreadsheets/d/1n9qf5PVrH5l1eRKIPF07RJBEcBTUQ1MBWbcmASDdfjE/edit#gid=511446134</t>
  </si>
  <si>
    <t>https://docs.google.com/spreadsheets/d/1n9qf5PVrH5l1eRKIPF07RJBEcBTUQ1MBWbcmASDdfjE/edit#gid=1828802773</t>
  </si>
  <si>
    <t>https://docs.google.com/spreadsheets/d/1n9qf5PVrH5l1eRKIPF07RJBEcBTUQ1MBWbcmASDdfjE/edit#gid=109683484</t>
  </si>
  <si>
    <t>https://docs.google.com/spreadsheets/d/1n9qf5PVrH5l1eRKIPF07RJBEcBTUQ1MBWbcmASDdfjE/edit#gid=1849453699</t>
  </si>
  <si>
    <t>https://docs.google.com/spreadsheets/d/1n9qf5PVrH5l1eRKIPF07RJBEcBTUQ1MBWbcmASDdfjE/edit#gid=1453372079</t>
  </si>
  <si>
    <t>https://docs.google.com/spreadsheets/d/1n9qf5PVrH5l1eRKIPF07RJBEcBTUQ1MBWbcmASDdfjE/edit#gid=949054342</t>
  </si>
  <si>
    <t>https://docs.google.com/spreadsheets/d/1n9qf5PVrH5l1eRKIPF07RJBEcBTUQ1MBWbcmASDdfjE/edit#gid=1570585279</t>
  </si>
  <si>
    <t>https://docs.google.com/spreadsheets/d/1n9qf5PVrH5l1eRKIPF07RJBEcBTUQ1MBWbcmASDdfjE/edit#gid=207642618</t>
  </si>
  <si>
    <t>https://docs.google.com/spreadsheets/d/1n9qf5PVrH5l1eRKIPF07RJBEcBTUQ1MBWbcmASDdfjE/edit#gid=629902054</t>
  </si>
  <si>
    <t>Allocation-0027</t>
  </si>
  <si>
    <t>Symbol Look up For Unallocated Trades</t>
  </si>
  <si>
    <t>https://docs.google.com/spreadsheets/d/1u2uRZ8bZLD7fDf-wNWjqZS_SNKROemUI3vdmQJ1kLfk/edit#gid=1469957268</t>
  </si>
  <si>
    <t>https://docs.google.com/spreadsheets/d/1u2uRZ8bZLD7fDf-wNWjqZS_SNKROemUI3vdmQJ1kLfk/edit#gid=1543957225</t>
  </si>
  <si>
    <t>https://docs.google.com/spreadsheets/d/1u2uRZ8bZLD7fDf-wNWjqZS_SNKROemUI3vdmQJ1kLfk/edit#gid=127670826</t>
  </si>
  <si>
    <t>https://docs.google.com/spreadsheets/d/1u2uRZ8bZLD7fDf-wNWjqZS_SNKROemUI3vdmQJ1kLfk/edit#gid=48179377</t>
  </si>
  <si>
    <t>https://docs.google.com/spreadsheets/d/1u2uRZ8bZLD7fDf-wNWjqZS_SNKROemUI3vdmQJ1kLfk/edit#gid=612131016</t>
  </si>
  <si>
    <t>https://docs.google.com/spreadsheets/d/1u2uRZ8bZLD7fDf-wNWjqZS_SNKROemUI3vdmQJ1kLfk/edit#gid=1479884930</t>
  </si>
  <si>
    <t>MulTradOpenSymbolLookupUnallGrp</t>
  </si>
  <si>
    <t>https://docs.google.com/spreadsheets/d/1u2uRZ8bZLD7fDf-wNWjqZS_SNKROemUI3vdmQJ1kLfk/edit#gid=1636989931</t>
  </si>
  <si>
    <t>Allocation-0028</t>
  </si>
  <si>
    <t>Symbol Look up For Allocated Trades</t>
  </si>
  <si>
    <t>https://docs.google.com/spreadsheets/d/1vBnvYHrXLkfbAt28xRbbV4nZ3HwU3C9ROwQyWc7Z4Og/edit#gid=423723829</t>
  </si>
  <si>
    <t>https://docs.google.com/spreadsheets/d/1vBnvYHrXLkfbAt28xRbbV4nZ3HwU3C9ROwQyWc7Z4Og/edit#gid=1208160762</t>
  </si>
  <si>
    <t>https://docs.google.com/spreadsheets/d/1vBnvYHrXLkfbAt28xRbbV4nZ3HwU3C9ROwQyWc7Z4Og/edit#gid=2031285883</t>
  </si>
  <si>
    <t>https://docs.google.com/spreadsheets/d/1vBnvYHrXLkfbAt28xRbbV4nZ3HwU3C9ROwQyWc7Z4Og/edit#gid=370067176</t>
  </si>
  <si>
    <t>https://docs.google.com/spreadsheets/d/1vBnvYHrXLkfbAt28xRbbV4nZ3HwU3C9ROwQyWc7Z4Og/edit#gid=1658927955</t>
  </si>
  <si>
    <t>https://docs.google.com/spreadsheets/d/1vBnvYHrXLkfbAt28xRbbV4nZ3HwU3C9ROwQyWc7Z4Og/edit#gid=63075931</t>
  </si>
  <si>
    <t>MulTradOpenSymbolLookupalloGrp</t>
  </si>
  <si>
    <t>https://docs.google.com/spreadsheets/d/1vBnvYHrXLkfbAt28xRbbV4nZ3HwU3C9ROwQyWc7Z4Og/edit#gid=1354291193</t>
  </si>
  <si>
    <t>Allocation-0035</t>
  </si>
  <si>
    <t>Swap Update for allocated group</t>
  </si>
  <si>
    <t>https://docs.google.com/spreadsheets/d/1ScQphSLjOygtEsXFOkEq8uNRL6AyDoCsxL-a2UwjxPM/edit#gid=705345017</t>
  </si>
  <si>
    <t>https://docs.google.com/spreadsheets/d/1ScQphSLjOygtEsXFOkEq8uNRL6AyDoCsxL-a2UwjxPM/edit#gid=1642321094</t>
  </si>
  <si>
    <t>https://docs.google.com/spreadsheets/d/1ScQphSLjOygtEsXFOkEq8uNRL6AyDoCsxL-a2UwjxPM/edit#gid=1341127855</t>
  </si>
  <si>
    <t>https://docs.google.com/spreadsheets/d/1ScQphSLjOygtEsXFOkEq8uNRL6AyDoCsxL-a2UwjxPM/edit#gid=1011331688</t>
  </si>
  <si>
    <t>https://docs.google.com/spreadsheets/d/1ScQphSLjOygtEsXFOkEq8uNRL6AyDoCsxL-a2UwjxPM/edit#gid=2045117431</t>
  </si>
  <si>
    <t>Allocation-0038</t>
  </si>
  <si>
    <t>Default Rule:                            Fair Pricing                         Target %   Current Preference             Match Closing Transaction                 Force Allocation                        Allocation2 33.3               Allocation3 66.7             Allocate by Calculated Preference NewPref1    with PST</t>
  </si>
  <si>
    <t>https://docs.google.com/spreadsheets/d/1kEQ3ecXVna-EQnU_I7CNB8a8anw1dginbyltGbSWZBE/edit#gid=973912738</t>
  </si>
  <si>
    <t>https://docs.google.com/spreadsheets/d/1kEQ3ecXVna-EQnU_I7CNB8a8anw1dginbyltGbSWZBE/edit#gid=1608594838</t>
  </si>
  <si>
    <t>https://docs.google.com/spreadsheets/d/1kEQ3ecXVna-EQnU_I7CNB8a8anw1dginbyltGbSWZBE/edit#gid=168718207</t>
  </si>
  <si>
    <t>https://docs.google.com/spreadsheets/d/1kEQ3ecXVna-EQnU_I7CNB8a8anw1dginbyltGbSWZBE/edit#gid=280021207</t>
  </si>
  <si>
    <t>https://docs.google.com/spreadsheets/d/1kEQ3ecXVna-EQnU_I7CNB8a8anw1dginbyltGbSWZBE/edit#gid=203733411</t>
  </si>
  <si>
    <t>https://docs.google.com/spreadsheets/d/1kEQ3ecXVna-EQnU_I7CNB8a8anw1dginbyltGbSWZBE/edit#gid=13294154</t>
  </si>
  <si>
    <t>https://docs.google.com/spreadsheets/d/1kEQ3ecXVna-EQnU_I7CNB8a8anw1dginbyltGbSWZBE/edit#gid=458085175</t>
  </si>
  <si>
    <t>https://docs.google.com/spreadsheets/d/1kEQ3ecXVna-EQnU_I7CNB8a8anw1dginbyltGbSWZBE/edit#gid=737291619</t>
  </si>
  <si>
    <t>https://docs.google.com/spreadsheets/d/1kEQ3ecXVna-EQnU_I7CNB8a8anw1dginbyltGbSWZBE/edit#gid=1021549106</t>
  </si>
  <si>
    <t>https://docs.google.com/spreadsheets/d/1kEQ3ecXVna-EQnU_I7CNB8a8anw1dginbyltGbSWZBE/edit#gid=1484250258</t>
  </si>
  <si>
    <t>https://docs.google.com/spreadsheets/d/1kEQ3ecXVna-EQnU_I7CNB8a8anw1dginbyltGbSWZBE/edit#gid=1287647638</t>
  </si>
  <si>
    <t>https://docs.google.com/spreadsheets/d/1kEQ3ecXVna-EQnU_I7CNB8a8anw1dginbyltGbSWZBE/edit#gid=519878075</t>
  </si>
  <si>
    <t>https://docs.google.com/spreadsheets/d/1kEQ3ecXVna-EQnU_I7CNB8a8anw1dginbyltGbSWZBE/edit#gid=854786684</t>
  </si>
  <si>
    <t>Allocation-0039</t>
  </si>
  <si>
    <t>Allocate by Strategy Values                   Long                                             Allocation2  S1 100              Allocation3  S1 100</t>
  </si>
  <si>
    <t>https://docs.google.com/spreadsheets/d/1Y2I686T1v8_AzO27Huj8oudxn6wQX-yukvpXODVkHxo/edit#gid=361311667</t>
  </si>
  <si>
    <t>https://docs.google.com/spreadsheets/d/1Y2I686T1v8_AzO27Huj8oudxn6wQX-yukvpXODVkHxo/edit#gid=2039412502</t>
  </si>
  <si>
    <t>https://docs.google.com/spreadsheets/d/1Y2I686T1v8_AzO27Huj8oudxn6wQX-yukvpXODVkHxo/edit#gid=1915568114</t>
  </si>
  <si>
    <t>https://docs.google.com/spreadsheets/d/1Y2I686T1v8_AzO27Huj8oudxn6wQX-yukvpXODVkHxo/edit#gid=690437691</t>
  </si>
  <si>
    <t>https://docs.google.com/spreadsheets/d/1Y2I686T1v8_AzO27Huj8oudxn6wQX-yukvpXODVkHxo/edit#gid=967563050</t>
  </si>
  <si>
    <t>https://docs.google.com/spreadsheets/d/1Y2I686T1v8_AzO27Huj8oudxn6wQX-yukvpXODVkHxo/edit#gid=707003580</t>
  </si>
  <si>
    <t>https://docs.google.com/spreadsheets/d/1Y2I686T1v8_AzO27Huj8oudxn6wQX-yukvpXODVkHxo/edit#gid=140592219</t>
  </si>
  <si>
    <t>https://docs.google.com/spreadsheets/d/1Y2I686T1v8_AzO27Huj8oudxn6wQX-yukvpXODVkHxo/edit#gid=304884740</t>
  </si>
  <si>
    <t>https://docs.google.com/spreadsheets/d/1Y2I686T1v8_AzO27Huj8oudxn6wQX-yukvpXODVkHxo/edit#gid=861703059</t>
  </si>
  <si>
    <t>https://docs.google.com/spreadsheets/d/1Y2I686T1v8_AzO27Huj8oudxn6wQX-yukvpXODVkHxo/edit#gid=558402369</t>
  </si>
  <si>
    <t>https://docs.google.com/spreadsheets/d/1Y2I686T1v8_AzO27Huj8oudxn6wQX-yukvpXODVkHxo/edit#gid=1184711660</t>
  </si>
  <si>
    <t>https://docs.google.com/spreadsheets/d/1Y2I686T1v8_AzO27Huj8oudxn6wQX-yukvpXODVkHxo/edit#gid=1569585591</t>
  </si>
  <si>
    <t>Allocation-0041</t>
  </si>
  <si>
    <t>Auto Group with left side rules</t>
  </si>
  <si>
    <t>https://docs.google.com/spreadsheets/d/1FmXFQo0m5lESW24aRElos7H5juRJEOD18TQ8NHkyHUU/edit#gid=1769864458</t>
  </si>
  <si>
    <t>https://docs.google.com/spreadsheets/d/1FmXFQo0m5lESW24aRElos7H5juRJEOD18TQ8NHkyHUU/edit#gid=17385608</t>
  </si>
  <si>
    <t>https://docs.google.com/spreadsheets/d/1FmXFQo0m5lESW24aRElos7H5juRJEOD18TQ8NHkyHUU/edit#gid=1427878927</t>
  </si>
  <si>
    <t>https://docs.google.com/spreadsheets/d/1FmXFQo0m5lESW24aRElos7H5juRJEOD18TQ8NHkyHUU/edit#gid=612105018</t>
  </si>
  <si>
    <t>Allocation-0042</t>
  </si>
  <si>
    <t>Autogroup with right side rules</t>
  </si>
  <si>
    <t>https://docs.google.com/spreadsheets/d/1G55eCXh4chH7s1V7HoOjMEK5H8llbFCM6ItXdTjseHA/edit#gid=601311717</t>
  </si>
  <si>
    <t>https://docs.google.com/spreadsheets/d/1G55eCXh4chH7s1V7HoOjMEK5H8llbFCM6ItXdTjseHA/edit#gid=2130927009</t>
  </si>
  <si>
    <t>https://docs.google.com/spreadsheets/d/1G55eCXh4chH7s1V7HoOjMEK5H8llbFCM6ItXdTjseHA/edit#gid=953568890</t>
  </si>
  <si>
    <t>https://docs.google.com/spreadsheets/d/1G55eCXh4chH7s1V7HoOjMEK5H8llbFCM6ItXdTjseHA/edit#gid=1290511958</t>
  </si>
  <si>
    <t>Allocation-0045</t>
  </si>
  <si>
    <t>PRORATA button</t>
  </si>
  <si>
    <t>https://docs.google.com/spreadsheets/d/1-TOoGZJrlBLnwxD5BmNKJ9Nw6aE_Co2WSfSqIZjvmck/edit#gid=352475199</t>
  </si>
  <si>
    <t>https://docs.google.com/spreadsheets/d/1-TOoGZJrlBLnwxD5BmNKJ9Nw6aE_Co2WSfSqIZjvmck/edit#gid=542640411</t>
  </si>
  <si>
    <t>Allocation-0047</t>
  </si>
  <si>
    <t>Edit trade for unallocated trade</t>
  </si>
  <si>
    <t>https://docs.google.com/spreadsheets/d/1n1Vxa5tUEezX0OZ7ZRTmmJR4kAgy2k3UV75NDjE59EY/edit#gid=308257452</t>
  </si>
  <si>
    <t>https://docs.google.com/spreadsheets/d/1n1Vxa5tUEezX0OZ7ZRTmmJR4kAgy2k3UV75NDjE59EY/edit#gid=2009416569</t>
  </si>
  <si>
    <t>https://docs.google.com/spreadsheets/d/1n1Vxa5tUEezX0OZ7ZRTmmJR4kAgy2k3UV75NDjE59EY/edit#gid=1571597072</t>
  </si>
  <si>
    <t>CheckUnallocatedGroups1</t>
  </si>
  <si>
    <t>https://docs.google.com/spreadsheets/d/1n1Vxa5tUEezX0OZ7ZRTmmJR4kAgy2k3UV75NDjE59EY/edit#gid=768583585</t>
  </si>
  <si>
    <t>https://docs.google.com/spreadsheets/d/1n1Vxa5tUEezX0OZ7ZRTmmJR4kAgy2k3UV75NDjE59EY/edit#gid=265730646</t>
  </si>
  <si>
    <t>https://docs.google.com/spreadsheets/d/1n1Vxa5tUEezX0OZ7ZRTmmJR4kAgy2k3UV75NDjE59EY/edit#gid=301275571</t>
  </si>
  <si>
    <t>https://docs.google.com/spreadsheets/d/1n1Vxa5tUEezX0OZ7ZRTmmJR4kAgy2k3UV75NDjE59EY/edit#gid=1387722520</t>
  </si>
  <si>
    <t>Allocation-0048</t>
  </si>
  <si>
    <t>Edit trade for allocated grid</t>
  </si>
  <si>
    <t>https://docs.google.com/spreadsheets/d/1Y4dzCxB4VcBpDB1EciaWVJftTM07udL3WDj63t74gbw/edit#gid=2146824324</t>
  </si>
  <si>
    <t>https://docs.google.com/spreadsheets/d/1Y4dzCxB4VcBpDB1EciaWVJftTM07udL3WDj63t74gbw/edit#gid=957951386</t>
  </si>
  <si>
    <t>https://docs.google.com/spreadsheets/d/1Y4dzCxB4VcBpDB1EciaWVJftTM07udL3WDj63t74gbw/edit#gid=1931446018</t>
  </si>
  <si>
    <t>https://docs.google.com/spreadsheets/d/1Y4dzCxB4VcBpDB1EciaWVJftTM07udL3WDj63t74gbw/edit#gid=1338397170</t>
  </si>
  <si>
    <t>https://docs.google.com/spreadsheets/d/1Y4dzCxB4VcBpDB1EciaWVJftTM07udL3WDj63t74gbw/edit#gid=1036108279</t>
  </si>
  <si>
    <t>https://docs.google.com/spreadsheets/d/1Y4dzCxB4VcBpDB1EciaWVJftTM07udL3WDj63t74gbw/edit#gid=1543227078</t>
  </si>
  <si>
    <t>https://docs.google.com/spreadsheets/d/1Y4dzCxB4VcBpDB1EciaWVJftTM07udL3WDj63t74gbw/edit#gid=801995367</t>
  </si>
  <si>
    <t>Allocation-0053</t>
  </si>
  <si>
    <t>Bulk change on trade attributes</t>
  </si>
  <si>
    <t>https://docs.google.com/spreadsheets/d/1c_XW3vUQhErtLU-8hH48_xyXfMgaSGBh-3CaeCPlRWg/edit#gid=1623433323</t>
  </si>
  <si>
    <t>https://docs.google.com/spreadsheets/d/1c_XW3vUQhErtLU-8hH48_xyXfMgaSGBh-3CaeCPlRWg/edit#gid=10435549</t>
  </si>
  <si>
    <t>https://docs.google.com/spreadsheets/d/1c_XW3vUQhErtLU-8hH48_xyXfMgaSGBh-3CaeCPlRWg/edit#gid=1748746327</t>
  </si>
  <si>
    <t>https://docs.google.com/spreadsheets/d/1c_XW3vUQhErtLU-8hH48_xyXfMgaSGBh-3CaeCPlRWg/edit#gid=328676802</t>
  </si>
  <si>
    <t>https://docs.google.com/spreadsheets/d/1c_XW3vUQhErtLU-8hH48_xyXfMgaSGBh-3CaeCPlRWg/edit#gid=1172781248</t>
  </si>
  <si>
    <t>Allocation-0054</t>
  </si>
  <si>
    <t>Bulk change on commission and other fields :
Commission, soft commission, All FEES,
Average price, internal comments, fxrate, fxrate opertaor, Broker,</t>
  </si>
  <si>
    <t>https://docs.google.com/spreadsheets/d/15rn1qM0cfmrXNmjfmVW-trhSpLEdEapa-S_l0o5Y9o8/edit#gid=1622096416</t>
  </si>
  <si>
    <t>https://docs.google.com/spreadsheets/d/15rn1qM0cfmrXNmjfmVW-trhSpLEdEapa-S_l0o5Y9o8/edit#gid=1294343961</t>
  </si>
  <si>
    <t>https://docs.google.com/spreadsheets/d/15rn1qM0cfmrXNmjfmVW-trhSpLEdEapa-S_l0o5Y9o8/edit#gid=295712679</t>
  </si>
  <si>
    <t>https://docs.google.com/spreadsheets/d/15rn1qM0cfmrXNmjfmVW-trhSpLEdEapa-S_l0o5Y9o8/edit#gid=1200049684</t>
  </si>
  <si>
    <t>https://docs.google.com/spreadsheets/d/15rn1qM0cfmrXNmjfmVW-trhSpLEdEapa-S_l0o5Y9o8/edit#gid=1491044973</t>
  </si>
  <si>
    <t>https://docs.google.com/spreadsheets/d/15rn1qM0cfmrXNmjfmVW-trhSpLEdEapa-S_l0o5Y9o8/edit#gid=1983271939</t>
  </si>
  <si>
    <t>Allocation-0056</t>
  </si>
  <si>
    <t>Delete</t>
  </si>
  <si>
    <t>https://docs.google.com/spreadsheets/d/1nSZCVTV0nVjjTN4WryHNMbTQKwc0yErdSa9ejWWbQ4E/edit#gid=146036471</t>
  </si>
  <si>
    <t>https://docs.google.com/spreadsheets/d/1nSZCVTV0nVjjTN4WryHNMbTQKwc0yErdSa9ejWWbQ4E/edit#gid=1258668423</t>
  </si>
  <si>
    <t>https://docs.google.com/spreadsheets/d/1nSZCVTV0nVjjTN4WryHNMbTQKwc0yErdSa9ejWWbQ4E/edit#gid=1200950074</t>
  </si>
  <si>
    <t>https://docs.google.com/spreadsheets/d/1nSZCVTV0nVjjTN4WryHNMbTQKwc0yErdSa9ejWWbQ4E/edit#gid=2058414042</t>
  </si>
  <si>
    <t>Allocation-0057</t>
  </si>
  <si>
    <t>Delete when trade is not selected</t>
  </si>
  <si>
    <t>https://docs.google.com/spreadsheets/d/1KIojBEYh0pD4fj8oYlhY0wi_UWWBM9VZfpb91SLR7nM/edit#gid=1792946807</t>
  </si>
  <si>
    <t>https://docs.google.com/spreadsheets/d/1KIojBEYh0pD4fj8oYlhY0wi_UWWBM9VZfpb91SLR7nM/edit#gid=1755465612</t>
  </si>
  <si>
    <t>Allocation-0058</t>
  </si>
  <si>
    <t>Deletion of mulitple trades</t>
  </si>
  <si>
    <t>https://docs.google.com/spreadsheets/d/1VknFKLMxMCZeErDyxNo6nrDX_pPp6HcrspEIUAz6i0U/edit#gid=2058455915</t>
  </si>
  <si>
    <t>https://docs.google.com/spreadsheets/d/1VknFKLMxMCZeErDyxNo6nrDX_pPp6HcrspEIUAz6i0U/edit#gid=357883180</t>
  </si>
  <si>
    <t>https://docs.google.com/spreadsheets/d/1VknFKLMxMCZeErDyxNo6nrDX_pPp6HcrspEIUAz6i0U/edit#gid=381644666</t>
  </si>
  <si>
    <t>https://docs.google.com/spreadsheets/d/1VknFKLMxMCZeErDyxNo6nrDX_pPp6HcrspEIUAz6i0U/edit#gid=864054424</t>
  </si>
  <si>
    <t>Allocation-0059</t>
  </si>
  <si>
    <t>Group</t>
  </si>
  <si>
    <t>https://docs.google.com/spreadsheets/d/1_5RyZ5opNx-8H8xOKuPKDHj0nPQV8oHm2YlkyE4UUpI/edit#gid=1364800305</t>
  </si>
  <si>
    <t>https://docs.google.com/spreadsheets/d/1_5RyZ5opNx-8H8xOKuPKDHj0nPQV8oHm2YlkyE4UUpI/edit#gid=1408551177</t>
  </si>
  <si>
    <t>https://docs.google.com/spreadsheets/d/1_5RyZ5opNx-8H8xOKuPKDHj0nPQV8oHm2YlkyE4UUpI/edit#gid=1807383106</t>
  </si>
  <si>
    <t>https://docs.google.com/spreadsheets/d/1_5RyZ5opNx-8H8xOKuPKDHj0nPQV8oHm2YlkyE4UUpI/edit#gid=172889407</t>
  </si>
  <si>
    <t>Allocation-0060</t>
  </si>
  <si>
    <t>Ungroup</t>
  </si>
  <si>
    <t>https://docs.google.com/spreadsheets/d/19A5icAw1xKL05qGdMZzfnzok5NM-QoJX3SCO5-DZDBk/edit#gid=854181695</t>
  </si>
  <si>
    <t>https://docs.google.com/spreadsheets/d/19A5icAw1xKL05qGdMZzfnzok5NM-QoJX3SCO5-DZDBk/edit#gid=275106131</t>
  </si>
  <si>
    <t>https://docs.google.com/spreadsheets/d/19A5icAw1xKL05qGdMZzfnzok5NM-QoJX3SCO5-DZDBk/edit#gid=1256074551</t>
  </si>
  <si>
    <t>https://docs.google.com/spreadsheets/d/19A5icAw1xKL05qGdMZzfnzok5NM-QoJX3SCO5-DZDBk/edit#gid=563008075</t>
  </si>
  <si>
    <t>https://docs.google.com/spreadsheets/d/19A5icAw1xKL05qGdMZzfnzok5NM-QoJX3SCO5-DZDBk/edit#gid=1914590386</t>
  </si>
  <si>
    <t>Allocation-0067</t>
  </si>
  <si>
    <t>https://docs.google.com/spreadsheets/d/1c0UOEGkPhaBHe0Q7bDlr5zOWK-r_Ah8BCjfbopYBmKo/edit#gid=2089300639</t>
  </si>
  <si>
    <t>https://docs.google.com/spreadsheets/d/1c0UOEGkPhaBHe0Q7bDlr5zOWK-r_Ah8BCjfbopYBmKo/edit#gid=206502653</t>
  </si>
  <si>
    <t>https://docs.google.com/spreadsheets/d/1c0UOEGkPhaBHe0Q7bDlr5zOWK-r_Ah8BCjfbopYBmKo/edit#gid=1206349031</t>
  </si>
  <si>
    <t>https://docs.google.com/spreadsheets/d/1c0UOEGkPhaBHe0Q7bDlr5zOWK-r_Ah8BCjfbopYBmKo/edit#gid=1381705004</t>
  </si>
  <si>
    <t>Allocation-0068</t>
  </si>
  <si>
    <t>Unallocate multiple trades</t>
  </si>
  <si>
    <t>https://docs.google.com/spreadsheets/d/1IoCcp7WrdfimMam4aXvs-6SmrIrCRUug1mcALDnAfcg/edit#gid=1442903562</t>
  </si>
  <si>
    <t>https://docs.google.com/spreadsheets/d/1IoCcp7WrdfimMam4aXvs-6SmrIrCRUug1mcALDnAfcg/edit#gid=242659830</t>
  </si>
  <si>
    <t>https://docs.google.com/spreadsheets/d/1IoCcp7WrdfimMam4aXvs-6SmrIrCRUug1mcALDnAfcg/edit#gid=368242153</t>
  </si>
  <si>
    <t>https://docs.google.com/spreadsheets/d/1IoCcp7WrdfimMam4aXvs-6SmrIrCRUug1mcALDnAfcg/edit#gid=1161464414</t>
  </si>
  <si>
    <t>Allocation-0078</t>
  </si>
  <si>
    <t>Prefetch Filters</t>
  </si>
  <si>
    <t>https://docs.google.com/spreadsheets/d/1eIT_A56vV3yTdz1THkqSHdxqSRUcq4zGa6TWgJkKbB8/edit#gid=1783404460</t>
  </si>
  <si>
    <t>https://docs.google.com/spreadsheets/d/1eIT_A56vV3yTdz1THkqSHdxqSRUcq4zGa6TWgJkKbB8/edit#gid=578146446</t>
  </si>
  <si>
    <t>https://docs.google.com/spreadsheets/d/1eIT_A56vV3yTdz1THkqSHdxqSRUcq4zGa6TWgJkKbB8/edit#gid=2129544965</t>
  </si>
  <si>
    <t>https://docs.google.com/spreadsheets/d/1eIT_A56vV3yTdz1THkqSHdxqSRUcq4zGa6TWgJkKbB8/edit#gid=2021036528</t>
  </si>
  <si>
    <t>https://docs.google.com/spreadsheets/d/1eIT_A56vV3yTdz1THkqSHdxqSRUcq4zGa6TWgJkKbB8/edit#gid=1455689302</t>
  </si>
  <si>
    <t>https://docs.google.com/spreadsheets/d/1eIT_A56vV3yTdz1THkqSHdxqSRUcq4zGa6TWgJkKbB8/edit#gid=200299119</t>
  </si>
  <si>
    <t>https://docs.google.com/spreadsheets/d/1eIT_A56vV3yTdz1THkqSHdxqSRUcq4zGa6TWgJkKbB8/edit#gid=383961102</t>
  </si>
  <si>
    <t>https://docs.google.com/spreadsheets/d/1eIT_A56vV3yTdz1THkqSHdxqSRUcq4zGa6TWgJkKbB8/edit#gid=790840540</t>
  </si>
  <si>
    <t>ApplyPrefetchFilters1</t>
  </si>
  <si>
    <t>https://docs.google.com/spreadsheets/d/1eIT_A56vV3yTdz1THkqSHdxqSRUcq4zGa6TWgJkKbB8/edit#gid=984011461</t>
  </si>
  <si>
    <t>https://docs.google.com/spreadsheets/d/1eIT_A56vV3yTdz1THkqSHdxqSRUcq4zGa6TWgJkKbB8/edit#gid=1837383584</t>
  </si>
  <si>
    <t>ApplyPrefetchFilters2</t>
  </si>
  <si>
    <t>Allocation-0127</t>
  </si>
  <si>
    <t>Set General Rules</t>
  </si>
  <si>
    <t>https://docs.google.com/spreadsheets/d/1loIyDGdIp1yS1ZrOENun6WDskZIdIprPbz5sWbC6Fxk/edit#gid=1409236042</t>
  </si>
  <si>
    <t>Allocation-0128</t>
  </si>
  <si>
    <t>Allocation of a single symbol BUY trade 
Position of the symbol
ZERO</t>
  </si>
  <si>
    <t>https://docs.google.com/spreadsheets/d/1dh0sv-EN5j_7LJr3dDJE-48-ZWTcR6AWt-GxwLMnt_A/edit#gid=779319670</t>
  </si>
  <si>
    <t>https://docs.google.com/spreadsheets/d/1dh0sv-EN5j_7LJr3dDJE-48-ZWTcR6AWt-GxwLMnt_A/edit#gid=341329382</t>
  </si>
  <si>
    <t>https://docs.google.com/spreadsheets/d/1dh0sv-EN5j_7LJr3dDJE-48-ZWTcR6AWt-GxwLMnt_A/edit#gid=1588598128</t>
  </si>
  <si>
    <t>https://docs.google.com/spreadsheets/d/1dh0sv-EN5j_7LJr3dDJE-48-ZWTcR6AWt-GxwLMnt_A/edit#gid=844762275</t>
  </si>
  <si>
    <t>https://docs.google.com/spreadsheets/d/1dh0sv-EN5j_7LJr3dDJE-48-ZWTcR6AWt-GxwLMnt_A/edit#gid=622409128</t>
  </si>
  <si>
    <t>https://docs.google.com/spreadsheets/d/1dh0sv-EN5j_7LJr3dDJE-48-ZWTcR6AWt-GxwLMnt_A/edit#gid=1140679464</t>
  </si>
  <si>
    <t>https://docs.google.com/spreadsheets/d/1dh0sv-EN5j_7LJr3dDJE-48-ZWTcR6AWt-GxwLMnt_A/edit#gid=2014289673</t>
  </si>
  <si>
    <t>https://docs.google.com/spreadsheets/d/1dh0sv-EN5j_7LJr3dDJE-48-ZWTcR6AWt-GxwLMnt_A/edit#gid=581288203</t>
  </si>
  <si>
    <t>https://docs.google.com/spreadsheets/d/1dh0sv-EN5j_7LJr3dDJE-48-ZWTcR6AWt-GxwLMnt_A/edit#gid=1235690495</t>
  </si>
  <si>
    <t>https://docs.google.com/spreadsheets/d/1dh0sv-EN5j_7LJr3dDJE-48-ZWTcR6AWt-GxwLMnt_A/edit#gid=1402875441</t>
  </si>
  <si>
    <t>https://docs.google.com/spreadsheets/d/1dh0sv-EN5j_7LJr3dDJE-48-ZWTcR6AWt-GxwLMnt_A/edit#gid=2003729218</t>
  </si>
  <si>
    <t>Allocation-0129</t>
  </si>
  <si>
    <t>Allocation of multiple symbols when position of the symbol is present in accounts:
FUND 1: 60
FUND 2: 61</t>
  </si>
  <si>
    <t>https://docs.google.com/spreadsheets/d/1usWRu9bfzndPe3Ohk9h2tQ0iVw0GruU_Gnx3hBc9fQA/edit#gid=1144044038</t>
  </si>
  <si>
    <t>https://docs.google.com/spreadsheets/d/1usWRu9bfzndPe3Ohk9h2tQ0iVw0GruU_Gnx3hBc9fQA/edit#gid=603396001</t>
  </si>
  <si>
    <t>https://docs.google.com/spreadsheets/d/1usWRu9bfzndPe3Ohk9h2tQ0iVw0GruU_Gnx3hBc9fQA/edit#gid=1443713583</t>
  </si>
  <si>
    <t>https://docs.google.com/spreadsheets/d/1usWRu9bfzndPe3Ohk9h2tQ0iVw0GruU_Gnx3hBc9fQA/edit#gid=34632148</t>
  </si>
  <si>
    <t>https://docs.google.com/spreadsheets/d/1usWRu9bfzndPe3Ohk9h2tQ0iVw0GruU_Gnx3hBc9fQA/edit#gid=397390223</t>
  </si>
  <si>
    <t>https://docs.google.com/spreadsheets/d/1usWRu9bfzndPe3Ohk9h2tQ0iVw0GruU_Gnx3hBc9fQA/edit#gid=707264970</t>
  </si>
  <si>
    <t>https://docs.google.com/spreadsheets/d/1usWRu9bfzndPe3Ohk9h2tQ0iVw0GruU_Gnx3hBc9fQA/edit#gid=547527432</t>
  </si>
  <si>
    <t>https://docs.google.com/spreadsheets/d/1usWRu9bfzndPe3Ohk9h2tQ0iVw0GruU_Gnx3hBc9fQA/edit#gid=1068835512</t>
  </si>
  <si>
    <t>https://docs.google.com/spreadsheets/d/1usWRu9bfzndPe3Ohk9h2tQ0iVw0GruU_Gnx3hBc9fQA/edit#gid=1070441458</t>
  </si>
  <si>
    <t>https://docs.google.com/spreadsheets/d/1usWRu9bfzndPe3Ohk9h2tQ0iVw0GruU_Gnx3hBc9fQA/edit#gid=776292520</t>
  </si>
  <si>
    <t>https://docs.google.com/spreadsheets/d/1usWRu9bfzndPe3Ohk9h2tQ0iVw0GruU_Gnx3hBc9fQA/edit#gid=1364845104</t>
  </si>
  <si>
    <t>https://docs.google.com/spreadsheets/d/1usWRu9bfzndPe3Ohk9h2tQ0iVw0GruU_Gnx3hBc9fQA/edit#gid=2020262852</t>
  </si>
  <si>
    <t>Allocation-0130</t>
  </si>
  <si>
    <t>Default Rule:
Fair Pricing
Target % as of- Current Preference
Check side-FALSE
Remainder Allocation To- TRUE
Match Closing Transactions exactly- TRUE</t>
  </si>
  <si>
    <t>https://docs.google.com/spreadsheets/d/1vSL4ieeJVfPAESI2k5iKQ0jaOVoVMnDfH6D7IQtKEZE/edit#gid=39461887</t>
  </si>
  <si>
    <t>https://docs.google.com/spreadsheets/d/1vSL4ieeJVfPAESI2k5iKQ0jaOVoVMnDfH6D7IQtKEZE/edit#gid=1832897897</t>
  </si>
  <si>
    <t>https://docs.google.com/spreadsheets/d/1vSL4ieeJVfPAESI2k5iKQ0jaOVoVMnDfH6D7IQtKEZE/edit#gid=678503636</t>
  </si>
  <si>
    <t>https://docs.google.com/spreadsheets/d/1vSL4ieeJVfPAESI2k5iKQ0jaOVoVMnDfH6D7IQtKEZE/edit#gid=1304054430</t>
  </si>
  <si>
    <t>https://docs.google.com/spreadsheets/d/1vSL4ieeJVfPAESI2k5iKQ0jaOVoVMnDfH6D7IQtKEZE/edit#gid=1627685431</t>
  </si>
  <si>
    <t>https://docs.google.com/spreadsheets/d/1vSL4ieeJVfPAESI2k5iKQ0jaOVoVMnDfH6D7IQtKEZE/edit#gid=1703569126</t>
  </si>
  <si>
    <t>https://docs.google.com/spreadsheets/d/1vSL4ieeJVfPAESI2k5iKQ0jaOVoVMnDfH6D7IQtKEZE/edit#gid=1028207681</t>
  </si>
  <si>
    <t>https://docs.google.com/spreadsheets/d/1vSL4ieeJVfPAESI2k5iKQ0jaOVoVMnDfH6D7IQtKEZE/edit#gid=432646672</t>
  </si>
  <si>
    <t>https://docs.google.com/spreadsheets/d/1vSL4ieeJVfPAESI2k5iKQ0jaOVoVMnDfH6D7IQtKEZE/edit#gid=950196765</t>
  </si>
  <si>
    <t>https://docs.google.com/spreadsheets/d/1vSL4ieeJVfPAESI2k5iKQ0jaOVoVMnDfH6D7IQtKEZE/edit#gid=785601459</t>
  </si>
  <si>
    <t>https://docs.google.com/spreadsheets/d/1vSL4ieeJVfPAESI2k5iKQ0jaOVoVMnDfH6D7IQtKEZE/edit#gid=171911238</t>
  </si>
  <si>
    <t>https://docs.google.com/spreadsheets/d/1vSL4ieeJVfPAESI2k5iKQ0jaOVoVMnDfH6D7IQtKEZE/edit#gid=544970862</t>
  </si>
  <si>
    <t>Allocation-0131</t>
  </si>
  <si>
    <t>Allocation of 9 sell trades
position is already present
FUND1 : 1
Notional: 450</t>
  </si>
  <si>
    <t>https://docs.google.com/spreadsheets/d/16jUmDXptcsobUVsgBJj8UCYw-OWxyivMJMK5x4U-H00/edit#gid=1035289257</t>
  </si>
  <si>
    <t>https://docs.google.com/spreadsheets/d/16jUmDXptcsobUVsgBJj8UCYw-OWxyivMJMK5x4U-H00/edit#gid=1856098754</t>
  </si>
  <si>
    <t>https://docs.google.com/spreadsheets/d/16jUmDXptcsobUVsgBJj8UCYw-OWxyivMJMK5x4U-H00/edit#gid=1571452713</t>
  </si>
  <si>
    <t>https://docs.google.com/spreadsheets/d/16jUmDXptcsobUVsgBJj8UCYw-OWxyivMJMK5x4U-H00/edit#gid=39530933</t>
  </si>
  <si>
    <t>https://docs.google.com/spreadsheets/d/16jUmDXptcsobUVsgBJj8UCYw-OWxyivMJMK5x4U-H00/edit#gid=997032167</t>
  </si>
  <si>
    <t>https://docs.google.com/spreadsheets/d/16jUmDXptcsobUVsgBJj8UCYw-OWxyivMJMK5x4U-H00/edit#gid=1904830994</t>
  </si>
  <si>
    <t>https://docs.google.com/spreadsheets/d/16jUmDXptcsobUVsgBJj8UCYw-OWxyivMJMK5x4U-H00/edit#gid=672156024</t>
  </si>
  <si>
    <t>https://docs.google.com/spreadsheets/d/16jUmDXptcsobUVsgBJj8UCYw-OWxyivMJMK5x4U-H00/edit#gid=238610183</t>
  </si>
  <si>
    <t>https://docs.google.com/spreadsheets/d/16jUmDXptcsobUVsgBJj8UCYw-OWxyivMJMK5x4U-H00/edit#gid=637554444</t>
  </si>
  <si>
    <t>https://docs.google.com/spreadsheets/d/16jUmDXptcsobUVsgBJj8UCYw-OWxyivMJMK5x4U-H00/edit#gid=1605358267</t>
  </si>
  <si>
    <t>Allocation-0132</t>
  </si>
  <si>
    <t xml:space="preserve"> Allocation of BUY TRADE
Position of the symbol :
FUND 1: 50
FUND 2: 50
</t>
  </si>
  <si>
    <t>https://docs.google.com/spreadsheets/d/1EHRtB62xz9l7XbOUWwsZ2nGTUi86d-GCjIOVk8F9OYg/edit#gid=658866472</t>
  </si>
  <si>
    <t>https://docs.google.com/spreadsheets/d/1EHRtB62xz9l7XbOUWwsZ2nGTUi86d-GCjIOVk8F9OYg/edit#gid=967347301</t>
  </si>
  <si>
    <t>https://docs.google.com/spreadsheets/d/1EHRtB62xz9l7XbOUWwsZ2nGTUi86d-GCjIOVk8F9OYg/edit#gid=272334881</t>
  </si>
  <si>
    <t>https://docs.google.com/spreadsheets/d/1EHRtB62xz9l7XbOUWwsZ2nGTUi86d-GCjIOVk8F9OYg/edit#gid=1565559239</t>
  </si>
  <si>
    <t>https://docs.google.com/spreadsheets/d/1EHRtB62xz9l7XbOUWwsZ2nGTUi86d-GCjIOVk8F9OYg/edit#gid=1648142050</t>
  </si>
  <si>
    <t>https://docs.google.com/spreadsheets/d/1EHRtB62xz9l7XbOUWwsZ2nGTUi86d-GCjIOVk8F9OYg/edit#gid=1726699151</t>
  </si>
  <si>
    <t>https://docs.google.com/spreadsheets/d/1EHRtB62xz9l7XbOUWwsZ2nGTUi86d-GCjIOVk8F9OYg/edit#gid=1908077160</t>
  </si>
  <si>
    <t>https://docs.google.com/spreadsheets/d/1EHRtB62xz9l7XbOUWwsZ2nGTUi86d-GCjIOVk8F9OYg/edit#gid=1261485785</t>
  </si>
  <si>
    <t>https://docs.google.com/spreadsheets/d/1EHRtB62xz9l7XbOUWwsZ2nGTUi86d-GCjIOVk8F9OYg/edit#gid=2040309361</t>
  </si>
  <si>
    <t>https://docs.google.com/spreadsheets/d/1EHRtB62xz9l7XbOUWwsZ2nGTUi86d-GCjIOVk8F9OYg/edit#gid=11128372</t>
  </si>
  <si>
    <t>https://docs.google.com/spreadsheets/d/1EHRtB62xz9l7XbOUWwsZ2nGTUi86d-GCjIOVk8F9OYg/edit#gid=132023973</t>
  </si>
  <si>
    <t>https://docs.google.com/spreadsheets/d/1EHRtB62xz9l7XbOUWwsZ2nGTUi86d-GCjIOVk8F9OYg/edit#gid=819238395</t>
  </si>
  <si>
    <t>Allocation-0133</t>
  </si>
  <si>
    <t>Default Rule:
Fair Pricing
Target % as of- Last Update
Check side- FALSE
Remainder Allocation To- NONE
Match Closing Transactions exactly- FALSE</t>
  </si>
  <si>
    <t>https://docs.google.com/spreadsheets/d/1G2erjfnVwsDbNg03raJdgdjbWy7Iv0dP-wbi_AYu89A/edit#gid=2131462418</t>
  </si>
  <si>
    <t>https://docs.google.com/spreadsheets/d/1G2erjfnVwsDbNg03raJdgdjbWy7Iv0dP-wbi_AYu89A/edit#gid=1792452256</t>
  </si>
  <si>
    <t>https://docs.google.com/spreadsheets/d/1G2erjfnVwsDbNg03raJdgdjbWy7Iv0dP-wbi_AYu89A/edit#gid=820505092</t>
  </si>
  <si>
    <t>https://docs.google.com/spreadsheets/d/1G2erjfnVwsDbNg03raJdgdjbWy7Iv0dP-wbi_AYu89A/edit#gid=436967982</t>
  </si>
  <si>
    <t>https://docs.google.com/spreadsheets/d/1G2erjfnVwsDbNg03raJdgdjbWy7Iv0dP-wbi_AYu89A/edit#gid=1853860411</t>
  </si>
  <si>
    <t>https://docs.google.com/spreadsheets/d/1G2erjfnVwsDbNg03raJdgdjbWy7Iv0dP-wbi_AYu89A/edit#gid=519738925</t>
  </si>
  <si>
    <t>https://docs.google.com/spreadsheets/d/1G2erjfnVwsDbNg03raJdgdjbWy7Iv0dP-wbi_AYu89A/edit#gid=609178946</t>
  </si>
  <si>
    <t>https://docs.google.com/spreadsheets/d/1G2erjfnVwsDbNg03raJdgdjbWy7Iv0dP-wbi_AYu89A/edit#gid=747681120</t>
  </si>
  <si>
    <t>https://docs.google.com/spreadsheets/d/1G2erjfnVwsDbNg03raJdgdjbWy7Iv0dP-wbi_AYu89A/edit#gid=462935626</t>
  </si>
  <si>
    <t>https://docs.google.com/spreadsheets/d/1G2erjfnVwsDbNg03raJdgdjbWy7Iv0dP-wbi_AYu89A/edit#gid=1267503170</t>
  </si>
  <si>
    <t>https://docs.google.com/spreadsheets/d/1G2erjfnVwsDbNg03raJdgdjbWy7Iv0dP-wbi_AYu89A/edit#gid=1788410491</t>
  </si>
  <si>
    <t>Allocation-0134</t>
  </si>
  <si>
    <t>CHECK SIDE WILL FAIL</t>
  </si>
  <si>
    <t>https://docs.google.com/spreadsheets/d/1MIZEz5FonJyHk_MCK42BsZsnfkpV5xAGFDf_asouZN4/edit#gid=302506615</t>
  </si>
  <si>
    <t>https://docs.google.com/spreadsheets/d/1MIZEz5FonJyHk_MCK42BsZsnfkpV5xAGFDf_asouZN4/edit#gid=2064763723</t>
  </si>
  <si>
    <t>https://docs.google.com/spreadsheets/d/1MIZEz5FonJyHk_MCK42BsZsnfkpV5xAGFDf_asouZN4/edit#gid=230516657</t>
  </si>
  <si>
    <t>https://docs.google.com/spreadsheets/d/1MIZEz5FonJyHk_MCK42BsZsnfkpV5xAGFDf_asouZN4/edit#gid=241060978</t>
  </si>
  <si>
    <t>https://docs.google.com/spreadsheets/d/1MIZEz5FonJyHk_MCK42BsZsnfkpV5xAGFDf_asouZN4/edit#gid=1980427285</t>
  </si>
  <si>
    <t>https://docs.google.com/spreadsheets/d/1MIZEz5FonJyHk_MCK42BsZsnfkpV5xAGFDf_asouZN4/edit#gid=1585766963</t>
  </si>
  <si>
    <t>Allocation-0135</t>
  </si>
  <si>
    <t xml:space="preserve"> Allocation of BUY TO OPEN TRADE
Position of the symbol is Zero in Account specified</t>
  </si>
  <si>
    <t>https://docs.google.com/spreadsheets/d/1vXzFDLeI4qwqR5Z_2zI6vmxkxG9xG2jzr9TyBYe8b6A/edit#gid=225945766</t>
  </si>
  <si>
    <t>https://docs.google.com/spreadsheets/d/1vXzFDLeI4qwqR5Z_2zI6vmxkxG9xG2jzr9TyBYe8b6A/edit#gid=1206256305</t>
  </si>
  <si>
    <t>https://docs.google.com/spreadsheets/d/1vXzFDLeI4qwqR5Z_2zI6vmxkxG9xG2jzr9TyBYe8b6A/edit#gid=681057744</t>
  </si>
  <si>
    <t>https://docs.google.com/spreadsheets/d/1vXzFDLeI4qwqR5Z_2zI6vmxkxG9xG2jzr9TyBYe8b6A/edit#gid=367943723</t>
  </si>
  <si>
    <t>https://docs.google.com/spreadsheets/d/1vXzFDLeI4qwqR5Z_2zI6vmxkxG9xG2jzr9TyBYe8b6A/edit#gid=988733875</t>
  </si>
  <si>
    <t>https://docs.google.com/spreadsheets/d/1vXzFDLeI4qwqR5Z_2zI6vmxkxG9xG2jzr9TyBYe8b6A/edit#gid=1128286667</t>
  </si>
  <si>
    <t>https://docs.google.com/spreadsheets/d/1vXzFDLeI4qwqR5Z_2zI6vmxkxG9xG2jzr9TyBYe8b6A/edit#gid=797085891</t>
  </si>
  <si>
    <t>https://docs.google.com/spreadsheets/d/1vXzFDLeI4qwqR5Z_2zI6vmxkxG9xG2jzr9TyBYe8b6A/edit#gid=1640960539</t>
  </si>
  <si>
    <t>https://docs.google.com/spreadsheets/d/1vXzFDLeI4qwqR5Z_2zI6vmxkxG9xG2jzr9TyBYe8b6A/edit#gid=49479959</t>
  </si>
  <si>
    <t>https://docs.google.com/spreadsheets/d/1vXzFDLeI4qwqR5Z_2zI6vmxkxG9xG2jzr9TyBYe8b6A/edit#gid=1241812310</t>
  </si>
  <si>
    <t>https://docs.google.com/spreadsheets/d/1vXzFDLeI4qwqR5Z_2zI6vmxkxG9xG2jzr9TyBYe8b6A/edit#gid=1419049335</t>
  </si>
  <si>
    <t>Allocation-0141</t>
  </si>
  <si>
    <t>Allocation of more than one symbol in multiple accounts when position of the symbol is Zero</t>
  </si>
  <si>
    <t>https://docs.google.com/spreadsheets/d/15I0cc1P2uIbnNibkGt06qGORorwZjHNyhHPfX55A4G4/edit#gid=1250492686</t>
  </si>
  <si>
    <t>https://docs.google.com/spreadsheets/d/15I0cc1P2uIbnNibkGt06qGORorwZjHNyhHPfX55A4G4/edit#gid=280161161</t>
  </si>
  <si>
    <t>https://docs.google.com/spreadsheets/d/15I0cc1P2uIbnNibkGt06qGORorwZjHNyhHPfX55A4G4/edit#gid=569673102</t>
  </si>
  <si>
    <t>https://docs.google.com/spreadsheets/d/15I0cc1P2uIbnNibkGt06qGORorwZjHNyhHPfX55A4G4/edit#gid=1064364280</t>
  </si>
  <si>
    <t>https://docs.google.com/spreadsheets/d/15I0cc1P2uIbnNibkGt06qGORorwZjHNyhHPfX55A4G4/edit#gid=2042067119</t>
  </si>
  <si>
    <t>https://docs.google.com/spreadsheets/d/15I0cc1P2uIbnNibkGt06qGORorwZjHNyhHPfX55A4G4/edit#gid=1920381640</t>
  </si>
  <si>
    <t>https://docs.google.com/spreadsheets/d/15I0cc1P2uIbnNibkGt06qGORorwZjHNyhHPfX55A4G4/edit#gid=1619500223</t>
  </si>
  <si>
    <t>https://docs.google.com/spreadsheets/d/15I0cc1P2uIbnNibkGt06qGORorwZjHNyhHPfX55A4G4/edit#gid=1634648661</t>
  </si>
  <si>
    <t>https://docs.google.com/spreadsheets/d/15I0cc1P2uIbnNibkGt06qGORorwZjHNyhHPfX55A4G4/edit#gid=677672702</t>
  </si>
  <si>
    <t>https://docs.google.com/spreadsheets/d/15I0cc1P2uIbnNibkGt06qGORorwZjHNyhHPfX55A4G4/edit#gid=320867663</t>
  </si>
  <si>
    <t>https://docs.google.com/spreadsheets/d/15I0cc1P2uIbnNibkGt06qGORorwZjHNyhHPfX55A4G4/edit#gid=1416701255</t>
  </si>
  <si>
    <t>https://docs.google.com/spreadsheets/d/15I0cc1P2uIbnNibkGt06qGORorwZjHNyhHPfX55A4G4/edit#gid=1062905812</t>
  </si>
  <si>
    <t>Allocation-0142</t>
  </si>
  <si>
    <t>Allocation of multiple symbols in multiple accounts when position of the symbol is already present</t>
  </si>
  <si>
    <t>https://docs.google.com/spreadsheets/d/1JRhstUoxRgofgASQ2aYBjuk3X9B_ZWcsx3NoAlTbCMg/edit#gid=1638669807</t>
  </si>
  <si>
    <t>https://docs.google.com/spreadsheets/d/1JRhstUoxRgofgASQ2aYBjuk3X9B_ZWcsx3NoAlTbCMg/edit#gid=2113382464</t>
  </si>
  <si>
    <t>https://docs.google.com/spreadsheets/d/1JRhstUoxRgofgASQ2aYBjuk3X9B_ZWcsx3NoAlTbCMg/edit#gid=54358564</t>
  </si>
  <si>
    <t>https://docs.google.com/spreadsheets/d/1JRhstUoxRgofgASQ2aYBjuk3X9B_ZWcsx3NoAlTbCMg/edit#gid=1405161601</t>
  </si>
  <si>
    <t>https://docs.google.com/spreadsheets/d/1JRhstUoxRgofgASQ2aYBjuk3X9B_ZWcsx3NoAlTbCMg/edit#gid=1143823006</t>
  </si>
  <si>
    <t>https://docs.google.com/spreadsheets/d/1JRhstUoxRgofgASQ2aYBjuk3X9B_ZWcsx3NoAlTbCMg/edit#gid=114134952</t>
  </si>
  <si>
    <t>https://docs.google.com/spreadsheets/d/1JRhstUoxRgofgASQ2aYBjuk3X9B_ZWcsx3NoAlTbCMg/edit#gid=63256709</t>
  </si>
  <si>
    <t>https://docs.google.com/spreadsheets/d/1JRhstUoxRgofgASQ2aYBjuk3X9B_ZWcsx3NoAlTbCMg/edit#gid=676701402</t>
  </si>
  <si>
    <t>https://docs.google.com/spreadsheets/d/1JRhstUoxRgofgASQ2aYBjuk3X9B_ZWcsx3NoAlTbCMg/edit#gid=406133406</t>
  </si>
  <si>
    <t>https://docs.google.com/spreadsheets/d/1JRhstUoxRgofgASQ2aYBjuk3X9B_ZWcsx3NoAlTbCMg/edit#gid=1141463892</t>
  </si>
  <si>
    <t>Allocation-0149</t>
  </si>
  <si>
    <t>Allocation of Buy when position is already present and remainder allocation to account is left blank and remainder allocation is done on the basis on Account ID</t>
  </si>
  <si>
    <t>https://docs.google.com/spreadsheets/d/1_6OdYY76tqDYBJztvW_RMsV5p3E40rhCMTEwDTCm4QE/edit#gid=966874977</t>
  </si>
  <si>
    <t>https://docs.google.com/spreadsheets/d/1_6OdYY76tqDYBJztvW_RMsV5p3E40rhCMTEwDTCm4QE/edit#gid=826272452</t>
  </si>
  <si>
    <t>https://docs.google.com/spreadsheets/d/1_6OdYY76tqDYBJztvW_RMsV5p3E40rhCMTEwDTCm4QE/edit#gid=1046269927</t>
  </si>
  <si>
    <t>https://docs.google.com/spreadsheets/d/1_6OdYY76tqDYBJztvW_RMsV5p3E40rhCMTEwDTCm4QE/edit#gid=1387536563</t>
  </si>
  <si>
    <t>https://docs.google.com/spreadsheets/d/1_6OdYY76tqDYBJztvW_RMsV5p3E40rhCMTEwDTCm4QE/edit#gid=958589925</t>
  </si>
  <si>
    <t>https://docs.google.com/spreadsheets/d/1_6OdYY76tqDYBJztvW_RMsV5p3E40rhCMTEwDTCm4QE/edit#gid=350517786</t>
  </si>
  <si>
    <t>https://docs.google.com/spreadsheets/d/1_6OdYY76tqDYBJztvW_RMsV5p3E40rhCMTEwDTCm4QE/edit#gid=1808149514</t>
  </si>
  <si>
    <t>https://docs.google.com/spreadsheets/d/1_6OdYY76tqDYBJztvW_RMsV5p3E40rhCMTEwDTCm4QE/edit#gid=479347323</t>
  </si>
  <si>
    <t>https://docs.google.com/spreadsheets/d/1_6OdYY76tqDYBJztvW_RMsV5p3E40rhCMTEwDTCm4QE/edit#gid=605120704</t>
  </si>
  <si>
    <t>https://docs.google.com/spreadsheets/d/1_6OdYY76tqDYBJztvW_RMsV5p3E40rhCMTEwDTCm4QE/edit#gid=1271176863</t>
  </si>
  <si>
    <t>https://docs.google.com/spreadsheets/d/1_6OdYY76tqDYBJztvW_RMsV5p3E40rhCMTEwDTCm4QE/edit#gid=642315466</t>
  </si>
  <si>
    <t>Allocation-0150</t>
  </si>
  <si>
    <t>Allocation of Buy when position is already present and remainder allocation to account is specified as FUND 2</t>
  </si>
  <si>
    <t>https://docs.google.com/spreadsheets/d/13PT2NRbxpZkLRz6Oc5SXg5bjrJjKcWpdi-FtSp0-TjA/edit#gid=2053445158</t>
  </si>
  <si>
    <t>https://docs.google.com/spreadsheets/d/13PT2NRbxpZkLRz6Oc5SXg5bjrJjKcWpdi-FtSp0-TjA/edit#gid=157997485</t>
  </si>
  <si>
    <t>https://docs.google.com/spreadsheets/d/13PT2NRbxpZkLRz6Oc5SXg5bjrJjKcWpdi-FtSp0-TjA/edit#gid=35830390</t>
  </si>
  <si>
    <t>https://docs.google.com/spreadsheets/d/13PT2NRbxpZkLRz6Oc5SXg5bjrJjKcWpdi-FtSp0-TjA/edit#gid=1524743461</t>
  </si>
  <si>
    <t>https://docs.google.com/spreadsheets/d/13PT2NRbxpZkLRz6Oc5SXg5bjrJjKcWpdi-FtSp0-TjA/edit#gid=764630551</t>
  </si>
  <si>
    <t>https://docs.google.com/spreadsheets/d/13PT2NRbxpZkLRz6Oc5SXg5bjrJjKcWpdi-FtSp0-TjA/edit#gid=448386292</t>
  </si>
  <si>
    <t>https://docs.google.com/spreadsheets/d/13PT2NRbxpZkLRz6Oc5SXg5bjrJjKcWpdi-FtSp0-TjA/edit#gid=577844037</t>
  </si>
  <si>
    <t>https://docs.google.com/spreadsheets/d/13PT2NRbxpZkLRz6Oc5SXg5bjrJjKcWpdi-FtSp0-TjA/edit#gid=1461839121</t>
  </si>
  <si>
    <t>https://docs.google.com/spreadsheets/d/13PT2NRbxpZkLRz6Oc5SXg5bjrJjKcWpdi-FtSp0-TjA/edit#gid=699540239</t>
  </si>
  <si>
    <t>https://docs.google.com/spreadsheets/d/13PT2NRbxpZkLRz6Oc5SXg5bjrJjKcWpdi-FtSp0-TjA/edit#gid=1222641042</t>
  </si>
  <si>
    <t>https://docs.google.com/spreadsheets/d/13PT2NRbxpZkLRz6Oc5SXg5bjrJjKcWpdi-FtSp0-TjA/edit#gid=591860442</t>
  </si>
  <si>
    <t>Allocation-0151</t>
  </si>
  <si>
    <t>Allocation of Sell when trade is allocated in different account but as the position is becoming zero it will be allocated into accounts having positions</t>
  </si>
  <si>
    <t>https://docs.google.com/spreadsheets/d/12-VBh45HbH9XVmcLPEhsfTYhlt-jaswHIS1HLTw4EFE/edit#gid=1883790906</t>
  </si>
  <si>
    <t>https://docs.google.com/spreadsheets/d/12-VBh45HbH9XVmcLPEhsfTYhlt-jaswHIS1HLTw4EFE/edit#gid=2127337272</t>
  </si>
  <si>
    <t>https://docs.google.com/spreadsheets/d/12-VBh45HbH9XVmcLPEhsfTYhlt-jaswHIS1HLTw4EFE/edit#gid=1508130840</t>
  </si>
  <si>
    <t>https://docs.google.com/spreadsheets/d/12-VBh45HbH9XVmcLPEhsfTYhlt-jaswHIS1HLTw4EFE/edit#gid=2110443337</t>
  </si>
  <si>
    <t>https://docs.google.com/spreadsheets/d/12-VBh45HbH9XVmcLPEhsfTYhlt-jaswHIS1HLTw4EFE/edit#gid=381016734</t>
  </si>
  <si>
    <t>https://docs.google.com/spreadsheets/d/12-VBh45HbH9XVmcLPEhsfTYhlt-jaswHIS1HLTw4EFE/edit#gid=365332694</t>
  </si>
  <si>
    <t>https://docs.google.com/spreadsheets/d/12-VBh45HbH9XVmcLPEhsfTYhlt-jaswHIS1HLTw4EFE/edit#gid=371624152</t>
  </si>
  <si>
    <t>https://docs.google.com/spreadsheets/d/12-VBh45HbH9XVmcLPEhsfTYhlt-jaswHIS1HLTw4EFE/edit#gid=1525037543</t>
  </si>
  <si>
    <t>https://docs.google.com/spreadsheets/d/12-VBh45HbH9XVmcLPEhsfTYhlt-jaswHIS1HLTw4EFE/edit#gid=803366603</t>
  </si>
  <si>
    <t>https://docs.google.com/spreadsheets/d/12-VBh45HbH9XVmcLPEhsfTYhlt-jaswHIS1HLTw4EFE/edit#gid=1653730303</t>
  </si>
  <si>
    <t>https://docs.google.com/spreadsheets/d/12-VBh45HbH9XVmcLPEhsfTYhlt-jaswHIS1HLTw4EFE/edit#gid=515262983</t>
  </si>
  <si>
    <t>Allocation-0152</t>
  </si>
  <si>
    <t>Allocation of opposite side trades when position is already present in fund
Position:
FUND 1: 1
FUND 2: 0
Notional:
FUND 1: 450
FUND 2: 0</t>
  </si>
  <si>
    <t>https://docs.google.com/spreadsheets/d/13uy5VqqUJMCw37m2dCDEP4SHpElR0DeYzGeqrxHSdOo/edit#gid=585135034</t>
  </si>
  <si>
    <t>https://docs.google.com/spreadsheets/d/13uy5VqqUJMCw37m2dCDEP4SHpElR0DeYzGeqrxHSdOo/edit#gid=1113022275</t>
  </si>
  <si>
    <t>https://docs.google.com/spreadsheets/d/13uy5VqqUJMCw37m2dCDEP4SHpElR0DeYzGeqrxHSdOo/edit#gid=1039403166</t>
  </si>
  <si>
    <t>https://docs.google.com/spreadsheets/d/13uy5VqqUJMCw37m2dCDEP4SHpElR0DeYzGeqrxHSdOo/edit#gid=1775241733</t>
  </si>
  <si>
    <t>https://docs.google.com/spreadsheets/d/13uy5VqqUJMCw37m2dCDEP4SHpElR0DeYzGeqrxHSdOo/edit#gid=673204378</t>
  </si>
  <si>
    <t>https://docs.google.com/spreadsheets/d/13uy5VqqUJMCw37m2dCDEP4SHpElR0DeYzGeqrxHSdOo/edit#gid=944556543</t>
  </si>
  <si>
    <t>https://docs.google.com/spreadsheets/d/13uy5VqqUJMCw37m2dCDEP4SHpElR0DeYzGeqrxHSdOo/edit#gid=634408267</t>
  </si>
  <si>
    <t>https://docs.google.com/spreadsheets/d/13uy5VqqUJMCw37m2dCDEP4SHpElR0DeYzGeqrxHSdOo/edit#gid=220629480</t>
  </si>
  <si>
    <t>https://docs.google.com/spreadsheets/d/13uy5VqqUJMCw37m2dCDEP4SHpElR0DeYzGeqrxHSdOo/edit#gid=2071273897</t>
  </si>
  <si>
    <t>https://docs.google.com/spreadsheets/d/13uy5VqqUJMCw37m2dCDEP4SHpElR0DeYzGeqrxHSdOo/edit#gid=2008691436</t>
  </si>
  <si>
    <t>https://docs.google.com/spreadsheets/d/13uy5VqqUJMCw37m2dCDEP4SHpElR0DeYzGeqrxHSdOo/edit#gid=1435622841</t>
  </si>
  <si>
    <t>Allocation-0153</t>
  </si>
  <si>
    <t>Allocation of Buy when position already present is Long
Fund1
Position:  200
Notional: 1000</t>
  </si>
  <si>
    <t>https://docs.google.com/spreadsheets/d/1CpQlRuQHa2hskrwFMwZSr2eMjA4vqEUzhtjUsg35y5k/edit#gid=814190207</t>
  </si>
  <si>
    <t>https://docs.google.com/spreadsheets/d/1CpQlRuQHa2hskrwFMwZSr2eMjA4vqEUzhtjUsg35y5k/edit#gid=1538075936</t>
  </si>
  <si>
    <t>https://docs.google.com/spreadsheets/d/1CpQlRuQHa2hskrwFMwZSr2eMjA4vqEUzhtjUsg35y5k/edit#gid=199208312</t>
  </si>
  <si>
    <t>https://docs.google.com/spreadsheets/d/1CpQlRuQHa2hskrwFMwZSr2eMjA4vqEUzhtjUsg35y5k/edit#gid=610672918</t>
  </si>
  <si>
    <t>https://docs.google.com/spreadsheets/d/1CpQlRuQHa2hskrwFMwZSr2eMjA4vqEUzhtjUsg35y5k/edit#gid=575235289</t>
  </si>
  <si>
    <t>https://docs.google.com/spreadsheets/d/1CpQlRuQHa2hskrwFMwZSr2eMjA4vqEUzhtjUsg35y5k/edit#gid=1087391670</t>
  </si>
  <si>
    <t>https://docs.google.com/spreadsheets/d/1CpQlRuQHa2hskrwFMwZSr2eMjA4vqEUzhtjUsg35y5k/edit#gid=1059052045</t>
  </si>
  <si>
    <t>https://docs.google.com/spreadsheets/d/1CpQlRuQHa2hskrwFMwZSr2eMjA4vqEUzhtjUsg35y5k/edit#gid=1818809939</t>
  </si>
  <si>
    <t>https://docs.google.com/spreadsheets/d/1CpQlRuQHa2hskrwFMwZSr2eMjA4vqEUzhtjUsg35y5k/edit#gid=380108051</t>
  </si>
  <si>
    <t>https://docs.google.com/spreadsheets/d/1CpQlRuQHa2hskrwFMwZSr2eMjA4vqEUzhtjUsg35y5k/edit#gid=1010310639</t>
  </si>
  <si>
    <t>https://docs.google.com/spreadsheets/d/1CpQlRuQHa2hskrwFMwZSr2eMjA4vqEUzhtjUsg35y5k/edit#gid=1371320795</t>
  </si>
  <si>
    <t>Commission-0001</t>
  </si>
  <si>
    <t xml:space="preserve">PRE-ALLOCATION OF COMMISSION
Verify Change in Commission of Broker 
When Alert on Change in Commision recalculated
if Broker is changed is Checked TRUE
Change Broker from MS -&gt; GS
Verify Updated Commission Values
Verify Commision change values on Unallocated Grid
Verify Change in Commission and Account allocation on Allocated grid
Verify Long grids On Closing
</t>
  </si>
  <si>
    <t>https://docs.google.com/spreadsheets/d/1ym1Sv-VuhdFyRqQCZKOd3lAnfLIEo5NWjPxGesnq6cc/edit#gid=595440823</t>
  </si>
  <si>
    <t>https://docs.google.com/spreadsheets/d/1ym1Sv-VuhdFyRqQCZKOd3lAnfLIEo5NWjPxGesnq6cc/edit#gid=541937662</t>
  </si>
  <si>
    <t>https://docs.google.com/spreadsheets/d/1ym1Sv-VuhdFyRqQCZKOd3lAnfLIEo5NWjPxGesnq6cc/edit#gid=1476335025</t>
  </si>
  <si>
    <t>https://docs.google.com/spreadsheets/d/1ym1Sv-VuhdFyRqQCZKOd3lAnfLIEo5NWjPxGesnq6cc/edit#gid=2134151439</t>
  </si>
  <si>
    <t>https://docs.google.com/spreadsheets/d/1ym1Sv-VuhdFyRqQCZKOd3lAnfLIEo5NWjPxGesnq6cc/edit#gid=1117399938</t>
  </si>
  <si>
    <t>https://docs.google.com/spreadsheets/d/1ym1Sv-VuhdFyRqQCZKOd3lAnfLIEo5NWjPxGesnq6cc/edit#gid=354556253</t>
  </si>
  <si>
    <t>https://docs.google.com/spreadsheets/d/1ym1Sv-VuhdFyRqQCZKOd3lAnfLIEo5NWjPxGesnq6cc/edit#gid=1333070149</t>
  </si>
  <si>
    <t>https://docs.google.com/spreadsheets/d/1ym1Sv-VuhdFyRqQCZKOd3lAnfLIEo5NWjPxGesnq6cc/edit#gid=1451401938</t>
  </si>
  <si>
    <t>SetGeneralPreferences1</t>
  </si>
  <si>
    <t>https://docs.google.com/spreadsheets/d/1ym1Sv-VuhdFyRqQCZKOd3lAnfLIEo5NWjPxGesnq6cc/edit#gid=1208677942</t>
  </si>
  <si>
    <t>https://docs.google.com/spreadsheets/d/1ym1Sv-VuhdFyRqQCZKOd3lAnfLIEo5NWjPxGesnq6cc/edit#gid=1765792079</t>
  </si>
  <si>
    <t>https://docs.google.com/spreadsheets/d/1ym1Sv-VuhdFyRqQCZKOd3lAnfLIEo5NWjPxGesnq6cc/edit#gid=1264292234</t>
  </si>
  <si>
    <t>https://docs.google.com/spreadsheets/d/1ym1Sv-VuhdFyRqQCZKOd3lAnfLIEo5NWjPxGesnq6cc/edit#gid=590958756</t>
  </si>
  <si>
    <t>SelectUnallocatedGroup2</t>
  </si>
  <si>
    <t>https://docs.google.com/spreadsheets/d/1ym1Sv-VuhdFyRqQCZKOd3lAnfLIEo5NWjPxGesnq6cc/edit#gid=150234507</t>
  </si>
  <si>
    <t>https://docs.google.com/spreadsheets/d/1ym1Sv-VuhdFyRqQCZKOd3lAnfLIEo5NWjPxGesnq6cc/edit#gid=2024217817</t>
  </si>
  <si>
    <t>https://docs.google.com/spreadsheets/d/1ym1Sv-VuhdFyRqQCZKOd3lAnfLIEo5NWjPxGesnq6cc/edit#gid=1594437896</t>
  </si>
  <si>
    <t>https://docs.google.com/spreadsheets/d/1ym1Sv-VuhdFyRqQCZKOd3lAnfLIEo5NWjPxGesnq6cc/edit#gid=1522295285</t>
  </si>
  <si>
    <t>https://docs.google.com/spreadsheets/d/1ym1Sv-VuhdFyRqQCZKOd3lAnfLIEo5NWjPxGesnq6cc/edit#gid=512349591</t>
  </si>
  <si>
    <t>https://docs.google.com/spreadsheets/d/1ym1Sv-VuhdFyRqQCZKOd3lAnfLIEo5NWjPxGesnq6cc/edit#gid=262920659</t>
  </si>
  <si>
    <t>https://docs.google.com/spreadsheets/d/1ym1Sv-VuhdFyRqQCZKOd3lAnfLIEo5NWjPxGesnq6cc/edit#gid=1206481225</t>
  </si>
  <si>
    <t>https://docs.google.com/spreadsheets/d/1ym1Sv-VuhdFyRqQCZKOd3lAnfLIEo5NWjPxGesnq6cc/edit#gid=857072888</t>
  </si>
  <si>
    <t>https://docs.google.com/spreadsheets/d/1ym1Sv-VuhdFyRqQCZKOd3lAnfLIEo5NWjPxGesnq6cc/edit#gid=381210546</t>
  </si>
  <si>
    <t>VerifyLongPositionsGrid1</t>
  </si>
  <si>
    <t>Commission-0002</t>
  </si>
  <si>
    <t>PRE-ALLOCATION OF COMMISSION
Verify Change in Commission of Broker 
When Alert on Change in Commision recalculated
if Broker is changed is Checked FALSE
Keep Commission Values 
Change Broker from MS -&gt; GS
Verify Updated Commission Values
Verify Commision change values on Unallocated Grid
Verify Change in Commission and Account allocation on Allocated grid
Verify Long grids On Closing</t>
  </si>
  <si>
    <t>https://docs.google.com/spreadsheets/d/1_Ewzyd7Ep20dLfXeLZN9gbKp0UJVyxoc445gUIe2mto/edit#gid=478161980</t>
  </si>
  <si>
    <t>https://docs.google.com/spreadsheets/d/1_Ewzyd7Ep20dLfXeLZN9gbKp0UJVyxoc445gUIe2mto/edit#gid=56770037</t>
  </si>
  <si>
    <t>https://docs.google.com/spreadsheets/d/1_Ewzyd7Ep20dLfXeLZN9gbKp0UJVyxoc445gUIe2mto/edit#gid=1389093969</t>
  </si>
  <si>
    <t>https://docs.google.com/spreadsheets/d/1_Ewzyd7Ep20dLfXeLZN9gbKp0UJVyxoc445gUIe2mto/edit#gid=1172620602</t>
  </si>
  <si>
    <t>https://docs.google.com/spreadsheets/d/1_Ewzyd7Ep20dLfXeLZN9gbKp0UJVyxoc445gUIe2mto/edit#gid=1429439461</t>
  </si>
  <si>
    <t>https://docs.google.com/spreadsheets/d/1_Ewzyd7Ep20dLfXeLZN9gbKp0UJVyxoc445gUIe2mto/edit#gid=2038363053</t>
  </si>
  <si>
    <t>https://docs.google.com/spreadsheets/d/1_Ewzyd7Ep20dLfXeLZN9gbKp0UJVyxoc445gUIe2mto/edit#gid=1546376255</t>
  </si>
  <si>
    <t>https://docs.google.com/spreadsheets/d/1_Ewzyd7Ep20dLfXeLZN9gbKp0UJVyxoc445gUIe2mto/edit#gid=1032937450</t>
  </si>
  <si>
    <t>SelectUnallocatedGroup1</t>
  </si>
  <si>
    <t>https://docs.google.com/spreadsheets/d/1_Ewzyd7Ep20dLfXeLZN9gbKp0UJVyxoc445gUIe2mto/edit#gid=1643356156</t>
  </si>
  <si>
    <t>https://docs.google.com/spreadsheets/d/1_Ewzyd7Ep20dLfXeLZN9gbKp0UJVyxoc445gUIe2mto/edit#gid=1397961877</t>
  </si>
  <si>
    <t>https://docs.google.com/spreadsheets/d/1_Ewzyd7Ep20dLfXeLZN9gbKp0UJVyxoc445gUIe2mto/edit#gid=206269191</t>
  </si>
  <si>
    <t>https://docs.google.com/spreadsheets/d/1_Ewzyd7Ep20dLfXeLZN9gbKp0UJVyxoc445gUIe2mto/edit#gid=932283666</t>
  </si>
  <si>
    <t>https://docs.google.com/spreadsheets/d/1_Ewzyd7Ep20dLfXeLZN9gbKp0UJVyxoc445gUIe2mto/edit#gid=1013946953</t>
  </si>
  <si>
    <t>https://docs.google.com/spreadsheets/d/1_Ewzyd7Ep20dLfXeLZN9gbKp0UJVyxoc445gUIe2mto/edit#gid=1046236853</t>
  </si>
  <si>
    <t>https://docs.google.com/spreadsheets/d/1_Ewzyd7Ep20dLfXeLZN9gbKp0UJVyxoc445gUIe2mto/edit#gid=1689304893</t>
  </si>
  <si>
    <t>https://docs.google.com/spreadsheets/d/1_Ewzyd7Ep20dLfXeLZN9gbKp0UJVyxoc445gUIe2mto/edit#gid=2026362995</t>
  </si>
  <si>
    <t>Commission-0003</t>
  </si>
  <si>
    <t>PRE-ALLOCATION OF COMMISSION
Verify Change in Commission of Broker 
When Alert on Change in Commision recalculated
if Broker is changed is Checked FALSE
-&gt; Recalculate
Trade a New Unallocated Order
Set Prefernce Commission Change Recalculate
Change Broker from GS -&gt; MS
Verify Updated Commission Values  on Unallocated Grid
Allocate Unallocated Group
Change Broker From MS-&gt; GS
Verify Change in Commission and Account allocation on Allocated grid
Verify Long grids On Closing</t>
  </si>
  <si>
    <t>https://docs.google.com/spreadsheets/d/1x1mksuhmqPoXp3XrWyIkZ3NvcJLMo_cxg5UoydFbYxo/edit#gid=1160241181</t>
  </si>
  <si>
    <t>https://docs.google.com/spreadsheets/d/1x1mksuhmqPoXp3XrWyIkZ3NvcJLMo_cxg5UoydFbYxo/edit#gid=1948523518</t>
  </si>
  <si>
    <t>https://docs.google.com/spreadsheets/d/1x1mksuhmqPoXp3XrWyIkZ3NvcJLMo_cxg5UoydFbYxo/edit#gid=2077165891</t>
  </si>
  <si>
    <t>https://docs.google.com/spreadsheets/d/1x1mksuhmqPoXp3XrWyIkZ3NvcJLMo_cxg5UoydFbYxo/edit#gid=84330367</t>
  </si>
  <si>
    <t>https://docs.google.com/spreadsheets/d/1x1mksuhmqPoXp3XrWyIkZ3NvcJLMo_cxg5UoydFbYxo/edit#gid=1598893465</t>
  </si>
  <si>
    <t>https://docs.google.com/spreadsheets/d/1x1mksuhmqPoXp3XrWyIkZ3NvcJLMo_cxg5UoydFbYxo/edit#gid=314533722</t>
  </si>
  <si>
    <t>https://docs.google.com/spreadsheets/d/1x1mksuhmqPoXp3XrWyIkZ3NvcJLMo_cxg5UoydFbYxo/edit#gid=1002615363</t>
  </si>
  <si>
    <t>https://docs.google.com/spreadsheets/d/1x1mksuhmqPoXp3XrWyIkZ3NvcJLMo_cxg5UoydFbYxo/edit#gid=1539458601</t>
  </si>
  <si>
    <t>https://docs.google.com/spreadsheets/d/1x1mksuhmqPoXp3XrWyIkZ3NvcJLMo_cxg5UoydFbYxo/edit#gid=2105850592</t>
  </si>
  <si>
    <t>https://docs.google.com/spreadsheets/d/1x1mksuhmqPoXp3XrWyIkZ3NvcJLMo_cxg5UoydFbYxo/edit#gid=722191404</t>
  </si>
  <si>
    <t>https://docs.google.com/spreadsheets/d/1x1mksuhmqPoXp3XrWyIkZ3NvcJLMo_cxg5UoydFbYxo/edit#gid=795717404</t>
  </si>
  <si>
    <t>https://docs.google.com/spreadsheets/d/1x1mksuhmqPoXp3XrWyIkZ3NvcJLMo_cxg5UoydFbYxo/edit#gid=1210640776</t>
  </si>
  <si>
    <t>https://docs.google.com/spreadsheets/d/1x1mksuhmqPoXp3XrWyIkZ3NvcJLMo_cxg5UoydFbYxo/edit#gid=98263003</t>
  </si>
  <si>
    <t>https://docs.google.com/spreadsheets/d/1x1mksuhmqPoXp3XrWyIkZ3NvcJLMo_cxg5UoydFbYxo/edit#gid=1588087109</t>
  </si>
  <si>
    <t>https://docs.google.com/spreadsheets/d/1x1mksuhmqPoXp3XrWyIkZ3NvcJLMo_cxg5UoydFbYxo/edit#gid=1385305511</t>
  </si>
  <si>
    <t>https://docs.google.com/spreadsheets/d/1x1mksuhmqPoXp3XrWyIkZ3NvcJLMo_cxg5UoydFbYxo/edit#gid=1175855976</t>
  </si>
  <si>
    <t>https://docs.google.com/spreadsheets/d/1x1mksuhmqPoXp3XrWyIkZ3NvcJLMo_cxg5UoydFbYxo/edit#gid=1034318079</t>
  </si>
  <si>
    <t>https://docs.google.com/spreadsheets/d/1x1mksuhmqPoXp3XrWyIkZ3NvcJLMo_cxg5UoydFbYxo/edit#gid=1217765883</t>
  </si>
  <si>
    <t>Commission-0004</t>
  </si>
  <si>
    <t>PRE-ALLOCATION OF COMMISSION
Verify Change in Commission of Broker 
When Alert on Change in Commision recalculated
if Broker is changed is Checked TRUE
Trade a New Unallocated Order With 
     1.Share/Contracts 0.5 Commission Rate
     2. Share/Contracts 1 Soft Commission Rate 
Set Prefernce TRUE Commission recalculate on Broker Change
Change Broker from MS -&gt; GS
Verify Updated Commission Values  on Unallocated Grid
Allocate Unallocated Group
Change Commission and Soft Commission Manually
Verify Change in Commission and Account allocation on Allocated grid
Verify Long grids On Closing</t>
  </si>
  <si>
    <t>https://docs.google.com/spreadsheets/d/1aSbXo-Hf8pKEEiVPzd3RqBrXmmUBF7f_LryaKoXJhpc/edit#gid=1662414583</t>
  </si>
  <si>
    <t>https://docs.google.com/spreadsheets/d/1aSbXo-Hf8pKEEiVPzd3RqBrXmmUBF7f_LryaKoXJhpc/edit#gid=1625517210</t>
  </si>
  <si>
    <t>https://docs.google.com/spreadsheets/d/1aSbXo-Hf8pKEEiVPzd3RqBrXmmUBF7f_LryaKoXJhpc/edit#gid=590086983</t>
  </si>
  <si>
    <t>https://docs.google.com/spreadsheets/d/1aSbXo-Hf8pKEEiVPzd3RqBrXmmUBF7f_LryaKoXJhpc/edit#gid=1335282785</t>
  </si>
  <si>
    <t>https://docs.google.com/spreadsheets/d/1aSbXo-Hf8pKEEiVPzd3RqBrXmmUBF7f_LryaKoXJhpc/edit#gid=1118666659</t>
  </si>
  <si>
    <t>https://docs.google.com/spreadsheets/d/1aSbXo-Hf8pKEEiVPzd3RqBrXmmUBF7f_LryaKoXJhpc/edit#gid=1246208532</t>
  </si>
  <si>
    <t>https://docs.google.com/spreadsheets/d/1aSbXo-Hf8pKEEiVPzd3RqBrXmmUBF7f_LryaKoXJhpc/edit#gid=1238503299</t>
  </si>
  <si>
    <t>https://docs.google.com/spreadsheets/d/1aSbXo-Hf8pKEEiVPzd3RqBrXmmUBF7f_LryaKoXJhpc/edit#gid=1462650339</t>
  </si>
  <si>
    <t>https://docs.google.com/spreadsheets/d/1aSbXo-Hf8pKEEiVPzd3RqBrXmmUBF7f_LryaKoXJhpc/edit#gid=1340440019</t>
  </si>
  <si>
    <t>https://docs.google.com/spreadsheets/d/1aSbXo-Hf8pKEEiVPzd3RqBrXmmUBF7f_LryaKoXJhpc/edit#gid=478587445</t>
  </si>
  <si>
    <t>https://docs.google.com/spreadsheets/d/1aSbXo-Hf8pKEEiVPzd3RqBrXmmUBF7f_LryaKoXJhpc/edit#gid=451051641</t>
  </si>
  <si>
    <t>https://docs.google.com/spreadsheets/d/1aSbXo-Hf8pKEEiVPzd3RqBrXmmUBF7f_LryaKoXJhpc/edit#gid=1486761812</t>
  </si>
  <si>
    <t>https://docs.google.com/spreadsheets/d/1aSbXo-Hf8pKEEiVPzd3RqBrXmmUBF7f_LryaKoXJhpc/edit#gid=1887383730</t>
  </si>
  <si>
    <t>https://docs.google.com/spreadsheets/d/1aSbXo-Hf8pKEEiVPzd3RqBrXmmUBF7f_LryaKoXJhpc/edit#gid=1364696549</t>
  </si>
  <si>
    <t>https://docs.google.com/spreadsheets/d/1aSbXo-Hf8pKEEiVPzd3RqBrXmmUBF7f_LryaKoXJhpc/edit#gid=1837025499</t>
  </si>
  <si>
    <t>https://docs.google.com/spreadsheets/d/1aSbXo-Hf8pKEEiVPzd3RqBrXmmUBF7f_LryaKoXJhpc/edit#gid=1079930488</t>
  </si>
  <si>
    <t>https://docs.google.com/spreadsheets/d/1aSbXo-Hf8pKEEiVPzd3RqBrXmmUBF7f_LryaKoXJhpc/edit#gid=1408459118</t>
  </si>
  <si>
    <t>https://docs.google.com/spreadsheets/d/1aSbXo-Hf8pKEEiVPzd3RqBrXmmUBF7f_LryaKoXJhpc/edit#gid=516687857</t>
  </si>
  <si>
    <t>https://docs.google.com/spreadsheets/d/1aSbXo-Hf8pKEEiVPzd3RqBrXmmUBF7f_LryaKoXJhpc/edit#gid=383471580</t>
  </si>
  <si>
    <t>Allocation-0160</t>
  </si>
  <si>
    <t>Editing of multiple columns of unallocated trade</t>
  </si>
  <si>
    <t>https://docs.google.com/spreadsheets/d/10wPxU0lJgEseLbRGAto0PziWKXw1Yz8_oRb39WcTH_g/edit#gid=2118651027</t>
  </si>
  <si>
    <t>https://docs.google.com/spreadsheets/d/10wPxU0lJgEseLbRGAto0PziWKXw1Yz8_oRb39WcTH_g/edit#gid=1514385299</t>
  </si>
  <si>
    <t>https://docs.google.com/spreadsheets/d/10wPxU0lJgEseLbRGAto0PziWKXw1Yz8_oRb39WcTH_g/edit#gid=163284748</t>
  </si>
  <si>
    <t>https://docs.google.com/spreadsheets/d/10wPxU0lJgEseLbRGAto0PziWKXw1Yz8_oRb39WcTH_g/edit#gid=779069583</t>
  </si>
  <si>
    <t>Allocation-0161</t>
  </si>
  <si>
    <t xml:space="preserve">Editing of Date in unallocated trade </t>
  </si>
  <si>
    <t>https://docs.google.com/spreadsheets/d/1Z--4m810vKqo05mXwz2th2vMbbO1rn_Olts3q7oi994/edit#gid=2114731885</t>
  </si>
  <si>
    <t>https://docs.google.com/spreadsheets/d/1Z--4m810vKqo05mXwz2th2vMbbO1rn_Olts3q7oi994/edit#gid=2130042823</t>
  </si>
  <si>
    <t>https://docs.google.com/spreadsheets/d/1Z--4m810vKqo05mXwz2th2vMbbO1rn_Olts3q7oi994/edit#gid=1374742363</t>
  </si>
  <si>
    <t>https://docs.google.com/spreadsheets/d/1Z--4m810vKqo05mXwz2th2vMbbO1rn_Olts3q7oi994/edit#gid=672117998</t>
  </si>
  <si>
    <t>Allocation-0162</t>
  </si>
  <si>
    <t>Editing of Commission and soft Commission in
 Allocated grid</t>
  </si>
  <si>
    <t>https://docs.google.com/spreadsheets/d/19soMnxXX2fSzJaXFKd8QeCkWXPgVEAF2tpzAzTmAeOU/edit#gid=1160460756</t>
  </si>
  <si>
    <t>https://docs.google.com/spreadsheets/d/19soMnxXX2fSzJaXFKd8QeCkWXPgVEAF2tpzAzTmAeOU/edit#gid=569968217</t>
  </si>
  <si>
    <t>https://docs.google.com/spreadsheets/d/19soMnxXX2fSzJaXFKd8QeCkWXPgVEAF2tpzAzTmAeOU/edit#gid=857232768</t>
  </si>
  <si>
    <t>Allocation-0163</t>
  </si>
  <si>
    <t>Editing of multiple columns of allocated trade</t>
  </si>
  <si>
    <t>https://docs.google.com/spreadsheets/d/1GddSNOSIZ9YGAh3y2qA2Hm4IFTB1HbmCbZ-FyF6q0n8/edit#gid=466845878</t>
  </si>
  <si>
    <t>https://docs.google.com/spreadsheets/d/1GddSNOSIZ9YGAh3y2qA2Hm4IFTB1HbmCbZ-FyF6q0n8/edit#gid=303551975</t>
  </si>
  <si>
    <t>https://docs.google.com/spreadsheets/d/1GddSNOSIZ9YGAh3y2qA2Hm4IFTB1HbmCbZ-FyF6q0n8/edit#gid=897455025</t>
  </si>
  <si>
    <t>Allocation-0170</t>
  </si>
  <si>
    <t xml:space="preserve">Bulk Commission Change on editing the avg Price </t>
  </si>
  <si>
    <t>SelectAllocatedGroup1</t>
  </si>
  <si>
    <t>EditAllocatedGroupSidePanel1</t>
  </si>
  <si>
    <t>SelectAllocatedGroup2</t>
  </si>
  <si>
    <t>AllocationCheckside-0001</t>
  </si>
  <si>
    <t>Checkside case when No Asset ,No Account and No CP selected</t>
  </si>
  <si>
    <t>AllocationCheckside-0002</t>
  </si>
  <si>
    <t>Checkside case when CP1 Selected (With No Asset and No Account selected )</t>
  </si>
  <si>
    <t>AllocationCheckside-0003</t>
  </si>
  <si>
    <t>Checkside case when Fund 1 Selected (With No Asset and No CP selected )</t>
  </si>
  <si>
    <t>AllocationCheckside-0004</t>
  </si>
  <si>
    <t>Checkside case when Asset= Cash selected and No Account,No CP selected</t>
  </si>
  <si>
    <t>AllocationCheckside-0005</t>
  </si>
  <si>
    <t>Checkside case when Accounts ,Asset , CP selected</t>
  </si>
  <si>
    <t>AllocationCheckside-0006</t>
  </si>
  <si>
    <t>Checkside case when Accounts and Asset selected with no CP selected</t>
  </si>
  <si>
    <t>AllocationCheckside-0007</t>
  </si>
  <si>
    <t>Checkside case when Accounts selected with no Asset and CP selected</t>
  </si>
  <si>
    <t>AllocationCheckside-0008</t>
  </si>
  <si>
    <t>Checkside case when No Account,Asset,CP selected</t>
  </si>
  <si>
    <t>AllocationCheckside-0009</t>
  </si>
  <si>
    <t>AllocationCheckside-0010</t>
  </si>
  <si>
    <t>Checkside case when N,Asset,No CP selected and Fund 1 Selected</t>
  </si>
  <si>
    <t>AllocationCheckside-0011</t>
  </si>
  <si>
    <t>AllocationCheckside-0012</t>
  </si>
  <si>
    <t>Checkside case when No Asset,No CP selected and No AccountSelected</t>
  </si>
  <si>
    <t>AllocationCheckside-0013</t>
  </si>
  <si>
    <t>Validate checkside While Not selected</t>
  </si>
  <si>
    <t>AllocationCheckside-0014</t>
  </si>
  <si>
    <t>Validate checkside while allocation not selected.</t>
  </si>
  <si>
    <t>AllocationCheckside-0015</t>
  </si>
  <si>
    <t>Commission-0005</t>
  </si>
  <si>
    <t>PRE-ALLOCATION OF COMMISSION
-Buy/Sell Trades For 
Equity(Exchange-Bovespa), Equity Option(OPTS), Future(eCBOT)
-Broker-Source
-Verify Commission, Soft Commission,etc. on Allocation.</t>
  </si>
  <si>
    <t>Commission-0006</t>
  </si>
  <si>
    <t>PRE-ALLOCATION OF COMMISSION WHEN REALLOCATED IN FUNDS
-Buy/Sell Trades For 
Equity(Exchange-Bovespa), Equity Option(OPTS), Future(eCBOT)
-Broker-Source
-Verify Commission, Soft Commission,etc. on Allocation.
-Allocate the trades, Check on Allocation.
-Verify long, short posiitions on grid.</t>
  </si>
  <si>
    <t>EnterAccountValuesToAllocate1</t>
  </si>
  <si>
    <t>EnterAccountValuesToAllocate2</t>
  </si>
  <si>
    <t>Commission-0007</t>
  </si>
  <si>
    <t xml:space="preserve">PRE-ALLOCATION OF COMMISSION ON BROKER CHANGE 
-Buy/Sell Trades For 
Equity(Exchange-Bovespa) in Fund 1
-Broker-MS
-Verify Commission, Soft Commission,etc. on Allocation.
-Change the broker MS-&gt;Source
-Pop up will occur saying - Recalculate the Commission YES/NO.
-Unallocate the trades, verify.
</t>
  </si>
  <si>
    <t>EditAllocatedGrid1</t>
  </si>
  <si>
    <t>CheckAllocatedGroups3</t>
  </si>
  <si>
    <t>TAMF-0001</t>
  </si>
  <si>
    <t>-Test case to verify the trading account mapped to its corresponding Masterfund(Show MasterFund enabled)
-Trading Account-TradingAccount-1
-Masterfund-NewMF</t>
  </si>
  <si>
    <t>TAMF-0002</t>
  </si>
  <si>
    <t>-Test case to verify the trading account mapped to its corresponding Masterfund(Show MasterFund enabled)
-Trading Account-TradingAccount-2
-Masterfund-NewMF1</t>
  </si>
  <si>
    <t>TAMF-0003</t>
  </si>
  <si>
    <t>-Test case to verify the trading account mapped to its corresponding Masterfund(Show MasterFund enabled)
-Trading Account-TradingAccount-1 and TradingAccount-2
-Masterfund-NewMF and NewMF1</t>
  </si>
  <si>
    <t>UpdateMasterFundOnTT1</t>
  </si>
  <si>
    <t>TAMF-0004</t>
  </si>
  <si>
    <t xml:space="preserve">-Test case to verify the trading account mapped to its corresponding Masterfund(Show MasterFund disabled)
</t>
  </si>
  <si>
    <t>Allocation-0171</t>
  </si>
  <si>
    <t>Allocation-0172</t>
  </si>
  <si>
    <t>Get Data when fields are edited</t>
  </si>
  <si>
    <t>Allocation-0173</t>
  </si>
  <si>
    <t>Editing in Unalloacted Grid (Single and Multiple)</t>
  </si>
  <si>
    <t>EditUnallocatedGridWPF1</t>
  </si>
  <si>
    <t>EditUnallocatedGridWPF2</t>
  </si>
  <si>
    <t>Allocation-0174</t>
  </si>
  <si>
    <t>Editing in Allocated Grid (single and Multiple)</t>
  </si>
  <si>
    <t>EditAllocatedGridWPF1</t>
  </si>
  <si>
    <t>EditAllocatedGridWPF2</t>
  </si>
  <si>
    <t>Allocation-0175</t>
  </si>
  <si>
    <t>Close order editing</t>
  </si>
  <si>
    <t>CheckPortfolioManagement1</t>
  </si>
  <si>
    <t>CleanUp-0176</t>
  </si>
  <si>
    <t>Clean Up</t>
  </si>
  <si>
    <t>Allocation-0176</t>
  </si>
  <si>
    <t>Editing in taxlot level and see impact on GL</t>
  </si>
  <si>
    <t>GetActivityData1</t>
  </si>
  <si>
    <t>VerifyActivity1</t>
  </si>
  <si>
    <t>Allocation-0177</t>
  </si>
  <si>
    <t>Editing of Lot ID</t>
  </si>
  <si>
    <t>Allocation-0178</t>
  </si>
  <si>
    <t>Editing in Taxlot level</t>
  </si>
  <si>
    <t>CleanUp-0001</t>
  </si>
  <si>
    <t>CA-0001</t>
  </si>
  <si>
    <t>Apply CA and set Effective date as Day 3 - No Cash In Lieu
Where Side = Sell short Without Broker</t>
  </si>
  <si>
    <t>GetMarkPriceData1</t>
  </si>
  <si>
    <t>UpdateMarkPrice1</t>
  </si>
  <si>
    <t>GetDayEndCash1</t>
  </si>
  <si>
    <t>GetAccountBalance1</t>
  </si>
  <si>
    <t>GetMarkPriceData2</t>
  </si>
  <si>
    <t>UpdateMarkPrice2</t>
  </si>
  <si>
    <t>GetAccountBalance2</t>
  </si>
  <si>
    <t>GetRevaluationData1</t>
  </si>
  <si>
    <t>VerifyRevaluationData1</t>
  </si>
  <si>
    <t>VerifyTradingTransaction2</t>
  </si>
  <si>
    <t>CleanUp-0002</t>
  </si>
  <si>
    <t>Clean All data</t>
  </si>
  <si>
    <t>CA-0002</t>
  </si>
  <si>
    <t>Apply CA and set Effective date as Day 3 - No Cash In Lieu
Where Side = Buy Without Broker</t>
  </si>
  <si>
    <t>VerifyTradingTransaction1</t>
  </si>
  <si>
    <t>CleanUp-0003</t>
  </si>
  <si>
    <t>Clean all data</t>
  </si>
  <si>
    <t>CA-0003</t>
  </si>
  <si>
    <t>Apply CA and set Effective date as Day 3 -Close at Given Price
Where Side = Buy Without Broker</t>
  </si>
  <si>
    <t>CleanUp-0004</t>
  </si>
  <si>
    <t>Clean all the Client data</t>
  </si>
  <si>
    <t>CA-0004</t>
  </si>
  <si>
    <t>Apply CA and set Effective date as Day 3 -Close at Given Price
Where Side = Sell Short Without Broker</t>
  </si>
  <si>
    <t>CleanUp-0005</t>
  </si>
  <si>
    <t>CA-0005</t>
  </si>
  <si>
    <t>Apply CA and set Effective date as Day 3 with Day1 symbol - No Cash In Lieu
With Closing applied</t>
  </si>
  <si>
    <t>GetRevaluationData2</t>
  </si>
  <si>
    <t>GetDataClosing1</t>
  </si>
  <si>
    <t>CleanUp-0006</t>
  </si>
  <si>
    <t>CA-0006</t>
  </si>
  <si>
    <t>AddNonTradingTransaction1</t>
  </si>
  <si>
    <t>CleanUp-0007</t>
  </si>
  <si>
    <t>CA-0007</t>
  </si>
  <si>
    <t>CleanUp-0008</t>
  </si>
  <si>
    <t>CA-0008</t>
  </si>
  <si>
    <t>Apply CA and set Effective date as Day 3 with Day1 symbol - Close At Given Price
With Closing applied</t>
  </si>
  <si>
    <t>CleanUp-0009</t>
  </si>
  <si>
    <t>CA-0009</t>
  </si>
  <si>
    <t>Apply CA and set Effective date as Day 2 with Day1 symbol in both funds - No Cash In Lieu
With 2 Funds
Partial Closed
Sides: Buy to Close, Sell short</t>
  </si>
  <si>
    <t>CleanUp-0010</t>
  </si>
  <si>
    <t>CA-0010</t>
  </si>
  <si>
    <t>Apply CA and set Effective date as Day 3 with Day1 symbol in both funds - Close at Given Price
With 2 Funds
Partial Closed
Sides: Buy to Close, Sell short</t>
  </si>
  <si>
    <t>VerifyActivity2</t>
  </si>
  <si>
    <t>CleanUp-0011</t>
  </si>
  <si>
    <t>CA-0011</t>
  </si>
  <si>
    <t>Use Case 3 Sell at NoCashInLieu</t>
  </si>
  <si>
    <t>CA-0012</t>
  </si>
  <si>
    <t>Apply CA and set Effective date as Day 2 - No Cash In Lieu
Where Side = Buy With Broker</t>
  </si>
  <si>
    <t>CleanUp-0013</t>
  </si>
  <si>
    <t>CA-0013</t>
  </si>
  <si>
    <t>Apply CA and set Effective date as Day 3 -Close at Given Price
Where Side = Sell Short With Broker</t>
  </si>
  <si>
    <t>CleanUp-0014</t>
  </si>
  <si>
    <t>Delete all data</t>
  </si>
  <si>
    <t>CA-0014</t>
  </si>
  <si>
    <t>Apply CA and set Effective date as Day 3 - No Cash In Lieu
Where Side = Sell short With Broker</t>
  </si>
  <si>
    <t>CleanUp-0015</t>
  </si>
  <si>
    <t>CA-0015</t>
  </si>
  <si>
    <t>Apply CA on international equities
No Cash in lieu
Side= Buy
Currency = EUR
(Use case 5)</t>
  </si>
  <si>
    <t>UpdateForexConversion1</t>
  </si>
  <si>
    <t>GetForexConversion2</t>
  </si>
  <si>
    <t>UpdateForexConversion2</t>
  </si>
  <si>
    <t>CleanUp-0016</t>
  </si>
  <si>
    <t>CA-0016</t>
  </si>
  <si>
    <t>Apply CA and set Effective date as Day 3 -Close at Given Price
Where Side = Sell Short Broker</t>
  </si>
  <si>
    <t>CleanUp-0017</t>
  </si>
  <si>
    <t>CA-0017</t>
  </si>
  <si>
    <t>Apply CA and set Effective date as Day 3 -Close at Given Price
Where Side = Sell Short
Use Case 3</t>
  </si>
  <si>
    <t>AutomaticClosing1</t>
  </si>
  <si>
    <t>GetDayEndCash2</t>
  </si>
  <si>
    <t>OpenSpinOff1</t>
  </si>
  <si>
    <t>SpinOff1</t>
  </si>
  <si>
    <t>VerifyAndApplyCorpAction1</t>
  </si>
  <si>
    <t>GetMarkPriceData4</t>
  </si>
  <si>
    <t>UpdateMarkPrice3</t>
  </si>
  <si>
    <t>GetAccountBalance3</t>
  </si>
  <si>
    <t>GetRevaluationData3</t>
  </si>
  <si>
    <t>VerifyRevaluationData2</t>
  </si>
  <si>
    <t>GetActivityData2</t>
  </si>
  <si>
    <t>GetDataClosing2</t>
  </si>
  <si>
    <t>CleanUp-0018</t>
  </si>
  <si>
    <t>Delete All Client Data</t>
  </si>
  <si>
    <t>CA-0018</t>
  </si>
  <si>
    <t>Apply CA on international equities
No Cash in lieu
Side= Sell Short
Currency = EUR
(Use Case 5)</t>
  </si>
  <si>
    <t>CleanUp-0019</t>
  </si>
  <si>
    <t>CA-0019</t>
  </si>
  <si>
    <t>Apply CA on international equities No Cash in lieu 
Side= Buy
Currency = CAD (Use Case 5)</t>
  </si>
  <si>
    <t>CleanUp-0020</t>
  </si>
  <si>
    <t>Delete all the Client Data</t>
  </si>
  <si>
    <t>CA-0020</t>
  </si>
  <si>
    <t>Apply CA on international equities
Close at Given Price
Side= Sell Short
Currency = EUR
(Use Case 5)</t>
  </si>
  <si>
    <t>CleanUp-0021</t>
  </si>
  <si>
    <t>Delete All client Data</t>
  </si>
  <si>
    <t>CA-0021</t>
  </si>
  <si>
    <t>Apply CA on international equities
Close at Given Price
Side= Sell Short
Currency = CAD
Conversion Method = D
(Use Case 5)</t>
  </si>
  <si>
    <t>CleanUp-0022</t>
  </si>
  <si>
    <t>CA-0022</t>
  </si>
  <si>
    <t>Apply CA on international equities
No Cash In Lieu
Side= Buy
Funds= 2
Partial Closing
Currency = EUR
Conversion Method = M
(Use Case 8)</t>
  </si>
  <si>
    <t>CleanUp-0023</t>
  </si>
  <si>
    <t>Delete all the client data</t>
  </si>
  <si>
    <t>CA-0023</t>
  </si>
  <si>
    <t>Apply CA on international equities
Close at Given Price
Side= Buy
Funds= 2
Partial Closing
Currency = EUR
Conversion Method = M
(Use Case 8)</t>
  </si>
  <si>
    <t>CleanUp-0024</t>
  </si>
  <si>
    <t>CA-0024</t>
  </si>
  <si>
    <t>Apply CA on international equities
No Cash In Lieu
Side= Buy
Funds= 2
Currency = EUR
Conversion Method = M
(Use Case 6)</t>
  </si>
  <si>
    <t>CleanUp-0025</t>
  </si>
  <si>
    <t>CA-0025</t>
  </si>
  <si>
    <t>Apply CA on international equities
Close At Given Price
Side= Buy
Funds= 2
Currency = EUR
Conversion Method = M
(Use Case 6)</t>
  </si>
  <si>
    <t>CleanUp-0026</t>
  </si>
  <si>
    <t>Delete all the client Data</t>
  </si>
  <si>
    <t>CA-0026</t>
  </si>
  <si>
    <t>Apply CA on international equities
No Cash In Lieu
Side= Sell Short
Funds= 2
Currency = EUR
Conversion Method = M
(Use Case 6)</t>
  </si>
  <si>
    <t>CleanUp-0027</t>
  </si>
  <si>
    <t>Delete All Data</t>
  </si>
  <si>
    <t>CA-0027</t>
  </si>
  <si>
    <t>Apply CA on international equities
No Cash In Lieu
Side= Buy
Apply on Day 3 with Day 1 Symbol
Currency = EUR
Conversion Method = M
(Use Case 7)</t>
  </si>
  <si>
    <t>CleanUp-0028</t>
  </si>
  <si>
    <t>CA-0028</t>
  </si>
  <si>
    <t>Apply CA on international equities
No Cash In Lieu
Side= Sell short
Apply on Day 3 with Day 1 Symbol
Currency = EUR
Conversion Method = M
(Use Case 7)</t>
  </si>
  <si>
    <t>CleanUp-0029</t>
  </si>
  <si>
    <t>CA-0029</t>
  </si>
  <si>
    <t>Apply CA on international equities
No Cash in Lieu
Side= Sell Short
Currency = CAD
Conversion Method = D
(Use Case 5)</t>
  </si>
  <si>
    <t>CleanUp-0030</t>
  </si>
  <si>
    <t>CA-0030</t>
  </si>
  <si>
    <t>Apply CA on international equities
Close at Given Price
Side= Buy
Currency = EUR
Conversion Method = M
(Use Case 5)</t>
  </si>
  <si>
    <t>CleanUp-0031</t>
  </si>
  <si>
    <t>Delete all the Client data</t>
  </si>
  <si>
    <t>CA-0031</t>
  </si>
  <si>
    <t>Apply CA on international equities
Close at Given Price
Side= Sell Short
Funds= 2
Currency = EUR
Conversion Method = M
(Use Case 6)</t>
  </si>
  <si>
    <t>CleanUp-0032</t>
  </si>
  <si>
    <t>CA-0032</t>
  </si>
  <si>
    <t>Apply CA on international equities
No Cash In Lieu
Side= Sell short, Buy to Close
Funds= 2
Partial Closing
Currency = EUR
Conversion Method = M
(Use Case 8)</t>
  </si>
  <si>
    <t>CleanUp-0033</t>
  </si>
  <si>
    <t>Delete al the client data</t>
  </si>
  <si>
    <t>CA-0033</t>
  </si>
  <si>
    <t>Apply CA on international equities
Close at Given Price
Side= Sell short, Buy to Close
Funds= 2
Partial Closing
Currency = EUR
Conversion Method = M
(Use Case 8)</t>
  </si>
  <si>
    <t>CleanUp-0034</t>
  </si>
  <si>
    <t>CA-0034</t>
  </si>
  <si>
    <t>Apply CA on international equities
Close at given price
In 2 Funds
- Side = Sell short
- Conversion Method = D
- Corporate Action = Spin Off 
- Broker = MS
-Currency= CAD
(Use Case 6)</t>
  </si>
  <si>
    <t>CleanUp-0035</t>
  </si>
  <si>
    <t>CA-0035</t>
  </si>
  <si>
    <t>Apply CA on international equities 
No Cash in lieu
In 2 Funds 
- Side = Sell short
 - Conversion Method = D 
- Corporate Action = Spin Off
- Broker = MS 
-Currency= CAD (Use Case 6)</t>
  </si>
  <si>
    <t>CleanUp-0036</t>
  </si>
  <si>
    <t>CA-0036</t>
  </si>
  <si>
    <t>Apply CA on international equities 
No Cash in lieu In 2 Funds - 
Side = Buy
- Conversion Method = D 
- Corporate Action = Spin Off 
- Broker = MS 
-Currency= CAD 
(Use Case 6)</t>
  </si>
  <si>
    <t>CleanUp-0037</t>
  </si>
  <si>
    <t>Delete all the client data.</t>
  </si>
  <si>
    <t>CA-0037</t>
  </si>
  <si>
    <t xml:space="preserve">Apply CA on international equities.
- Symbol = International Equity
- Side = Buy
- Conversion Method = D
- Corporate Action = Spin Off with ClosingAtGivenPrice
- Note : Apply CA and set Effective date as Day 3 with Day1 symbol - Close at Given Price
(Use Case 7) </t>
  </si>
  <si>
    <t>CleanUp-0038</t>
  </si>
  <si>
    <t>CA-0038</t>
  </si>
  <si>
    <t xml:space="preserve">Apply CA on international equities.
- Symbol = International Equity
- Side = Buy
- Conversion Method = D
-Closing Applied
- Corporate Action = Spin Off with ClosingAtGivenPrice
- Note : Apply CA and set Effective date as Day 3 with Day1 symbol - Close at Given Price
(Use Case 7) </t>
  </si>
  <si>
    <t>CleanUp-0039</t>
  </si>
  <si>
    <t>CA-0039</t>
  </si>
  <si>
    <t>Apply CA on international equities 
Close at given price In 2 Funds - 
Side = Buy
- Conversion Method = D 
- Corporate Action = Spin Off 
- Broker = MS 
-Currency= CAD 
(Use Case 6)</t>
  </si>
  <si>
    <t>CleanUp-0040</t>
  </si>
  <si>
    <t>CA-0040</t>
  </si>
  <si>
    <t xml:space="preserve"> Apply CA on international equities
Buy with close at given price
Side= Buy
Apply on Day 3 with Day 1 Symbol
Currency = EUR
Conversion Method = M
(Use Case 7)</t>
  </si>
  <si>
    <t>CleanUp-0041</t>
  </si>
  <si>
    <t>CA-0041</t>
  </si>
  <si>
    <t>Apply CA on international equities 
Close at given price 
Side = Sell short
- Conversion Method = M 
- Corporate Action = Spin Off 
- Broker = MS 
-Currency= EUR
(Use Case 7)</t>
  </si>
  <si>
    <t>CleanUp-0042</t>
  </si>
  <si>
    <t>CA-0042</t>
  </si>
  <si>
    <t>Apply CA on international equities 
No Cash In lieu
Side = Sell short
- Conversion Method = D
- Corporate Action = Spin Off 
- Broker = MS 
-Currency= CAD 
(Use Case 7)</t>
  </si>
  <si>
    <t>CleanUp-0043</t>
  </si>
  <si>
    <t>CA-0043</t>
  </si>
  <si>
    <t>Apply CA on international equities 
No Cash In lieu
Side = Buy
- Conversion Method = D
- Corporate Action = Spin Off 
- Broker = MS 
-Currency= CAD 
(Use Case 7)</t>
  </si>
  <si>
    <t>CleanUp-0044</t>
  </si>
  <si>
    <t>CA-0044</t>
  </si>
  <si>
    <t>Apply CA on international equities
Close at Given Price
Side= Sell short, Buy to Close
Funds= 2
Partial Closing
Currency = CAD
Conversion Method = D
(Use Case 8)</t>
  </si>
  <si>
    <t>CleanUp-0045</t>
  </si>
  <si>
    <t>CA-0045</t>
  </si>
  <si>
    <t>Apply CA on international equities
Close at Given Price
Side= Buy, Sell
Funds= 2
Partial Closing
Currency = CAD
Conversion Method = D
(Use Case 8)</t>
  </si>
  <si>
    <t>CleanUp-0046</t>
  </si>
  <si>
    <t>CA-0046</t>
  </si>
  <si>
    <t>Apply CA on international equities
NoCashInLieu
Side= Buy, Sell
Funds= 2
Partial Closing
Currency = CAD
Conversion Method = D
(Use Case 8)</t>
  </si>
  <si>
    <t>CleanUp-0047</t>
  </si>
  <si>
    <t>CA-0047</t>
  </si>
  <si>
    <t>Apply CA on international equities
NoCashInLieu
Side= Sell short, Buy to close
Funds= 2
Partial Closing
Currency = CAD
Conversion Method = D
(Use Case 8)</t>
  </si>
  <si>
    <t>CleanUp-0048</t>
  </si>
  <si>
    <t>CA-0048</t>
  </si>
  <si>
    <t>Apply CA on international equities
Close at Given Price
Side= Buy
Currency = CAD
Conversion Method = D
(Use Case 5)</t>
  </si>
  <si>
    <t>CleanUp-0049</t>
  </si>
  <si>
    <t>CA-0049</t>
  </si>
  <si>
    <t>Apply CA on international equities 
Close At Given Price
Side = Buy
- Conversion Method = M
- Corporate Action = Spin Off 
- Broker = MS 
-Currency= EUR
(Use Case 7)</t>
  </si>
  <si>
    <t>add fill</t>
  </si>
  <si>
    <t>Blotter-0001</t>
  </si>
  <si>
    <t xml:space="preserve"> Replace With Same Quantity,Create Trade(New Sub) with Same quantity</t>
  </si>
  <si>
    <t>https://docs.google.com/spreadsheets/d/1SqdB4JAIN21QhgLTSf5DwTCo5mAdoG4s5F_jW8WhmHM/edit#gid=2050934700</t>
  </si>
  <si>
    <t>https://docs.google.com/spreadsheets/d/1SqdB4JAIN21QhgLTSf5DwTCo5mAdoG4s5F_jW8WhmHM/edit#gid=1529960401</t>
  </si>
  <si>
    <t>https://docs.google.com/spreadsheets/d/1SqdB4JAIN21QhgLTSf5DwTCo5mAdoG4s5F_jW8WhmHM/edit#gid=1438360222</t>
  </si>
  <si>
    <t>https://docs.google.com/spreadsheets/d/1SqdB4JAIN21QhgLTSf5DwTCo5mAdoG4s5F_jW8WhmHM/edit#gid=1849223758</t>
  </si>
  <si>
    <t>https://docs.google.com/spreadsheets/d/1SqdB4JAIN21QhgLTSf5DwTCo5mAdoG4s5F_jW8WhmHM/edit#gid=734556809</t>
  </si>
  <si>
    <t>https://docs.google.com/spreadsheets/d/1SqdB4JAIN21QhgLTSf5DwTCo5mAdoG4s5F_jW8WhmHM/edit#gid=946481950</t>
  </si>
  <si>
    <t>https://docs.google.com/spreadsheets/d/1SqdB4JAIN21QhgLTSf5DwTCo5mAdoG4s5F_jW8WhmHM/edit#gid=652809041</t>
  </si>
  <si>
    <t>https://docs.google.com/spreadsheets/d/1SqdB4JAIN21QhgLTSf5DwTCo5mAdoG4s5F_jW8WhmHM/edit#gid=918757222</t>
  </si>
  <si>
    <t>https://docs.google.com/spreadsheets/d/1SqdB4JAIN21QhgLTSf5DwTCo5mAdoG4s5F_jW8WhmHM/edit#gid=1098106669</t>
  </si>
  <si>
    <t>Blotter-0002</t>
  </si>
  <si>
    <t>Replace With Less Quantity,Create Trade(New Sub) with Less quantity</t>
  </si>
  <si>
    <t>https://docs.google.com/spreadsheets/d/1xwjQ2I0LGTa8y3CXBiADY2rBRxzGTBYOTxKZW5zCfY8/edit#gid=1789843972</t>
  </si>
  <si>
    <t>https://docs.google.com/spreadsheets/d/1xwjQ2I0LGTa8y3CXBiADY2rBRxzGTBYOTxKZW5zCfY8/edit#gid=245224134</t>
  </si>
  <si>
    <t>https://docs.google.com/spreadsheets/d/1xwjQ2I0LGTa8y3CXBiADY2rBRxzGTBYOTxKZW5zCfY8/edit#gid=935160100</t>
  </si>
  <si>
    <t>https://docs.google.com/spreadsheets/d/1xwjQ2I0LGTa8y3CXBiADY2rBRxzGTBYOTxKZW5zCfY8/edit#gid=1284119555</t>
  </si>
  <si>
    <t>https://docs.google.com/spreadsheets/d/1xwjQ2I0LGTa8y3CXBiADY2rBRxzGTBYOTxKZW5zCfY8/edit#gid=904985387</t>
  </si>
  <si>
    <t>https://docs.google.com/spreadsheets/d/1xwjQ2I0LGTa8y3CXBiADY2rBRxzGTBYOTxKZW5zCfY8/edit#gid=599475168</t>
  </si>
  <si>
    <t>https://docs.google.com/spreadsheets/d/1xwjQ2I0LGTa8y3CXBiADY2rBRxzGTBYOTxKZW5zCfY8/edit#gid=1210673759</t>
  </si>
  <si>
    <t>https://docs.google.com/spreadsheets/d/1xwjQ2I0LGTa8y3CXBiADY2rBRxzGTBYOTxKZW5zCfY8/edit#gid=820922282</t>
  </si>
  <si>
    <t>https://docs.google.com/spreadsheets/d/1xwjQ2I0LGTa8y3CXBiADY2rBRxzGTBYOTxKZW5zCfY8/edit#gid=297777094</t>
  </si>
  <si>
    <t>Blotter-0004</t>
  </si>
  <si>
    <t>Create Multiple Trade(New Sub) ,Cancel (With Sub Orders) with Multiple sub order</t>
  </si>
  <si>
    <t>https://docs.google.com/spreadsheets/d/14COkU_ppaSPpvh3o8lj4ugwF3BuIvbZT9_wd7V7Ejs4/edit#gid=687945120</t>
  </si>
  <si>
    <t>https://docs.google.com/spreadsheets/d/14COkU_ppaSPpvh3o8lj4ugwF3BuIvbZT9_wd7V7Ejs4/edit#gid=1217361057</t>
  </si>
  <si>
    <t>https://docs.google.com/spreadsheets/d/14COkU_ppaSPpvh3o8lj4ugwF3BuIvbZT9_wd7V7Ejs4/edit#gid=489258163</t>
  </si>
  <si>
    <t>https://docs.google.com/spreadsheets/d/14COkU_ppaSPpvh3o8lj4ugwF3BuIvbZT9_wd7V7Ejs4/edit#gid=1774594382</t>
  </si>
  <si>
    <t>TradeNewSubOrder2</t>
  </si>
  <si>
    <t>https://docs.google.com/spreadsheets/d/14COkU_ppaSPpvh3o8lj4ugwF3BuIvbZT9_wd7V7Ejs4/edit#gid=1295927195</t>
  </si>
  <si>
    <t>CreateNewSubOrder2</t>
  </si>
  <si>
    <t>https://docs.google.com/spreadsheets/d/14COkU_ppaSPpvh3o8lj4ugwF3BuIvbZT9_wd7V7Ejs4/edit#gid=742915833</t>
  </si>
  <si>
    <t>https://docs.google.com/spreadsheets/d/14COkU_ppaSPpvh3o8lj4ugwF3BuIvbZT9_wd7V7Ejs4/edit#gid=1238371845</t>
  </si>
  <si>
    <t>https://docs.google.com/spreadsheets/d/14COkU_ppaSPpvh3o8lj4ugwF3BuIvbZT9_wd7V7Ejs4/edit#gid=1314629598</t>
  </si>
  <si>
    <t>https://docs.google.com/spreadsheets/d/14COkU_ppaSPpvh3o8lj4ugwF3BuIvbZT9_wd7V7Ejs4/edit#gid=1407613350</t>
  </si>
  <si>
    <t>https://docs.google.com/spreadsheets/d/14COkU_ppaSPpvh3o8lj4ugwF3BuIvbZT9_wd7V7Ejs4/edit#gid=907053413</t>
  </si>
  <si>
    <t>Blotter-0005</t>
  </si>
  <si>
    <t>Cancel (With Sub Orders) with 1 sub order</t>
  </si>
  <si>
    <t>https://docs.google.com/spreadsheets/d/10mFr1Kd4vaRjqBh3lb28d50JB4Lmi9-uoU9J_slrcEs/edit#gid=778527096</t>
  </si>
  <si>
    <t>https://docs.google.com/spreadsheets/d/10mFr1Kd4vaRjqBh3lb28d50JB4Lmi9-uoU9J_slrcEs/edit#gid=267574951</t>
  </si>
  <si>
    <t>https://docs.google.com/spreadsheets/d/10mFr1Kd4vaRjqBh3lb28d50JB4Lmi9-uoU9J_slrcEs/edit#gid=2129732236</t>
  </si>
  <si>
    <t>https://docs.google.com/spreadsheets/d/10mFr1Kd4vaRjqBh3lb28d50JB4Lmi9-uoU9J_slrcEs/edit#gid=309184604</t>
  </si>
  <si>
    <t>https://docs.google.com/spreadsheets/d/10mFr1Kd4vaRjqBh3lb28d50JB4Lmi9-uoU9J_slrcEs/edit#gid=531548524</t>
  </si>
  <si>
    <t>https://docs.google.com/spreadsheets/d/10mFr1Kd4vaRjqBh3lb28d50JB4Lmi9-uoU9J_slrcEs/edit#gid=1270172135</t>
  </si>
  <si>
    <t>https://docs.google.com/spreadsheets/d/10mFr1Kd4vaRjqBh3lb28d50JB4Lmi9-uoU9J_slrcEs/edit#gid=1939329364</t>
  </si>
  <si>
    <t>https://docs.google.com/spreadsheets/d/10mFr1Kd4vaRjqBh3lb28d50JB4Lmi9-uoU9J_slrcEs/edit#gid=1592942189</t>
  </si>
  <si>
    <t>Blotter-0006</t>
  </si>
  <si>
    <t>https://docs.google.com/spreadsheets/d/1xVrnnGB7KVHQpMF1gNf8KftlcUvz4z-YChCT_cIk-Xw/edit#gid=967390590</t>
  </si>
  <si>
    <t>https://docs.google.com/spreadsheets/d/1xVrnnGB7KVHQpMF1gNf8KftlcUvz4z-YChCT_cIk-Xw/edit#gid=1435736161</t>
  </si>
  <si>
    <t>https://docs.google.com/spreadsheets/d/1xVrnnGB7KVHQpMF1gNf8KftlcUvz4z-YChCT_cIk-Xw/edit#gid=399268999</t>
  </si>
  <si>
    <t>https://docs.google.com/spreadsheets/d/1xVrnnGB7KVHQpMF1gNf8KftlcUvz4z-YChCT_cIk-Xw/edit#gid=1371444512</t>
  </si>
  <si>
    <t>https://docs.google.com/spreadsheets/d/1xVrnnGB7KVHQpMF1gNf8KftlcUvz4z-YChCT_cIk-Xw/edit#gid=874409092</t>
  </si>
  <si>
    <t>https://docs.google.com/spreadsheets/d/1xVrnnGB7KVHQpMF1gNf8KftlcUvz4z-YChCT_cIk-Xw/edit#gid=790929863</t>
  </si>
  <si>
    <t>https://docs.google.com/spreadsheets/d/1xVrnnGB7KVHQpMF1gNf8KftlcUvz4z-YChCT_cIk-Xw/edit#gid=793006913</t>
  </si>
  <si>
    <t>https://docs.google.com/spreadsheets/d/1xVrnnGB7KVHQpMF1gNf8KftlcUvz4z-YChCT_cIk-Xw/edit#gid=895081624</t>
  </si>
  <si>
    <t>https://docs.google.com/spreadsheets/d/1xVrnnGB7KVHQpMF1gNf8KftlcUvz4z-YChCT_cIk-Xw/edit#gid=1026598742</t>
  </si>
  <si>
    <t>https://docs.google.com/spreadsheets/d/1xVrnnGB7KVHQpMF1gNf8KftlcUvz4z-YChCT_cIk-Xw/edit#gid=581943955</t>
  </si>
  <si>
    <t>Blotter-0007</t>
  </si>
  <si>
    <t>Transfer to user</t>
  </si>
  <si>
    <t>https://docs.google.com/spreadsheets/d/1rx7wx7EP5dJmTnNgZa2TlMl3y8y12XupQbvo_C9heao/edit#gid=849020196</t>
  </si>
  <si>
    <t>https://docs.google.com/spreadsheets/d/1rx7wx7EP5dJmTnNgZa2TlMl3y8y12XupQbvo_C9heao/edit#gid=409824721</t>
  </si>
  <si>
    <t>https://docs.google.com/spreadsheets/d/1rx7wx7EP5dJmTnNgZa2TlMl3y8y12XupQbvo_C9heao/edit#gid=708546525</t>
  </si>
  <si>
    <t>Blotter-0008</t>
  </si>
  <si>
    <t>Entered TCS Buy 1000 from TT, Click on replace</t>
  </si>
  <si>
    <t>https://docs.google.com/spreadsheets/d/1mGHS0T_z9uO0YYusG17LyadQAixhep_jJotXQNtU1cs/edit#gid=905886464</t>
  </si>
  <si>
    <t>https://docs.google.com/spreadsheets/d/1mGHS0T_z9uO0YYusG17LyadQAixhep_jJotXQNtU1cs/edit#gid=1042275860</t>
  </si>
  <si>
    <t>https://docs.google.com/spreadsheets/d/1mGHS0T_z9uO0YYusG17LyadQAixhep_jJotXQNtU1cs/edit#gid=1047125454</t>
  </si>
  <si>
    <t>https://docs.google.com/spreadsheets/d/1mGHS0T_z9uO0YYusG17LyadQAixhep_jJotXQNtU1cs/edit#gid=209905715</t>
  </si>
  <si>
    <t>https://docs.google.com/spreadsheets/d/1mGHS0T_z9uO0YYusG17LyadQAixhep_jJotXQNtU1cs/edit#gid=1612790774</t>
  </si>
  <si>
    <t>https://docs.google.com/spreadsheets/d/1mGHS0T_z9uO0YYusG17LyadQAixhep_jJotXQNtU1cs/edit#gid=1031480368</t>
  </si>
  <si>
    <t>https://docs.google.com/spreadsheets/d/1mGHS0T_z9uO0YYusG17LyadQAixhep_jJotXQNtU1cs/edit#gid=241955445</t>
  </si>
  <si>
    <t>https://docs.google.com/spreadsheets/d/1mGHS0T_z9uO0YYusG17LyadQAixhep_jJotXQNtU1cs/edit#gid=1230082133</t>
  </si>
  <si>
    <t>https://docs.google.com/spreadsheets/d/1mGHS0T_z9uO0YYusG17LyadQAixhep_jJotXQNtU1cs/edit#gid=1557957060</t>
  </si>
  <si>
    <t>Blotter-0009</t>
  </si>
  <si>
    <t>Replace With Greater Quantity, Replace With Less Quantity</t>
  </si>
  <si>
    <t>https://docs.google.com/spreadsheets/d/1gkvJZ70sTUlCX8FHp6nlyhGIHonptw9JHZOLBCmdty4/edit#gid=1579237862</t>
  </si>
  <si>
    <t>https://docs.google.com/spreadsheets/d/1gkvJZ70sTUlCX8FHp6nlyhGIHonptw9JHZOLBCmdty4/edit#gid=631989264</t>
  </si>
  <si>
    <t>https://docs.google.com/spreadsheets/d/1gkvJZ70sTUlCX8FHp6nlyhGIHonptw9JHZOLBCmdty4/edit#gid=372196598</t>
  </si>
  <si>
    <t>https://docs.google.com/spreadsheets/d/1gkvJZ70sTUlCX8FHp6nlyhGIHonptw9JHZOLBCmdty4/edit#gid=1417141209</t>
  </si>
  <si>
    <t>EditStageOrder2</t>
  </si>
  <si>
    <t>https://docs.google.com/spreadsheets/d/1gkvJZ70sTUlCX8FHp6nlyhGIHonptw9JHZOLBCmdty4/edit#gid=950108225</t>
  </si>
  <si>
    <t>CreateReplaceOrder2</t>
  </si>
  <si>
    <t>https://docs.google.com/spreadsheets/d/1gkvJZ70sTUlCX8FHp6nlyhGIHonptw9JHZOLBCmdty4/edit#gid=1057696655</t>
  </si>
  <si>
    <t>EditStageOrder3</t>
  </si>
  <si>
    <t>https://docs.google.com/spreadsheets/d/1gkvJZ70sTUlCX8FHp6nlyhGIHonptw9JHZOLBCmdty4/edit#gid=1484428573</t>
  </si>
  <si>
    <t>CreateReplaceOrder3</t>
  </si>
  <si>
    <t>https://docs.google.com/spreadsheets/d/1gkvJZ70sTUlCX8FHp6nlyhGIHonptw9JHZOLBCmdty4/edit#gid=825327633</t>
  </si>
  <si>
    <t>Blotter-0011</t>
  </si>
  <si>
    <t>Create Trade(New Sub) with Less quantity</t>
  </si>
  <si>
    <t>https://docs.google.com/spreadsheets/d/13HT_aMhvsKktKdjnZuGN1I3NSzlMIPkFcRLQb9Ke65Y/edit#gid=1028917484</t>
  </si>
  <si>
    <t>https://docs.google.com/spreadsheets/d/13HT_aMhvsKktKdjnZuGN1I3NSzlMIPkFcRLQb9Ke65Y/edit#gid=1845487491</t>
  </si>
  <si>
    <t>https://docs.google.com/spreadsheets/d/13HT_aMhvsKktKdjnZuGN1I3NSzlMIPkFcRLQb9Ke65Y/edit#gid=1039327058</t>
  </si>
  <si>
    <t>https://docs.google.com/spreadsheets/d/13HT_aMhvsKktKdjnZuGN1I3NSzlMIPkFcRLQb9Ke65Y/edit#gid=1625442567</t>
  </si>
  <si>
    <t>https://docs.google.com/spreadsheets/d/13HT_aMhvsKktKdjnZuGN1I3NSzlMIPkFcRLQb9Ke65Y/edit#gid=796409315</t>
  </si>
  <si>
    <t>https://docs.google.com/spreadsheets/d/13HT_aMhvsKktKdjnZuGN1I3NSzlMIPkFcRLQb9Ke65Y/edit#gid=1492838408</t>
  </si>
  <si>
    <t>https://docs.google.com/spreadsheets/d/13HT_aMhvsKktKdjnZuGN1I3NSzlMIPkFcRLQb9Ke65Y/edit#gid=2079146985</t>
  </si>
  <si>
    <t>Blotter-0012</t>
  </si>
  <si>
    <t xml:space="preserve"> Create Trade(New Sub) with Same quantity</t>
  </si>
  <si>
    <t>https://docs.google.com/spreadsheets/d/1BlWf8K7KTfk6L1BEH7hVDKo1UxU5RIHp7_jkqTzBoho/edit#gid=339614873</t>
  </si>
  <si>
    <t>https://docs.google.com/spreadsheets/d/1BlWf8K7KTfk6L1BEH7hVDKo1UxU5RIHp7_jkqTzBoho/edit#gid=161650353</t>
  </si>
  <si>
    <t>https://docs.google.com/spreadsheets/d/1BlWf8K7KTfk6L1BEH7hVDKo1UxU5RIHp7_jkqTzBoho/edit#gid=1176862967</t>
  </si>
  <si>
    <t>https://docs.google.com/spreadsheets/d/1BlWf8K7KTfk6L1BEH7hVDKo1UxU5RIHp7_jkqTzBoho/edit#gid=312165182</t>
  </si>
  <si>
    <t>https://docs.google.com/spreadsheets/d/1BlWf8K7KTfk6L1BEH7hVDKo1UxU5RIHp7_jkqTzBoho/edit#gid=998867328</t>
  </si>
  <si>
    <t>https://docs.google.com/spreadsheets/d/1BlWf8K7KTfk6L1BEH7hVDKo1UxU5RIHp7_jkqTzBoho/edit#gid=1244857743</t>
  </si>
  <si>
    <t>https://docs.google.com/spreadsheets/d/1BlWf8K7KTfk6L1BEH7hVDKo1UxU5RIHp7_jkqTzBoho/edit#gid=1486629684</t>
  </si>
  <si>
    <t>Blotter-0014</t>
  </si>
  <si>
    <t xml:space="preserve">Create Multiple Trade(New Sub) </t>
  </si>
  <si>
    <t>https://docs.google.com/spreadsheets/d/1yDBj0JtCLTi2_wYuxxDSjTy1C5a_AR-_PDuiEJh8aiw/edit#gid=1830506233</t>
  </si>
  <si>
    <t>https://docs.google.com/spreadsheets/d/1yDBj0JtCLTi2_wYuxxDSjTy1C5a_AR-_PDuiEJh8aiw/edit#gid=373134982</t>
  </si>
  <si>
    <t>https://docs.google.com/spreadsheets/d/1yDBj0JtCLTi2_wYuxxDSjTy1C5a_AR-_PDuiEJh8aiw/edit#gid=1136337014</t>
  </si>
  <si>
    <t>https://docs.google.com/spreadsheets/d/1yDBj0JtCLTi2_wYuxxDSjTy1C5a_AR-_PDuiEJh8aiw/edit#gid=1076861343</t>
  </si>
  <si>
    <t>https://docs.google.com/spreadsheets/d/1yDBj0JtCLTi2_wYuxxDSjTy1C5a_AR-_PDuiEJh8aiw/edit#gid=606778450</t>
  </si>
  <si>
    <t>https://docs.google.com/spreadsheets/d/1yDBj0JtCLTi2_wYuxxDSjTy1C5a_AR-_PDuiEJh8aiw/edit#gid=888518194</t>
  </si>
  <si>
    <t>https://docs.google.com/spreadsheets/d/1yDBj0JtCLTi2_wYuxxDSjTy1C5a_AR-_PDuiEJh8aiw/edit#gid=1711127025</t>
  </si>
  <si>
    <t>https://docs.google.com/spreadsheets/d/1yDBj0JtCLTi2_wYuxxDSjTy1C5a_AR-_PDuiEJh8aiw/edit#gid=1151020200</t>
  </si>
  <si>
    <t>https://docs.google.com/spreadsheets/d/1yDBj0JtCLTi2_wYuxxDSjTy1C5a_AR-_PDuiEJh8aiw/edit#gid=477943530</t>
  </si>
  <si>
    <t>https://docs.google.com/spreadsheets/d/1yDBj0JtCLTi2_wYuxxDSjTy1C5a_AR-_PDuiEJh8aiw/edit#gid=879697489</t>
  </si>
  <si>
    <t>https://docs.google.com/spreadsheets/d/1yDBj0JtCLTi2_wYuxxDSjTy1C5a_AR-_PDuiEJh8aiw/edit#gid=1751633983</t>
  </si>
  <si>
    <t>Blotter-0015</t>
  </si>
  <si>
    <t>Cancel (With Sub Orders) with Multiple sub order</t>
  </si>
  <si>
    <t>https://docs.google.com/spreadsheets/d/1bwqN5rudX31mpOuIw87_tpP1n2n7AUS62Jp9M5-1YYM/edit#gid=828162276</t>
  </si>
  <si>
    <t>https://docs.google.com/spreadsheets/d/1bwqN5rudX31mpOuIw87_tpP1n2n7AUS62Jp9M5-1YYM/edit#gid=1543811221</t>
  </si>
  <si>
    <t>https://docs.google.com/spreadsheets/d/1bwqN5rudX31mpOuIw87_tpP1n2n7AUS62Jp9M5-1YYM/edit#gid=1570025537</t>
  </si>
  <si>
    <t>https://docs.google.com/spreadsheets/d/1bwqN5rudX31mpOuIw87_tpP1n2n7AUS62Jp9M5-1YYM/edit#gid=1769930159</t>
  </si>
  <si>
    <t>https://docs.google.com/spreadsheets/d/1bwqN5rudX31mpOuIw87_tpP1n2n7AUS62Jp9M5-1YYM/edit#gid=496501473</t>
  </si>
  <si>
    <t>https://docs.google.com/spreadsheets/d/1bwqN5rudX31mpOuIw87_tpP1n2n7AUS62Jp9M5-1YYM/edit#gid=1337836879</t>
  </si>
  <si>
    <t>https://docs.google.com/spreadsheets/d/1bwqN5rudX31mpOuIw87_tpP1n2n7AUS62Jp9M5-1YYM/edit#gid=387515289</t>
  </si>
  <si>
    <t>https://docs.google.com/spreadsheets/d/1bwqN5rudX31mpOuIw87_tpP1n2n7AUS62Jp9M5-1YYM/edit#gid=1256003922</t>
  </si>
  <si>
    <t>https://docs.google.com/spreadsheets/d/1bwqN5rudX31mpOuIw87_tpP1n2n7AUS62Jp9M5-1YYM/edit#gid=194118942</t>
  </si>
  <si>
    <t>https://docs.google.com/spreadsheets/d/1bwqN5rudX31mpOuIw87_tpP1n2n7AUS62Jp9M5-1YYM/edit#gid=690666390</t>
  </si>
  <si>
    <t>https://docs.google.com/spreadsheets/d/1bwqN5rudX31mpOuIw87_tpP1n2n7AUS62Jp9M5-1YYM/edit#gid=1444075433</t>
  </si>
  <si>
    <t>https://docs.google.com/spreadsheets/d/1bwqN5rudX31mpOuIw87_tpP1n2n7AUS62Jp9M5-1YYM/edit#gid=1200065027</t>
  </si>
  <si>
    <t>Blotter-0016</t>
  </si>
  <si>
    <t>Enter quantity &gt; executed quantity,Enter quantity = executed quantity</t>
  </si>
  <si>
    <t>https://docs.google.com/spreadsheets/d/1n46UJ7adDiNycYfjs42_2ILId2_-fxX4kB7kCAa7o1I/edit#gid=1409198373</t>
  </si>
  <si>
    <t>https://docs.google.com/spreadsheets/d/1n46UJ7adDiNycYfjs42_2ILId2_-fxX4kB7kCAa7o1I/edit#gid=1049243240</t>
  </si>
  <si>
    <t>https://docs.google.com/spreadsheets/d/1n46UJ7adDiNycYfjs42_2ILId2_-fxX4kB7kCAa7o1I/edit#gid=2105754770</t>
  </si>
  <si>
    <t>https://docs.google.com/spreadsheets/d/1n46UJ7adDiNycYfjs42_2ILId2_-fxX4kB7kCAa7o1I/edit#gid=1378901240</t>
  </si>
  <si>
    <t>ReplaceWorkingSubs2</t>
  </si>
  <si>
    <t>https://docs.google.com/spreadsheets/d/1n46UJ7adDiNycYfjs42_2ILId2_-fxX4kB7kCAa7o1I/edit#gid=1210938297</t>
  </si>
  <si>
    <t>https://docs.google.com/spreadsheets/d/1n46UJ7adDiNycYfjs42_2ILId2_-fxX4kB7kCAa7o1I/edit#gid=1829129888</t>
  </si>
  <si>
    <t>https://docs.google.com/spreadsheets/d/1n46UJ7adDiNycYfjs42_2ILId2_-fxX4kB7kCAa7o1I/edit#gid=836342338</t>
  </si>
  <si>
    <t>https://docs.google.com/spreadsheets/d/1n46UJ7adDiNycYfjs42_2ILId2_-fxX4kB7kCAa7o1I/edit#gid=1942446359</t>
  </si>
  <si>
    <t>https://docs.google.com/spreadsheets/d/1n46UJ7adDiNycYfjs42_2ILId2_-fxX4kB7kCAa7o1I/edit#gid=444524941</t>
  </si>
  <si>
    <t>Blotter-0017</t>
  </si>
  <si>
    <t>Entered APPL Buy 1000 from TT in Allocation2, CreateOrder</t>
  </si>
  <si>
    <t>https://docs.google.com/spreadsheets/d/1LdCw-8C9thCi1oOKT2TETZLvNzfqx5AjFpnoA5MUjhs/edit#gid=141896095</t>
  </si>
  <si>
    <t>https://docs.google.com/spreadsheets/d/1LdCw-8C9thCi1oOKT2TETZLvNzfqx5AjFpnoA5MUjhs/edit#gid=315729586</t>
  </si>
  <si>
    <t>Blotter-0018</t>
  </si>
  <si>
    <t>Enter IBM Buy 1000 from TT in Fund2, Done Away, Replace, Verify on all module</t>
  </si>
  <si>
    <t>https://docs.google.com/spreadsheets/d/15bDupb1MgGXCQdRzv1miqlAhiURBH5S_ujJqWnFgQ0o/edit#gid=371717908</t>
  </si>
  <si>
    <t>https://docs.google.com/spreadsheets/d/15bDupb1MgGXCQdRzv1miqlAhiURBH5S_ujJqWnFgQ0o/edit#gid=295395362</t>
  </si>
  <si>
    <t>https://docs.google.com/spreadsheets/d/15bDupb1MgGXCQdRzv1miqlAhiURBH5S_ujJqWnFgQ0o/edit#gid=198743901</t>
  </si>
  <si>
    <t>https://docs.google.com/spreadsheets/d/15bDupb1MgGXCQdRzv1miqlAhiURBH5S_ujJqWnFgQ0o/edit#gid=759412932</t>
  </si>
  <si>
    <t>https://docs.google.com/spreadsheets/d/15bDupb1MgGXCQdRzv1miqlAhiURBH5S_ujJqWnFgQ0o/edit#gid=1494686575</t>
  </si>
  <si>
    <t>https://docs.google.com/spreadsheets/d/15bDupb1MgGXCQdRzv1miqlAhiURBH5S_ujJqWnFgQ0o/edit#gid=933288653</t>
  </si>
  <si>
    <t>https://docs.google.com/spreadsheets/d/15bDupb1MgGXCQdRzv1miqlAhiURBH5S_ujJqWnFgQ0o/edit#gid=933564157</t>
  </si>
  <si>
    <t>https://docs.google.com/spreadsheets/d/15bDupb1MgGXCQdRzv1miqlAhiURBH5S_ujJqWnFgQ0o/edit#gid=227569483</t>
  </si>
  <si>
    <t>https://docs.google.com/spreadsheets/d/15bDupb1MgGXCQdRzv1miqlAhiURBH5S_ujJqWnFgQ0o/edit#gid=55232566</t>
  </si>
  <si>
    <t>https://docs.google.com/spreadsheets/d/15bDupb1MgGXCQdRzv1miqlAhiURBH5S_ujJqWnFgQ0o/edit#gid=1906239898</t>
  </si>
  <si>
    <t>https://docs.google.com/spreadsheets/d/15bDupb1MgGXCQdRzv1miqlAhiURBH5S_ujJqWnFgQ0o/edit#gid=894264788</t>
  </si>
  <si>
    <t>https://docs.google.com/spreadsheets/d/15bDupb1MgGXCQdRzv1miqlAhiURBH5S_ujJqWnFgQ0o/edit#gid=1884327772</t>
  </si>
  <si>
    <t>Blotter-0019</t>
  </si>
  <si>
    <t>Trade, TransfertoUser, Replace With Less Quantity</t>
  </si>
  <si>
    <t>https://docs.google.com/spreadsheets/d/14lZwoFCF7ftOuaz3ekD4CDGNHdz6IRPcBK_ivXUciOc/edit#gid=576146602</t>
  </si>
  <si>
    <t>https://docs.google.com/spreadsheets/d/14lZwoFCF7ftOuaz3ekD4CDGNHdz6IRPcBK_ivXUciOc/edit#gid=1817372469</t>
  </si>
  <si>
    <t>https://docs.google.com/spreadsheets/d/14lZwoFCF7ftOuaz3ekD4CDGNHdz6IRPcBK_ivXUciOc/edit#gid=1183130495</t>
  </si>
  <si>
    <t>https://docs.google.com/spreadsheets/d/14lZwoFCF7ftOuaz3ekD4CDGNHdz6IRPcBK_ivXUciOc/edit#gid=513212915</t>
  </si>
  <si>
    <t>https://docs.google.com/spreadsheets/d/14lZwoFCF7ftOuaz3ekD4CDGNHdz6IRPcBK_ivXUciOc/edit#gid=99821997</t>
  </si>
  <si>
    <t>https://docs.google.com/spreadsheets/d/14lZwoFCF7ftOuaz3ekD4CDGNHdz6IRPcBK_ivXUciOc/edit#gid=1508081990</t>
  </si>
  <si>
    <t>https://docs.google.com/spreadsheets/d/14lZwoFCF7ftOuaz3ekD4CDGNHdz6IRPcBK_ivXUciOc/edit#gid=1869287418</t>
  </si>
  <si>
    <t>https://docs.google.com/spreadsheets/d/14lZwoFCF7ftOuaz3ekD4CDGNHdz6IRPcBK_ivXUciOc/edit#gid=338162879</t>
  </si>
  <si>
    <t>https://docs.google.com/spreadsheets/d/14lZwoFCF7ftOuaz3ekD4CDGNHdz6IRPcBK_ivXUciOc/edit#gid=245253182</t>
  </si>
  <si>
    <t>https://docs.google.com/spreadsheets/d/14lZwoFCF7ftOuaz3ekD4CDGNHdz6IRPcBK_ivXUciOc/edit#gid=1189966199</t>
  </si>
  <si>
    <t>https://docs.google.com/spreadsheets/d/14lZwoFCF7ftOuaz3ekD4CDGNHdz6IRPcBK_ivXUciOc/edit#gid=790226068</t>
  </si>
  <si>
    <t>https://docs.google.com/spreadsheets/d/14lZwoFCF7ftOuaz3ekD4CDGNHdz6IRPcBK_ivXUciOc/edit#gid=658687084</t>
  </si>
  <si>
    <t>https://docs.google.com/spreadsheets/d/14lZwoFCF7ftOuaz3ekD4CDGNHdz6IRPcBK_ivXUciOc/edit#gid=1711453877</t>
  </si>
  <si>
    <t>Blotter-0020</t>
  </si>
  <si>
    <t xml:space="preserve"> Done Away Including Settlement Currency, rate, Cancel Trade, Verify</t>
  </si>
  <si>
    <t>https://docs.google.com/spreadsheets/d/1gRZsQ4mNPHFIrrTnJ2F4iqWUiCnhoE8Og1qNwVsrZHU/edit#gid=1876817191</t>
  </si>
  <si>
    <t>https://docs.google.com/spreadsheets/d/1gRZsQ4mNPHFIrrTnJ2F4iqWUiCnhoE8Og1qNwVsrZHU/edit#gid=1616293794</t>
  </si>
  <si>
    <t>https://docs.google.com/spreadsheets/d/1gRZsQ4mNPHFIrrTnJ2F4iqWUiCnhoE8Og1qNwVsrZHU/edit#gid=672636001</t>
  </si>
  <si>
    <t>Blotter-0021</t>
  </si>
  <si>
    <t>SubOrders Tab: Transfer To User, Replace, Cancel</t>
  </si>
  <si>
    <t>https://docs.google.com/spreadsheets/d/1fI0Y_WzftuY9d72KwuKiOIYjupoBW9gVT98ko2sEDZ8/edit#gid=975154059</t>
  </si>
  <si>
    <t>https://docs.google.com/spreadsheets/d/1fI0Y_WzftuY9d72KwuKiOIYjupoBW9gVT98ko2sEDZ8/edit#gid=180274847</t>
  </si>
  <si>
    <t>https://docs.google.com/spreadsheets/d/1fI0Y_WzftuY9d72KwuKiOIYjupoBW9gVT98ko2sEDZ8/edit#gid=1834796099</t>
  </si>
  <si>
    <t>https://docs.google.com/spreadsheets/d/1fI0Y_WzftuY9d72KwuKiOIYjupoBW9gVT98ko2sEDZ8/edit#gid=1143927033</t>
  </si>
  <si>
    <t>https://docs.google.com/spreadsheets/d/1fI0Y_WzftuY9d72KwuKiOIYjupoBW9gVT98ko2sEDZ8/edit#gid=2082268842</t>
  </si>
  <si>
    <t>https://docs.google.com/spreadsheets/d/1fI0Y_WzftuY9d72KwuKiOIYjupoBW9gVT98ko2sEDZ8/edit#gid=2132408578</t>
  </si>
  <si>
    <t>https://docs.google.com/spreadsheets/d/1fI0Y_WzftuY9d72KwuKiOIYjupoBW9gVT98ko2sEDZ8/edit#gid=725876685</t>
  </si>
  <si>
    <t>https://docs.google.com/spreadsheets/d/1fI0Y_WzftuY9d72KwuKiOIYjupoBW9gVT98ko2sEDZ8/edit#gid=1710430842</t>
  </si>
  <si>
    <t>https://docs.google.com/spreadsheets/d/1fI0Y_WzftuY9d72KwuKiOIYjupoBW9gVT98ko2sEDZ8/edit#gid=1845569316</t>
  </si>
  <si>
    <t>https://docs.google.com/spreadsheets/d/1fI0Y_WzftuY9d72KwuKiOIYjupoBW9gVT98ko2sEDZ8/edit#gid=817646027</t>
  </si>
  <si>
    <t>Blotter-0022</t>
  </si>
  <si>
    <t>Add Fills(WorkingSub, SubOrder) and verification on other modules</t>
  </si>
  <si>
    <t>https://docs.google.com/spreadsheets/d/1gGI4i8N2MnnXiiyKxYXuElsb39PZtKQx-p0tXXOa15Y/edit#gid=597125053</t>
  </si>
  <si>
    <t>https://docs.google.com/spreadsheets/d/1gGI4i8N2MnnXiiyKxYXuElsb39PZtKQx-p0tXXOa15Y/edit#gid=1429039360</t>
  </si>
  <si>
    <t>https://docs.google.com/spreadsheets/d/1gGI4i8N2MnnXiiyKxYXuElsb39PZtKQx-p0tXXOa15Y/edit#gid=138016748</t>
  </si>
  <si>
    <t>https://docs.google.com/spreadsheets/d/1gGI4i8N2MnnXiiyKxYXuElsb39PZtKQx-p0tXXOa15Y/edit#gid=857170448</t>
  </si>
  <si>
    <t>https://docs.google.com/spreadsheets/d/1gGI4i8N2MnnXiiyKxYXuElsb39PZtKQx-p0tXXOa15Y/edit#gid=2059288174</t>
  </si>
  <si>
    <t>https://docs.google.com/spreadsheets/d/1gGI4i8N2MnnXiiyKxYXuElsb39PZtKQx-p0tXXOa15Y/edit#gid=1295447872</t>
  </si>
  <si>
    <t>https://docs.google.com/spreadsheets/d/1gGI4i8N2MnnXiiyKxYXuElsb39PZtKQx-p0tXXOa15Y/edit#gid=420185123</t>
  </si>
  <si>
    <t>https://docs.google.com/spreadsheets/d/1gGI4i8N2MnnXiiyKxYXuElsb39PZtKQx-p0tXXOa15Y/edit#gid=728935669</t>
  </si>
  <si>
    <t>https://docs.google.com/spreadsheets/d/1gGI4i8N2MnnXiiyKxYXuElsb39PZtKQx-p0tXXOa15Y/edit#gid=246482763</t>
  </si>
  <si>
    <t>https://docs.google.com/spreadsheets/d/1gGI4i8N2MnnXiiyKxYXuElsb39PZtKQx-p0tXXOa15Y/edit#gid=857826315</t>
  </si>
  <si>
    <t>https://docs.google.com/spreadsheets/d/1gGI4i8N2MnnXiiyKxYXuElsb39PZtKQx-p0tXXOa15Y/edit#gid=1955316516</t>
  </si>
  <si>
    <t>https://docs.google.com/spreadsheets/d/1gGI4i8N2MnnXiiyKxYXuElsb39PZtKQx-p0tXXOa15Y/edit#gid=313134646</t>
  </si>
  <si>
    <t>Blotter-0023</t>
  </si>
  <si>
    <t>Edit Stage in pending 
new state,then 
acknowledgeing it</t>
  </si>
  <si>
    <t>CreateLiveOrder1</t>
  </si>
  <si>
    <t>AcknowledgeTrade1</t>
  </si>
  <si>
    <t>Blotter-0024</t>
  </si>
  <si>
    <t>Creatation of Live Sub
Order from Staged Order,
Replacing the Qty of sub
 order,rejecting the 
request of being replaced
 from simulator</t>
  </si>
  <si>
    <t>Blotter-0025</t>
  </si>
  <si>
    <t>TradeNewSubOrder1</t>
  </si>
  <si>
    <t>CreateLiveOrder2</t>
  </si>
  <si>
    <t>AcknowledgeTrade2</t>
  </si>
  <si>
    <t>AcknowledgeTrade3</t>
  </si>
  <si>
    <t>SelectTradeOnOrderGrid4</t>
  </si>
  <si>
    <t>Blotter-0026</t>
  </si>
  <si>
    <t>1. Sub order live 
from manual stage 
order
2.  Replace in new 
state with Equal to 
parent qty
3. Add fills in replaced 
    state
4. Add fills in filled state</t>
  </si>
  <si>
    <t>Blotter-0027</t>
  </si>
  <si>
    <t>1. Creation of 3 
suborders in different 
states
2. Cancel Suborder 
in partiallyFilled state
3. Cancel Suborder 
in repalced state</t>
  </si>
  <si>
    <t>AcknowledgeTrade4</t>
  </si>
  <si>
    <t>CancelSubOrder1</t>
  </si>
  <si>
    <t>AcknowledgeTrade5</t>
  </si>
  <si>
    <t>Blotter-0028</t>
  </si>
  <si>
    <t>Cancel Filled live order</t>
  </si>
  <si>
    <t>Blotter-0029</t>
  </si>
  <si>
    <t>Add fills in new state
 with greater than total
 Qty/ with less than
 Unexecuted qty</t>
  </si>
  <si>
    <t>ExecuteTrade1</t>
  </si>
  <si>
    <t>Blotter-0030</t>
  </si>
  <si>
    <t>ReplaceSubOrder1</t>
  </si>
  <si>
    <t>CreateReplaceOrder1</t>
  </si>
  <si>
    <t>Blotter-0031</t>
  </si>
  <si>
    <t>View allocation details 
when trade is 
unallocated</t>
  </si>
  <si>
    <t>Blotter-0034</t>
  </si>
  <si>
    <t>Cancel in Replaced 
state when there is
 some executed qty</t>
  </si>
  <si>
    <t>Trade New sub when 
there is no remianing 
quanitity in the manual 
stage order</t>
  </si>
  <si>
    <t>Go to Allocation when 
trade is in new state(No 
fills)</t>
  </si>
  <si>
    <t>Blotter-0037</t>
  </si>
  <si>
    <t>Replace order with less 
than executed qty/ with 
equal to executed qty</t>
  </si>
  <si>
    <t>Blotter-0038</t>
  </si>
  <si>
    <t>Blotter-0039</t>
  </si>
  <si>
    <t>Edit order in filled state 
with less than/greater 
than/equal to executed 
Qty</t>
  </si>
  <si>
    <t>EditStageOrder1</t>
  </si>
  <si>
    <t>Blotter-0040</t>
  </si>
  <si>
    <t>Cancel All subs when 
no order is selected</t>
  </si>
  <si>
    <t>Blotter-0041</t>
  </si>
  <si>
    <t>View Allocation When 
trade is deleted from 
allocation module</t>
  </si>
  <si>
    <t>Blotter-0042</t>
  </si>
  <si>
    <t>View Allocation details 
when trade is 
preallocated in one 
account</t>
  </si>
  <si>
    <t>Blotter-0043</t>
  </si>
  <si>
    <t>View Allocation details 
for allocated Live trade</t>
  </si>
  <si>
    <t>Blotter-0044</t>
  </si>
  <si>
    <t>View Allocation details 
for allocated trade</t>
  </si>
  <si>
    <t>Blotter-0045</t>
  </si>
  <si>
    <t>Blotter-0046</t>
  </si>
  <si>
    <t>View Allocation details
 when trade is allocated
 from allocation module</t>
  </si>
  <si>
    <t>Blotter-0047</t>
  </si>
  <si>
    <t>Go to Allocation and 
view Allocation after 
changing the allocation 
from allocation module</t>
  </si>
  <si>
    <t>Blotter-0033</t>
  </si>
  <si>
    <t>Cancel in Replaced 
state when there is no 
executed qty</t>
  </si>
  <si>
    <t>Blotter-0048</t>
  </si>
  <si>
    <t>Go to Allocation when 
trade is unallocated on 
Allocation module</t>
  </si>
  <si>
    <t>blotter</t>
  </si>
  <si>
    <t>Blotter-0049</t>
  </si>
  <si>
    <t>Go to Allocation When
 trade is deleted from
 allocation module</t>
  </si>
  <si>
    <t>Blotter-0050</t>
  </si>
  <si>
    <t>Go to Allocation when
 trade is preallocated
 using allocation scheme</t>
  </si>
  <si>
    <t>CleanUp-0051</t>
  </si>
  <si>
    <t>Blotter-0051</t>
  </si>
  <si>
    <t>Verify the new column added in blotter(Start of Day Qty) in current date</t>
  </si>
  <si>
    <t>CleanUp-0052</t>
  </si>
  <si>
    <t>Blotter-0052</t>
  </si>
  <si>
    <t>Verify the new column added in blotter(Start of Day Qty) in previous dates</t>
  </si>
  <si>
    <t>CleanUp-0053</t>
  </si>
  <si>
    <t>Blotter-0053</t>
  </si>
  <si>
    <t>Verify the new column added in blotter(Leaves) with Stage order(Current date)</t>
  </si>
  <si>
    <t>VerifyOrder2</t>
  </si>
  <si>
    <t>CleanUp-0054</t>
  </si>
  <si>
    <t>Blotter-0054</t>
  </si>
  <si>
    <t xml:space="preserve"> Verify the new column added in blotter(Start of Day Qty) with Stage order</t>
  </si>
  <si>
    <t>CleanUp-0055</t>
  </si>
  <si>
    <t>Blotter-0055</t>
  </si>
  <si>
    <t>Verify the new column added in blotter(Leaves) with Edit Stage order</t>
  </si>
  <si>
    <t>CleanUp-0056</t>
  </si>
  <si>
    <t>Blotter-0056</t>
  </si>
  <si>
    <t>Verify the Meraki Changes in blotter by performing various blotter functions</t>
  </si>
  <si>
    <t>CreateStageOrder1</t>
  </si>
  <si>
    <t>TT-0001</t>
  </si>
  <si>
    <t xml:space="preserve">Create Order for following asset class with Ticker Symbol Equity and Verify on Blotter, Allocation, PM, Cash and Closing </t>
  </si>
  <si>
    <t>https://docs.google.com/spreadsheets/d/1LsxCIY7idDvRr9bWjOB_8LB7qlxdeKtAGfawKKEMbec/edit#gid=1167434377</t>
  </si>
  <si>
    <t>https://docs.google.com/spreadsheets/d/1LsxCIY7idDvRr9bWjOB_8LB7qlxdeKtAGfawKKEMbec/edit#gid=1309297537</t>
  </si>
  <si>
    <t>https://docs.google.com/spreadsheets/d/1LsxCIY7idDvRr9bWjOB_8LB7qlxdeKtAGfawKKEMbec/edit#gid=1031820025</t>
  </si>
  <si>
    <t>https://docs.google.com/spreadsheets/d/1LsxCIY7idDvRr9bWjOB_8LB7qlxdeKtAGfawKKEMbec/edit#gid=768069735</t>
  </si>
  <si>
    <t>https://docs.google.com/spreadsheets/d/1LsxCIY7idDvRr9bWjOB_8LB7qlxdeKtAGfawKKEMbec/edit#gid=512948674</t>
  </si>
  <si>
    <t>https://docs.google.com/spreadsheets/d/1LsxCIY7idDvRr9bWjOB_8LB7qlxdeKtAGfawKKEMbec/edit#gid=387096953</t>
  </si>
  <si>
    <t>https://docs.google.com/spreadsheets/d/1LsxCIY7idDvRr9bWjOB_8LB7qlxdeKtAGfawKKEMbec/edit#gid=1054638000</t>
  </si>
  <si>
    <t>https://docs.google.com/spreadsheets/d/1LsxCIY7idDvRr9bWjOB_8LB7qlxdeKtAGfawKKEMbec/edit#gid=1905928988</t>
  </si>
  <si>
    <t>https://docs.google.com/spreadsheets/d/1LsxCIY7idDvRr9bWjOB_8LB7qlxdeKtAGfawKKEMbec/edit#gid=1477304913</t>
  </si>
  <si>
    <t>https://docs.google.com/spreadsheets/d/1LsxCIY7idDvRr9bWjOB_8LB7qlxdeKtAGfawKKEMbec/edit#gid=884380505</t>
  </si>
  <si>
    <t>https://docs.google.com/spreadsheets/d/1LsxCIY7idDvRr9bWjOB_8LB7qlxdeKtAGfawKKEMbec/edit#gid=699751476</t>
  </si>
  <si>
    <t>https://docs.google.com/spreadsheets/d/1LsxCIY7idDvRr9bWjOB_8LB7qlxdeKtAGfawKKEMbec/edit#gid=1445298814</t>
  </si>
  <si>
    <t>TT-0004</t>
  </si>
  <si>
    <t>Bloomberg Symbol, US Underlying, Verification on Blotter, Allocation, PM, Cash and Closing 
Set Broker Notes and Comments from General Preferences of TT and verify it</t>
  </si>
  <si>
    <t>https://docs.google.com/spreadsheets/d/1aQDJ2llFW3oa-dlw7dNdNOzZ5hzi_LjtN6ZIPUFfS7Q/edit#gid=1981228724</t>
  </si>
  <si>
    <t>https://docs.google.com/spreadsheets/d/1aQDJ2llFW3oa-dlw7dNdNOzZ5hzi_LjtN6ZIPUFfS7Q/edit#gid=1006019450</t>
  </si>
  <si>
    <t>https://docs.google.com/spreadsheets/d/1aQDJ2llFW3oa-dlw7dNdNOzZ5hzi_LjtN6ZIPUFfS7Q/edit#gid=1426005617</t>
  </si>
  <si>
    <t>https://docs.google.com/spreadsheets/d/1aQDJ2llFW3oa-dlw7dNdNOzZ5hzi_LjtN6ZIPUFfS7Q/edit#gid=2000992650</t>
  </si>
  <si>
    <t>https://docs.google.com/spreadsheets/d/1VKEh7--sdQfapTTfHvb7KxbwiJV6AxZPyHRZzeUljvU/edit#gid=143583677</t>
  </si>
  <si>
    <t>https://docs.google.com/spreadsheets/d/1aQDJ2llFW3oa-dlw7dNdNOzZ5hzi_LjtN6ZIPUFfS7Q/edit#gid=1650368306</t>
  </si>
  <si>
    <t>https://docs.google.com/spreadsheets/d/1aQDJ2llFW3oa-dlw7dNdNOzZ5hzi_LjtN6ZIPUFfS7Q/edit#gid=1166381642</t>
  </si>
  <si>
    <t>TT-0005</t>
  </si>
  <si>
    <t>Bloomberg Symbol, Brazil Underlying, Verification on Blotter, Allocation, PM</t>
  </si>
  <si>
    <t>https://docs.google.com/spreadsheets/d/1f_dIz7BjrQAbvoNct-bjhalLNdA_uubo_3-Sg2KJY5s/edit#gid=838854871</t>
  </si>
  <si>
    <t>https://docs.google.com/spreadsheets/d/1f_dIz7BjrQAbvoNct-bjhalLNdA_uubo_3-Sg2KJY5s/edit#gid=1693750808</t>
  </si>
  <si>
    <t>https://docs.google.com/spreadsheets/d/1f_dIz7BjrQAbvoNct-bjhalLNdA_uubo_3-Sg2KJY5s/edit#gid=911443097</t>
  </si>
  <si>
    <t>https://docs.google.com/spreadsheets/d/1z94NcjhwihY6TurQNVD3qPHSQ8SfUdbSwGEDQWxyb5w/edit#gid=1387374656</t>
  </si>
  <si>
    <t>https://docs.google.com/spreadsheets/d/1f_dIz7BjrQAbvoNct-bjhalLNdA_uubo_3-Sg2KJY5s/edit#gid=1438737700</t>
  </si>
  <si>
    <t>https://docs.google.com/spreadsheets/d/1f_dIz7BjrQAbvoNct-bjhalLNdA_uubo_3-Sg2KJY5s/edit#gid=1866717358</t>
  </si>
  <si>
    <t>TT-0006</t>
  </si>
  <si>
    <t>Bloomberg Symbol, AsiaXJapan Underlying, Verification on Blotter, Allocation, PM</t>
  </si>
  <si>
    <t>https://docs.google.com/spreadsheets/d/1lsU7iBZLMvKT70H0QIvHXiB5Qb7gj6YGkhmBdkCZx4Q/edit#gid=532941364</t>
  </si>
  <si>
    <t>https://docs.google.com/spreadsheets/d/1lsU7iBZLMvKT70H0QIvHXiB5Qb7gj6YGkhmBdkCZx4Q/edit#gid=1805695924</t>
  </si>
  <si>
    <t>https://docs.google.com/spreadsheets/d/1lsU7iBZLMvKT70H0QIvHXiB5Qb7gj6YGkhmBdkCZx4Q/edit#gid=2008366927</t>
  </si>
  <si>
    <t>https://docs.google.com/spreadsheets/d/1jVMqDVEv7N35--ZS36NkT8gRQU809XWaRsHOGG3JSqg/edit#gid=229993179</t>
  </si>
  <si>
    <t>https://docs.google.com/spreadsheets/d/1lsU7iBZLMvKT70H0QIvHXiB5Qb7gj6YGkhmBdkCZx4Q/edit#gid=1050096984</t>
  </si>
  <si>
    <t>https://docs.google.com/spreadsheets/d/1lsU7iBZLMvKT70H0QIvHXiB5Qb7gj6YGkhmBdkCZx4Q/edit#gid=1122629811</t>
  </si>
  <si>
    <t>TT-0008</t>
  </si>
  <si>
    <t>Bloomberg Symbol, Emergingdebt Underlying, Verification on Blotter, Allocation, PM</t>
  </si>
  <si>
    <t>https://docs.google.com/spreadsheets/d/1x2s5WfZ5TQzfs5MW3PU7yVq9-NMyJSW2As2ETTAOOoc/edit#gid=1552276625</t>
  </si>
  <si>
    <t>https://docs.google.com/spreadsheets/d/1x2s5WfZ5TQzfs5MW3PU7yVq9-NMyJSW2As2ETTAOOoc/edit#gid=1351724106</t>
  </si>
  <si>
    <t>https://docs.google.com/spreadsheets/d/1x2s5WfZ5TQzfs5MW3PU7yVq9-NMyJSW2As2ETTAOOoc/edit#gid=790484465</t>
  </si>
  <si>
    <t>https://docs.google.com/spreadsheets/d/1x2s5WfZ5TQzfs5MW3PU7yVq9-NMyJSW2As2ETTAOOoc/edit#gid=477757158</t>
  </si>
  <si>
    <t>https://docs.google.com/spreadsheets/d/1x2s5WfZ5TQzfs5MW3PU7yVq9-NMyJSW2As2ETTAOOoc/edit#gid=598437434</t>
  </si>
  <si>
    <t>https://docs.google.com/spreadsheets/d/1x2s5WfZ5TQzfs5MW3PU7yVq9-NMyJSW2As2ETTAOOoc/edit#gid=631073395</t>
  </si>
  <si>
    <t>TT-0009</t>
  </si>
  <si>
    <t>Bloomberg Symbol, EU Underlying, Verification on Blotter, Allocation, PM</t>
  </si>
  <si>
    <t>https://docs.google.com/spreadsheets/d/1aXjwhxV38Y32xQB9-UyHZ9Du9JtYpvMgkI0f168B4gg/edit#gid=1682730290</t>
  </si>
  <si>
    <t>https://docs.google.com/spreadsheets/d/1aXjwhxV38Y32xQB9-UyHZ9Du9JtYpvMgkI0f168B4gg/edit#gid=2044720883</t>
  </si>
  <si>
    <t>https://docs.google.com/spreadsheets/d/1aXjwhxV38Y32xQB9-UyHZ9Du9JtYpvMgkI0f168B4gg/edit#gid=1609828423</t>
  </si>
  <si>
    <t>https://docs.google.com/spreadsheets/d/1bAdQqhHptNKctJ0JOKZ_Osfm9ny1Joek85Zkno90wRc/edit#gid=469314476</t>
  </si>
  <si>
    <t>https://docs.google.com/spreadsheets/d/1aXjwhxV38Y32xQB9-UyHZ9Du9JtYpvMgkI0f168B4gg/edit#gid=1109095449</t>
  </si>
  <si>
    <t>https://docs.google.com/spreadsheets/d/1aXjwhxV38Y32xQB9-UyHZ9Du9JtYpvMgkI0f168B4gg/edit#gid=1955834668</t>
  </si>
  <si>
    <t>TT-0010</t>
  </si>
  <si>
    <t>Bloomberg Symbol, JAPAN Underlying, Verification on Blotter, Allocation, PM</t>
  </si>
  <si>
    <t>https://docs.google.com/spreadsheets/d/1OJmN5uSjDL--TSpL5NvWzcwhzpAe5CcQXQrHCDlsA78/edit#gid=1575017429</t>
  </si>
  <si>
    <t>https://docs.google.com/spreadsheets/d/1OJmN5uSjDL--TSpL5NvWzcwhzpAe5CcQXQrHCDlsA78/edit#gid=943892467</t>
  </si>
  <si>
    <t>https://docs.google.com/spreadsheets/d/1OJmN5uSjDL--TSpL5NvWzcwhzpAe5CcQXQrHCDlsA78/edit#gid=1616786514</t>
  </si>
  <si>
    <t>https://docs.google.com/spreadsheets/d/12N8EITPzrFb324GcylXeekgSec9-cdsH2ovw9dGA8r4/edit#gid=235330945</t>
  </si>
  <si>
    <t>https://docs.google.com/spreadsheets/d/1OJmN5uSjDL--TSpL5NvWzcwhzpAe5CcQXQrHCDlsA78/edit#gid=1917951434</t>
  </si>
  <si>
    <t>https://docs.google.com/spreadsheets/d/1OJmN5uSjDL--TSpL5NvWzcwhzpAe5CcQXQrHCDlsA78/edit#gid=1564892843</t>
  </si>
  <si>
    <t>TT-0011</t>
  </si>
  <si>
    <t>Bloomberg Symbol, SA Underlying, Verification on Blotter, Allocation, PM</t>
  </si>
  <si>
    <t>https://docs.google.com/spreadsheets/d/1pMVjx7Bj5_BKyLyeeSCas9_rfSAj1R6PMfgTEpDB7BM/edit#gid=1788505843</t>
  </si>
  <si>
    <t>https://docs.google.com/spreadsheets/d/1pMVjx7Bj5_BKyLyeeSCas9_rfSAj1R6PMfgTEpDB7BM/edit#gid=1552084655</t>
  </si>
  <si>
    <t>https://docs.google.com/spreadsheets/d/1pMVjx7Bj5_BKyLyeeSCas9_rfSAj1R6PMfgTEpDB7BM/edit#gid=695961609</t>
  </si>
  <si>
    <t>https://docs.google.com/spreadsheets/d/1VxmNGFqLSo42w7dD4Yzt1fOHbPl2lVrlvGQdv2-ybMU/edit#gid=1192754862</t>
  </si>
  <si>
    <t>https://docs.google.com/spreadsheets/d/1pMVjx7Bj5_BKyLyeeSCas9_rfSAj1R6PMfgTEpDB7BM/edit#gid=1094926558</t>
  </si>
  <si>
    <t>https://docs.google.com/spreadsheets/d/1pMVjx7Bj5_BKyLyeeSCas9_rfSAj1R6PMfgTEpDB7BM/edit#gid=2052488015</t>
  </si>
  <si>
    <t>TT-0012</t>
  </si>
  <si>
    <t>Click SymbolLookup</t>
  </si>
  <si>
    <t>https://docs.google.com/spreadsheets/d/1gsUrSNIGpkVobAvoDcjuemqa5iJCDMhDKx5qVNzYK0w/edit#gid=1077433604</t>
  </si>
  <si>
    <t>TT-0013</t>
  </si>
  <si>
    <t>Asset : EquityOption, TickerSymbol, Verification on other modules</t>
  </si>
  <si>
    <t>https://docs.google.com/spreadsheets/d/1Z6gSf0CZimWdz8uIn3RXI8AwyTd8mCkqyVBOyoY4QpQ/edit#gid=454102211</t>
  </si>
  <si>
    <t>https://docs.google.com/spreadsheets/d/1Z6gSf0CZimWdz8uIn3RXI8AwyTd8mCkqyVBOyoY4QpQ/edit#gid=403047704</t>
  </si>
  <si>
    <t>https://docs.google.com/spreadsheets/d/1Z6gSf0CZimWdz8uIn3RXI8AwyTd8mCkqyVBOyoY4QpQ/edit#gid=665575562</t>
  </si>
  <si>
    <t>https://docs.google.com/spreadsheets/d/1Z6gSf0CZimWdz8uIn3RXI8AwyTd8mCkqyVBOyoY4QpQ/edit#gid=1488512692</t>
  </si>
  <si>
    <t>https://docs.google.com/spreadsheets/d/1Z6gSf0CZimWdz8uIn3RXI8AwyTd8mCkqyVBOyoY4QpQ/edit#gid=39928843</t>
  </si>
  <si>
    <t>https://docs.google.com/spreadsheets/d/1Z6gSf0CZimWdz8uIn3RXI8AwyTd8mCkqyVBOyoY4QpQ/edit#gid=1016543244</t>
  </si>
  <si>
    <t>TT-0014</t>
  </si>
  <si>
    <t>Asset :  FixedIncome, TickerSymbol, Verification on other modules</t>
  </si>
  <si>
    <t>https://docs.google.com/spreadsheets/d/1vifHJ36WePqFGiXQ4KWVNNTHoA6agzAdqDIqTmOLUqs/edit#gid=1037346093</t>
  </si>
  <si>
    <t>https://docs.google.com/spreadsheets/d/1vifHJ36WePqFGiXQ4KWVNNTHoA6agzAdqDIqTmOLUqs/edit#gid=977001644</t>
  </si>
  <si>
    <t>https://docs.google.com/spreadsheets/d/1vifHJ36WePqFGiXQ4KWVNNTHoA6agzAdqDIqTmOLUqs/edit#gid=1088644630</t>
  </si>
  <si>
    <t>https://docs.google.com/spreadsheets/d/1vifHJ36WePqFGiXQ4KWVNNTHoA6agzAdqDIqTmOLUqs/edit#gid=712052654</t>
  </si>
  <si>
    <t>https://docs.google.com/spreadsheets/d/1vifHJ36WePqFGiXQ4KWVNNTHoA6agzAdqDIqTmOLUqs/edit#gid=707341911</t>
  </si>
  <si>
    <t>https://docs.google.com/spreadsheets/d/1vifHJ36WePqFGiXQ4KWVNNTHoA6agzAdqDIqTmOLUqs/edit#gid=511828577</t>
  </si>
  <si>
    <t>TT-0015</t>
  </si>
  <si>
    <t>Asset :  Future, TickerSymbol, Verification on other modules</t>
  </si>
  <si>
    <t>https://docs.google.com/spreadsheets/d/1hVa0_A65noe_CZG0HBlU9mw7Y_FwukqOz_fiVPRayXs/edit#gid=1887569374</t>
  </si>
  <si>
    <t>https://docs.google.com/spreadsheets/d/1hVa0_A65noe_CZG0HBlU9mw7Y_FwukqOz_fiVPRayXs/edit#gid=382885420</t>
  </si>
  <si>
    <t>https://docs.google.com/spreadsheets/d/1hVa0_A65noe_CZG0HBlU9mw7Y_FwukqOz_fiVPRayXs/edit#gid=151966383</t>
  </si>
  <si>
    <t>https://docs.google.com/spreadsheets/d/1hVa0_A65noe_CZG0HBlU9mw7Y_FwukqOz_fiVPRayXs/edit#gid=2104584998</t>
  </si>
  <si>
    <t>https://docs.google.com/spreadsheets/d/1hVa0_A65noe_CZG0HBlU9mw7Y_FwukqOz_fiVPRayXs/edit#gid=831633884</t>
  </si>
  <si>
    <t>https://docs.google.com/spreadsheets/d/1hVa0_A65noe_CZG0HBlU9mw7Y_FwukqOz_fiVPRayXs/edit#gid=1564020294</t>
  </si>
  <si>
    <t>TT-0016</t>
  </si>
  <si>
    <t>Asset :  FutureOption, TickerSymbol, Verification on other modules</t>
  </si>
  <si>
    <t>https://docs.google.com/spreadsheets/d/1QkmoVYZ6bhNFjkO9jE8qJPfwrmlE6g2giXe6gzPf2qo/edit#gid=281095197</t>
  </si>
  <si>
    <t>https://docs.google.com/spreadsheets/d/1QkmoVYZ6bhNFjkO9jE8qJPfwrmlE6g2giXe6gzPf2qo/edit#gid=1733572302</t>
  </si>
  <si>
    <t>https://docs.google.com/spreadsheets/d/1QkmoVYZ6bhNFjkO9jE8qJPfwrmlE6g2giXe6gzPf2qo/edit#gid=564558805</t>
  </si>
  <si>
    <t>https://docs.google.com/spreadsheets/d/1QkmoVYZ6bhNFjkO9jE8qJPfwrmlE6g2giXe6gzPf2qo/edit#gid=1587375514</t>
  </si>
  <si>
    <t>https://docs.google.com/spreadsheets/d/1QkmoVYZ6bhNFjkO9jE8qJPfwrmlE6g2giXe6gzPf2qo/edit#gid=136941344</t>
  </si>
  <si>
    <t>https://docs.google.com/spreadsheets/d/1QkmoVYZ6bhNFjkO9jE8qJPfwrmlE6g2giXe6gzPf2qo/edit#gid=414658303</t>
  </si>
  <si>
    <t>TT-0017</t>
  </si>
  <si>
    <t>Asset :  FX, TickerSymbol, Verification on other modules</t>
  </si>
  <si>
    <t>https://docs.google.com/spreadsheets/d/13AK7aEew1U76X8Jm8H3utar61Uzxm7b2QcLjrgwUFOc/edit#gid=297702562</t>
  </si>
  <si>
    <t>https://docs.google.com/spreadsheets/d/13AK7aEew1U76X8Jm8H3utar61Uzxm7b2QcLjrgwUFOc/edit#gid=273242010</t>
  </si>
  <si>
    <t>https://docs.google.com/spreadsheets/d/13AK7aEew1U76X8Jm8H3utar61Uzxm7b2QcLjrgwUFOc/edit#gid=99545557</t>
  </si>
  <si>
    <t>https://docs.google.com/spreadsheets/d/13AK7aEew1U76X8Jm8H3utar61Uzxm7b2QcLjrgwUFOc/edit#gid=1070808209</t>
  </si>
  <si>
    <t>https://docs.google.com/spreadsheets/d/13AK7aEew1U76X8Jm8H3utar61Uzxm7b2QcLjrgwUFOc/edit#gid=888513143</t>
  </si>
  <si>
    <t>https://docs.google.com/spreadsheets/d/13AK7aEew1U76X8Jm8H3utar61Uzxm7b2QcLjrgwUFOc/edit#gid=1725883936</t>
  </si>
  <si>
    <t>TT-0018</t>
  </si>
  <si>
    <t>Asset :  Indices, TickerSymbol, Verification on other modules</t>
  </si>
  <si>
    <t>https://docs.google.com/spreadsheets/d/1HKWA--A_76zNGoLozyzJ_dy50MR2g8gJX9bW8RAvPZ4/edit#gid=1656971742</t>
  </si>
  <si>
    <t>https://docs.google.com/spreadsheets/d/1HKWA--A_76zNGoLozyzJ_dy50MR2g8gJX9bW8RAvPZ4/edit#gid=467853004</t>
  </si>
  <si>
    <t>https://docs.google.com/spreadsheets/d/1HKWA--A_76zNGoLozyzJ_dy50MR2g8gJX9bW8RAvPZ4/edit#gid=1743009163</t>
  </si>
  <si>
    <t>https://docs.google.com/spreadsheets/d/1HKWA--A_76zNGoLozyzJ_dy50MR2g8gJX9bW8RAvPZ4/edit#gid=960353081</t>
  </si>
  <si>
    <t>https://docs.google.com/spreadsheets/d/1HKWA--A_76zNGoLozyzJ_dy50MR2g8gJX9bW8RAvPZ4/edit#gid=947202599</t>
  </si>
  <si>
    <t>https://docs.google.com/spreadsheets/d/1HKWA--A_76zNGoLozyzJ_dy50MR2g8gJX9bW8RAvPZ4/edit#gid=295289018</t>
  </si>
  <si>
    <t>TT-0020</t>
  </si>
  <si>
    <t>Sending commision on Shares/Contract And Notional BPS Basis Changing Commision on Allocation</t>
  </si>
  <si>
    <t>https://docs.google.com/spreadsheets/d/1sVetr6jM9_7VKS_8dF025pMPEB7g-zXC49irQRR8B2M/edit#gid=575292666</t>
  </si>
  <si>
    <t>https://docs.google.com/spreadsheets/d/1sVetr6jM9_7VKS_8dF025pMPEB7g-zXC49irQRR8B2M/edit#gid=1615658876</t>
  </si>
  <si>
    <t>https://docs.google.com/spreadsheets/d/1sVetr6jM9_7VKS_8dF025pMPEB7g-zXC49irQRR8B2M/edit#gid=1457939597</t>
  </si>
  <si>
    <t>https://docs.google.com/spreadsheets/d/1sVetr6jM9_7VKS_8dF025pMPEB7g-zXC49irQRR8B2M/edit#gid=2062577321</t>
  </si>
  <si>
    <t>https://docs.google.com/spreadsheets/d/1sVetr6jM9_7VKS_8dF025pMPEB7g-zXC49irQRR8B2M/edit#gid=1157386603</t>
  </si>
  <si>
    <t>https://docs.google.com/spreadsheets/d/1sVetr6jM9_7VKS_8dF025pMPEB7g-zXC49irQRR8B2M/edit#gid=20859070</t>
  </si>
  <si>
    <t>https://docs.google.com/spreadsheets/d/1sVetr6jM9_7VKS_8dF025pMPEB7g-zXC49irQRR8B2M/edit#gid=1745697766</t>
  </si>
  <si>
    <t>https://docs.google.com/spreadsheets/d/1sVetr6jM9_7VKS_8dF025pMPEB7g-zXC49irQRR8B2M/edit#gid=1718721670</t>
  </si>
  <si>
    <t>https://docs.google.com/spreadsheets/d/1sVetr6jM9_7VKS_8dF025pMPEB7g-zXC49irQRR8B2M/edit#gid=1476672529</t>
  </si>
  <si>
    <t>https://docs.google.com/spreadsheets/d/1sVetr6jM9_7VKS_8dF025pMPEB7g-zXC49irQRR8B2M/edit#gid=2015381939</t>
  </si>
  <si>
    <t>https://docs.google.com/spreadsheets/d/1sVetr6jM9_7VKS_8dF025pMPEB7g-zXC49irQRR8B2M/edit#gid=1292588815</t>
  </si>
  <si>
    <t>https://docs.google.com/spreadsheets/d/1sVetr6jM9_7VKS_8dF025pMPEB7g-zXC49irQRR8B2M/edit#gid=328920363</t>
  </si>
  <si>
    <t>https://docs.google.com/spreadsheets/d/1sVetr6jM9_7VKS_8dF025pMPEB7g-zXC49irQRR8B2M/edit#gid=537059985</t>
  </si>
  <si>
    <t>EnterAllocatePreference1</t>
  </si>
  <si>
    <t>https://docs.google.com/spreadsheets/d/1sVetr6jM9_7VKS_8dF025pMPEB7g-zXC49irQRR8B2M/edit#gid=1464498609</t>
  </si>
  <si>
    <t>TT-0021</t>
  </si>
  <si>
    <t xml:space="preserve">Test case-On Acknowledging
 the replaced Order ,
Trade attribute gets
 reverted to the Original one 
</t>
  </si>
  <si>
    <t>Unallocate1</t>
  </si>
  <si>
    <t>RB-0005</t>
  </si>
  <si>
    <t>Positive cash flow in rebalancer
Reg sheet(Auto)No -115</t>
  </si>
  <si>
    <t>https://docs.google.com/spreadsheets/d/1Gyc1g4iw6-vii166cMKNxF2RgqBitlGrmCjGVpYU8vE/edit#gid=298532607</t>
  </si>
  <si>
    <t>https://docs.google.com/spreadsheets/d/1Gyc1g4iw6-vii166cMKNxF2RgqBitlGrmCjGVpYU8vE/edit#gid=602436116</t>
  </si>
  <si>
    <t>https://docs.google.com/spreadsheets/d/1Gyc1g4iw6-vii166cMKNxF2RgqBitlGrmCjGVpYU8vE/edit#gid=1240194036</t>
  </si>
  <si>
    <t>https://docs.google.com/spreadsheets/d/1Gyc1g4iw6-vii166cMKNxF2RgqBitlGrmCjGVpYU8vE/edit#gid=808715589</t>
  </si>
  <si>
    <t>https://docs.google.com/spreadsheets/d/1Gyc1g4iw6-vii166cMKNxF2RgqBitlGrmCjGVpYU8vE/edit#gid=1437034089</t>
  </si>
  <si>
    <t>https://docs.google.com/spreadsheets/d/1Gyc1g4iw6-vii166cMKNxF2RgqBitlGrmCjGVpYU8vE/edit#gid=264850066</t>
  </si>
  <si>
    <t>https://docs.google.com/spreadsheets/d/1Gyc1g4iw6-vii166cMKNxF2RgqBitlGrmCjGVpYU8vE/edit#gid=640892279</t>
  </si>
  <si>
    <t>https://docs.google.com/spreadsheets/d/1Gyc1g4iw6-vii166cMKNxF2RgqBitlGrmCjGVpYU8vE/edit#gid=2054570782</t>
  </si>
  <si>
    <t>ClearCalculations</t>
  </si>
  <si>
    <t>RB-0007</t>
  </si>
  <si>
    <t xml:space="preserve">1.Negative cash Flow with Symbols 
with more than one fund.
2. Check that when we click Clear Calculation button then there should be a pop-up message , if user click No / cancel then all calculation should not be cleared from the Rebalancer grid.
3. Modify Rebalancer grid by Adding a Security through Rebalance across Securities
</t>
  </si>
  <si>
    <t>RB-0008</t>
  </si>
  <si>
    <t>Add Neagtive cash which is greater than the total  NAV value .
Reg sheet(Auto)No -73</t>
  </si>
  <si>
    <t>RB-0010</t>
  </si>
  <si>
    <t>"Increase cash flow when sell short positions are present in fund and  ""Cash flow impact on NAV""=Impact NAV
"
Reg sheet(Auto)No -70,72,123,122,</t>
  </si>
  <si>
    <t>RB-0009</t>
  </si>
  <si>
    <t>Positive cash flow when sell short positions are present in fund and  "Cash flow impact on NAV"=NO Impact
Reg sheet(Auto)No -71</t>
  </si>
  <si>
    <t>RB-0011</t>
  </si>
  <si>
    <t>Rebalance Across Security with trading rules
Reg sheet(Auto)No -81,82,83,84</t>
  </si>
  <si>
    <t>RB-0012</t>
  </si>
  <si>
    <t>Rebalance across Security With Trading rule " Allow Negative Cash" selected
choose Increase from drop down, and security does not exist in the rebalancer grid
Reg sheet(Auto)No -91</t>
  </si>
  <si>
    <t>RB-0013</t>
  </si>
  <si>
    <t>Choose Decrease fromRebalance across security, and security does not exist in the rebalancer grid 
With Trading rule " No Shorting" selected
Reg sheet(Auto)No -92</t>
  </si>
  <si>
    <t>RB-0014</t>
  </si>
  <si>
    <t>Choose Decrease fromRebalance across security, and security does not exist in the rebalancer grid 
With Trading rule " No Shorting" NOT selected
Reg sheet(Auto)No -93</t>
  </si>
  <si>
    <t>RB-0015</t>
  </si>
  <si>
    <t>Choose Set +ve Target  from drop down, and security does not exist in the rebalancer grid
With Trading rule " Allow Negative Cash" selected
Reg sheet(Auto)No -94</t>
  </si>
  <si>
    <t>RB-0016</t>
  </si>
  <si>
    <t>Choose Set with +ve Target from drop down, and security does not exist in the rebalancer grid 
With Trading rule " Sell to Raise Cash" selected
Reg sheet(Auto)No -95</t>
  </si>
  <si>
    <t>RB-0017</t>
  </si>
  <si>
    <t>Choose Set with -ve Target from drop down, and security does not exist in the rebalancer grid
 With Trading rule "No shortning" selected
Reg sheet(Auto)No -96</t>
  </si>
  <si>
    <t>RB-0018</t>
  </si>
  <si>
    <t>Choose Set with -ve Target from drop down, and security  exist in the rebalancer grid but does not in particular fund 
With Trading rule "No shortning" not selected 
Reinvest cash is Selected.
Reg sheet(Auto)No -97</t>
  </si>
  <si>
    <t>RB-0019</t>
  </si>
  <si>
    <t>Choose Increase from drop down, and security  exist in the rebalancer grid With Trading rule " Sell to Raise Cash" selected
when cash is less than Required fund to increase
Reg sheet(Auto)No -90,98</t>
  </si>
  <si>
    <t>RB-0020</t>
  </si>
  <si>
    <t>Choose Increase from drop down, and security exist  in the rebalancer grid
With Trading rule " Allow Negative Cash" selected
Reg sheet (Auto)No-99</t>
  </si>
  <si>
    <t>RB-0021</t>
  </si>
  <si>
    <t>Choose Decrease from drop down, and security exist in the rebalancer grid 
with Negative Current %.
With Trading rule " Reinvest Cash" selected
Reg sheet(Auto)No-100</t>
  </si>
  <si>
    <t>RB-0022</t>
  </si>
  <si>
    <t>Choose Decrease from drop down, and security exist in the rebalancer grid 
with Negative Current %.
With Trading rule " Reinvest Cash"  not selected
Reg sheet (Auto)No-101</t>
  </si>
  <si>
    <t>RB-0023</t>
  </si>
  <si>
    <t>Choose Set from drop down, and security exist in the rebalancer grid 
with Negative Current %, target % smaller than current%:.
With Trading rule " Sell to Raise Cash"   selected
Reg sheet(Auto)No-102</t>
  </si>
  <si>
    <t>RB-0024</t>
  </si>
  <si>
    <t>Choose Set from drop down, and security exist in the rebalancer grid with Negative Current %, target % smaller than current%:.
With Trading rule " Allow negative Cash"  selected
Reg sheet(Auto)No-103</t>
  </si>
  <si>
    <t>RB-0025</t>
  </si>
  <si>
    <t>Choose Set  from 
drop down, and security exist
 in the rebalancer grid 
with Negative Current %,
 - target % greater than 
current%:.
With Trading rule "REinvest 
Cash"  not selected / selected
Reg sheet(Auto)No.-104</t>
  </si>
  <si>
    <t>RB-0026</t>
  </si>
  <si>
    <t>Choose Increase
 from drop down, and security 
exist in the rebalancer grid 
with Negative Current %,
 target % greater than 
current%:.
With Trading rule " Allow Neg Cash"  not selected 
Reg sheet(Auto)No.-105</t>
  </si>
  <si>
    <t>RB-0027</t>
  </si>
  <si>
    <t>Check if we choose Decrease 
from drop down, and security 
exist in the rebalancer grid 
with positive current%, target 
% smaller than current%
With Trading rule 
" Reinvest Cash"  selected 
selected
Reg sheet(Auto)No.-106</t>
  </si>
  <si>
    <t>RB-0028</t>
  </si>
  <si>
    <t>Check if we choose Decrease 
from drop down, and security 
exist in the rebalancer grid 
with positive current%, target %
 Greater than current%
Reg sheet(Auto)No.-107</t>
  </si>
  <si>
    <t>RB-0029</t>
  </si>
  <si>
    <t>check if we choose ReInvest in
 any of above cases then it 
should not 
Invest the Generated money 
on existing short positions. 
it should invest on long 
positions only.
Reg sheet(Auto)No.-108</t>
  </si>
  <si>
    <t>RB-0030</t>
  </si>
  <si>
    <t>Both trading rules (Allow Neg cash&amp; Sell to raise cash) should not 
be selected at same time , it 
should popup an error 
message .
Reg sheet (Auto)No-109</t>
  </si>
  <si>
    <t>RB-0031</t>
  </si>
  <si>
    <t>Cash Inflow Using the Model Portfolio-Target Cash in non-blank fund where all the securities having positive %(Rebalancer V2.2.2 Calculation Sheet-Use Case 1)</t>
  </si>
  <si>
    <t>RB-0032</t>
  </si>
  <si>
    <t>Cash outflow Using the Model Portfolio-Target Cash in non blank fund where all the securities having positive %(Rebalancer V2.2.2 Calculation Sheet-Use Case 2)</t>
  </si>
  <si>
    <t>RB-0033</t>
  </si>
  <si>
    <t>Cah Outflow using the Model Portfolio-Target Cash in non-blank fund where all the securities having positive % also the securities doesn't have enough cash and Trading Rules Checked=No Shorting(Rebalancer V2.2.2 Calculation Sheet-Use Case 5)</t>
  </si>
  <si>
    <t>RB-0034</t>
  </si>
  <si>
    <t>Cah Outflow using the Model Portfolio-Target Cash in non blank fund where all the securities having positive % also the securities doesn't have enough cash and Trading Rules Checked=No Shorting and Sell to raise cash(Rebalancer V2.2.2 Calculation Sheet-Use Case 6)</t>
  </si>
  <si>
    <t>RB-0035</t>
  </si>
  <si>
    <t>Cash inflow using the Model Portfolio=Target Cash in all the securities having equal &amp; positive % and Current Account Portfolio is blank(Rebalancer V2.2.2 Calculation Sheet-Use Case 7)</t>
  </si>
  <si>
    <t>RB-0036</t>
  </si>
  <si>
    <t>Cash Inflow using the Model Portfolio=Target Cash in which some securities having positive % with Current account portfolio non-blank some securities having negative % and also security with negative % not exist in the Account Portfolio and also Trading Rules Checked=No Shorting(Rebalancer V2.2.2 Calculation Sheet-Use Case 9)</t>
  </si>
  <si>
    <t>RB-0037</t>
  </si>
  <si>
    <t>Cash Inflow using the Model Portfolio=Target Cash in which some securities having positive % and some securities having negative % and also security with negative % not exist in the Account Portfolio and also Trading Rules Checked=No Shorting and Sell to Raise Cash(Rebalancer V2.2.2 Calculation Sheet-Use Case 10)</t>
  </si>
  <si>
    <t>RB-0038</t>
  </si>
  <si>
    <t>Cash Inflow using the Model Portfolio=Target Cash in which some securities having positive % and some securities having negative % and also security with negative % not exist in the Account Portfolio and also Trading Rules Checked=No Shorting and Sell to Raise Cash(Rebalancer V2.2.2 Calculation Sheet-Use Case 11)</t>
  </si>
  <si>
    <t>Delete Client Data</t>
  </si>
  <si>
    <t>PTT-0001</t>
  </si>
  <si>
    <t xml:space="preserve">1) Open PTT 
2) Enter the following fields:  Tikcet - AAPL Add/Set ; Set Target- 25 Type- Percentage Combined account total - NO Price- 140 Master Fund/Account :  Account- Allocation1,Allocation2 
3) Click Calculate and verify </t>
  </si>
  <si>
    <t>https://docs.google.com/spreadsheets/d/1tkXvR0Fe4vuZ6eIT5CQJ2rTXntDiooqY0ToLdZzrsYY/edit#gid=607069978</t>
  </si>
  <si>
    <t>https://docs.google.com/spreadsheets/d/1tkXvR0Fe4vuZ6eIT5CQJ2rTXntDiooqY0ToLdZzrsYY/edit#gid=591571074</t>
  </si>
  <si>
    <t>https://docs.google.com/spreadsheets/d/1tkXvR0Fe4vuZ6eIT5CQJ2rTXntDiooqY0ToLdZzrsYY/edit#gid=1208070965</t>
  </si>
  <si>
    <t>https://docs.google.com/spreadsheets/d/1tkXvR0Fe4vuZ6eIT5CQJ2rTXntDiooqY0ToLdZzrsYY/edit#gid=992022602</t>
  </si>
  <si>
    <t>https://docs.google.com/spreadsheets/d/1tkXvR0Fe4vuZ6eIT5CQJ2rTXntDiooqY0ToLdZzrsYY/edit#gid=440817402</t>
  </si>
  <si>
    <t>https://docs.google.com/spreadsheets/d/1tkXvR0Fe4vuZ6eIT5CQJ2rTXntDiooqY0ToLdZzrsYY/edit#gid=1502328248</t>
  </si>
  <si>
    <t>PTT-0002</t>
  </si>
  <si>
    <t xml:space="preserve">1) Open PTT 
2) Enter the following fields: Tikcet - AAPL Add/Set ; Increase Target- 25 Type- Percentage Combined account total - NO Price- 20 Master Fund/Account : Account- Allocation1,Allocation2 
3) Click Calculate and verify </t>
  </si>
  <si>
    <t>https://docs.google.com/spreadsheets/d/1QH_ufFnvx2PhMzJthyRiQsUYSp1nlyclRNmhJ2ks1hg/edit#gid=1737044678</t>
  </si>
  <si>
    <t>https://docs.google.com/spreadsheets/d/1QH_ufFnvx2PhMzJthyRiQsUYSp1nlyclRNmhJ2ks1hg/edit#gid=1735820806</t>
  </si>
  <si>
    <t>https://docs.google.com/spreadsheets/d/1QH_ufFnvx2PhMzJthyRiQsUYSp1nlyclRNmhJ2ks1hg/edit#gid=1753412831</t>
  </si>
  <si>
    <t>https://docs.google.com/spreadsheets/d/1QH_ufFnvx2PhMzJthyRiQsUYSp1nlyclRNmhJ2ks1hg/edit#gid=498634450</t>
  </si>
  <si>
    <t>https://docs.google.com/spreadsheets/d/1QH_ufFnvx2PhMzJthyRiQsUYSp1nlyclRNmhJ2ks1hg/edit#gid=559902083</t>
  </si>
  <si>
    <t>https://docs.google.com/spreadsheets/d/1QH_ufFnvx2PhMzJthyRiQsUYSp1nlyclRNmhJ2ks1hg/edit#gid=456705482</t>
  </si>
  <si>
    <t>PTT-0003</t>
  </si>
  <si>
    <t xml:space="preserve">1) Open PTT 
2) Enter the following fields:Ticker- AAPL  Add/Set ; Decrease ,Target- 30 Type- Percentage Combined account total - NO  Price- 20 Master Fund/Account : Account- Allocation1,Allocation2
 3) Click Calculate and verify </t>
  </si>
  <si>
    <t>https://docs.google.com/spreadsheets/d/1cIkW0obVcZyogVsxxSfaaFiqNLKVcR4GNaLfSpLXUoc/edit#gid=979281596</t>
  </si>
  <si>
    <t>https://docs.google.com/spreadsheets/d/1cIkW0obVcZyogVsxxSfaaFiqNLKVcR4GNaLfSpLXUoc/edit#gid=2020056508</t>
  </si>
  <si>
    <t>https://docs.google.com/spreadsheets/d/1cIkW0obVcZyogVsxxSfaaFiqNLKVcR4GNaLfSpLXUoc/edit#gid=2100601803</t>
  </si>
  <si>
    <t>https://docs.google.com/spreadsheets/d/1cIkW0obVcZyogVsxxSfaaFiqNLKVcR4GNaLfSpLXUoc/edit#gid=65063638</t>
  </si>
  <si>
    <t>https://docs.google.com/spreadsheets/d/1cIkW0obVcZyogVsxxSfaaFiqNLKVcR4GNaLfSpLXUoc/edit#gid=1063100955</t>
  </si>
  <si>
    <t>https://docs.google.com/spreadsheets/d/1cIkW0obVcZyogVsxxSfaaFiqNLKVcR4GNaLfSpLXUoc/edit#gid=235348770</t>
  </si>
  <si>
    <t>PTT-0005</t>
  </si>
  <si>
    <t xml:space="preserve">1) Open PTT 
2) Enter the following fields: Ticket - AAPL Add/Set ; Increase Target- 25 Type- Percentage Combined account total - YES Price- 20 Master Fund/Account : Account Account- Allocation1,Allocation2 
3) Click Calculate and verify </t>
  </si>
  <si>
    <t>https://docs.google.com/spreadsheets/d/1VP9B3qRujJBGZnvXlDzTivPHew3gDPjpV5rmDW0hTIs/edit#gid=404592982</t>
  </si>
  <si>
    <t>https://docs.google.com/spreadsheets/d/1VP9B3qRujJBGZnvXlDzTivPHew3gDPjpV5rmDW0hTIs/edit#gid=1208741387</t>
  </si>
  <si>
    <t>https://docs.google.com/spreadsheets/d/1VP9B3qRujJBGZnvXlDzTivPHew3gDPjpV5rmDW0hTIs/edit#gid=1378822152</t>
  </si>
  <si>
    <t>https://docs.google.com/spreadsheets/d/1VP9B3qRujJBGZnvXlDzTivPHew3gDPjpV5rmDW0hTIs/edit#gid=1551135700</t>
  </si>
  <si>
    <t>https://docs.google.com/spreadsheets/d/1VP9B3qRujJBGZnvXlDzTivPHew3gDPjpV5rmDW0hTIs/edit#gid=203157323</t>
  </si>
  <si>
    <t>https://docs.google.com/spreadsheets/d/1VP9B3qRujJBGZnvXlDzTivPHew3gDPjpV5rmDW0hTIs/edit#gid=1249147766</t>
  </si>
  <si>
    <t>PTT-0006</t>
  </si>
  <si>
    <t>1) Open PTT 
2) Enter the following fields: Ticker-MSFT Add/Set ; Set Target- 25 Type- Percentage Combined account total - YES Price- 20 Master Fund/Account : Account Account- Allocation1,Allocation2 
3) Click Calculate and verify</t>
  </si>
  <si>
    <t>https://docs.google.com/spreadsheets/d/1hZaeSkuAcodJH6v00PAgMt2jGptI0glVSu9_jKQuTgc/edit#gid=250531914</t>
  </si>
  <si>
    <t>https://docs.google.com/spreadsheets/d/1hZaeSkuAcodJH6v00PAgMt2jGptI0glVSu9_jKQuTgc/edit#gid=1442484658</t>
  </si>
  <si>
    <t>https://docs.google.com/spreadsheets/d/1hZaeSkuAcodJH6v00PAgMt2jGptI0glVSu9_jKQuTgc/edit#gid=226446592</t>
  </si>
  <si>
    <t>https://docs.google.com/spreadsheets/d/1hZaeSkuAcodJH6v00PAgMt2jGptI0glVSu9_jKQuTgc/edit#gid=73427515</t>
  </si>
  <si>
    <t>https://docs.google.com/spreadsheets/d/1hZaeSkuAcodJH6v00PAgMt2jGptI0glVSu9_jKQuTgc/edit#gid=1606809494</t>
  </si>
  <si>
    <t>https://docs.google.com/spreadsheets/d/1kHRM_ssaCLJjkDvZCDdMknvQ8ERl0JhNYFOq4wh9jDU/edit#gid=1490301610</t>
  </si>
  <si>
    <t>PTT-0008</t>
  </si>
  <si>
    <t xml:space="preserve">1) Open PTT 
2) Enter the following fields: Ticker - MSFT Add/Set ; Set Target- 10 Type- Percentage Combined account total - Yes Price- 20 Master Fund/Account : Account Account- Allocation1,Allocation2 
3) Click Calculate and verify </t>
  </si>
  <si>
    <t>https://docs.google.com/spreadsheets/d/17Zwr4UGBrh18rSQpbcETau1z3LwahOCwyI7cjqTY0pA/edit#gid=1674176216</t>
  </si>
  <si>
    <t>https://docs.google.com/spreadsheets/d/17Zwr4UGBrh18rSQpbcETau1z3LwahOCwyI7cjqTY0pA/edit#gid=187992005</t>
  </si>
  <si>
    <t>https://docs.google.com/spreadsheets/d/17Zwr4UGBrh18rSQpbcETau1z3LwahOCwyI7cjqTY0pA/edit#gid=1124963330</t>
  </si>
  <si>
    <t>https://docs.google.com/spreadsheets/d/17Zwr4UGBrh18rSQpbcETau1z3LwahOCwyI7cjqTY0pA/edit#gid=1161077968</t>
  </si>
  <si>
    <t>https://docs.google.com/spreadsheets/d/17Zwr4UGBrh18rSQpbcETau1z3LwahOCwyI7cjqTY0pA/edit#gid=1084832460</t>
  </si>
  <si>
    <t>https://docs.google.com/spreadsheets/d/17Zwr4UGBrh18rSQpbcETau1z3LwahOCwyI7cjqTY0pA/edit#gid=463140365</t>
  </si>
  <si>
    <t>PTT-0009</t>
  </si>
  <si>
    <t xml:space="preserve">1) Open PTT 
2) Enter the following fields: Tikcer-AAPL  Add/Set ; Increase Target- 10 Type- Percentage Combined account total - NO Price- 20, Master Fund/Account :  Allocation1,Allocation2
 3) Click Calculate  create order and verify </t>
  </si>
  <si>
    <t>https://docs.google.com/spreadsheets/d/1xCCpC0trfjQXmSDsGgDYlvbl4bZRwm7SzyNabe8Kg9g/edit#gid=1952631794</t>
  </si>
  <si>
    <t>https://docs.google.com/spreadsheets/d/1xCCpC0trfjQXmSDsGgDYlvbl4bZRwm7SzyNabe8Kg9g/edit#gid=2102779558</t>
  </si>
  <si>
    <t>https://docs.google.com/spreadsheets/d/1xCCpC0trfjQXmSDsGgDYlvbl4bZRwm7SzyNabe8Kg9g/edit#gid=172605906</t>
  </si>
  <si>
    <t>https://docs.google.com/spreadsheets/d/1xCCpC0trfjQXmSDsGgDYlvbl4bZRwm7SzyNabe8Kg9g/edit#gid=567178054</t>
  </si>
  <si>
    <t>https://docs.google.com/spreadsheets/d/1xCCpC0trfjQXmSDsGgDYlvbl4bZRwm7SzyNabe8Kg9g/edit#gid=94081125</t>
  </si>
  <si>
    <t>https://docs.google.com/spreadsheets/d/1xCCpC0trfjQXmSDsGgDYlvbl4bZRwm7SzyNabe8Kg9g/edit#gid=1363145223</t>
  </si>
  <si>
    <t>SelectPTTRecord</t>
  </si>
  <si>
    <t>EditPTTRecord</t>
  </si>
  <si>
    <t>PTT-0010</t>
  </si>
  <si>
    <t xml:space="preserve">1) Open PTT
 2) Enter the following fields: Ticket-MSFT Add/Set ; decrease Target- 26 Type- Percentage Combined account total - Yes Price- 20 Master Fund/Account : Account Account- Allocation1,Allocation2 
3) Click Calculate and verify </t>
  </si>
  <si>
    <t>https://docs.google.com/spreadsheets/d/1XPXKJUIONK-hsSbp-cQpgW8b_ru2qnSeO5nwYOFBWY0/edit#gid=92297053</t>
  </si>
  <si>
    <t>https://docs.google.com/spreadsheets/d/1XPXKJUIONK-hsSbp-cQpgW8b_ru2qnSeO5nwYOFBWY0/edit#gid=333770643</t>
  </si>
  <si>
    <t>https://docs.google.com/spreadsheets/d/1XPXKJUIONK-hsSbp-cQpgW8b_ru2qnSeO5nwYOFBWY0/edit#gid=386887887</t>
  </si>
  <si>
    <t>https://docs.google.com/spreadsheets/d/1XPXKJUIONK-hsSbp-cQpgW8b_ru2qnSeO5nwYOFBWY0/edit#gid=903711915</t>
  </si>
  <si>
    <t>https://docs.google.com/spreadsheets/d/1XPXKJUIONK-hsSbp-cQpgW8b_ru2qnSeO5nwYOFBWY0/edit#gid=1180413794</t>
  </si>
  <si>
    <t>https://docs.google.com/spreadsheets/d/1XPXKJUIONK-hsSbp-cQpgW8b_ru2qnSeO5nwYOFBWY0/edit#gid=1067841590</t>
  </si>
  <si>
    <t>PTT-0011</t>
  </si>
  <si>
    <t>1) Open PTT 
2) Enter the following fields:Tikcer - MSFT  Add/Set ; Increase Target- 10 Type- Percentage Combined account total - NO Price- 20 Master Fund/Account : Account Account- Allocation1,Allocation2
 3) Click Calculate and trade alos verify on allocated gird, and portfolio management</t>
  </si>
  <si>
    <t>https://docs.google.com/spreadsheets/d/1VU3Y5wYZFlf4d58Mak0AzZoMidYH6mqxXJKMl5V0lPU/edit#gid=1694903098</t>
  </si>
  <si>
    <t>https://docs.google.com/spreadsheets/d/1VU3Y5wYZFlf4d58Mak0AzZoMidYH6mqxXJKMl5V0lPU/edit#gid=932398674</t>
  </si>
  <si>
    <t>https://docs.google.com/spreadsheets/d/1VU3Y5wYZFlf4d58Mak0AzZoMidYH6mqxXJKMl5V0lPU/edit#gid=835966412</t>
  </si>
  <si>
    <t>https://docs.google.com/spreadsheets/d/1VU3Y5wYZFlf4d58Mak0AzZoMidYH6mqxXJKMl5V0lPU/edit#gid=1359343923</t>
  </si>
  <si>
    <t>https://docs.google.com/spreadsheets/d/1VU3Y5wYZFlf4d58Mak0AzZoMidYH6mqxXJKMl5V0lPU/edit#gid=1312972039</t>
  </si>
  <si>
    <t>https://docs.google.com/spreadsheets/d/1VU3Y5wYZFlf4d58Mak0AzZoMidYH6mqxXJKMl5V0lPU/edit#gid=725275439</t>
  </si>
  <si>
    <t>https://docs.google.com/spreadsheets/d/1VU3Y5wYZFlf4d58Mak0AzZoMidYH6mqxXJKMl5V0lPU/edit#gid=1455257981</t>
  </si>
  <si>
    <t>https://docs.google.com/spreadsheets/d/1VU3Y5wYZFlf4d58Mak0AzZoMidYH6mqxXJKMl5V0lPU/edit#gid=1517833658</t>
  </si>
  <si>
    <t>https://docs.google.com/spreadsheets/d/1VU3Y5wYZFlf4d58Mak0AzZoMidYH6mqxXJKMl5V0lPU/edit#gid=1263985464</t>
  </si>
  <si>
    <t>PTT-0012</t>
  </si>
  <si>
    <t>1) Open PTT 
2) Enter the following fields: Ticket- MSFT Add/Set ; set Target- 10 Type- Percentage Combined account total - NO Price- 20 Master Fund/Account : Account Account- Allocation1,Allocation2
 3) Click Calculate and trade , bulk edit using  MTT, verify the result on allocation, clsoing , portfolio management.</t>
  </si>
  <si>
    <t>https://docs.google.com/spreadsheets/d/1nXO9iKr2QA42zz4xhhtMBAc2VX7sTpu7PHmNhcqgHl4/edit#gid=1297721327</t>
  </si>
  <si>
    <t>https://docs.google.com/spreadsheets/d/1nXO9iKr2QA42zz4xhhtMBAc2VX7sTpu7PHmNhcqgHl4/edit#gid=1464067194</t>
  </si>
  <si>
    <t>https://docs.google.com/spreadsheets/d/1nXO9iKr2QA42zz4xhhtMBAc2VX7sTpu7PHmNhcqgHl4/edit#gid=156308038</t>
  </si>
  <si>
    <t>https://docs.google.com/spreadsheets/d/1nXO9iKr2QA42zz4xhhtMBAc2VX7sTpu7PHmNhcqgHl4/edit#gid=944882631</t>
  </si>
  <si>
    <t>https://docs.google.com/spreadsheets/d/1nXO9iKr2QA42zz4xhhtMBAc2VX7sTpu7PHmNhcqgHl4/edit#gid=830355473</t>
  </si>
  <si>
    <t>https://docs.google.com/spreadsheets/d/1nXO9iKr2QA42zz4xhhtMBAc2VX7sTpu7PHmNhcqgHl4/edit#gid=766682827</t>
  </si>
  <si>
    <t>https://docs.google.com/spreadsheets/d/1nXO9iKr2QA42zz4xhhtMBAc2VX7sTpu7PHmNhcqgHl4/edit#gid=2132566125</t>
  </si>
  <si>
    <t>https://docs.google.com/spreadsheets/d/1nXO9iKr2QA42zz4xhhtMBAc2VX7sTpu7PHmNhcqgHl4/edit#gid=868144174</t>
  </si>
  <si>
    <t>https://docs.google.com/spreadsheets/d/1nXO9iKr2QA42zz4xhhtMBAc2VX7sTpu7PHmNhcqgHl4/edit#gid=2039139109</t>
  </si>
  <si>
    <t>PTT-0021</t>
  </si>
  <si>
    <t xml:space="preserve">Master Fund &amp; Increase
</t>
  </si>
  <si>
    <t>https://docs.google.com/spreadsheets/d/1F2ymYcKVPb84waajwB6hDq3zH49gD92Xky-4T0Acid4/edit#gid=1003397716</t>
  </si>
  <si>
    <t>https://docs.google.com/spreadsheets/d/1F2ymYcKVPb84waajwB6hDq3zH49gD92Xky-4T0Acid4/edit#gid=272485735</t>
  </si>
  <si>
    <t>https://docs.google.com/spreadsheets/d/1F2ymYcKVPb84waajwB6hDq3zH49gD92Xky-4T0Acid4/edit#gid=1168296470</t>
  </si>
  <si>
    <t>https://docs.google.com/spreadsheets/d/1F2ymYcKVPb84waajwB6hDq3zH49gD92Xky-4T0Acid4/edit#gid=475899890</t>
  </si>
  <si>
    <t>https://docs.google.com/spreadsheets/d/1F2ymYcKVPb84waajwB6hDq3zH49gD92Xky-4T0Acid4/edit#gid=1325504686</t>
  </si>
  <si>
    <t>https://docs.google.com/spreadsheets/d/1F2ymYcKVPb84waajwB6hDq3zH49gD92Xky-4T0Acid4/edit#gid=1968181927</t>
  </si>
  <si>
    <t>https://docs.google.com/spreadsheets/d/1F2ymYcKVPb84waajwB6hDq3zH49gD92Xky-4T0Acid4/edit#gid=96059089</t>
  </si>
  <si>
    <t>https://docs.google.com/spreadsheets/d/1F2ymYcKVPb84waajwB6hDq3zH49gD92Xky-4T0Acid4/edit#gid=1325215704</t>
  </si>
  <si>
    <t>https://docs.google.com/spreadsheets/d/1F2ymYcKVPb84waajwB6hDq3zH49gD92Xky-4T0Acid4/edit#gid=1471874401</t>
  </si>
  <si>
    <t>PTT-0023</t>
  </si>
  <si>
    <t>Master Fund &amp; Decrease</t>
  </si>
  <si>
    <t>https://docs.google.com/spreadsheets/d/1cFlWgX3lJHJ9_QpYqU4GAO6cLrWObG2PC-LTl0rfR-Y/edit#gid=1946637159</t>
  </si>
  <si>
    <t>https://docs.google.com/spreadsheets/d/1cFlWgX3lJHJ9_QpYqU4GAO6cLrWObG2PC-LTl0rfR-Y/edit#gid=362418463</t>
  </si>
  <si>
    <t>https://docs.google.com/spreadsheets/d/1cFlWgX3lJHJ9_QpYqU4GAO6cLrWObG2PC-LTl0rfR-Y/edit#gid=2099385109</t>
  </si>
  <si>
    <t>https://docs.google.com/spreadsheets/d/1cFlWgX3lJHJ9_QpYqU4GAO6cLrWObG2PC-LTl0rfR-Y/edit#gid=1614600556</t>
  </si>
  <si>
    <t>https://docs.google.com/spreadsheets/d/1cFlWgX3lJHJ9_QpYqU4GAO6cLrWObG2PC-LTl0rfR-Y/edit#gid=2044753713</t>
  </si>
  <si>
    <t>https://docs.google.com/spreadsheets/d/1cFlWgX3lJHJ9_QpYqU4GAO6cLrWObG2PC-LTl0rfR-Y/edit#gid=351481837</t>
  </si>
  <si>
    <t>https://docs.google.com/spreadsheets/d/1cFlWgX3lJHJ9_QpYqU4GAO6cLrWObG2PC-LTl0rfR-Y/edit#gid=1190817346</t>
  </si>
  <si>
    <t>https://docs.google.com/spreadsheets/d/1cFlWgX3lJHJ9_QpYqU4GAO6cLrWObG2PC-LTl0rfR-Y/edit#gid=552739001</t>
  </si>
  <si>
    <t>https://docs.google.com/spreadsheets/d/1cFlWgX3lJHJ9_QpYqU4GAO6cLrWObG2PC-LTl0rfR-Y/edit#gid=2086521675</t>
  </si>
  <si>
    <t>PTT-0024</t>
  </si>
  <si>
    <t>Position Generation</t>
  </si>
  <si>
    <t>https://docs.google.com/spreadsheets/d/1HywREbap84Usmq0topw9cj4a92Rm_fOeQg-jbAYYb9A/edit#gid=1964185499</t>
  </si>
  <si>
    <t>https://docs.google.com/spreadsheets/d/1HywREbap84Usmq0topw9cj4a92Rm_fOeQg-jbAYYb9A/edit#gid=1439825464</t>
  </si>
  <si>
    <t>https://docs.google.com/spreadsheets/d/1HywREbap84Usmq0topw9cj4a92Rm_fOeQg-jbAYYb9A/edit#gid=1291673460</t>
  </si>
  <si>
    <t>https://docs.google.com/spreadsheets/d/1HywREbap84Usmq0topw9cj4a92Rm_fOeQg-jbAYYb9A/edit#gid=758444692</t>
  </si>
  <si>
    <t>https://docs.google.com/spreadsheets/d/1HywREbap84Usmq0topw9cj4a92Rm_fOeQg-jbAYYb9A/edit#gid=648747949</t>
  </si>
  <si>
    <t>https://docs.google.com/spreadsheets/d/1HywREbap84Usmq0topw9cj4a92Rm_fOeQg-jbAYYb9A/edit#gid=2062173590</t>
  </si>
  <si>
    <t>https://docs.google.com/spreadsheets/d/1HywREbap84Usmq0topw9cj4a92Rm_fOeQg-jbAYYb9A/edit#gid=1847297832</t>
  </si>
  <si>
    <t>CalculatePTT1</t>
  </si>
  <si>
    <t>https://docs.google.com/spreadsheets/d/1HywREbap84Usmq0topw9cj4a92Rm_fOeQg-jbAYYb9A/edit#gid=1574725234</t>
  </si>
  <si>
    <t>VerifyPTT1</t>
  </si>
  <si>
    <t>https://docs.google.com/spreadsheets/d/1HywREbap84Usmq0topw9cj4a92Rm_fOeQg-jbAYYb9A/edit#gid=418625085</t>
  </si>
  <si>
    <t>CalculatePTT2</t>
  </si>
  <si>
    <t>https://docs.google.com/spreadsheets/d/1HywREbap84Usmq0topw9cj4a92Rm_fOeQg-jbAYYb9A/edit#gid=1443249940</t>
  </si>
  <si>
    <t>VerifyPTT2</t>
  </si>
  <si>
    <t>PTT-0025</t>
  </si>
  <si>
    <t>Check Side Validation From PTT</t>
  </si>
  <si>
    <t>https://docs.google.com/spreadsheets/d/1m_lez8wrKZt7BI08hoFONjUJXD5B7Jn7HxK8KpAJtrQ/edit#gid=1289356787</t>
  </si>
  <si>
    <t>https://docs.google.com/spreadsheets/d/1m_lez8wrKZt7BI08hoFONjUJXD5B7Jn7HxK8KpAJtrQ/edit#gid=981302302</t>
  </si>
  <si>
    <t>https://docs.google.com/spreadsheets/d/1m_lez8wrKZt7BI08hoFONjUJXD5B7Jn7HxK8KpAJtrQ/edit#gid=1691592695</t>
  </si>
  <si>
    <t>https://docs.google.com/spreadsheets/d/1m_lez8wrKZt7BI08hoFONjUJXD5B7Jn7HxK8KpAJtrQ/edit#gid=761619852</t>
  </si>
  <si>
    <t>https://docs.google.com/spreadsheets/d/13oroYyzQSJ83OvFWosqDJz0xh_m32RYcJjy2PxMSt0U/edit#gid=368203443</t>
  </si>
  <si>
    <t>https://docs.google.com/spreadsheets/d/1m_lez8wrKZt7BI08hoFONjUJXD5B7Jn7HxK8KpAJtrQ/edit#gid=2088184291</t>
  </si>
  <si>
    <t>https://docs.google.com/spreadsheets/d/1m_lez8wrKZt7BI08hoFONjUJXD5B7Jn7HxK8KpAJtrQ/edit#gid=564217137</t>
  </si>
  <si>
    <t>https://docs.google.com/spreadsheets/d/1m_lez8wrKZt7BI08hoFONjUJXD5B7Jn7HxK8KpAJtrQ/edit#gid=1996385108</t>
  </si>
  <si>
    <t>https://docs.google.com/spreadsheets/d/1m_lez8wrKZt7BI08hoFONjUJXD5B7Jn7HxK8KpAJtrQ/edit#gid=1028663906</t>
  </si>
  <si>
    <t>https://docs.google.com/spreadsheets/d/1m_lez8wrKZt7BI08hoFONjUJXD5B7Jn7HxK8KpAJtrQ/edit#gid=850280978</t>
  </si>
  <si>
    <t>https://docs.google.com/spreadsheets/d/1m_lez8wrKZt7BI08hoFONjUJXD5B7Jn7HxK8KpAJtrQ/edit#gid=1984257165</t>
  </si>
  <si>
    <t>https://docs.google.com/spreadsheets/d/1m_lez8wrKZt7BI08hoFONjUJXD5B7Jn7HxK8KpAJtrQ/edit#gid=1709397632</t>
  </si>
  <si>
    <t>PTT-0026</t>
  </si>
  <si>
    <t>Checking PTT Preference when set to zero (Target :- 0,MasterFund:- Yes,Combined :-YES) Less price</t>
  </si>
  <si>
    <t>https://docs.google.com/spreadsheets/d/1BDnRPD3KgcZtTUJa9SSlbaemHVA54bY7yz0qCUDaD1s/edit#gid=1678015852</t>
  </si>
  <si>
    <t>https://docs.google.com/spreadsheets/d/1BDnRPD3KgcZtTUJa9SSlbaemHVA54bY7yz0qCUDaD1s/edit#gid=1845130604</t>
  </si>
  <si>
    <t>https://docs.google.com/spreadsheets/d/1BDnRPD3KgcZtTUJa9SSlbaemHVA54bY7yz0qCUDaD1s/edit#gid=1703161567</t>
  </si>
  <si>
    <t>https://docs.google.com/spreadsheets/d/1BDnRPD3KgcZtTUJa9SSlbaemHVA54bY7yz0qCUDaD1s/edit#gid=872716895</t>
  </si>
  <si>
    <t>https://docs.google.com/spreadsheets/d/1BDnRPD3KgcZtTUJa9SSlbaemHVA54bY7yz0qCUDaD1s/edit#gid=772320473</t>
  </si>
  <si>
    <t>https://docs.google.com/spreadsheets/d/1BDnRPD3KgcZtTUJa9SSlbaemHVA54bY7yz0qCUDaD1s/edit#gid=1109774129</t>
  </si>
  <si>
    <t>https://docs.google.com/spreadsheets/d/1BDnRPD3KgcZtTUJa9SSlbaemHVA54bY7yz0qCUDaD1s/edit#gid=320573032</t>
  </si>
  <si>
    <t>CalculatePTT3</t>
  </si>
  <si>
    <t>https://docs.google.com/spreadsheets/d/1BDnRPD3KgcZtTUJa9SSlbaemHVA54bY7yz0qCUDaD1s/edit#gid=1031251295</t>
  </si>
  <si>
    <t>VerifyPTT3</t>
  </si>
  <si>
    <t>https://docs.google.com/spreadsheets/d/1BDnRPD3KgcZtTUJa9SSlbaemHVA54bY7yz0qCUDaD1s/edit#gid=1080547557</t>
  </si>
  <si>
    <t>https://docs.google.com/spreadsheets/d/1BDnRPD3KgcZtTUJa9SSlbaemHVA54bY7yz0qCUDaD1s/edit#gid=90145508</t>
  </si>
  <si>
    <t>https://docs.google.com/spreadsheets/d/1BDnRPD3KgcZtTUJa9SSlbaemHVA54bY7yz0qCUDaD1s/edit#gid=606449831</t>
  </si>
  <si>
    <t>https://docs.google.com/spreadsheets/d/1BDnRPD3KgcZtTUJa9SSlbaemHVA54bY7yz0qCUDaD1s/edit#gid=2094238473</t>
  </si>
  <si>
    <t>PTT-0027</t>
  </si>
  <si>
    <t>Checking PTT Preference (Target :- 0,Account :- Yes,Combined :- NO) Greater Price</t>
  </si>
  <si>
    <t>https://docs.google.com/spreadsheets/d/1_QDmz_0fwrspqLxMArntoij5s_mbkli-r-6cRLv4bCU/edit#gid=841052326</t>
  </si>
  <si>
    <t>https://docs.google.com/spreadsheets/d/1_QDmz_0fwrspqLxMArntoij5s_mbkli-r-6cRLv4bCU/edit#gid=519101010</t>
  </si>
  <si>
    <t>https://docs.google.com/spreadsheets/d/1_QDmz_0fwrspqLxMArntoij5s_mbkli-r-6cRLv4bCU/edit#gid=1407511321</t>
  </si>
  <si>
    <t>https://docs.google.com/spreadsheets/d/1_QDmz_0fwrspqLxMArntoij5s_mbkli-r-6cRLv4bCU/edit#gid=1924883094</t>
  </si>
  <si>
    <t>https://docs.google.com/spreadsheets/d/1_QDmz_0fwrspqLxMArntoij5s_mbkli-r-6cRLv4bCU/edit#gid=1134374375</t>
  </si>
  <si>
    <t>https://docs.google.com/spreadsheets/d/1_QDmz_0fwrspqLxMArntoij5s_mbkli-r-6cRLv4bCU/edit#gid=1870026414</t>
  </si>
  <si>
    <t>https://docs.google.com/spreadsheets/d/1_QDmz_0fwrspqLxMArntoij5s_mbkli-r-6cRLv4bCU/edit#gid=843296533</t>
  </si>
  <si>
    <t>https://docs.google.com/spreadsheets/d/1_QDmz_0fwrspqLxMArntoij5s_mbkli-r-6cRLv4bCU/edit#gid=944737197</t>
  </si>
  <si>
    <t>https://docs.google.com/spreadsheets/d/1_QDmz_0fwrspqLxMArntoij5s_mbkli-r-6cRLv4bCU/edit#gid=1871390738</t>
  </si>
  <si>
    <t>https://docs.google.com/spreadsheets/d/1_QDmz_0fwrspqLxMArntoij5s_mbkli-r-6cRLv4bCU/edit#gid=335843577</t>
  </si>
  <si>
    <t>PTT-0022</t>
  </si>
  <si>
    <t xml:space="preserve">Master Fund &amp; Set
</t>
  </si>
  <si>
    <t>https://docs.google.com/spreadsheets/d/1yofCAPDsA0751aJHQ3TAfsBnZ2TLuF_fOA6bxNsRICM/edit#gid=14257122</t>
  </si>
  <si>
    <t>https://docs.google.com/spreadsheets/d/1yofCAPDsA0751aJHQ3TAfsBnZ2TLuF_fOA6bxNsRICM/edit#gid=684841316</t>
  </si>
  <si>
    <t>https://docs.google.com/spreadsheets/d/1yofCAPDsA0751aJHQ3TAfsBnZ2TLuF_fOA6bxNsRICM/edit#gid=502426157</t>
  </si>
  <si>
    <t>https://docs.google.com/spreadsheets/d/1yofCAPDsA0751aJHQ3TAfsBnZ2TLuF_fOA6bxNsRICM/edit#gid=153858332</t>
  </si>
  <si>
    <t>https://docs.google.com/spreadsheets/d/1yofCAPDsA0751aJHQ3TAfsBnZ2TLuF_fOA6bxNsRICM/edit#gid=725759795</t>
  </si>
  <si>
    <t>https://docs.google.com/spreadsheets/d/1yofCAPDsA0751aJHQ3TAfsBnZ2TLuF_fOA6bxNsRICM/edit#gid=1130870725</t>
  </si>
  <si>
    <t>https://docs.google.com/spreadsheets/d/1yofCAPDsA0751aJHQ3TAfsBnZ2TLuF_fOA6bxNsRICM/edit#gid=1918591545</t>
  </si>
  <si>
    <t>https://docs.google.com/spreadsheets/d/1yofCAPDsA0751aJHQ3TAfsBnZ2TLuF_fOA6bxNsRICM/edit#gid=578601544</t>
  </si>
  <si>
    <t>https://docs.google.com/spreadsheets/d/1yofCAPDsA0751aJHQ3TAfsBnZ2TLuF_fOA6bxNsRICM/edit#gid=1111702831</t>
  </si>
  <si>
    <t>PTT-0028</t>
  </si>
  <si>
    <t xml:space="preserve">
Functionalities Covered :
   1) Open PTT 
   2) Enter the following fields: 
       Security- AAPL ,+/-/= : Increase,Target- 2500,Type- Basis Point,Combined account total - NO,Price- 20,Master Fund/Account : Account,Account- Allocation1,Allocation2 
   3) Click Calculate and Verify 
   4) Create order and verify 
   5) Click trade also verify on allocated gird, and portfolio management
</t>
  </si>
  <si>
    <t>PTT-0029</t>
  </si>
  <si>
    <t xml:space="preserve">1) Open PTT 
2) Enter the following fields:Ticker- AAPL  Add/Set ; Decrease ,Target- 30 Type- Basis Combined account total - NO  Price- 20 Master Fund/Account : Account- Allocation1,Allocation2
 3) Click Calculate and verify </t>
  </si>
  <si>
    <t>https://docs.google.com/spreadsheets/d/1vPs9KqbrhARkAK6raCx1npYATwnmVB8VyoRT6V0CUdk/edit#gid=2146703672</t>
  </si>
  <si>
    <t>https://docs.google.com/spreadsheets/d/1vPs9KqbrhARkAK6raCx1npYATwnmVB8VyoRT6V0CUdk/edit#gid=2113840601</t>
  </si>
  <si>
    <t>https://docs.google.com/spreadsheets/d/1vPs9KqbrhARkAK6raCx1npYATwnmVB8VyoRT6V0CUdk/edit#gid=1973651129</t>
  </si>
  <si>
    <t>https://docs.google.com/spreadsheets/d/1vPs9KqbrhARkAK6raCx1npYATwnmVB8VyoRT6V0CUdk/edit#gid=1750248757</t>
  </si>
  <si>
    <t>https://docs.google.com/spreadsheets/d/1vPs9KqbrhARkAK6raCx1npYATwnmVB8VyoRT6V0CUdk/edit#gid=2030414354</t>
  </si>
  <si>
    <t>https://docs.google.com/spreadsheets/d/1vPs9KqbrhARkAK6raCx1npYATwnmVB8VyoRT6V0CUdk/edit#gid=1983490623</t>
  </si>
  <si>
    <t>PTT-0030</t>
  </si>
  <si>
    <t>https://docs.google.com/spreadsheets/d/1oqi-m68t8FNooBNGYeetPO-IjhBoFrY7gIjXaBKztM0/edit#gid=2084343866</t>
  </si>
  <si>
    <t>https://docs.google.com/spreadsheets/d/1oqi-m68t8FNooBNGYeetPO-IjhBoFrY7gIjXaBKztM0/edit#gid=1642082472</t>
  </si>
  <si>
    <t>https://docs.google.com/spreadsheets/d/1oqi-m68t8FNooBNGYeetPO-IjhBoFrY7gIjXaBKztM0/edit#gid=1328003788</t>
  </si>
  <si>
    <t>https://docs.google.com/spreadsheets/d/1oqi-m68t8FNooBNGYeetPO-IjhBoFrY7gIjXaBKztM0/edit#gid=860463184</t>
  </si>
  <si>
    <t>https://docs.google.com/spreadsheets/d/1oqi-m68t8FNooBNGYeetPO-IjhBoFrY7gIjXaBKztM0/edit#gid=1306444256</t>
  </si>
  <si>
    <t>https://docs.google.com/spreadsheets/d/1oqi-m68t8FNooBNGYeetPO-IjhBoFrY7gIjXaBKztM0/edit#gid=1936850007</t>
  </si>
  <si>
    <t>https://docs.google.com/spreadsheets/d/1oqi-m68t8FNooBNGYeetPO-IjhBoFrY7gIjXaBKztM0/edit#gid=1640411238</t>
  </si>
  <si>
    <t>https://docs.google.com/spreadsheets/d/1oqi-m68t8FNooBNGYeetPO-IjhBoFrY7gIjXaBKztM0/edit#gid=2125410187</t>
  </si>
  <si>
    <t>https://docs.google.com/spreadsheets/d/1oqi-m68t8FNooBNGYeetPO-IjhBoFrY7gIjXaBKztM0/edit#gid=1274460235</t>
  </si>
  <si>
    <t>https://docs.google.com/spreadsheets/d/1oqi-m68t8FNooBNGYeetPO-IjhBoFrY7gIjXaBKztM0/edit#gid=761838493</t>
  </si>
  <si>
    <t>https://docs.google.com/spreadsheets/d/1oqi-m68t8FNooBNGYeetPO-IjhBoFrY7gIjXaBKztM0/edit#gid=1134254766</t>
  </si>
  <si>
    <t>https://docs.google.com/spreadsheets/d/1oqi-m68t8FNooBNGYeetPO-IjhBoFrY7gIjXaBKztM0/edit#gid=319840858</t>
  </si>
  <si>
    <t>PTT-0031</t>
  </si>
  <si>
    <t>1) Open PTT 
2) Enter the following fields: Security- AAPL, +/-/= ; Increase,Target- 2000,Type- Basis point,Combined account total - No,Price- 30,Master Fund/Account : Master Fund 
Master Fund: MF1, MF2 
3) Click Calculate and verify 
4) Verify Trade on closing ,PM and Allocation</t>
  </si>
  <si>
    <t>https://docs.google.com/spreadsheets/d/1xTrvncOFBIW6Qt_3ub6Z7S_q2slV7K80JBTxdZ8r2hk/edit#gid=1893899037</t>
  </si>
  <si>
    <t>https://docs.google.com/spreadsheets/d/1xTrvncOFBIW6Qt_3ub6Z7S_q2slV7K80JBTxdZ8r2hk/edit#gid=1293487671</t>
  </si>
  <si>
    <t>https://docs.google.com/spreadsheets/d/1xTrvncOFBIW6Qt_3ub6Z7S_q2slV7K80JBTxdZ8r2hk/edit#gid=712544272</t>
  </si>
  <si>
    <t>https://docs.google.com/spreadsheets/d/1xTrvncOFBIW6Qt_3ub6Z7S_q2slV7K80JBTxdZ8r2hk/edit#gid=317530331</t>
  </si>
  <si>
    <t>https://docs.google.com/spreadsheets/d/1xTrvncOFBIW6Qt_3ub6Z7S_q2slV7K80JBTxdZ8r2hk/edit#gid=17310441</t>
  </si>
  <si>
    <t>https://docs.google.com/spreadsheets/d/1xTrvncOFBIW6Qt_3ub6Z7S_q2slV7K80JBTxdZ8r2hk/edit#gid=229682597</t>
  </si>
  <si>
    <t>https://docs.google.com/spreadsheets/d/1xTrvncOFBIW6Qt_3ub6Z7S_q2slV7K80JBTxdZ8r2hk/edit#gid=498706488</t>
  </si>
  <si>
    <t>https://docs.google.com/spreadsheets/d/1xTrvncOFBIW6Qt_3ub6Z7S_q2slV7K80JBTxdZ8r2hk/edit#gid=683110785</t>
  </si>
  <si>
    <t>https://docs.google.com/spreadsheets/d/1xTrvncOFBIW6Qt_3ub6Z7S_q2slV7K80JBTxdZ8r2hk/edit#gid=473951967</t>
  </si>
  <si>
    <t>PTT-0032</t>
  </si>
  <si>
    <t>1) Open PTT 
2) Enter the following fields:  Tikcet - AAPL Add/Set ; Set  Type-Basis Point Combined account total - NO Price- 140 Master Fund/Account :  Account- Allocation1,Allocation2 
3) Click Calculate and verify 
4) Click Calculate and trade , bulk edit using MTT, verify the result on allocation, closing , portfolio management.</t>
  </si>
  <si>
    <t>https://docs.google.com/spreadsheets/d/150PkL-7wO6OVHx7v_sMWiHHIpR4jwLUwmOvwIQfXpB8/edit#gid=323486396</t>
  </si>
  <si>
    <t>https://docs.google.com/spreadsheets/d/150PkL-7wO6OVHx7v_sMWiHHIpR4jwLUwmOvwIQfXpB8/edit#gid=1737826303</t>
  </si>
  <si>
    <t>https://docs.google.com/spreadsheets/d/150PkL-7wO6OVHx7v_sMWiHHIpR4jwLUwmOvwIQfXpB8/edit#gid=7782311</t>
  </si>
  <si>
    <t>https://docs.google.com/spreadsheets/d/150PkL-7wO6OVHx7v_sMWiHHIpR4jwLUwmOvwIQfXpB8/edit#gid=1793556253</t>
  </si>
  <si>
    <t>https://docs.google.com/spreadsheets/d/150PkL-7wO6OVHx7v_sMWiHHIpR4jwLUwmOvwIQfXpB8/edit#gid=354719320</t>
  </si>
  <si>
    <t>https://docs.google.com/spreadsheets/d/150PkL-7wO6OVHx7v_sMWiHHIpR4jwLUwmOvwIQfXpB8/edit#gid=1225862651</t>
  </si>
  <si>
    <t>PTT-0033</t>
  </si>
  <si>
    <t xml:space="preserve">1) Open PTT 
2) Enter the following fields: Ticket - AAPL Add/Set ; Increase Target- 25 Type- Basis Point Combined account total - YES Price- 20 Master Fund/Account : Account Account- Allocation1,Allocation2 
3) Click Calculate and verify </t>
  </si>
  <si>
    <t>PTT-0034</t>
  </si>
  <si>
    <t>1) Open PTT
2) Enter the following fields:
Security- FRU-TC
+/-/= ; Set
Target- 30
Type- Percentage
Combined account total - NO
Price- 120/140/150
Master Fund/Account : Account
Account- FUND 1,Fund 2
3) Click Create Stage
4) Click Tade New Sub
5) Check On Allocation
6) Check on PM
** Forex Inclusive</t>
  </si>
  <si>
    <t>PTT-0035</t>
  </si>
  <si>
    <t>1) Open PTT 
2) Enter the following fields: Ticket-MSFT Add/Set ; Buy Target- 2500 Type- Basis Point Combined account total - Yes Price- 20 Master Fund/Account : Account Account- Allocation1,Allocation2 
3) Click Calculate and verify(Security not exist in portfolio)
4) Open PTT 
5) Click Calculate and Verify(Verify SET functionality when Security exist in portfolio )
6) Open PTT
7) Click calculate and verify (Verify DECREASE functionality when Security exist in portfolio )</t>
  </si>
  <si>
    <t>PTT-0036</t>
  </si>
  <si>
    <t>1) Open PTT 
2) Enter the following fields: 
                 Security- BMW-FRA,+/-/= ; Increase,Target- 30,Type- Percentage,Combined account total - NO,Price- 140,Master Fund/Account : Master fund,Account- MF1 
3) Click on Calculate button 
4) Verify fx rate value on PTT grid 
5) Click on create order 
6) create a new sub 
7) Click on done away button and Verify the same on blotter
** Forex inclusive</t>
  </si>
  <si>
    <t xml:space="preserve">  </t>
  </si>
  <si>
    <t>GL-0020</t>
  </si>
  <si>
    <t>Enter account details of any selected account within the selected date range. Enter new transaction from cash transaction and verify it in account details tab</t>
  </si>
  <si>
    <t>https://docs.google.com/spreadsheets/d/1BfYc1i9qt0apEYNxTznmYn6dQlXRx3XlsKY0wAJBLOE/edit#gid=52659426</t>
  </si>
  <si>
    <t>https://docs.google.com/spreadsheets/d/1BfYc1i9qt0apEYNxTznmYn6dQlXRx3XlsKY0wAJBLOE/edit#gid=611623387</t>
  </si>
  <si>
    <t>https://docs.google.com/spreadsheets/d/1BfYc1i9qt0apEYNxTznmYn6dQlXRx3XlsKY0wAJBLOE/edit#gid=1518081969</t>
  </si>
  <si>
    <t>https://docs.google.com/spreadsheets/d/1BfYc1i9qt0apEYNxTznmYn6dQlXRx3XlsKY0wAJBLOE/edit#gid=944034120</t>
  </si>
  <si>
    <t xml:space="preserve">
CleanUp-1000</t>
  </si>
  <si>
    <t>Data Clean Up</t>
  </si>
  <si>
    <t>GL-1000</t>
  </si>
  <si>
    <t>Asset : Equity(Partial Closed)
             International Equity (Partial Closed)
Comm: ISINCLUDECOMMISSION : TRUE
1) Corresponding entries are verified on
    Allocation &amp; GL's: Activity/Cash Journal: 
    Trading TransactionTab (Bulk commission
    inclusive).
2) Transaction Details are then verified on 
    DayEnd Cash Tab with data saved in daily
    valuation (Forex &amp; Mark Price inclusive).
3) Further activity,account balances are
    calculated and tallied according to the
    generated reval entries.
4) Note : Commission inclusive reval entries</t>
  </si>
  <si>
    <t>https://docs.google.com/spreadsheets/d/1KYgSjZPu10SFjisYdGwRKPdPjl_p1FJygfXQCpEXGmY/edit#gid=1068026304</t>
  </si>
  <si>
    <t>https://docs.google.com/spreadsheets/d/1KYgSjZPu10SFjisYdGwRKPdPjl_p1FJygfXQCpEXGmY/edit#gid=421203500</t>
  </si>
  <si>
    <t>https://docs.google.com/spreadsheets/d/1KYgSjZPu10SFjisYdGwRKPdPjl_p1FJygfXQCpEXGmY/edit#gid=1131230237</t>
  </si>
  <si>
    <t>https://docs.google.com/spreadsheets/d/1KYgSjZPu10SFjisYdGwRKPdPjl_p1FJygfXQCpEXGmY/edit#gid=764148369</t>
  </si>
  <si>
    <t>https://docs.google.com/spreadsheets/d/1KYgSjZPu10SFjisYdGwRKPdPjl_p1FJygfXQCpEXGmY/edit#gid=1465117163</t>
  </si>
  <si>
    <t>https://docs.google.com/spreadsheets/d/1KYgSjZPu10SFjisYdGwRKPdPjl_p1FJygfXQCpEXGmY/edit#gid=192225896</t>
  </si>
  <si>
    <t>https://docs.google.com/spreadsheets/d/1KYgSjZPu10SFjisYdGwRKPdPjl_p1FJygfXQCpEXGmY/edit#gid=714193560</t>
  </si>
  <si>
    <t>https://docs.google.com/spreadsheets/d/1KYgSjZPu10SFjisYdGwRKPdPjl_p1FJygfXQCpEXGmY/edit#gid=1271515208</t>
  </si>
  <si>
    <t>https://docs.google.com/spreadsheets/d/1KYgSjZPu10SFjisYdGwRKPdPjl_p1FJygfXQCpEXGmY/edit#gid=1100551107</t>
  </si>
  <si>
    <t>https://docs.google.com/spreadsheets/d/1KYgSjZPu10SFjisYdGwRKPdPjl_p1FJygfXQCpEXGmY/edit#gid=563239513</t>
  </si>
  <si>
    <t>https://docs.google.com/spreadsheets/d/1KYgSjZPu10SFjisYdGwRKPdPjl_p1FJygfXQCpEXGmY/edit#gid=1517106168</t>
  </si>
  <si>
    <t>https://docs.google.com/spreadsheets/d/1KYgSjZPu10SFjisYdGwRKPdPjl_p1FJygfXQCpEXGmY/edit#gid=1359087055</t>
  </si>
  <si>
    <t>https://docs.google.com/spreadsheets/d/1KYgSjZPu10SFjisYdGwRKPdPjl_p1FJygfXQCpEXGmY/edit#gid=1389742383</t>
  </si>
  <si>
    <t>https://docs.google.com/spreadsheets/d/1KYgSjZPu10SFjisYdGwRKPdPjl_p1FJygfXQCpEXGmY/edit#gid=886611378</t>
  </si>
  <si>
    <t>https://docs.google.com/spreadsheets/d/1KYgSjZPu10SFjisYdGwRKPdPjl_p1FJygfXQCpEXGmY/edit#gid=1968058546</t>
  </si>
  <si>
    <t>https://docs.google.com/spreadsheets/d/1KYgSjZPu10SFjisYdGwRKPdPjl_p1FJygfXQCpEXGmY/edit#gid=986878849</t>
  </si>
  <si>
    <t>https://docs.google.com/spreadsheets/d/1KYgSjZPu10SFjisYdGwRKPdPjl_p1FJygfXQCpEXGmY/edit#gid=788285047</t>
  </si>
  <si>
    <t>https://docs.google.com/spreadsheets/d/1KYgSjZPu10SFjisYdGwRKPdPjl_p1FJygfXQCpEXGmY/edit#gid=1017337539</t>
  </si>
  <si>
    <t>https://docs.google.com/spreadsheets/d/1KYgSjZPu10SFjisYdGwRKPdPjl_p1FJygfXQCpEXGmY/edit#gid=56109850</t>
  </si>
  <si>
    <t>https://docs.google.com/spreadsheets/d/1KYgSjZPu10SFjisYdGwRKPdPjl_p1FJygfXQCpEXGmY/edit#gid=220768542</t>
  </si>
  <si>
    <t>https://docs.google.com/spreadsheets/d/1KYgSjZPu10SFjisYdGwRKPdPjl_p1FJygfXQCpEXGmY/edit#gid=1130829167</t>
  </si>
  <si>
    <t>https://docs.google.com/spreadsheets/d/1KYgSjZPu10SFjisYdGwRKPdPjl_p1FJygfXQCpEXGmY/edit#gid=1023747067</t>
  </si>
  <si>
    <t>VerifyAccountBalances</t>
  </si>
  <si>
    <t>https://docs.google.com/spreadsheets/d/1KYgSjZPu10SFjisYdGwRKPdPjl_p1FJygfXQCpEXGmY/edit#gid=2065862654</t>
  </si>
  <si>
    <t>https://docs.google.com/spreadsheets/d/1KYgSjZPu10SFjisYdGwRKPdPjl_p1FJygfXQCpEXGmY/edit#gid=1619529912</t>
  </si>
  <si>
    <t>https://docs.google.com/spreadsheets/d/1KYgSjZPu10SFjisYdGwRKPdPjl_p1FJygfXQCpEXGmY/edit#gid=697529255</t>
  </si>
  <si>
    <t>CleanUp-2000</t>
  </si>
  <si>
    <t>GL-2000</t>
  </si>
  <si>
    <t>Asset : Equity(Partial/Complete Closed)
             International Equity (Partial/Complete
            Closed)
Comm: ISINCLUDECOMMISSION : TRUE
1) Opening Balances inclusion
2) Corresponding entries are verified on
    Allocation &amp; GL's: Activity/Cash Journal:
    Trading TransactionTab (Bulk commission
    inclusive).
3) Transaction Details are then verified on
     DayEnd Cash Tab with data saved in daily
     valuation (Forex &amp; Mark Price inclusive). 
4) Further activity,account balances are calculated
    and tallied according to the generated reval
    entries.
5) Note : Commission inclusive reval entries
6) Analysed Opening balances effect in Reval 
    entries</t>
  </si>
  <si>
    <t>https://docs.google.com/spreadsheets/d/1EsD58Wo3A2L19SP8bHIajKtjIcQjde9l22rHBlb7YeI/edit#gid=464640743</t>
  </si>
  <si>
    <t>https://docs.google.com/spreadsheets/d/1EsD58Wo3A2L19SP8bHIajKtjIcQjde9l22rHBlb7YeI/edit#gid=1937398022</t>
  </si>
  <si>
    <t>https://docs.google.com/spreadsheets/d/1EsD58Wo3A2L19SP8bHIajKtjIcQjde9l22rHBlb7YeI/edit#gid=1397792005</t>
  </si>
  <si>
    <t>https://docs.google.com/spreadsheets/d/1EsD58Wo3A2L19SP8bHIajKtjIcQjde9l22rHBlb7YeI/edit#gid=1813199669</t>
  </si>
  <si>
    <t>https://docs.google.com/spreadsheets/d/1EsD58Wo3A2L19SP8bHIajKtjIcQjde9l22rHBlb7YeI/edit#gid=1340488039</t>
  </si>
  <si>
    <t>https://docs.google.com/spreadsheets/d/1EsD58Wo3A2L19SP8bHIajKtjIcQjde9l22rHBlb7YeI/edit#gid=362908445</t>
  </si>
  <si>
    <t>https://docs.google.com/spreadsheets/d/1EsD58Wo3A2L19SP8bHIajKtjIcQjde9l22rHBlb7YeI/edit#gid=290247400</t>
  </si>
  <si>
    <t>https://docs.google.com/spreadsheets/d/1EsD58Wo3A2L19SP8bHIajKtjIcQjde9l22rHBlb7YeI/edit#gid=1919319598</t>
  </si>
  <si>
    <t>https://docs.google.com/spreadsheets/d/1EsD58Wo3A2L19SP8bHIajKtjIcQjde9l22rHBlb7YeI/edit#gid=2108241232</t>
  </si>
  <si>
    <t>https://docs.google.com/spreadsheets/d/1EsD58Wo3A2L19SP8bHIajKtjIcQjde9l22rHBlb7YeI/edit#gid=127344996</t>
  </si>
  <si>
    <t>https://docs.google.com/spreadsheets/d/1EsD58Wo3A2L19SP8bHIajKtjIcQjde9l22rHBlb7YeI/edit#gid=409675540</t>
  </si>
  <si>
    <t>https://docs.google.com/spreadsheets/d/1EsD58Wo3A2L19SP8bHIajKtjIcQjde9l22rHBlb7YeI/edit#gid=1779157904</t>
  </si>
  <si>
    <t>https://docs.google.com/spreadsheets/d/1EsD58Wo3A2L19SP8bHIajKtjIcQjde9l22rHBlb7YeI/edit#gid=359225798</t>
  </si>
  <si>
    <t>https://docs.google.com/spreadsheets/d/1EsD58Wo3A2L19SP8bHIajKtjIcQjde9l22rHBlb7YeI/edit#gid=689215550</t>
  </si>
  <si>
    <t>https://docs.google.com/spreadsheets/d/1EsD58Wo3A2L19SP8bHIajKtjIcQjde9l22rHBlb7YeI/edit#gid=2022585542</t>
  </si>
  <si>
    <t>https://docs.google.com/spreadsheets/d/1EsD58Wo3A2L19SP8bHIajKtjIcQjde9l22rHBlb7YeI/edit#gid=305426692</t>
  </si>
  <si>
    <t>https://docs.google.com/spreadsheets/d/1-rBvgfqRgjLZs5i1tefl_2Miwb-kUQVGZxDeEz_U8_o/edit#gid=286080012</t>
  </si>
  <si>
    <t>https://docs.google.com/spreadsheets/d/1-rBvgfqRgjLZs5i1tefl_2Miwb-kUQVGZxDeEz_U8_o/edit#gid=1277603948</t>
  </si>
  <si>
    <t>https://docs.google.com/spreadsheets/d/1-rBvgfqRgjLZs5i1tefl_2Miwb-kUQVGZxDeEz_U8_o/edit#gid=1122390287</t>
  </si>
  <si>
    <t>https://docs.google.com/spreadsheets/d/1-rBvgfqRgjLZs5i1tefl_2Miwb-kUQVGZxDeEz_U8_o/edit#gid=325833866</t>
  </si>
  <si>
    <t>https://docs.google.com/spreadsheets/d/1-rBvgfqRgjLZs5i1tefl_2Miwb-kUQVGZxDeEz_U8_o/edit#gid=1216866346</t>
  </si>
  <si>
    <t>https://docs.google.com/spreadsheets/d/1EsD58Wo3A2L19SP8bHIajKtjIcQjde9l22rHBlb7YeI/edit#gid=959217088</t>
  </si>
  <si>
    <t>https://docs.google.com/spreadsheets/d/1-rBvgfqRgjLZs5i1tefl_2Miwb-kUQVGZxDeEz_U8_o/edit#gid=449622992</t>
  </si>
  <si>
    <t>https://docs.google.com/spreadsheets/d/1-rBvgfqRgjLZs5i1tefl_2Miwb-kUQVGZxDeEz_U8_o/edit#gid=1144689467</t>
  </si>
  <si>
    <t>https://docs.google.com/spreadsheets/d/1-rBvgfqRgjLZs5i1tefl_2Miwb-kUQVGZxDeEz_U8_o/edit#gid=681554838</t>
  </si>
  <si>
    <t>https://docs.google.com/spreadsheets/d/1-rBvgfqRgjLZs5i1tefl_2Miwb-kUQVGZxDeEz_U8_o/edit#gid=363301782</t>
  </si>
  <si>
    <t>https://docs.google.com/spreadsheets/d/1-rBvgfqRgjLZs5i1tefl_2Miwb-kUQVGZxDeEz_U8_o/edit#gid=1961692762</t>
  </si>
  <si>
    <t>VerifyDailyCash</t>
  </si>
  <si>
    <t>https://docs.google.com/spreadsheets/d/1-rBvgfqRgjLZs5i1tefl_2Miwb-kUQVGZxDeEz_U8_o/edit#gid=1495993773</t>
  </si>
  <si>
    <t>https://docs.google.com/spreadsheets/d/1EsD58Wo3A2L19SP8bHIajKtjIcQjde9l22rHBlb7YeI/edit#gid=915286746</t>
  </si>
  <si>
    <t>VerifyDayEndCash1</t>
  </si>
  <si>
    <t>https://docs.google.com/spreadsheets/d/1-rBvgfqRgjLZs5i1tefl_2Miwb-kUQVGZxDeEz_U8_o/edit#gid=733462406</t>
  </si>
  <si>
    <t>GetDailyCash1</t>
  </si>
  <si>
    <t>VerifyDailyCash1</t>
  </si>
  <si>
    <t>https://docs.google.com/spreadsheets/d/1-rBvgfqRgjLZs5i1tefl_2Miwb-kUQVGZxDeEz_U8_o/edit#gid=67401482</t>
  </si>
  <si>
    <t>https://docs.google.com/spreadsheets/d/1-rBvgfqRgjLZs5i1tefl_2Miwb-kUQVGZxDeEz_U8_o/edit#gid=315234234</t>
  </si>
  <si>
    <t>https://docs.google.com/spreadsheets/d/1-rBvgfqRgjLZs5i1tefl_2Miwb-kUQVGZxDeEz_U8_o/edit#gid=720095156</t>
  </si>
  <si>
    <t>https://docs.google.com/spreadsheets/d/1-rBvgfqRgjLZs5i1tefl_2Miwb-kUQVGZxDeEz_U8_o/edit#gid=1884099132</t>
  </si>
  <si>
    <t>CleanUp-3000</t>
  </si>
  <si>
    <t>GL-3000</t>
  </si>
  <si>
    <t>Asset: International Future (Completely Closed)
Comm: ISINCLUDECOMMISSION:TRUE
1) Entries are verified on GL's: Activity,Cash
    Journal, Daily Calculation , DayEnd Cash.
2) Account balances are calculated and tallied
    according to the generated reval entries on
    Activity and Cash Journal alongwith the impact 
    of Forex and MarkPrice.</t>
  </si>
  <si>
    <t>https://docs.google.com/spreadsheets/d/1P1Rb5yL-ktMelPF8I2RnrhydkjSWmhnIO3xNS3mOQuM/edit#gid=818849169</t>
  </si>
  <si>
    <t>https://docs.google.com/spreadsheets/d/1P1Rb5yL-ktMelPF8I2RnrhydkjSWmhnIO3xNS3mOQuM/edit#gid=235563377</t>
  </si>
  <si>
    <t>https://docs.google.com/spreadsheets/d/1P1Rb5yL-ktMelPF8I2RnrhydkjSWmhnIO3xNS3mOQuM/edit#gid=676556143</t>
  </si>
  <si>
    <t>https://docs.google.com/spreadsheets/d/1P1Rb5yL-ktMelPF8I2RnrhydkjSWmhnIO3xNS3mOQuM/edit#gid=1779001704</t>
  </si>
  <si>
    <t>https://docs.google.com/spreadsheets/d/1P1Rb5yL-ktMelPF8I2RnrhydkjSWmhnIO3xNS3mOQuM/edit#gid=555893628</t>
  </si>
  <si>
    <t>https://docs.google.com/spreadsheets/d/1SqxdqHZpMAHXPsK0HKCmZWVcQcHYWZMitGIh8oYBTeE/edit#gid=913595751</t>
  </si>
  <si>
    <t>https://docs.google.com/spreadsheets/d/1P1Rb5yL-ktMelPF8I2RnrhydkjSWmhnIO3xNS3mOQuM/edit#gid=444153598</t>
  </si>
  <si>
    <t>https://docs.google.com/spreadsheets/d/1P1Rb5yL-ktMelPF8I2RnrhydkjSWmhnIO3xNS3mOQuM/edit#gid=1600162973</t>
  </si>
  <si>
    <t>https://docs.google.com/spreadsheets/d/1P1Rb5yL-ktMelPF8I2RnrhydkjSWmhnIO3xNS3mOQuM/edit#gid=518399897</t>
  </si>
  <si>
    <t>https://docs.google.com/spreadsheets/d/1P1Rb5yL-ktMelPF8I2RnrhydkjSWmhnIO3xNS3mOQuM/edit#gid=2051850330</t>
  </si>
  <si>
    <t>https://docs.google.com/spreadsheets/d/1P1Rb5yL-ktMelPF8I2RnrhydkjSWmhnIO3xNS3mOQuM/edit#gid=877133012</t>
  </si>
  <si>
    <t>https://docs.google.com/spreadsheets/d/1P1Rb5yL-ktMelPF8I2RnrhydkjSWmhnIO3xNS3mOQuM/edit#gid=55825791</t>
  </si>
  <si>
    <t>https://docs.google.com/spreadsheets/d/1P1Rb5yL-ktMelPF8I2RnrhydkjSWmhnIO3xNS3mOQuM/edit#gid=1265910690</t>
  </si>
  <si>
    <t>https://docs.google.com/spreadsheets/d/1P1Rb5yL-ktMelPF8I2RnrhydkjSWmhnIO3xNS3mOQuM/edit#gid=930887296</t>
  </si>
  <si>
    <t>https://docs.google.com/spreadsheets/d/1P1Rb5yL-ktMelPF8I2RnrhydkjSWmhnIO3xNS3mOQuM/edit#gid=1618341116</t>
  </si>
  <si>
    <t>https://docs.google.com/spreadsheets/d/1P1Rb5yL-ktMelPF8I2RnrhydkjSWmhnIO3xNS3mOQuM/edit#gid=1332585834</t>
  </si>
  <si>
    <t>https://docs.google.com/spreadsheets/d/1P1Rb5yL-ktMelPF8I2RnrhydkjSWmhnIO3xNS3mOQuM/edit#gid=346872413</t>
  </si>
  <si>
    <t>https://docs.google.com/spreadsheets/d/1SqxdqHZpMAHXPsK0HKCmZWVcQcHYWZMitGIh8oYBTeE/edit#gid=518399897</t>
  </si>
  <si>
    <t>https://docs.google.com/spreadsheets/d/1P1Rb5yL-ktMelPF8I2RnrhydkjSWmhnIO3xNS3mOQuM/edit#gid=560894779</t>
  </si>
  <si>
    <t>https://docs.google.com/spreadsheets/d/1P1Rb5yL-ktMelPF8I2RnrhydkjSWmhnIO3xNS3mOQuM/edit#gid=1300668202</t>
  </si>
  <si>
    <t>https://docs.google.com/spreadsheets/d/1P1Rb5yL-ktMelPF8I2RnrhydkjSWmhnIO3xNS3mOQuM/edit#gid=1951598779</t>
  </si>
  <si>
    <t>CleanUp-4000</t>
  </si>
  <si>
    <t>GL-4000</t>
  </si>
  <si>
    <t>Asset: International Fixed Income 
             (Partially closed)
Comm: ISINCLUDECOMMISSION:TRUE
1) Analysis : With / Without Daily Calculations
2) Entries are verified on GL's: Activity,Cash
    Journal,,Daily Calculation , DayEnd Cash.
3) Account balances are calculated and tallied
    according to the generated reval entries on
    Activity and Cash Journal.
4) Further Forex is added and its impact is 
    verified on Activity and Cash Journal after
    Revaluation</t>
  </si>
  <si>
    <t>https://docs.google.com/spreadsheets/d/1GUwW_EKplw8CEbJgAe8SqzdXNsdKIGS-9U_jioWrHMU/edit#gid=511306476</t>
  </si>
  <si>
    <t>https://docs.google.com/spreadsheets/d/1GUwW_EKplw8CEbJgAe8SqzdXNsdKIGS-9U_jioWrHMU/edit#gid=1475846570</t>
  </si>
  <si>
    <t>https://docs.google.com/spreadsheets/d/1GUwW_EKplw8CEbJgAe8SqzdXNsdKIGS-9U_jioWrHMU/edit#gid=1039710333</t>
  </si>
  <si>
    <t>https://docs.google.com/spreadsheets/d/1GUwW_EKplw8CEbJgAe8SqzdXNsdKIGS-9U_jioWrHMU/edit#gid=1186335798</t>
  </si>
  <si>
    <t>https://docs.google.com/spreadsheets/d/1GUwW_EKplw8CEbJgAe8SqzdXNsdKIGS-9U_jioWrHMU/edit#gid=990128497</t>
  </si>
  <si>
    <t>https://docs.google.com/spreadsheets/d/1GUwW_EKplw8CEbJgAe8SqzdXNsdKIGS-9U_jioWrHMU/edit#gid=1171638480</t>
  </si>
  <si>
    <t>https://docs.google.com/spreadsheets/d/1GUwW_EKplw8CEbJgAe8SqzdXNsdKIGS-9U_jioWrHMU/edit#gid=668267851</t>
  </si>
  <si>
    <t>https://docs.google.com/spreadsheets/d/1GUwW_EKplw8CEbJgAe8SqzdXNsdKIGS-9U_jioWrHMU/edit#gid=1974599193</t>
  </si>
  <si>
    <t>https://docs.google.com/spreadsheets/d/1GUwW_EKplw8CEbJgAe8SqzdXNsdKIGS-9U_jioWrHMU/edit#gid=1785893510</t>
  </si>
  <si>
    <t>https://docs.google.com/spreadsheets/d/1Kx05JImIOfl4R33DONm57V9S7BHm-ikzVgCKUKDecAQ/edit#gid=541841500</t>
  </si>
  <si>
    <t>https://docs.google.com/spreadsheets/d/1GUwW_EKplw8CEbJgAe8SqzdXNsdKIGS-9U_jioWrHMU/edit#gid=1024934065</t>
  </si>
  <si>
    <t>https://docs.google.com/spreadsheets/d/1GUwW_EKplw8CEbJgAe8SqzdXNsdKIGS-9U_jioWrHMU/edit#gid=931957771</t>
  </si>
  <si>
    <t>https://docs.google.com/spreadsheets/d/1Kx05JImIOfl4R33DONm57V9S7BHm-ikzVgCKUKDecAQ/edit#gid=1802152865</t>
  </si>
  <si>
    <t>https://docs.google.com/spreadsheets/d/1Kx05JImIOfl4R33DONm57V9S7BHm-ikzVgCKUKDecAQ/edit#gid=2130862331</t>
  </si>
  <si>
    <t>https://docs.google.com/spreadsheets/d/1Kx05JImIOfl4R33DONm57V9S7BHm-ikzVgCKUKDecAQ/edit#gid=1337552227</t>
  </si>
  <si>
    <t>https://docs.google.com/spreadsheets/d/1Kx05JImIOfl4R33DONm57V9S7BHm-ikzVgCKUKDecAQ/edit#gid=271408124</t>
  </si>
  <si>
    <t>https://docs.google.com/spreadsheets/d/1Kx05JImIOfl4R33DONm57V9S7BHm-ikzVgCKUKDecAQ/edit#gid=1039710333</t>
  </si>
  <si>
    <t>https://docs.google.com/spreadsheets/d/1Kx05JImIOfl4R33DONm57V9S7BHm-ikzVgCKUKDecAQ/edit#gid=1035804362</t>
  </si>
  <si>
    <t>https://docs.google.com/spreadsheets/d/1Kx05JImIOfl4R33DONm57V9S7BHm-ikzVgCKUKDecAQ/edit#gid=457914868</t>
  </si>
  <si>
    <t>https://docs.google.com/spreadsheets/d/1Kx05JImIOfl4R33DONm57V9S7BHm-ikzVgCKUKDecAQ/edit#gid=1310917863</t>
  </si>
  <si>
    <t>https://docs.google.com/spreadsheets/d/1GUwW_EKplw8CEbJgAe8SqzdXNsdKIGS-9U_jioWrHMU/edit#gid=1743835861</t>
  </si>
  <si>
    <t>https://docs.google.com/spreadsheets/d/1GUwW_EKplw8CEbJgAe8SqzdXNsdKIGS-9U_jioWrHMU/edit#gid=542400447</t>
  </si>
  <si>
    <t>https://docs.google.com/spreadsheets/d/1GUwW_EKplw8CEbJgAe8SqzdXNsdKIGS-9U_jioWrHMU/edit#gid=1802152865</t>
  </si>
  <si>
    <t>https://docs.google.com/spreadsheets/d/1GUwW_EKplw8CEbJgAe8SqzdXNsdKIGS-9U_jioWrHMU/edit#gid=1337552227</t>
  </si>
  <si>
    <t>https://docs.google.com/spreadsheets/d/1GUwW_EKplw8CEbJgAe8SqzdXNsdKIGS-9U_jioWrHMU/edit#gid=271408124</t>
  </si>
  <si>
    <t>https://docs.google.com/spreadsheets/d/1Kx05JImIOfl4R33DONm57V9S7BHm-ikzVgCKUKDecAQ/edit#gid=1129813867</t>
  </si>
  <si>
    <t>https://docs.google.com/spreadsheets/d/1GUwW_EKplw8CEbJgAe8SqzdXNsdKIGS-9U_jioWrHMU/edit#gid=457914868</t>
  </si>
  <si>
    <t>https://docs.google.com/spreadsheets/d/1GUwW_EKplw8CEbJgAe8SqzdXNsdKIGS-9U_jioWrHMU/edit#gid=1456195328</t>
  </si>
  <si>
    <t>CleanUp-5000</t>
  </si>
  <si>
    <t>GL-5000</t>
  </si>
  <si>
    <t xml:space="preserve"> Asset: Fixed Income (Completely Closed)
 Comm: ISINCLUDECOMMISSION:TRUE
                       (Server config)
1) Entries verified on  Activity , Cash Journal, Daily 
    Calculations , DayEnd Cash
2) Entries verified on  Daily Calculations after 
    Closing for Closing Date and Settlement Date 
3) Save Daily Cash in Daily Valuation
4) Run Revaluation
5) Further Verify overall entries on Activity and Cash
   Journal.
6) Make some changes in Commission/Fees.
7) Accrued Interest is set to zero for both trades
8) Revaluate the effect of Commission/Fee and
    Accrued Interest on Journal And Activity </t>
  </si>
  <si>
    <t>https://docs.google.com/spreadsheets/d/1zInvAiqnSrVQj2hL_4TJ45iWLqYs9Y4C6WnbrJ-VyRU/edit#gid=1566287814</t>
  </si>
  <si>
    <t>https://docs.google.com/spreadsheets/d/1hnLYeml0J4zS1z6PTzjihM8CkKDN3Zz3zvfa9c95Lx0/edit#gid=1276387982</t>
  </si>
  <si>
    <t>https://docs.google.com/spreadsheets/d/1hnLYeml0J4zS1z6PTzjihM8CkKDN3Zz3zvfa9c95Lx0/edit#gid=23201491</t>
  </si>
  <si>
    <t>https://docs.google.com/spreadsheets/d/1hnLYeml0J4zS1z6PTzjihM8CkKDN3Zz3zvfa9c95Lx0/edit#gid=1839079702</t>
  </si>
  <si>
    <t>https://docs.google.com/spreadsheets/d/1hnLYeml0J4zS1z6PTzjihM8CkKDN3Zz3zvfa9c95Lx0/edit#gid=896082427</t>
  </si>
  <si>
    <t>https://docs.google.com/spreadsheets/d/1hnLYeml0J4zS1z6PTzjihM8CkKDN3Zz3zvfa9c95Lx0/edit#gid=1725886396</t>
  </si>
  <si>
    <t>https://docs.google.com/spreadsheets/d/1hnLYeml0J4zS1z6PTzjihM8CkKDN3Zz3zvfa9c95Lx0/edit#gid=444172060</t>
  </si>
  <si>
    <t>https://docs.google.com/spreadsheets/d/1hnLYeml0J4zS1z6PTzjihM8CkKDN3Zz3zvfa9c95Lx0/edit#gid=89116953</t>
  </si>
  <si>
    <t>GetTradingTransaction1</t>
  </si>
  <si>
    <t>https://docs.google.com/spreadsheets/d/1hnLYeml0J4zS1z6PTzjihM8CkKDN3Zz3zvfa9c95Lx0/edit#gid=668416045</t>
  </si>
  <si>
    <t>https://docs.google.com/spreadsheets/d/1hnLYeml0J4zS1z6PTzjihM8CkKDN3Zz3zvfa9c95Lx0/edit#gid=1273796821</t>
  </si>
  <si>
    <t>https://docs.google.com/spreadsheets/d/1hnLYeml0J4zS1z6PTzjihM8CkKDN3Zz3zvfa9c95Lx0/edit#gid=1412166019</t>
  </si>
  <si>
    <t>https://docs.google.com/spreadsheets/d/1hnLYeml0J4zS1z6PTzjihM8CkKDN3Zz3zvfa9c95Lx0/edit#gid=844703767</t>
  </si>
  <si>
    <t>GetDailyCalculationsData1</t>
  </si>
  <si>
    <t>https://docs.google.com/spreadsheets/d/1hnLYeml0J4zS1z6PTzjihM8CkKDN3Zz3zvfa9c95Lx0/edit#gid=303704797</t>
  </si>
  <si>
    <t>VerifyDailyCalTransactions1</t>
  </si>
  <si>
    <t>https://docs.google.com/spreadsheets/d/1hnLYeml0J4zS1z6PTzjihM8CkKDN3Zz3zvfa9c95Lx0/edit#gid=1062525311</t>
  </si>
  <si>
    <t>GetDailyCalculationsData2</t>
  </si>
  <si>
    <t>https://docs.google.com/spreadsheets/d/1hnLYeml0J4zS1z6PTzjihM8CkKDN3Zz3zvfa9c95Lx0/edit#gid=1616798675</t>
  </si>
  <si>
    <t>VerifyDailyCalTransactions2</t>
  </si>
  <si>
    <t>https://docs.google.com/spreadsheets/d/1hnLYeml0J4zS1z6PTzjihM8CkKDN3Zz3zvfa9c95Lx0/edit#gid=1786329773</t>
  </si>
  <si>
    <t>https://docs.google.com/spreadsheets/d/1hnLYeml0J4zS1z6PTzjihM8CkKDN3Zz3zvfa9c95Lx0/edit#gid=768803431</t>
  </si>
  <si>
    <t>https://docs.google.com/spreadsheets/d/1hnLYeml0J4zS1z6PTzjihM8CkKDN3Zz3zvfa9c95Lx0/edit#gid=199715061</t>
  </si>
  <si>
    <t>https://docs.google.com/spreadsheets/d/1hnLYeml0J4zS1z6PTzjihM8CkKDN3Zz3zvfa9c95Lx0/edit#gid=535124204</t>
  </si>
  <si>
    <t>https://docs.google.com/spreadsheets/d/1hnLYeml0J4zS1z6PTzjihM8CkKDN3Zz3zvfa9c95Lx0/edit#gid=1403950535</t>
  </si>
  <si>
    <t>https://docs.google.com/spreadsheets/d/1hnLYeml0J4zS1z6PTzjihM8CkKDN3Zz3zvfa9c95Lx0/edit#gid=1161210871</t>
  </si>
  <si>
    <t>https://docs.google.com/spreadsheets/d/1hnLYeml0J4zS1z6PTzjihM8CkKDN3Zz3zvfa9c95Lx0/edit#gid=1028578386</t>
  </si>
  <si>
    <t>https://docs.google.com/spreadsheets/d/1hnLYeml0J4zS1z6PTzjihM8CkKDN3Zz3zvfa9c95Lx0/edit#gid=1000629388</t>
  </si>
  <si>
    <t>https://docs.google.com/spreadsheets/d/1hnLYeml0J4zS1z6PTzjihM8CkKDN3Zz3zvfa9c95Lx0/edit#gid=390072187</t>
  </si>
  <si>
    <t>https://docs.google.com/spreadsheets/d/1hnLYeml0J4zS1z6PTzjihM8CkKDN3Zz3zvfa9c95Lx0/edit#gid=2063034759</t>
  </si>
  <si>
    <t>https://docs.google.com/spreadsheets/d/1hnLYeml0J4zS1z6PTzjihM8CkKDN3Zz3zvfa9c95Lx0/edit#gid=281443761</t>
  </si>
  <si>
    <t>https://docs.google.com/spreadsheets/d/1hnLYeml0J4zS1z6PTzjihM8CkKDN3Zz3zvfa9c95Lx0/edit#gid=425109140</t>
  </si>
  <si>
    <t>https://docs.google.com/spreadsheets/d/1hnLYeml0J4zS1z6PTzjihM8CkKDN3Zz3zvfa9c95Lx0/edit#gid=561067389</t>
  </si>
  <si>
    <t>https://docs.google.com/spreadsheets/d/1hnLYeml0J4zS1z6PTzjihM8CkKDN3Zz3zvfa9c95Lx0/edit#gid=1434395101</t>
  </si>
  <si>
    <t>https://docs.google.com/spreadsheets/d/1hnLYeml0J4zS1z6PTzjihM8CkKDN3Zz3zvfa9c95Lx0/edit#gid=1418609344</t>
  </si>
  <si>
    <t>CleanUp-6000</t>
  </si>
  <si>
    <t>RT-0005</t>
  </si>
  <si>
    <t>GL-6000</t>
  </si>
  <si>
    <t>Asset: USD Future (Partially Closed)
Comm: ISINCLUDECOMMISSION:TRUE
1) Entries are verified on GL's: Activity,Cash Journal
    ,Daily Calculation , DayEnd Cash.
2) Account balances are calculated and tallied
    according to the generated reval entries on 
    Activity and Cash Journal alongwith the impact of 
    MarkPrice.</t>
  </si>
  <si>
    <t>https://docs.google.com/spreadsheets/d/1FlQJ_gYh7e9J6goggYz0M4tj_jk5wCvpAGcXxhiHCvk/edit#gid=27437031</t>
  </si>
  <si>
    <t>https://docs.google.com/spreadsheets/d/1FlQJ_gYh7e9J6goggYz0M4tj_jk5wCvpAGcXxhiHCvk/edit#gid=1072974930</t>
  </si>
  <si>
    <t>https://docs.google.com/spreadsheets/d/1FlQJ_gYh7e9J6goggYz0M4tj_jk5wCvpAGcXxhiHCvk/edit#gid=1905917063</t>
  </si>
  <si>
    <t>https://docs.google.com/spreadsheets/d/1FlQJ_gYh7e9J6goggYz0M4tj_jk5wCvpAGcXxhiHCvk/edit#gid=561630993</t>
  </si>
  <si>
    <t>https://docs.google.com/spreadsheets/d/1FlQJ_gYh7e9J6goggYz0M4tj_jk5wCvpAGcXxhiHCvk/edit#gid=493823957</t>
  </si>
  <si>
    <t>https://docs.google.com/spreadsheets/d/1FlQJ_gYh7e9J6goggYz0M4tj_jk5wCvpAGcXxhiHCvk/edit#gid=988330401</t>
  </si>
  <si>
    <t>https://docs.google.com/spreadsheets/d/1FlQJ_gYh7e9J6goggYz0M4tj_jk5wCvpAGcXxhiHCvk/edit#gid=142264613</t>
  </si>
  <si>
    <t>https://docs.google.com/spreadsheets/d/1FlQJ_gYh7e9J6goggYz0M4tj_jk5wCvpAGcXxhiHCvk/edit#gid=707450838</t>
  </si>
  <si>
    <t>https://docs.google.com/spreadsheets/d/1FlQJ_gYh7e9J6goggYz0M4tj_jk5wCvpAGcXxhiHCvk/edit#gid=1159152818</t>
  </si>
  <si>
    <t>https://docs.google.com/spreadsheets/d/1FlQJ_gYh7e9J6goggYz0M4tj_jk5wCvpAGcXxhiHCvk/edit#gid=1287353547</t>
  </si>
  <si>
    <t>https://docs.google.com/spreadsheets/d/1FlQJ_gYh7e9J6goggYz0M4tj_jk5wCvpAGcXxhiHCvk/edit#gid=1616295597</t>
  </si>
  <si>
    <t>https://docs.google.com/spreadsheets/d/1FlQJ_gYh7e9J6goggYz0M4tj_jk5wCvpAGcXxhiHCvk/edit#gid=1999793449</t>
  </si>
  <si>
    <t>https://docs.google.com/spreadsheets/d/1FlQJ_gYh7e9J6goggYz0M4tj_jk5wCvpAGcXxhiHCvk/edit#gid=1937587336</t>
  </si>
  <si>
    <t>https://docs.google.com/spreadsheets/d/1FlQJ_gYh7e9J6goggYz0M4tj_jk5wCvpAGcXxhiHCvk/edit#gid=243375799</t>
  </si>
  <si>
    <t>https://docs.google.com/spreadsheets/d/1FlQJ_gYh7e9J6goggYz0M4tj_jk5wCvpAGcXxhiHCvk/edit#gid=1136861828</t>
  </si>
  <si>
    <t>https://docs.google.com/spreadsheets/d/1FlQJ_gYh7e9J6goggYz0M4tj_jk5wCvpAGcXxhiHCvk/edit#gid=2047315273</t>
  </si>
  <si>
    <t>https://docs.google.com/spreadsheets/d/1FlQJ_gYh7e9J6goggYz0M4tj_jk5wCvpAGcXxhiHCvk/edit#gid=318334656</t>
  </si>
  <si>
    <t>https://docs.google.com/spreadsheets/d/1FlQJ_gYh7e9J6goggYz0M4tj_jk5wCvpAGcXxhiHCvk/edit#gid=1660363247</t>
  </si>
  <si>
    <t>CleanUp-7000</t>
  </si>
  <si>
    <t>GL-7000</t>
  </si>
  <si>
    <t>Asset :  International Equity/Future/
              Fixed Income (Partial Closed)
Comm: ISINCLUDECOMMISSION : TRUE
1) Non Trading Transaction - inclusion
2) Corresponding entries are verified on Allocation
    and GL's: Activity/Cash Journal: Trading
    Transaction Tab (Bulk commission inclusive).
3) Transaction Details are then verified on DayEnd
    Cash Tab with data saved in daily valuation and 
    DailyCalculations Tab (Forex &amp; Mark Price
    inclusive). 
4) Further activity,account balances are calculated
     and tallied according to the generated reval
     entries.
5) Note : Commission inclusive reval entries
6) Analyse Non Trading effect in reval entries</t>
  </si>
  <si>
    <t>https://docs.google.com/spreadsheets/d/1-kOKmPcJqZ1ukDQ8Ou6LFv-HaQuGP40mNtiypP3Wedo/edit#gid=626366601</t>
  </si>
  <si>
    <t>https://docs.google.com/spreadsheets/d/1-kOKmPcJqZ1ukDQ8Ou6LFv-HaQuGP40mNtiypP3Wedo/edit#gid=540499393</t>
  </si>
  <si>
    <t>https://docs.google.com/spreadsheets/d/1-kOKmPcJqZ1ukDQ8Ou6LFv-HaQuGP40mNtiypP3Wedo/edit#gid=1559977911</t>
  </si>
  <si>
    <t>https://docs.google.com/spreadsheets/d/1-kOKmPcJqZ1ukDQ8Ou6LFv-HaQuGP40mNtiypP3Wedo/edit#gid=1315025762</t>
  </si>
  <si>
    <t>https://docs.google.com/spreadsheets/d/1-kOKmPcJqZ1ukDQ8Ou6LFv-HaQuGP40mNtiypP3Wedo/edit#gid=1561717690</t>
  </si>
  <si>
    <t>AddNonTradingTransaction2</t>
  </si>
  <si>
    <t>https://docs.google.com/spreadsheets/d/1-kOKmPcJqZ1ukDQ8Ou6LFv-HaQuGP40mNtiypP3Wedo/edit#gid=1126783901</t>
  </si>
  <si>
    <t>https://docs.google.com/spreadsheets/d/1-kOKmPcJqZ1ukDQ8Ou6LFv-HaQuGP40mNtiypP3Wedo/edit#gid=1323437250</t>
  </si>
  <si>
    <t>https://docs.google.com/spreadsheets/d/1VeD7g2QnmosyPkouXVJiMiZa4F_RaTNgN7VFYVH6Bv4/edit#gid=464187165</t>
  </si>
  <si>
    <t>https://docs.google.com/spreadsheets/d/1-kOKmPcJqZ1ukDQ8Ou6LFv-HaQuGP40mNtiypP3Wedo/edit#gid=779969295</t>
  </si>
  <si>
    <t>https://docs.google.com/spreadsheets/d/1VeD7g2QnmosyPkouXVJiMiZa4F_RaTNgN7VFYVH6Bv4/edit#gid=1729784325</t>
  </si>
  <si>
    <t>https://docs.google.com/spreadsheets/d/1-kOKmPcJqZ1ukDQ8Ou6LFv-HaQuGP40mNtiypP3Wedo/edit#gid=1459137110</t>
  </si>
  <si>
    <t>https://docs.google.com/spreadsheets/d/1-kOKmPcJqZ1ukDQ8Ou6LFv-HaQuGP40mNtiypP3Wedo/edit#gid=611082616</t>
  </si>
  <si>
    <t>https://docs.google.com/spreadsheets/d/1-kOKmPcJqZ1ukDQ8Ou6LFv-HaQuGP40mNtiypP3Wedo/edit#gid=1322922427</t>
  </si>
  <si>
    <t>https://docs.google.com/spreadsheets/d/1-kOKmPcJqZ1ukDQ8Ou6LFv-HaQuGP40mNtiypP3Wedo/edit#gid=1193423895</t>
  </si>
  <si>
    <t>https://docs.google.com/spreadsheets/d/1-kOKmPcJqZ1ukDQ8Ou6LFv-HaQuGP40mNtiypP3Wedo/edit#gid=2104516296</t>
  </si>
  <si>
    <t>https://docs.google.com/spreadsheets/d/1-kOKmPcJqZ1ukDQ8Ou6LFv-HaQuGP40mNtiypP3Wedo/edit#gid=583751270</t>
  </si>
  <si>
    <t>https://docs.google.com/spreadsheets/d/1-kOKmPcJqZ1ukDQ8Ou6LFv-HaQuGP40mNtiypP3Wedo/edit#gid=909548744</t>
  </si>
  <si>
    <t>https://docs.google.com/spreadsheets/d/1-kOKmPcJqZ1ukDQ8Ou6LFv-HaQuGP40mNtiypP3Wedo/edit#gid=327397296</t>
  </si>
  <si>
    <t>https://docs.google.com/spreadsheets/d/1-kOKmPcJqZ1ukDQ8Ou6LFv-HaQuGP40mNtiypP3Wedo/edit#gid=319221536</t>
  </si>
  <si>
    <t>https://docs.google.com/spreadsheets/d/1-kOKmPcJqZ1ukDQ8Ou6LFv-HaQuGP40mNtiypP3Wedo/edit#gid=1087470726</t>
  </si>
  <si>
    <t>https://docs.google.com/spreadsheets/d/1-kOKmPcJqZ1ukDQ8Ou6LFv-HaQuGP40mNtiypP3Wedo/edit#gid=1750089077</t>
  </si>
  <si>
    <t>https://docs.google.com/spreadsheets/d/1-kOKmPcJqZ1ukDQ8Ou6LFv-HaQuGP40mNtiypP3Wedo/edit#gid=551740131</t>
  </si>
  <si>
    <t>https://docs.google.com/spreadsheets/d/1-kOKmPcJqZ1ukDQ8Ou6LFv-HaQuGP40mNtiypP3Wedo/edit#gid=358873733</t>
  </si>
  <si>
    <t>https://docs.google.com/spreadsheets/d/1-kOKmPcJqZ1ukDQ8Ou6LFv-HaQuGP40mNtiypP3Wedo/edit#gid=463149783</t>
  </si>
  <si>
    <t>https://docs.google.com/spreadsheets/d/1-kOKmPcJqZ1ukDQ8Ou6LFv-HaQuGP40mNtiypP3Wedo/edit#gid=1333533649</t>
  </si>
  <si>
    <t>https://docs.google.com/spreadsheets/d/1-kOKmPcJqZ1ukDQ8Ou6LFv-HaQuGP40mNtiypP3Wedo/edit#gid=1210716828</t>
  </si>
  <si>
    <t>https://docs.google.com/spreadsheets/d/1-kOKmPcJqZ1ukDQ8Ou6LFv-HaQuGP40mNtiypP3Wedo/edit#gid=175472729</t>
  </si>
  <si>
    <t>https://docs.google.com/spreadsheets/d/1-kOKmPcJqZ1ukDQ8Ou6LFv-HaQuGP40mNtiypP3Wedo/edit#gid=418459813</t>
  </si>
  <si>
    <t>https://docs.google.com/spreadsheets/d/1-kOKmPcJqZ1ukDQ8Ou6LFv-HaQuGP40mNtiypP3Wedo/edit#gid=978018907</t>
  </si>
  <si>
    <t>https://docs.google.com/spreadsheets/d/1-kOKmPcJqZ1ukDQ8Ou6LFv-HaQuGP40mNtiypP3Wedo/edit#gid=1111901020</t>
  </si>
  <si>
    <t>https://docs.google.com/spreadsheets/d/1-kOKmPcJqZ1ukDQ8Ou6LFv-HaQuGP40mNtiypP3Wedo/edit#gid=1177214053</t>
  </si>
  <si>
    <t>https://docs.google.com/spreadsheets/d/1-kOKmPcJqZ1ukDQ8Ou6LFv-HaQuGP40mNtiypP3Wedo/edit#gid=1964143585</t>
  </si>
  <si>
    <t>https://docs.google.com/spreadsheets/d/1-kOKmPcJqZ1ukDQ8Ou6LFv-HaQuGP40mNtiypP3Wedo/edit#gid=716678938</t>
  </si>
  <si>
    <t>https://docs.google.com/spreadsheets/d/1-kOKmPcJqZ1ukDQ8Ou6LFv-HaQuGP40mNtiypP3Wedo/edit#gid=303686877</t>
  </si>
  <si>
    <t>https://docs.google.com/spreadsheets/d/1-kOKmPcJqZ1ukDQ8Ou6LFv-HaQuGP40mNtiypP3Wedo/edit#gid=1731676573</t>
  </si>
  <si>
    <t>CleanUp-8000</t>
  </si>
  <si>
    <t>GL-8000</t>
  </si>
  <si>
    <t>Asset :  International Fixed Income
Comm: ISINCLUDECOMMISSION : TRUE
1) Settlement Currency : USD
2) Corresponding entries are verified on Allocation
    and GL's: Activity/Cash Journal: Trading
    Transaction Tab.
3) Transaction Details are then verified on DayEnd
    Cash Tab with data saved in daily valuation and 
    DailyCalculations Tab (Forex &amp; Mark Price
    inclusive).
4) Further activity,account balances are calculated
     and tallied according to the generated reval
     entries.
5) Note : Commission inclusive reval entries
6) Editing - Accrued Interest to any specific
    value (EditAllocatedPanel)
7) Re-calculation account balances &amp; reval entries
8) Analysis edited effect in Reval entries</t>
  </si>
  <si>
    <t>https://docs.google.com/spreadsheets/d/1avwaLPC0vzQlxbJnF3faTNOkw3FwMyO17zFpjCNc9CU/edit#gid=1185534229</t>
  </si>
  <si>
    <t>https://docs.google.com/spreadsheets/d/1avwaLPC0vzQlxbJnF3faTNOkw3FwMyO17zFpjCNc9CU/edit#gid=276174737</t>
  </si>
  <si>
    <t>https://docs.google.com/spreadsheets/d/1avwaLPC0vzQlxbJnF3faTNOkw3FwMyO17zFpjCNc9CU/edit#gid=1694129686</t>
  </si>
  <si>
    <t>https://docs.google.com/spreadsheets/d/1avwaLPC0vzQlxbJnF3faTNOkw3FwMyO17zFpjCNc9CU/edit#gid=706299508</t>
  </si>
  <si>
    <t>https://docs.google.com/spreadsheets/d/1avwaLPC0vzQlxbJnF3faTNOkw3FwMyO17zFpjCNc9CU/edit#gid=505093258</t>
  </si>
  <si>
    <t>https://docs.google.com/spreadsheets/d/1avwaLPC0vzQlxbJnF3faTNOkw3FwMyO17zFpjCNc9CU/edit#gid=668564130</t>
  </si>
  <si>
    <t>https://docs.google.com/spreadsheets/d/1avwaLPC0vzQlxbJnF3faTNOkw3FwMyO17zFpjCNc9CU/edit#gid=461997270</t>
  </si>
  <si>
    <t>https://docs.google.com/spreadsheets/d/1avwaLPC0vzQlxbJnF3faTNOkw3FwMyO17zFpjCNc9CU/edit#gid=410498188</t>
  </si>
  <si>
    <t>https://docs.google.com/spreadsheets/d/1avwaLPC0vzQlxbJnF3faTNOkw3FwMyO17zFpjCNc9CU/edit#gid=2125850504</t>
  </si>
  <si>
    <t>https://docs.google.com/spreadsheets/d/1avwaLPC0vzQlxbJnF3faTNOkw3FwMyO17zFpjCNc9CU/edit#gid=523630684</t>
  </si>
  <si>
    <t>https://docs.google.com/spreadsheets/d/1avwaLPC0vzQlxbJnF3faTNOkw3FwMyO17zFpjCNc9CU/edit#gid=2027353803</t>
  </si>
  <si>
    <t>https://docs.google.com/spreadsheets/d/1avwaLPC0vzQlxbJnF3faTNOkw3FwMyO17zFpjCNc9CU/edit#gid=1005698700</t>
  </si>
  <si>
    <t>https://docs.google.com/spreadsheets/d/1avwaLPC0vzQlxbJnF3faTNOkw3FwMyO17zFpjCNc9CU/edit#gid=1793781082</t>
  </si>
  <si>
    <t>https://docs.google.com/spreadsheets/d/1avwaLPC0vzQlxbJnF3faTNOkw3FwMyO17zFpjCNc9CU/edit#gid=1645725119</t>
  </si>
  <si>
    <t>https://docs.google.com/spreadsheets/d/1avwaLPC0vzQlxbJnF3faTNOkw3FwMyO17zFpjCNc9CU/edit#gid=277256603</t>
  </si>
  <si>
    <t>https://docs.google.com/spreadsheets/d/1avwaLPC0vzQlxbJnF3faTNOkw3FwMyO17zFpjCNc9CU/edit#gid=1078870520</t>
  </si>
  <si>
    <t>https://docs.google.com/spreadsheets/d/1avwaLPC0vzQlxbJnF3faTNOkw3FwMyO17zFpjCNc9CU/edit#gid=1176584842</t>
  </si>
  <si>
    <t>https://docs.google.com/spreadsheets/d/1avwaLPC0vzQlxbJnF3faTNOkw3FwMyO17zFpjCNc9CU/edit#gid=1332930376</t>
  </si>
  <si>
    <t>https://docs.google.com/spreadsheets/d/1avwaLPC0vzQlxbJnF3faTNOkw3FwMyO17zFpjCNc9CU/edit#gid=1602237900</t>
  </si>
  <si>
    <t>https://docs.google.com/spreadsheets/d/1avwaLPC0vzQlxbJnF3faTNOkw3FwMyO17zFpjCNc9CU/edit#gid=414483046</t>
  </si>
  <si>
    <t>https://docs.google.com/spreadsheets/d/1avwaLPC0vzQlxbJnF3faTNOkw3FwMyO17zFpjCNc9CU/edit#gid=1904619862</t>
  </si>
  <si>
    <t>https://docs.google.com/spreadsheets/d/1avwaLPC0vzQlxbJnF3faTNOkw3FwMyO17zFpjCNc9CU/edit#gid=1537835373</t>
  </si>
  <si>
    <t>https://docs.google.com/spreadsheets/d/1avwaLPC0vzQlxbJnF3faTNOkw3FwMyO17zFpjCNc9CU/edit#gid=112103566</t>
  </si>
  <si>
    <t>CleanUp-9000</t>
  </si>
  <si>
    <t>GL-9000</t>
  </si>
  <si>
    <t>Asset :  International Equity
Comm: ISINCLUDECOMMISSION : TRUE
1) Cash Transaction (With and Without Symbol)
2) Corresponding entries are verified on Allocation
    and GL's: Activity/Cash Journal: Trading
    Transaction Tab.
3) Transaction Details are then verified on DayEnd
    Cash Tab with data saved in daily valuation Tab
    (Forex &amp; Mark Price inclusive).
4) Further activity,account balances are calculated
     and tallied according to the generated reval
     entries.
5) Note : Commission inclusive reval entries
6) Editing Cash Transaction - Amount / Payout
    Date/Fx Rate and Deletion Cash Transaction entries
7) Re-calculation account balances &amp; reval entries
8) Analysis edited effect in Reval entries</t>
  </si>
  <si>
    <t>https://docs.google.com/spreadsheets/d/10t91WY4I9PGcpNfp5foLxGWqQW452mbt9JokUKXvg-4/edit#gid=1032410550</t>
  </si>
  <si>
    <t>https://docs.google.com/spreadsheets/d/10t91WY4I9PGcpNfp5foLxGWqQW452mbt9JokUKXvg-4/edit#gid=629416880</t>
  </si>
  <si>
    <t>AddCashTransaction1</t>
  </si>
  <si>
    <t>AddCashTransaction2</t>
  </si>
  <si>
    <t>VerifyCashTransaction</t>
  </si>
  <si>
    <t>https://docs.google.com/spreadsheets/d/10t91WY4I9PGcpNfp5foLxGWqQW452mbt9JokUKXvg-4/edit#gid=1156645927</t>
  </si>
  <si>
    <t>https://docs.google.com/spreadsheets/d/10t91WY4I9PGcpNfp5foLxGWqQW452mbt9JokUKXvg-4/edit#gid=248842239</t>
  </si>
  <si>
    <t>https://docs.google.com/spreadsheets/d/10t91WY4I9PGcpNfp5foLxGWqQW452mbt9JokUKXvg-4/edit#gid=1985750285</t>
  </si>
  <si>
    <t>https://docs.google.com/spreadsheets/d/10t91WY4I9PGcpNfp5foLxGWqQW452mbt9JokUKXvg-4/edit#gid=1575713538</t>
  </si>
  <si>
    <t>https://docs.google.com/spreadsheets/d/10t91WY4I9PGcpNfp5foLxGWqQW452mbt9JokUKXvg-4/edit#gid=1098451611</t>
  </si>
  <si>
    <t>https://docs.google.com/spreadsheets/d/10t91WY4I9PGcpNfp5foLxGWqQW452mbt9JokUKXvg-4/edit#gid=646769838</t>
  </si>
  <si>
    <t>https://docs.google.com/spreadsheets/d/10t91WY4I9PGcpNfp5foLxGWqQW452mbt9JokUKXvg-4/edit#gid=155812490</t>
  </si>
  <si>
    <t>https://docs.google.com/spreadsheets/d/10t91WY4I9PGcpNfp5foLxGWqQW452mbt9JokUKXvg-4/edit#gid=754828688</t>
  </si>
  <si>
    <t>https://docs.google.com/spreadsheets/d/10t91WY4I9PGcpNfp5foLxGWqQW452mbt9JokUKXvg-4/edit#gid=1697109092</t>
  </si>
  <si>
    <t>https://docs.google.com/spreadsheets/d/10t91WY4I9PGcpNfp5foLxGWqQW452mbt9JokUKXvg-4/edit#gid=746192877</t>
  </si>
  <si>
    <t>https://docs.google.com/spreadsheets/d/10t91WY4I9PGcpNfp5foLxGWqQW452mbt9JokUKXvg-4/edit#gid=1237264829</t>
  </si>
  <si>
    <t>https://docs.google.com/spreadsheets/d/10t91WY4I9PGcpNfp5foLxGWqQW452mbt9JokUKXvg-4/edit#gid=708640519</t>
  </si>
  <si>
    <t>https://docs.google.com/spreadsheets/d/10t91WY4I9PGcpNfp5foLxGWqQW452mbt9JokUKXvg-4/edit#gid=1018554700</t>
  </si>
  <si>
    <t>https://docs.google.com/spreadsheets/d/10t91WY4I9PGcpNfp5foLxGWqQW452mbt9JokUKXvg-4/edit#gid=1215026786</t>
  </si>
  <si>
    <t>https://docs.google.com/spreadsheets/d/10t91WY4I9PGcpNfp5foLxGWqQW452mbt9JokUKXvg-4/edit#gid=370221173</t>
  </si>
  <si>
    <t>https://docs.google.com/spreadsheets/d/10t91WY4I9PGcpNfp5foLxGWqQW452mbt9JokUKXvg-4/edit#gid=296750525</t>
  </si>
  <si>
    <t>https://docs.google.com/spreadsheets/d/10t91WY4I9PGcpNfp5foLxGWqQW452mbt9JokUKXvg-4/edit#gid=880427851</t>
  </si>
  <si>
    <t>VerifyDividend1</t>
  </si>
  <si>
    <t>https://docs.google.com/spreadsheets/d/10t91WY4I9PGcpNfp5foLxGWqQW452mbt9JokUKXvg-4/edit#gid=1258439630</t>
  </si>
  <si>
    <t>https://docs.google.com/spreadsheets/d/10t91WY4I9PGcpNfp5foLxGWqQW452mbt9JokUKXvg-4/edit#gid=2104381393</t>
  </si>
  <si>
    <t>https://docs.google.com/spreadsheets/d/10t91WY4I9PGcpNfp5foLxGWqQW452mbt9JokUKXvg-4/edit#gid=1921039393</t>
  </si>
  <si>
    <t>https://docs.google.com/spreadsheets/d/10t91WY4I9PGcpNfp5foLxGWqQW452mbt9JokUKXvg-4/edit#gid=1820716718</t>
  </si>
  <si>
    <t>https://docs.google.com/spreadsheets/d/10t91WY4I9PGcpNfp5foLxGWqQW452mbt9JokUKXvg-4/edit#gid=2147124477</t>
  </si>
  <si>
    <t>https://docs.google.com/spreadsheets/d/10t91WY4I9PGcpNfp5foLxGWqQW452mbt9JokUKXvg-4/edit#gid=495796596</t>
  </si>
  <si>
    <t>https://docs.google.com/spreadsheets/d/10t91WY4I9PGcpNfp5foLxGWqQW452mbt9JokUKXvg-4/edit#gid=2087870788</t>
  </si>
  <si>
    <t>SelectCashTransaction1</t>
  </si>
  <si>
    <t>https://docs.google.com/spreadsheets/d/10t91WY4I9PGcpNfp5foLxGWqQW452mbt9JokUKXvg-4/edit#gid=1712003100</t>
  </si>
  <si>
    <t>https://docs.google.com/spreadsheets/d/10t91WY4I9PGcpNfp5foLxGWqQW452mbt9JokUKXvg-4/edit#gid=626197226</t>
  </si>
  <si>
    <t>SelectCashTransaction2</t>
  </si>
  <si>
    <t>https://docs.google.com/spreadsheets/d/10t91WY4I9PGcpNfp5foLxGWqQW452mbt9JokUKXvg-4/edit#gid=413111425</t>
  </si>
  <si>
    <t>DeleteCashTransaction1</t>
  </si>
  <si>
    <t>SelectCashTransaction3</t>
  </si>
  <si>
    <t>DeleteCashTransaction2</t>
  </si>
  <si>
    <t>https://docs.google.com/spreadsheets/d/10t91WY4I9PGcpNfp5foLxGWqQW452mbt9JokUKXvg-4/edit#gid=271945506</t>
  </si>
  <si>
    <t>VerifyActivity3</t>
  </si>
  <si>
    <t>https://docs.google.com/spreadsheets/d/10t91WY4I9PGcpNfp5foLxGWqQW452mbt9JokUKXvg-4/edit#gid=1421763672</t>
  </si>
  <si>
    <t>CleanUp-1100</t>
  </si>
  <si>
    <t>GL-1100</t>
  </si>
  <si>
    <t>Asset :  International Equity
Comm: ISINCLUDECOMMISSION : TRUE
1) Opening Balance (full coverage) - inclusion
2) Corresponding entries are verified on Allocation
    and GL's: Activity/Cash Journal: Opening
    Balance Tab.
3) Transaction Details are then verified on DayEnd
    Cash Tab with data saved in daily valuation Tab
    (Forex inclusive).
4) Further activity,account balances are calculated
     and tallied according to the generated reval
     entries.
5) Note : Commission inclusive reval entries
6) Editing Opening Balance - DR/CR/ Fx Rate
   and Deletion Opening Balance entries
7) Re-calculation account balances &amp; reval entries
8) Analysis edited effect in Reval entries</t>
  </si>
  <si>
    <t>https://docs.google.com/spreadsheets/d/1O85f61zk1kgngySG0ifzXbRSl9Xiy_xiHH1pwk4cyLI/edit#gid=331222355</t>
  </si>
  <si>
    <t>https://docs.google.com/spreadsheets/d/1O85f61zk1kgngySG0ifzXbRSl9Xiy_xiHH1pwk4cyLI/edit#gid=1832838674</t>
  </si>
  <si>
    <t>https://docs.google.com/spreadsheets/d/1O85f61zk1kgngySG0ifzXbRSl9Xiy_xiHH1pwk4cyLI/edit#gid=1904347938</t>
  </si>
  <si>
    <t>https://docs.google.com/spreadsheets/d/1O85f61zk1kgngySG0ifzXbRSl9Xiy_xiHH1pwk4cyLI/edit#gid=1207046421</t>
  </si>
  <si>
    <t>AddOpeningBalanceTranItem1</t>
  </si>
  <si>
    <t>https://docs.google.com/spreadsheets/d/1O85f61zk1kgngySG0ifzXbRSl9Xiy_xiHH1pwk4cyLI/edit#gid=1419044542</t>
  </si>
  <si>
    <t>https://docs.google.com/spreadsheets/d/1O85f61zk1kgngySG0ifzXbRSl9Xiy_xiHH1pwk4cyLI/edit#gid=359724142</t>
  </si>
  <si>
    <t>https://docs.google.com/spreadsheets/d/1O85f61zk1kgngySG0ifzXbRSl9Xiy_xiHH1pwk4cyLI/edit#gid=2065371044</t>
  </si>
  <si>
    <t>https://docs.google.com/spreadsheets/d/1O85f61zk1kgngySG0ifzXbRSl9Xiy_xiHH1pwk4cyLI/edit#gid=988729668</t>
  </si>
  <si>
    <t>https://docs.google.com/spreadsheets/d/1O85f61zk1kgngySG0ifzXbRSl9Xiy_xiHH1pwk4cyLI/edit#gid=536884323</t>
  </si>
  <si>
    <t>https://docs.google.com/spreadsheets/d/1O85f61zk1kgngySG0ifzXbRSl9Xiy_xiHH1pwk4cyLI/edit#gid=1483705236</t>
  </si>
  <si>
    <t>https://docs.google.com/spreadsheets/d/1O85f61zk1kgngySG0ifzXbRSl9Xiy_xiHH1pwk4cyLI/edit#gid=1061872702</t>
  </si>
  <si>
    <t>https://docs.google.com/spreadsheets/d/1O85f61zk1kgngySG0ifzXbRSl9Xiy_xiHH1pwk4cyLI/edit#gid=1273586327</t>
  </si>
  <si>
    <t>https://docs.google.com/spreadsheets/d/1O85f61zk1kgngySG0ifzXbRSl9Xiy_xiHH1pwk4cyLI/edit#gid=1842686101</t>
  </si>
  <si>
    <t>https://docs.google.com/spreadsheets/d/1O85f61zk1kgngySG0ifzXbRSl9Xiy_xiHH1pwk4cyLI/edit#gid=236445809</t>
  </si>
  <si>
    <t>https://docs.google.com/spreadsheets/d/1O85f61zk1kgngySG0ifzXbRSl9Xiy_xiHH1pwk4cyLI/edit#gid=388676541</t>
  </si>
  <si>
    <t>https://docs.google.com/spreadsheets/d/1O85f61zk1kgngySG0ifzXbRSl9Xiy_xiHH1pwk4cyLI/edit#gid=730661418</t>
  </si>
  <si>
    <t>https://docs.google.com/spreadsheets/d/1O85f61zk1kgngySG0ifzXbRSl9Xiy_xiHH1pwk4cyLI/edit#gid=638174563</t>
  </si>
  <si>
    <t>https://docs.google.com/spreadsheets/d/1O85f61zk1kgngySG0ifzXbRSl9Xiy_xiHH1pwk4cyLI/edit#gid=663292288</t>
  </si>
  <si>
    <t>https://docs.google.com/spreadsheets/d/1O85f61zk1kgngySG0ifzXbRSl9Xiy_xiHH1pwk4cyLI/edit#gid=1652266839</t>
  </si>
  <si>
    <t>https://docs.google.com/spreadsheets/d/1O85f61zk1kgngySG0ifzXbRSl9Xiy_xiHH1pwk4cyLI/edit#gid=1938103833</t>
  </si>
  <si>
    <t>https://docs.google.com/spreadsheets/d/1O85f61zk1kgngySG0ifzXbRSl9Xiy_xiHH1pwk4cyLI/edit#gid=151749401</t>
  </si>
  <si>
    <t>SelectOpeningBalanceTranItem1</t>
  </si>
  <si>
    <t>https://docs.google.com/spreadsheets/d/1O85f61zk1kgngySG0ifzXbRSl9Xiy_xiHH1pwk4cyLI/edit#gid=931202378</t>
  </si>
  <si>
    <t>EditOpeningBalanceTranItem1</t>
  </si>
  <si>
    <t>https://docs.google.com/spreadsheets/d/17eptdTe0p0M_2Vg3w7iCI035nma9kXvgvHIQNv05B_I/edit#gid=272548312</t>
  </si>
  <si>
    <t>https://docs.google.com/spreadsheets/d/1O85f61zk1kgngySG0ifzXbRSl9Xiy_xiHH1pwk4cyLI/edit#gid=801590602</t>
  </si>
  <si>
    <t>https://docs.google.com/spreadsheets/d/1O85f61zk1kgngySG0ifzXbRSl9Xiy_xiHH1pwk4cyLI/edit#gid=651988537</t>
  </si>
  <si>
    <t>https://docs.google.com/spreadsheets/d/1O85f61zk1kgngySG0ifzXbRSl9Xiy_xiHH1pwk4cyLI/edit#gid=1647561677</t>
  </si>
  <si>
    <t>https://docs.google.com/spreadsheets/d/1O85f61zk1kgngySG0ifzXbRSl9Xiy_xiHH1pwk4cyLI/edit#gid=2134135534</t>
  </si>
  <si>
    <t>https://docs.google.com/spreadsheets/d/1O85f61zk1kgngySG0ifzXbRSl9Xiy_xiHH1pwk4cyLI/edit#gid=997304711</t>
  </si>
  <si>
    <t>https://docs.google.com/spreadsheets/d/1O85f61zk1kgngySG0ifzXbRSl9Xiy_xiHH1pwk4cyLI/edit#gid=771109792</t>
  </si>
  <si>
    <t>CleanUp-1200</t>
  </si>
  <si>
    <t>GL-1200</t>
  </si>
  <si>
    <t>Asset :  International Equity
Comm: ISINCLUDECOMMISSION : TRUE
1) NonTradingTransaction (full coverage) - 
    inclusion
2) Corresponding entries are verified on Allocation
    and GL's: Activity/Cash Journal: Non Trading
    Transaction
3) Transaction Details are then verified on DayEnd
    Cash Tab with data saved in daily valuation Tab
    (Forex inclusive).
4) Further activity,account balances are calculated
     and tallied according to the generated reval
     entries.
5) Note : Commission inclusive reval entries
6) Editing Non Trading Transaction - DR/CR/ Fx 
    Rate and Deletion NonTradingTransaction
    entries
7) Re-calculation account balances &amp; reval entries
8) Analysis edited effect in Reval entries</t>
  </si>
  <si>
    <t>https://docs.google.com/spreadsheets/d/13MfycJpROb8yJshLEISMrJr65D9BYPKYsCceGgFZk64/edit#gid=56901754</t>
  </si>
  <si>
    <t>https://docs.google.com/spreadsheets/d/13MfycJpROb8yJshLEISMrJr65D9BYPKYsCceGgFZk64/edit#gid=899930857</t>
  </si>
  <si>
    <t>https://docs.google.com/spreadsheets/d/13MfycJpROb8yJshLEISMrJr65D9BYPKYsCceGgFZk64/edit#gid=1006986963</t>
  </si>
  <si>
    <t>https://docs.google.com/spreadsheets/d/13MfycJpROb8yJshLEISMrJr65D9BYPKYsCceGgFZk64/edit#gid=966133642</t>
  </si>
  <si>
    <t>AddNonTradingTranItem1</t>
  </si>
  <si>
    <t>https://docs.google.com/spreadsheets/d/13MfycJpROb8yJshLEISMrJr65D9BYPKYsCceGgFZk64/edit#gid=1579847944</t>
  </si>
  <si>
    <t>https://docs.google.com/spreadsheets/d/13MfycJpROb8yJshLEISMrJr65D9BYPKYsCceGgFZk64/edit#gid=1932812114</t>
  </si>
  <si>
    <t>https://docs.google.com/spreadsheets/d/13MfycJpROb8yJshLEISMrJr65D9BYPKYsCceGgFZk64/edit#gid=850372634</t>
  </si>
  <si>
    <t>https://docs.google.com/spreadsheets/d/13MfycJpROb8yJshLEISMrJr65D9BYPKYsCceGgFZk64/edit#gid=1606416705</t>
  </si>
  <si>
    <t>https://docs.google.com/spreadsheets/d/13MfycJpROb8yJshLEISMrJr65D9BYPKYsCceGgFZk64/edit#gid=1330044019</t>
  </si>
  <si>
    <t>https://docs.google.com/spreadsheets/d/13MfycJpROb8yJshLEISMrJr65D9BYPKYsCceGgFZk64/edit#gid=1897624964</t>
  </si>
  <si>
    <t>https://docs.google.com/spreadsheets/d/13MfycJpROb8yJshLEISMrJr65D9BYPKYsCceGgFZk64/edit#gid=2107924100</t>
  </si>
  <si>
    <t>https://docs.google.com/spreadsheets/d/13MfycJpROb8yJshLEISMrJr65D9BYPKYsCceGgFZk64/edit#gid=523201911</t>
  </si>
  <si>
    <t>https://docs.google.com/spreadsheets/d/13MfycJpROb8yJshLEISMrJr65D9BYPKYsCceGgFZk64/edit#gid=1502347956</t>
  </si>
  <si>
    <t>https://docs.google.com/spreadsheets/d/13MfycJpROb8yJshLEISMrJr65D9BYPKYsCceGgFZk64/edit#gid=720627235</t>
  </si>
  <si>
    <t>https://docs.google.com/spreadsheets/d/13MfycJpROb8yJshLEISMrJr65D9BYPKYsCceGgFZk64/edit#gid=1341602200</t>
  </si>
  <si>
    <t>https://docs.google.com/spreadsheets/d/13MfycJpROb8yJshLEISMrJr65D9BYPKYsCceGgFZk64/edit#gid=1259784964</t>
  </si>
  <si>
    <t>https://docs.google.com/spreadsheets/d/13MfycJpROb8yJshLEISMrJr65D9BYPKYsCceGgFZk64/edit#gid=184964644</t>
  </si>
  <si>
    <t>https://docs.google.com/spreadsheets/d/13MfycJpROb8yJshLEISMrJr65D9BYPKYsCceGgFZk64/edit#gid=329671008</t>
  </si>
  <si>
    <t>https://docs.google.com/spreadsheets/d/13MfycJpROb8yJshLEISMrJr65D9BYPKYsCceGgFZk64/edit#gid=476916099</t>
  </si>
  <si>
    <t>SelectNonTradingTranItem1</t>
  </si>
  <si>
    <t>https://docs.google.com/spreadsheets/d/13MfycJpROb8yJshLEISMrJr65D9BYPKYsCceGgFZk64/edit#gid=1628572559</t>
  </si>
  <si>
    <t>EditNonTradingTranItem1</t>
  </si>
  <si>
    <t>https://docs.google.com/spreadsheets/d/13MfycJpROb8yJshLEISMrJr65D9BYPKYsCceGgFZk64/edit#gid=1560622384</t>
  </si>
  <si>
    <t>https://docs.google.com/spreadsheets/d/13MfycJpROb8yJshLEISMrJr65D9BYPKYsCceGgFZk64/edit#gid=931474763</t>
  </si>
  <si>
    <t>https://docs.google.com/spreadsheets/d/13MfycJpROb8yJshLEISMrJr65D9BYPKYsCceGgFZk64/edit#gid=506776157</t>
  </si>
  <si>
    <t>https://docs.google.com/spreadsheets/d/13MfycJpROb8yJshLEISMrJr65D9BYPKYsCceGgFZk64/edit#gid=1896156010</t>
  </si>
  <si>
    <t>https://docs.google.com/spreadsheets/d/13MfycJpROb8yJshLEISMrJr65D9BYPKYsCceGgFZk64/edit#gid=532169007</t>
  </si>
  <si>
    <t>https://docs.google.com/spreadsheets/d/13MfycJpROb8yJshLEISMrJr65D9BYPKYsCceGgFZk64/edit#gid=1750916226</t>
  </si>
  <si>
    <t>https://docs.google.com/spreadsheets/d/13MfycJpROb8yJshLEISMrJr65D9BYPKYsCceGgFZk64/edit#gid=760022740</t>
  </si>
  <si>
    <t>CleanUp-1300</t>
  </si>
  <si>
    <t>Data Cleanup</t>
  </si>
  <si>
    <t>GL-1300</t>
  </si>
  <si>
    <t>Asset : Private Equity (Partial Closed)
Comm: ISINCLUDECOMMISSION : TRUE
1) Corresponding entries are verified on
    Allocation &amp; GL's: Activity/Cash Journal: 
    Trading TransactionTab 
2) Transaction Details are then verified on 
    DayEnd Cash Tab with data saved in daily
    valuation (Mark Price inclusive).
3) Further activity,account balances are
    calculated and tallied according to the
    generated reval entries.
4) Note : Commission inclusive reval entries</t>
  </si>
  <si>
    <t>https://docs.google.com/spreadsheets/d/1Hl7_UxTs1hem7ptVgqsakEq1bnVIAtBi8h8ElsdwqI0/edit#gid=1886016863</t>
  </si>
  <si>
    <t>https://docs.google.com/spreadsheets/d/1Hl7_UxTs1hem7ptVgqsakEq1bnVIAtBi8h8ElsdwqI0/edit#gid=1936233636</t>
  </si>
  <si>
    <t>https://docs.google.com/spreadsheets/d/1Hl7_UxTs1hem7ptVgqsakEq1bnVIAtBi8h8ElsdwqI0/edit#gid=1869701926</t>
  </si>
  <si>
    <t>https://docs.google.com/spreadsheets/d/1Hl7_UxTs1hem7ptVgqsakEq1bnVIAtBi8h8ElsdwqI0/edit#gid=1059091671</t>
  </si>
  <si>
    <t>https://docs.google.com/spreadsheets/d/1Hl7_UxTs1hem7ptVgqsakEq1bnVIAtBi8h8ElsdwqI0/edit#gid=1221234619</t>
  </si>
  <si>
    <t>https://docs.google.com/spreadsheets/d/1Hl7_UxTs1hem7ptVgqsakEq1bnVIAtBi8h8ElsdwqI0/edit#gid=762661151</t>
  </si>
  <si>
    <t>https://docs.google.com/spreadsheets/d/1Hl7_UxTs1hem7ptVgqsakEq1bnVIAtBi8h8ElsdwqI0/edit#gid=993096257</t>
  </si>
  <si>
    <t>https://docs.google.com/spreadsheets/d/1Hl7_UxTs1hem7ptVgqsakEq1bnVIAtBi8h8ElsdwqI0/edit#gid=1988669876</t>
  </si>
  <si>
    <t>https://docs.google.com/spreadsheets/d/1Hl7_UxTs1hem7ptVgqsakEq1bnVIAtBi8h8ElsdwqI0/edit#gid=1171584859</t>
  </si>
  <si>
    <t>https://docs.google.com/spreadsheets/d/1Hl7_UxTs1hem7ptVgqsakEq1bnVIAtBi8h8ElsdwqI0/edit#gid=1752295518</t>
  </si>
  <si>
    <t>https://docs.google.com/spreadsheets/d/1Hl7_UxTs1hem7ptVgqsakEq1bnVIAtBi8h8ElsdwqI0/edit#gid=1949493424</t>
  </si>
  <si>
    <t>https://docs.google.com/spreadsheets/d/1Hl7_UxTs1hem7ptVgqsakEq1bnVIAtBi8h8ElsdwqI0/edit#gid=1952754205</t>
  </si>
  <si>
    <t>https://docs.google.com/spreadsheets/d/1Hl7_UxTs1hem7ptVgqsakEq1bnVIAtBi8h8ElsdwqI0/edit#gid=1588974849</t>
  </si>
  <si>
    <t>https://docs.google.com/spreadsheets/d/1Hl7_UxTs1hem7ptVgqsakEq1bnVIAtBi8h8ElsdwqI0/edit#gid=413689736</t>
  </si>
  <si>
    <t>CleanUp-1400</t>
  </si>
  <si>
    <t>GL-1400</t>
  </si>
  <si>
    <t>Asset : Equity Swaps
             Equity (Partial Closed)
             Intl. Equity (Completely Closed)
PREF : IsIncludeFXPNLonSwap : TRUE
             IsSwapJournalAllowed : FALSE
1) Allocation - Book as Swap Inclusion
2) Corresponding entries are verified on
    Allocation &amp; GL's: Activity/Cash Journal: 
    Trading TransactionTab (commission
    inclusive).
3) Transaction Details are then verified on 
    DayEnd Cash Tab with data saved in daily
    valuation (Forex &amp; Mark Price inclusive).
4) Further activity,account balances are
    calculated and tallied according to the
    generated reval entries.
5) Note : Commission inclusive reval entries</t>
  </si>
  <si>
    <t>https://docs.google.com/spreadsheets/d/1hg2hGsNCnq8HaYYtNnu0MIfkEeJLlc3FZhc3Oj-ZMMI/edit#gid=1386247650</t>
  </si>
  <si>
    <t>https://docs.google.com/spreadsheets/d/1hg2hGsNCnq8HaYYtNnu0MIfkEeJLlc3FZhc3Oj-ZMMI/edit#gid=2083602571</t>
  </si>
  <si>
    <t>https://docs.google.com/spreadsheets/d/1hg2hGsNCnq8HaYYtNnu0MIfkEeJLlc3FZhc3Oj-ZMMI/edit#gid=283728519</t>
  </si>
  <si>
    <t>https://docs.google.com/spreadsheets/d/1hg2hGsNCnq8HaYYtNnu0MIfkEeJLlc3FZhc3Oj-ZMMI/edit#gid=745487548</t>
  </si>
  <si>
    <t>https://docs.google.com/spreadsheets/d/1hg2hGsNCnq8HaYYtNnu0MIfkEeJLlc3FZhc3Oj-ZMMI/edit#gid=571436664</t>
  </si>
  <si>
    <t>https://docs.google.com/spreadsheets/d/1hg2hGsNCnq8HaYYtNnu0MIfkEeJLlc3FZhc3Oj-ZMMI/edit#gid=1340458798</t>
  </si>
  <si>
    <t>https://docs.google.com/spreadsheets/d/1hg2hGsNCnq8HaYYtNnu0MIfkEeJLlc3FZhc3Oj-ZMMI/edit#gid=1471944533</t>
  </si>
  <si>
    <t>https://docs.google.com/spreadsheets/d/1hg2hGsNCnq8HaYYtNnu0MIfkEeJLlc3FZhc3Oj-ZMMI/edit#gid=2111783228</t>
  </si>
  <si>
    <t>https://docs.google.com/spreadsheets/d/1hg2hGsNCnq8HaYYtNnu0MIfkEeJLlc3FZhc3Oj-ZMMI/edit#gid=1770809209</t>
  </si>
  <si>
    <t>https://docs.google.com/spreadsheets/d/1hg2hGsNCnq8HaYYtNnu0MIfkEeJLlc3FZhc3Oj-ZMMI/edit#gid=83229415</t>
  </si>
  <si>
    <t>BookOrUpdateSwap1</t>
  </si>
  <si>
    <t>https://docs.google.com/spreadsheets/d/1hg2hGsNCnq8HaYYtNnu0MIfkEeJLlc3FZhc3Oj-ZMMI/edit#gid=80912458</t>
  </si>
  <si>
    <t>https://docs.google.com/spreadsheets/d/1hg2hGsNCnq8HaYYtNnu0MIfkEeJLlc3FZhc3Oj-ZMMI/edit#gid=690890489</t>
  </si>
  <si>
    <t>BookOrUpdateSwap2</t>
  </si>
  <si>
    <t>https://docs.google.com/spreadsheets/d/1hg2hGsNCnq8HaYYtNnu0MIfkEeJLlc3FZhc3Oj-ZMMI/edit#gid=907933771</t>
  </si>
  <si>
    <t>SelectAllocatedGroup3</t>
  </si>
  <si>
    <t>https://docs.google.com/spreadsheets/d/1hg2hGsNCnq8HaYYtNnu0MIfkEeJLlc3FZhc3Oj-ZMMI/edit#gid=2019940116</t>
  </si>
  <si>
    <t>BookOrUpdateSwap3</t>
  </si>
  <si>
    <t>https://docs.google.com/spreadsheets/d/1hg2hGsNCnq8HaYYtNnu0MIfkEeJLlc3FZhc3Oj-ZMMI/edit#gid=364571523</t>
  </si>
  <si>
    <t>https://docs.google.com/spreadsheets/d/1hg2hGsNCnq8HaYYtNnu0MIfkEeJLlc3FZhc3Oj-ZMMI/edit#gid=474032375</t>
  </si>
  <si>
    <t>https://docs.google.com/spreadsheets/d/1hg2hGsNCnq8HaYYtNnu0MIfkEeJLlc3FZhc3Oj-ZMMI/edit#gid=1753267832</t>
  </si>
  <si>
    <t>https://docs.google.com/spreadsheets/d/1hg2hGsNCnq8HaYYtNnu0MIfkEeJLlc3FZhc3Oj-ZMMI/edit#gid=1032045531</t>
  </si>
  <si>
    <t>https://docs.google.com/spreadsheets/d/1hg2hGsNCnq8HaYYtNnu0MIfkEeJLlc3FZhc3Oj-ZMMI/edit#gid=1112803470</t>
  </si>
  <si>
    <t>https://docs.google.com/spreadsheets/d/1hg2hGsNCnq8HaYYtNnu0MIfkEeJLlc3FZhc3Oj-ZMMI/edit#gid=848186614</t>
  </si>
  <si>
    <t>https://docs.google.com/spreadsheets/d/1hg2hGsNCnq8HaYYtNnu0MIfkEeJLlc3FZhc3Oj-ZMMI/edit#gid=393797343</t>
  </si>
  <si>
    <t>https://docs.google.com/spreadsheets/d/1hg2hGsNCnq8HaYYtNnu0MIfkEeJLlc3FZhc3Oj-ZMMI/edit#gid=2103593516</t>
  </si>
  <si>
    <t>https://docs.google.com/spreadsheets/d/1hg2hGsNCnq8HaYYtNnu0MIfkEeJLlc3FZhc3Oj-ZMMI/edit#gid=1000206311</t>
  </si>
  <si>
    <t>https://docs.google.com/spreadsheets/d/1hg2hGsNCnq8HaYYtNnu0MIfkEeJLlc3FZhc3Oj-ZMMI/edit#gid=510016384</t>
  </si>
  <si>
    <t>CleanUp-1500</t>
  </si>
  <si>
    <t>GL-1500</t>
  </si>
  <si>
    <t>Asset: International Fixed Income 
Comm: ISINCLUDECOMMISSION:TRUE
1) Analysis : Revaluation in chunks/overall
    after editing Accrued Interest to zero and
    FX Rate effect in Trading
2) Corresponding entries are verified on
    Allocation &amp; GL's: Activity/Cash Journal: 
    Trading TransactionTab 
2) Transaction Details are then verified on 
    DayEnd Cash/Daily Calculations Tab with data
    saved in daily valuation (Forex &amp; Mark Price
    inclusive).
3) Further activity,account balances are
    calculated and tallied according to the
    generated reval entries.
4) Note : Commission inclusive reval entries</t>
  </si>
  <si>
    <t>https://docs.google.com/spreadsheets/d/1m6e6o7qs3u2mS7B-vAxPEcFPizcpv3NKyhG0sJhh_fU/edit#gid=237478289</t>
  </si>
  <si>
    <t>https://docs.google.com/spreadsheets/d/1m6e6o7qs3u2mS7B-vAxPEcFPizcpv3NKyhG0sJhh_fU/edit#gid=760468272</t>
  </si>
  <si>
    <t>https://docs.google.com/spreadsheets/d/1m6e6o7qs3u2mS7B-vAxPEcFPizcpv3NKyhG0sJhh_fU/edit#gid=139479186</t>
  </si>
  <si>
    <t>https://docs.google.com/spreadsheets/d/1m6e6o7qs3u2mS7B-vAxPEcFPizcpv3NKyhG0sJhh_fU/edit#gid=47988937</t>
  </si>
  <si>
    <t>https://docs.google.com/spreadsheets/d/1m6e6o7qs3u2mS7B-vAxPEcFPizcpv3NKyhG0sJhh_fU/edit#gid=1246686658</t>
  </si>
  <si>
    <t>https://docs.google.com/spreadsheets/d/1m6e6o7qs3u2mS7B-vAxPEcFPizcpv3NKyhG0sJhh_fU/edit#gid=950790608</t>
  </si>
  <si>
    <t>https://docs.google.com/spreadsheets/d/1m6e6o7qs3u2mS7B-vAxPEcFPizcpv3NKyhG0sJhh_fU/edit#gid=377352482</t>
  </si>
  <si>
    <t>https://docs.google.com/spreadsheets/d/1m6e6o7qs3u2mS7B-vAxPEcFPizcpv3NKyhG0sJhh_fU/edit#gid=1218822803</t>
  </si>
  <si>
    <t>https://docs.google.com/spreadsheets/d/1m6e6o7qs3u2mS7B-vAxPEcFPizcpv3NKyhG0sJhh_fU/edit#gid=1743497282</t>
  </si>
  <si>
    <t>https://docs.google.com/spreadsheets/d/1m6e6o7qs3u2mS7B-vAxPEcFPizcpv3NKyhG0sJhh_fU/edit#gid=622280541</t>
  </si>
  <si>
    <t>https://docs.google.com/spreadsheets/d/1m6e6o7qs3u2mS7B-vAxPEcFPizcpv3NKyhG0sJhh_fU/edit#gid=652864843</t>
  </si>
  <si>
    <t>https://docs.google.com/spreadsheets/d/1m6e6o7qs3u2mS7B-vAxPEcFPizcpv3NKyhG0sJhh_fU/edit#gid=130170628</t>
  </si>
  <si>
    <t>https://docs.google.com/spreadsheets/d/1m6e6o7qs3u2mS7B-vAxPEcFPizcpv3NKyhG0sJhh_fU/edit#gid=629125794</t>
  </si>
  <si>
    <t>https://docs.google.com/spreadsheets/d/1m6e6o7qs3u2mS7B-vAxPEcFPizcpv3NKyhG0sJhh_fU/edit#gid=1550847500</t>
  </si>
  <si>
    <t>https://docs.google.com/spreadsheets/d/1m6e6o7qs3u2mS7B-vAxPEcFPizcpv3NKyhG0sJhh_fU/edit#gid=487337162</t>
  </si>
  <si>
    <t>https://docs.google.com/spreadsheets/d/1m6e6o7qs3u2mS7B-vAxPEcFPizcpv3NKyhG0sJhh_fU/edit#gid=539789536</t>
  </si>
  <si>
    <t>https://docs.google.com/spreadsheets/d/1m6e6o7qs3u2mS7B-vAxPEcFPizcpv3NKyhG0sJhh_fU/edit#gid=1056703830</t>
  </si>
  <si>
    <t>https://docs.google.com/spreadsheets/d/1m6e6o7qs3u2mS7B-vAxPEcFPizcpv3NKyhG0sJhh_fU/edit#gid=73530457</t>
  </si>
  <si>
    <t>https://docs.google.com/spreadsheets/d/1m6e6o7qs3u2mS7B-vAxPEcFPizcpv3NKyhG0sJhh_fU/edit#gid=1846808118</t>
  </si>
  <si>
    <t>https://docs.google.com/spreadsheets/d/1m6e6o7qs3u2mS7B-vAxPEcFPizcpv3NKyhG0sJhh_fU/edit#gid=38358405</t>
  </si>
  <si>
    <t>https://docs.google.com/spreadsheets/d/1m6e6o7qs3u2mS7B-vAxPEcFPizcpv3NKyhG0sJhh_fU/edit#gid=710646207</t>
  </si>
  <si>
    <t>https://docs.google.com/spreadsheets/d/1m6e6o7qs3u2mS7B-vAxPEcFPizcpv3NKyhG0sJhh_fU/edit#gid=991588734</t>
  </si>
  <si>
    <t>https://docs.google.com/spreadsheets/d/1m6e6o7qs3u2mS7B-vAxPEcFPizcpv3NKyhG0sJhh_fU/edit#gid=2001731873</t>
  </si>
  <si>
    <t>https://docs.google.com/spreadsheets/d/1m6e6o7qs3u2mS7B-vAxPEcFPizcpv3NKyhG0sJhh_fU/edit#gid=1775156261</t>
  </si>
  <si>
    <t>https://docs.google.com/spreadsheets/d/1m6e6o7qs3u2mS7B-vAxPEcFPizcpv3NKyhG0sJhh_fU/edit#gid=2103201300</t>
  </si>
  <si>
    <t>https://docs.google.com/spreadsheets/d/1m6e6o7qs3u2mS7B-vAxPEcFPizcpv3NKyhG0sJhh_fU/edit#gid=767764064</t>
  </si>
  <si>
    <t>https://docs.google.com/spreadsheets/d/1m6e6o7qs3u2mS7B-vAxPEcFPizcpv3NKyhG0sJhh_fU/edit#gid=902316809</t>
  </si>
  <si>
    <t>https://docs.google.com/spreadsheets/d/1m6e6o7qs3u2mS7B-vAxPEcFPizcpv3NKyhG0sJhh_fU/edit#gid=1800588574</t>
  </si>
  <si>
    <t>https://docs.google.com/spreadsheets/d/1m6e6o7qs3u2mS7B-vAxPEcFPizcpv3NKyhG0sJhh_fU/edit#gid=67262467</t>
  </si>
  <si>
    <t>https://docs.google.com/spreadsheets/d/1m6e6o7qs3u2mS7B-vAxPEcFPizcpv3NKyhG0sJhh_fU/edit#gid=322767729</t>
  </si>
  <si>
    <t>https://docs.google.com/spreadsheets/d/1m6e6o7qs3u2mS7B-vAxPEcFPizcpv3NKyhG0sJhh_fU/edit#gid=508150752</t>
  </si>
  <si>
    <t>CleanUp-1600</t>
  </si>
  <si>
    <t xml:space="preserve">GL-1600
</t>
  </si>
  <si>
    <t xml:space="preserve">Asset : Equity Options (Call/Put)
Comm: ISINCLUDECOMMISSION : TRUE
Features Included:Expire
                                Exercise/Assignment
                                Exercise/Assignment at Zero 
1) Entries verification on Allocation after Expiration/Settlement
2) Entries verification after Expiratipon/Settlement on GL's: Activity/Cash Journal:   
3) DayEnd Cash Tab Verification(Mark Price inclusive).
4) Revaluation entries verification after calculating account balances.
</t>
  </si>
  <si>
    <t xml:space="preserve">Acceptance
</t>
  </si>
  <si>
    <t>https://docs.google.com/spreadsheets/d/1aGd6L69dNataqrWkG9r3YNQTvCVKjCupABYPGm0djus/edit#gid=808614040</t>
  </si>
  <si>
    <t>https://docs.google.com/spreadsheets/d/1aGd6L69dNataqrWkG9r3YNQTvCVKjCupABYPGm0djus/edit#gid=1956823522</t>
  </si>
  <si>
    <t>https://docs.google.com/spreadsheets/d/1aGd6L69dNataqrWkG9r3YNQTvCVKjCupABYPGm0djus/edit#gid=1134696028</t>
  </si>
  <si>
    <t>https://docs.google.com/spreadsheets/d/1aGd6L69dNataqrWkG9r3YNQTvCVKjCupABYPGm0djus/edit#gid=396752416</t>
  </si>
  <si>
    <t>https://docs.google.com/spreadsheets/d/1aGd6L69dNataqrWkG9r3YNQTvCVKjCupABYPGm0djus/edit#gid=1679411853</t>
  </si>
  <si>
    <t>https://docs.google.com/spreadsheets/d/1aGd6L69dNataqrWkG9r3YNQTvCVKjCupABYPGm0djus/edit#gid=635585116</t>
  </si>
  <si>
    <t>https://docs.google.com/spreadsheets/d/1aGd6L69dNataqrWkG9r3YNQTvCVKjCupABYPGm0djus/edit#gid=68369999</t>
  </si>
  <si>
    <t>SelectTradeUnexpiredUnsettled1</t>
  </si>
  <si>
    <t>https://docs.google.com/spreadsheets/d/1aGd6L69dNataqrWkG9r3YNQTvCVKjCupABYPGm0djus/edit#gid=819104772</t>
  </si>
  <si>
    <t>https://docs.google.com/spreadsheets/d/1aGd6L69dNataqrWkG9r3YNQTvCVKjCupABYPGm0djus/edit#gid=1439559429</t>
  </si>
  <si>
    <t>SelectTradeUnexpiredUnsettled2</t>
  </si>
  <si>
    <t>https://docs.google.com/spreadsheets/d/1aGd6L69dNataqrWkG9r3YNQTvCVKjCupABYPGm0djus/edit#gid=553549292</t>
  </si>
  <si>
    <t>https://docs.google.com/spreadsheets/d/1aGd6L69dNataqrWkG9r3YNQTvCVKjCupABYPGm0djus/edit#gid=98338263</t>
  </si>
  <si>
    <t>https://docs.google.com/spreadsheets/d/1aGd6L69dNataqrWkG9r3YNQTvCVKjCupABYPGm0djus/edit#gid=1785021775</t>
  </si>
  <si>
    <t>https://docs.google.com/spreadsheets/d/1aGd6L69dNataqrWkG9r3YNQTvCVKjCupABYPGm0djus/edit#gid=1305203777</t>
  </si>
  <si>
    <t>https://docs.google.com/spreadsheets/d/1aGd6L69dNataqrWkG9r3YNQTvCVKjCupABYPGm0djus/edit#gid=818733142</t>
  </si>
  <si>
    <t>https://docs.google.com/spreadsheets/d/1aGd6L69dNataqrWkG9r3YNQTvCVKjCupABYPGm0djus/edit#gid=2062572321</t>
  </si>
  <si>
    <t>https://docs.google.com/spreadsheets/d/1aGd6L69dNataqrWkG9r3YNQTvCVKjCupABYPGm0djus/edit#gid=1289470593</t>
  </si>
  <si>
    <t>https://docs.google.com/spreadsheets/d/1aGd6L69dNataqrWkG9r3YNQTvCVKjCupABYPGm0djus/edit#gid=2139524013</t>
  </si>
  <si>
    <t>https://docs.google.com/spreadsheets/d/1aGd6L69dNataqrWkG9r3YNQTvCVKjCupABYPGm0djus/edit#gid=548873190</t>
  </si>
  <si>
    <t>https://docs.google.com/spreadsheets/d/1aGd6L69dNataqrWkG9r3YNQTvCVKjCupABYPGm0djus/edit#gid=402674743</t>
  </si>
  <si>
    <t>https://docs.google.com/spreadsheets/d/1aGd6L69dNataqrWkG9r3YNQTvCVKjCupABYPGm0djus/edit#gid=1311202616</t>
  </si>
  <si>
    <t>https://docs.google.com/spreadsheets/d/1aGd6L69dNataqrWkG9r3YNQTvCVKjCupABYPGm0djus/edit#gid=242716538</t>
  </si>
  <si>
    <t>https://docs.google.com/spreadsheets/d/1aGd6L69dNataqrWkG9r3YNQTvCVKjCupABYPGm0djus/edit#gid=770369603</t>
  </si>
  <si>
    <t>CleanUp-1700</t>
  </si>
  <si>
    <t>GL-1700</t>
  </si>
  <si>
    <t>Asset : Equity Options (Call/Put)
             (Completely Closed) &amp; (Partial Closed)
Comm: ISINCLUDECOMMISSION : TRUE
1) Corresponding entries are verified on
    Allocation &amp; GL's: Activity/Cash Journal: 
    Trading TransactionTab 
2) Transaction Details are then verified on 
    DayEnd Cash Tab with data saved in daily
    valuation (Mark Price inclusive).
3) Further activity,account balances are
    calculated and tallied according to the
    generated reval entries.
4) Note : Commission inclusive reval entries</t>
  </si>
  <si>
    <t>https://docs.google.com/spreadsheets/d/1ZRpZnQdz9aUE_mr4HHd990k6Gm_DTWUXkhwlBHz_MEQ/edit#gid=532326742</t>
  </si>
  <si>
    <t>https://docs.google.com/spreadsheets/d/1ZRpZnQdz9aUE_mr4HHd990k6Gm_DTWUXkhwlBHz_MEQ/edit#gid=209763720</t>
  </si>
  <si>
    <t>https://docs.google.com/spreadsheets/d/1ZRpZnQdz9aUE_mr4HHd990k6Gm_DTWUXkhwlBHz_MEQ/edit#gid=1276232691</t>
  </si>
  <si>
    <t>https://docs.google.com/spreadsheets/d/1ZRpZnQdz9aUE_mr4HHd990k6Gm_DTWUXkhwlBHz_MEQ/edit#gid=2106234080</t>
  </si>
  <si>
    <t>https://docs.google.com/spreadsheets/d/1ZRpZnQdz9aUE_mr4HHd990k6Gm_DTWUXkhwlBHz_MEQ/edit#gid=1392638131</t>
  </si>
  <si>
    <t>https://docs.google.com/spreadsheets/d/1ZRpZnQdz9aUE_mr4HHd990k6Gm_DTWUXkhwlBHz_MEQ/edit#gid=432353774</t>
  </si>
  <si>
    <t>https://docs.google.com/spreadsheets/d/1ZRpZnQdz9aUE_mr4HHd990k6Gm_DTWUXkhwlBHz_MEQ/edit#gid=1258780694</t>
  </si>
  <si>
    <t>https://docs.google.com/spreadsheets/d/1ZRpZnQdz9aUE_mr4HHd990k6Gm_DTWUXkhwlBHz_MEQ/edit#gid=546022106</t>
  </si>
  <si>
    <t>https://docs.google.com/spreadsheets/d/1ZRpZnQdz9aUE_mr4HHd990k6Gm_DTWUXkhwlBHz_MEQ/edit#gid=1956870020</t>
  </si>
  <si>
    <t>https://docs.google.com/spreadsheets/d/1ZRpZnQdz9aUE_mr4HHd990k6Gm_DTWUXkhwlBHz_MEQ/edit#gid=802050994</t>
  </si>
  <si>
    <t>https://docs.google.com/spreadsheets/d/1ZRpZnQdz9aUE_mr4HHd990k6Gm_DTWUXkhwlBHz_MEQ/edit#gid=1668487339</t>
  </si>
  <si>
    <t>https://docs.google.com/spreadsheets/d/1ZRpZnQdz9aUE_mr4HHd990k6Gm_DTWUXkhwlBHz_MEQ/edit#gid=1437861601</t>
  </si>
  <si>
    <t>https://docs.google.com/spreadsheets/d/1ZRpZnQdz9aUE_mr4HHd990k6Gm_DTWUXkhwlBHz_MEQ/edit#gid=1568253146</t>
  </si>
  <si>
    <t>https://docs.google.com/spreadsheets/d/1ZRpZnQdz9aUE_mr4HHd990k6Gm_DTWUXkhwlBHz_MEQ/edit#gid=1732335467</t>
  </si>
  <si>
    <t>https://docs.google.com/spreadsheets/d/1ZRpZnQdz9aUE_mr4HHd990k6Gm_DTWUXkhwlBHz_MEQ/edit#gid=1653764280</t>
  </si>
  <si>
    <t>https://docs.google.com/spreadsheets/d/1ZRpZnQdz9aUE_mr4HHd990k6Gm_DTWUXkhwlBHz_MEQ/edit#gid=2093689672</t>
  </si>
  <si>
    <t>https://docs.google.com/spreadsheets/d/1ZRpZnQdz9aUE_mr4HHd990k6Gm_DTWUXkhwlBHz_MEQ/edit#gid=1455175499</t>
  </si>
  <si>
    <t>https://docs.google.com/spreadsheets/d/1ZRpZnQdz9aUE_mr4HHd990k6Gm_DTWUXkhwlBHz_MEQ/edit#gid=1758189279</t>
  </si>
  <si>
    <t>CleanUp-1800</t>
  </si>
  <si>
    <t xml:space="preserve">GL-1800
</t>
  </si>
  <si>
    <t xml:space="preserve">
Asset : Equity Options 
            "Buy to open (Call)"
(Comm: ISINCLUDECOMMISSION : TRUE)
CASE - 50% - Exercise/Assign
             50% remaining - Exercise/Assign at 0
             50% remaining - Expire
             50% - Nothing
             </t>
  </si>
  <si>
    <t>https://docs.google.com/spreadsheets/d/1Q5Lfnoxb9AwKhnwx-R1a8ctFcxo-ouqeYj53fCh8478/edit#gid=241146860</t>
  </si>
  <si>
    <t>https://docs.google.com/spreadsheets/d/1Q5Lfnoxb9AwKhnwx-R1a8ctFcxo-ouqeYj53fCh8478/edit#gid=178843364</t>
  </si>
  <si>
    <t>https://docs.google.com/spreadsheets/d/1Q5Lfnoxb9AwKhnwx-R1a8ctFcxo-ouqeYj53fCh8478/edit#gid=798698665</t>
  </si>
  <si>
    <t>https://docs.google.com/spreadsheets/d/1Q5Lfnoxb9AwKhnwx-R1a8ctFcxo-ouqeYj53fCh8478/edit#gid=1151260236</t>
  </si>
  <si>
    <t>https://docs.google.com/spreadsheets/d/1Q5Lfnoxb9AwKhnwx-R1a8ctFcxo-ouqeYj53fCh8478/edit#gid=1625230948</t>
  </si>
  <si>
    <t>https://docs.google.com/spreadsheets/d/1Q5Lfnoxb9AwKhnwx-R1a8ctFcxo-ouqeYj53fCh8478/edit#gid=1725865441</t>
  </si>
  <si>
    <t>https://docs.google.com/spreadsheets/d/1Q5Lfnoxb9AwKhnwx-R1a8ctFcxo-ouqeYj53fCh8478/edit#gid=1761840542</t>
  </si>
  <si>
    <t>https://docs.google.com/spreadsheets/d/1Q5Lfnoxb9AwKhnwx-R1a8ctFcxo-ouqeYj53fCh8478/edit#gid=1001458708</t>
  </si>
  <si>
    <t>https://docs.google.com/spreadsheets/d/1Q5Lfnoxb9AwKhnwx-R1a8ctFcxo-ouqeYj53fCh8478/edit#gid=2129177578</t>
  </si>
  <si>
    <t>https://docs.google.com/spreadsheets/d/1Q5Lfnoxb9AwKhnwx-R1a8ctFcxo-ouqeYj53fCh8478/edit#gid=1415024014</t>
  </si>
  <si>
    <t>https://docs.google.com/spreadsheets/d/1Q5Lfnoxb9AwKhnwx-R1a8ctFcxo-ouqeYj53fCh8478/edit#gid=1460573825</t>
  </si>
  <si>
    <t>https://docs.google.com/spreadsheets/d/1Q5Lfnoxb9AwKhnwx-R1a8ctFcxo-ouqeYj53fCh8478/edit#gid=1813137223</t>
  </si>
  <si>
    <t>https://docs.google.com/spreadsheets/d/1Q5Lfnoxb9AwKhnwx-R1a8ctFcxo-ouqeYj53fCh8478/edit#gid=922273219</t>
  </si>
  <si>
    <t>https://docs.google.com/spreadsheets/d/1Q5Lfnoxb9AwKhnwx-R1a8ctFcxo-ouqeYj53fCh8478/edit#gid=1131420773</t>
  </si>
  <si>
    <t>https://docs.google.com/spreadsheets/d/1Q5Lfnoxb9AwKhnwx-R1a8ctFcxo-ouqeYj53fCh8478/edit#gid=2132940594</t>
  </si>
  <si>
    <t>https://docs.google.com/spreadsheets/d/1Q5Lfnoxb9AwKhnwx-R1a8ctFcxo-ouqeYj53fCh8478/edit#gid=1716856703</t>
  </si>
  <si>
    <t>https://docs.google.com/spreadsheets/d/1Q5Lfnoxb9AwKhnwx-R1a8ctFcxo-ouqeYj53fCh8478/edit#gid=519619539</t>
  </si>
  <si>
    <t>https://docs.google.com/spreadsheets/d/1Q5Lfnoxb9AwKhnwx-R1a8ctFcxo-ouqeYj53fCh8478/edit#gid=263907969</t>
  </si>
  <si>
    <t>EditTradeUnexpiredUnsettled1</t>
  </si>
  <si>
    <t>https://docs.google.com/spreadsheets/d/1Q5Lfnoxb9AwKhnwx-R1a8ctFcxo-ouqeYj53fCh8478/edit#gid=1416299468</t>
  </si>
  <si>
    <t>https://docs.google.com/spreadsheets/d/1Q5Lfnoxb9AwKhnwx-R1a8ctFcxo-ouqeYj53fCh8478/edit#gid=1290470462</t>
  </si>
  <si>
    <t>https://docs.google.com/spreadsheets/d/1Q5Lfnoxb9AwKhnwx-R1a8ctFcxo-ouqeYj53fCh8478/edit#gid=763852750</t>
  </si>
  <si>
    <t>https://docs.google.com/spreadsheets/d/1Q5Lfnoxb9AwKhnwx-R1a8ctFcxo-ouqeYj53fCh8478/edit#gid=456300797</t>
  </si>
  <si>
    <t>EditTradeUnexpiredUnsettled2</t>
  </si>
  <si>
    <t>https://docs.google.com/spreadsheets/d/1Q5Lfnoxb9AwKhnwx-R1a8ctFcxo-ouqeYj53fCh8478/edit#gid=170573215</t>
  </si>
  <si>
    <t>https://docs.google.com/spreadsheets/d/1Q5Lfnoxb9AwKhnwx-R1a8ctFcxo-ouqeYj53fCh8478/edit#gid=65052748</t>
  </si>
  <si>
    <t>https://docs.google.com/spreadsheets/d/1Q5Lfnoxb9AwKhnwx-R1a8ctFcxo-ouqeYj53fCh8478/edit#gid=850571861</t>
  </si>
  <si>
    <t>https://docs.google.com/spreadsheets/d/1Q5Lfnoxb9AwKhnwx-R1a8ctFcxo-ouqeYj53fCh8478/edit#gid=1815792588</t>
  </si>
  <si>
    <t>GL-1900</t>
  </si>
  <si>
    <t xml:space="preserve">
Asset : Equity Options 
            "Sell to open (Put )"
(Comm: ISINCLUDECOMMISSION : TRUE)
CASE -  50% - Exercise/Assign at 0
             50% remaining - Exercise/Assign 
             50% remaining - Expire
             50% - Nothing
             </t>
  </si>
  <si>
    <t>https://docs.google.com/spreadsheets/d/1RBYzgra-RweOGB794OGwGBa-XzjDPvDGNgY2r2GUE9c/edit#gid=1622673864</t>
  </si>
  <si>
    <t>https://docs.google.com/spreadsheets/d/1RBYzgra-RweOGB794OGwGBa-XzjDPvDGNgY2r2GUE9c/edit#gid=176563288</t>
  </si>
  <si>
    <t>https://docs.google.com/spreadsheets/d/1RBYzgra-RweOGB794OGwGBa-XzjDPvDGNgY2r2GUE9c/edit#gid=655188742</t>
  </si>
  <si>
    <t>https://docs.google.com/spreadsheets/d/1RBYzgra-RweOGB794OGwGBa-XzjDPvDGNgY2r2GUE9c/edit#gid=216279802</t>
  </si>
  <si>
    <t>https://docs.google.com/spreadsheets/d/1RBYzgra-RweOGB794OGwGBa-XzjDPvDGNgY2r2GUE9c/edit#gid=2101354860</t>
  </si>
  <si>
    <t>https://docs.google.com/spreadsheets/d/1RBYzgra-RweOGB794OGwGBa-XzjDPvDGNgY2r2GUE9c/edit#gid=2093524450</t>
  </si>
  <si>
    <t>https://docs.google.com/spreadsheets/d/1RBYzgra-RweOGB794OGwGBa-XzjDPvDGNgY2r2GUE9c/edit#gid=2036001339</t>
  </si>
  <si>
    <t>https://docs.google.com/spreadsheets/d/1RBYzgra-RweOGB794OGwGBa-XzjDPvDGNgY2r2GUE9c/edit#gid=2042214747</t>
  </si>
  <si>
    <t>https://docs.google.com/spreadsheets/d/1RBYzgra-RweOGB794OGwGBa-XzjDPvDGNgY2r2GUE9c/edit#gid=1816015156</t>
  </si>
  <si>
    <t>https://docs.google.com/spreadsheets/d/1RBYzgra-RweOGB794OGwGBa-XzjDPvDGNgY2r2GUE9c/edit#gid=792854053</t>
  </si>
  <si>
    <t>https://docs.google.com/spreadsheets/d/1RBYzgra-RweOGB794OGwGBa-XzjDPvDGNgY2r2GUE9c/edit#gid=1499879116</t>
  </si>
  <si>
    <t>https://docs.google.com/spreadsheets/d/1RBYzgra-RweOGB794OGwGBa-XzjDPvDGNgY2r2GUE9c/edit#gid=2054932640</t>
  </si>
  <si>
    <t>https://docs.google.com/spreadsheets/d/1RBYzgra-RweOGB794OGwGBa-XzjDPvDGNgY2r2GUE9c/edit#gid=38837957</t>
  </si>
  <si>
    <t>https://docs.google.com/spreadsheets/d/1RBYzgra-RweOGB794OGwGBa-XzjDPvDGNgY2r2GUE9c/edit#gid=1154775834</t>
  </si>
  <si>
    <t>https://docs.google.com/spreadsheets/d/1RBYzgra-RweOGB794OGwGBa-XzjDPvDGNgY2r2GUE9c/edit#gid=1988377463</t>
  </si>
  <si>
    <t>https://docs.google.com/spreadsheets/d/1RBYzgra-RweOGB794OGwGBa-XzjDPvDGNgY2r2GUE9c/edit#gid=2125519692</t>
  </si>
  <si>
    <t>https://docs.google.com/spreadsheets/d/1RBYzgra-RweOGB794OGwGBa-XzjDPvDGNgY2r2GUE9c/edit#gid=567200008</t>
  </si>
  <si>
    <t>https://docs.google.com/spreadsheets/d/1RBYzgra-RweOGB794OGwGBa-XzjDPvDGNgY2r2GUE9c/edit#gid=2031885473</t>
  </si>
  <si>
    <t>https://docs.google.com/spreadsheets/d/1RBYzgra-RweOGB794OGwGBa-XzjDPvDGNgY2r2GUE9c/edit#gid=1973580177</t>
  </si>
  <si>
    <t>https://docs.google.com/spreadsheets/d/1RBYzgra-RweOGB794OGwGBa-XzjDPvDGNgY2r2GUE9c/edit#gid=843520367</t>
  </si>
  <si>
    <t>https://docs.google.com/spreadsheets/d/1RBYzgra-RweOGB794OGwGBa-XzjDPvDGNgY2r2GUE9c/edit#gid=1067468363</t>
  </si>
  <si>
    <t>https://docs.google.com/spreadsheets/d/1RBYzgra-RweOGB794OGwGBa-XzjDPvDGNgY2r2GUE9c/edit#gid=2106795393</t>
  </si>
  <si>
    <t>https://docs.google.com/spreadsheets/d/1RBYzgra-RweOGB794OGwGBa-XzjDPvDGNgY2r2GUE9c/edit#gid=2019436464</t>
  </si>
  <si>
    <t>https://docs.google.com/spreadsheets/d/1RBYzgra-RweOGB794OGwGBa-XzjDPvDGNgY2r2GUE9c/edit#gid=1737485026</t>
  </si>
  <si>
    <t>https://docs.google.com/spreadsheets/d/1RBYzgra-RweOGB794OGwGBa-XzjDPvDGNgY2r2GUE9c/edit#gid=1211789431</t>
  </si>
  <si>
    <t>https://docs.google.com/spreadsheets/d/1RBYzgra-RweOGB794OGwGBa-XzjDPvDGNgY2r2GUE9c/edit#gid=1233129343</t>
  </si>
  <si>
    <t>Clean Up-2100</t>
  </si>
  <si>
    <t>GL-2100</t>
  </si>
  <si>
    <t>Fixed Income Interest on Daily Calculations</t>
  </si>
  <si>
    <t>Clean Up-2200</t>
  </si>
  <si>
    <t>GL-2200</t>
  </si>
  <si>
    <t>International trades are settled in USD currency</t>
  </si>
  <si>
    <t>Clean Up-2300</t>
  </si>
  <si>
    <t>GL-2300</t>
  </si>
  <si>
    <t>Clean Up-2400</t>
  </si>
  <si>
    <t>GL-2400</t>
  </si>
  <si>
    <t>Closing-0001</t>
  </si>
  <si>
    <t xml:space="preserve">Manual Closing (Auto Close Strategy -Checked , Can Close Sell With Buy To Close-UnChecked) </t>
  </si>
  <si>
    <t>https://docs.google.com/spreadsheets/d/1PQekmcHmBX57NCMW0aNZz8TySEt2RdTHqlYOo6WTTYU/edit#gid=661870191</t>
  </si>
  <si>
    <t>https://docs.google.com/spreadsheets/d/1PQekmcHmBX57NCMW0aNZz8TySEt2RdTHqlYOo6WTTYU/edit#gid=439472557</t>
  </si>
  <si>
    <t>https://docs.google.com/spreadsheets/d/1PQekmcHmBX57NCMW0aNZz8TySEt2RdTHqlYOo6WTTYU/edit#gid=1633805318</t>
  </si>
  <si>
    <t>https://docs.google.com/spreadsheets/d/1PQekmcHmBX57NCMW0aNZz8TySEt2RdTHqlYOo6WTTYU/edit#gid=1762812941</t>
  </si>
  <si>
    <t>https://docs.google.com/spreadsheets/d/1PQekmcHmBX57NCMW0aNZz8TySEt2RdTHqlYOo6WTTYU/edit#gid=490279348</t>
  </si>
  <si>
    <t>https://docs.google.com/spreadsheets/d/1PQekmcHmBX57NCMW0aNZz8TySEt2RdTHqlYOo6WTTYU/edit#gid=1331223491</t>
  </si>
  <si>
    <t>https://docs.google.com/spreadsheets/d/1PQekmcHmBX57NCMW0aNZz8TySEt2RdTHqlYOo6WTTYU/edit#gid=309119616</t>
  </si>
  <si>
    <t>https://docs.google.com/spreadsheets/d/1PQekmcHmBX57NCMW0aNZz8TySEt2RdTHqlYOo6WTTYU/edit#gid=357672643</t>
  </si>
  <si>
    <t>https://docs.google.com/spreadsheets/d/1PQekmcHmBX57NCMW0aNZz8TySEt2RdTHqlYOo6WTTYU/edit#gid=662354077</t>
  </si>
  <si>
    <t>https://docs.google.com/spreadsheets/d/1PQekmcHmBX57NCMW0aNZz8TySEt2RdTHqlYOo6WTTYU/edit#gid=1768029149</t>
  </si>
  <si>
    <t>Closing-0002</t>
  </si>
  <si>
    <t xml:space="preserve">Manual Closing - Auto Close Strategy (Auto Close Strategy -UnChecked , Can Close Sell With Buy To Close-UnChecked)  </t>
  </si>
  <si>
    <t>https://docs.google.com/spreadsheets/d/1r6ss6kBfhzf5-s_F2QzIbU_Cp-JICPSFpmcuAxAXrM4/edit#gid=528325801</t>
  </si>
  <si>
    <t>https://docs.google.com/spreadsheets/d/1r6ss6kBfhzf5-s_F2QzIbU_Cp-JICPSFpmcuAxAXrM4/edit#gid=2131707535</t>
  </si>
  <si>
    <t>https://docs.google.com/spreadsheets/d/1r6ss6kBfhzf5-s_F2QzIbU_Cp-JICPSFpmcuAxAXrM4/edit#gid=1202107744</t>
  </si>
  <si>
    <t>https://docs.google.com/spreadsheets/d/1r6ss6kBfhzf5-s_F2QzIbU_Cp-JICPSFpmcuAxAXrM4/edit#gid=1560661372</t>
  </si>
  <si>
    <t>https://docs.google.com/spreadsheets/d/1r6ss6kBfhzf5-s_F2QzIbU_Cp-JICPSFpmcuAxAXrM4/edit#gid=660540369</t>
  </si>
  <si>
    <t>https://docs.google.com/spreadsheets/d/1r6ss6kBfhzf5-s_F2QzIbU_Cp-JICPSFpmcuAxAXrM4/edit#gid=1503467462</t>
  </si>
  <si>
    <t>https://docs.google.com/spreadsheets/d/1r6ss6kBfhzf5-s_F2QzIbU_Cp-JICPSFpmcuAxAXrM4/edit#gid=1271595260</t>
  </si>
  <si>
    <t>https://docs.google.com/spreadsheets/d/1r6ss6kBfhzf5-s_F2QzIbU_Cp-JICPSFpmcuAxAXrM4/edit#gid=2100961353</t>
  </si>
  <si>
    <t>Closing-0003</t>
  </si>
  <si>
    <t>Manual Closing - (Can Close Sell With Buy To Close-UnChecked Auto Close Strategy -UnChecked , Can Close Sell With Buy To Close-UnChecked)</t>
  </si>
  <si>
    <t>https://docs.google.com/spreadsheets/d/1FLfSDerQEYV_TyfkFuJBFLPnjabK3CVvHwV1sKgBHN8/edit#gid=1474985168</t>
  </si>
  <si>
    <t>https://docs.google.com/spreadsheets/d/1FLfSDerQEYV_TyfkFuJBFLPnjabK3CVvHwV1sKgBHN8/edit#gid=427680556</t>
  </si>
  <si>
    <t>https://docs.google.com/spreadsheets/d/1FLfSDerQEYV_TyfkFuJBFLPnjabK3CVvHwV1sKgBHN8/edit#gid=161172773</t>
  </si>
  <si>
    <t>https://docs.google.com/spreadsheets/d/1FLfSDerQEYV_TyfkFuJBFLPnjabK3CVvHwV1sKgBHN8/edit#gid=1996936049</t>
  </si>
  <si>
    <t>https://docs.google.com/spreadsheets/d/1FLfSDerQEYV_TyfkFuJBFLPnjabK3CVvHwV1sKgBHN8/edit#gid=1105156258</t>
  </si>
  <si>
    <t>https://docs.google.com/spreadsheets/d/1FLfSDerQEYV_TyfkFuJBFLPnjabK3CVvHwV1sKgBHN8/edit#gid=1233524399</t>
  </si>
  <si>
    <t>https://docs.google.com/spreadsheets/d/1FLfSDerQEYV_TyfkFuJBFLPnjabK3CVvHwV1sKgBHN8/edit#gid=784974237</t>
  </si>
  <si>
    <t>https://docs.google.com/spreadsheets/d/1FLfSDerQEYV_TyfkFuJBFLPnjabK3CVvHwV1sKgBHN8/edit#gid=1530356970</t>
  </si>
  <si>
    <t>Closing-0005</t>
  </si>
  <si>
    <t>Manual Closing - Can Close Sell With Buy To Close And different Strategy (Auto Close Strategy -UnChecked , Can Close Sell With Buy To Close-Checked)</t>
  </si>
  <si>
    <t>https://docs.google.com/spreadsheets/d/1xE-LmK_mQoXZouPJmh4cFcu7mns7QuBon_HokJUC_zw/edit#gid=1150330467</t>
  </si>
  <si>
    <t>https://docs.google.com/spreadsheets/d/1xE-LmK_mQoXZouPJmh4cFcu7mns7QuBon_HokJUC_zw/edit#gid=87445256</t>
  </si>
  <si>
    <t>https://docs.google.com/spreadsheets/d/1xE-LmK_mQoXZouPJmh4cFcu7mns7QuBon_HokJUC_zw/edit#gid=1930860524</t>
  </si>
  <si>
    <t>https://docs.google.com/spreadsheets/d/1xE-LmK_mQoXZouPJmh4cFcu7mns7QuBon_HokJUC_zw/edit#gid=92478031</t>
  </si>
  <si>
    <t>https://docs.google.com/spreadsheets/d/1xE-LmK_mQoXZouPJmh4cFcu7mns7QuBon_HokJUC_zw/edit#gid=615743638</t>
  </si>
  <si>
    <t>https://docs.google.com/spreadsheets/d/1xE-LmK_mQoXZouPJmh4cFcu7mns7QuBon_HokJUC_zw/edit#gid=484075537</t>
  </si>
  <si>
    <t>https://docs.google.com/spreadsheets/d/1xE-LmK_mQoXZouPJmh4cFcu7mns7QuBon_HokJUC_zw/edit#gid=1565295536</t>
  </si>
  <si>
    <t>https://docs.google.com/spreadsheets/d/1xE-LmK_mQoXZouPJmh4cFcu7mns7QuBon_HokJUC_zw/edit#gid=599320425</t>
  </si>
  <si>
    <t>Closing-0006</t>
  </si>
  <si>
    <t>Manual Closing - Can Close Sell With Buy To Close And different Strategy (Auto Close Strategy -Checked , Can Close Sell With Buy To Close-Checked)</t>
  </si>
  <si>
    <t>https://docs.google.com/spreadsheets/d/18JtELWXdetUDVSRCmeDdJ1OPAG5f5-hhChvqWonuFP0/edit#gid=1617174422</t>
  </si>
  <si>
    <t>https://docs.google.com/spreadsheets/d/18JtELWXdetUDVSRCmeDdJ1OPAG5f5-hhChvqWonuFP0/edit#gid=1454706936</t>
  </si>
  <si>
    <t>https://docs.google.com/spreadsheets/d/18JtELWXdetUDVSRCmeDdJ1OPAG5f5-hhChvqWonuFP0/edit#gid=891971282</t>
  </si>
  <si>
    <t>https://docs.google.com/spreadsheets/d/18JtELWXdetUDVSRCmeDdJ1OPAG5f5-hhChvqWonuFP0/edit#gid=2100670141</t>
  </si>
  <si>
    <t>https://docs.google.com/spreadsheets/d/18JtELWXdetUDVSRCmeDdJ1OPAG5f5-hhChvqWonuFP0/edit#gid=1574467783</t>
  </si>
  <si>
    <t>https://docs.google.com/spreadsheets/d/18JtELWXdetUDVSRCmeDdJ1OPAG5f5-hhChvqWonuFP0/edit#gid=2116114700</t>
  </si>
  <si>
    <t>https://docs.google.com/spreadsheets/d/18JtELWXdetUDVSRCmeDdJ1OPAG5f5-hhChvqWonuFP0/edit#gid=162789913</t>
  </si>
  <si>
    <t>https://docs.google.com/spreadsheets/d/18JtELWXdetUDVSRCmeDdJ1OPAG5f5-hhChvqWonuFP0/edit#gid=106999407</t>
  </si>
  <si>
    <t>https://docs.google.com/spreadsheets/d/18JtELWXdetUDVSRCmeDdJ1OPAG5f5-hhChvqWonuFP0/edit#gid=1821110906</t>
  </si>
  <si>
    <t>https://docs.google.com/spreadsheets/d/18JtELWXdetUDVSRCmeDdJ1OPAG5f5-hhChvqWonuFP0/edit#gid=735422056</t>
  </si>
  <si>
    <t>Closing-0007</t>
  </si>
  <si>
    <t>Manual Closing - Can Close Sell short With Buy(Auto Close Strategy -UnChecked , Can Close Sell With Buy To Close-UnChecked)</t>
  </si>
  <si>
    <t>https://docs.google.com/spreadsheets/d/1lV8YfBXj97G87uPz1eVLPtIUgnUjppXi23zwFHcFVzA/edit#gid=1532223646</t>
  </si>
  <si>
    <t>https://docs.google.com/spreadsheets/d/1lV8YfBXj97G87uPz1eVLPtIUgnUjppXi23zwFHcFVzA/edit#gid=4423925</t>
  </si>
  <si>
    <t>https://docs.google.com/spreadsheets/d/1lV8YfBXj97G87uPz1eVLPtIUgnUjppXi23zwFHcFVzA/edit#gid=1048915611</t>
  </si>
  <si>
    <t>https://docs.google.com/spreadsheets/d/1lV8YfBXj97G87uPz1eVLPtIUgnUjppXi23zwFHcFVzA/edit#gid=2010165704</t>
  </si>
  <si>
    <t>https://docs.google.com/spreadsheets/d/1lV8YfBXj97G87uPz1eVLPtIUgnUjppXi23zwFHcFVzA/edit#gid=28738045</t>
  </si>
  <si>
    <t>https://docs.google.com/spreadsheets/d/1lV8YfBXj97G87uPz1eVLPtIUgnUjppXi23zwFHcFVzA/edit#gid=1353175279</t>
  </si>
  <si>
    <t>https://docs.google.com/spreadsheets/d/1lV8YfBXj97G87uPz1eVLPtIUgnUjppXi23zwFHcFVzA/edit#gid=2081622281</t>
  </si>
  <si>
    <t>https://docs.google.com/spreadsheets/d/1lV8YfBXj97G87uPz1eVLPtIUgnUjppXi23zwFHcFVzA/edit#gid=837226235</t>
  </si>
  <si>
    <t>Closing-0008</t>
  </si>
  <si>
    <t>1-Manual Closing - Can Close Sell short With Buy(Auto Close Strategy -UnChecked , Can Close Sell With Buy To Close-Checked)    2-UnwindClosing    3-Cleanup</t>
  </si>
  <si>
    <t>https://docs.google.com/spreadsheets/d/14-3fh-zOQrW7B5qJyFMsqV21mVuoY7dJBzfRQDGhsng/edit#gid=515897178</t>
  </si>
  <si>
    <t>https://docs.google.com/spreadsheets/d/14-3fh-zOQrW7B5qJyFMsqV21mVuoY7dJBzfRQDGhsng/edit#gid=723719354</t>
  </si>
  <si>
    <t>https://docs.google.com/spreadsheets/d/14-3fh-zOQrW7B5qJyFMsqV21mVuoY7dJBzfRQDGhsng/edit#gid=775016557</t>
  </si>
  <si>
    <t>https://docs.google.com/spreadsheets/d/14-3fh-zOQrW7B5qJyFMsqV21mVuoY7dJBzfRQDGhsng/edit#gid=295310251</t>
  </si>
  <si>
    <t>https://docs.google.com/spreadsheets/d/14-3fh-zOQrW7B5qJyFMsqV21mVuoY7dJBzfRQDGhsng/edit#gid=473963231</t>
  </si>
  <si>
    <t>https://docs.google.com/spreadsheets/d/14-3fh-zOQrW7B5qJyFMsqV21mVuoY7dJBzfRQDGhsng/edit#gid=29817230</t>
  </si>
  <si>
    <t>https://docs.google.com/spreadsheets/d/14-3fh-zOQrW7B5qJyFMsqV21mVuoY7dJBzfRQDGhsng/edit#gid=1148059995</t>
  </si>
  <si>
    <t>https://docs.google.com/spreadsheets/d/14-3fh-zOQrW7B5qJyFMsqV21mVuoY7dJBzfRQDGhsng/edit#gid=1266953968</t>
  </si>
  <si>
    <t>https://docs.google.com/spreadsheets/d/14-3fh-zOQrW7B5qJyFMsqV21mVuoY7dJBzfRQDGhsng/edit#gid=1404960324</t>
  </si>
  <si>
    <t>https://docs.google.com/spreadsheets/d/14-3fh-zOQrW7B5qJyFMsqV21mVuoY7dJBzfRQDGhsng/edit#gid=1435127696</t>
  </si>
  <si>
    <t>Closing-0009</t>
  </si>
  <si>
    <t>AutomaticClosing FIFO Algo</t>
  </si>
  <si>
    <t>https://docs.google.com/spreadsheets/d/13GPEWDxSFWwhjMVTlBzycovwrzcyNzaprrBDdKH9hvc/edit#gid=1197854122</t>
  </si>
  <si>
    <t>https://docs.google.com/spreadsheets/d/13GPEWDxSFWwhjMVTlBzycovwrzcyNzaprrBDdKH9hvc/edit#gid=466655397</t>
  </si>
  <si>
    <t>https://docs.google.com/spreadsheets/d/13GPEWDxSFWwhjMVTlBzycovwrzcyNzaprrBDdKH9hvc/edit#gid=1182683171</t>
  </si>
  <si>
    <t>https://docs.google.com/spreadsheets/d/13GPEWDxSFWwhjMVTlBzycovwrzcyNzaprrBDdKH9hvc/edit#gid=1634688385</t>
  </si>
  <si>
    <t>https://docs.google.com/spreadsheets/d/13GPEWDxSFWwhjMVTlBzycovwrzcyNzaprrBDdKH9hvc/edit#gid=665081070</t>
  </si>
  <si>
    <t>https://docs.google.com/spreadsheets/d/13GPEWDxSFWwhjMVTlBzycovwrzcyNzaprrBDdKH9hvc/edit#gid=1880641366</t>
  </si>
  <si>
    <t>https://docs.google.com/spreadsheets/d/13GPEWDxSFWwhjMVTlBzycovwrzcyNzaprrBDdKH9hvc/edit#gid=899754788</t>
  </si>
  <si>
    <t>https://docs.google.com/spreadsheets/d/13GPEWDxSFWwhjMVTlBzycovwrzcyNzaprrBDdKH9hvc/edit#gid=2136593393</t>
  </si>
  <si>
    <t>https://docs.google.com/spreadsheets/d/13GPEWDxSFWwhjMVTlBzycovwrzcyNzaprrBDdKH9hvc/edit#gid=553130979</t>
  </si>
  <si>
    <t>https://docs.google.com/spreadsheets/d/13GPEWDxSFWwhjMVTlBzycovwrzcyNzaprrBDdKH9hvc/edit#gid=696651465</t>
  </si>
  <si>
    <t>Closing-0010</t>
  </si>
  <si>
    <t>AutomaticClosing LIFO Algo</t>
  </si>
  <si>
    <t>https://docs.google.com/spreadsheets/d/1gJodm_uXoFoQYG8iucvltvTJP9AP1MUo595AW_SGBes/edit#gid=1697946566</t>
  </si>
  <si>
    <t>https://docs.google.com/spreadsheets/d/1gJodm_uXoFoQYG8iucvltvTJP9AP1MUo595AW_SGBes/edit#gid=1128020406</t>
  </si>
  <si>
    <t>https://docs.google.com/spreadsheets/d/1gJodm_uXoFoQYG8iucvltvTJP9AP1MUo595AW_SGBes/edit#gid=1515020694</t>
  </si>
  <si>
    <t>https://docs.google.com/spreadsheets/d/1gJodm_uXoFoQYG8iucvltvTJP9AP1MUo595AW_SGBes/edit#gid=543280312</t>
  </si>
  <si>
    <t>https://docs.google.com/spreadsheets/d/1gJodm_uXoFoQYG8iucvltvTJP9AP1MUo595AW_SGBes/edit#gid=552310302</t>
  </si>
  <si>
    <t>https://docs.google.com/spreadsheets/d/1gJodm_uXoFoQYG8iucvltvTJP9AP1MUo595AW_SGBes/edit#gid=903751202</t>
  </si>
  <si>
    <t>https://docs.google.com/spreadsheets/d/1gJodm_uXoFoQYG8iucvltvTJP9AP1MUo595AW_SGBes/edit#gid=368070186</t>
  </si>
  <si>
    <t>https://docs.google.com/spreadsheets/d/1gJodm_uXoFoQYG8iucvltvTJP9AP1MUo595AW_SGBes/edit#gid=1548629918</t>
  </si>
  <si>
    <t>https://docs.google.com/spreadsheets/d/1gJodm_uXoFoQYG8iucvltvTJP9AP1MUo595AW_SGBes/edit#gid=1156978361</t>
  </si>
  <si>
    <t>https://docs.google.com/spreadsheets/d/1gJodm_uXoFoQYG8iucvltvTJP9AP1MUo595AW_SGBes/edit#gid=2086153807</t>
  </si>
  <si>
    <t>Closing-0011</t>
  </si>
  <si>
    <t>AutomaticClosing MFIFO Algo</t>
  </si>
  <si>
    <t>https://docs.google.com/spreadsheets/d/1fFngXXBz4OMgfufvIFYr0OoiHW0QMd9uesoCgrKBXls/edit#gid=1206234737</t>
  </si>
  <si>
    <t>https://docs.google.com/spreadsheets/d/1fFngXXBz4OMgfufvIFYr0OoiHW0QMd9uesoCgrKBXls/edit#gid=1056624882</t>
  </si>
  <si>
    <t>https://docs.google.com/spreadsheets/d/1fFngXXBz4OMgfufvIFYr0OoiHW0QMd9uesoCgrKBXls/edit#gid=1269232404</t>
  </si>
  <si>
    <t>https://docs.google.com/spreadsheets/d/1fFngXXBz4OMgfufvIFYr0OoiHW0QMd9uesoCgrKBXls/edit#gid=1971116489</t>
  </si>
  <si>
    <t>https://docs.google.com/spreadsheets/d/1fFngXXBz4OMgfufvIFYr0OoiHW0QMd9uesoCgrKBXls/edit#gid=534231227</t>
  </si>
  <si>
    <t>https://docs.google.com/spreadsheets/d/1fFngXXBz4OMgfufvIFYr0OoiHW0QMd9uesoCgrKBXls/edit#gid=1818863792</t>
  </si>
  <si>
    <t>https://docs.google.com/spreadsheets/d/1fFngXXBz4OMgfufvIFYr0OoiHW0QMd9uesoCgrKBXls/edit#gid=929084254</t>
  </si>
  <si>
    <t>https://docs.google.com/spreadsheets/d/1fFngXXBz4OMgfufvIFYr0OoiHW0QMd9uesoCgrKBXls/edit#gid=1192723772</t>
  </si>
  <si>
    <t>https://docs.google.com/spreadsheets/d/1fFngXXBz4OMgfufvIFYr0OoiHW0QMd9uesoCgrKBXls/edit#gid=758422210</t>
  </si>
  <si>
    <t>https://docs.google.com/spreadsheets/d/1fFngXXBz4OMgfufvIFYr0OoiHW0QMd9uesoCgrKBXls/edit#gid=805291505</t>
  </si>
  <si>
    <t>Closing-0012</t>
  </si>
  <si>
    <t>AutomaticClosing HIFO Algo</t>
  </si>
  <si>
    <t>https://docs.google.com/spreadsheets/d/18xw-XtZvLKzOsqn57o8pfHdOFIg5h9AmB2bWtHCk_EM/edit#gid=1760856174</t>
  </si>
  <si>
    <t>https://docs.google.com/spreadsheets/d/18xw-XtZvLKzOsqn57o8pfHdOFIg5h9AmB2bWtHCk_EM/edit#gid=2141955546</t>
  </si>
  <si>
    <t>https://docs.google.com/spreadsheets/d/18xw-XtZvLKzOsqn57o8pfHdOFIg5h9AmB2bWtHCk_EM/edit#gid=527041982</t>
  </si>
  <si>
    <t>https://docs.google.com/spreadsheets/d/18xw-XtZvLKzOsqn57o8pfHdOFIg5h9AmB2bWtHCk_EM/edit#gid=938578958</t>
  </si>
  <si>
    <t>https://docs.google.com/spreadsheets/d/18xw-XtZvLKzOsqn57o8pfHdOFIg5h9AmB2bWtHCk_EM/edit#gid=2017949502</t>
  </si>
  <si>
    <t>https://docs.google.com/spreadsheets/d/18xw-XtZvLKzOsqn57o8pfHdOFIg5h9AmB2bWtHCk_EM/edit#gid=311345476</t>
  </si>
  <si>
    <t>https://docs.google.com/spreadsheets/d/18xw-XtZvLKzOsqn57o8pfHdOFIg5h9AmB2bWtHCk_EM/edit#gid=732309419</t>
  </si>
  <si>
    <t>https://docs.google.com/spreadsheets/d/18xw-XtZvLKzOsqn57o8pfHdOFIg5h9AmB2bWtHCk_EM/edit#gid=1255513636</t>
  </si>
  <si>
    <t>https://docs.google.com/spreadsheets/d/18xw-XtZvLKzOsqn57o8pfHdOFIg5h9AmB2bWtHCk_EM/edit#gid=220730396</t>
  </si>
  <si>
    <t>https://docs.google.com/spreadsheets/d/18xw-XtZvLKzOsqn57o8pfHdOFIg5h9AmB2bWtHCk_EM/edit#gid=1904420247</t>
  </si>
  <si>
    <t>Closing-0013</t>
  </si>
  <si>
    <t>AutomaticClosing HIHO Algo</t>
  </si>
  <si>
    <t>https://docs.google.com/spreadsheets/d/1C_64Ma1ksy27NwcgZzIFXJvaqRWnMitD0cZq9Jbq7CY/edit#gid=1617019801</t>
  </si>
  <si>
    <t>https://docs.google.com/spreadsheets/d/1C_64Ma1ksy27NwcgZzIFXJvaqRWnMitD0cZq9Jbq7CY/edit#gid=1730013790</t>
  </si>
  <si>
    <t>https://docs.google.com/spreadsheets/d/1C_64Ma1ksy27NwcgZzIFXJvaqRWnMitD0cZq9Jbq7CY/edit#gid=53011906</t>
  </si>
  <si>
    <t>https://docs.google.com/spreadsheets/d/1C_64Ma1ksy27NwcgZzIFXJvaqRWnMitD0cZq9Jbq7CY/edit#gid=254983549</t>
  </si>
  <si>
    <t>https://docs.google.com/spreadsheets/d/1C_64Ma1ksy27NwcgZzIFXJvaqRWnMitD0cZq9Jbq7CY/edit#gid=243338529</t>
  </si>
  <si>
    <t>https://docs.google.com/spreadsheets/d/1C_64Ma1ksy27NwcgZzIFXJvaqRWnMitD0cZq9Jbq7CY/edit#gid=1664021042</t>
  </si>
  <si>
    <t>https://docs.google.com/spreadsheets/d/1C_64Ma1ksy27NwcgZzIFXJvaqRWnMitD0cZq9Jbq7CY/edit#gid=1268674304</t>
  </si>
  <si>
    <t>https://docs.google.com/spreadsheets/d/1C_64Ma1ksy27NwcgZzIFXJvaqRWnMitD0cZq9Jbq7CY/edit#gid=304385367</t>
  </si>
  <si>
    <t>https://docs.google.com/spreadsheets/d/1C_64Ma1ksy27NwcgZzIFXJvaqRWnMitD0cZq9Jbq7CY/edit#gid=1988081712</t>
  </si>
  <si>
    <t>https://docs.google.com/spreadsheets/d/1C_64Ma1ksy27NwcgZzIFXJvaqRWnMitD0cZq9Jbq7CY/edit#gid=1945084879</t>
  </si>
  <si>
    <t>Closing-0014</t>
  </si>
  <si>
    <t>AutomaticClosing ETM Algo</t>
  </si>
  <si>
    <t>https://docs.google.com/spreadsheets/d/1Hxsdmc7QxSjkzrd-ae4fEFR-3Czr30zOSMG7BmACHiI/edit#gid=753258417</t>
  </si>
  <si>
    <t>https://docs.google.com/spreadsheets/d/1Hxsdmc7QxSjkzrd-ae4fEFR-3Czr30zOSMG7BmACHiI/edit#gid=1526849747</t>
  </si>
  <si>
    <t>https://docs.google.com/spreadsheets/d/1Hxsdmc7QxSjkzrd-ae4fEFR-3Czr30zOSMG7BmACHiI/edit#gid=124710556</t>
  </si>
  <si>
    <t>https://docs.google.com/spreadsheets/d/1Hxsdmc7QxSjkzrd-ae4fEFR-3Czr30zOSMG7BmACHiI/edit#gid=1613811731</t>
  </si>
  <si>
    <t>https://docs.google.com/spreadsheets/d/1Hxsdmc7QxSjkzrd-ae4fEFR-3Czr30zOSMG7BmACHiI/edit#gid=839657417</t>
  </si>
  <si>
    <t>https://docs.google.com/spreadsheets/d/1Hxsdmc7QxSjkzrd-ae4fEFR-3Czr30zOSMG7BmACHiI/edit#gid=751252027</t>
  </si>
  <si>
    <t>https://docs.google.com/spreadsheets/d/1Hxsdmc7QxSjkzrd-ae4fEFR-3Czr30zOSMG7BmACHiI/edit#gid=633310308</t>
  </si>
  <si>
    <t>https://docs.google.com/spreadsheets/d/1Hxsdmc7QxSjkzrd-ae4fEFR-3Czr30zOSMG7BmACHiI/edit#gid=2021910848</t>
  </si>
  <si>
    <t>https://docs.google.com/spreadsheets/d/1Hxsdmc7QxSjkzrd-ae4fEFR-3Czr30zOSMG7BmACHiI/edit#gid=419896648</t>
  </si>
  <si>
    <t>https://docs.google.com/spreadsheets/d/1Hxsdmc7QxSjkzrd-ae4fEFR-3Czr30zOSMG7BmACHiI/edit#gid=1010509594</t>
  </si>
  <si>
    <t>Closing-0015</t>
  </si>
  <si>
    <t>AutomaticClosing LOWCOST Algo</t>
  </si>
  <si>
    <t>https://docs.google.com/spreadsheets/d/1091_I-Rml3LBXxrAqHcZJoTyAcN7UoFOfCpO9YYg29c/edit#gid=1868038417</t>
  </si>
  <si>
    <t>https://docs.google.com/spreadsheets/d/1091_I-Rml3LBXxrAqHcZJoTyAcN7UoFOfCpO9YYg29c/edit#gid=1699572109</t>
  </si>
  <si>
    <t>https://docs.google.com/spreadsheets/d/1091_I-Rml3LBXxrAqHcZJoTyAcN7UoFOfCpO9YYg29c/edit#gid=598182252</t>
  </si>
  <si>
    <t>https://docs.google.com/spreadsheets/d/1091_I-Rml3LBXxrAqHcZJoTyAcN7UoFOfCpO9YYg29c/edit#gid=137453217</t>
  </si>
  <si>
    <t>https://docs.google.com/spreadsheets/d/1091_I-Rml3LBXxrAqHcZJoTyAcN7UoFOfCpO9YYg29c/edit#gid=1483828452</t>
  </si>
  <si>
    <t>https://docs.google.com/spreadsheets/d/1091_I-Rml3LBXxrAqHcZJoTyAcN7UoFOfCpO9YYg29c/edit#gid=779877727</t>
  </si>
  <si>
    <t>https://docs.google.com/spreadsheets/d/1091_I-Rml3LBXxrAqHcZJoTyAcN7UoFOfCpO9YYg29c/edit#gid=170354749</t>
  </si>
  <si>
    <t>https://docs.google.com/spreadsheets/d/1091_I-Rml3LBXxrAqHcZJoTyAcN7UoFOfCpO9YYg29c/edit#gid=188265927</t>
  </si>
  <si>
    <t>https://docs.google.com/spreadsheets/d/1091_I-Rml3LBXxrAqHcZJoTyAcN7UoFOfCpO9YYg29c/edit#gid=177630288</t>
  </si>
  <si>
    <t>Closing-0016</t>
  </si>
  <si>
    <t>AutomaticClosing BTAX Algo</t>
  </si>
  <si>
    <t>https://docs.google.com/spreadsheets/d/145ZVvxKL9SB2fsewX7iBpDfAaMA_ylZDW4SGR5L3jEQ/edit#gid=300537410</t>
  </si>
  <si>
    <t>https://docs.google.com/spreadsheets/d/145ZVvxKL9SB2fsewX7iBpDfAaMA_ylZDW4SGR5L3jEQ/edit#gid=53751763</t>
  </si>
  <si>
    <t>https://docs.google.com/spreadsheets/d/145ZVvxKL9SB2fsewX7iBpDfAaMA_ylZDW4SGR5L3jEQ/edit#gid=1098202038</t>
  </si>
  <si>
    <t>https://docs.google.com/spreadsheets/d/145ZVvxKL9SB2fsewX7iBpDfAaMA_ylZDW4SGR5L3jEQ/edit#gid=384541845</t>
  </si>
  <si>
    <t>https://docs.google.com/spreadsheets/d/145ZVvxKL9SB2fsewX7iBpDfAaMA_ylZDW4SGR5L3jEQ/edit#gid=1331391119</t>
  </si>
  <si>
    <t>https://docs.google.com/spreadsheets/d/145ZVvxKL9SB2fsewX7iBpDfAaMA_ylZDW4SGR5L3jEQ/edit#gid=209917675</t>
  </si>
  <si>
    <t>https://docs.google.com/spreadsheets/d/145ZVvxKL9SB2fsewX7iBpDfAaMA_ylZDW4SGR5L3jEQ/edit#gid=2063070755</t>
  </si>
  <si>
    <t>https://docs.google.com/spreadsheets/d/145ZVvxKL9SB2fsewX7iBpDfAaMA_ylZDW4SGR5L3jEQ/edit#gid=2108747447</t>
  </si>
  <si>
    <t>https://docs.google.com/spreadsheets/d/145ZVvxKL9SB2fsewX7iBpDfAaMA_ylZDW4SGR5L3jEQ/edit#gid=1601161778</t>
  </si>
  <si>
    <t>Closing-0017</t>
  </si>
  <si>
    <t>Cash Settlement At Cost :
Future: BP H9</t>
  </si>
  <si>
    <t>https://docs.google.com/spreadsheets/d/1rvz1vRanN_-2nTkm77e_XguRqu6S2EQ1OSxSXN4RHks/edit#gid=1955860042</t>
  </si>
  <si>
    <t>https://docs.google.com/spreadsheets/d/1rvz1vRanN_-2nTkm77e_XguRqu6S2EQ1OSxSXN4RHks/edit#gid=490145280</t>
  </si>
  <si>
    <t>https://docs.google.com/spreadsheets/d/1rvz1vRanN_-2nTkm77e_XguRqu6S2EQ1OSxSXN4RHks/edit#gid=614857166</t>
  </si>
  <si>
    <t>https://docs.google.com/spreadsheets/d/1rvz1vRanN_-2nTkm77e_XguRqu6S2EQ1OSxSXN4RHks/edit#gid=1572473126</t>
  </si>
  <si>
    <t>https://docs.google.com/spreadsheets/d/1rvz1vRanN_-2nTkm77e_XguRqu6S2EQ1OSxSXN4RHks/edit#gid=567218084</t>
  </si>
  <si>
    <t>https://docs.google.com/spreadsheets/d/1rvz1vRanN_-2nTkm77e_XguRqu6S2EQ1OSxSXN4RHks/edit#gid=2000502710</t>
  </si>
  <si>
    <t>https://docs.google.com/spreadsheets/d/1rvz1vRanN_-2nTkm77e_XguRqu6S2EQ1OSxSXN4RHks/edit#gid=677978164</t>
  </si>
  <si>
    <t>https://docs.google.com/spreadsheets/d/1rvz1vRanN_-2nTkm77e_XguRqu6S2EQ1OSxSXN4RHks/edit#gid=5422051</t>
  </si>
  <si>
    <t>https://docs.google.com/spreadsheets/d/1rvz1vRanN_-2nTkm77e_XguRqu6S2EQ1OSxSXN4RHks/edit#gid=986000353</t>
  </si>
  <si>
    <t>Closing-0018</t>
  </si>
  <si>
    <t>Cash Settlement At Zero Price:
Future: CL H9</t>
  </si>
  <si>
    <t>https://docs.google.com/spreadsheets/d/169oGKIf_IvYqonWfxQJBzer3eOdt-WMhVc6mzl7ZBag/edit#gid=1261260341</t>
  </si>
  <si>
    <t>https://docs.google.com/spreadsheets/d/169oGKIf_IvYqonWfxQJBzer3eOdt-WMhVc6mzl7ZBag/edit#gid=1575740277</t>
  </si>
  <si>
    <t>https://docs.google.com/spreadsheets/d/169oGKIf_IvYqonWfxQJBzer3eOdt-WMhVc6mzl7ZBag/edit#gid=1544237301</t>
  </si>
  <si>
    <t>https://docs.google.com/spreadsheets/d/169oGKIf_IvYqonWfxQJBzer3eOdt-WMhVc6mzl7ZBag/edit#gid=303134537</t>
  </si>
  <si>
    <t>https://docs.google.com/spreadsheets/d/169oGKIf_IvYqonWfxQJBzer3eOdt-WMhVc6mzl7ZBag/edit#gid=1568155117</t>
  </si>
  <si>
    <t>https://docs.google.com/spreadsheets/d/169oGKIf_IvYqonWfxQJBzer3eOdt-WMhVc6mzl7ZBag/edit#gid=1035542475</t>
  </si>
  <si>
    <t>https://docs.google.com/spreadsheets/d/169oGKIf_IvYqonWfxQJBzer3eOdt-WMhVc6mzl7ZBag/edit#gid=459141951</t>
  </si>
  <si>
    <t>https://docs.google.com/spreadsheets/d/169oGKIf_IvYqonWfxQJBzer3eOdt-WMhVc6mzl7ZBag/edit#gid=1990222359</t>
  </si>
  <si>
    <t>https://docs.google.com/spreadsheets/d/169oGKIf_IvYqonWfxQJBzer3eOdt-WMhVc6mzl7ZBag/edit#gid=1979347484</t>
  </si>
  <si>
    <t>Closing-0019</t>
  </si>
  <si>
    <t>Cash Settlement At Closing Date Spot Px:
Future: ED H9</t>
  </si>
  <si>
    <t>https://docs.google.com/spreadsheets/d/1FASvUDz_ry2cURKROz0blX7umDknWPUWJH0Nf4sHSv0/edit#gid=1885839916</t>
  </si>
  <si>
    <t>https://docs.google.com/spreadsheets/d/1FASvUDz_ry2cURKROz0blX7umDknWPUWJH0Nf4sHSv0/edit#gid=2031525932</t>
  </si>
  <si>
    <t>https://docs.google.com/spreadsheets/d/1FASvUDz_ry2cURKROz0blX7umDknWPUWJH0Nf4sHSv0/edit#gid=2121038820</t>
  </si>
  <si>
    <t>https://docs.google.com/spreadsheets/d/1FASvUDz_ry2cURKROz0blX7umDknWPUWJH0Nf4sHSv0/edit#gid=681664091</t>
  </si>
  <si>
    <t>https://docs.google.com/spreadsheets/d/1FASvUDz_ry2cURKROz0blX7umDknWPUWJH0Nf4sHSv0/edit#gid=2082008509</t>
  </si>
  <si>
    <t>https://docs.google.com/spreadsheets/d/1FASvUDz_ry2cURKROz0blX7umDknWPUWJH0Nf4sHSv0/edit#gid=1188715072</t>
  </si>
  <si>
    <t>https://docs.google.com/spreadsheets/d/1FASvUDz_ry2cURKROz0blX7umDknWPUWJH0Nf4sHSv0/edit#gid=815183128</t>
  </si>
  <si>
    <t>https://docs.google.com/spreadsheets/d/1FASvUDz_ry2cURKROz0blX7umDknWPUWJH0Nf4sHSv0/edit#gid=645550060</t>
  </si>
  <si>
    <t>https://docs.google.com/spreadsheets/d/1FASvUDz_ry2cURKROz0blX7umDknWPUWJH0Nf4sHSv0/edit#gid=1813915262</t>
  </si>
  <si>
    <t>https://docs.google.com/spreadsheets/d/1FASvUDz_ry2cURKROz0blX7umDknWPUWJH0Nf4sHSv0/edit#gid=990947482</t>
  </si>
  <si>
    <t>https://docs.google.com/spreadsheets/d/1FASvUDz_ry2cURKROz0blX7umDknWPUWJH0Nf4sHSv0/edit#gid=637191058</t>
  </si>
  <si>
    <t>Closing-0020</t>
  </si>
  <si>
    <t>Expire: Future</t>
  </si>
  <si>
    <t>https://docs.google.com/spreadsheets/d/1zkG2Z6DiNdb06ixm36x0cRirSooAecCkgsEj-xTIm4o/edit#gid=1176887468</t>
  </si>
  <si>
    <t>https://docs.google.com/spreadsheets/d/1zkG2Z6DiNdb06ixm36x0cRirSooAecCkgsEj-xTIm4o/edit#gid=539664374</t>
  </si>
  <si>
    <t>https://docs.google.com/spreadsheets/d/1zkG2Z6DiNdb06ixm36x0cRirSooAecCkgsEj-xTIm4o/edit#gid=307879091</t>
  </si>
  <si>
    <t>https://docs.google.com/spreadsheets/d/1zkG2Z6DiNdb06ixm36x0cRirSooAecCkgsEj-xTIm4o/edit#gid=2045855571</t>
  </si>
  <si>
    <t>https://docs.google.com/spreadsheets/d/1zkG2Z6DiNdb06ixm36x0cRirSooAecCkgsEj-xTIm4o/edit#gid=767729008</t>
  </si>
  <si>
    <t>https://docs.google.com/spreadsheets/d/1zkG2Z6DiNdb06ixm36x0cRirSooAecCkgsEj-xTIm4o/edit#gid=752257924</t>
  </si>
  <si>
    <t>https://docs.google.com/spreadsheets/d/1zkG2Z6DiNdb06ixm36x0cRirSooAecCkgsEj-xTIm4o/edit#gid=704026043</t>
  </si>
  <si>
    <t>https://docs.google.com/spreadsheets/d/1zkG2Z6DiNdb06ixm36x0cRirSooAecCkgsEj-xTIm4o/edit#gid=419175433</t>
  </si>
  <si>
    <t>https://docs.google.com/spreadsheets/d/1zkG2Z6DiNdb06ixm36x0cRirSooAecCkgsEj-xTIm4o/edit#gid=39014840</t>
  </si>
  <si>
    <t>Closing-0021</t>
  </si>
  <si>
    <t>Physical Settlement</t>
  </si>
  <si>
    <t>https://docs.google.com/spreadsheets/d/1BEz4q2oxJYL4i43rQPlozHdBbwAypsX6AjGmQEEVZI4/edit#gid=305454492</t>
  </si>
  <si>
    <t>https://docs.google.com/spreadsheets/d/1BEz4q2oxJYL4i43rQPlozHdBbwAypsX6AjGmQEEVZI4/edit#gid=454682789</t>
  </si>
  <si>
    <t>https://docs.google.com/spreadsheets/d/1BEz4q2oxJYL4i43rQPlozHdBbwAypsX6AjGmQEEVZI4/edit#gid=1535848704</t>
  </si>
  <si>
    <t>https://docs.google.com/spreadsheets/d/1BEz4q2oxJYL4i43rQPlozHdBbwAypsX6AjGmQEEVZI4/edit#gid=1569026833</t>
  </si>
  <si>
    <t>https://docs.google.com/spreadsheets/d/1BEz4q2oxJYL4i43rQPlozHdBbwAypsX6AjGmQEEVZI4/edit#gid=1835414818</t>
  </si>
  <si>
    <t>https://docs.google.com/spreadsheets/d/1BEz4q2oxJYL4i43rQPlozHdBbwAypsX6AjGmQEEVZI4/edit#gid=1738824226</t>
  </si>
  <si>
    <t>https://docs.google.com/spreadsheets/d/1BEz4q2oxJYL4i43rQPlozHdBbwAypsX6AjGmQEEVZI4/edit#gid=1266084082</t>
  </si>
  <si>
    <t>https://docs.google.com/spreadsheets/d/1BEz4q2oxJYL4i43rQPlozHdBbwAypsX6AjGmQEEVZI4/edit#gid=986759316</t>
  </si>
  <si>
    <t>https://docs.google.com/spreadsheets/d/1BEz4q2oxJYL4i43rQPlozHdBbwAypsX6AjGmQEEVZI4/edit#gid=1696414086</t>
  </si>
  <si>
    <t>https://docs.google.com/spreadsheets/d/1BEz4q2oxJYL4i43rQPlozHdBbwAypsX6AjGmQEEVZI4/edit#gid=160585138</t>
  </si>
  <si>
    <t>https://docs.google.com/spreadsheets/d/1BEz4q2oxJYL4i43rQPlozHdBbwAypsX6AjGmQEEVZI4/edit#gid=1235428383</t>
  </si>
  <si>
    <t>Closing-0022</t>
  </si>
  <si>
    <t>Exercise Assignment</t>
  </si>
  <si>
    <t>https://docs.google.com/spreadsheets/d/1AHLDMFDswQgAFnvBtBTUancgooLkNOa_jUPEjcA34U8/edit#gid=474429007</t>
  </si>
  <si>
    <t>https://docs.google.com/spreadsheets/d/1AHLDMFDswQgAFnvBtBTUancgooLkNOa_jUPEjcA34U8/edit#gid=1781835645</t>
  </si>
  <si>
    <t>https://docs.google.com/spreadsheets/d/1AHLDMFDswQgAFnvBtBTUancgooLkNOa_jUPEjcA34U8/edit#gid=393308138</t>
  </si>
  <si>
    <t>https://docs.google.com/spreadsheets/d/1AHLDMFDswQgAFnvBtBTUancgooLkNOa_jUPEjcA34U8/edit#gid=1147169934</t>
  </si>
  <si>
    <t>https://docs.google.com/spreadsheets/d/1AHLDMFDswQgAFnvBtBTUancgooLkNOa_jUPEjcA34U8/edit#gid=295993864</t>
  </si>
  <si>
    <t>https://docs.google.com/spreadsheets/d/1AHLDMFDswQgAFnvBtBTUancgooLkNOa_jUPEjcA34U8/edit#gid=761551007</t>
  </si>
  <si>
    <t>https://docs.google.com/spreadsheets/d/1AHLDMFDswQgAFnvBtBTUancgooLkNOa_jUPEjcA34U8/edit#gid=1015909716</t>
  </si>
  <si>
    <t>https://docs.google.com/spreadsheets/d/1AHLDMFDswQgAFnvBtBTUancgooLkNOa_jUPEjcA34U8/edit#gid=1177907904</t>
  </si>
  <si>
    <t>https://docs.google.com/spreadsheets/d/1AHLDMFDswQgAFnvBtBTUancgooLkNOa_jUPEjcA34U8/edit#gid=1016851219</t>
  </si>
  <si>
    <t>https://docs.google.com/spreadsheets/d/1AHLDMFDswQgAFnvBtBTUancgooLkNOa_jUPEjcA34U8/edit#gid=401982941</t>
  </si>
  <si>
    <t>https://docs.google.com/spreadsheets/d/1AHLDMFDswQgAFnvBtBTUancgooLkNOa_jUPEjcA34U8/edit#gid=429052846</t>
  </si>
  <si>
    <t>Closing-0023</t>
  </si>
  <si>
    <t>Exercise Assignment At Zero</t>
  </si>
  <si>
    <t>https://docs.google.com/spreadsheets/d/1LNmsi-DrC3gSa6pwdEnDhLzUXJOgpwWuKhUZ1hmWhmc/edit#gid=215684979</t>
  </si>
  <si>
    <t>https://docs.google.com/spreadsheets/d/1LNmsi-DrC3gSa6pwdEnDhLzUXJOgpwWuKhUZ1hmWhmc/edit#gid=1620330192</t>
  </si>
  <si>
    <t>https://docs.google.com/spreadsheets/d/1LNmsi-DrC3gSa6pwdEnDhLzUXJOgpwWuKhUZ1hmWhmc/edit#gid=744594320</t>
  </si>
  <si>
    <t>https://docs.google.com/spreadsheets/d/1LNmsi-DrC3gSa6pwdEnDhLzUXJOgpwWuKhUZ1hmWhmc/edit#gid=1867716354</t>
  </si>
  <si>
    <t>https://docs.google.com/spreadsheets/d/1LNmsi-DrC3gSa6pwdEnDhLzUXJOgpwWuKhUZ1hmWhmc/edit#gid=685205368</t>
  </si>
  <si>
    <t>https://docs.google.com/spreadsheets/d/1LNmsi-DrC3gSa6pwdEnDhLzUXJOgpwWuKhUZ1hmWhmc/edit#gid=313589880</t>
  </si>
  <si>
    <t>https://docs.google.com/spreadsheets/d/1LNmsi-DrC3gSa6pwdEnDhLzUXJOgpwWuKhUZ1hmWhmc/edit#gid=230076521</t>
  </si>
  <si>
    <t>https://docs.google.com/spreadsheets/d/1LNmsi-DrC3gSa6pwdEnDhLzUXJOgpwWuKhUZ1hmWhmc/edit#gid=1242308961</t>
  </si>
  <si>
    <t>https://docs.google.com/spreadsheets/d/1LNmsi-DrC3gSa6pwdEnDhLzUXJOgpwWuKhUZ1hmWhmc/edit#gid=1187656409</t>
  </si>
  <si>
    <t>https://docs.google.com/spreadsheets/d/1LNmsi-DrC3gSa6pwdEnDhLzUXJOgpwWuKhUZ1hmWhmc/edit#gid=1241694682</t>
  </si>
  <si>
    <t>https://docs.google.com/spreadsheets/d/1LNmsi-DrC3gSa6pwdEnDhLzUXJOgpwWuKhUZ1hmWhmc/edit#gid=2127134925</t>
  </si>
  <si>
    <t>Closing-0024</t>
  </si>
  <si>
    <t>Close Order Tab</t>
  </si>
  <si>
    <t>https://docs.google.com/spreadsheets/d/1g9pfAboB6Zb-Ttee09QW2VM7Al7NCXrMzkoJbO0xbfc/edit#gid=638890102</t>
  </si>
  <si>
    <t>https://docs.google.com/spreadsheets/d/1g9pfAboB6Zb-Ttee09QW2VM7Al7NCXrMzkoJbO0xbfc/edit#gid=993988734</t>
  </si>
  <si>
    <t>https://docs.google.com/spreadsheets/d/1g9pfAboB6Zb-Ttee09QW2VM7Al7NCXrMzkoJbO0xbfc/edit#gid=591440990</t>
  </si>
  <si>
    <t>https://docs.google.com/spreadsheets/d/1g9pfAboB6Zb-Ttee09QW2VM7Al7NCXrMzkoJbO0xbfc/edit#gid=1613037171</t>
  </si>
  <si>
    <t>CloseOrderClosing</t>
  </si>
  <si>
    <t>https://docs.google.com/spreadsheets/d/1g9pfAboB6Zb-Ttee09QW2VM7Al7NCXrMzkoJbO0xbfc/edit#gid=1600641064</t>
  </si>
  <si>
    <t>https://docs.google.com/spreadsheets/d/1g9pfAboB6Zb-Ttee09QW2VM7Al7NCXrMzkoJbO0xbfc/edit#gid=1468979616</t>
  </si>
  <si>
    <t>https://docs.google.com/spreadsheets/d/1g9pfAboB6Zb-Ttee09QW2VM7Al7NCXrMzkoJbO0xbfc/edit#gid=1774005946</t>
  </si>
  <si>
    <t>https://docs.google.com/spreadsheets/d/1g9pfAboB6Zb-Ttee09QW2VM7Al7NCXrMzkoJbO0xbfc/edit#gid=2035197095</t>
  </si>
  <si>
    <t>https://docs.google.com/spreadsheets/d/1g9pfAboB6Zb-Ttee09QW2VM7Al7NCXrMzkoJbO0xbfc/edit#gid=1204554458</t>
  </si>
  <si>
    <t>CloseOrder1</t>
  </si>
  <si>
    <t>https://docs.google.com/spreadsheets/d/1g9pfAboB6Zb-Ttee09QW2VM7Al7NCXrMzkoJbO0xbfc/edit#gid=419724438</t>
  </si>
  <si>
    <t>VerifyCloseOrder1</t>
  </si>
  <si>
    <t>https://docs.google.com/spreadsheets/d/1g9pfAboB6Zb-Ttee09QW2VM7Al7NCXrMzkoJbO0xbfc/edit#gid=2112663266</t>
  </si>
  <si>
    <t>https://docs.google.com/spreadsheets/d/1g9pfAboB6Zb-Ttee09QW2VM7Al7NCXrMzkoJbO0xbfc/edit#gid=303330524</t>
  </si>
  <si>
    <t>https://docs.google.com/spreadsheets/d/1g9pfAboB6Zb-Ttee09QW2VM7Al7NCXrMzkoJbO0xbfc/edit#gid=560294227</t>
  </si>
  <si>
    <t>UnWindCloseOrder1</t>
  </si>
  <si>
    <t>https://docs.google.com/spreadsheets/d/1g9pfAboB6Zb-Ttee09QW2VM7Al7NCXrMzkoJbO0xbfc/edit#gid=1511208659</t>
  </si>
  <si>
    <t>CloseOrder2</t>
  </si>
  <si>
    <t>Closing-0025</t>
  </si>
  <si>
    <t>Automatic Closing: TAXADV Algo</t>
  </si>
  <si>
    <t>https://docs.google.com/spreadsheets/d/1dYSwzvVdkz-OEenXLCAMbVIq1XgrO0Gh9EoqPK2YumE/edit#gid=890700101</t>
  </si>
  <si>
    <t>https://docs.google.com/spreadsheets/d/1dYSwzvVdkz-OEenXLCAMbVIq1XgrO0Gh9EoqPK2YumE/edit#gid=1601655484</t>
  </si>
  <si>
    <t>https://docs.google.com/spreadsheets/d/1dYSwzvVdkz-OEenXLCAMbVIq1XgrO0Gh9EoqPK2YumE/edit#gid=1760376059</t>
  </si>
  <si>
    <t>https://docs.google.com/spreadsheets/d/1dYSwzvVdkz-OEenXLCAMbVIq1XgrO0Gh9EoqPK2YumE/edit#gid=1853899090</t>
  </si>
  <si>
    <t>https://docs.google.com/spreadsheets/d/1dYSwzvVdkz-OEenXLCAMbVIq1XgrO0Gh9EoqPK2YumE/edit#gid=1665053817</t>
  </si>
  <si>
    <t>https://docs.google.com/spreadsheets/d/1dYSwzvVdkz-OEenXLCAMbVIq1XgrO0Gh9EoqPK2YumE/edit#gid=509500143</t>
  </si>
  <si>
    <t>https://docs.google.com/spreadsheets/d/1dYSwzvVdkz-OEenXLCAMbVIq1XgrO0Gh9EoqPK2YumE/edit#gid=1051422619</t>
  </si>
  <si>
    <t>https://docs.google.com/spreadsheets/d/1dYSwzvVdkz-OEenXLCAMbVIq1XgrO0Gh9EoqPK2YumE/edit#gid=1151686442</t>
  </si>
  <si>
    <t>https://docs.google.com/spreadsheets/d/1dYSwzvVdkz-OEenXLCAMbVIq1XgrO0Gh9EoqPK2YumE/edit#gid=487775083</t>
  </si>
  <si>
    <t>Closing-0026</t>
  </si>
  <si>
    <t>Automatic Closing: ACA</t>
  </si>
  <si>
    <t>https://docs.google.com/spreadsheets/d/1cuXQUbesBO2VbEWPJLBsPjUT6vk29JXgbSwUze0pORQ/edit#gid=800190470</t>
  </si>
  <si>
    <t>https://docs.google.com/spreadsheets/d/1cuXQUbesBO2VbEWPJLBsPjUT6vk29JXgbSwUze0pORQ/edit#gid=1515950937</t>
  </si>
  <si>
    <t>https://docs.google.com/spreadsheets/d/1cuXQUbesBO2VbEWPJLBsPjUT6vk29JXgbSwUze0pORQ/edit#gid=1475296903</t>
  </si>
  <si>
    <t>https://docs.google.com/spreadsheets/d/1cuXQUbesBO2VbEWPJLBsPjUT6vk29JXgbSwUze0pORQ/edit#gid=109218845</t>
  </si>
  <si>
    <t>https://docs.google.com/spreadsheets/d/1cuXQUbesBO2VbEWPJLBsPjUT6vk29JXgbSwUze0pORQ/edit#gid=1971928956</t>
  </si>
  <si>
    <t>https://docs.google.com/spreadsheets/d/1cuXQUbesBO2VbEWPJLBsPjUT6vk29JXgbSwUze0pORQ/edit#gid=1975727471</t>
  </si>
  <si>
    <t>https://docs.google.com/spreadsheets/d/1cuXQUbesBO2VbEWPJLBsPjUT6vk29JXgbSwUze0pORQ/edit#gid=16831331</t>
  </si>
  <si>
    <t>https://docs.google.com/spreadsheets/d/1cuXQUbesBO2VbEWPJLBsPjUT6vk29JXgbSwUze0pORQ/edit#gid=1790485834</t>
  </si>
  <si>
    <t>https://docs.google.com/spreadsheets/d/1cuXQUbesBO2VbEWPJLBsPjUT6vk29JXgbSwUze0pORQ/edit#gid=1528928633</t>
  </si>
  <si>
    <t>Closing-0027</t>
  </si>
  <si>
    <t>Automatic Closing: HCST</t>
  </si>
  <si>
    <t>https://docs.google.com/spreadsheets/d/1DuYCk1pXtumCQ9OMUEIx1G3cwhh_WP_3GbBtoGpJVuo/edit#gid=318845822</t>
  </si>
  <si>
    <t>https://docs.google.com/spreadsheets/d/1DuYCk1pXtumCQ9OMUEIx1G3cwhh_WP_3GbBtoGpJVuo/edit#gid=603655854</t>
  </si>
  <si>
    <t>https://docs.google.com/spreadsheets/d/1DuYCk1pXtumCQ9OMUEIx1G3cwhh_WP_3GbBtoGpJVuo/edit#gid=442122498</t>
  </si>
  <si>
    <t>https://docs.google.com/spreadsheets/d/1DuYCk1pXtumCQ9OMUEIx1G3cwhh_WP_3GbBtoGpJVuo/edit#gid=1071959026</t>
  </si>
  <si>
    <t>https://docs.google.com/spreadsheets/d/1DuYCk1pXtumCQ9OMUEIx1G3cwhh_WP_3GbBtoGpJVuo/edit#gid=2103529476</t>
  </si>
  <si>
    <t>https://docs.google.com/spreadsheets/d/1DuYCk1pXtumCQ9OMUEIx1G3cwhh_WP_3GbBtoGpJVuo/edit#gid=1671438536</t>
  </si>
  <si>
    <t>https://docs.google.com/spreadsheets/d/1DuYCk1pXtumCQ9OMUEIx1G3cwhh_WP_3GbBtoGpJVuo/edit#gid=1581936781</t>
  </si>
  <si>
    <t>https://docs.google.com/spreadsheets/d/1DuYCk1pXtumCQ9OMUEIx1G3cwhh_WP_3GbBtoGpJVuo/edit#gid=332773489</t>
  </si>
  <si>
    <t>Closing-0028</t>
  </si>
  <si>
    <t>Cash Settlement At Cost :
FX:GBP/USD</t>
  </si>
  <si>
    <t>https://docs.google.com/spreadsheets/d/1SYNuNvFvFVz-iFA-OdX9e3jtdnjahtfqLFG0NzIeSwY/edit#gid=1229942367</t>
  </si>
  <si>
    <t>https://docs.google.com/spreadsheets/d/1SYNuNvFvFVz-iFA-OdX9e3jtdnjahtfqLFG0NzIeSwY/edit#gid=1782827339</t>
  </si>
  <si>
    <t>https://docs.google.com/spreadsheets/d/1SYNuNvFvFVz-iFA-OdX9e3jtdnjahtfqLFG0NzIeSwY/edit#gid=726080975</t>
  </si>
  <si>
    <t>https://docs.google.com/spreadsheets/d/1SYNuNvFvFVz-iFA-OdX9e3jtdnjahtfqLFG0NzIeSwY/edit#gid=518774982</t>
  </si>
  <si>
    <t>https://docs.google.com/spreadsheets/d/1SYNuNvFvFVz-iFA-OdX9e3jtdnjahtfqLFG0NzIeSwY/edit#gid=640205184</t>
  </si>
  <si>
    <t>https://docs.google.com/spreadsheets/d/1SYNuNvFvFVz-iFA-OdX9e3jtdnjahtfqLFG0NzIeSwY/edit#gid=334016804</t>
  </si>
  <si>
    <t>https://docs.google.com/spreadsheets/d/1SYNuNvFvFVz-iFA-OdX9e3jtdnjahtfqLFG0NzIeSwY/edit#gid=1630470805</t>
  </si>
  <si>
    <t>https://docs.google.com/spreadsheets/d/1SYNuNvFvFVz-iFA-OdX9e3jtdnjahtfqLFG0NzIeSwY/edit#gid=487161000</t>
  </si>
  <si>
    <t>https://docs.google.com/spreadsheets/d/1SYNuNvFvFVz-iFA-OdX9e3jtdnjahtfqLFG0NzIeSwY/edit#gid=889432248</t>
  </si>
  <si>
    <t>https://docs.google.com/spreadsheets/d/1SYNuNvFvFVz-iFA-OdX9e3jtdnjahtfqLFG0NzIeSwY/edit#gid=1942164349</t>
  </si>
  <si>
    <t>https://docs.google.com/spreadsheets/d/1SYNuNvFvFVz-iFA-OdX9e3jtdnjahtfqLFG0NzIeSwY/edit#gid=390744462</t>
  </si>
  <si>
    <t>Closing-0029</t>
  </si>
  <si>
    <t xml:space="preserve">Cash Settlement At Cost :
FXForward: USD/JPY 01/01/2016 </t>
  </si>
  <si>
    <t>https://docs.google.com/spreadsheets/d/1jxwO_MWtH9Jv-JKIVjLFUIJWz9_sylwom4IROdW81-0/edit#gid=2060051482</t>
  </si>
  <si>
    <t>https://docs.google.com/spreadsheets/d/1jxwO_MWtH9Jv-JKIVjLFUIJWz9_sylwom4IROdW81-0/edit#gid=1254922161</t>
  </si>
  <si>
    <t>https://docs.google.com/spreadsheets/d/1jxwO_MWtH9Jv-JKIVjLFUIJWz9_sylwom4IROdW81-0/edit#gid=692240992</t>
  </si>
  <si>
    <t>https://docs.google.com/spreadsheets/d/1jxwO_MWtH9Jv-JKIVjLFUIJWz9_sylwom4IROdW81-0/edit#gid=35149807</t>
  </si>
  <si>
    <t>https://docs.google.com/spreadsheets/d/1jxwO_MWtH9Jv-JKIVjLFUIJWz9_sylwom4IROdW81-0/edit#gid=850493249</t>
  </si>
  <si>
    <t>https://docs.google.com/spreadsheets/d/1jxwO_MWtH9Jv-JKIVjLFUIJWz9_sylwom4IROdW81-0/edit#gid=1440339299</t>
  </si>
  <si>
    <t>https://docs.google.com/spreadsheets/d/1jxwO_MWtH9Jv-JKIVjLFUIJWz9_sylwom4IROdW81-0/edit#gid=1834748367</t>
  </si>
  <si>
    <t>https://docs.google.com/spreadsheets/d/1jxwO_MWtH9Jv-JKIVjLFUIJWz9_sylwom4IROdW81-0/edit#gid=20951947</t>
  </si>
  <si>
    <t>https://docs.google.com/spreadsheets/d/1jxwO_MWtH9Jv-JKIVjLFUIJWz9_sylwom4IROdW81-0/edit#gid=46052285</t>
  </si>
  <si>
    <t>https://docs.google.com/spreadsheets/d/1jxwO_MWtH9Jv-JKIVjLFUIJWz9_sylwom4IROdW81-0/edit#gid=1034050891</t>
  </si>
  <si>
    <t>https://docs.google.com/spreadsheets/d/1jxwO_MWtH9Jv-JKIVjLFUIJWz9_sylwom4IROdW81-0/edit#gid=1678484958</t>
  </si>
  <si>
    <t>Closing-0030</t>
  </si>
  <si>
    <t>Cash Settlement At Zero Price
FX: GBP/USD</t>
  </si>
  <si>
    <t>https://docs.google.com/spreadsheets/d/1CvG0Qli-0LS1DIWthehMVY96mIfbxvlvNXljzRUQirg/edit#gid=958279391</t>
  </si>
  <si>
    <t>https://docs.google.com/spreadsheets/d/1CvG0Qli-0LS1DIWthehMVY96mIfbxvlvNXljzRUQirg/edit#gid=914107250</t>
  </si>
  <si>
    <t>https://docs.google.com/spreadsheets/d/1CvG0Qli-0LS1DIWthehMVY96mIfbxvlvNXljzRUQirg/edit#gid=1030551014</t>
  </si>
  <si>
    <t>https://docs.google.com/spreadsheets/d/1CvG0Qli-0LS1DIWthehMVY96mIfbxvlvNXljzRUQirg/edit#gid=1158884042</t>
  </si>
  <si>
    <t>https://docs.google.com/spreadsheets/d/1CvG0Qli-0LS1DIWthehMVY96mIfbxvlvNXljzRUQirg/edit#gid=98860914</t>
  </si>
  <si>
    <t>https://docs.google.com/spreadsheets/d/1CvG0Qli-0LS1DIWthehMVY96mIfbxvlvNXljzRUQirg/edit#gid=568394657</t>
  </si>
  <si>
    <t>https://docs.google.com/spreadsheets/d/1CvG0Qli-0LS1DIWthehMVY96mIfbxvlvNXljzRUQirg/edit#gid=632858040</t>
  </si>
  <si>
    <t>https://docs.google.com/spreadsheets/d/1CvG0Qli-0LS1DIWthehMVY96mIfbxvlvNXljzRUQirg/edit#gid=882659587</t>
  </si>
  <si>
    <t>https://docs.google.com/spreadsheets/d/1CvG0Qli-0LS1DIWthehMVY96mIfbxvlvNXljzRUQirg/edit#gid=676122114</t>
  </si>
  <si>
    <t>https://docs.google.com/spreadsheets/d/1CvG0Qli-0LS1DIWthehMVY96mIfbxvlvNXljzRUQirg/edit#gid=2070050487</t>
  </si>
  <si>
    <t>https://docs.google.com/spreadsheets/d/1CvG0Qli-0LS1DIWthehMVY96mIfbxvlvNXljzRUQirg/edit#gid=1434699220</t>
  </si>
  <si>
    <t>Closing-0032</t>
  </si>
  <si>
    <t>Cash Settlement At Zero Cost :
FXForward: USD/JPY 01/01/2016</t>
  </si>
  <si>
    <t>https://docs.google.com/spreadsheets/d/1717PBA3Wazor6-vpyqTJQwlnRrWbgLNyMcLYj9ES9IQ/edit#gid=854478114</t>
  </si>
  <si>
    <t>https://docs.google.com/spreadsheets/d/1717PBA3Wazor6-vpyqTJQwlnRrWbgLNyMcLYj9ES9IQ/edit#gid=117623935</t>
  </si>
  <si>
    <t>https://docs.google.com/spreadsheets/d/1717PBA3Wazor6-vpyqTJQwlnRrWbgLNyMcLYj9ES9IQ/edit#gid=2028722546</t>
  </si>
  <si>
    <t>https://docs.google.com/spreadsheets/d/1717PBA3Wazor6-vpyqTJQwlnRrWbgLNyMcLYj9ES9IQ/edit#gid=519119785</t>
  </si>
  <si>
    <t>https://docs.google.com/spreadsheets/d/1717PBA3Wazor6-vpyqTJQwlnRrWbgLNyMcLYj9ES9IQ/edit#gid=1717200279</t>
  </si>
  <si>
    <t>https://docs.google.com/spreadsheets/d/1717PBA3Wazor6-vpyqTJQwlnRrWbgLNyMcLYj9ES9IQ/edit#gid=1750626089</t>
  </si>
  <si>
    <t>https://docs.google.com/spreadsheets/d/1717PBA3Wazor6-vpyqTJQwlnRrWbgLNyMcLYj9ES9IQ/edit#gid=66531466</t>
  </si>
  <si>
    <t>https://docs.google.com/spreadsheets/d/1717PBA3Wazor6-vpyqTJQwlnRrWbgLNyMcLYj9ES9IQ/edit#gid=1094785963</t>
  </si>
  <si>
    <t>https://docs.google.com/spreadsheets/d/1717PBA3Wazor6-vpyqTJQwlnRrWbgLNyMcLYj9ES9IQ/edit#gid=1952760570</t>
  </si>
  <si>
    <t>https://docs.google.com/spreadsheets/d/1717PBA3Wazor6-vpyqTJQwlnRrWbgLNyMcLYj9ES9IQ/edit#gid=1164112512</t>
  </si>
  <si>
    <t>https://docs.google.com/spreadsheets/d/1717PBA3Wazor6-vpyqTJQwlnRrWbgLNyMcLYj9ES9IQ/edit#gid=1351467387</t>
  </si>
  <si>
    <t>Closing-0034</t>
  </si>
  <si>
    <t>Expire-Forward Trades</t>
  </si>
  <si>
    <t>https://docs.google.com/spreadsheets/d/1A-GQkIgMOsRB5f67QdQp7xSQUr7-AZmdW-9r0SpMpAA/edit#gid=794138302</t>
  </si>
  <si>
    <t>https://docs.google.com/spreadsheets/d/1A-GQkIgMOsRB5f67QdQp7xSQUr7-AZmdW-9r0SpMpAA/edit#gid=1802430195</t>
  </si>
  <si>
    <t>https://docs.google.com/spreadsheets/d/1A-GQkIgMOsRB5f67QdQp7xSQUr7-AZmdW-9r0SpMpAA/edit#gid=98775755</t>
  </si>
  <si>
    <t>https://docs.google.com/spreadsheets/d/1A-GQkIgMOsRB5f67QdQp7xSQUr7-AZmdW-9r0SpMpAA/edit#gid=861393937</t>
  </si>
  <si>
    <t>https://docs.google.com/spreadsheets/d/1A-GQkIgMOsRB5f67QdQp7xSQUr7-AZmdW-9r0SpMpAA/edit#gid=2034418358</t>
  </si>
  <si>
    <t>https://docs.google.com/spreadsheets/d/1A-GQkIgMOsRB5f67QdQp7xSQUr7-AZmdW-9r0SpMpAA/edit#gid=976366735</t>
  </si>
  <si>
    <t>https://docs.google.com/spreadsheets/d/1A-GQkIgMOsRB5f67QdQp7xSQUr7-AZmdW-9r0SpMpAA/edit#gid=1239879230</t>
  </si>
  <si>
    <t>https://docs.google.com/spreadsheets/d/1A-GQkIgMOsRB5f67QdQp7xSQUr7-AZmdW-9r0SpMpAA/edit#gid=1571679512</t>
  </si>
  <si>
    <t>https://docs.google.com/spreadsheets/d/1A-GQkIgMOsRB5f67QdQp7xSQUr7-AZmdW-9r0SpMpAA/edit#gid=1303638915</t>
  </si>
  <si>
    <t>Closing-0004</t>
  </si>
  <si>
    <t>Manual Closing - Can Close Sell With Buy To Close  (Auto Close Strategy -UnChecked , Can Close Sell With Buy To Close-Checked</t>
  </si>
  <si>
    <t>https://docs.google.com/spreadsheets/d/1pm3keztTNVrjb7L0ec6HGreXNuISRt1ZTOD-PB17Bqs/edit#gid=1351753475</t>
  </si>
  <si>
    <t>https://docs.google.com/spreadsheets/d/1pm3keztTNVrjb7L0ec6HGreXNuISRt1ZTOD-PB17Bqs/edit#gid=239532275</t>
  </si>
  <si>
    <t>https://docs.google.com/spreadsheets/d/1pm3keztTNVrjb7L0ec6HGreXNuISRt1ZTOD-PB17Bqs/edit#gid=848958753</t>
  </si>
  <si>
    <t>https://docs.google.com/spreadsheets/d/1pm3keztTNVrjb7L0ec6HGreXNuISRt1ZTOD-PB17Bqs/edit#gid=1383565828</t>
  </si>
  <si>
    <t>https://docs.google.com/spreadsheets/d/1pm3keztTNVrjb7L0ec6HGreXNuISRt1ZTOD-PB17Bqs/edit#gid=1952472425</t>
  </si>
  <si>
    <t>https://docs.google.com/spreadsheets/d/1pm3keztTNVrjb7L0ec6HGreXNuISRt1ZTOD-PB17Bqs/edit#gid=1920731868</t>
  </si>
  <si>
    <t>https://docs.google.com/spreadsheets/d/1pm3keztTNVrjb7L0ec6HGreXNuISRt1ZTOD-PB17Bqs/edit#gid=274813320</t>
  </si>
  <si>
    <t>https://docs.google.com/spreadsheets/d/1pm3keztTNVrjb7L0ec6HGreXNuISRt1ZTOD-PB17Bqs/edit#gid=133218389</t>
  </si>
  <si>
    <t>https://docs.google.com/spreadsheets/d/1pm3keztTNVrjb7L0ec6HGreXNuISRt1ZTOD-PB17Bqs/edit#gid=1799622680</t>
  </si>
  <si>
    <t>https://docs.google.com/spreadsheets/d/1pm3keztTNVrjb7L0ec6HGreXNuISRt1ZTOD-PB17Bqs/edit#gid=1946986557</t>
  </si>
  <si>
    <t>Closing-0035</t>
  </si>
  <si>
    <t>Physical settlement of Future and Future Option</t>
  </si>
  <si>
    <t>https://docs.google.com/spreadsheets/d/1GQb2MLW2ifE_wNSg53lgLj3n7_wV5Dkl8c6Wbl-5xo4/edit#gid=1009720111</t>
  </si>
  <si>
    <t>https://docs.google.com/spreadsheets/d/1GQb2MLW2ifE_wNSg53lgLj3n7_wV5Dkl8c6Wbl-5xo4/edit#gid=465337546</t>
  </si>
  <si>
    <t>https://docs.google.com/spreadsheets/d/1GQb2MLW2ifE_wNSg53lgLj3n7_wV5Dkl8c6Wbl-5xo4/edit#gid=407822796</t>
  </si>
  <si>
    <t>https://docs.google.com/spreadsheets/d/1GQb2MLW2ifE_wNSg53lgLj3n7_wV5Dkl8c6Wbl-5xo4/edit#gid=1988870864</t>
  </si>
  <si>
    <t>https://docs.google.com/spreadsheets/d/1GQb2MLW2ifE_wNSg53lgLj3n7_wV5Dkl8c6Wbl-5xo4/edit#gid=1840493839</t>
  </si>
  <si>
    <t>https://docs.google.com/spreadsheets/d/1GQb2MLW2ifE_wNSg53lgLj3n7_wV5Dkl8c6Wbl-5xo4/edit#gid=509973549</t>
  </si>
  <si>
    <t>https://docs.google.com/spreadsheets/d/1GQb2MLW2ifE_wNSg53lgLj3n7_wV5Dkl8c6Wbl-5xo4/edit#gid=789143739</t>
  </si>
  <si>
    <t>https://docs.google.com/spreadsheets/d/1GQb2MLW2ifE_wNSg53lgLj3n7_wV5Dkl8c6Wbl-5xo4/edit#gid=237799465</t>
  </si>
  <si>
    <t>https://docs.google.com/spreadsheets/d/1GQb2MLW2ifE_wNSg53lgLj3n7_wV5Dkl8c6Wbl-5xo4/edit#gid=677191004</t>
  </si>
  <si>
    <t>https://docs.google.com/spreadsheets/d/1GQb2MLW2ifE_wNSg53lgLj3n7_wV5Dkl8c6Wbl-5xo4/edit#gid=1134395727</t>
  </si>
  <si>
    <t>https://docs.google.com/spreadsheets/d/1GQb2MLW2ifE_wNSg53lgLj3n7_wV5Dkl8c6Wbl-5xo4/edit#gid=557312436</t>
  </si>
  <si>
    <t>https://docs.google.com/spreadsheets/d/1GQb2MLW2ifE_wNSg53lgLj3n7_wV5Dkl8c6Wbl-5xo4/edit#gid=296077674</t>
  </si>
  <si>
    <t>https://docs.google.com/spreadsheets/d/1GQb2MLW2ifE_wNSg53lgLj3n7_wV5Dkl8c6Wbl-5xo4/edit#gid=1983841507</t>
  </si>
  <si>
    <t>https://docs.google.com/spreadsheets/d/1GQb2MLW2ifE_wNSg53lgLj3n7_wV5Dkl8c6Wbl-5xo4/edit#gid=352536801</t>
  </si>
  <si>
    <t>https://docs.google.com/spreadsheets/d/1GQb2MLW2ifE_wNSg53lgLj3n7_wV5Dkl8c6Wbl-5xo4/edit#gid=1783270309</t>
  </si>
  <si>
    <t>Closing-0036</t>
  </si>
  <si>
    <t>Physical settlement of Equity Option</t>
  </si>
  <si>
    <t>https://docs.google.com/spreadsheets/d/1EDLojHfvGnhjyRFcUnKELeWnmY7n7RFMYKesedY0FuY/edit#gid=2070641429</t>
  </si>
  <si>
    <t>https://docs.google.com/spreadsheets/d/1EDLojHfvGnhjyRFcUnKELeWnmY7n7RFMYKesedY0FuY/edit#gid=2064144554</t>
  </si>
  <si>
    <t>https://docs.google.com/spreadsheets/d/1EDLojHfvGnhjyRFcUnKELeWnmY7n7RFMYKesedY0FuY/edit#gid=2042172963</t>
  </si>
  <si>
    <t>https://docs.google.com/spreadsheets/d/1EDLojHfvGnhjyRFcUnKELeWnmY7n7RFMYKesedY0FuY/edit#gid=722305812</t>
  </si>
  <si>
    <t>https://docs.google.com/spreadsheets/d/1EDLojHfvGnhjyRFcUnKELeWnmY7n7RFMYKesedY0FuY/edit#gid=1127530415</t>
  </si>
  <si>
    <t>https://docs.google.com/spreadsheets/d/1EDLojHfvGnhjyRFcUnKELeWnmY7n7RFMYKesedY0FuY/edit#gid=894010454</t>
  </si>
  <si>
    <t>https://docs.google.com/spreadsheets/d/1EDLojHfvGnhjyRFcUnKELeWnmY7n7RFMYKesedY0FuY/edit#gid=1435936411</t>
  </si>
  <si>
    <t>https://docs.google.com/spreadsheets/d/1EDLojHfvGnhjyRFcUnKELeWnmY7n7RFMYKesedY0FuY/edit#gid=381671898</t>
  </si>
  <si>
    <t>https://docs.google.com/spreadsheets/d/1EDLojHfvGnhjyRFcUnKELeWnmY7n7RFMYKesedY0FuY/edit#gid=1198295828</t>
  </si>
  <si>
    <t>https://docs.google.com/spreadsheets/d/1EDLojHfvGnhjyRFcUnKELeWnmY7n7RFMYKesedY0FuY/edit#gid=2146540073</t>
  </si>
  <si>
    <t>https://docs.google.com/spreadsheets/d/1EDLojHfvGnhjyRFcUnKELeWnmY7n7RFMYKesedY0FuY/edit#gid=1556642062</t>
  </si>
  <si>
    <t>https://docs.google.com/spreadsheets/d/1EDLojHfvGnhjyRFcUnKELeWnmY7n7RFMYKesedY0FuY/edit#gid=1219421945</t>
  </si>
  <si>
    <t>https://docs.google.com/spreadsheets/d/1EDLojHfvGnhjyRFcUnKELeWnmY7n7RFMYKesedY0FuY/edit#gid=582416771</t>
  </si>
  <si>
    <t>https://docs.google.com/spreadsheets/d/1EDLojHfvGnhjyRFcUnKELeWnmY7n7RFMYKesedY0FuY/edit#gid=616466746</t>
  </si>
  <si>
    <t>https://docs.google.com/spreadsheets/d/1EDLojHfvGnhjyRFcUnKELeWnmY7n7RFMYKesedY0FuY/edit#gid=1102404601</t>
  </si>
  <si>
    <t>Closing-0037</t>
  </si>
  <si>
    <t>Unwind Closing for future and future options,security type should not be undefined on Pm</t>
  </si>
  <si>
    <t>https://docs.google.com/spreadsheets/d/1cMwP29CrKQeboWK4QgywWkFEVyvMB4DiEoNj_wp4rvg/edit#gid=679823971</t>
  </si>
  <si>
    <t>https://docs.google.com/spreadsheets/d/1cMwP29CrKQeboWK4QgywWkFEVyvMB4DiEoNj_wp4rvg/edit#gid=87611987</t>
  </si>
  <si>
    <t>https://docs.google.com/spreadsheets/d/1cMwP29CrKQeboWK4QgywWkFEVyvMB4DiEoNj_wp4rvg/edit#gid=487862532</t>
  </si>
  <si>
    <t>https://docs.google.com/spreadsheets/d/1cMwP29CrKQeboWK4QgywWkFEVyvMB4DiEoNj_wp4rvg/edit#gid=921203830</t>
  </si>
  <si>
    <t>https://docs.google.com/spreadsheets/d/1cMwP29CrKQeboWK4QgywWkFEVyvMB4DiEoNj_wp4rvg/edit#gid=1333612972</t>
  </si>
  <si>
    <t>https://docs.google.com/spreadsheets/d/1cMwP29CrKQeboWK4QgywWkFEVyvMB4DiEoNj_wp4rvg/edit#gid=533327125</t>
  </si>
  <si>
    <t>Closing-0038</t>
  </si>
  <si>
    <t xml:space="preserve">Close those trades where the settlement currency are different
1. Opening Trade:- If the Client trades in 2413-TSE where trade currency is JPY and settlement currency is USD
2. Closing Trade:- Now client trades in 2413-TSE where this is a closing trade and trade currency is JPY and settlement currency is JPY
3. Close the above trade,Checked by Doing manual and automatic closing,also with FiFO,LIFO Algo
</t>
  </si>
  <si>
    <t>https://docs.google.com/spreadsheets/d/11-dvUfCe0PHf0SYSi3KDOJ60e6b8gS4q0icHsGIAhsI/edit#gid=863904210</t>
  </si>
  <si>
    <t>https://docs.google.com/spreadsheets/d/11-dvUfCe0PHf0SYSi3KDOJ60e6b8gS4q0icHsGIAhsI/edit#gid=1291694339</t>
  </si>
  <si>
    <t>https://docs.google.com/spreadsheets/d/11-dvUfCe0PHf0SYSi3KDOJ60e6b8gS4q0icHsGIAhsI/edit#gid=1704891544</t>
  </si>
  <si>
    <t>https://docs.google.com/spreadsheets/d/11-dvUfCe0PHf0SYSi3KDOJ60e6b8gS4q0icHsGIAhsI/edit#gid=582732342</t>
  </si>
  <si>
    <t>https://docs.google.com/spreadsheets/d/11-dvUfCe0PHf0SYSi3KDOJ60e6b8gS4q0icHsGIAhsI/edit#gid=1163447011</t>
  </si>
  <si>
    <t>https://docs.google.com/spreadsheets/d/11-dvUfCe0PHf0SYSi3KDOJ60e6b8gS4q0icHsGIAhsI/edit#gid=1935144070</t>
  </si>
  <si>
    <t>https://docs.google.com/spreadsheets/d/11-dvUfCe0PHf0SYSi3KDOJ60e6b8gS4q0icHsGIAhsI/edit#gid=1050453256</t>
  </si>
  <si>
    <t>https://docs.google.com/spreadsheets/d/11-dvUfCe0PHf0SYSi3KDOJ60e6b8gS4q0icHsGIAhsI/edit#gid=1103931094</t>
  </si>
  <si>
    <t>VerifyClosedTradesFIFO</t>
  </si>
  <si>
    <t>https://docs.google.com/spreadsheets/d/11-dvUfCe0PHf0SYSi3KDOJ60e6b8gS4q0icHsGIAhsI/edit#gid=305340693</t>
  </si>
  <si>
    <t>UnwindClosing1</t>
  </si>
  <si>
    <t>https://docs.google.com/spreadsheets/d/11-dvUfCe0PHf0SYSi3KDOJ60e6b8gS4q0icHsGIAhsI/edit#gid=1768060834</t>
  </si>
  <si>
    <t>https://docs.google.com/spreadsheets/d/11-dvUfCe0PHf0SYSi3KDOJ60e6b8gS4q0icHsGIAhsI/edit#gid=636177201</t>
  </si>
  <si>
    <t>https://docs.google.com/spreadsheets/d/11-dvUfCe0PHf0SYSi3KDOJ60e6b8gS4q0icHsGIAhsI/edit#gid=1175240703</t>
  </si>
  <si>
    <t>AutomaticClosingLIFO</t>
  </si>
  <si>
    <t>https://docs.google.com/spreadsheets/d/11-dvUfCe0PHf0SYSi3KDOJ60e6b8gS4q0icHsGIAhsI/edit#gid=1662052447</t>
  </si>
  <si>
    <t>VerifyClosedTradesLIFO</t>
  </si>
  <si>
    <t>https://docs.google.com/spreadsheets/d/11-dvUfCe0PHf0SYSi3KDOJ60e6b8gS4q0icHsGIAhsI/edit#gid=10973256</t>
  </si>
  <si>
    <t>UnwindClosing2</t>
  </si>
  <si>
    <t>Closing-0039</t>
  </si>
  <si>
    <t xml:space="preserve">In closed data,the strategy should be displayed of the closing side
Symbol AAPL-Buy-Qty 100 price 50
AAPL -Sell-Qty 50 Price 25
Closed trade manually using "Auto Close Strategy".
Buy side strategy is "Cstrategy_1" and sell side strategy is "Cstrategy_12".
When I close the position then in closed data the strategy should be displayed of the closing side i.e. Cstrategy_12
Unchecked 'Auto close strategy ' check box
Run manual closing 
Data should be not close for different strategy 
</t>
  </si>
  <si>
    <t>https://docs.google.com/spreadsheets/d/1ua5igwxlLDbjMaeAF8F7lxhlU1XkAJ3B86kb00pNnbg/edit#gid=2014475669</t>
  </si>
  <si>
    <t>https://docs.google.com/spreadsheets/d/1ua5igwxlLDbjMaeAF8F7lxhlU1XkAJ3B86kb00pNnbg/edit#gid=737130187</t>
  </si>
  <si>
    <t>https://docs.google.com/spreadsheets/d/1ua5igwxlLDbjMaeAF8F7lxhlU1XkAJ3B86kb00pNnbg/edit#gid=1658710339</t>
  </si>
  <si>
    <t>https://docs.google.com/spreadsheets/d/1ua5igwxlLDbjMaeAF8F7lxhlU1XkAJ3B86kb00pNnbg/edit#gid=120265262</t>
  </si>
  <si>
    <t>https://docs.google.com/spreadsheets/d/1ua5igwxlLDbjMaeAF8F7lxhlU1XkAJ3B86kb00pNnbg/edit#gid=1172690695</t>
  </si>
  <si>
    <t>https://docs.google.com/spreadsheets/d/1ua5igwxlLDbjMaeAF8F7lxhlU1XkAJ3B86kb00pNnbg/edit#gid=167199833</t>
  </si>
  <si>
    <t>https://docs.google.com/spreadsheets/d/1ua5igwxlLDbjMaeAF8F7lxhlU1XkAJ3B86kb00pNnbg/edit#gid=1248437998</t>
  </si>
  <si>
    <t>https://docs.google.com/spreadsheets/d/1ua5igwxlLDbjMaeAF8F7lxhlU1XkAJ3B86kb00pNnbg/edit#gid=96365846</t>
  </si>
  <si>
    <t>ManualClosing1</t>
  </si>
  <si>
    <t>https://docs.google.com/spreadsheets/d/1ua5igwxlLDbjMaeAF8F7lxhlU1XkAJ3B86kb00pNnbg/edit#gid=1144603692</t>
  </si>
  <si>
    <t>https://docs.google.com/spreadsheets/d/1ua5igwxlLDbjMaeAF8F7lxhlU1XkAJ3B86kb00pNnbg/edit#gid=389616323</t>
  </si>
  <si>
    <t>https://docs.google.com/spreadsheets/d/1ua5igwxlLDbjMaeAF8F7lxhlU1XkAJ3B86kb00pNnbg/edit#gid=750614803</t>
  </si>
  <si>
    <t>Closing-0040</t>
  </si>
  <si>
    <t xml:space="preserve">Close those trades where the settlement currency are different
1. Opening Trade:- If the Client trades in 2413-TSE where trade currency is JPY and settlement currency is JPY
2. Closing Trade:- Now client trades in 2413-TSE where this is a closing trade and trade currency is JPY and settlement currency is USD
3. Close the above trade,Checked by Doing manual and automatic closing,also with FiFO,LIFO Algo
</t>
  </si>
  <si>
    <t>https://docs.google.com/spreadsheets/d/1-D37LIDbsX2cd-clolP2jcF9RXcO6oFfvazMgEvZZ_Q/edit#gid=605869163</t>
  </si>
  <si>
    <t>https://docs.google.com/spreadsheets/d/1-D37LIDbsX2cd-clolP2jcF9RXcO6oFfvazMgEvZZ_Q/edit#gid=1876333242</t>
  </si>
  <si>
    <t>https://docs.google.com/spreadsheets/d/1-D37LIDbsX2cd-clolP2jcF9RXcO6oFfvazMgEvZZ_Q/edit#gid=975082099</t>
  </si>
  <si>
    <t>https://docs.google.com/spreadsheets/d/1-D37LIDbsX2cd-clolP2jcF9RXcO6oFfvazMgEvZZ_Q/edit#gid=212458668</t>
  </si>
  <si>
    <t>https://docs.google.com/spreadsheets/d/1-D37LIDbsX2cd-clolP2jcF9RXcO6oFfvazMgEvZZ_Q/edit#gid=1550389881</t>
  </si>
  <si>
    <t>https://docs.google.com/spreadsheets/d/1-D37LIDbsX2cd-clolP2jcF9RXcO6oFfvazMgEvZZ_Q/edit#gid=212551806</t>
  </si>
  <si>
    <t>https://docs.google.com/spreadsheets/d/1-D37LIDbsX2cd-clolP2jcF9RXcO6oFfvazMgEvZZ_Q/edit#gid=464696266</t>
  </si>
  <si>
    <t>https://docs.google.com/spreadsheets/d/1-D37LIDbsX2cd-clolP2jcF9RXcO6oFfvazMgEvZZ_Q/edit#gid=461161088</t>
  </si>
  <si>
    <t>https://docs.google.com/spreadsheets/d/1-D37LIDbsX2cd-clolP2jcF9RXcO6oFfvazMgEvZZ_Q/edit#gid=640046467</t>
  </si>
  <si>
    <t>https://docs.google.com/spreadsheets/d/1-D37LIDbsX2cd-clolP2jcF9RXcO6oFfvazMgEvZZ_Q/edit#gid=1603513337</t>
  </si>
  <si>
    <t>https://docs.google.com/spreadsheets/d/1-D37LIDbsX2cd-clolP2jcF9RXcO6oFfvazMgEvZZ_Q/edit#gid=2038337327</t>
  </si>
  <si>
    <t>https://docs.google.com/spreadsheets/d/1-D37LIDbsX2cd-clolP2jcF9RXcO6oFfvazMgEvZZ_Q/edit#gid=805381603</t>
  </si>
  <si>
    <t>https://docs.google.com/spreadsheets/d/1-D37LIDbsX2cd-clolP2jcF9RXcO6oFfvazMgEvZZ_Q/edit#gid=1052780682</t>
  </si>
  <si>
    <t>https://docs.google.com/spreadsheets/d/1-D37LIDbsX2cd-clolP2jcF9RXcO6oFfvazMgEvZZ_Q/edit#gid=1292988169</t>
  </si>
  <si>
    <t>Closing-0042</t>
  </si>
  <si>
    <t>Future: Cash Settlement at
 Zero Price</t>
  </si>
  <si>
    <t>Closing-0043</t>
  </si>
  <si>
    <t>Option Equity: Exercise 
Assignment At Zero</t>
  </si>
  <si>
    <t>Closing-0044</t>
  </si>
  <si>
    <t>Future: Cash Settlement at 
Cost</t>
  </si>
  <si>
    <t>Closing-0045</t>
  </si>
  <si>
    <t>Manual Closing when Automatic is selected</t>
  </si>
  <si>
    <t>SetClosingPreference2</t>
  </si>
  <si>
    <t>Closing-0046</t>
  </si>
  <si>
    <t xml:space="preserve"> Exercise/ assignment for 
Future Option at Zero</t>
  </si>
  <si>
    <t>Closing-0047</t>
  </si>
  <si>
    <t>The strategy should be 
displayed of the closing side</t>
  </si>
  <si>
    <t>Closing-0048</t>
  </si>
  <si>
    <t>Single fund multiple fund 
closing</t>
  </si>
  <si>
    <t>ManualClosing2</t>
  </si>
  <si>
    <t>Closing-0049</t>
  </si>
  <si>
    <t>Close Side Disappear from
 application</t>
  </si>
  <si>
    <t>Change config value from false to true</t>
  </si>
  <si>
    <t>Closing-0050</t>
  </si>
  <si>
    <t>Checkside failed at the time of exercise/assign equity option.</t>
  </si>
  <si>
    <t>SetGeneralPreferences2</t>
  </si>
  <si>
    <t>ResetConfig</t>
  </si>
  <si>
    <t>Reset config from true to false</t>
  </si>
  <si>
    <t>Closing-0051</t>
  </si>
  <si>
    <t>Closing Corruption use case in
 case of partially filled trade</t>
  </si>
  <si>
    <t>Closing-0052</t>
  </si>
  <si>
    <t xml:space="preserve"> close the trade by manual 
method,partial closing</t>
  </si>
  <si>
    <t>Closing-0053</t>
  </si>
  <si>
    <t>Manual closing when settlement 
currency is different</t>
  </si>
  <si>
    <t>Closing-0054</t>
  </si>
  <si>
    <t>Settle partial quantity, FX 
trades</t>
  </si>
  <si>
    <t>CreateTransaction1</t>
  </si>
  <si>
    <t>Closing-0055</t>
  </si>
  <si>
    <t>Expire:Swap Trades</t>
  </si>
  <si>
    <t>Closing-0056</t>
  </si>
  <si>
    <t>Roll over and Expire: 
Swap trades</t>
  </si>
  <si>
    <t>Closing-0057</t>
  </si>
  <si>
    <t xml:space="preserve">Closing of option is not 
happening when its underlying 
is closed in closing UI </t>
  </si>
  <si>
    <t>Closing-0058</t>
  </si>
  <si>
    <t>Exercise /Assign Checkside Validation when pay Receive coloumn is checked</t>
  </si>
  <si>
    <t>SetClosingPreference1</t>
  </si>
  <si>
    <t>Closing-0059</t>
  </si>
  <si>
    <t xml:space="preserve"> Unit cost base was zero in 
the closing UI in KH. Due to
 this we have faced the
 mismatched positions.</t>
  </si>
  <si>
    <t>Closing-0060</t>
  </si>
  <si>
    <t>Automatic Closing Algo using
 BTAX</t>
  </si>
  <si>
    <t>Closing-0061</t>
  </si>
  <si>
    <t xml:space="preserve">Closing of Equity Options 
when one option's expiration 
is already gone and one 
option's expiration is in future </t>
  </si>
  <si>
    <t>Closing-0062</t>
  </si>
  <si>
    <t>Fully Closing an Equity Option 
and Verifying option premium 
adjustment</t>
  </si>
  <si>
    <t>Closing-0063</t>
  </si>
  <si>
    <t>Partial Closing an Equity Option 
and Verifying option premium 
adjustment</t>
  </si>
  <si>
    <t>Closing-0064</t>
  </si>
  <si>
    <t>Edit closed trades via 
allocation</t>
  </si>
  <si>
    <t>Closing-0065</t>
  </si>
  <si>
    <t>Edit partially closed trades via 
allocation</t>
  </si>
  <si>
    <t>Closing-0066</t>
  </si>
  <si>
    <t>Edit open trades via allocation 
and run closing again</t>
  </si>
  <si>
    <t>Closing-0067</t>
  </si>
  <si>
    <t>Opening Taxlot doesn't get 
updated after Closing is done</t>
  </si>
  <si>
    <t>ManualClosing3</t>
  </si>
  <si>
    <t>ManualClosing4</t>
  </si>
  <si>
    <t>Closing-0068</t>
  </si>
  <si>
    <t>Fully exercise/assign:
Check Expiration Date
- for previously expired option
- for option expiring in future</t>
  </si>
  <si>
    <t>Closing-0069</t>
  </si>
  <si>
    <t>Partially exercise/assign:
Check Expiration Date
- for previously expired option
- for option expiring in future</t>
  </si>
  <si>
    <t>Closing-0070</t>
  </si>
  <si>
    <t>Check Order Side of trades 
after Exercise assignment</t>
  </si>
  <si>
    <t>PM-0000</t>
  </si>
  <si>
    <t>PM-0001</t>
  </si>
  <si>
    <t>Apply Filter on "Account" at Grid level</t>
  </si>
  <si>
    <t>https://docs.google.com/spreadsheets/d/1sSCLeT-mN11zJY6GDYKliOTi26Qh-krggSNyJ7Y80vU/edit#gid=2113534766</t>
  </si>
  <si>
    <t>https://docs.google.com/spreadsheets/d/1sSCLeT-mN11zJY6GDYKliOTi26Qh-krggSNyJ7Y80vU/edit#gid=1914933162</t>
  </si>
  <si>
    <t>PM-0002</t>
  </si>
  <si>
    <t>Apply Filter on "Masterfund" at Grid level.</t>
  </si>
  <si>
    <t>https://docs.google.com/spreadsheets/d/1QPjBsBO9OcvrY3FMsWkz67uJ0LDIF7FkCugW32KSiYk/edit#gid=891282638</t>
  </si>
  <si>
    <t>PM-0003</t>
  </si>
  <si>
    <t>When "No" filter applied at Grid.</t>
  </si>
  <si>
    <t>PM-0004</t>
  </si>
  <si>
    <t>Select multiple columns from column chooser and apply grouping</t>
  </si>
  <si>
    <t>https://docs.google.com/spreadsheets/d/1B2T38RjWfd6Ya0zWSj0exLv-1pXTR602jx0wLviN0FE/edit#gid=1092343538</t>
  </si>
  <si>
    <t>https://docs.google.com/spreadsheets/d/1B2T38RjWfd6Ya0zWSj0exLv-1pXTR602jx0wLviN0FE/edit#gid=1367649552</t>
  </si>
  <si>
    <t>PM-0020</t>
  </si>
  <si>
    <t>PM-0005</t>
  </si>
  <si>
    <t>"Assets Class : Equity,
 Symbol : BLX-TC,
Quantity : 1000"</t>
  </si>
  <si>
    <t>https://docs.google.com/spreadsheets/d/1UF3Kq3e47QxGqxwa42Y89Lty12DiVRjGSoyfMD7nCCs/edit#gid=138523450</t>
  </si>
  <si>
    <t>GetForexConversionOnTrade</t>
  </si>
  <si>
    <t>https://docs.google.com/spreadsheets/d/1UF3Kq3e47QxGqxwa42Y89Lty12DiVRjGSoyfMD7nCCs/edit#gid=505301963</t>
  </si>
  <si>
    <t>UpdateForexConversionOnTrade</t>
  </si>
  <si>
    <t>https://docs.google.com/spreadsheets/d/1UF3Kq3e47QxGqxwa42Y89Lty12DiVRjGSoyfMD7nCCs/edit#gid=553138858</t>
  </si>
  <si>
    <t>https://docs.google.com/spreadsheets/d/1UF3Kq3e47QxGqxwa42Y89Lty12DiVRjGSoyfMD7nCCs/edit#gid=718918507</t>
  </si>
  <si>
    <t>https://docs.google.com/spreadsheets/d/1UF3Kq3e47QxGqxwa42Y89Lty12DiVRjGSoyfMD7nCCs/edit#gid=1179984713</t>
  </si>
  <si>
    <t>https://docs.google.com/spreadsheets/d/1UF3Kq3e47QxGqxwa42Y89Lty12DiVRjGSoyfMD7nCCs/edit#gid=907172260</t>
  </si>
  <si>
    <t>https://docs.google.com/spreadsheets/d/1UF3Kq3e47QxGqxwa42Y89Lty12DiVRjGSoyfMD7nCCs/edit#gid=1045913259</t>
  </si>
  <si>
    <t>https://docs.google.com/spreadsheets/d/1UF3Kq3e47QxGqxwa42Y89Lty12DiVRjGSoyfMD7nCCs/edit#gid=1126171116</t>
  </si>
  <si>
    <t>https://docs.google.com/spreadsheets/d/1UF3Kq3e47QxGqxwa42Y89Lty12DiVRjGSoyfMD7nCCs/edit#gid=1995742468</t>
  </si>
  <si>
    <t>PM-0006</t>
  </si>
  <si>
    <t xml:space="preserve">"Assets Class : Equity Option,
Symbol : O:CAM 10E37.50,
Position-1000'
</t>
  </si>
  <si>
    <t>https://docs.google.com/spreadsheets/d/1m4Pc7AR5E5c3Sr-tzFsXpZOrdSBeK9r7ucYH4icLXGg/edit#gid=1802516500</t>
  </si>
  <si>
    <t>https://docs.google.com/spreadsheets/d/1m4Pc7AR5E5c3Sr-tzFsXpZOrdSBeK9r7ucYH4icLXGg/edit#gid=1550944221</t>
  </si>
  <si>
    <t>https://docs.google.com/spreadsheets/d/1m4Pc7AR5E5c3Sr-tzFsXpZOrdSBeK9r7ucYH4icLXGg/edit#gid=270530574</t>
  </si>
  <si>
    <t>https://docs.google.com/spreadsheets/d/1m4Pc7AR5E5c3Sr-tzFsXpZOrdSBeK9r7ucYH4icLXGg/edit#gid=754193078</t>
  </si>
  <si>
    <t>https://docs.google.com/spreadsheets/d/1m4Pc7AR5E5c3Sr-tzFsXpZOrdSBeK9r7ucYH4icLXGg/edit#gid=305942235</t>
  </si>
  <si>
    <t>https://docs.google.com/spreadsheets/d/1m4Pc7AR5E5c3Sr-tzFsXpZOrdSBeK9r7ucYH4icLXGg/edit#gid=25468264</t>
  </si>
  <si>
    <t>https://docs.google.com/spreadsheets/d/1m4Pc7AR5E5c3Sr-tzFsXpZOrdSBeK9r7ucYH4icLXGg/edit#gid=2067787380</t>
  </si>
  <si>
    <t>https://docs.google.com/spreadsheets/d/1m4Pc7AR5E5c3Sr-tzFsXpZOrdSBeK9r7ucYH4icLXGg/edit#gid=1558765753</t>
  </si>
  <si>
    <t>https://docs.google.com/spreadsheets/d/1m4Pc7AR5E5c3Sr-tzFsXpZOrdSBeK9r7ucYH4icLXGg/edit#gid=869715600</t>
  </si>
  <si>
    <t>PM-0007</t>
  </si>
  <si>
    <t>"Asset Class : Future
Symbol : KGDFUT
Position-160
"</t>
  </si>
  <si>
    <t>https://docs.google.com/spreadsheets/d/1G_ZdhcDvF6c3lw3dA6KCgzPQCoknF64oQTjJZVigTTg/edit#gid=425305090</t>
  </si>
  <si>
    <t>https://docs.google.com/spreadsheets/d/1G_ZdhcDvF6c3lw3dA6KCgzPQCoknF64oQTjJZVigTTg/edit#gid=1092054578</t>
  </si>
  <si>
    <t>https://docs.google.com/spreadsheets/d/1G_ZdhcDvF6c3lw3dA6KCgzPQCoknF64oQTjJZVigTTg/edit#gid=1268940667</t>
  </si>
  <si>
    <t>https://docs.google.com/spreadsheets/d/1G_ZdhcDvF6c3lw3dA6KCgzPQCoknF64oQTjJZVigTTg/edit#gid=1407493011</t>
  </si>
  <si>
    <t>https://docs.google.com/spreadsheets/d/1G_ZdhcDvF6c3lw3dA6KCgzPQCoknF64oQTjJZVigTTg/edit#gid=1202004058</t>
  </si>
  <si>
    <t>https://docs.google.com/spreadsheets/d/1G_ZdhcDvF6c3lw3dA6KCgzPQCoknF64oQTjJZVigTTg/edit#gid=1241299001</t>
  </si>
  <si>
    <t>https://docs.google.com/spreadsheets/d/1G_ZdhcDvF6c3lw3dA6KCgzPQCoknF64oQTjJZVigTTg/edit#gid=26580834</t>
  </si>
  <si>
    <t>https://docs.google.com/spreadsheets/d/1G_ZdhcDvF6c3lw3dA6KCgzPQCoknF64oQTjJZVigTTg/edit#gid=671980870</t>
  </si>
  <si>
    <t>https://docs.google.com/spreadsheets/d/1G_ZdhcDvF6c3lw3dA6KCgzPQCoknF64oQTjJZVigTTg/edit#gid=1176096477</t>
  </si>
  <si>
    <t>PM-0009</t>
  </si>
  <si>
    <t>"Asset Class : FutureOption,
Symbol : ES M5C2000
ES M5C2000
Position-1000
"</t>
  </si>
  <si>
    <t>https://docs.google.com/spreadsheets/d/1xFkGbDdfTXThzNoPnzdjWuzUBxRnCBBbgSszgMmSzeA/edit#gid=1713442004</t>
  </si>
  <si>
    <t>https://docs.google.com/spreadsheets/d/1xFkGbDdfTXThzNoPnzdjWuzUBxRnCBBbgSszgMmSzeA/edit#gid=2011141224</t>
  </si>
  <si>
    <t>https://docs.google.com/spreadsheets/d/1xFkGbDdfTXThzNoPnzdjWuzUBxRnCBBbgSszgMmSzeA/edit#gid=90437408</t>
  </si>
  <si>
    <t>https://docs.google.com/spreadsheets/d/1xFkGbDdfTXThzNoPnzdjWuzUBxRnCBBbgSszgMmSzeA/edit#gid=1693917301</t>
  </si>
  <si>
    <t>https://docs.google.com/spreadsheets/d/1xFkGbDdfTXThzNoPnzdjWuzUBxRnCBBbgSszgMmSzeA/edit#gid=10049720</t>
  </si>
  <si>
    <t>https://docs.google.com/spreadsheets/d/1xFkGbDdfTXThzNoPnzdjWuzUBxRnCBBbgSszgMmSzeA/edit#gid=74665550</t>
  </si>
  <si>
    <t>https://docs.google.com/spreadsheets/d/1xFkGbDdfTXThzNoPnzdjWuzUBxRnCBBbgSszgMmSzeA/edit#gid=1680734269</t>
  </si>
  <si>
    <t>https://docs.google.com/spreadsheets/d/1xFkGbDdfTXThzNoPnzdjWuzUBxRnCBBbgSszgMmSzeA/edit#gid=514499039</t>
  </si>
  <si>
    <t>https://docs.google.com/spreadsheets/d/1xFkGbDdfTXThzNoPnzdjWuzUBxRnCBBbgSszgMmSzeA/edit#gid=417021674</t>
  </si>
  <si>
    <t>PM-0010</t>
  </si>
  <si>
    <t>"Asses Class : FutureIncome,
Symbol : EI060572
Position-1000
5"</t>
  </si>
  <si>
    <t>https://docs.google.com/spreadsheets/d/1HqAeyeD7E9qTx9WEYDp__TmAa91X8adBQhSSIjDUSvo/edit#gid=2063606015</t>
  </si>
  <si>
    <t>https://docs.google.com/spreadsheets/d/1HqAeyeD7E9qTx9WEYDp__TmAa91X8adBQhSSIjDUSvo/edit#gid=1550828937</t>
  </si>
  <si>
    <t>https://docs.google.com/spreadsheets/d/1HqAeyeD7E9qTx9WEYDp__TmAa91X8adBQhSSIjDUSvo/edit#gid=631576732</t>
  </si>
  <si>
    <t>https://docs.google.com/spreadsheets/d/1HqAeyeD7E9qTx9WEYDp__TmAa91X8adBQhSSIjDUSvo/edit#gid=1298295977</t>
  </si>
  <si>
    <t>https://docs.google.com/spreadsheets/d/1HqAeyeD7E9qTx9WEYDp__TmAa91X8adBQhSSIjDUSvo/edit#gid=710759844</t>
  </si>
  <si>
    <t>https://docs.google.com/spreadsheets/d/1HqAeyeD7E9qTx9WEYDp__TmAa91X8adBQhSSIjDUSvo/edit#gid=1932307424</t>
  </si>
  <si>
    <t>https://docs.google.com/spreadsheets/d/1HqAeyeD7E9qTx9WEYDp__TmAa91X8adBQhSSIjDUSvo/edit#gid=1294969778</t>
  </si>
  <si>
    <t>https://docs.google.com/spreadsheets/d/1HqAeyeD7E9qTx9WEYDp__TmAa91X8adBQhSSIjDUSvo/edit#gid=898260886</t>
  </si>
  <si>
    <t>https://docs.google.com/spreadsheets/d/1HqAeyeD7E9qTx9WEYDp__TmAa91X8adBQhSSIjDUSvo/edit#gid=1595791370</t>
  </si>
  <si>
    <t>PM-0011</t>
  </si>
  <si>
    <t>"Symbol : AMP
Position:492
"</t>
  </si>
  <si>
    <t>https://docs.google.com/spreadsheets/d/1F4Vxb-B_Bsz-JC-dYfaq_6BksKaDLCrBQxCVAkUvHXs/edit#gid=16016774</t>
  </si>
  <si>
    <t>https://docs.google.com/spreadsheets/d/1F4Vxb-B_Bsz-JC-dYfaq_6BksKaDLCrBQxCVAkUvHXs/edit#gid=1676151457</t>
  </si>
  <si>
    <t>https://docs.google.com/spreadsheets/d/1F4Vxb-B_Bsz-JC-dYfaq_6BksKaDLCrBQxCVAkUvHXs/edit#gid=326710711</t>
  </si>
  <si>
    <t>https://docs.google.com/spreadsheets/d/1F4Vxb-B_Bsz-JC-dYfaq_6BksKaDLCrBQxCVAkUvHXs/edit#gid=1184344241</t>
  </si>
  <si>
    <t>https://docs.google.com/spreadsheets/d/1F4Vxb-B_Bsz-JC-dYfaq_6BksKaDLCrBQxCVAkUvHXs/edit#gid=1387764629</t>
  </si>
  <si>
    <t>https://docs.google.com/spreadsheets/d/1F4Vxb-B_Bsz-JC-dYfaq_6BksKaDLCrBQxCVAkUvHXs/edit#gid=587845412</t>
  </si>
  <si>
    <t>https://docs.google.com/spreadsheets/d/1F4Vxb-B_Bsz-JC-dYfaq_6BksKaDLCrBQxCVAkUvHXs/edit#gid=628418207</t>
  </si>
  <si>
    <t>https://docs.google.com/spreadsheets/d/1F4Vxb-B_Bsz-JC-dYfaq_6BksKaDLCrBQxCVAkUvHXs/edit#gid=1302164731</t>
  </si>
  <si>
    <t>https://docs.google.com/spreadsheets/d/1F4Vxb-B_Bsz-JC-dYfaq_6BksKaDLCrBQxCVAkUvHXs/edit#gid=855615169</t>
  </si>
  <si>
    <t>PM-0012</t>
  </si>
  <si>
    <t>"Asses Class : FX ,
Symbol :USD/NOK
AUD/USD 
Position-1000
"</t>
  </si>
  <si>
    <t>https://docs.google.com/spreadsheets/d/1VB_leh0DMJGV0trEAeuMJzGQWUG1dMCLFUwWZpozfno/edit#gid=1347778287</t>
  </si>
  <si>
    <t>https://docs.google.com/spreadsheets/d/1VB_leh0DMJGV0trEAeuMJzGQWUG1dMCLFUwWZpozfno/edit#gid=444581327</t>
  </si>
  <si>
    <t>https://docs.google.com/spreadsheets/d/1VB_leh0DMJGV0trEAeuMJzGQWUG1dMCLFUwWZpozfno/edit#gid=488284842</t>
  </si>
  <si>
    <t>https://docs.google.com/spreadsheets/d/1VB_leh0DMJGV0trEAeuMJzGQWUG1dMCLFUwWZpozfno/edit#gid=995612120</t>
  </si>
  <si>
    <t>https://docs.google.com/spreadsheets/d/1VB_leh0DMJGV0trEAeuMJzGQWUG1dMCLFUwWZpozfno/edit#gid=1408882041</t>
  </si>
  <si>
    <t>https://docs.google.com/spreadsheets/d/1VB_leh0DMJGV0trEAeuMJzGQWUG1dMCLFUwWZpozfno/edit#gid=533082436</t>
  </si>
  <si>
    <t>https://docs.google.com/spreadsheets/d/1VB_leh0DMJGV0trEAeuMJzGQWUG1dMCLFUwWZpozfno/edit#gid=288124749</t>
  </si>
  <si>
    <t>https://docs.google.com/spreadsheets/d/1VB_leh0DMJGV0trEAeuMJzGQWUG1dMCLFUwWZpozfno/edit#gid=993423418</t>
  </si>
  <si>
    <t>https://docs.google.com/spreadsheets/d/1VB_leh0DMJGV0trEAeuMJzGQWUG1dMCLFUwWZpozfno/edit#gid=1049662071</t>
  </si>
  <si>
    <t>PM-0013</t>
  </si>
  <si>
    <t>"Asset Class : FxForward,
Symbol :USD/JPY 01/01/2016
ES M5C2000
Position-20
Multiplier-50
"</t>
  </si>
  <si>
    <t>https://docs.google.com/spreadsheets/d/1xUXspXkAUlihn0xKKC4tvFWGYOjqvXAGUdpDdnTxAGI/edit#gid=2038609818</t>
  </si>
  <si>
    <t>https://docs.google.com/spreadsheets/d/1xUXspXkAUlihn0xKKC4tvFWGYOjqvXAGUdpDdnTxAGI/edit#gid=1853035857</t>
  </si>
  <si>
    <t>https://docs.google.com/spreadsheets/d/1xUXspXkAUlihn0xKKC4tvFWGYOjqvXAGUdpDdnTxAGI/edit#gid=1995539182</t>
  </si>
  <si>
    <t>https://docs.google.com/spreadsheets/d/1xUXspXkAUlihn0xKKC4tvFWGYOjqvXAGUdpDdnTxAGI/edit#gid=1034519918</t>
  </si>
  <si>
    <t>https://docs.google.com/spreadsheets/d/1xUXspXkAUlihn0xKKC4tvFWGYOjqvXAGUdpDdnTxAGI/edit#gid=454544932</t>
  </si>
  <si>
    <t>https://docs.google.com/spreadsheets/d/1xUXspXkAUlihn0xKKC4tvFWGYOjqvXAGUdpDdnTxAGI/edit#gid=1921608083</t>
  </si>
  <si>
    <t>https://docs.google.com/spreadsheets/d/1xUXspXkAUlihn0xKKC4tvFWGYOjqvXAGUdpDdnTxAGI/edit#gid=1711877262</t>
  </si>
  <si>
    <t>PM-0014</t>
  </si>
  <si>
    <t xml:space="preserve">"Assets Class : Equity Option,
User Asset: Equity Put
Symbol : O:CAM 10Q37.50,
Position-1000'
</t>
  </si>
  <si>
    <t>https://docs.google.com/spreadsheets/d/182OWI1fkqmjJLtyUxvpP2dS3qQuIeXsmyiVzoWEiNC4/edit#gid=1004761547</t>
  </si>
  <si>
    <t>https://docs.google.com/spreadsheets/d/182OWI1fkqmjJLtyUxvpP2dS3qQuIeXsmyiVzoWEiNC4/edit#gid=1601573327</t>
  </si>
  <si>
    <t>https://docs.google.com/spreadsheets/d/182OWI1fkqmjJLtyUxvpP2dS3qQuIeXsmyiVzoWEiNC4/edit#gid=684452181</t>
  </si>
  <si>
    <t>https://docs.google.com/spreadsheets/d/182OWI1fkqmjJLtyUxvpP2dS3qQuIeXsmyiVzoWEiNC4/edit#gid=1735106551</t>
  </si>
  <si>
    <t>https://docs.google.com/spreadsheets/d/182OWI1fkqmjJLtyUxvpP2dS3qQuIeXsmyiVzoWEiNC4/edit#gid=1459290616</t>
  </si>
  <si>
    <t>https://docs.google.com/spreadsheets/d/182OWI1fkqmjJLtyUxvpP2dS3qQuIeXsmyiVzoWEiNC4/edit#gid=237870959</t>
  </si>
  <si>
    <t>https://docs.google.com/spreadsheets/d/182OWI1fkqmjJLtyUxvpP2dS3qQuIeXsmyiVzoWEiNC4/edit#gid=1443380488</t>
  </si>
  <si>
    <t>PM-0015</t>
  </si>
  <si>
    <t xml:space="preserve">"Assets Class :Future Option,
User Asset: Future Put
Symbol : ES Z6P2200,
Position-1000'
</t>
  </si>
  <si>
    <t>https://docs.google.com/spreadsheets/d/1297Uap0O2IFXX66xxaibmqjFuUCImnlakVs1gz4bZFc/edit#gid=1213292199</t>
  </si>
  <si>
    <t>https://docs.google.com/spreadsheets/d/1297Uap0O2IFXX66xxaibmqjFuUCImnlakVs1gz4bZFc/edit#gid=905205976</t>
  </si>
  <si>
    <t>https://docs.google.com/spreadsheets/d/1297Uap0O2IFXX66xxaibmqjFuUCImnlakVs1gz4bZFc/edit#gid=2089703079</t>
  </si>
  <si>
    <t>https://docs.google.com/spreadsheets/d/1297Uap0O2IFXX66xxaibmqjFuUCImnlakVs1gz4bZFc/edit#gid=285029418</t>
  </si>
  <si>
    <t>https://docs.google.com/spreadsheets/d/1297Uap0O2IFXX66xxaibmqjFuUCImnlakVs1gz4bZFc/edit#gid=1952310803</t>
  </si>
  <si>
    <t>https://docs.google.com/spreadsheets/d/1297Uap0O2IFXX66xxaibmqjFuUCImnlakVs1gz4bZFc/edit#gid=1672511188</t>
  </si>
  <si>
    <t>PM-0016</t>
  </si>
  <si>
    <t>PM Export Functionality 
Includes Fractional Quantity</t>
  </si>
  <si>
    <t>https://docs.google.com/spreadsheets/d/1KeSdv1KWNV9K5vSIJitutABZpX9brP1kX2WG0tgyeic/edit#gid=1147398808</t>
  </si>
  <si>
    <t>https://docs.google.com/spreadsheets/d/1KeSdv1KWNV9K5vSIJitutABZpX9brP1kX2WG0tgyeic/edit#gid=647632756</t>
  </si>
  <si>
    <t>https://docs.google.com/spreadsheets/d/1KeSdv1KWNV9K5vSIJitutABZpX9brP1kX2WG0tgyeic/edit#gid=1697741403</t>
  </si>
  <si>
    <t>https://docs.google.com/spreadsheets/d/1KeSdv1KWNV9K5vSIJitutABZpX9brP1kX2WG0tgyeic/edit#gid=713616791</t>
  </si>
  <si>
    <t>https://docs.google.com/spreadsheets/d/1KeSdv1KWNV9K5vSIJitutABZpX9brP1kX2WG0tgyeic/edit#gid=1034793645</t>
  </si>
  <si>
    <t>CheckPortfolioManagement2</t>
  </si>
  <si>
    <t>PM-0017</t>
  </si>
  <si>
    <t>Future Date Trade Validation On PM</t>
  </si>
  <si>
    <t>https://docs.google.com/spreadsheets/d/1d-0usbmFN0VZc6aL6PirSBkYO_c1KVV6yd2N0PuC24U/edit#gid=851829417</t>
  </si>
  <si>
    <t>https://docs.google.com/spreadsheets/d/1d-0usbmFN0VZc6aL6PirSBkYO_c1KVV6yd2N0PuC24U/edit#gid=304994337</t>
  </si>
  <si>
    <t>https://docs.google.com/spreadsheets/d/1d-0usbmFN0VZc6aL6PirSBkYO_c1KVV6yd2N0PuC24U/edit#gid=1358354781</t>
  </si>
  <si>
    <t>https://docs.google.com/spreadsheets/d/1d-0usbmFN0VZc6aL6PirSBkYO_c1KVV6yd2N0PuC24U/edit#gid=1916160603</t>
  </si>
  <si>
    <r>
      <rPr>
        <b/>
      </rPr>
      <t>Asset</t>
    </r>
    <r>
      <t xml:space="preserve"> : Equity
</t>
    </r>
    <r>
      <rPr>
        <b/>
      </rPr>
      <t>Side</t>
    </r>
    <r>
      <t xml:space="preserve"> : Buy and Sell short
</t>
    </r>
    <r>
      <rPr>
        <b/>
      </rPr>
      <t>Trade Date</t>
    </r>
    <r>
      <t>: (T-1)
**(Inclusive of MarkPrice,Forex , PX selected feed
Filter effect verified at grid level
Filter effect verified at Dashboard level)</t>
    </r>
  </si>
  <si>
    <t>PM-0018</t>
  </si>
  <si>
    <t>FilterPM1</t>
  </si>
  <si>
    <t>PM-0021</t>
  </si>
  <si>
    <r>
      <rPr>
        <b/>
      </rPr>
      <t xml:space="preserve">Asset </t>
    </r>
    <r>
      <t xml:space="preserve">: Equity
</t>
    </r>
    <r>
      <rPr>
        <b/>
      </rPr>
      <t>Side :</t>
    </r>
    <r>
      <t xml:space="preserve"> Buy and Sell short
</t>
    </r>
    <r>
      <rPr>
        <b/>
      </rPr>
      <t>Trade Date</t>
    </r>
    <r>
      <t>: (T-1) and T
**(Inclusive of MarkPrice,Forex, PX selected feed and CheckDashboard PM)</t>
    </r>
  </si>
  <si>
    <t>PM-0022</t>
  </si>
  <si>
    <r>
      <rPr>
        <b/>
      </rPr>
      <t>Asset</t>
    </r>
    <r>
      <t xml:space="preserve"> : Equity
</t>
    </r>
    <r>
      <rPr>
        <b/>
      </rPr>
      <t>Side</t>
    </r>
    <r>
      <t xml:space="preserve"> : Buy and Sell 
</t>
    </r>
    <r>
      <rPr>
        <b/>
      </rPr>
      <t>Trade Date:</t>
    </r>
    <r>
      <t xml:space="preserve"> (T-1)
</t>
    </r>
    <r>
      <rPr>
        <b/>
      </rPr>
      <t>Closing</t>
    </r>
    <r>
      <t>:Partial Closing
**(Inclusive of MarkPrice,Forex , PX selected feed )</t>
    </r>
  </si>
  <si>
    <t>PM-0023</t>
  </si>
  <si>
    <r>
      <rPr>
        <b/>
      </rPr>
      <t>Asset</t>
    </r>
    <r>
      <t xml:space="preserve"> : Equity
</t>
    </r>
    <r>
      <rPr>
        <b/>
      </rPr>
      <t xml:space="preserve">Side and Trade date </t>
    </r>
    <r>
      <t xml:space="preserve"> : Buy(T-1) and Sell (T)
</t>
    </r>
    <r>
      <rPr>
        <b/>
      </rPr>
      <t>Closing:</t>
    </r>
    <r>
      <t>Partial Closing
**(Inclusive of MarkPrice,Forex , PX selected feed )</t>
    </r>
  </si>
  <si>
    <t>PM-0024</t>
  </si>
  <si>
    <r>
      <rPr>
        <b/>
      </rPr>
      <t xml:space="preserve">Asset </t>
    </r>
    <r>
      <t xml:space="preserve">: Equity
</t>
    </r>
    <r>
      <rPr>
        <b/>
      </rPr>
      <t xml:space="preserve">Side and Trade date </t>
    </r>
    <r>
      <t xml:space="preserve">: Buy(T-2) and Sell(T-1) 
</t>
    </r>
    <r>
      <rPr>
        <b/>
      </rPr>
      <t>Closing</t>
    </r>
    <r>
      <t>:Complete Closing
**(Inclusive of MarkPrice,Forex , PX selected feed )</t>
    </r>
  </si>
  <si>
    <t>PM-0025</t>
  </si>
  <si>
    <r>
      <rPr>
        <b/>
      </rPr>
      <t xml:space="preserve">Asset </t>
    </r>
    <r>
      <t xml:space="preserve">: EquityOption
</t>
    </r>
    <r>
      <rPr>
        <b/>
      </rPr>
      <t xml:space="preserve">Side </t>
    </r>
    <r>
      <t xml:space="preserve">: Buy to Open  and Sell to Open
</t>
    </r>
    <r>
      <rPr>
        <b/>
      </rPr>
      <t>Trade Date</t>
    </r>
    <r>
      <t>: (T-1)
**(Inclusive of MarkPrice and PX selected feed)</t>
    </r>
  </si>
  <si>
    <t>PM-0026</t>
  </si>
  <si>
    <r>
      <rPr>
        <b/>
      </rPr>
      <t>Asset</t>
    </r>
    <r>
      <t xml:space="preserve"> : EquityOption
</t>
    </r>
    <r>
      <rPr>
        <b/>
      </rPr>
      <t>Side</t>
    </r>
    <r>
      <t xml:space="preserve"> :  Buy to Open  and Sell to Open
</t>
    </r>
    <r>
      <rPr>
        <b/>
      </rPr>
      <t>Trade Date</t>
    </r>
    <r>
      <t>: (T-1) ,T
**(Inclusive of MarkPrice and PX selected feed)</t>
    </r>
  </si>
  <si>
    <t>PM-0027</t>
  </si>
  <si>
    <r>
      <rPr>
        <b/>
      </rPr>
      <t xml:space="preserve">Asset </t>
    </r>
    <r>
      <t xml:space="preserve">: EquityOption
</t>
    </r>
    <r>
      <rPr>
        <b/>
      </rPr>
      <t>Side</t>
    </r>
    <r>
      <t xml:space="preserve"> :  Buy to Open ,Sell to Open,Sell to Close
</t>
    </r>
    <r>
      <rPr>
        <b/>
      </rPr>
      <t>Trade Date</t>
    </r>
    <r>
      <t xml:space="preserve">: (T-1)
</t>
    </r>
    <r>
      <rPr>
        <b/>
      </rPr>
      <t xml:space="preserve">Closing </t>
    </r>
    <r>
      <t>:Partial Closing
**(Inclusive of MarkPrice and PX selected feed)</t>
    </r>
  </si>
  <si>
    <t>PM-0028</t>
  </si>
  <si>
    <r>
      <rPr>
        <b/>
      </rPr>
      <t>Asset</t>
    </r>
    <r>
      <t xml:space="preserve"> : EquityOption
</t>
    </r>
    <r>
      <rPr>
        <b/>
      </rPr>
      <t>Side and Trade Date</t>
    </r>
    <r>
      <t xml:space="preserve"> :  Buy to Open T-1) ,Sell to Close(T)
</t>
    </r>
    <r>
      <rPr>
        <b/>
      </rPr>
      <t>Closing</t>
    </r>
    <r>
      <t xml:space="preserve"> :Partial Closing
**(Inclusive of MarkPrice and PX selected feed)</t>
    </r>
  </si>
  <si>
    <t>PM-0029</t>
  </si>
  <si>
    <r>
      <rPr>
        <b/>
      </rPr>
      <t>Asset</t>
    </r>
    <r>
      <t xml:space="preserve"> : EquityOption
</t>
    </r>
    <r>
      <rPr>
        <b/>
      </rPr>
      <t>Side and Trade Date</t>
    </r>
    <r>
      <t xml:space="preserve"> :  Buy to Open (T-1) ,Sell to Close(T-1)
</t>
    </r>
    <r>
      <rPr>
        <b/>
      </rPr>
      <t>Closing</t>
    </r>
    <r>
      <t xml:space="preserve"> :Complete Closing
**(Inclusive of MarkPrice and PX selected feed)</t>
    </r>
  </si>
  <si>
    <t>closing</t>
  </si>
  <si>
    <t>PM-0030</t>
  </si>
  <si>
    <r>
      <rPr>
        <b/>
      </rPr>
      <t xml:space="preserve">Asset </t>
    </r>
    <r>
      <t xml:space="preserve">: Future
</t>
    </r>
    <r>
      <rPr>
        <b/>
      </rPr>
      <t xml:space="preserve">Side and Trade Date </t>
    </r>
    <r>
      <t>:  Buy  (T-1) 
**(Inclusive of MarkPrice,Forex , PX selected feed 
and IsM2MIncludedInCash= True)</t>
    </r>
  </si>
  <si>
    <t>PM-0031</t>
  </si>
  <si>
    <r>
      <rPr>
        <b/>
      </rPr>
      <t>Asset</t>
    </r>
    <r>
      <t xml:space="preserve"> : Future
</t>
    </r>
    <r>
      <rPr>
        <b/>
      </rPr>
      <t>Side and Trade Date</t>
    </r>
    <r>
      <t xml:space="preserve"> :  Buy  (T-1),Sell (T) 
**(Inclusive of MarkPrice,Forex .PX selected feed
and IsM2MIncludedInCash= True)</t>
    </r>
  </si>
  <si>
    <t>PM-0032</t>
  </si>
  <si>
    <r>
      <rPr>
        <b/>
      </rPr>
      <t>Asset</t>
    </r>
    <r>
      <t xml:space="preserve"> : Future
</t>
    </r>
    <r>
      <rPr>
        <b/>
      </rPr>
      <t>Side and Trade Date</t>
    </r>
    <r>
      <t xml:space="preserve"> :  Buy  (T-1),Sell (T-1) 
</t>
    </r>
    <r>
      <rPr>
        <b/>
      </rPr>
      <t>Closing :</t>
    </r>
    <r>
      <t xml:space="preserve"> Partial Closing 
**(Inclusive of MarkPrice,Forex , PX selected feed
and IsM2MIncludedInCash= True)</t>
    </r>
  </si>
  <si>
    <t>PM-0033</t>
  </si>
  <si>
    <r>
      <rPr>
        <b/>
      </rPr>
      <t xml:space="preserve">Asset </t>
    </r>
    <r>
      <t xml:space="preserve">: Future
</t>
    </r>
    <r>
      <rPr>
        <b/>
      </rPr>
      <t>Side and Trade Date</t>
    </r>
    <r>
      <t xml:space="preserve"> :  Buy  (T-1),Sell (T) 
</t>
    </r>
    <r>
      <rPr>
        <b/>
      </rPr>
      <t>Closing</t>
    </r>
    <r>
      <t xml:space="preserve"> : Partial Closing 
**(Inclusive of MarkPrice,Forex , PX selected feed
and IsM2MIncludedInCash= True)</t>
    </r>
  </si>
  <si>
    <t>PM-0034</t>
  </si>
  <si>
    <r>
      <rPr>
        <b/>
      </rPr>
      <t>Asset</t>
    </r>
    <r>
      <t xml:space="preserve"> : Future
</t>
    </r>
    <r>
      <rPr>
        <b/>
      </rPr>
      <t>Side and Trade Date</t>
    </r>
    <r>
      <t xml:space="preserve"> :  Buy  (T-2),Sell (T-1) 
</t>
    </r>
    <r>
      <rPr>
        <b/>
      </rPr>
      <t>Closing</t>
    </r>
    <r>
      <t xml:space="preserve"> : Complete Closing 
**(Inclusive of MarkPrice,Forex ,PX selected feed
and IsM2MIncludedInCash= True)</t>
    </r>
  </si>
  <si>
    <t>PM-0035</t>
  </si>
  <si>
    <r>
      <rPr>
        <b/>
      </rPr>
      <t>Asset</t>
    </r>
    <r>
      <t xml:space="preserve"> : FixedIncome
</t>
    </r>
    <r>
      <rPr>
        <b/>
      </rPr>
      <t xml:space="preserve">Side and Trade Date </t>
    </r>
    <r>
      <t>:  Buy  (T-1)
**(Inclusive of MarkPrice,Forex and PX selected feed)</t>
    </r>
  </si>
  <si>
    <t>PM-0036</t>
  </si>
  <si>
    <r>
      <rPr>
        <b/>
      </rPr>
      <t>Asset</t>
    </r>
    <r>
      <t xml:space="preserve"> : FixedIncome
</t>
    </r>
    <r>
      <rPr>
        <b/>
      </rPr>
      <t>Side and Trade Date</t>
    </r>
    <r>
      <t xml:space="preserve"> :  Buy  (T-1) ,Sell (T)
**(Inclusive of MarkPrice,Forex and PX selected feed)</t>
    </r>
  </si>
  <si>
    <t>PM-0037</t>
  </si>
  <si>
    <r>
      <rPr>
        <b/>
      </rPr>
      <t>Asset</t>
    </r>
    <r>
      <t xml:space="preserve"> : FixedIncome
</t>
    </r>
    <r>
      <rPr>
        <b/>
      </rPr>
      <t>Side and Trade Date</t>
    </r>
    <r>
      <t xml:space="preserve"> :  Buy  (T-1),Sell (T-1)
</t>
    </r>
    <r>
      <rPr>
        <b/>
      </rPr>
      <t>Closing</t>
    </r>
    <r>
      <t>:Partial Closing
**(Inclusive of MarkPrice,Forex and PX selected feed)</t>
    </r>
  </si>
  <si>
    <t>PM-0038</t>
  </si>
  <si>
    <r>
      <rPr>
        <b/>
      </rPr>
      <t xml:space="preserve">Asset </t>
    </r>
    <r>
      <t xml:space="preserve">: FixedIncome
</t>
    </r>
    <r>
      <rPr>
        <b/>
      </rPr>
      <t xml:space="preserve">Side and Trade Date </t>
    </r>
    <r>
      <t xml:space="preserve">:  Buy  (T-1),Sell (T)
</t>
    </r>
    <r>
      <rPr>
        <b/>
      </rPr>
      <t>Closing</t>
    </r>
    <r>
      <t>:Partial Closing
**(Inclusive of MarkPrice,Forex and PX selected feed)</t>
    </r>
  </si>
  <si>
    <t>PM-0039</t>
  </si>
  <si>
    <r>
      <rPr>
        <b/>
      </rPr>
      <t xml:space="preserve">Asset </t>
    </r>
    <r>
      <t xml:space="preserve">: FixedIncome
</t>
    </r>
    <r>
      <rPr>
        <b/>
      </rPr>
      <t>Side and Trade Date</t>
    </r>
    <r>
      <t xml:space="preserve"> :  Buy  (T-2),Sell (T-1)
</t>
    </r>
    <r>
      <rPr>
        <b/>
      </rPr>
      <t>Closing</t>
    </r>
    <r>
      <t>:Complete Closing
**(Inclusive of MarkPrice,Forex and PX selected feed)</t>
    </r>
  </si>
  <si>
    <t>PM-0040</t>
  </si>
  <si>
    <r>
      <rPr>
        <b/>
      </rPr>
      <t xml:space="preserve">Asset </t>
    </r>
    <r>
      <t xml:space="preserve">: EquitySwap
</t>
    </r>
    <r>
      <rPr>
        <b/>
      </rPr>
      <t>Side</t>
    </r>
    <r>
      <t xml:space="preserve"> : Buy and Sell short
</t>
    </r>
    <r>
      <rPr>
        <b/>
      </rPr>
      <t>Trade Date</t>
    </r>
    <r>
      <t>: (T-1)
**(Inclusive of MarkPrice,Forex ,PX selected feed and 
EquitySwapsMarketValueasEquity= False)</t>
    </r>
  </si>
  <si>
    <t>PM-0041</t>
  </si>
  <si>
    <r>
      <rPr>
        <b/>
      </rPr>
      <t xml:space="preserve">Asset </t>
    </r>
    <r>
      <t xml:space="preserve">: EquitySwap
</t>
    </r>
    <r>
      <rPr>
        <b/>
      </rPr>
      <t xml:space="preserve">Side </t>
    </r>
    <r>
      <t xml:space="preserve">: Buy and Sell short
</t>
    </r>
    <r>
      <rPr>
        <b/>
      </rPr>
      <t>Trade Date</t>
    </r>
    <r>
      <t>: (T-1) and T
**(Inclusive of MarkPrice,Forex , PX selected feed 
and EquitySwapsMarketValueasEquity= False)</t>
    </r>
  </si>
  <si>
    <t>SelectAllocatedGroup4</t>
  </si>
  <si>
    <t>BookOrUpdateSwap4</t>
  </si>
  <si>
    <t>SelectAllocatedGroup5</t>
  </si>
  <si>
    <t>BookOrUpdateSwap5</t>
  </si>
  <si>
    <t>PM-0042</t>
  </si>
  <si>
    <r>
      <rPr>
        <b/>
      </rPr>
      <t xml:space="preserve">Asset </t>
    </r>
    <r>
      <t xml:space="preserve">: EquitySwap
</t>
    </r>
    <r>
      <rPr>
        <b/>
      </rPr>
      <t>Side</t>
    </r>
    <r>
      <t xml:space="preserve"> : Buy and Sell 
</t>
    </r>
    <r>
      <rPr>
        <b/>
      </rPr>
      <t>Trade Date</t>
    </r>
    <r>
      <t xml:space="preserve">: (T-1)
</t>
    </r>
    <r>
      <rPr>
        <b/>
      </rPr>
      <t>Closing</t>
    </r>
    <r>
      <t>:Partial Closing
**(Inclusive of MarkPrice,Forex , PX selected feed and EquitySwapsMarketValueasEquity= False )</t>
    </r>
  </si>
  <si>
    <t>PM-0043</t>
  </si>
  <si>
    <r>
      <rPr>
        <b/>
      </rPr>
      <t xml:space="preserve">Asset </t>
    </r>
    <r>
      <t xml:space="preserve">: EquitySwap
</t>
    </r>
    <r>
      <rPr>
        <b/>
      </rPr>
      <t>Side and Trade date</t>
    </r>
    <r>
      <t xml:space="preserve">  : Buy(T-1) and Sell (T)
</t>
    </r>
    <r>
      <rPr>
        <b/>
      </rPr>
      <t>Closing</t>
    </r>
    <r>
      <t>:Partial Closing
**(Inclusive of MarkPrice,Forex , PX selected feed
 and EquitySwapsMarketValueasEquity= False)</t>
    </r>
  </si>
  <si>
    <t>PM-0044</t>
  </si>
  <si>
    <t>SelectAllocatedGroup6</t>
  </si>
  <si>
    <t>BookOrUpdateSwap6</t>
  </si>
  <si>
    <t>PM-0045</t>
  </si>
  <si>
    <r>
      <rPr>
        <b/>
      </rPr>
      <t>Asset</t>
    </r>
    <r>
      <t xml:space="preserve"> : FutureOption
</t>
    </r>
    <r>
      <rPr>
        <b/>
      </rPr>
      <t>Side</t>
    </r>
    <r>
      <t xml:space="preserve"> : Buy to Open  and Sell to Open
</t>
    </r>
    <r>
      <rPr>
        <b/>
      </rPr>
      <t>Trade Date</t>
    </r>
    <r>
      <t>: (T-1)
**(Inclusive of MarkPrice and PX selected feed)</t>
    </r>
  </si>
  <si>
    <t>PM-0046</t>
  </si>
  <si>
    <r>
      <rPr>
        <b/>
      </rPr>
      <t>Asset</t>
    </r>
    <r>
      <t xml:space="preserve"> : FutureOption
</t>
    </r>
    <r>
      <rPr>
        <b/>
      </rPr>
      <t xml:space="preserve">Side </t>
    </r>
    <r>
      <t xml:space="preserve">:  Buy to Open  and Sell to Open
</t>
    </r>
    <r>
      <rPr>
        <b/>
      </rPr>
      <t>Trade Date</t>
    </r>
    <r>
      <t>: (T-1) ,T
**(Inclusive of MarkPrice and PX selected feed)</t>
    </r>
  </si>
  <si>
    <t>PM-0047</t>
  </si>
  <si>
    <r>
      <rPr>
        <b/>
      </rPr>
      <t xml:space="preserve">Asset </t>
    </r>
    <r>
      <t xml:space="preserve">: FutureOption
</t>
    </r>
    <r>
      <rPr>
        <b/>
      </rPr>
      <t xml:space="preserve">Side </t>
    </r>
    <r>
      <t xml:space="preserve">:  Buy to Open ,Sell to Open,Sell to Close
</t>
    </r>
    <r>
      <rPr>
        <b/>
      </rPr>
      <t>Trade Date</t>
    </r>
    <r>
      <t xml:space="preserve">: (T-1)
</t>
    </r>
    <r>
      <rPr>
        <b/>
      </rPr>
      <t xml:space="preserve">Closing </t>
    </r>
    <r>
      <t>:Partial Closing
**(Inclusive of MarkPrice and PX selected feed)</t>
    </r>
  </si>
  <si>
    <t>PM-0048</t>
  </si>
  <si>
    <r>
      <rPr>
        <b/>
      </rPr>
      <t>Asset</t>
    </r>
    <r>
      <t xml:space="preserve"> : FutureOption
</t>
    </r>
    <r>
      <rPr>
        <b/>
      </rPr>
      <t>Side and Trade Date</t>
    </r>
    <r>
      <t xml:space="preserve"> :  Buy to Open T-1) ,Sell to Close(T)
</t>
    </r>
    <r>
      <rPr>
        <b/>
      </rPr>
      <t>Closing</t>
    </r>
    <r>
      <t xml:space="preserve"> :Partial Closing
**(Inclusive of MarkPrice and PX selected feed)</t>
    </r>
  </si>
  <si>
    <t>PM-0049</t>
  </si>
  <si>
    <r>
      <rPr>
        <b/>
      </rPr>
      <t xml:space="preserve">Asset </t>
    </r>
    <r>
      <t xml:space="preserve">: FutureOption
</t>
    </r>
    <r>
      <rPr>
        <b/>
      </rPr>
      <t>Side and Trade Date</t>
    </r>
    <r>
      <t xml:space="preserve"> :  Buy to Open (T-1) ,Sell to Close(T-1)
</t>
    </r>
    <r>
      <rPr>
        <b/>
      </rPr>
      <t xml:space="preserve">Closing </t>
    </r>
    <r>
      <t>:Complete Closing
**(Inclusive of MarkPrice and PX selected feed)</t>
    </r>
  </si>
  <si>
    <t>PM-0050</t>
  </si>
  <si>
    <t xml:space="preserve">PM Functionality -
1.Open Corporate Action From PM
2.Open Create Transaction From PM 
3.Open Closing from PM
4.Open Daily Valuation From PM </t>
  </si>
  <si>
    <t>PM-0051</t>
  </si>
  <si>
    <t>PM-0052</t>
  </si>
  <si>
    <t xml:space="preserve">Delete Client Data </t>
  </si>
  <si>
    <t>Categories</t>
  </si>
  <si>
    <t>MTT-0001</t>
  </si>
  <si>
    <t>Opoen MTT using blotter,Edit each trade on MTT , Select 3 trade on MTT and done away, verify on order tab, working sub, allocated group and PM</t>
  </si>
  <si>
    <t>https://docs.google.com/spreadsheets/d/1CaqUx-mZ_mpAezpkAk92g9fbLQFCN6Br0Ek9DqLqP9w/edit#gid=137333144</t>
  </si>
  <si>
    <t>https://docs.google.com/spreadsheets/d/1CaqUx-mZ_mpAezpkAk92g9fbLQFCN6Br0Ek9DqLqP9w/edit#gid=740333574</t>
  </si>
  <si>
    <t>https://docs.google.com/spreadsheets/d/1CaqUx-mZ_mpAezpkAk92g9fbLQFCN6Br0Ek9DqLqP9w/edit#gid=1235418913</t>
  </si>
  <si>
    <t>SelectTradeUsingMTT1</t>
  </si>
  <si>
    <t>https://docs.google.com/spreadsheets/d/1CaqUx-mZ_mpAezpkAk92g9fbLQFCN6Br0Ek9DqLqP9w/edit#gid=1108346297</t>
  </si>
  <si>
    <t>EditTradeUsingMTT1</t>
  </si>
  <si>
    <t>https://docs.google.com/spreadsheets/d/1CaqUx-mZ_mpAezpkAk92g9fbLQFCN6Br0Ek9DqLqP9w/edit#gid=718289586</t>
  </si>
  <si>
    <t>SelectTradeUsingMTT2</t>
  </si>
  <si>
    <t>https://docs.google.com/spreadsheets/d/1CaqUx-mZ_mpAezpkAk92g9fbLQFCN6Br0Ek9DqLqP9w/edit#gid=1290205689</t>
  </si>
  <si>
    <t>EditTradeUsingMTT2</t>
  </si>
  <si>
    <t>https://docs.google.com/spreadsheets/d/1CaqUx-mZ_mpAezpkAk92g9fbLQFCN6Br0Ek9DqLqP9w/edit#gid=2118978057</t>
  </si>
  <si>
    <t>SelectTradeUsingMTT3</t>
  </si>
  <si>
    <t>https://docs.google.com/spreadsheets/d/1CaqUx-mZ_mpAezpkAk92g9fbLQFCN6Br0Ek9DqLqP9w/edit#gid=289074546</t>
  </si>
  <si>
    <t>EditTradeUsingMTT3</t>
  </si>
  <si>
    <t>https://docs.google.com/spreadsheets/d/1CaqUx-mZ_mpAezpkAk92g9fbLQFCN6Br0Ek9DqLqP9w/edit#gid=973696197</t>
  </si>
  <si>
    <t>https://docs.google.com/spreadsheets/d/1CaqUx-mZ_mpAezpkAk92g9fbLQFCN6Br0Ek9DqLqP9w/edit#gid=488797523</t>
  </si>
  <si>
    <t>https://docs.google.com/spreadsheets/d/1CaqUx-mZ_mpAezpkAk92g9fbLQFCN6Br0Ek9DqLqP9w/edit#gid=318089701</t>
  </si>
  <si>
    <t>https://docs.google.com/spreadsheets/d/1CaqUx-mZ_mpAezpkAk92g9fbLQFCN6Br0Ek9DqLqP9w/edit#gid=1348878596</t>
  </si>
  <si>
    <t>https://docs.google.com/spreadsheets/d/1CaqUx-mZ_mpAezpkAk92g9fbLQFCN6Br0Ek9DqLqP9w/edit#gid=1880265295</t>
  </si>
  <si>
    <t>https://docs.google.com/spreadsheets/d/1CaqUx-mZ_mpAezpkAk92g9fbLQFCN6Br0Ek9DqLqP9w/edit#gid=1581316014</t>
  </si>
  <si>
    <t>MTT-0002</t>
  </si>
  <si>
    <t>Open MTT using blotter, DO bulk changes, select all trade &amp;  done away,verify on working sub | order tab | allocated group | PM</t>
  </si>
  <si>
    <t>https://docs.google.com/spreadsheets/d/1FP641Kn4_IrpgoRvn6b-DkKJTKlZdNt_XXxd5t5SHQ4/edit#gid=682274735</t>
  </si>
  <si>
    <t>https://docs.google.com/spreadsheets/d/1FP641Kn4_IrpgoRvn6b-DkKJTKlZdNt_XXxd5t5SHQ4/edit#gid=1758321480</t>
  </si>
  <si>
    <t>https://docs.google.com/spreadsheets/d/1FP641Kn4_IrpgoRvn6b-DkKJTKlZdNt_XXxd5t5SHQ4/edit#gid=1092294446</t>
  </si>
  <si>
    <t>https://docs.google.com/spreadsheets/d/1FP641Kn4_IrpgoRvn6b-DkKJTKlZdNt_XXxd5t5SHQ4/edit#gid=191793513</t>
  </si>
  <si>
    <t>https://docs.google.com/spreadsheets/d/1FP641Kn4_IrpgoRvn6b-DkKJTKlZdNt_XXxd5t5SHQ4/edit#gid=1939211127</t>
  </si>
  <si>
    <t>https://docs.google.com/spreadsheets/d/1FP641Kn4_IrpgoRvn6b-DkKJTKlZdNt_XXxd5t5SHQ4/edit#gid=1069061358</t>
  </si>
  <si>
    <t>https://docs.google.com/spreadsheets/d/1FP641Kn4_IrpgoRvn6b-DkKJTKlZdNt_XXxd5t5SHQ4/edit#gid=1220966387</t>
  </si>
  <si>
    <t>https://docs.google.com/spreadsheets/d/1FP641Kn4_IrpgoRvn6b-DkKJTKlZdNt_XXxd5t5SHQ4/edit#gid=158988343</t>
  </si>
  <si>
    <t>MTT-08</t>
  </si>
  <si>
    <t>Changing Order Type to stop or limit and enter stop or limit price via MTT
1) Enter two trades having order type as Stop or Limit
2) Verify on blotter
3) Open MTT
4) Verify on MTT
5) Edit order type values on MTT 
6) Enter price,stop and Limit values
7) Create Subs
8) Verify on Allocation
9) Verify on PM</t>
  </si>
  <si>
    <t>https://docs.google.com/spreadsheets/d/1IzCLXDcYeuErbmaYWWnmRdNWLfNVX95nucLMD64Is9g/edit#gid=1288677532</t>
  </si>
  <si>
    <t>https://docs.google.com/spreadsheets/d/1IzCLXDcYeuErbmaYWWnmRdNWLfNVX95nucLMD64Is9g/edit#gid=1688480762</t>
  </si>
  <si>
    <t>https://docs.google.com/spreadsheets/d/1IzCLXDcYeuErbmaYWWnmRdNWLfNVX95nucLMD64Is9g/edit#gid=1030207166</t>
  </si>
  <si>
    <t>https://docs.google.com/spreadsheets/d/1IzCLXDcYeuErbmaYWWnmRdNWLfNVX95nucLMD64Is9g/edit#gid=1174265073</t>
  </si>
  <si>
    <t>https://docs.google.com/spreadsheets/d/1IzCLXDcYeuErbmaYWWnmRdNWLfNVX95nucLMD64Is9g/edit#gid=1795962923</t>
  </si>
  <si>
    <t>https://docs.google.com/spreadsheets/d/1IzCLXDcYeuErbmaYWWnmRdNWLfNVX95nucLMD64Is9g/edit#gid=1768281885</t>
  </si>
  <si>
    <t>https://docs.google.com/spreadsheets/d/1IzCLXDcYeuErbmaYWWnmRdNWLfNVX95nucLMD64Is9g/edit#gid=211997371</t>
  </si>
  <si>
    <t>https://docs.google.com/spreadsheets/d/1IzCLXDcYeuErbmaYWWnmRdNWLfNVX95nucLMD64Is9g/edit#gid=1164529434</t>
  </si>
  <si>
    <t>https://docs.google.com/spreadsheets/d/1IzCLXDcYeuErbmaYWWnmRdNWLfNVX95nucLMD64Is9g/edit#gid=2063615810</t>
  </si>
  <si>
    <t>MTT-09</t>
  </si>
  <si>
    <t xml:space="preserve">Handling of Commision Rate &amp; Settlement FX
1) Entering Commission and Settlement rate from TT
2) Verifying on Commision and Settlement on MTT
3) Editing Commission and Settlement via MTT
4) Creating Subs
5) Verifying on Blotter
6) Verifying on allocation
7) Verifying on PM
</t>
  </si>
  <si>
    <t>https://docs.google.com/spreadsheets/d/1H-XahnqWgDesd4KPKHDV44zPoE09Tx_7BQnZ6_dvBec/edit#gid=474350722</t>
  </si>
  <si>
    <t>https://docs.google.com/spreadsheets/d/1H-XahnqWgDesd4KPKHDV44zPoE09Tx_7BQnZ6_dvBec/edit#gid=1552742399</t>
  </si>
  <si>
    <t>https://docs.google.com/spreadsheets/d/1H-XahnqWgDesd4KPKHDV44zPoE09Tx_7BQnZ6_dvBec/edit#gid=829837136</t>
  </si>
  <si>
    <t>https://docs.google.com/spreadsheets/d/1H-XahnqWgDesd4KPKHDV44zPoE09Tx_7BQnZ6_dvBec/edit#gid=1808572194</t>
  </si>
  <si>
    <t>https://docs.google.com/spreadsheets/d/1H-XahnqWgDesd4KPKHDV44zPoE09Tx_7BQnZ6_dvBec/edit#gid=1106143879</t>
  </si>
  <si>
    <t>https://docs.google.com/spreadsheets/d/1H-XahnqWgDesd4KPKHDV44zPoE09Tx_7BQnZ6_dvBec/edit#gid=1300145230</t>
  </si>
  <si>
    <t>https://docs.google.com/spreadsheets/d/1H-XahnqWgDesd4KPKHDV44zPoE09Tx_7BQnZ6_dvBec/edit#gid=198010742</t>
  </si>
  <si>
    <t>https://docs.google.com/spreadsheets/d/1H-XahnqWgDesd4KPKHDV44zPoE09Tx_7BQnZ6_dvBec/edit#gid=1330325324</t>
  </si>
  <si>
    <t>https://docs.google.com/spreadsheets/d/1H-XahnqWgDesd4KPKHDV44zPoE09Tx_7BQnZ6_dvBec/edit#gid=233852279</t>
  </si>
  <si>
    <t>MTT-07</t>
  </si>
  <si>
    <t xml:space="preserve">Handling Broker &amp; Venue
1) Entering Broker and Venue via TT
2) Veriying on MTT
3) Editing Values on MTT
4) Creating Subs
5) Verifying Trade on Allocation
6) Verifying Trade on PM
</t>
  </si>
  <si>
    <t>https://docs.google.com/spreadsheets/d/19VYXWvCwnF9y7iUrR6JVjeZZ6XweoBGL1TDGRcPHOBE/edit#gid=1854766391</t>
  </si>
  <si>
    <t>https://docs.google.com/spreadsheets/d/19VYXWvCwnF9y7iUrR6JVjeZZ6XweoBGL1TDGRcPHOBE/edit#gid=1306017870</t>
  </si>
  <si>
    <t>https://docs.google.com/spreadsheets/d/19VYXWvCwnF9y7iUrR6JVjeZZ6XweoBGL1TDGRcPHOBE/edit#gid=580978962</t>
  </si>
  <si>
    <t>https://docs.google.com/spreadsheets/d/19VYXWvCwnF9y7iUrR6JVjeZZ6XweoBGL1TDGRcPHOBE/edit#gid=1372689464</t>
  </si>
  <si>
    <t>https://docs.google.com/spreadsheets/d/19VYXWvCwnF9y7iUrR6JVjeZZ6XweoBGL1TDGRcPHOBE/edit#gid=1798770594</t>
  </si>
  <si>
    <t>https://docs.google.com/spreadsheets/d/19VYXWvCwnF9y7iUrR6JVjeZZ6XweoBGL1TDGRcPHOBE/edit#gid=642763484</t>
  </si>
  <si>
    <t>https://docs.google.com/spreadsheets/d/19VYXWvCwnF9y7iUrR6JVjeZZ6XweoBGL1TDGRcPHOBE/edit#gid=1974646837</t>
  </si>
  <si>
    <t>MTT-10</t>
  </si>
  <si>
    <t xml:space="preserve">Testing Allocation and Strategy
1) Entering Values For Allocation and Strategy
2) Verifying on Blotter/MTT
3) Changing Values on MTT
4) Checking Strategy avilable for associated fund
5) Verifying on Allocation
 6) Verifying on PM
</t>
  </si>
  <si>
    <t>https://docs.google.com/spreadsheets/d/1NMjgeCtYTZeTYsZOGVaREOZlDs783LxshEPvd7dmDws/edit#gid=451041801</t>
  </si>
  <si>
    <t>https://docs.google.com/spreadsheets/d/1NMjgeCtYTZeTYsZOGVaREOZlDs783LxshEPvd7dmDws/edit#gid=1103550704</t>
  </si>
  <si>
    <t>https://docs.google.com/spreadsheets/d/1NMjgeCtYTZeTYsZOGVaREOZlDs783LxshEPvd7dmDws/edit#gid=932102922</t>
  </si>
  <si>
    <t>https://docs.google.com/spreadsheets/d/1NMjgeCtYTZeTYsZOGVaREOZlDs783LxshEPvd7dmDws/edit#gid=1466245318</t>
  </si>
  <si>
    <t>https://docs.google.com/spreadsheets/d/1NMjgeCtYTZeTYsZOGVaREOZlDs783LxshEPvd7dmDws/edit#gid=1272641882</t>
  </si>
  <si>
    <t>https://docs.google.com/spreadsheets/d/1NMjgeCtYTZeTYsZOGVaREOZlDs783LxshEPvd7dmDws/edit#gid=1427033992</t>
  </si>
  <si>
    <t>https://docs.google.com/spreadsheets/d/1NMjgeCtYTZeTYsZOGVaREOZlDs783LxshEPvd7dmDws/edit#gid=1112914425</t>
  </si>
  <si>
    <t>https://docs.google.com/spreadsheets/d/1NMjgeCtYTZeTYsZOGVaREOZlDs783LxshEPvd7dmDws/edit#gid=1763787350</t>
  </si>
  <si>
    <t>https://docs.google.com/spreadsheets/d/1NMjgeCtYTZeTYsZOGVaREOZlDs783LxshEPvd7dmDws/edit#gid=727478075</t>
  </si>
  <si>
    <t>MTT-11</t>
  </si>
  <si>
    <t>MultiTradingTicketFromBlotter1</t>
  </si>
  <si>
    <t>SendOrderUsingMTT1</t>
  </si>
  <si>
    <t>MF-0001</t>
  </si>
  <si>
    <t xml:space="preserve">Master Fund Preference: MF having fund                 NewMF : 100      NewMF1 :  0                                            Default Rule               Current Preference                  Accounts           Allocation1: 50  Allocation3:50         Default Rule for Account in the fund           Fair Pricing   Account Inception           General Rule1:      Include          Equity     Include           Buy, Sell            Update values       Allocation1 : 60   Allocation3 : 40        Prorata      match closing transaction TRUE             General Rule2:         Exclude       Buy, Sell     Include     Equity         Update Values        Allocation1: 64     Allocation3: 36          Trade Quantity             Account Inception             Multiple trade of equity and future  allocated are done through this preference  </t>
  </si>
  <si>
    <t>https://docs.google.com/spreadsheets/d/1bNMDPkrhOvQyYWEwubvhFNpATbEMfvjwaZbRKUU5lvs/edit#gid=395774200</t>
  </si>
  <si>
    <t>https://docs.google.com/spreadsheets/d/1bNMDPkrhOvQyYWEwubvhFNpATbEMfvjwaZbRKUU5lvs/edit#gid=1274904681</t>
  </si>
  <si>
    <t>https://docs.google.com/spreadsheets/d/1bNMDPkrhOvQyYWEwubvhFNpATbEMfvjwaZbRKUU5lvs/edit#gid=1962271378</t>
  </si>
  <si>
    <t>https://docs.google.com/spreadsheets/d/1bNMDPkrhOvQyYWEwubvhFNpATbEMfvjwaZbRKUU5lvs/edit#gid=2122483923</t>
  </si>
  <si>
    <t>https://docs.google.com/spreadsheets/d/1bNMDPkrhOvQyYWEwubvhFNpATbEMfvjwaZbRKUU5lvs/edit#gid=642618740</t>
  </si>
  <si>
    <t>https://docs.google.com/spreadsheets/d/1bNMDPkrhOvQyYWEwubvhFNpATbEMfvjwaZbRKUU5lvs/edit#gid=309536510</t>
  </si>
  <si>
    <t>https://docs.google.com/spreadsheets/d/1bNMDPkrhOvQyYWEwubvhFNpATbEMfvjwaZbRKUU5lvs/edit#gid=1539745011</t>
  </si>
  <si>
    <t>https://docs.google.com/spreadsheets/d/1bNMDPkrhOvQyYWEwubvhFNpATbEMfvjwaZbRKUU5lvs/edit#gid=844265064</t>
  </si>
  <si>
    <t>https://docs.google.com/spreadsheets/d/1bNMDPkrhOvQyYWEwubvhFNpATbEMfvjwaZbRKUU5lvs/edit#gid=435347949</t>
  </si>
  <si>
    <t>SetMFPrefGeneralRule1</t>
  </si>
  <si>
    <t>https://docs.google.com/spreadsheets/d/1bNMDPkrhOvQyYWEwubvhFNpATbEMfvjwaZbRKUU5lvs/edit#gid=1156536245</t>
  </si>
  <si>
    <t>https://docs.google.com/spreadsheets/d/1bNMDPkrhOvQyYWEwubvhFNpATbEMfvjwaZbRKUU5lvs/edit#gid=1974343131</t>
  </si>
  <si>
    <t>https://docs.google.com/spreadsheets/d/1bNMDPkrhOvQyYWEwubvhFNpATbEMfvjwaZbRKUU5lvs/edit#gid=1613584657</t>
  </si>
  <si>
    <t>https://docs.google.com/spreadsheets/d/1bNMDPkrhOvQyYWEwubvhFNpATbEMfvjwaZbRKUU5lvs/edit#gid=1376054256</t>
  </si>
  <si>
    <t>https://docs.google.com/spreadsheets/d/1bNMDPkrhOvQyYWEwubvhFNpATbEMfvjwaZbRKUU5lvs/edit#gid=1100677461</t>
  </si>
  <si>
    <t>https://docs.google.com/spreadsheets/d/1bNMDPkrhOvQyYWEwubvhFNpATbEMfvjwaZbRKUU5lvs/edit#gid=720455514</t>
  </si>
  <si>
    <t>https://docs.google.com/spreadsheets/d/1bNMDPkrhOvQyYWEwubvhFNpATbEMfvjwaZbRKUU5lvs/edit#gid=1210350681</t>
  </si>
  <si>
    <t>MF-0002</t>
  </si>
  <si>
    <t>Master Fund Preference: MF having fund               NewMF : 100 NewMF1 : 0                             Default Rule Current Preference Accounts Allocation1: 50 Allocation3:50                    Default Rule for Account in the fund Fair Pricing Account Inception General Rule1: Include Equity Include Buy, Sell                      Update values Allocation1 : 60 Allocation3 : 40 Prorata match closing transaction TRUE                                                 General Rule2: Exclude Buy, Sell Include Equity                           
 Update Values Allocation1: 64 Allocation3: 36 Trade Quantity Account Inception                                                               Multiple trade of equity and future unallocated are done from TT and allocated  through this preference in allocation</t>
  </si>
  <si>
    <t>https://docs.google.com/spreadsheets/d/1zLp0jMcNVN_h6veC3tDix5k5krpQmbuVUCL8ERMQdtE/edit#gid=1322620126</t>
  </si>
  <si>
    <t>https://docs.google.com/spreadsheets/d/1zLp0jMcNVN_h6veC3tDix5k5krpQmbuVUCL8ERMQdtE/edit#gid=1183888856</t>
  </si>
  <si>
    <t>https://docs.google.com/spreadsheets/d/1zLp0jMcNVN_h6veC3tDix5k5krpQmbuVUCL8ERMQdtE/edit#gid=1043256824</t>
  </si>
  <si>
    <t>https://docs.google.com/spreadsheets/d/1zLp0jMcNVN_h6veC3tDix5k5krpQmbuVUCL8ERMQdtE/edit#gid=1204280963</t>
  </si>
  <si>
    <t>https://docs.google.com/spreadsheets/d/1zLp0jMcNVN_h6veC3tDix5k5krpQmbuVUCL8ERMQdtE/edit#gid=1118518375</t>
  </si>
  <si>
    <t>https://docs.google.com/spreadsheets/d/1zLp0jMcNVN_h6veC3tDix5k5krpQmbuVUCL8ERMQdtE/edit#gid=1789815751</t>
  </si>
  <si>
    <t>https://docs.google.com/spreadsheets/d/1zLp0jMcNVN_h6veC3tDix5k5krpQmbuVUCL8ERMQdtE/edit#gid=912176319</t>
  </si>
  <si>
    <t>https://docs.google.com/spreadsheets/d/1zLp0jMcNVN_h6veC3tDix5k5krpQmbuVUCL8ERMQdtE/edit#gid=1374077915</t>
  </si>
  <si>
    <t>https://docs.google.com/spreadsheets/d/1zLp0jMcNVN_h6veC3tDix5k5krpQmbuVUCL8ERMQdtE/edit#gid=465893</t>
  </si>
  <si>
    <t>https://docs.google.com/spreadsheets/d/1zLp0jMcNVN_h6veC3tDix5k5krpQmbuVUCL8ERMQdtE/edit#gid=600965185</t>
  </si>
  <si>
    <t>https://docs.google.com/spreadsheets/d/1zLp0jMcNVN_h6veC3tDix5k5krpQmbuVUCL8ERMQdtE/edit#gid=1723072603</t>
  </si>
  <si>
    <t>https://docs.google.com/spreadsheets/d/1zLp0jMcNVN_h6veC3tDix5k5krpQmbuVUCL8ERMQdtE/edit#gid=425354300</t>
  </si>
  <si>
    <t>https://docs.google.com/spreadsheets/d/1zLp0jMcNVN_h6veC3tDix5k5krpQmbuVUCL8ERMQdtE/edit#gid=1289795575</t>
  </si>
  <si>
    <t>https://docs.google.com/spreadsheets/d/1zLp0jMcNVN_h6veC3tDix5k5krpQmbuVUCL8ERMQdtE/edit#gid=1281026777</t>
  </si>
  <si>
    <t>https://docs.google.com/spreadsheets/d/1zLp0jMcNVN_h6veC3tDix5k5krpQmbuVUCL8ERMQdtE/edit#gid=1341845442</t>
  </si>
  <si>
    <t>https://docs.google.com/spreadsheets/d/1zLp0jMcNVN_h6veC3tDix5k5krpQmbuVUCL8ERMQdtE/edit#gid=1766154764</t>
  </si>
  <si>
    <t>https://docs.google.com/spreadsheets/d/1zLp0jMcNVN_h6veC3tDix5k5krpQmbuVUCL8ERMQdtE/edit#gid=448119487</t>
  </si>
  <si>
    <t>https://docs.google.com/spreadsheets/d/1zLp0jMcNVN_h6veC3tDix5k5krpQmbuVUCL8ERMQdtE/edit#gid=1074856480</t>
  </si>
  <si>
    <t>MF-0003</t>
  </si>
  <si>
    <t xml:space="preserve">Desc: Multiple trade of equity and future allocated are done from TT through this preference 
Master Fund Preference: 
MF Default Rule: Current Pref
MF Distribution:  NewMF : 60 NewMF1 : 40 
New MF:
 Default Rule:  Prorata in account Allocation1,Allocation3       
 General Rule1: Include Equity Include Buy, Sell,  Allocation1 : 50 Allocation3 : 50,  Fair Pricing,  current Preference                                               
 General Rule2: Exclude Buy, Sell Include Equity, Prorata NAV having NAV (Allocation1     3000  and    Allocation3     1000)  
NewMF1:
 Default Rule:  Trade quantity, Account Inception, Allocation2:  55.5  ,OFFSHORE: 44.5                    
 General Rule1:   Include Future, Fair Pricing, Account Inception , Allocation2: 70,  OFFSHORE: 30   
</t>
  </si>
  <si>
    <t>https://docs.google.com/spreadsheets/d/1N1s4StWnQlRgaUl-1bCfzkpycYuJMa7OtRD0T7K9kEc/edit#gid=566944329</t>
  </si>
  <si>
    <t>https://docs.google.com/spreadsheets/d/1N1s4StWnQlRgaUl-1bCfzkpycYuJMa7OtRD0T7K9kEc/edit#gid=1105070590</t>
  </si>
  <si>
    <t>https://docs.google.com/spreadsheets/d/1N1s4StWnQlRgaUl-1bCfzkpycYuJMa7OtRD0T7K9kEc/edit#gid=1858514474</t>
  </si>
  <si>
    <t>https://docs.google.com/spreadsheets/d/1N1s4StWnQlRgaUl-1bCfzkpycYuJMa7OtRD0T7K9kEc/edit#gid=589451340</t>
  </si>
  <si>
    <t>https://docs.google.com/spreadsheets/d/1N1s4StWnQlRgaUl-1bCfzkpycYuJMa7OtRD0T7K9kEc/edit#gid=655349189</t>
  </si>
  <si>
    <t>https://docs.google.com/spreadsheets/d/1N1s4StWnQlRgaUl-1bCfzkpycYuJMa7OtRD0T7K9kEc/edit#gid=1880773244</t>
  </si>
  <si>
    <t>https://docs.google.com/spreadsheets/d/1N1s4StWnQlRgaUl-1bCfzkpycYuJMa7OtRD0T7K9kEc/edit#gid=1841386799</t>
  </si>
  <si>
    <t>https://docs.google.com/spreadsheets/d/1N1s4StWnQlRgaUl-1bCfzkpycYuJMa7OtRD0T7K9kEc/edit#gid=639518829</t>
  </si>
  <si>
    <t>https://docs.google.com/spreadsheets/d/1N1s4StWnQlRgaUl-1bCfzkpycYuJMa7OtRD0T7K9kEc/edit#gid=1104808580</t>
  </si>
  <si>
    <t>https://docs.google.com/spreadsheets/d/1N1s4StWnQlRgaUl-1bCfzkpycYuJMa7OtRD0T7K9kEc/edit#gid=344915536</t>
  </si>
  <si>
    <t>https://docs.google.com/spreadsheets/d/1N1s4StWnQlRgaUl-1bCfzkpycYuJMa7OtRD0T7K9kEc/edit#gid=160323431</t>
  </si>
  <si>
    <t>SetMFPrefAccountValues1</t>
  </si>
  <si>
    <t>https://docs.google.com/spreadsheets/d/1N1s4StWnQlRgaUl-1bCfzkpycYuJMa7OtRD0T7K9kEc/edit#gid=331881712</t>
  </si>
  <si>
    <t>SetMFPreFundDefaultRule1</t>
  </si>
  <si>
    <t>https://docs.google.com/spreadsheets/d/1N1s4StWnQlRgaUl-1bCfzkpycYuJMa7OtRD0T7K9kEc/edit#gid=203048528</t>
  </si>
  <si>
    <t>SetMFPrefGeneralRule2</t>
  </si>
  <si>
    <t>https://docs.google.com/spreadsheets/d/1N1s4StWnQlRgaUl-1bCfzkpycYuJMa7OtRD0T7K9kEc/edit#gid=1343467336</t>
  </si>
  <si>
    <t>https://docs.google.com/spreadsheets/d/1N1s4StWnQlRgaUl-1bCfzkpycYuJMa7OtRD0T7K9kEc/edit#gid=1465727019</t>
  </si>
  <si>
    <t>https://docs.google.com/spreadsheets/d/1N1s4StWnQlRgaUl-1bCfzkpycYuJMa7OtRD0T7K9kEc/edit#gid=606779474</t>
  </si>
  <si>
    <t>https://docs.google.com/spreadsheets/d/1N1s4StWnQlRgaUl-1bCfzkpycYuJMa7OtRD0T7K9kEc/edit#gid=181358190</t>
  </si>
  <si>
    <t>https://docs.google.com/spreadsheets/d/1N1s4StWnQlRgaUl-1bCfzkpycYuJMa7OtRD0T7K9kEc/edit#gid=1528455853</t>
  </si>
  <si>
    <t>https://docs.google.com/spreadsheets/d/1N1s4StWnQlRgaUl-1bCfzkpycYuJMa7OtRD0T7K9kEc/edit#gid=1377724533</t>
  </si>
  <si>
    <t>https://docs.google.com/spreadsheets/d/1N1s4StWnQlRgaUl-1bCfzkpycYuJMa7OtRD0T7K9kEc/edit#gid=2146873130</t>
  </si>
  <si>
    <t>https://docs.google.com/spreadsheets/d/1N1s4StWnQlRgaUl-1bCfzkpycYuJMa7OtRD0T7K9kEc/edit#gid=1542388677</t>
  </si>
  <si>
    <t>https://docs.google.com/spreadsheets/d/1N1s4StWnQlRgaUl-1bCfzkpycYuJMa7OtRD0T7K9kEc/edit#gid=1271614454</t>
  </si>
  <si>
    <t>MF-0004</t>
  </si>
  <si>
    <t>Master Fund Preference: MF having fund                           NewMF : 60 NewMF1 : 40                             Default Rule Current Preference Accounts Allocation1: 20 Allocation3:80                    Default Rule for Account in the fund  Prorata  Allocation1,Allocation3          General Rule1: Include Equity Include Buy, Sell                      Update values Allocation1 : 50 Allocation3 : 50  Fair Pricing  current Preference                                                General Rule2: Exclude Buy, Sell Include Equity                           
Prorata NAV having NAV (Allocation1     3000  and    Allocation3     1000)                               For Account values in NewMF1   Allocation2          55.5         OFFSHORE     44.5         trade quantity Account Inception            General Rule1:      Include Future        default Rule: Fair Pricing Account Inception             Update Account values  Allocation2   70   OFFSHORE  30                               Multiple trade of equity and future unallocated are done from TT allocate through this preference in Allocation\</t>
  </si>
  <si>
    <t>https://docs.google.com/spreadsheets/d/13zr1F0X8i7lkdOfWkY67XeF1XFMrNk1vDuPuKhRPz2Q/edit#gid=120082103</t>
  </si>
  <si>
    <t>https://docs.google.com/spreadsheets/d/13zr1F0X8i7lkdOfWkY67XeF1XFMrNk1vDuPuKhRPz2Q/edit#gid=1362171740</t>
  </si>
  <si>
    <t>https://docs.google.com/spreadsheets/d/13zr1F0X8i7lkdOfWkY67XeF1XFMrNk1vDuPuKhRPz2Q/edit#gid=722404055</t>
  </si>
  <si>
    <t>https://docs.google.com/spreadsheets/d/13zr1F0X8i7lkdOfWkY67XeF1XFMrNk1vDuPuKhRPz2Q/edit#gid=1265554209</t>
  </si>
  <si>
    <t>https://docs.google.com/spreadsheets/d/13zr1F0X8i7lkdOfWkY67XeF1XFMrNk1vDuPuKhRPz2Q/edit#gid=963948978</t>
  </si>
  <si>
    <t>https://docs.google.com/spreadsheets/d/13zr1F0X8i7lkdOfWkY67XeF1XFMrNk1vDuPuKhRPz2Q/edit#gid=1546999583</t>
  </si>
  <si>
    <t>https://docs.google.com/spreadsheets/d/13zr1F0X8i7lkdOfWkY67XeF1XFMrNk1vDuPuKhRPz2Q/edit#gid=1485938939</t>
  </si>
  <si>
    <t>https://docs.google.com/spreadsheets/d/13zr1F0X8i7lkdOfWkY67XeF1XFMrNk1vDuPuKhRPz2Q/edit#gid=612368449</t>
  </si>
  <si>
    <t>https://docs.google.com/spreadsheets/d/13zr1F0X8i7lkdOfWkY67XeF1XFMrNk1vDuPuKhRPz2Q/edit#gid=978920802</t>
  </si>
  <si>
    <t>https://docs.google.com/spreadsheets/d/13zr1F0X8i7lkdOfWkY67XeF1XFMrNk1vDuPuKhRPz2Q/edit#gid=354864675</t>
  </si>
  <si>
    <t>https://docs.google.com/spreadsheets/d/13zr1F0X8i7lkdOfWkY67XeF1XFMrNk1vDuPuKhRPz2Q/edit#gid=941633199</t>
  </si>
  <si>
    <t>https://docs.google.com/spreadsheets/d/13zr1F0X8i7lkdOfWkY67XeF1XFMrNk1vDuPuKhRPz2Q/edit#gid=213889462</t>
  </si>
  <si>
    <t>https://docs.google.com/spreadsheets/d/13zr1F0X8i7lkdOfWkY67XeF1XFMrNk1vDuPuKhRPz2Q/edit#gid=548846309</t>
  </si>
  <si>
    <t>https://docs.google.com/spreadsheets/d/13zr1F0X8i7lkdOfWkY67XeF1XFMrNk1vDuPuKhRPz2Q/edit#gid=444742804</t>
  </si>
  <si>
    <t>SetMFPrefFundDefaultRule1</t>
  </si>
  <si>
    <t>https://docs.google.com/spreadsheets/d/13zr1F0X8i7lkdOfWkY67XeF1XFMrNk1vDuPuKhRPz2Q/edit#gid=986532315</t>
  </si>
  <si>
    <t>https://docs.google.com/spreadsheets/d/13zr1F0X8i7lkdOfWkY67XeF1XFMrNk1vDuPuKhRPz2Q/edit#gid=2046849572</t>
  </si>
  <si>
    <t>https://docs.google.com/spreadsheets/d/13zr1F0X8i7lkdOfWkY67XeF1XFMrNk1vDuPuKhRPz2Q/edit#gid=245853968</t>
  </si>
  <si>
    <t>https://docs.google.com/spreadsheets/d/13zr1F0X8i7lkdOfWkY67XeF1XFMrNk1vDuPuKhRPz2Q/edit#gid=830211462</t>
  </si>
  <si>
    <t>https://docs.google.com/spreadsheets/d/13zr1F0X8i7lkdOfWkY67XeF1XFMrNk1vDuPuKhRPz2Q/edit#gid=1978073121</t>
  </si>
  <si>
    <t>https://docs.google.com/spreadsheets/d/13zr1F0X8i7lkdOfWkY67XeF1XFMrNk1vDuPuKhRPz2Q/edit#gid=1086173961</t>
  </si>
  <si>
    <t>https://docs.google.com/spreadsheets/d/13zr1F0X8i7lkdOfWkY67XeF1XFMrNk1vDuPuKhRPz2Q/edit#gid=1304009986</t>
  </si>
  <si>
    <t>https://docs.google.com/spreadsheets/d/13zr1F0X8i7lkdOfWkY67XeF1XFMrNk1vDuPuKhRPz2Q/edit#gid=190213684</t>
  </si>
  <si>
    <t>https://docs.google.com/spreadsheets/d/13zr1F0X8i7lkdOfWkY67XeF1XFMrNk1vDuPuKhRPz2Q/edit#gid=270461072</t>
  </si>
  <si>
    <t>RMF-0003</t>
  </si>
  <si>
    <t xml:space="preserve">
Allocation With MasterFund Preference using TT
Target% as of:-Prorata (NAV)
Account Strategy Distribution
Default Rule: Master Fund1
Allocation method : Trade Quantity
Remainder Allocation : NONE
Target  % as of : Current Preference      FUND1     50           FUND2        50  
General Rule1: Include NASDAQ       Include     Equity           Include         Buy
Remainder Allocation : NONE
Target  % as of : Prorata NAV                                                                                                                                                                                                                                                                                                                                                                
General Rule2: Include NASDAQ       Include     Equity           Include         Sell
Allocation method : Fair Pricing
Remainder Allocation : NONE
Target  % as of : Account Inception      FUND1     60           FUND2        40                                                                                                                                                                                                                                                                                                                                                                
General Rule3: Include Buy to Open
Allocation method : Fair Pricing
Remainder Allocation : NONE
Target  % as of : Levelling                                                                                                                                                                                                                                                                                                                                                                      
Account Strategy Distribution
Default Rule: Master Fund2
Allocation method : Fair Pricing
Remainder Allocation : NONE
Target  % as of : Current Preference      FUND3     50           FUND4        50  
General Rule1: Include           Sell  short  
Allocation method : Trade Quantity      
Remainder Allocation : NONE
Target  % as of : Account Inception        FUND3     75           FUND4        25                                                                                                                                                                                                                                                                                                                                     
General Rule2: Include           Buy To Open
Allocation method : Trade Qunatity
Remainder Allocation : NONE
Target  % as of : Levelling                                                                                                                                                                                                                                                                                                                                                                                                                                                  
                                                                                                                                                                                                                                                                                                                                                                 Pre requirement:                                                                                                                                                                                                                                                                                                                                            Positions                         FUND1         100             FUND2             200               FUND3              800                    FUND4                  400                                                                                                                                                                                                  Start of day NAV             FUND1         1000            FUND2             6000               FUND3           6000                   FUND4                  1000                                                  </t>
  </si>
  <si>
    <t>https://docs.google.com/spreadsheets/d/1ZRlYaAxYVaLjIQFyCFgIZXCFNMJB7o5VkcRsn0aiMZc/edit#gid=1937537478</t>
  </si>
  <si>
    <t>https://docs.google.com/spreadsheets/d/1ZRlYaAxYVaLjIQFyCFgIZXCFNMJB7o5VkcRsn0aiMZc/edit#gid=250047000</t>
  </si>
  <si>
    <t>https://docs.google.com/spreadsheets/d/1ZRlYaAxYVaLjIQFyCFgIZXCFNMJB7o5VkcRsn0aiMZc/edit#gid=87679042</t>
  </si>
  <si>
    <t>https://docs.google.com/spreadsheets/d/1ZRlYaAxYVaLjIQFyCFgIZXCFNMJB7o5VkcRsn0aiMZc/edit#gid=1878069500</t>
  </si>
  <si>
    <t>https://docs.google.com/spreadsheets/d/1ZRlYaAxYVaLjIQFyCFgIZXCFNMJB7o5VkcRsn0aiMZc/edit#gid=1424833201</t>
  </si>
  <si>
    <t>https://docs.google.com/spreadsheets/d/1ZRlYaAxYVaLjIQFyCFgIZXCFNMJB7o5VkcRsn0aiMZc/edit#gid=1181296071</t>
  </si>
  <si>
    <t>https://docs.google.com/spreadsheets/d/1ZRlYaAxYVaLjIQFyCFgIZXCFNMJB7o5VkcRsn0aiMZc/edit#gid=1322230680</t>
  </si>
  <si>
    <t>https://docs.google.com/spreadsheets/d/1ZRlYaAxYVaLjIQFyCFgIZXCFNMJB7o5VkcRsn0aiMZc/edit#gid=1166753938</t>
  </si>
  <si>
    <t>https://docs.google.com/spreadsheets/d/1ZRlYaAxYVaLjIQFyCFgIZXCFNMJB7o5VkcRsn0aiMZc/edit#gid=148847870</t>
  </si>
  <si>
    <t>https://docs.google.com/spreadsheets/d/1ZRlYaAxYVaLjIQFyCFgIZXCFNMJB7o5VkcRsn0aiMZc/edit#gid=591899965</t>
  </si>
  <si>
    <t>https://docs.google.com/spreadsheets/d/1ZRlYaAxYVaLjIQFyCFgIZXCFNMJB7o5VkcRsn0aiMZc/edit#gid=2050620058</t>
  </si>
  <si>
    <t>https://docs.google.com/spreadsheets/d/1ZRlYaAxYVaLjIQFyCFgIZXCFNMJB7o5VkcRsn0aiMZc/edit#gid=660086404</t>
  </si>
  <si>
    <t>https://docs.google.com/spreadsheets/d/1ZRlYaAxYVaLjIQFyCFgIZXCFNMJB7o5VkcRsn0aiMZc/edit#gid=2080032500</t>
  </si>
  <si>
    <t>https://docs.google.com/spreadsheets/d/1ZRlYaAxYVaLjIQFyCFgIZXCFNMJB7o5VkcRsn0aiMZc/edit#gid=2072764803</t>
  </si>
  <si>
    <t>https://docs.google.com/spreadsheets/d/1ZRlYaAxYVaLjIQFyCFgIZXCFNMJB7o5VkcRsn0aiMZc/edit#gid=827906752</t>
  </si>
  <si>
    <t>https://docs.google.com/spreadsheets/d/1ZRlYaAxYVaLjIQFyCFgIZXCFNMJB7o5VkcRsn0aiMZc/edit#gid=784949277</t>
  </si>
  <si>
    <t>SetMFPrefGeneralRule3</t>
  </si>
  <si>
    <t>https://docs.google.com/spreadsheets/d/1ZRlYaAxYVaLjIQFyCFgIZXCFNMJB7o5VkcRsn0aiMZc/edit#gid=567553872</t>
  </si>
  <si>
    <t>https://docs.google.com/spreadsheets/d/1ZRlYaAxYVaLjIQFyCFgIZXCFNMJB7o5VkcRsn0aiMZc/edit#gid=977549375</t>
  </si>
  <si>
    <t>SetMFPrefGeneralRule4</t>
  </si>
  <si>
    <t>https://docs.google.com/spreadsheets/d/1ZRlYaAxYVaLjIQFyCFgIZXCFNMJB7o5VkcRsn0aiMZc/edit#gid=965500443</t>
  </si>
  <si>
    <t>UpdateGRDefaultRule4</t>
  </si>
  <si>
    <t>https://docs.google.com/spreadsheets/d/1ZRlYaAxYVaLjIQFyCFgIZXCFNMJB7o5VkcRsn0aiMZc/edit#gid=546656866</t>
  </si>
  <si>
    <t>https://docs.google.com/spreadsheets/d/1ZRlYaAxYVaLjIQFyCFgIZXCFNMJB7o5VkcRsn0aiMZc/edit#gid=1334483789</t>
  </si>
  <si>
    <t>https://docs.google.com/spreadsheets/d/1ZRlYaAxYVaLjIQFyCFgIZXCFNMJB7o5VkcRsn0aiMZc/edit#gid=3793790</t>
  </si>
  <si>
    <t>https://docs.google.com/spreadsheets/d/1ZRlYaAxYVaLjIQFyCFgIZXCFNMJB7o5VkcRsn0aiMZc/edit#gid=686567907</t>
  </si>
  <si>
    <t>https://docs.google.com/spreadsheets/d/1ZRlYaAxYVaLjIQFyCFgIZXCFNMJB7o5VkcRsn0aiMZc/edit#gid=1078538384</t>
  </si>
  <si>
    <t>ResetPref</t>
  </si>
  <si>
    <t>Reset the checkbox of Enable master fund</t>
  </si>
  <si>
    <t>https://docs.google.com/spreadsheets/d/1qeRbvOVJrDtUr7zX9KfPCAF6YZRNrAIvisgUD7fzqmw/edit#gid=2020838046</t>
  </si>
  <si>
    <t>RegressionProrataNAV-0002</t>
  </si>
  <si>
    <t>All accounts NAV zero allocation using ProrataNAV from TT unallocated trade done</t>
  </si>
  <si>
    <t>https://docs.google.com/spreadsheets/d/1Di5usarODg4Opncg45HBgf-N3Vp6lngSKza2EssURvw/edit#gid=1676990255</t>
  </si>
  <si>
    <t>https://docs.google.com/spreadsheets/d/1Di5usarODg4Opncg45HBgf-N3Vp6lngSKza2EssURvw/edit#gid=142132434</t>
  </si>
  <si>
    <t>https://docs.google.com/spreadsheets/d/1Di5usarODg4Opncg45HBgf-N3Vp6lngSKza2EssURvw/edit#gid=9070865</t>
  </si>
  <si>
    <t>https://docs.google.com/spreadsheets/d/1Di5usarODg4Opncg45HBgf-N3Vp6lngSKza2EssURvw/edit#gid=1403301041</t>
  </si>
  <si>
    <t>RegressionProrataNAV-0004</t>
  </si>
  <si>
    <t>Allocation of Equity trade of TODAY-2 Buy by prorata NAV from TT</t>
  </si>
  <si>
    <t>https://docs.google.com/spreadsheets/d/1r7bqhEFhUgtb_5qgxk8DVvnpl2X0avjByEx8x3nWjH4/edit#gid=1521058979</t>
  </si>
  <si>
    <t>https://docs.google.com/spreadsheets/d/1r7bqhEFhUgtb_5qgxk8DVvnpl2X0avjByEx8x3nWjH4/edit#gid=1318681053</t>
  </si>
  <si>
    <t>https://docs.google.com/spreadsheets/d/1r7bqhEFhUgtb_5qgxk8DVvnpl2X0avjByEx8x3nWjH4/edit#gid=286259872</t>
  </si>
  <si>
    <t>https://docs.google.com/spreadsheets/d/1r7bqhEFhUgtb_5qgxk8DVvnpl2X0avjByEx8x3nWjH4/edit#gid=388000458</t>
  </si>
  <si>
    <t>https://docs.google.com/spreadsheets/d/1r7bqhEFhUgtb_5qgxk8DVvnpl2X0avjByEx8x3nWjH4/edit#gid=552698292</t>
  </si>
  <si>
    <t>https://docs.google.com/spreadsheets/d/1r7bqhEFhUgtb_5qgxk8DVvnpl2X0avjByEx8x3nWjH4/edit#gid=2145773627</t>
  </si>
  <si>
    <t>https://docs.google.com/spreadsheets/d/1r7bqhEFhUgtb_5qgxk8DVvnpl2X0avjByEx8x3nWjH4/edit#gid=1581382668</t>
  </si>
  <si>
    <t>https://docs.google.com/spreadsheets/d/1r7bqhEFhUgtb_5qgxk8DVvnpl2X0avjByEx8x3nWjH4/edit#gid=262530429</t>
  </si>
  <si>
    <t>https://docs.google.com/spreadsheets/d/18E_Ung8bhLrMQCuAWUYmlKp5yegGxRDbuft90snN2d0/edit#gid=1032723098</t>
  </si>
  <si>
    <t>PA-0001</t>
  </si>
  <si>
    <t xml:space="preserve">Multiple Trades Done From CT 
</t>
  </si>
  <si>
    <t>https://docs.google.com/spreadsheets/d/16YL2JHIyaBmG5OPr9cEROWWZdBgyylLh5TGbplyYyNI/edit#gid=677031523</t>
  </si>
  <si>
    <t>https://docs.google.com/spreadsheets/d/16YL2JHIyaBmG5OPr9cEROWWZdBgyylLh5TGbplyYyNI/edit#gid=1892168799</t>
  </si>
  <si>
    <t>https://docs.google.com/spreadsheets/d/16YL2JHIyaBmG5OPr9cEROWWZdBgyylLh5TGbplyYyNI/edit#gid=1109228169</t>
  </si>
  <si>
    <t>https://docs.google.com/spreadsheets/d/16YL2JHIyaBmG5OPr9cEROWWZdBgyylLh5TGbplyYyNI/edit#gid=383733109</t>
  </si>
  <si>
    <t>https://docs.google.com/spreadsheets/d/16YL2JHIyaBmG5OPr9cEROWWZdBgyylLh5TGbplyYyNI/edit#gid=995884546</t>
  </si>
  <si>
    <t>https://docs.google.com/spreadsheets/d/16YL2JHIyaBmG5OPr9cEROWWZdBgyylLh5TGbplyYyNI/edit#gid=1202701838</t>
  </si>
  <si>
    <t>https://docs.google.com/spreadsheets/d/16YL2JHIyaBmG5OPr9cEROWWZdBgyylLh5TGbplyYyNI/edit#gid=1085480291</t>
  </si>
  <si>
    <t>https://docs.google.com/spreadsheets/d/16YL2JHIyaBmG5OPr9cEROWWZdBgyylLh5TGbplyYyNI/edit#gid=1168349389</t>
  </si>
  <si>
    <t>https://docs.google.com/spreadsheets/d/16YL2JHIyaBmG5OPr9cEROWWZdBgyylLh5TGbplyYyNI/edit#gid=687934931</t>
  </si>
  <si>
    <t>PA-0002</t>
  </si>
  <si>
    <t>Multiple Trades Done From CT Via Preference</t>
  </si>
  <si>
    <t>https://docs.google.com/spreadsheets/d/1MRjqOAVLL6RkxRvVrOnHmpmz6Chl3EgErtZiF8Jwdu4/edit#gid=1633091888</t>
  </si>
  <si>
    <t>https://docs.google.com/spreadsheets/d/1MRjqOAVLL6RkxRvVrOnHmpmz6Chl3EgErtZiF8Jwdu4/edit#gid=659016613</t>
  </si>
  <si>
    <t>https://docs.google.com/spreadsheets/d/1MRjqOAVLL6RkxRvVrOnHmpmz6Chl3EgErtZiF8Jwdu4/edit#gid=960859286</t>
  </si>
  <si>
    <t>https://docs.google.com/spreadsheets/d/1MRjqOAVLL6RkxRvVrOnHmpmz6Chl3EgErtZiF8Jwdu4/edit#gid=238807824</t>
  </si>
  <si>
    <t>https://docs.google.com/spreadsheets/d/1MRjqOAVLL6RkxRvVrOnHmpmz6Chl3EgErtZiF8Jwdu4/edit#gid=72234129</t>
  </si>
  <si>
    <t>https://docs.google.com/spreadsheets/d/1MRjqOAVLL6RkxRvVrOnHmpmz6Chl3EgErtZiF8Jwdu4/edit#gid=1262690982</t>
  </si>
  <si>
    <t>https://docs.google.com/spreadsheets/d/1MRjqOAVLL6RkxRvVrOnHmpmz6Chl3EgErtZiF8Jwdu4/edit#gid=1934323807</t>
  </si>
  <si>
    <t>https://docs.google.com/spreadsheets/d/1MRjqOAVLL6RkxRvVrOnHmpmz6Chl3EgErtZiF8Jwdu4/edit#gid=704270215</t>
  </si>
  <si>
    <t>https://docs.google.com/spreadsheets/d/1MRjqOAVLL6RkxRvVrOnHmpmz6Chl3EgErtZiF8Jwdu4/edit#gid=1487681793</t>
  </si>
  <si>
    <t>PA-0007</t>
  </si>
  <si>
    <t>Allocation With Preference When Order Side Selector as Include</t>
  </si>
  <si>
    <t>https://docs.google.com/spreadsheets/d/1h0TyfLnTk3w8yrW6u2OZ5QYtZGpO-Mdib9IDaS38Kss/edit#gid=367717642</t>
  </si>
  <si>
    <t>https://docs.google.com/spreadsheets/d/1h0TyfLnTk3w8yrW6u2OZ5QYtZGpO-Mdib9IDaS38Kss/edit#gid=1612615939</t>
  </si>
  <si>
    <t>https://docs.google.com/spreadsheets/d/1h0TyfLnTk3w8yrW6u2OZ5QYtZGpO-Mdib9IDaS38Kss/edit#gid=2087931669</t>
  </si>
  <si>
    <t>https://docs.google.com/spreadsheets/d/1h0TyfLnTk3w8yrW6u2OZ5QYtZGpO-Mdib9IDaS38Kss/edit#gid=550547993</t>
  </si>
  <si>
    <t>https://docs.google.com/spreadsheets/d/1h0TyfLnTk3w8yrW6u2OZ5QYtZGpO-Mdib9IDaS38Kss/edit#gid=476099991</t>
  </si>
  <si>
    <t>https://docs.google.com/spreadsheets/d/1h0TyfLnTk3w8yrW6u2OZ5QYtZGpO-Mdib9IDaS38Kss/edit#gid=1762765270</t>
  </si>
  <si>
    <t>https://docs.google.com/spreadsheets/d/1h0TyfLnTk3w8yrW6u2OZ5QYtZGpO-Mdib9IDaS38Kss/edit#gid=1274036195</t>
  </si>
  <si>
    <t>https://docs.google.com/spreadsheets/d/1h0TyfLnTk3w8yrW6u2OZ5QYtZGpO-Mdib9IDaS38Kss/edit#gid=1137103662</t>
  </si>
  <si>
    <t>https://docs.google.com/spreadsheets/d/1h0TyfLnTk3w8yrW6u2OZ5QYtZGpO-Mdib9IDaS38Kss/edit#gid=905142057</t>
  </si>
  <si>
    <t>UpdateGRAccountValues1</t>
  </si>
  <si>
    <t>https://docs.google.com/spreadsheets/d/1h0TyfLnTk3w8yrW6u2OZ5QYtZGpO-Mdib9IDaS38Kss/edit#gid=375560679</t>
  </si>
  <si>
    <t>https://docs.google.com/spreadsheets/d/1h0TyfLnTk3w8yrW6u2OZ5QYtZGpO-Mdib9IDaS38Kss/edit#gid=1637246456</t>
  </si>
  <si>
    <t>UpdateGRAccountValues2</t>
  </si>
  <si>
    <t>https://docs.google.com/spreadsheets/d/1h0TyfLnTk3w8yrW6u2OZ5QYtZGpO-Mdib9IDaS38Kss/edit#gid=978408483</t>
  </si>
  <si>
    <t>https://docs.google.com/spreadsheets/d/1h0TyfLnTk3w8yrW6u2OZ5QYtZGpO-Mdib9IDaS38Kss/edit#gid=71249393</t>
  </si>
  <si>
    <t>UpdateGRAccountValues3</t>
  </si>
  <si>
    <t>https://docs.google.com/spreadsheets/d/1h0TyfLnTk3w8yrW6u2OZ5QYtZGpO-Mdib9IDaS38Kss/edit#gid=1964834422</t>
  </si>
  <si>
    <t>https://docs.google.com/spreadsheets/d/1h0TyfLnTk3w8yrW6u2OZ5QYtZGpO-Mdib9IDaS38Kss/edit#gid=1235810985</t>
  </si>
  <si>
    <t>https://docs.google.com/spreadsheets/d/1h0TyfLnTk3w8yrW6u2OZ5QYtZGpO-Mdib9IDaS38Kss/edit#gid=729598570</t>
  </si>
  <si>
    <t>https://docs.google.com/spreadsheets/d/1h0TyfLnTk3w8yrW6u2OZ5QYtZGpO-Mdib9IDaS38Kss/edit#gid=522492230</t>
  </si>
  <si>
    <t>https://docs.google.com/spreadsheets/d/1h0TyfLnTk3w8yrW6u2OZ5QYtZGpO-Mdib9IDaS38Kss/edit#gid=685296886</t>
  </si>
  <si>
    <t>https://docs.google.com/spreadsheets/d/1h0TyfLnTk3w8yrW6u2OZ5QYtZGpO-Mdib9IDaS38Kss/edit#gid=1719413178</t>
  </si>
  <si>
    <t>https://docs.google.com/spreadsheets/d/1h0TyfLnTk3w8yrW6u2OZ5QYtZGpO-Mdib9IDaS38Kss/edit#gid=937934366</t>
  </si>
  <si>
    <t>https://docs.google.com/spreadsheets/d/1h0TyfLnTk3w8yrW6u2OZ5QYtZGpO-Mdib9IDaS38Kss/edit#gid=586998465</t>
  </si>
  <si>
    <t>https://docs.google.com/spreadsheets/d/1h0TyfLnTk3w8yrW6u2OZ5QYtZGpO-Mdib9IDaS38Kss/edit#gid=526956775</t>
  </si>
  <si>
    <t>https://docs.google.com/spreadsheets/d/1h0TyfLnTk3w8yrW6u2OZ5QYtZGpO-Mdib9IDaS38Kss/edit#gid=1577099073</t>
  </si>
  <si>
    <t>https://docs.google.com/spreadsheets/d/1h0TyfLnTk3w8yrW6u2OZ5QYtZGpO-Mdib9IDaS38Kss/edit#gid=1415967468</t>
  </si>
  <si>
    <t>https://docs.google.com/spreadsheets/d/1h0TyfLnTk3w8yrW6u2OZ5QYtZGpO-Mdib9IDaS38Kss/edit#gid=709380590</t>
  </si>
  <si>
    <t>https://docs.google.com/spreadsheets/d/1h0TyfLnTk3w8yrW6u2OZ5QYtZGpO-Mdib9IDaS38Kss/edit#gid=1436432701</t>
  </si>
  <si>
    <t>https://docs.google.com/spreadsheets/d/1h0TyfLnTk3w8yrW6u2OZ5QYtZGpO-Mdib9IDaS38Kss/edit#gid=355962075</t>
  </si>
  <si>
    <t>https://docs.google.com/spreadsheets/d/1h0TyfLnTk3w8yrW6u2OZ5QYtZGpO-Mdib9IDaS38Kss/edit#gid=1212451983</t>
  </si>
  <si>
    <t>PA-0008</t>
  </si>
  <si>
    <t>Allocation With Preference When Order Side Selector as Exclude</t>
  </si>
  <si>
    <t>https://docs.google.com/spreadsheets/d/1BWXWKMl_imA-Go-mK8QYxkDuW05GsjeOe91QxjiAYMM/edit#gid=1548301589</t>
  </si>
  <si>
    <t>https://docs.google.com/spreadsheets/d/1BWXWKMl_imA-Go-mK8QYxkDuW05GsjeOe91QxjiAYMM/edit#gid=612853227</t>
  </si>
  <si>
    <t>https://docs.google.com/spreadsheets/d/1BWXWKMl_imA-Go-mK8QYxkDuW05GsjeOe91QxjiAYMM/edit#gid=2085179004</t>
  </si>
  <si>
    <t>https://docs.google.com/spreadsheets/d/1BWXWKMl_imA-Go-mK8QYxkDuW05GsjeOe91QxjiAYMM/edit#gid=853812573</t>
  </si>
  <si>
    <t>https://docs.google.com/spreadsheets/d/1BWXWKMl_imA-Go-mK8QYxkDuW05GsjeOe91QxjiAYMM/edit#gid=403032626</t>
  </si>
  <si>
    <t>https://docs.google.com/spreadsheets/d/1BWXWKMl_imA-Go-mK8QYxkDuW05GsjeOe91QxjiAYMM/edit#gid=294981913</t>
  </si>
  <si>
    <t>https://docs.google.com/spreadsheets/d/1BWXWKMl_imA-Go-mK8QYxkDuW05GsjeOe91QxjiAYMM/edit#gid=622624878</t>
  </si>
  <si>
    <t>https://docs.google.com/spreadsheets/d/1BWXWKMl_imA-Go-mK8QYxkDuW05GsjeOe91QxjiAYMM/edit#gid=468501397</t>
  </si>
  <si>
    <t>https://docs.google.com/spreadsheets/d/1BWXWKMl_imA-Go-mK8QYxkDuW05GsjeOe91QxjiAYMM/edit#gid=1275951778</t>
  </si>
  <si>
    <t>https://docs.google.com/spreadsheets/d/1BWXWKMl_imA-Go-mK8QYxkDuW05GsjeOe91QxjiAYMM/edit#gid=1559163657</t>
  </si>
  <si>
    <t>https://docs.google.com/spreadsheets/d/1BWXWKMl_imA-Go-mK8QYxkDuW05GsjeOe91QxjiAYMM/edit#gid=1741185767</t>
  </si>
  <si>
    <t>https://docs.google.com/spreadsheets/d/1BWXWKMl_imA-Go-mK8QYxkDuW05GsjeOe91QxjiAYMM/edit#gid=1977396895</t>
  </si>
  <si>
    <t>https://docs.google.com/spreadsheets/d/1BWXWKMl_imA-Go-mK8QYxkDuW05GsjeOe91QxjiAYMM/edit#gid=242978687</t>
  </si>
  <si>
    <t>https://docs.google.com/spreadsheets/d/1BWXWKMl_imA-Go-mK8QYxkDuW05GsjeOe91QxjiAYMM/edit#gid=614020673</t>
  </si>
  <si>
    <t>https://docs.google.com/spreadsheets/d/1BWXWKMl_imA-Go-mK8QYxkDuW05GsjeOe91QxjiAYMM/edit#gid=2071098674</t>
  </si>
  <si>
    <t>https://docs.google.com/spreadsheets/d/1BWXWKMl_imA-Go-mK8QYxkDuW05GsjeOe91QxjiAYMM/edit#gid=279754350</t>
  </si>
  <si>
    <t>https://docs.google.com/spreadsheets/d/1BWXWKMl_imA-Go-mK8QYxkDuW05GsjeOe91QxjiAYMM/edit#gid=1433045504</t>
  </si>
  <si>
    <t>https://docs.google.com/spreadsheets/d/1BWXWKMl_imA-Go-mK8QYxkDuW05GsjeOe91QxjiAYMM/edit#gid=1030162289</t>
  </si>
  <si>
    <t>https://docs.google.com/spreadsheets/d/1BWXWKMl_imA-Go-mK8QYxkDuW05GsjeOe91QxjiAYMM/edit#gid=372312404</t>
  </si>
  <si>
    <t>https://docs.google.com/spreadsheets/d/1BWXWKMl_imA-Go-mK8QYxkDuW05GsjeOe91QxjiAYMM/edit#gid=2110881127</t>
  </si>
  <si>
    <t>https://docs.google.com/spreadsheets/d/1BWXWKMl_imA-Go-mK8QYxkDuW05GsjeOe91QxjiAYMM/edit#gid=2105491196</t>
  </si>
  <si>
    <t>https://docs.google.com/spreadsheets/d/1BWXWKMl_imA-Go-mK8QYxkDuW05GsjeOe91QxjiAYMM/edit#gid=1851579530</t>
  </si>
  <si>
    <t>PA-0009</t>
  </si>
  <si>
    <t xml:space="preserve">Allocate trade with less postion than Fund Postion
Allocate trade with More postion tha Fund Position
</t>
  </si>
  <si>
    <t>https://docs.google.com/spreadsheets/d/1mXh1OJ1M9t3zVIqxPcDa7xx4sk5nKxqS9I8bMOXMu_o/edit#gid=2007244545</t>
  </si>
  <si>
    <t>https://docs.google.com/spreadsheets/d/1mXh1OJ1M9t3zVIqxPcDa7xx4sk5nKxqS9I8bMOXMu_o/edit#gid=1445382958</t>
  </si>
  <si>
    <t>https://docs.google.com/spreadsheets/d/1mXh1OJ1M9t3zVIqxPcDa7xx4sk5nKxqS9I8bMOXMu_o/edit#gid=2055503114</t>
  </si>
  <si>
    <t>https://docs.google.com/spreadsheets/d/1mXh1OJ1M9t3zVIqxPcDa7xx4sk5nKxqS9I8bMOXMu_o/edit#gid=1916285723</t>
  </si>
  <si>
    <t>https://docs.google.com/spreadsheets/d/1mXh1OJ1M9t3zVIqxPcDa7xx4sk5nKxqS9I8bMOXMu_o/edit#gid=890229943</t>
  </si>
  <si>
    <t>https://docs.google.com/spreadsheets/d/1mXh1OJ1M9t3zVIqxPcDa7xx4sk5nKxqS9I8bMOXMu_o/edit#gid=432601253</t>
  </si>
  <si>
    <t>https://docs.google.com/spreadsheets/d/1mXh1OJ1M9t3zVIqxPcDa7xx4sk5nKxqS9I8bMOXMu_o/edit#gid=1673821000</t>
  </si>
  <si>
    <t>https://docs.google.com/spreadsheets/d/1mXh1OJ1M9t3zVIqxPcDa7xx4sk5nKxqS9I8bMOXMu_o/edit#gid=20985493</t>
  </si>
  <si>
    <t>https://docs.google.com/spreadsheets/d/1mXh1OJ1M9t3zVIqxPcDa7xx4sk5nKxqS9I8bMOXMu_o/edit#gid=1591706467</t>
  </si>
  <si>
    <t>https://docs.google.com/spreadsheets/d/1mXh1OJ1M9t3zVIqxPcDa7xx4sk5nKxqS9I8bMOXMu_o/edit#gid=1189241310</t>
  </si>
  <si>
    <t>https://docs.google.com/spreadsheets/d/1mXh1OJ1M9t3zVIqxPcDa7xx4sk5nKxqS9I8bMOXMu_o/edit#gid=230053500</t>
  </si>
  <si>
    <t>https://docs.google.com/spreadsheets/d/1mXh1OJ1M9t3zVIqxPcDa7xx4sk5nKxqS9I8bMOXMu_o/edit#gid=1314799634</t>
  </si>
  <si>
    <t>https://docs.google.com/spreadsheets/d/1mXh1OJ1M9t3zVIqxPcDa7xx4sk5nKxqS9I8bMOXMu_o/edit#gid=202699328</t>
  </si>
  <si>
    <t>https://docs.google.com/spreadsheets/d/1mXh1OJ1M9t3zVIqxPcDa7xx4sk5nKxqS9I8bMOXMu_o/edit#gid=1426873256</t>
  </si>
  <si>
    <t>https://docs.google.com/spreadsheets/d/1mXh1OJ1M9t3zVIqxPcDa7xx4sk5nKxqS9I8bMOXMu_o/edit#gid=1832573996</t>
  </si>
  <si>
    <t>https://docs.google.com/spreadsheets/d/1mXh1OJ1M9t3zVIqxPcDa7xx4sk5nKxqS9I8bMOXMu_o/edit#gid=209647740</t>
  </si>
  <si>
    <t>https://docs.google.com/spreadsheets/d/1mXh1OJ1M9t3zVIqxPcDa7xx4sk5nKxqS9I8bMOXMu_o/edit#gid=1661044519</t>
  </si>
  <si>
    <t>https://docs.google.com/spreadsheets/d/1mXh1OJ1M9t3zVIqxPcDa7xx4sk5nKxqS9I8bMOXMu_o/edit#gid=739168183</t>
  </si>
  <si>
    <t>PA-0010</t>
  </si>
  <si>
    <t>Allocation using MF pref having general rules
Current Preference</t>
  </si>
  <si>
    <t>https://docs.google.com/spreadsheets/d/12wtup1jz9ePtnTyjwfeFMFHYblEXPQM45ZoIKwgGJc4/edit#gid=1305194819</t>
  </si>
  <si>
    <t>https://docs.google.com/spreadsheets/d/12wtup1jz9ePtnTyjwfeFMFHYblEXPQM45ZoIKwgGJc4/edit#gid=1546561872</t>
  </si>
  <si>
    <t>https://docs.google.com/spreadsheets/d/12wtup1jz9ePtnTyjwfeFMFHYblEXPQM45ZoIKwgGJc4/edit#gid=1742218283</t>
  </si>
  <si>
    <t>https://docs.google.com/spreadsheets/d/12wtup1jz9ePtnTyjwfeFMFHYblEXPQM45ZoIKwgGJc4/edit#gid=1458768524</t>
  </si>
  <si>
    <t>https://docs.google.com/spreadsheets/d/12wtup1jz9ePtnTyjwfeFMFHYblEXPQM45ZoIKwgGJc4/edit#gid=660695438</t>
  </si>
  <si>
    <t>https://docs.google.com/spreadsheets/d/12wtup1jz9ePtnTyjwfeFMFHYblEXPQM45ZoIKwgGJc4/edit#gid=322799078</t>
  </si>
  <si>
    <t>https://docs.google.com/spreadsheets/d/12wtup1jz9ePtnTyjwfeFMFHYblEXPQM45ZoIKwgGJc4/edit#gid=702363680</t>
  </si>
  <si>
    <t>https://docs.google.com/spreadsheets/d/12wtup1jz9ePtnTyjwfeFMFHYblEXPQM45ZoIKwgGJc4/edit#gid=1163224697</t>
  </si>
  <si>
    <t>https://docs.google.com/spreadsheets/d/12wtup1jz9ePtnTyjwfeFMFHYblEXPQM45ZoIKwgGJc4/edit#gid=2050778962</t>
  </si>
  <si>
    <t>https://docs.google.com/spreadsheets/d/12wtup1jz9ePtnTyjwfeFMFHYblEXPQM45ZoIKwgGJc4/edit#gid=794333204</t>
  </si>
  <si>
    <t>https://docs.google.com/spreadsheets/d/12wtup1jz9ePtnTyjwfeFMFHYblEXPQM45ZoIKwgGJc4/edit#gid=958084548</t>
  </si>
  <si>
    <t>https://docs.google.com/spreadsheets/d/12wtup1jz9ePtnTyjwfeFMFHYblEXPQM45ZoIKwgGJc4/edit#gid=561426849</t>
  </si>
  <si>
    <t>https://docs.google.com/spreadsheets/d/12wtup1jz9ePtnTyjwfeFMFHYblEXPQM45ZoIKwgGJc4/edit#gid=318236679</t>
  </si>
  <si>
    <t>https://docs.google.com/spreadsheets/d/12wtup1jz9ePtnTyjwfeFMFHYblEXPQM45ZoIKwgGJc4/edit#gid=1980645691</t>
  </si>
  <si>
    <t>https://docs.google.com/spreadsheets/d/12wtup1jz9ePtnTyjwfeFMFHYblEXPQM45ZoIKwgGJc4/edit#gid=387645812</t>
  </si>
  <si>
    <t>https://docs.google.com/spreadsheets/d/12wtup1jz9ePtnTyjwfeFMFHYblEXPQM45ZoIKwgGJc4/edit#gid=213979415</t>
  </si>
  <si>
    <t>https://docs.google.com/spreadsheets/d/12wtup1jz9ePtnTyjwfeFMFHYblEXPQM45ZoIKwgGJc4/edit#gid=1573667454</t>
  </si>
  <si>
    <t>https://docs.google.com/spreadsheets/d/12wtup1jz9ePtnTyjwfeFMFHYblEXPQM45ZoIKwgGJc4/edit#gid=140400591</t>
  </si>
  <si>
    <t>https://docs.google.com/spreadsheets/d/12wtup1jz9ePtnTyjwfeFMFHYblEXPQM45ZoIKwgGJc4/edit#gid=1157515824</t>
  </si>
  <si>
    <t>https://docs.google.com/spreadsheets/d/12wtup1jz9ePtnTyjwfeFMFHYblEXPQM45ZoIKwgGJc4/edit#gid=2021468042</t>
  </si>
  <si>
    <t>https://docs.google.com/spreadsheets/d/12wtup1jz9ePtnTyjwfeFMFHYblEXPQM45ZoIKwgGJc4/edit#gid=1984196043</t>
  </si>
  <si>
    <t>https://docs.google.com/spreadsheets/d/12wtup1jz9ePtnTyjwfeFMFHYblEXPQM45ZoIKwgGJc4/edit#gid=1158808988</t>
  </si>
  <si>
    <t>https://docs.google.com/spreadsheets/d/12wtup1jz9ePtnTyjwfeFMFHYblEXPQM45ZoIKwgGJc4/edit#gid=55998853</t>
  </si>
  <si>
    <t>https://docs.google.com/spreadsheets/d/12wtup1jz9ePtnTyjwfeFMFHYblEXPQM45ZoIKwgGJc4/edit#gid=1895355460</t>
  </si>
  <si>
    <t>https://docs.google.com/spreadsheets/d/12wtup1jz9ePtnTyjwfeFMFHYblEXPQM45ZoIKwgGJc4/edit#gid=1689855614</t>
  </si>
  <si>
    <t>https://docs.google.com/spreadsheets/d/12wtup1jz9ePtnTyjwfeFMFHYblEXPQM45ZoIKwgGJc4/edit#gid=1317782446</t>
  </si>
  <si>
    <t>https://docs.google.com/spreadsheets/d/12wtup1jz9ePtnTyjwfeFMFHYblEXPQM45ZoIKwgGJc4/edit#gid=305452351</t>
  </si>
  <si>
    <t>PA-0011</t>
  </si>
  <si>
    <t>Allocation using MF pref having general rules
Prorata</t>
  </si>
  <si>
    <t>https://docs.google.com/spreadsheets/d/1OP6nXDQgXj9h44KJfXhBSHMyejCoDfOFNYbLqEmo88Q/edit#gid=1305194819</t>
  </si>
  <si>
    <t>https://docs.google.com/spreadsheets/d/1OP6nXDQgXj9h44KJfXhBSHMyejCoDfOFNYbLqEmo88Q/edit#gid=1546561872</t>
  </si>
  <si>
    <t>https://docs.google.com/spreadsheets/d/1OP6nXDQgXj9h44KJfXhBSHMyejCoDfOFNYbLqEmo88Q/edit#gid=1742218283</t>
  </si>
  <si>
    <t>https://docs.google.com/spreadsheets/d/1OP6nXDQgXj9h44KJfXhBSHMyejCoDfOFNYbLqEmo88Q/edit#gid=660695438</t>
  </si>
  <si>
    <t>https://docs.google.com/spreadsheets/d/1OP6nXDQgXj9h44KJfXhBSHMyejCoDfOFNYbLqEmo88Q/edit#gid=151523946</t>
  </si>
  <si>
    <t>https://docs.google.com/spreadsheets/d/1OP6nXDQgXj9h44KJfXhBSHMyejCoDfOFNYbLqEmo88Q/edit#gid=322799078</t>
  </si>
  <si>
    <t>https://docs.google.com/spreadsheets/d/1OP6nXDQgXj9h44KJfXhBSHMyejCoDfOFNYbLqEmo88Q/edit#gid=702363680</t>
  </si>
  <si>
    <t>https://docs.google.com/spreadsheets/d/1OP6nXDQgXj9h44KJfXhBSHMyejCoDfOFNYbLqEmo88Q/edit#gid=1163224697</t>
  </si>
  <si>
    <t>https://docs.google.com/spreadsheets/d/1OP6nXDQgXj9h44KJfXhBSHMyejCoDfOFNYbLqEmo88Q/edit#gid=2050778962</t>
  </si>
  <si>
    <t>https://docs.google.com/spreadsheets/d/1OP6nXDQgXj9h44KJfXhBSHMyejCoDfOFNYbLqEmo88Q/edit#gid=794333204</t>
  </si>
  <si>
    <t>https://docs.google.com/spreadsheets/d/1OP6nXDQgXj9h44KJfXhBSHMyejCoDfOFNYbLqEmo88Q/edit#gid=561426849</t>
  </si>
  <si>
    <t>https://docs.google.com/spreadsheets/d/1OP6nXDQgXj9h44KJfXhBSHMyejCoDfOFNYbLqEmo88Q/edit#gid=318236679</t>
  </si>
  <si>
    <t>https://docs.google.com/spreadsheets/d/1OP6nXDQgXj9h44KJfXhBSHMyejCoDfOFNYbLqEmo88Q/edit#gid=1980645691</t>
  </si>
  <si>
    <t>https://docs.google.com/spreadsheets/d/1OP6nXDQgXj9h44KJfXhBSHMyejCoDfOFNYbLqEmo88Q/edit#gid=387645812</t>
  </si>
  <si>
    <t>https://docs.google.com/spreadsheets/d/1OP6nXDQgXj9h44KJfXhBSHMyejCoDfOFNYbLqEmo88Q/edit#gid=213979415</t>
  </si>
  <si>
    <t>https://docs.google.com/spreadsheets/d/1OP6nXDQgXj9h44KJfXhBSHMyejCoDfOFNYbLqEmo88Q/edit#gid=1573667454</t>
  </si>
  <si>
    <t>https://docs.google.com/spreadsheets/d/1OP6nXDQgXj9h44KJfXhBSHMyejCoDfOFNYbLqEmo88Q/edit#gid=140400591</t>
  </si>
  <si>
    <t>https://docs.google.com/spreadsheets/d/1OP6nXDQgXj9h44KJfXhBSHMyejCoDfOFNYbLqEmo88Q/edit#gid=1157515824</t>
  </si>
  <si>
    <t>https://docs.google.com/spreadsheets/d/1OP6nXDQgXj9h44KJfXhBSHMyejCoDfOFNYbLqEmo88Q/edit#gid=2021468042</t>
  </si>
  <si>
    <t>https://docs.google.com/spreadsheets/d/1OP6nXDQgXj9h44KJfXhBSHMyejCoDfOFNYbLqEmo88Q/edit#gid=1984196043</t>
  </si>
  <si>
    <t>https://docs.google.com/spreadsheets/d/1OP6nXDQgXj9h44KJfXhBSHMyejCoDfOFNYbLqEmo88Q/edit#gid=1158808988</t>
  </si>
  <si>
    <t>https://docs.google.com/spreadsheets/d/1OP6nXDQgXj9h44KJfXhBSHMyejCoDfOFNYbLqEmo88Q/edit#gid=55998853</t>
  </si>
  <si>
    <t>https://docs.google.com/spreadsheets/d/1OP6nXDQgXj9h44KJfXhBSHMyejCoDfOFNYbLqEmo88Q/edit#gid=1689855614</t>
  </si>
  <si>
    <t>https://docs.google.com/spreadsheets/d/1OP6nXDQgXj9h44KJfXhBSHMyejCoDfOFNYbLqEmo88Q/edit#gid=1317782446</t>
  </si>
  <si>
    <t>https://docs.google.com/spreadsheets/d/1OP6nXDQgXj9h44KJfXhBSHMyejCoDfOFNYbLqEmo88Q/edit#gid=305452351</t>
  </si>
  <si>
    <t>PA-0012</t>
  </si>
  <si>
    <t>Allocation using Fixed Preference</t>
  </si>
  <si>
    <t>https://docs.google.com/spreadsheets/d/1PKrjw9bNMeCGog01-dYvMVj_L4sMxmmn8WkSarj51N0/edit#gid=652429438</t>
  </si>
  <si>
    <t>https://docs.google.com/spreadsheets/d/1PKrjw9bNMeCGog01-dYvMVj_L4sMxmmn8WkSarj51N0/edit#gid=1644862806</t>
  </si>
  <si>
    <t>https://docs.google.com/spreadsheets/d/1PKrjw9bNMeCGog01-dYvMVj_L4sMxmmn8WkSarj51N0/edit#gid=482012982</t>
  </si>
  <si>
    <t>https://docs.google.com/spreadsheets/d/1PKrjw9bNMeCGog01-dYvMVj_L4sMxmmn8WkSarj51N0/edit#gid=62865506</t>
  </si>
  <si>
    <t>https://docs.google.com/spreadsheets/d/1PKrjw9bNMeCGog01-dYvMVj_L4sMxmmn8WkSarj51N0/edit#gid=1090776282</t>
  </si>
  <si>
    <t>https://docs.google.com/spreadsheets/d/1PKrjw9bNMeCGog01-dYvMVj_L4sMxmmn8WkSarj51N0/edit#gid=563020176</t>
  </si>
  <si>
    <t>https://docs.google.com/spreadsheets/d/1PKrjw9bNMeCGog01-dYvMVj_L4sMxmmn8WkSarj51N0/edit#gid=260971981</t>
  </si>
  <si>
    <t>https://docs.google.com/spreadsheets/d/1PKrjw9bNMeCGog01-dYvMVj_L4sMxmmn8WkSarj51N0/edit#gid=574771294</t>
  </si>
  <si>
    <t>https://docs.google.com/spreadsheets/d/1PKrjw9bNMeCGog01-dYvMVj_L4sMxmmn8WkSarj51N0/edit#gid=99037407</t>
  </si>
  <si>
    <t>https://docs.google.com/spreadsheets/d/1PKrjw9bNMeCGog01-dYvMVj_L4sMxmmn8WkSarj51N0/edit#gid=324427661</t>
  </si>
  <si>
    <t>https://docs.google.com/spreadsheets/d/1PKrjw9bNMeCGog01-dYvMVj_L4sMxmmn8WkSarj51N0/edit#gid=568674242</t>
  </si>
  <si>
    <t>https://docs.google.com/spreadsheets/d/1PKrjw9bNMeCGog01-dYvMVj_L4sMxmmn8WkSarj51N0/edit#gid=1800216839</t>
  </si>
  <si>
    <t>https://docs.google.com/spreadsheets/d/1PKrjw9bNMeCGog01-dYvMVj_L4sMxmmn8WkSarj51N0/edit#gid=868902322</t>
  </si>
  <si>
    <t>https://docs.google.com/spreadsheets/d/1PKrjw9bNMeCGog01-dYvMVj_L4sMxmmn8WkSarj51N0/edit#gid=1794902119</t>
  </si>
  <si>
    <t>PA-0013</t>
  </si>
  <si>
    <t>Allocate using Calculated
Account/Percentage: Acc1, Acc2, Acc3
Allocation Method: Trade Quantity
Remainder Allocation: -
Target% as of: Prorata
Match Closing Trans: false
Date for Prorata: Today</t>
  </si>
  <si>
    <t>https://docs.google.com/spreadsheets/d/1QHqu4y7G06OLV6of51HKcTsVbr6GNMWRu8wcb23I1EA/edit#gid=1404724005</t>
  </si>
  <si>
    <t>https://docs.google.com/spreadsheets/d/1QHqu4y7G06OLV6of51HKcTsVbr6GNMWRu8wcb23I1EA/edit#gid=1256191087</t>
  </si>
  <si>
    <t>https://docs.google.com/spreadsheets/d/1QHqu4y7G06OLV6of51HKcTsVbr6GNMWRu8wcb23I1EA/edit#gid=464618459</t>
  </si>
  <si>
    <t>https://docs.google.com/spreadsheets/d/1QHqu4y7G06OLV6of51HKcTsVbr6GNMWRu8wcb23I1EA/edit#gid=1806999586</t>
  </si>
  <si>
    <t>https://docs.google.com/spreadsheets/d/1QHqu4y7G06OLV6of51HKcTsVbr6GNMWRu8wcb23I1EA/edit#gid=679847661</t>
  </si>
  <si>
    <t>https://docs.google.com/spreadsheets/d/1QHqu4y7G06OLV6of51HKcTsVbr6GNMWRu8wcb23I1EA/edit#gid=1176839911</t>
  </si>
  <si>
    <t>https://docs.google.com/spreadsheets/d/1QHqu4y7G06OLV6of51HKcTsVbr6GNMWRu8wcb23I1EA/edit#gid=1964889971</t>
  </si>
  <si>
    <t>https://docs.google.com/spreadsheets/d/1QHqu4y7G06OLV6of51HKcTsVbr6GNMWRu8wcb23I1EA/edit#gid=1518427308</t>
  </si>
  <si>
    <t>https://docs.google.com/spreadsheets/d/1QHqu4y7G06OLV6of51HKcTsVbr6GNMWRu8wcb23I1EA/edit#gid=365904245</t>
  </si>
  <si>
    <t>https://docs.google.com/spreadsheets/d/1QHqu4y7G06OLV6of51HKcTsVbr6GNMWRu8wcb23I1EA/edit#gid=296122258</t>
  </si>
  <si>
    <t>https://docs.google.com/spreadsheets/d/1QHqu4y7G06OLV6of51HKcTsVbr6GNMWRu8wcb23I1EA/edit#gid=1194151577</t>
  </si>
  <si>
    <t>https://docs.google.com/spreadsheets/d/1QHqu4y7G06OLV6of51HKcTsVbr6GNMWRu8wcb23I1EA/edit#gid=2137962541</t>
  </si>
  <si>
    <t>https://docs.google.com/spreadsheets/d/1QHqu4y7G06OLV6of51HKcTsVbr6GNMWRu8wcb23I1EA/edit#gid=1184102961</t>
  </si>
  <si>
    <t>https://docs.google.com/spreadsheets/d/1QHqu4y7G06OLV6of51HKcTsVbr6GNMWRu8wcb23I1EA/edit#gid=2032916572</t>
  </si>
  <si>
    <t>PA-0014</t>
  </si>
  <si>
    <t>Allocate using Calculated
Account/Percentage: Acc1, Acc2, Acc3
Allocation Method: Trade Quantity
Remainder Allocation: -
Target% as of: Prorata
Match Closing Trans: true
Date for Prorata: Today</t>
  </si>
  <si>
    <t>https://docs.google.com/spreadsheets/d/12X7RP84Hen_Xhcv2Km3TNKYWwcrIXlhtlqPy1y2DdLc/edit#gid=901158445</t>
  </si>
  <si>
    <t>https://docs.google.com/spreadsheets/d/12X7RP84Hen_Xhcv2Km3TNKYWwcrIXlhtlqPy1y2DdLc/edit#gid=1706576135</t>
  </si>
  <si>
    <t>https://docs.google.com/spreadsheets/d/12X7RP84Hen_Xhcv2Km3TNKYWwcrIXlhtlqPy1y2DdLc/edit#gid=239733622</t>
  </si>
  <si>
    <t>https://docs.google.com/spreadsheets/d/12X7RP84Hen_Xhcv2Km3TNKYWwcrIXlhtlqPy1y2DdLc/edit#gid=249703697</t>
  </si>
  <si>
    <t>https://docs.google.com/spreadsheets/d/12X7RP84Hen_Xhcv2Km3TNKYWwcrIXlhtlqPy1y2DdLc/edit#gid=1007913188</t>
  </si>
  <si>
    <t>https://docs.google.com/spreadsheets/d/12X7RP84Hen_Xhcv2Km3TNKYWwcrIXlhtlqPy1y2DdLc/edit#gid=290738027</t>
  </si>
  <si>
    <t>https://docs.google.com/spreadsheets/d/12X7RP84Hen_Xhcv2Km3TNKYWwcrIXlhtlqPy1y2DdLc/edit#gid=799072693</t>
  </si>
  <si>
    <t>https://docs.google.com/spreadsheets/d/12X7RP84Hen_Xhcv2Km3TNKYWwcrIXlhtlqPy1y2DdLc/edit#gid=843814807</t>
  </si>
  <si>
    <t>https://docs.google.com/spreadsheets/d/12X7RP84Hen_Xhcv2Km3TNKYWwcrIXlhtlqPy1y2DdLc/edit#gid=619655395</t>
  </si>
  <si>
    <t>https://docs.google.com/spreadsheets/d/12X7RP84Hen_Xhcv2Km3TNKYWwcrIXlhtlqPy1y2DdLc/edit#gid=1787575037</t>
  </si>
  <si>
    <t>https://docs.google.com/spreadsheets/d/12X7RP84Hen_Xhcv2Km3TNKYWwcrIXlhtlqPy1y2DdLc/edit#gid=516882526</t>
  </si>
  <si>
    <t>https://docs.google.com/spreadsheets/d/12X7RP84Hen_Xhcv2Km3TNKYWwcrIXlhtlqPy1y2DdLc/edit#gid=1092419506</t>
  </si>
  <si>
    <t>https://docs.google.com/spreadsheets/d/12X7RP84Hen_Xhcv2Km3TNKYWwcrIXlhtlqPy1y2DdLc/edit#gid=1413594196</t>
  </si>
  <si>
    <t>https://docs.google.com/spreadsheets/d/12X7RP84Hen_Xhcv2Km3TNKYWwcrIXlhtlqPy1y2DdLc/edit#gid=299079412</t>
  </si>
  <si>
    <t>https://docs.google.com/spreadsheets/d/12X7RP84Hen_Xhcv2Km3TNKYWwcrIXlhtlqPy1y2DdLc/edit#gid=980454735</t>
  </si>
  <si>
    <t>PartialAllocation-0001</t>
  </si>
  <si>
    <t>Allocate using Prorata
Account/Percentage: Acc1, Acc2, Acc3
Allocation Method: Trade Quantity
Remainder Allocation: -
Target% as of: Prorata
Match Closing Trans: false
Date for Prorata: Today</t>
  </si>
  <si>
    <t>https://docs.google.com/spreadsheets/d/17osK1UdUpVPeQJGwd9x5yALUo_MfDxJNN7dIBz62J_M/edit#gid=848067204</t>
  </si>
  <si>
    <t>https://docs.google.com/spreadsheets/d/17osK1UdUpVPeQJGwd9x5yALUo_MfDxJNN7dIBz62J_M/edit#gid=1346728959</t>
  </si>
  <si>
    <t>https://docs.google.com/spreadsheets/d/17osK1UdUpVPeQJGwd9x5yALUo_MfDxJNN7dIBz62J_M/edit#gid=942762225</t>
  </si>
  <si>
    <t>https://docs.google.com/spreadsheets/d/17osK1UdUpVPeQJGwd9x5yALUo_MfDxJNN7dIBz62J_M/edit#gid=1944714733</t>
  </si>
  <si>
    <t>https://docs.google.com/spreadsheets/d/17osK1UdUpVPeQJGwd9x5yALUo_MfDxJNN7dIBz62J_M/edit#gid=444533656</t>
  </si>
  <si>
    <t>https://docs.google.com/spreadsheets/d/17osK1UdUpVPeQJGwd9x5yALUo_MfDxJNN7dIBz62J_M/edit#gid=300311665</t>
  </si>
  <si>
    <t>https://docs.google.com/spreadsheets/d/17osK1UdUpVPeQJGwd9x5yALUo_MfDxJNN7dIBz62J_M/edit#gid=1255683906</t>
  </si>
  <si>
    <t>https://docs.google.com/spreadsheets/d/17osK1UdUpVPeQJGwd9x5yALUo_MfDxJNN7dIBz62J_M/edit#gid=1571648221</t>
  </si>
  <si>
    <t>https://docs.google.com/spreadsheets/d/17osK1UdUpVPeQJGwd9x5yALUo_MfDxJNN7dIBz62J_M/edit#gid=484698995</t>
  </si>
  <si>
    <t>https://docs.google.com/spreadsheets/d/17osK1UdUpVPeQJGwd9x5yALUo_MfDxJNN7dIBz62J_M/edit#gid=465646479</t>
  </si>
  <si>
    <t>https://docs.google.com/spreadsheets/d/17osK1UdUpVPeQJGwd9x5yALUo_MfDxJNN7dIBz62J_M/edit#gid=165354283</t>
  </si>
  <si>
    <t>PartialAllocation-0002</t>
  </si>
  <si>
    <t>Allocate using Prorata
Account/Percentage: Acc1, Acc2, Acc3
Allocation Method: Trade Quantity
Remainder Allocation: -
Target% as of: Prorata
Match Closing Trans: true
Date for Prorata: Today</t>
  </si>
  <si>
    <t>https://docs.google.com/spreadsheets/d/18P4A5hHL8p7DNC9rv-L_EjkSCwXPc5I0vMR-9QWc-70/edit#gid=492569724</t>
  </si>
  <si>
    <t>https://docs.google.com/spreadsheets/d/18P4A5hHL8p7DNC9rv-L_EjkSCwXPc5I0vMR-9QWc-70/edit#gid=848067204</t>
  </si>
  <si>
    <t>https://docs.google.com/spreadsheets/d/18P4A5hHL8p7DNC9rv-L_EjkSCwXPc5I0vMR-9QWc-70/edit#gid=1346728959</t>
  </si>
  <si>
    <t>https://docs.google.com/spreadsheets/d/18P4A5hHL8p7DNC9rv-L_EjkSCwXPc5I0vMR-9QWc-70/edit#gid=942762225</t>
  </si>
  <si>
    <t>https://docs.google.com/spreadsheets/d/18P4A5hHL8p7DNC9rv-L_EjkSCwXPc5I0vMR-9QWc-70/edit#gid=889213188</t>
  </si>
  <si>
    <t>https://docs.google.com/spreadsheets/d/18P4A5hHL8p7DNC9rv-L_EjkSCwXPc5I0vMR-9QWc-70/edit#gid=444533656</t>
  </si>
  <si>
    <t>https://docs.google.com/spreadsheets/d/18P4A5hHL8p7DNC9rv-L_EjkSCwXPc5I0vMR-9QWc-70/edit#gid=300311665</t>
  </si>
  <si>
    <t>https://docs.google.com/spreadsheets/d/18P4A5hHL8p7DNC9rv-L_EjkSCwXPc5I0vMR-9QWc-70/edit#gid=801454614</t>
  </si>
  <si>
    <t>https://docs.google.com/spreadsheets/d/18P4A5hHL8p7DNC9rv-L_EjkSCwXPc5I0vMR-9QWc-70/edit#gid=1593253725</t>
  </si>
  <si>
    <t>https://docs.google.com/spreadsheets/d/18P4A5hHL8p7DNC9rv-L_EjkSCwXPc5I0vMR-9QWc-70/edit#gid=216744799</t>
  </si>
  <si>
    <t>https://docs.google.com/spreadsheets/d/18P4A5hHL8p7DNC9rv-L_EjkSCwXPc5I0vMR-9QWc-70/edit#gid=2055958241</t>
  </si>
  <si>
    <t>https://docs.google.com/spreadsheets/d/18P4A5hHL8p7DNC9rv-L_EjkSCwXPc5I0vMR-9QWc-70/edit#gid=595247504</t>
  </si>
  <si>
    <t>https://docs.google.com/spreadsheets/d/18P4A5hHL8p7DNC9rv-L_EjkSCwXPc5I0vMR-9QWc-70/edit#gid=789543714</t>
  </si>
  <si>
    <t>PartialAllocation-0003</t>
  </si>
  <si>
    <t>Allocate using Prorata
Account/Percentage: Acc1, Acc2, Acc3
Allocation Method: Trade Quantity
Remainder Allocation: -
Target% as of: Prorata
Match Closing Trans: false
Date for Prorata: Today
Force Allocation - true</t>
  </si>
  <si>
    <t>https://docs.google.com/spreadsheets/d/16kunet9cul4f0mAk8cXWFJKHj5axtFYdthI8LtSvPys/edit#gid=2109097011</t>
  </si>
  <si>
    <t>https://docs.google.com/spreadsheets/d/16kunet9cul4f0mAk8cXWFJKHj5axtFYdthI8LtSvPys/edit#gid=848067204</t>
  </si>
  <si>
    <t>https://docs.google.com/spreadsheets/d/16kunet9cul4f0mAk8cXWFJKHj5axtFYdthI8LtSvPys/edit#gid=1346728959</t>
  </si>
  <si>
    <t>https://docs.google.com/spreadsheets/d/16kunet9cul4f0mAk8cXWFJKHj5axtFYdthI8LtSvPys/edit#gid=942762225</t>
  </si>
  <si>
    <t>https://docs.google.com/spreadsheets/d/16kunet9cul4f0mAk8cXWFJKHj5axtFYdthI8LtSvPys/edit#gid=1770624506</t>
  </si>
  <si>
    <t>https://docs.google.com/spreadsheets/d/16kunet9cul4f0mAk8cXWFJKHj5axtFYdthI8LtSvPys/edit#gid=444533656</t>
  </si>
  <si>
    <t>https://docs.google.com/spreadsheets/d/16kunet9cul4f0mAk8cXWFJKHj5axtFYdthI8LtSvPys/edit#gid=300311665</t>
  </si>
  <si>
    <t>https://docs.google.com/spreadsheets/d/16kunet9cul4f0mAk8cXWFJKHj5axtFYdthI8LtSvPys/edit#gid=322835838</t>
  </si>
  <si>
    <t>https://docs.google.com/spreadsheets/d/16kunet9cul4f0mAk8cXWFJKHj5axtFYdthI8LtSvPys/edit#gid=1495519006</t>
  </si>
  <si>
    <t>https://docs.google.com/spreadsheets/d/16kunet9cul4f0mAk8cXWFJKHj5axtFYdthI8LtSvPys/edit#gid=1496318493</t>
  </si>
  <si>
    <t>https://docs.google.com/spreadsheets/d/16kunet9cul4f0mAk8cXWFJKHj5axtFYdthI8LtSvPys/edit#gid=1838715397</t>
  </si>
  <si>
    <t>https://docs.google.com/spreadsheets/d/16kunet9cul4f0mAk8cXWFJKHj5axtFYdthI8LtSvPys/edit#gid=1421480123</t>
  </si>
  <si>
    <t>PartialAllocation-0004</t>
  </si>
  <si>
    <t>Allocate using Current Preference
Account/Percentage: Acc1 - 50, Acc2 -50
Allocation Method: Target Quantity
Remainder Allocation: -
Target% as of: Current Preference
Match Closing Trans: false
Date for Prorata:-</t>
  </si>
  <si>
    <t>https://docs.google.com/spreadsheets/d/1_ogw_1GWrgsaPylUn5PUhstj13YZEr05uQUFTN26I58/edit#gid=1434180584</t>
  </si>
  <si>
    <t>https://docs.google.com/spreadsheets/d/1_ogw_1GWrgsaPylUn5PUhstj13YZEr05uQUFTN26I58/edit#gid=848067204</t>
  </si>
  <si>
    <t>https://docs.google.com/spreadsheets/d/1_ogw_1GWrgsaPylUn5PUhstj13YZEr05uQUFTN26I58/edit#gid=1346728959</t>
  </si>
  <si>
    <t>https://docs.google.com/spreadsheets/d/1_ogw_1GWrgsaPylUn5PUhstj13YZEr05uQUFTN26I58/edit#gid=942762225</t>
  </si>
  <si>
    <t>https://docs.google.com/spreadsheets/d/1_ogw_1GWrgsaPylUn5PUhstj13YZEr05uQUFTN26I58/edit#gid=316886168</t>
  </si>
  <si>
    <t>https://docs.google.com/spreadsheets/d/1_ogw_1GWrgsaPylUn5PUhstj13YZEr05uQUFTN26I58/edit#gid=160881167</t>
  </si>
  <si>
    <t>https://docs.google.com/spreadsheets/d/1_ogw_1GWrgsaPylUn5PUhstj13YZEr05uQUFTN26I58/edit#gid=444533656</t>
  </si>
  <si>
    <t>https://docs.google.com/spreadsheets/d/1_ogw_1GWrgsaPylUn5PUhstj13YZEr05uQUFTN26I58/edit#gid=300311665</t>
  </si>
  <si>
    <t>https://docs.google.com/spreadsheets/d/1_ogw_1GWrgsaPylUn5PUhstj13YZEr05uQUFTN26I58/edit#gid=665575312</t>
  </si>
  <si>
    <t>https://docs.google.com/spreadsheets/d/1_ogw_1GWrgsaPylUn5PUhstj13YZEr05uQUFTN26I58/edit#gid=404711736</t>
  </si>
  <si>
    <t>https://docs.google.com/spreadsheets/d/1_ogw_1GWrgsaPylUn5PUhstj13YZEr05uQUFTN26I58/edit#gid=14817648</t>
  </si>
  <si>
    <t>https://docs.google.com/spreadsheets/d/1_ogw_1GWrgsaPylUn5PUhstj13YZEr05uQUFTN26I58/edit#gid=2095958277</t>
  </si>
  <si>
    <t>https://docs.google.com/spreadsheets/d/1_ogw_1GWrgsaPylUn5PUhstj13YZEr05uQUFTN26I58/edit#gid=516928529</t>
  </si>
  <si>
    <t>https://docs.google.com/spreadsheets/d/1_ogw_1GWrgsaPylUn5PUhstj13YZEr05uQUFTN26I58/edit#gid=2078721553</t>
  </si>
  <si>
    <t>PartialAllocation-0005</t>
  </si>
  <si>
    <t>Allocate using Current Preference
Account/Percentage: Acc1 - 50, Acc2 -50
Allocation Method: Target Quantity
Remainder Allocation: -
Target% as of: Current Preference
Match Closing Trans: true
Date for Prorata:-</t>
  </si>
  <si>
    <t>https://docs.google.com/spreadsheets/d/1fBBHSdaEfOT1lscHUBs7fZwYkMqueKeHmwZJbP3mfG0/edit#gid=1234233463</t>
  </si>
  <si>
    <t>https://docs.google.com/spreadsheets/d/1fBBHSdaEfOT1lscHUBs7fZwYkMqueKeHmwZJbP3mfG0/edit#gid=848067204</t>
  </si>
  <si>
    <t>https://docs.google.com/spreadsheets/d/1fBBHSdaEfOT1lscHUBs7fZwYkMqueKeHmwZJbP3mfG0/edit#gid=1346728959</t>
  </si>
  <si>
    <t>https://docs.google.com/spreadsheets/d/1fBBHSdaEfOT1lscHUBs7fZwYkMqueKeHmwZJbP3mfG0/edit#gid=942762225</t>
  </si>
  <si>
    <t>https://docs.google.com/spreadsheets/d/1fBBHSdaEfOT1lscHUBs7fZwYkMqueKeHmwZJbP3mfG0/edit#gid=316886168</t>
  </si>
  <si>
    <t>https://docs.google.com/spreadsheets/d/1fBBHSdaEfOT1lscHUBs7fZwYkMqueKeHmwZJbP3mfG0/edit#gid=67601295</t>
  </si>
  <si>
    <t>https://docs.google.com/spreadsheets/d/1fBBHSdaEfOT1lscHUBs7fZwYkMqueKeHmwZJbP3mfG0/edit#gid=444533656</t>
  </si>
  <si>
    <t>https://docs.google.com/spreadsheets/d/1fBBHSdaEfOT1lscHUBs7fZwYkMqueKeHmwZJbP3mfG0/edit#gid=300311665</t>
  </si>
  <si>
    <t>https://docs.google.com/spreadsheets/d/1fBBHSdaEfOT1lscHUBs7fZwYkMqueKeHmwZJbP3mfG0/edit#gid=132026624</t>
  </si>
  <si>
    <t>https://docs.google.com/spreadsheets/d/1fBBHSdaEfOT1lscHUBs7fZwYkMqueKeHmwZJbP3mfG0/edit#gid=253696978</t>
  </si>
  <si>
    <t>https://docs.google.com/spreadsheets/d/1fBBHSdaEfOT1lscHUBs7fZwYkMqueKeHmwZJbP3mfG0/edit#gid=1997247795</t>
  </si>
  <si>
    <t>https://docs.google.com/spreadsheets/d/1fBBHSdaEfOT1lscHUBs7fZwYkMqueKeHmwZJbP3mfG0/edit#gid=1712290633</t>
  </si>
  <si>
    <t>https://docs.google.com/spreadsheets/d/1fBBHSdaEfOT1lscHUBs7fZwYkMqueKeHmwZJbP3mfG0/edit#gid=792851348</t>
  </si>
  <si>
    <t>https://docs.google.com/spreadsheets/d/1fBBHSdaEfOT1lscHUBs7fZwYkMqueKeHmwZJbP3mfG0/edit#gid=2091277952</t>
  </si>
  <si>
    <t>PartialAllocation-0006</t>
  </si>
  <si>
    <t>Allocate using Current Preference
Account/Percentage: Acc1 - 50, Acc2 -50
Allocation Method: Target Quantity
Remainder Allocation: -
Target% as of: Current Preference
Match Closing Trans: false
Date for Prorata:-
Force Allocation - true</t>
  </si>
  <si>
    <t>https://docs.google.com/spreadsheets/d/1o1lHWD5rivYl5ZncNeQ8JcTWgqxbbWAyRKzgslyaAGM/edit#gid=1783346107</t>
  </si>
  <si>
    <t>https://docs.google.com/spreadsheets/d/1o1lHWD5rivYl5ZncNeQ8JcTWgqxbbWAyRKzgslyaAGM/edit#gid=848067204</t>
  </si>
  <si>
    <t>https://docs.google.com/spreadsheets/d/1o1lHWD5rivYl5ZncNeQ8JcTWgqxbbWAyRKzgslyaAGM/edit#gid=1346728959</t>
  </si>
  <si>
    <t>https://docs.google.com/spreadsheets/d/1o1lHWD5rivYl5ZncNeQ8JcTWgqxbbWAyRKzgslyaAGM/edit#gid=942762225</t>
  </si>
  <si>
    <t>https://docs.google.com/spreadsheets/d/1o1lHWD5rivYl5ZncNeQ8JcTWgqxbbWAyRKzgslyaAGM/edit#gid=316886168</t>
  </si>
  <si>
    <t>https://docs.google.com/spreadsheets/d/1o1lHWD5rivYl5ZncNeQ8JcTWgqxbbWAyRKzgslyaAGM/edit#gid=1672571474</t>
  </si>
  <si>
    <t>https://docs.google.com/spreadsheets/d/1o1lHWD5rivYl5ZncNeQ8JcTWgqxbbWAyRKzgslyaAGM/edit#gid=444533656</t>
  </si>
  <si>
    <t>https://docs.google.com/spreadsheets/d/1o1lHWD5rivYl5ZncNeQ8JcTWgqxbbWAyRKzgslyaAGM/edit#gid=105345496</t>
  </si>
  <si>
    <t>https://docs.google.com/spreadsheets/d/1o1lHWD5rivYl5ZncNeQ8JcTWgqxbbWAyRKzgslyaAGM/edit#gid=901439104</t>
  </si>
  <si>
    <t>https://docs.google.com/spreadsheets/d/1o1lHWD5rivYl5ZncNeQ8JcTWgqxbbWAyRKzgslyaAGM/edit#gid=1760597763</t>
  </si>
  <si>
    <t>https://docs.google.com/spreadsheets/d/1o1lHWD5rivYl5ZncNeQ8JcTWgqxbbWAyRKzgslyaAGM/edit#gid=1110022122</t>
  </si>
  <si>
    <t>https://docs.google.com/spreadsheets/d/1o1lHWD5rivYl5ZncNeQ8JcTWgqxbbWAyRKzgslyaAGM/edit#gid=1755556893</t>
  </si>
  <si>
    <t>https://docs.google.com/spreadsheets/d/1o1lHWD5rivYl5ZncNeQ8JcTWgqxbbWAyRKzgslyaAGM/edit#gid=2012103781</t>
  </si>
  <si>
    <t>PartialAllocation-0007</t>
  </si>
  <si>
    <t>Allocate using Prorata (NAV)
Account/Percentage: Acc1, Acc2, Acc3
Allocation Method: 
Remainder Allocation: -
Target% as of: Prorata (NAV)
Match Closing Trans: false
Date for Prorata: -</t>
  </si>
  <si>
    <t>https://docs.google.com/spreadsheets/d/1UG_kQMgXCbnXEnW2Xw-6qN4avveIt-qx9TYtAmGd77E/edit#gid=1969120090</t>
  </si>
  <si>
    <t>https://docs.google.com/spreadsheets/d/1UG_kQMgXCbnXEnW2Xw-6qN4avveIt-qx9TYtAmGd77E/edit#gid=848067204</t>
  </si>
  <si>
    <t>https://docs.google.com/spreadsheets/d/1UG_kQMgXCbnXEnW2Xw-6qN4avveIt-qx9TYtAmGd77E/edit#gid=1766871142</t>
  </si>
  <si>
    <t>https://docs.google.com/spreadsheets/d/1UG_kQMgXCbnXEnW2Xw-6qN4avveIt-qx9TYtAmGd77E/edit#gid=677013789</t>
  </si>
  <si>
    <t>https://docs.google.com/spreadsheets/d/1UG_kQMgXCbnXEnW2Xw-6qN4avveIt-qx9TYtAmGd77E/edit#gid=1346728959</t>
  </si>
  <si>
    <t>https://docs.google.com/spreadsheets/d/1UG_kQMgXCbnXEnW2Xw-6qN4avveIt-qx9TYtAmGd77E/edit#gid=942762225</t>
  </si>
  <si>
    <t>https://docs.google.com/spreadsheets/d/1UG_kQMgXCbnXEnW2Xw-6qN4avveIt-qx9TYtAmGd77E/edit#gid=1815634135</t>
  </si>
  <si>
    <t>https://docs.google.com/spreadsheets/d/1UG_kQMgXCbnXEnW2Xw-6qN4avveIt-qx9TYtAmGd77E/edit#gid=444533656</t>
  </si>
  <si>
    <t>https://docs.google.com/spreadsheets/d/1UG_kQMgXCbnXEnW2Xw-6qN4avveIt-qx9TYtAmGd77E/edit#gid=300311665</t>
  </si>
  <si>
    <t>https://docs.google.com/spreadsheets/d/1UG_kQMgXCbnXEnW2Xw-6qN4avveIt-qx9TYtAmGd77E/edit#gid=384574781</t>
  </si>
  <si>
    <t>https://docs.google.com/spreadsheets/d/1UG_kQMgXCbnXEnW2Xw-6qN4avveIt-qx9TYtAmGd77E/edit#gid=1674078072</t>
  </si>
  <si>
    <t>https://docs.google.com/spreadsheets/d/1UG_kQMgXCbnXEnW2Xw-6qN4avveIt-qx9TYtAmGd77E/edit#gid=1946932997</t>
  </si>
  <si>
    <t>https://docs.google.com/spreadsheets/d/1UG_kQMgXCbnXEnW2Xw-6qN4avveIt-qx9TYtAmGd77E/edit#gid=842126974</t>
  </si>
  <si>
    <t>https://docs.google.com/spreadsheets/d/1UG_kQMgXCbnXEnW2Xw-6qN4avveIt-qx9TYtAmGd77E/edit#gid=2074978730</t>
  </si>
  <si>
    <t>https://docs.google.com/spreadsheets/d/1UG_kQMgXCbnXEnW2Xw-6qN4avveIt-qx9TYtAmGd77E/edit#gid=698429192</t>
  </si>
  <si>
    <t>PartialAllocation-0008</t>
  </si>
  <si>
    <t>Allocate using Prorata (NAV)
Account/Percentage: Acc1, Acc2
Allocation Method: 
Remainder Allocation: -
Target% as of: Prorata (NAV)
Match Closing Trans: true
Date for Prorata: -</t>
  </si>
  <si>
    <t>https://docs.google.com/spreadsheets/d/1vUGWCzXJ6LQV4RPWRaZaVbgFlzAwUPYmjw2OwcMvoNA/edit#gid=2033802082</t>
  </si>
  <si>
    <t>https://docs.google.com/spreadsheets/d/1vUGWCzXJ6LQV4RPWRaZaVbgFlzAwUPYmjw2OwcMvoNA/edit#gid=848067204</t>
  </si>
  <si>
    <t>https://docs.google.com/spreadsheets/d/1vUGWCzXJ6LQV4RPWRaZaVbgFlzAwUPYmjw2OwcMvoNA/edit#gid=1257809224</t>
  </si>
  <si>
    <t>https://docs.google.com/spreadsheets/d/1vUGWCzXJ6LQV4RPWRaZaVbgFlzAwUPYmjw2OwcMvoNA/edit#gid=330033151</t>
  </si>
  <si>
    <t>https://docs.google.com/spreadsheets/d/1vUGWCzXJ6LQV4RPWRaZaVbgFlzAwUPYmjw2OwcMvoNA/edit#gid=1346728959</t>
  </si>
  <si>
    <t>https://docs.google.com/spreadsheets/d/1vUGWCzXJ6LQV4RPWRaZaVbgFlzAwUPYmjw2OwcMvoNA/edit#gid=942762225</t>
  </si>
  <si>
    <t>https://docs.google.com/spreadsheets/d/1vUGWCzXJ6LQV4RPWRaZaVbgFlzAwUPYmjw2OwcMvoNA/edit#gid=789259</t>
  </si>
  <si>
    <t>https://docs.google.com/spreadsheets/d/1vUGWCzXJ6LQV4RPWRaZaVbgFlzAwUPYmjw2OwcMvoNA/edit#gid=444533656</t>
  </si>
  <si>
    <t>https://docs.google.com/spreadsheets/d/1vUGWCzXJ6LQV4RPWRaZaVbgFlzAwUPYmjw2OwcMvoNA/edit#gid=300311665</t>
  </si>
  <si>
    <t>https://docs.google.com/spreadsheets/d/1vUGWCzXJ6LQV4RPWRaZaVbgFlzAwUPYmjw2OwcMvoNA/edit#gid=2027270313</t>
  </si>
  <si>
    <t>https://docs.google.com/spreadsheets/d/1vUGWCzXJ6LQV4RPWRaZaVbgFlzAwUPYmjw2OwcMvoNA/edit#gid=1778087754</t>
  </si>
  <si>
    <t>https://docs.google.com/spreadsheets/d/1vUGWCzXJ6LQV4RPWRaZaVbgFlzAwUPYmjw2OwcMvoNA/edit#gid=391479486</t>
  </si>
  <si>
    <t>https://docs.google.com/spreadsheets/d/1vUGWCzXJ6LQV4RPWRaZaVbgFlzAwUPYmjw2OwcMvoNA/edit#gid=1807697616</t>
  </si>
  <si>
    <t>https://docs.google.com/spreadsheets/d/1vUGWCzXJ6LQV4RPWRaZaVbgFlzAwUPYmjw2OwcMvoNA/edit#gid=458321891</t>
  </si>
  <si>
    <t>https://docs.google.com/spreadsheets/d/1vUGWCzXJ6LQV4RPWRaZaVbgFlzAwUPYmjw2OwcMvoNA/edit#gid=65526600</t>
  </si>
  <si>
    <t>PartialAllocation-0009</t>
  </si>
  <si>
    <t>Allocate using Leveling
Account/Percentage: Acc1, Acc2, Acc3
Allocation Method: 
Remainder Allocation: -
Target% as of: Leveling
Match Closing Trans: false
Date for Prorata: -</t>
  </si>
  <si>
    <t>https://docs.google.com/spreadsheets/d/1gh_kgcLpzw7Dz1x9jhJot4oSLVJ_k6BFMfhu2yOLZKs/edit#gid=144857693</t>
  </si>
  <si>
    <t>https://docs.google.com/spreadsheets/d/1gh_kgcLpzw7Dz1x9jhJot4oSLVJ_k6BFMfhu2yOLZKs/edit#gid=848067204</t>
  </si>
  <si>
    <t>https://docs.google.com/spreadsheets/d/1gh_kgcLpzw7Dz1x9jhJot4oSLVJ_k6BFMfhu2yOLZKs/edit#gid=254125730</t>
  </si>
  <si>
    <t>https://docs.google.com/spreadsheets/d/1gh_kgcLpzw7Dz1x9jhJot4oSLVJ_k6BFMfhu2yOLZKs/edit#gid=1088402940</t>
  </si>
  <si>
    <t>https://docs.google.com/spreadsheets/d/1gh_kgcLpzw7Dz1x9jhJot4oSLVJ_k6BFMfhu2yOLZKs/edit#gid=2119260987</t>
  </si>
  <si>
    <t>https://docs.google.com/spreadsheets/d/1gh_kgcLpzw7Dz1x9jhJot4oSLVJ_k6BFMfhu2yOLZKs/edit#gid=1346728959</t>
  </si>
  <si>
    <t>https://docs.google.com/spreadsheets/d/1gh_kgcLpzw7Dz1x9jhJot4oSLVJ_k6BFMfhu2yOLZKs/edit#gid=942762225</t>
  </si>
  <si>
    <t>https://docs.google.com/spreadsheets/d/1gh_kgcLpzw7Dz1x9jhJot4oSLVJ_k6BFMfhu2yOLZKs/edit#gid=333319580</t>
  </si>
  <si>
    <t>https://docs.google.com/spreadsheets/d/1gh_kgcLpzw7Dz1x9jhJot4oSLVJ_k6BFMfhu2yOLZKs/edit#gid=444533656</t>
  </si>
  <si>
    <t>https://docs.google.com/spreadsheets/d/1gh_kgcLpzw7Dz1x9jhJot4oSLVJ_k6BFMfhu2yOLZKs/edit#gid=300311665</t>
  </si>
  <si>
    <t>https://docs.google.com/spreadsheets/d/1gh_kgcLpzw7Dz1x9jhJot4oSLVJ_k6BFMfhu2yOLZKs/edit#gid=2003423096</t>
  </si>
  <si>
    <t>https://docs.google.com/spreadsheets/d/1gh_kgcLpzw7Dz1x9jhJot4oSLVJ_k6BFMfhu2yOLZKs/edit#gid=1067099642</t>
  </si>
  <si>
    <t>https://docs.google.com/spreadsheets/d/1gh_kgcLpzw7Dz1x9jhJot4oSLVJ_k6BFMfhu2yOLZKs/edit#gid=1955783531</t>
  </si>
  <si>
    <t>https://docs.google.com/spreadsheets/d/1gh_kgcLpzw7Dz1x9jhJot4oSLVJ_k6BFMfhu2yOLZKs/edit#gid=755644100</t>
  </si>
  <si>
    <t>https://docs.google.com/spreadsheets/d/1gh_kgcLpzw7Dz1x9jhJot4oSLVJ_k6BFMfhu2yOLZKs/edit#gid=1553795187</t>
  </si>
  <si>
    <t>https://docs.google.com/spreadsheets/d/10G0GbVRLGeHQnrydXRr2Ljy6tHXpOhy21JHCUB2KO9w/edit#gid=522075596</t>
  </si>
  <si>
    <t>PartialAllocation-0010</t>
  </si>
  <si>
    <t>Allocate using Leveling
Account/Percentage: Acc1, Acc2, Acc3
Allocation Method: 
Remainder Allocation: -
Target% as of: Leveling
Match Closing Trans: true
Date for Prorata: -</t>
  </si>
  <si>
    <t>https://docs.google.com/spreadsheets/d/1ik2RHdg7QnFqT0bWOdk-Q8Oy_ur__9wQSzRs44xriyo/edit#gid=2059234165</t>
  </si>
  <si>
    <t>https://docs.google.com/spreadsheets/d/1ik2RHdg7QnFqT0bWOdk-Q8Oy_ur__9wQSzRs44xriyo/edit#gid=848067204</t>
  </si>
  <si>
    <t>https://docs.google.com/spreadsheets/d/1ik2RHdg7QnFqT0bWOdk-Q8Oy_ur__9wQSzRs44xriyo/edit#gid=988303276</t>
  </si>
  <si>
    <t>https://docs.google.com/spreadsheets/d/1ik2RHdg7QnFqT0bWOdk-Q8Oy_ur__9wQSzRs44xriyo/edit#gid=696755075</t>
  </si>
  <si>
    <t>https://docs.google.com/spreadsheets/d/1ik2RHdg7QnFqT0bWOdk-Q8Oy_ur__9wQSzRs44xriyo/edit#gid=548627245</t>
  </si>
  <si>
    <t>https://docs.google.com/spreadsheets/d/1ik2RHdg7QnFqT0bWOdk-Q8Oy_ur__9wQSzRs44xriyo/edit#gid=1346728959</t>
  </si>
  <si>
    <t>https://docs.google.com/spreadsheets/d/1ik2RHdg7QnFqT0bWOdk-Q8Oy_ur__9wQSzRs44xriyo/edit#gid=942762225</t>
  </si>
  <si>
    <t>https://docs.google.com/spreadsheets/d/1ik2RHdg7QnFqT0bWOdk-Q8Oy_ur__9wQSzRs44xriyo/edit#gid=1466385981</t>
  </si>
  <si>
    <t>https://docs.google.com/spreadsheets/d/1ik2RHdg7QnFqT0bWOdk-Q8Oy_ur__9wQSzRs44xriyo/edit#gid=444533656</t>
  </si>
  <si>
    <t>https://docs.google.com/spreadsheets/d/1ik2RHdg7QnFqT0bWOdk-Q8Oy_ur__9wQSzRs44xriyo/edit#gid=300311665</t>
  </si>
  <si>
    <t>https://docs.google.com/spreadsheets/d/1ik2RHdg7QnFqT0bWOdk-Q8Oy_ur__9wQSzRs44xriyo/edit#gid=170896797</t>
  </si>
  <si>
    <t>https://docs.google.com/spreadsheets/d/1ik2RHdg7QnFqT0bWOdk-Q8Oy_ur__9wQSzRs44xriyo/edit#gid=800605117</t>
  </si>
  <si>
    <t>https://docs.google.com/spreadsheets/d/1ik2RHdg7QnFqT0bWOdk-Q8Oy_ur__9wQSzRs44xriyo/edit#gid=1794687608</t>
  </si>
  <si>
    <t>https://docs.google.com/spreadsheets/d/1ik2RHdg7QnFqT0bWOdk-Q8Oy_ur__9wQSzRs44xriyo/edit#gid=1758918844</t>
  </si>
  <si>
    <t>https://docs.google.com/spreadsheets/d/1ik2RHdg7QnFqT0bWOdk-Q8Oy_ur__9wQSzRs44xriyo/edit#gid=152445010</t>
  </si>
  <si>
    <t>https://docs.google.com/spreadsheets/d/1ik2RHdg7QnFqT0bWOdk-Q8Oy_ur__9wQSzRs44xriyo/edit#gid=970515459</t>
  </si>
  <si>
    <t>PartialAllocation-0011</t>
  </si>
  <si>
    <t>Allocate using Prorata + Custom Checked
Account/Percentage: Acc1, Acc2, Acc3
Allocation Method: Trade Quantity
Remainder Allocation: -
Target% as of: Prorata
Match Closing Trans: false
Date for Prorata: Today
Custom Checked: false</t>
  </si>
  <si>
    <t>https://docs.google.com/spreadsheets/d/1gN3Kx3rFejat9MOO00xL5OUnYfJFNpdTmjphjKPF930/edit#gid=848067204</t>
  </si>
  <si>
    <t>https://docs.google.com/spreadsheets/d/1gN3Kx3rFejat9MOO00xL5OUnYfJFNpdTmjphjKPF930/edit#gid=291486577</t>
  </si>
  <si>
    <t>https://docs.google.com/spreadsheets/d/1gN3Kx3rFejat9MOO00xL5OUnYfJFNpdTmjphjKPF930/edit#gid=901960590</t>
  </si>
  <si>
    <t>https://docs.google.com/spreadsheets/d/1gN3Kx3rFejat9MOO00xL5OUnYfJFNpdTmjphjKPF930/edit#gid=731662688</t>
  </si>
  <si>
    <t>https://docs.google.com/spreadsheets/d/1gN3Kx3rFejat9MOO00xL5OUnYfJFNpdTmjphjKPF930/edit#gid=1167725034</t>
  </si>
  <si>
    <t>https://docs.google.com/spreadsheets/d/1gN3Kx3rFejat9MOO00xL5OUnYfJFNpdTmjphjKPF930/edit#gid=1498824902</t>
  </si>
  <si>
    <t>CreateDoneAwayOrderPTT</t>
  </si>
  <si>
    <t>https://docs.google.com/spreadsheets/d/1gN3Kx3rFejat9MOO00xL5OUnYfJFNpdTmjphjKPF930/edit#gid=912850243</t>
  </si>
  <si>
    <t>https://docs.google.com/spreadsheets/d/1gN3Kx3rFejat9MOO00xL5OUnYfJFNpdTmjphjKPF930/edit#gid=1484309022</t>
  </si>
  <si>
    <t>https://docs.google.com/spreadsheets/d/1gN3Kx3rFejat9MOO00xL5OUnYfJFNpdTmjphjKPF930/edit#gid=1346728959</t>
  </si>
  <si>
    <t>https://docs.google.com/spreadsheets/d/1gN3Kx3rFejat9MOO00xL5OUnYfJFNpdTmjphjKPF930/edit#gid=942762225</t>
  </si>
  <si>
    <t>https://docs.google.com/spreadsheets/d/1gN3Kx3rFejat9MOO00xL5OUnYfJFNpdTmjphjKPF930/edit#gid=2106052673</t>
  </si>
  <si>
    <t>https://docs.google.com/spreadsheets/d/1gN3Kx3rFejat9MOO00xL5OUnYfJFNpdTmjphjKPF930/edit#gid=444533656</t>
  </si>
  <si>
    <t>https://docs.google.com/spreadsheets/d/1gN3Kx3rFejat9MOO00xL5OUnYfJFNpdTmjphjKPF930/edit#gid=300311665</t>
  </si>
  <si>
    <t>https://docs.google.com/spreadsheets/d/1gN3Kx3rFejat9MOO00xL5OUnYfJFNpdTmjphjKPF930/edit#gid=1918725552</t>
  </si>
  <si>
    <t>https://docs.google.com/spreadsheets/d/1gN3Kx3rFejat9MOO00xL5OUnYfJFNpdTmjphjKPF930/edit#gid=1362298106</t>
  </si>
  <si>
    <t>https://docs.google.com/spreadsheets/d/1gN3Kx3rFejat9MOO00xL5OUnYfJFNpdTmjphjKPF930/edit#gid=35022370</t>
  </si>
  <si>
    <t>https://docs.google.com/spreadsheets/d/1gN3Kx3rFejat9MOO00xL5OUnYfJFNpdTmjphjKPF930/edit#gid=11815714</t>
  </si>
  <si>
    <t>https://docs.google.com/spreadsheets/d/1gN3Kx3rFejat9MOO00xL5OUnYfJFNpdTmjphjKPF930/edit#gid=1147037116</t>
  </si>
  <si>
    <t>PartialAllocation-0012</t>
  </si>
  <si>
    <t>Allocate using Prorata + Custom Checked
Account/Percentage: Acc1, Acc2, Acc3
Allocation Method: Trade Quantity
Remainder Allocation: -
Target% as of: Prorata
Match Closing Trans: false
Date for Prorata: Today
Custom Checked: true</t>
  </si>
  <si>
    <t>https://docs.google.com/spreadsheets/d/16yILn42B__okCx_dlEHMEfj8VMoHKxR1qANGtSc84us/edit#gid=848067204</t>
  </si>
  <si>
    <t>https://docs.google.com/spreadsheets/d/16yILn42B__okCx_dlEHMEfj8VMoHKxR1qANGtSc84us/edit#gid=291486577</t>
  </si>
  <si>
    <t>https://docs.google.com/spreadsheets/d/16yILn42B__okCx_dlEHMEfj8VMoHKxR1qANGtSc84us/edit#gid=901960590</t>
  </si>
  <si>
    <t>https://docs.google.com/spreadsheets/d/16yILn42B__okCx_dlEHMEfj8VMoHKxR1qANGtSc84us/edit#gid=1919964335</t>
  </si>
  <si>
    <t>https://docs.google.com/spreadsheets/d/16yILn42B__okCx_dlEHMEfj8VMoHKxR1qANGtSc84us/edit#gid=1167725034</t>
  </si>
  <si>
    <t>https://docs.google.com/spreadsheets/d/16yILn42B__okCx_dlEHMEfj8VMoHKxR1qANGtSc84us/edit#gid=1498824902</t>
  </si>
  <si>
    <t>https://docs.google.com/spreadsheets/d/16yILn42B__okCx_dlEHMEfj8VMoHKxR1qANGtSc84us/edit#gid=1986732099</t>
  </si>
  <si>
    <t>https://docs.google.com/spreadsheets/d/16yILn42B__okCx_dlEHMEfj8VMoHKxR1qANGtSc84us/edit#gid=1346728959</t>
  </si>
  <si>
    <t>https://docs.google.com/spreadsheets/d/16yILn42B__okCx_dlEHMEfj8VMoHKxR1qANGtSc84us/edit#gid=942762225</t>
  </si>
  <si>
    <t>https://docs.google.com/spreadsheets/d/16yILn42B__okCx_dlEHMEfj8VMoHKxR1qANGtSc84us/edit#gid=1249286410</t>
  </si>
  <si>
    <t>https://docs.google.com/spreadsheets/d/16yILn42B__okCx_dlEHMEfj8VMoHKxR1qANGtSc84us/edit#gid=444533656</t>
  </si>
  <si>
    <t>https://docs.google.com/spreadsheets/d/16yILn42B__okCx_dlEHMEfj8VMoHKxR1qANGtSc84us/edit#gid=300311665</t>
  </si>
  <si>
    <t>https://docs.google.com/spreadsheets/d/16yILn42B__okCx_dlEHMEfj8VMoHKxR1qANGtSc84us/edit#gid=1090952177</t>
  </si>
  <si>
    <t>https://docs.google.com/spreadsheets/d/16yILn42B__okCx_dlEHMEfj8VMoHKxR1qANGtSc84us/edit#gid=1506588713</t>
  </si>
  <si>
    <t>https://docs.google.com/spreadsheets/d/16yILn42B__okCx_dlEHMEfj8VMoHKxR1qANGtSc84us/edit#gid=1964892765</t>
  </si>
  <si>
    <t>https://docs.google.com/spreadsheets/d/16yILn42B__okCx_dlEHMEfj8VMoHKxR1qANGtSc84us/edit#gid=1469030678</t>
  </si>
  <si>
    <t>https://docs.google.com/spreadsheets/d/16yILn42B__okCx_dlEHMEfj8VMoHKxR1qANGtSc84us/edit#gid=1584641108</t>
  </si>
  <si>
    <t>PartialAllocation-0013</t>
  </si>
  <si>
    <t>Allocate using Prorata + Custom Checked
Account/Percentage: Acc1, Acc2, Acc3
Allocation Method: Trade Quantity
Remainder Allocation: -
Target% as of: Prorata
Match Closing Trans: true
Date for Prorata: Today
Custom Checked: true</t>
  </si>
  <si>
    <t>https://docs.google.com/spreadsheets/d/1MXftX1MABDPF3-AwlT4TaQZFa1HXwn_TXvdt0N_o6K8/edit#gid=848067204</t>
  </si>
  <si>
    <t>https://docs.google.com/spreadsheets/d/1MXftX1MABDPF3-AwlT4TaQZFa1HXwn_TXvdt0N_o6K8/edit#gid=291486577</t>
  </si>
  <si>
    <t>https://docs.google.com/spreadsheets/d/1MXftX1MABDPF3-AwlT4TaQZFa1HXwn_TXvdt0N_o6K8/edit#gid=901960590</t>
  </si>
  <si>
    <t>https://docs.google.com/spreadsheets/d/1MXftX1MABDPF3-AwlT4TaQZFa1HXwn_TXvdt0N_o6K8/edit#gid=1062053463</t>
  </si>
  <si>
    <t>https://docs.google.com/spreadsheets/d/1MXftX1MABDPF3-AwlT4TaQZFa1HXwn_TXvdt0N_o6K8/edit#gid=1167725034</t>
  </si>
  <si>
    <t>https://docs.google.com/spreadsheets/d/1MXftX1MABDPF3-AwlT4TaQZFa1HXwn_TXvdt0N_o6K8/edit#gid=1498824902</t>
  </si>
  <si>
    <t>https://docs.google.com/spreadsheets/d/1MXftX1MABDPF3-AwlT4TaQZFa1HXwn_TXvdt0N_o6K8/edit#gid=1366741626</t>
  </si>
  <si>
    <t>https://docs.google.com/spreadsheets/d/1MXftX1MABDPF3-AwlT4TaQZFa1HXwn_TXvdt0N_o6K8/edit#gid=1346728959</t>
  </si>
  <si>
    <t>https://docs.google.com/spreadsheets/d/1MXftX1MABDPF3-AwlT4TaQZFa1HXwn_TXvdt0N_o6K8/edit#gid=942762225</t>
  </si>
  <si>
    <t>https://docs.google.com/spreadsheets/d/1MXftX1MABDPF3-AwlT4TaQZFa1HXwn_TXvdt0N_o6K8/edit#gid=1784765414</t>
  </si>
  <si>
    <t>https://docs.google.com/spreadsheets/d/1MXftX1MABDPF3-AwlT4TaQZFa1HXwn_TXvdt0N_o6K8/edit#gid=444533656</t>
  </si>
  <si>
    <t>https://docs.google.com/spreadsheets/d/1MXftX1MABDPF3-AwlT4TaQZFa1HXwn_TXvdt0N_o6K8/edit#gid=300311665</t>
  </si>
  <si>
    <t>https://docs.google.com/spreadsheets/d/1MXftX1MABDPF3-AwlT4TaQZFa1HXwn_TXvdt0N_o6K8/edit#gid=1469760881</t>
  </si>
  <si>
    <t>https://docs.google.com/spreadsheets/d/1MXftX1MABDPF3-AwlT4TaQZFa1HXwn_TXvdt0N_o6K8/edit#gid=2137228459</t>
  </si>
  <si>
    <t>https://docs.google.com/spreadsheets/d/1MXftX1MABDPF3-AwlT4TaQZFa1HXwn_TXvdt0N_o6K8/edit#gid=70027090</t>
  </si>
  <si>
    <t>https://docs.google.com/spreadsheets/d/1MXftX1MABDPF3-AwlT4TaQZFa1HXwn_TXvdt0N_o6K8/edit#gid=170025553</t>
  </si>
  <si>
    <t>https://docs.google.com/spreadsheets/d/1MXftX1MABDPF3-AwlT4TaQZFa1HXwn_TXvdt0N_o6K8/edit#gid=1106915653</t>
  </si>
  <si>
    <t>https://docs.google.com/spreadsheets/d/1MXftX1MABDPF3-AwlT4TaQZFa1HXwn_TXvdt0N_o6K8/edit#gid=2122330047</t>
  </si>
  <si>
    <t>PartialAllocation-0014</t>
  </si>
  <si>
    <t>Allocate using Current Preference + Custom Checked
Account/Percentage: Acc1 - 50, Acc2 -50
Allocation Method: Trade Quantity
Remainder Allocation: -
Target% as of: Current Preference
Match Closing Trans: false
Date for Prorata: Today
Custom Checked: false</t>
  </si>
  <si>
    <t>https://docs.google.com/spreadsheets/d/1UwdYp4xpTwsDoLw9aDCsUjJk42IC6pg3Xx1Mf48YFpo/edit#gid=731665734</t>
  </si>
  <si>
    <t>https://docs.google.com/spreadsheets/d/1UwdYp4xpTwsDoLw9aDCsUjJk42IC6pg3Xx1Mf48YFpo/edit#gid=848067204</t>
  </si>
  <si>
    <t>https://docs.google.com/spreadsheets/d/1UwdYp4xpTwsDoLw9aDCsUjJk42IC6pg3Xx1Mf48YFpo/edit#gid=291486577</t>
  </si>
  <si>
    <t>https://docs.google.com/spreadsheets/d/1UwdYp4xpTwsDoLw9aDCsUjJk42IC6pg3Xx1Mf48YFpo/edit#gid=901960590</t>
  </si>
  <si>
    <t>https://docs.google.com/spreadsheets/d/1UwdYp4xpTwsDoLw9aDCsUjJk42IC6pg3Xx1Mf48YFpo/edit#gid=1062053463</t>
  </si>
  <si>
    <t>https://docs.google.com/spreadsheets/d/1UwdYp4xpTwsDoLw9aDCsUjJk42IC6pg3Xx1Mf48YFpo/edit#gid=1167725034</t>
  </si>
  <si>
    <t>https://docs.google.com/spreadsheets/d/1UwdYp4xpTwsDoLw9aDCsUjJk42IC6pg3Xx1Mf48YFpo/edit#gid=1498824902</t>
  </si>
  <si>
    <t>https://docs.google.com/spreadsheets/d/1UwdYp4xpTwsDoLw9aDCsUjJk42IC6pg3Xx1Mf48YFpo/edit#gid=1366741626</t>
  </si>
  <si>
    <t>https://docs.google.com/spreadsheets/d/1UwdYp4xpTwsDoLw9aDCsUjJk42IC6pg3Xx1Mf48YFpo/edit#gid=1346728959</t>
  </si>
  <si>
    <t>https://docs.google.com/spreadsheets/d/1UwdYp4xpTwsDoLw9aDCsUjJk42IC6pg3Xx1Mf48YFpo/edit#gid=942762225</t>
  </si>
  <si>
    <t>https://docs.google.com/spreadsheets/d/1UwdYp4xpTwsDoLw9aDCsUjJk42IC6pg3Xx1Mf48YFpo/edit#gid=316886168</t>
  </si>
  <si>
    <t>https://docs.google.com/spreadsheets/d/1UwdYp4xpTwsDoLw9aDCsUjJk42IC6pg3Xx1Mf48YFpo/edit#gid=1629835680</t>
  </si>
  <si>
    <t>https://docs.google.com/spreadsheets/d/1UwdYp4xpTwsDoLw9aDCsUjJk42IC6pg3Xx1Mf48YFpo/edit#gid=444533656</t>
  </si>
  <si>
    <t>https://docs.google.com/spreadsheets/d/1UwdYp4xpTwsDoLw9aDCsUjJk42IC6pg3Xx1Mf48YFpo/edit#gid=300311665</t>
  </si>
  <si>
    <t>https://docs.google.com/spreadsheets/d/1UwdYp4xpTwsDoLw9aDCsUjJk42IC6pg3Xx1Mf48YFpo/edit#gid=680980751</t>
  </si>
  <si>
    <t>https://docs.google.com/spreadsheets/d/1UwdYp4xpTwsDoLw9aDCsUjJk42IC6pg3Xx1Mf48YFpo/edit#gid=1116578740</t>
  </si>
  <si>
    <t>https://docs.google.com/spreadsheets/d/1UwdYp4xpTwsDoLw9aDCsUjJk42IC6pg3Xx1Mf48YFpo/edit#gid=1084661218</t>
  </si>
  <si>
    <t>https://docs.google.com/spreadsheets/d/1UwdYp4xpTwsDoLw9aDCsUjJk42IC6pg3Xx1Mf48YFpo/edit#gid=912773589</t>
  </si>
  <si>
    <t>https://docs.google.com/spreadsheets/d/1UwdYp4xpTwsDoLw9aDCsUjJk42IC6pg3Xx1Mf48YFpo/edit#gid=860119283</t>
  </si>
  <si>
    <t>https://docs.google.com/spreadsheets/d/1UwdYp4xpTwsDoLw9aDCsUjJk42IC6pg3Xx1Mf48YFpo/edit#gid=1273400155</t>
  </si>
  <si>
    <t>PartialAllocation-0015</t>
  </si>
  <si>
    <t>Allocate using Current Preference + Custom Checked
Account/Percentage: Acc1 - 55.5, Acc2 -44.5
Allocation Method: Trade Quantity
Remainder Allocation: -
Target% as of: Current Preference
Match Closing Trans: false
Date for Prorata: Today
Custom Checked: true
Force Allocation : true</t>
  </si>
  <si>
    <t>https://docs.google.com/spreadsheets/d/1WYGYY9uQ0LNPTQKkfdZkAMp8cg-SGJhof5v8d6_99WU/edit#gid=2119508949</t>
  </si>
  <si>
    <t>https://docs.google.com/spreadsheets/d/1WYGYY9uQ0LNPTQKkfdZkAMp8cg-SGJhof5v8d6_99WU/edit#gid=848067204</t>
  </si>
  <si>
    <t>https://docs.google.com/spreadsheets/d/1WYGYY9uQ0LNPTQKkfdZkAMp8cg-SGJhof5v8d6_99WU/edit#gid=291486577</t>
  </si>
  <si>
    <t>https://docs.google.com/spreadsheets/d/1WYGYY9uQ0LNPTQKkfdZkAMp8cg-SGJhof5v8d6_99WU/edit#gid=901960590</t>
  </si>
  <si>
    <t>https://docs.google.com/spreadsheets/d/1WYGYY9uQ0LNPTQKkfdZkAMp8cg-SGJhof5v8d6_99WU/edit#gid=1062053463</t>
  </si>
  <si>
    <t>https://docs.google.com/spreadsheets/d/1WYGYY9uQ0LNPTQKkfdZkAMp8cg-SGJhof5v8d6_99WU/edit#gid=1167725034</t>
  </si>
  <si>
    <t>https://docs.google.com/spreadsheets/d/1WYGYY9uQ0LNPTQKkfdZkAMp8cg-SGJhof5v8d6_99WU/edit#gid=1498824902</t>
  </si>
  <si>
    <t>https://docs.google.com/spreadsheets/d/1WYGYY9uQ0LNPTQKkfdZkAMp8cg-SGJhof5v8d6_99WU/edit#gid=1366741626</t>
  </si>
  <si>
    <t>https://docs.google.com/spreadsheets/d/1WYGYY9uQ0LNPTQKkfdZkAMp8cg-SGJhof5v8d6_99WU/edit#gid=1346728959</t>
  </si>
  <si>
    <t>https://docs.google.com/spreadsheets/d/1WYGYY9uQ0LNPTQKkfdZkAMp8cg-SGJhof5v8d6_99WU/edit#gid=942762225</t>
  </si>
  <si>
    <t>https://docs.google.com/spreadsheets/d/1WYGYY9uQ0LNPTQKkfdZkAMp8cg-SGJhof5v8d6_99WU/edit#gid=316886168</t>
  </si>
  <si>
    <t>https://docs.google.com/spreadsheets/d/1WYGYY9uQ0LNPTQKkfdZkAMp8cg-SGJhof5v8d6_99WU/edit#gid=301566170</t>
  </si>
  <si>
    <t>https://docs.google.com/spreadsheets/d/1WYGYY9uQ0LNPTQKkfdZkAMp8cg-SGJhof5v8d6_99WU/edit#gid=444533656</t>
  </si>
  <si>
    <t>https://docs.google.com/spreadsheets/d/1WYGYY9uQ0LNPTQKkfdZkAMp8cg-SGJhof5v8d6_99WU/edit#gid=1548152248</t>
  </si>
  <si>
    <t>https://docs.google.com/spreadsheets/d/1WYGYY9uQ0LNPTQKkfdZkAMp8cg-SGJhof5v8d6_99WU/edit#gid=935192376</t>
  </si>
  <si>
    <t>https://docs.google.com/spreadsheets/d/1WYGYY9uQ0LNPTQKkfdZkAMp8cg-SGJhof5v8d6_99WU/edit#gid=338225756</t>
  </si>
  <si>
    <t>https://docs.google.com/spreadsheets/d/1WYGYY9uQ0LNPTQKkfdZkAMp8cg-SGJhof5v8d6_99WU/edit#gid=590955740</t>
  </si>
  <si>
    <t>https://docs.google.com/spreadsheets/d/1WYGYY9uQ0LNPTQKkfdZkAMp8cg-SGJhof5v8d6_99WU/edit#gid=1666803237</t>
  </si>
  <si>
    <t>https://docs.google.com/spreadsheets/d/1WYGYY9uQ0LNPTQKkfdZkAMp8cg-SGJhof5v8d6_99WU/edit#gid=394206818</t>
  </si>
  <si>
    <t>PartialAllocation-0016</t>
  </si>
  <si>
    <t>Allocate using Current Preference + Custom Checked
Account/Percentage: Acc1 - 90, Acc2 -10
Allocation Method: Trade Quantity
Remainder Allocation: -
Target% as of: Current Preference
Match Closing Trans: true
Date for Prorata: Today
Custom Checked: true</t>
  </si>
  <si>
    <t>https://docs.google.com/spreadsheets/d/1DCXQHpLNQHH6MU-lq6STTb0rPCU6lw-cf1S4GkUNDj0/edit#gid=1630912510</t>
  </si>
  <si>
    <t>https://docs.google.com/spreadsheets/d/1DCXQHpLNQHH6MU-lq6STTb0rPCU6lw-cf1S4GkUNDj0/edit#gid=848067204</t>
  </si>
  <si>
    <t>https://docs.google.com/spreadsheets/d/1DCXQHpLNQHH6MU-lq6STTb0rPCU6lw-cf1S4GkUNDj0/edit#gid=291486577</t>
  </si>
  <si>
    <t>https://docs.google.com/spreadsheets/d/1DCXQHpLNQHH6MU-lq6STTb0rPCU6lw-cf1S4GkUNDj0/edit#gid=901960590</t>
  </si>
  <si>
    <t>https://docs.google.com/spreadsheets/d/1DCXQHpLNQHH6MU-lq6STTb0rPCU6lw-cf1S4GkUNDj0/edit#gid=1062053463</t>
  </si>
  <si>
    <t>https://docs.google.com/spreadsheets/d/1DCXQHpLNQHH6MU-lq6STTb0rPCU6lw-cf1S4GkUNDj0/edit#gid=1167725034</t>
  </si>
  <si>
    <t>https://docs.google.com/spreadsheets/d/1DCXQHpLNQHH6MU-lq6STTb0rPCU6lw-cf1S4GkUNDj0/edit#gid=1498824902</t>
  </si>
  <si>
    <t>https://docs.google.com/spreadsheets/d/1DCXQHpLNQHH6MU-lq6STTb0rPCU6lw-cf1S4GkUNDj0/edit#gid=1366741626</t>
  </si>
  <si>
    <t>https://docs.google.com/spreadsheets/d/1DCXQHpLNQHH6MU-lq6STTb0rPCU6lw-cf1S4GkUNDj0/edit#gid=1346728959</t>
  </si>
  <si>
    <t>https://docs.google.com/spreadsheets/d/1DCXQHpLNQHH6MU-lq6STTb0rPCU6lw-cf1S4GkUNDj0/edit#gid=942762225</t>
  </si>
  <si>
    <t>https://docs.google.com/spreadsheets/d/1DCXQHpLNQHH6MU-lq6STTb0rPCU6lw-cf1S4GkUNDj0/edit#gid=316886168</t>
  </si>
  <si>
    <t>https://docs.google.com/spreadsheets/d/1DCXQHpLNQHH6MU-lq6STTb0rPCU6lw-cf1S4GkUNDj0/edit#gid=498739811</t>
  </si>
  <si>
    <t>https://docs.google.com/spreadsheets/d/1DCXQHpLNQHH6MU-lq6STTb0rPCU6lw-cf1S4GkUNDj0/edit#gid=444533656</t>
  </si>
  <si>
    <t>https://docs.google.com/spreadsheets/d/1DCXQHpLNQHH6MU-lq6STTb0rPCU6lw-cf1S4GkUNDj0/edit#gid=534362231</t>
  </si>
  <si>
    <t>https://docs.google.com/spreadsheets/d/1DCXQHpLNQHH6MU-lq6STTb0rPCU6lw-cf1S4GkUNDj0/edit#gid=404935663</t>
  </si>
  <si>
    <t>https://docs.google.com/spreadsheets/d/1DCXQHpLNQHH6MU-lq6STTb0rPCU6lw-cf1S4GkUNDj0/edit#gid=83922945</t>
  </si>
  <si>
    <t>https://docs.google.com/spreadsheets/d/1DCXQHpLNQHH6MU-lq6STTb0rPCU6lw-cf1S4GkUNDj0/edit#gid=1434298868</t>
  </si>
  <si>
    <t>https://docs.google.com/spreadsheets/d/1DCXQHpLNQHH6MU-lq6STTb0rPCU6lw-cf1S4GkUNDj0/edit#gid=183741488</t>
  </si>
  <si>
    <t>https://docs.google.com/spreadsheets/d/1DCXQHpLNQHH6MU-lq6STTb0rPCU6lw-cf1S4GkUNDj0/edit#gid=1579916542</t>
  </si>
  <si>
    <t>https://docs.google.com/spreadsheets/d/1DCXQHpLNQHH6MU-lq6STTb0rPCU6lw-cf1S4GkUNDj0/edit#gid=1284291604</t>
  </si>
  <si>
    <t>PartialAllocation-0017</t>
  </si>
  <si>
    <t>Allocate using Prorata (NAV) + Custom Checked
Account/Percentage: Acc1, Acc2, Acc3
Allocation Method: Trade Quantity
Remainder Allocation: -
Target% as of: Prorata
Match Closing Trans: false
Date for Prorata: Today
Custom Checked: false</t>
  </si>
  <si>
    <t>https://docs.google.com/spreadsheets/d/1_2kzlEAtxjpoWLOftpsQOYPAvPz7CTi35RcrYZ-AkVE/edit#gid=848067204</t>
  </si>
  <si>
    <t>https://docs.google.com/spreadsheets/d/1_2kzlEAtxjpoWLOftpsQOYPAvPz7CTi35RcrYZ-AkVE/edit#gid=291486577</t>
  </si>
  <si>
    <t>https://docs.google.com/spreadsheets/d/1_2kzlEAtxjpoWLOftpsQOYPAvPz7CTi35RcrYZ-AkVE/edit#gid=901960590</t>
  </si>
  <si>
    <t>https://docs.google.com/spreadsheets/d/1_2kzlEAtxjpoWLOftpsQOYPAvPz7CTi35RcrYZ-AkVE/edit#gid=731662688</t>
  </si>
  <si>
    <t>https://docs.google.com/spreadsheets/d/1_2kzlEAtxjpoWLOftpsQOYPAvPz7CTi35RcrYZ-AkVE/edit#gid=1167725034</t>
  </si>
  <si>
    <t>https://docs.google.com/spreadsheets/d/1_2kzlEAtxjpoWLOftpsQOYPAvPz7CTi35RcrYZ-AkVE/edit#gid=1498824902</t>
  </si>
  <si>
    <t>https://docs.google.com/spreadsheets/d/1_2kzlEAtxjpoWLOftpsQOYPAvPz7CTi35RcrYZ-AkVE/edit#gid=1484309022</t>
  </si>
  <si>
    <t>https://docs.google.com/spreadsheets/d/1_2kzlEAtxjpoWLOftpsQOYPAvPz7CTi35RcrYZ-AkVE/edit#gid=1346728959</t>
  </si>
  <si>
    <t>https://docs.google.com/spreadsheets/d/1_2kzlEAtxjpoWLOftpsQOYPAvPz7CTi35RcrYZ-AkVE/edit#gid=942762225</t>
  </si>
  <si>
    <t>https://docs.google.com/spreadsheets/d/1_2kzlEAtxjpoWLOftpsQOYPAvPz7CTi35RcrYZ-AkVE/edit#gid=151513935</t>
  </si>
  <si>
    <t>https://docs.google.com/spreadsheets/d/1_2kzlEAtxjpoWLOftpsQOYPAvPz7CTi35RcrYZ-AkVE/edit#gid=444533656</t>
  </si>
  <si>
    <t>https://docs.google.com/spreadsheets/d/1_2kzlEAtxjpoWLOftpsQOYPAvPz7CTi35RcrYZ-AkVE/edit#gid=300311665</t>
  </si>
  <si>
    <t>https://docs.google.com/spreadsheets/d/1_2kzlEAtxjpoWLOftpsQOYPAvPz7CTi35RcrYZ-AkVE/edit#gid=1949369643</t>
  </si>
  <si>
    <t>https://docs.google.com/spreadsheets/d/1_2kzlEAtxjpoWLOftpsQOYPAvPz7CTi35RcrYZ-AkVE/edit#gid=2035017987</t>
  </si>
  <si>
    <t>https://docs.google.com/spreadsheets/d/1_2kzlEAtxjpoWLOftpsQOYPAvPz7CTi35RcrYZ-AkVE/edit#gid=1626254989</t>
  </si>
  <si>
    <t>https://docs.google.com/spreadsheets/d/1_2kzlEAtxjpoWLOftpsQOYPAvPz7CTi35RcrYZ-AkVE/edit#gid=2008447490</t>
  </si>
  <si>
    <t>https://docs.google.com/spreadsheets/d/1_2kzlEAtxjpoWLOftpsQOYPAvPz7CTi35RcrYZ-AkVE/edit#gid=14692605</t>
  </si>
  <si>
    <t>https://docs.google.com/spreadsheets/d/1_2kzlEAtxjpoWLOftpsQOYPAvPz7CTi35RcrYZ-AkVE/edit#gid=461190990</t>
  </si>
  <si>
    <t>PartialAllocation-0018</t>
  </si>
  <si>
    <t>Allocate using Prorata (NAV) + Custom Checked
Account/Percentage: Acc1, Acc2, Acc3
Allocation Method: Trade Quantity
Remainder Allocation: -
Target% as of: Prorata
Match Closing Trans: false
Date for Prorata: Today
Custom Checked: true</t>
  </si>
  <si>
    <t>https://docs.google.com/spreadsheets/d/1cVXYuHKjCgi8NxUPEEViwyhTLiK9KexzeCWIl08rEEU/edit#gid=848067204</t>
  </si>
  <si>
    <t>https://docs.google.com/spreadsheets/d/1cVXYuHKjCgi8NxUPEEViwyhTLiK9KexzeCWIl08rEEU/edit#gid=291486577</t>
  </si>
  <si>
    <t>https://docs.google.com/spreadsheets/d/1cVXYuHKjCgi8NxUPEEViwyhTLiK9KexzeCWIl08rEEU/edit#gid=901960590</t>
  </si>
  <si>
    <t>https://docs.google.com/spreadsheets/d/1cVXYuHKjCgi8NxUPEEViwyhTLiK9KexzeCWIl08rEEU/edit#gid=731662688</t>
  </si>
  <si>
    <t>https://docs.google.com/spreadsheets/d/1cVXYuHKjCgi8NxUPEEViwyhTLiK9KexzeCWIl08rEEU/edit#gid=1167725034</t>
  </si>
  <si>
    <t>https://docs.google.com/spreadsheets/d/1cVXYuHKjCgi8NxUPEEViwyhTLiK9KexzeCWIl08rEEU/edit#gid=1498824902</t>
  </si>
  <si>
    <t>https://docs.google.com/spreadsheets/d/1cVXYuHKjCgi8NxUPEEViwyhTLiK9KexzeCWIl08rEEU/edit#gid=1484309022</t>
  </si>
  <si>
    <t>https://docs.google.com/spreadsheets/d/1cVXYuHKjCgi8NxUPEEViwyhTLiK9KexzeCWIl08rEEU/edit#gid=1346728959</t>
  </si>
  <si>
    <t>https://docs.google.com/spreadsheets/d/1cVXYuHKjCgi8NxUPEEViwyhTLiK9KexzeCWIl08rEEU/edit#gid=942762225</t>
  </si>
  <si>
    <t>https://docs.google.com/spreadsheets/d/1cVXYuHKjCgi8NxUPEEViwyhTLiK9KexzeCWIl08rEEU/edit#gid=1403632598</t>
  </si>
  <si>
    <t>https://docs.google.com/spreadsheets/d/1cVXYuHKjCgi8NxUPEEViwyhTLiK9KexzeCWIl08rEEU/edit#gid=444533656</t>
  </si>
  <si>
    <t>https://docs.google.com/spreadsheets/d/1cVXYuHKjCgi8NxUPEEViwyhTLiK9KexzeCWIl08rEEU/edit#gid=300311665</t>
  </si>
  <si>
    <t>https://docs.google.com/spreadsheets/d/1cVXYuHKjCgi8NxUPEEViwyhTLiK9KexzeCWIl08rEEU/edit#gid=591091457</t>
  </si>
  <si>
    <t>https://docs.google.com/spreadsheets/d/1cVXYuHKjCgi8NxUPEEViwyhTLiK9KexzeCWIl08rEEU/edit#gid=1623525537</t>
  </si>
  <si>
    <t>https://docs.google.com/spreadsheets/d/1cVXYuHKjCgi8NxUPEEViwyhTLiK9KexzeCWIl08rEEU/edit#gid=534738508</t>
  </si>
  <si>
    <t>https://docs.google.com/spreadsheets/d/1cVXYuHKjCgi8NxUPEEViwyhTLiK9KexzeCWIl08rEEU/edit#gid=906706195</t>
  </si>
  <si>
    <t>https://docs.google.com/spreadsheets/d/1cVXYuHKjCgi8NxUPEEViwyhTLiK9KexzeCWIl08rEEU/edit#gid=769763900</t>
  </si>
  <si>
    <t>https://docs.google.com/spreadsheets/d/1cVXYuHKjCgi8NxUPEEViwyhTLiK9KexzeCWIl08rEEU/edit#gid=1099297943</t>
  </si>
  <si>
    <t>PartialAllocation-0019</t>
  </si>
  <si>
    <t>Allocate using Prorata (NAV) + Custom Checked
Account/Percentage: Acc1, Acc2, Acc3
Allocation Method: Trade Quantity
Remainder Allocation: -
Target% as of: Prorata
Match Closing Trans: true
Date for Prorata: Today
Custom Checked: true</t>
  </si>
  <si>
    <t>https://docs.google.com/spreadsheets/d/1m8W6PvkAyh42a3hGWg5E5WDphGKgBvRzcJgefYfNJfE/edit#gid=848067204</t>
  </si>
  <si>
    <t>https://docs.google.com/spreadsheets/d/1m8W6PvkAyh42a3hGWg5E5WDphGKgBvRzcJgefYfNJfE/edit#gid=291486577</t>
  </si>
  <si>
    <t>https://docs.google.com/spreadsheets/d/1m8W6PvkAyh42a3hGWg5E5WDphGKgBvRzcJgefYfNJfE/edit#gid=901960590</t>
  </si>
  <si>
    <t>https://docs.google.com/spreadsheets/d/1m8W6PvkAyh42a3hGWg5E5WDphGKgBvRzcJgefYfNJfE/edit#gid=731662688</t>
  </si>
  <si>
    <t>https://docs.google.com/spreadsheets/d/1m8W6PvkAyh42a3hGWg5E5WDphGKgBvRzcJgefYfNJfE/edit#gid=1167725034</t>
  </si>
  <si>
    <t>https://docs.google.com/spreadsheets/d/1m8W6PvkAyh42a3hGWg5E5WDphGKgBvRzcJgefYfNJfE/edit#gid=1498824902</t>
  </si>
  <si>
    <t>https://docs.google.com/spreadsheets/d/1m8W6PvkAyh42a3hGWg5E5WDphGKgBvRzcJgefYfNJfE/edit#gid=1484309022</t>
  </si>
  <si>
    <t>https://docs.google.com/spreadsheets/d/1m8W6PvkAyh42a3hGWg5E5WDphGKgBvRzcJgefYfNJfE/edit#gid=1346728959</t>
  </si>
  <si>
    <t>https://docs.google.com/spreadsheets/d/1m8W6PvkAyh42a3hGWg5E5WDphGKgBvRzcJgefYfNJfE/edit#gid=942762225</t>
  </si>
  <si>
    <t>https://docs.google.com/spreadsheets/d/1m8W6PvkAyh42a3hGWg5E5WDphGKgBvRzcJgefYfNJfE/edit#gid=2001781774</t>
  </si>
  <si>
    <t>https://docs.google.com/spreadsheets/d/1m8W6PvkAyh42a3hGWg5E5WDphGKgBvRzcJgefYfNJfE/edit#gid=444533656</t>
  </si>
  <si>
    <t>https://docs.google.com/spreadsheets/d/1m8W6PvkAyh42a3hGWg5E5WDphGKgBvRzcJgefYfNJfE/edit#gid=300311665</t>
  </si>
  <si>
    <t>https://docs.google.com/spreadsheets/d/1m8W6PvkAyh42a3hGWg5E5WDphGKgBvRzcJgefYfNJfE/edit#gid=1245807922</t>
  </si>
  <si>
    <t>https://docs.google.com/spreadsheets/d/1m8W6PvkAyh42a3hGWg5E5WDphGKgBvRzcJgefYfNJfE/edit#gid=1768509361</t>
  </si>
  <si>
    <t>https://docs.google.com/spreadsheets/d/1m8W6PvkAyh42a3hGWg5E5WDphGKgBvRzcJgefYfNJfE/edit#gid=12078598</t>
  </si>
  <si>
    <t>https://docs.google.com/spreadsheets/d/1m8W6PvkAyh42a3hGWg5E5WDphGKgBvRzcJgefYfNJfE/edit#gid=1267960685</t>
  </si>
  <si>
    <t>https://docs.google.com/spreadsheets/d/1m8W6PvkAyh42a3hGWg5E5WDphGKgBvRzcJgefYfNJfE/edit#gid=232111261</t>
  </si>
  <si>
    <t>https://docs.google.com/spreadsheets/d/1m8W6PvkAyh42a3hGWg5E5WDphGKgBvRzcJgefYfNJfE/edit#gid=1560473405</t>
  </si>
  <si>
    <t>PA-0015</t>
  </si>
  <si>
    <t xml:space="preserve">DELL has long portfolio position in Account1 : 50, Account2: 50 
- HP has no position in portfolio 
- Now Trade DELL Sell 100 @1 , HP Sell 100@1 and HP Buy 100@1 
- Select these trades and Set allocation preference to Prorata- Account1, Account2 - Match Portfolio Position true and Allocate </t>
  </si>
  <si>
    <t>https://docs.google.com/spreadsheets/d/1a6KE_hbjWPiEQJ_GMBHrpnLDpcXwJleISiym0-YvUaM/edit#gid=154962266</t>
  </si>
  <si>
    <t>https://docs.google.com/spreadsheets/d/1a6KE_hbjWPiEQJ_GMBHrpnLDpcXwJleISiym0-YvUaM/edit#gid=1323893497</t>
  </si>
  <si>
    <t>https://docs.google.com/spreadsheets/d/1a6KE_hbjWPiEQJ_GMBHrpnLDpcXwJleISiym0-YvUaM/edit#gid=1105477973</t>
  </si>
  <si>
    <t>https://docs.google.com/spreadsheets/d/1a6KE_hbjWPiEQJ_GMBHrpnLDpcXwJleISiym0-YvUaM/edit#gid=1625390407</t>
  </si>
  <si>
    <t>https://docs.google.com/spreadsheets/d/1a6KE_hbjWPiEQJ_GMBHrpnLDpcXwJleISiym0-YvUaM/edit#gid=852316954</t>
  </si>
  <si>
    <t>https://docs.google.com/spreadsheets/d/1a6KE_hbjWPiEQJ_GMBHrpnLDpcXwJleISiym0-YvUaM/edit#gid=1957580865</t>
  </si>
  <si>
    <t>https://docs.google.com/spreadsheets/d/1a6KE_hbjWPiEQJ_GMBHrpnLDpcXwJleISiym0-YvUaM/edit#gid=187840640</t>
  </si>
  <si>
    <t>https://docs.google.com/spreadsheets/d/1a6KE_hbjWPiEQJ_GMBHrpnLDpcXwJleISiym0-YvUaM/edit#gid=1696188823</t>
  </si>
  <si>
    <t>https://docs.google.com/spreadsheets/d/1a6KE_hbjWPiEQJ_GMBHrpnLDpcXwJleISiym0-YvUaM/edit#gid=112890901</t>
  </si>
  <si>
    <t>https://docs.google.com/spreadsheets/d/1a6KE_hbjWPiEQJ_GMBHrpnLDpcXwJleISiym0-YvUaM/edit#gid=1957759462</t>
  </si>
  <si>
    <t>https://docs.google.com/spreadsheets/d/1a6KE_hbjWPiEQJ_GMBHrpnLDpcXwJleISiym0-YvUaM/edit#gid=1532497245</t>
  </si>
  <si>
    <t>Acceptance-0002</t>
  </si>
  <si>
    <t>Allocate Trades Using Preference</t>
  </si>
  <si>
    <t>https://docs.google.com/spreadsheets/d/1yc5sPtxmBAMeUKBtHQJNdKm43WWYUV45O-PTcQ1C41Y/edit#gid=2137053871</t>
  </si>
  <si>
    <t>https://docs.google.com/spreadsheets/d/1yc5sPtxmBAMeUKBtHQJNdKm43WWYUV45O-PTcQ1C41Y/edit#gid=1023795234</t>
  </si>
  <si>
    <t>https://docs.google.com/spreadsheets/d/1yc5sPtxmBAMeUKBtHQJNdKm43WWYUV45O-PTcQ1C41Y/edit#gid=1839125228</t>
  </si>
  <si>
    <t>https://docs.google.com/spreadsheets/d/1yc5sPtxmBAMeUKBtHQJNdKm43WWYUV45O-PTcQ1C41Y/edit#gid=2020321568</t>
  </si>
  <si>
    <t>https://docs.google.com/spreadsheets/d/1yc5sPtxmBAMeUKBtHQJNdKm43WWYUV45O-PTcQ1C41Y/edit#gid=1682434040</t>
  </si>
  <si>
    <t>https://docs.google.com/spreadsheets/d/1yc5sPtxmBAMeUKBtHQJNdKm43WWYUV45O-PTcQ1C41Y/edit#gid=489617954</t>
  </si>
  <si>
    <t>https://docs.google.com/spreadsheets/d/1yc5sPtxmBAMeUKBtHQJNdKm43WWYUV45O-PTcQ1C41Y/edit#gid=1886998174</t>
  </si>
  <si>
    <t>https://docs.google.com/spreadsheets/d/1yc5sPtxmBAMeUKBtHQJNdKm43WWYUV45O-PTcQ1C41Y/edit#gid=498437372</t>
  </si>
  <si>
    <t>https://docs.google.com/spreadsheets/d/1yc5sPtxmBAMeUKBtHQJNdKm43WWYUV45O-PTcQ1C41Y/edit#gid=1782212361</t>
  </si>
  <si>
    <t>https://docs.google.com/spreadsheets/d/1yc5sPtxmBAMeUKBtHQJNdKm43WWYUV45O-PTcQ1C41Y/edit#gid=2056078024</t>
  </si>
  <si>
    <t>https://docs.google.com/spreadsheets/d/1yc5sPtxmBAMeUKBtHQJNdKm43WWYUV45O-PTcQ1C41Y/edit#gid=1959783043</t>
  </si>
  <si>
    <t>https://docs.google.com/spreadsheets/d/1yc5sPtxmBAMeUKBtHQJNdKm43WWYUV45O-PTcQ1C41Y/edit#gid=651138049</t>
  </si>
  <si>
    <t>https://docs.google.com/spreadsheets/d/1yc5sPtxmBAMeUKBtHQJNdKm43WWYUV45O-PTcQ1C41Y/edit#gid=1956733100</t>
  </si>
  <si>
    <t>https://docs.google.com/spreadsheets/d/1yc5sPtxmBAMeUKBtHQJNdKm43WWYUV45O-PTcQ1C41Y/edit#gid=426698037</t>
  </si>
  <si>
    <t>https://docs.google.com/spreadsheets/d/1Oz40bnbhzhIh_q-yzuK6NMDX45J5bjmD3HbhPrHc_AY/edit#gid=385887153</t>
  </si>
  <si>
    <t>https://docs.google.com/spreadsheets/d/1yc5sPtxmBAMeUKBtHQJNdKm43WWYUV45O-PTcQ1C41Y/edit#gid=493631943</t>
  </si>
  <si>
    <t>https://docs.google.com/spreadsheets/d/1yc5sPtxmBAMeUKBtHQJNdKm43WWYUV45O-PTcQ1C41Y/edit#gid=301602225</t>
  </si>
  <si>
    <t>Acceptance-0003</t>
  </si>
  <si>
    <t>ReAllocate Trades Manually</t>
  </si>
  <si>
    <t>https://docs.google.com/spreadsheets/d/1Oz40bnbhzhIh_q-yzuK6NMDX45J5bjmD3HbhPrHc_AY/edit#gid=2137053871</t>
  </si>
  <si>
    <t>https://docs.google.com/spreadsheets/d/13BhbxmiKBzUi_FK3p1u50iFMwK8p6hhw80Toiz9AY2U/edit#gid=668355258</t>
  </si>
  <si>
    <t>https://docs.google.com/spreadsheets/d/13BhbxmiKBzUi_FK3p1u50iFMwK8p6hhw80Toiz9AY2U/edit#gid=1247434051</t>
  </si>
  <si>
    <t>https://docs.google.com/spreadsheets/d/13BhbxmiKBzUi_FK3p1u50iFMwK8p6hhw80Toiz9AY2U/edit#gid=876980132</t>
  </si>
  <si>
    <t>https://docs.google.com/spreadsheets/d/13BhbxmiKBzUi_FK3p1u50iFMwK8p6hhw80Toiz9AY2U/edit#gid=1895484952</t>
  </si>
  <si>
    <t>https://docs.google.com/spreadsheets/d/13BhbxmiKBzUi_FK3p1u50iFMwK8p6hhw80Toiz9AY2U/edit#gid=776011083</t>
  </si>
  <si>
    <t>https://docs.google.com/spreadsheets/d/13BhbxmiKBzUi_FK3p1u50iFMwK8p6hhw80Toiz9AY2U/edit#gid=1001762625</t>
  </si>
  <si>
    <t>https://docs.google.com/spreadsheets/d/13BhbxmiKBzUi_FK3p1u50iFMwK8p6hhw80Toiz9AY2U/edit#gid=374053256</t>
  </si>
  <si>
    <t>https://docs.google.com/spreadsheets/d/13BhbxmiKBzUi_FK3p1u50iFMwK8p6hhw80Toiz9AY2U/edit#gid=1012936709</t>
  </si>
  <si>
    <t>https://docs.google.com/spreadsheets/d/13BhbxmiKBzUi_FK3p1u50iFMwK8p6hhw80Toiz9AY2U/edit#gid=561096514</t>
  </si>
  <si>
    <t>https://docs.google.com/spreadsheets/d/13BhbxmiKBzUi_FK3p1u50iFMwK8p6hhw80Toiz9AY2U/edit#gid=1521333878</t>
  </si>
  <si>
    <t>https://docs.google.com/spreadsheets/d/13BhbxmiKBzUi_FK3p1u50iFMwK8p6hhw80Toiz9AY2U/edit#gid=2063690654</t>
  </si>
  <si>
    <t>https://docs.google.com/spreadsheets/d/1ufBDY9glOouwDeubS9f92TanoOj0fHb9ihxJORkLPrY/edit#gid=1045930551</t>
  </si>
  <si>
    <t>https://docs.google.com/spreadsheets/d/13BhbxmiKBzUi_FK3p1u50iFMwK8p6hhw80Toiz9AY2U/edit#gid=950859617</t>
  </si>
  <si>
    <t>Acceptance-0006</t>
  </si>
  <si>
    <t>Import Trades from Import UI</t>
  </si>
  <si>
    <t>https://docs.google.com/spreadsheets/d/1A_rFxZwkA3zJx21NeAoH7qXkx3VYp4jUy82P55ExKFY</t>
  </si>
  <si>
    <t>Acceptance-0008</t>
  </si>
  <si>
    <t>Override selected feed price</t>
  </si>
  <si>
    <t>https://docs.google.com/spreadsheets/d/1EKp-7y3aNG1kTG2BQ9GKChnZ6b4DMUtDQkLuPdmZ-Mw/edit#gid=1988208495</t>
  </si>
  <si>
    <t>https://docs.google.com/spreadsheets/d/1EKp-7y3aNG1kTG2BQ9GKChnZ6b4DMUtDQkLuPdmZ-Mw/edit#gid=162259224</t>
  </si>
  <si>
    <t>https://docs.google.com/spreadsheets/d/1EKp-7y3aNG1kTG2BQ9GKChnZ6b4DMUtDQkLuPdmZ-Mw/edit#gid=134363505</t>
  </si>
  <si>
    <t>Acceptance-0010</t>
  </si>
  <si>
    <t xml:space="preserve">Update Values in Daily Valuation
</t>
  </si>
  <si>
    <t>https://docs.google.com/spreadsheets/d/1qZ2glDh3oQ0_wyxbvasIhTIBcdi9X94vT_ULxkDvzG8/edit#gid=857034109</t>
  </si>
  <si>
    <t>https://docs.google.com/spreadsheets/d/1qZ2glDh3oQ0_wyxbvasIhTIBcdi9X94vT_ULxkDvzG8/edit#gid=1623952294</t>
  </si>
  <si>
    <t>https://docs.google.com/spreadsheets/d/1qZ2glDh3oQ0_wyxbvasIhTIBcdi9X94vT_ULxkDvzG8/edit#gid=533722163</t>
  </si>
  <si>
    <t>https://docs.google.com/spreadsheets/d/1qZ2glDh3oQ0_wyxbvasIhTIBcdi9X94vT_ULxkDvzG8/edit#gid=1389267124</t>
  </si>
  <si>
    <t>https://docs.google.com/spreadsheets/d/1qZ2glDh3oQ0_wyxbvasIhTIBcdi9X94vT_ULxkDvzG8/edit#gid=2112655341</t>
  </si>
  <si>
    <t>https://docs.google.com/spreadsheets/d/1qZ2glDh3oQ0_wyxbvasIhTIBcdi9X94vT_ULxkDvzG8/edit#gid=1191990684</t>
  </si>
  <si>
    <t>Acceptance-0012</t>
  </si>
  <si>
    <t>Pricing Input-Outstanding Share</t>
  </si>
  <si>
    <t>https://docs.google.com/spreadsheets/d/1c7w2w7EVMFbuT7aHr6H9NZ6-GKERp-WeaGW2KDz5mwE/edit#gid=913274521</t>
  </si>
  <si>
    <t>https://docs.google.com/spreadsheets/d/1c7w2w7EVMFbuT7aHr6H9NZ6-GKERp-WeaGW2KDz5mwE/edit#gid=625682617</t>
  </si>
  <si>
    <t>https://docs.google.com/spreadsheets/d/1c7w2w7EVMFbuT7aHr6H9NZ6-GKERp-WeaGW2KDz5mwE/edit#gid=93483539</t>
  </si>
  <si>
    <t>Acceptance-0020</t>
  </si>
  <si>
    <t>Symbol Lookup-Open From TT</t>
  </si>
  <si>
    <t>https://docs.google.com/spreadsheets/d/1WllmdOgNRVhWePPxfx2lwXLRujaM4iDauRGXCVIzatM/edit#gid=1181644266</t>
  </si>
  <si>
    <t>https://docs.google.com/spreadsheets/d/1WllmdOgNRVhWePPxfx2lwXLRujaM4iDauRGXCVIzatM/edit#gid=1832433076</t>
  </si>
  <si>
    <t>Acceptance-0021</t>
  </si>
  <si>
    <t>Symbol Lookup-Open From Data Management</t>
  </si>
  <si>
    <t>https://docs.google.com/spreadsheets/d/1Xl8HsoajdBJ_OGQfYzKfZKub3LkY7nA9bfTBnLeRImg/edit#gid=1773462904</t>
  </si>
  <si>
    <t>https://docs.google.com/spreadsheets/d/1Xl8HsoajdBJ_OGQfYzKfZKub3LkY7nA9bfTBnLeRImg/edit#gid=1987051167</t>
  </si>
  <si>
    <t>Acceptance-0022</t>
  </si>
  <si>
    <t>Symbol Lookup -Update UDA</t>
  </si>
  <si>
    <t>https://docs.google.com/spreadsheets/d/1ZKwgq2-t3VnUvO2e2urBqF0JX7hPOppTQEb8kapseEw/edit#gid=1292045805</t>
  </si>
  <si>
    <t>https://docs.google.com/spreadsheets/d/1ZKwgq2-t3VnUvO2e2urBqF0JX7hPOppTQEb8kapseEw/edit#gid=401625550</t>
  </si>
  <si>
    <t>https://docs.google.com/spreadsheets/d/1ZKwgq2-t3VnUvO2e2urBqF0JX7hPOppTQEb8kapseEw/edit#gid=1895404156</t>
  </si>
  <si>
    <t>Acceptance-0023</t>
  </si>
  <si>
    <t>Exercise/Assessing Trades</t>
  </si>
  <si>
    <t>https://docs.google.com/spreadsheets/d/1cFQxZbwjtcT10iNn1OqsONJAbqiEt9yCFdpa-YuBOSU/edit#gid=845128953</t>
  </si>
  <si>
    <t>https://docs.google.com/spreadsheets/d/1cFQxZbwjtcT10iNn1OqsONJAbqiEt9yCFdpa-YuBOSU/edit#gid=328120028</t>
  </si>
  <si>
    <t>https://docs.google.com/spreadsheets/d/1cFQxZbwjtcT10iNn1OqsONJAbqiEt9yCFdpa-YuBOSU/edit#gid=548642920</t>
  </si>
  <si>
    <t>https://docs.google.com/spreadsheets/d/1cFQxZbwjtcT10iNn1OqsONJAbqiEt9yCFdpa-YuBOSU/edit#gid=376083072</t>
  </si>
  <si>
    <t>https://docs.google.com/spreadsheets/d/1cFQxZbwjtcT10iNn1OqsONJAbqiEt9yCFdpa-YuBOSU/edit#gid=2125488113</t>
  </si>
  <si>
    <t>https://docs.google.com/spreadsheets/d/1cFQxZbwjtcT10iNn1OqsONJAbqiEt9yCFdpa-YuBOSU/edit#gid=221813052</t>
  </si>
  <si>
    <t>https://docs.google.com/spreadsheets/d/1cFQxZbwjtcT10iNn1OqsONJAbqiEt9yCFdpa-YuBOSU/edit#gid=1017324028</t>
  </si>
  <si>
    <t>Acceptance-0024</t>
  </si>
  <si>
    <t>Corporate Action Split</t>
  </si>
  <si>
    <t>https://docs.google.com/spreadsheets/d/11tBh9KS7LKlBIVgz9yuDP5ODqF70xAUSQasYTT_Fjoo/edit#gid=1663655029</t>
  </si>
  <si>
    <t>https://docs.google.com/spreadsheets/d/11tBh9KS7LKlBIVgz9yuDP5ODqF70xAUSQasYTT_Fjoo/edit#gid=2134691307</t>
  </si>
  <si>
    <t>https://docs.google.com/spreadsheets/d/11tBh9KS7LKlBIVgz9yuDP5ODqF70xAUSQasYTT_Fjoo/edit#gid=1595879916</t>
  </si>
  <si>
    <t>Acceptance-0025</t>
  </si>
  <si>
    <t>Corporate Action SpinOff</t>
  </si>
  <si>
    <t>https://docs.google.com/spreadsheets/d/1-bnXUP_i5nS0z-k0HhX2VhIWM84t4QX_faxY21phEKQ/edit#gid=242845899</t>
  </si>
  <si>
    <t>https://docs.google.com/spreadsheets/d/1-bnXUP_i5nS0z-k0HhX2VhIWM84t4QX_faxY21phEKQ/edit#gid=967895325</t>
  </si>
  <si>
    <t>https://docs.google.com/spreadsheets/d/1-bnXUP_i5nS0z-k0HhX2VhIWM84t4QX_faxY21phEKQ/edit#gid=696691132</t>
  </si>
  <si>
    <t>https://docs.google.com/spreadsheets/d/1-bnXUP_i5nS0z-k0HhX2VhIWM84t4QX_faxY21phEKQ/edit#gid=1103223383</t>
  </si>
  <si>
    <t>https://docs.google.com/spreadsheets/d/1-bnXUP_i5nS0z-k0HhX2VhIWM84t4QX_faxY21phEKQ/edit#gid=360881963</t>
  </si>
  <si>
    <t>https://docs.google.com/spreadsheets/d/1-bnXUP_i5nS0z-k0HhX2VhIWM84t4QX_faxY21phEKQ/edit#gid=1941638226</t>
  </si>
  <si>
    <t>https://docs.google.com/spreadsheets/d/1-bnXUP_i5nS0z-k0HhX2VhIWM84t4QX_faxY21phEKQ/edit#gid=1332764048</t>
  </si>
  <si>
    <t>https://docs.google.com/spreadsheets/d/1-bnXUP_i5nS0z-k0HhX2VhIWM84t4QX_faxY21phEKQ/edit#gid=1496258821</t>
  </si>
  <si>
    <t>https://docs.google.com/spreadsheets/d/1-bnXUP_i5nS0z-k0HhX2VhIWM84t4QX_faxY21phEKQ/edit#gid=1369013368</t>
  </si>
  <si>
    <t>VerifyTradingTransactionData</t>
  </si>
  <si>
    <t>Acceptance-0026</t>
  </si>
  <si>
    <t>Corporate Action Clean Up</t>
  </si>
  <si>
    <t>Acceptance-0027</t>
  </si>
  <si>
    <t xml:space="preserve">Third Party Manager
</t>
  </si>
  <si>
    <t>https://docs.google.com/spreadsheets/d/1Gi_yJqS7kmM4Io--MuuXI2_qdkf3ZHCaH9z6MZZIEJY/edit#gid=527443284</t>
  </si>
  <si>
    <t>https://docs.google.com/spreadsheets/d/1Gi_yJqS7kmM4Io--MuuXI2_qdkf3ZHCaH9z6MZZIEJY/edit#gid=1459576801</t>
  </si>
  <si>
    <t>MCT-0001</t>
  </si>
  <si>
    <t xml:space="preserve">Match portfolio position at Complete portfolio
Test Preference
Default Rule: MasterFund
Target % as of- CurrentPreference 
Check side- TRUE 
Remainder Allocation- NONE
MPP:Complete portfolio
</t>
  </si>
  <si>
    <t>https://docs.google.com/spreadsheets/d/1otSbZefdjf5WilSTzDciN3vnSMZEmt5WzHEygoNS6Gw/edit#gid=931977643</t>
  </si>
  <si>
    <t>https://docs.google.com/spreadsheets/d/1otSbZefdjf5WilSTzDciN3vnSMZEmt5WzHEygoNS6Gw/edit#gid=1221210008</t>
  </si>
  <si>
    <t>https://docs.google.com/spreadsheets/d/1otSbZefdjf5WilSTzDciN3vnSMZEmt5WzHEygoNS6Gw/edit#gid=1655692123</t>
  </si>
  <si>
    <t>https://docs.google.com/spreadsheets/d/1otSbZefdjf5WilSTzDciN3vnSMZEmt5WzHEygoNS6Gw/edit#gid=2064782201</t>
  </si>
  <si>
    <t>https://docs.google.com/spreadsheets/d/1otSbZefdjf5WilSTzDciN3vnSMZEmt5WzHEygoNS6Gw/edit#gid=903172011</t>
  </si>
  <si>
    <t>https://docs.google.com/spreadsheets/d/1otSbZefdjf5WilSTzDciN3vnSMZEmt5WzHEygoNS6Gw/edit#gid=1400542756</t>
  </si>
  <si>
    <t>https://docs.google.com/spreadsheets/d/1otSbZefdjf5WilSTzDciN3vnSMZEmt5WzHEygoNS6Gw/edit#gid=1384188354</t>
  </si>
  <si>
    <t>https://docs.google.com/spreadsheets/d/1otSbZefdjf5WilSTzDciN3vnSMZEmt5WzHEygoNS6Gw/edit#gid=1395068187</t>
  </si>
  <si>
    <t>SetMFPrefFundDefaultRule2</t>
  </si>
  <si>
    <t>https://docs.google.com/spreadsheets/d/1otSbZefdjf5WilSTzDciN3vnSMZEmt5WzHEygoNS6Gw/edit#gid=728976984</t>
  </si>
  <si>
    <t>SetMFPrefAccountValues2</t>
  </si>
  <si>
    <t>https://docs.google.com/spreadsheets/d/1otSbZefdjf5WilSTzDciN3vnSMZEmt5WzHEygoNS6Gw/edit#gid=355413529</t>
  </si>
  <si>
    <t>https://docs.google.com/spreadsheets/d/1otSbZefdjf5WilSTzDciN3vnSMZEmt5WzHEygoNS6Gw/edit#gid=1200008854</t>
  </si>
  <si>
    <t>https://docs.google.com/spreadsheets/d/1otSbZefdjf5WilSTzDciN3vnSMZEmt5WzHEygoNS6Gw/edit#gid=895544939</t>
  </si>
  <si>
    <t>https://docs.google.com/spreadsheets/d/1otSbZefdjf5WilSTzDciN3vnSMZEmt5WzHEygoNS6Gw/edit#gid=804571926</t>
  </si>
  <si>
    <t>https://docs.google.com/spreadsheets/d/1otSbZefdjf5WilSTzDciN3vnSMZEmt5WzHEygoNS6Gw/edit#gid=2034006066</t>
  </si>
  <si>
    <t>https://docs.google.com/spreadsheets/d/1otSbZefdjf5WilSTzDciN3vnSMZEmt5WzHEygoNS6Gw/edit#gid=443107934</t>
  </si>
  <si>
    <t>https://docs.google.com/spreadsheets/d/1otSbZefdjf5WilSTzDciN3vnSMZEmt5WzHEygoNS6Gw/edit#gid=684343174</t>
  </si>
  <si>
    <t>https://docs.google.com/spreadsheets/d/1otSbZefdjf5WilSTzDciN3vnSMZEmt5WzHEygoNS6Gw/edit#gid=1876947928</t>
  </si>
  <si>
    <t>https://docs.google.com/spreadsheets/d/1otSbZefdjf5WilSTzDciN3vnSMZEmt5WzHEygoNS6Gw/edit#gid=332915220</t>
  </si>
  <si>
    <t>https://docs.google.com/spreadsheets/d/1otSbZefdjf5WilSTzDciN3vnSMZEmt5WzHEygoNS6Gw/edit#gid=252694597</t>
  </si>
  <si>
    <t>https://docs.google.com/spreadsheets/d/1otSbZefdjf5WilSTzDciN3vnSMZEmt5WzHEygoNS6Gw/edit#gid=1914530015</t>
  </si>
  <si>
    <t>MCT-0002</t>
  </si>
  <si>
    <t xml:space="preserve">Match portfolio position at Complete portfolio
having no pre position in accounts
RBS 
1-fund1=1500 ,2-fund1=500 
 3-fund1=1000
Test Preference
Default Rule: MasterFund
Target % as of- CurrentPreference 
Check side- TRUE 
Remainder Allocation- NONE
MPP:Complete portfolio
</t>
  </si>
  <si>
    <t>https://docs.google.com/spreadsheets/d/1nrIsFA7HebaPZ0h9vrFDmp1I80WyEApNYXyUDa3MfjI/edit#gid=83366934</t>
  </si>
  <si>
    <t>https://docs.google.com/spreadsheets/d/1nrIsFA7HebaPZ0h9vrFDmp1I80WyEApNYXyUDa3MfjI/edit#gid=1914924556</t>
  </si>
  <si>
    <t>https://docs.google.com/spreadsheets/d/1nrIsFA7HebaPZ0h9vrFDmp1I80WyEApNYXyUDa3MfjI/edit#gid=1552960153</t>
  </si>
  <si>
    <t>https://docs.google.com/spreadsheets/d/1nrIsFA7HebaPZ0h9vrFDmp1I80WyEApNYXyUDa3MfjI/edit#gid=423991118</t>
  </si>
  <si>
    <t>https://docs.google.com/spreadsheets/d/1nrIsFA7HebaPZ0h9vrFDmp1I80WyEApNYXyUDa3MfjI/edit#gid=806632422</t>
  </si>
  <si>
    <t>https://docs.google.com/spreadsheets/d/1nrIsFA7HebaPZ0h9vrFDmp1I80WyEApNYXyUDa3MfjI/edit#gid=1609701473</t>
  </si>
  <si>
    <t>https://docs.google.com/spreadsheets/d/1nrIsFA7HebaPZ0h9vrFDmp1I80WyEApNYXyUDa3MfjI/edit#gid=1458383983</t>
  </si>
  <si>
    <t>https://docs.google.com/spreadsheets/d/1nrIsFA7HebaPZ0h9vrFDmp1I80WyEApNYXyUDa3MfjI/edit#gid=1215472645</t>
  </si>
  <si>
    <t>https://docs.google.com/spreadsheets/d/1nrIsFA7HebaPZ0h9vrFDmp1I80WyEApNYXyUDa3MfjI/edit#gid=1926419417</t>
  </si>
  <si>
    <t>https://docs.google.com/spreadsheets/d/1nrIsFA7HebaPZ0h9vrFDmp1I80WyEApNYXyUDa3MfjI/edit#gid=586238843</t>
  </si>
  <si>
    <t>https://docs.google.com/spreadsheets/d/1nrIsFA7HebaPZ0h9vrFDmp1I80WyEApNYXyUDa3MfjI/edit#gid=661980260</t>
  </si>
  <si>
    <t>https://docs.google.com/spreadsheets/d/1nrIsFA7HebaPZ0h9vrFDmp1I80WyEApNYXyUDa3MfjI/edit#gid=1474236184</t>
  </si>
  <si>
    <t>https://docs.google.com/spreadsheets/d/1nrIsFA7HebaPZ0h9vrFDmp1I80WyEApNYXyUDa3MfjI/edit#gid=1626785563</t>
  </si>
  <si>
    <t>https://docs.google.com/spreadsheets/d/1nrIsFA7HebaPZ0h9vrFDmp1I80WyEApNYXyUDa3MfjI/edit#gid=1518433855</t>
  </si>
  <si>
    <t>https://docs.google.com/spreadsheets/d/1nrIsFA7HebaPZ0h9vrFDmp1I80WyEApNYXyUDa3MfjI/edit#gid=1291074660</t>
  </si>
  <si>
    <t>https://docs.google.com/spreadsheets/d/1nrIsFA7HebaPZ0h9vrFDmp1I80WyEApNYXyUDa3MfjI/edit#gid=970939433</t>
  </si>
  <si>
    <t>https://docs.google.com/spreadsheets/d/1nrIsFA7HebaPZ0h9vrFDmp1I80WyEApNYXyUDa3MfjI/edit#gid=1063086669</t>
  </si>
  <si>
    <t>https://docs.google.com/spreadsheets/d/1nrIsFA7HebaPZ0h9vrFDmp1I80WyEApNYXyUDa3MfjI/edit#gid=1357336185</t>
  </si>
  <si>
    <t>https://docs.google.com/spreadsheets/d/1nrIsFA7HebaPZ0h9vrFDmp1I80WyEApNYXyUDa3MfjI/edit#gid=1329560481</t>
  </si>
  <si>
    <t>MCT-0003</t>
  </si>
  <si>
    <t xml:space="preserve">Match portfolio position at Complete portfolio
Test Preference
Default Rule: MasterFund
Target % as of- PRO-rata 
Check side- TRUE 
Remainder Allocation- NONE
PRO-rata Masterfund
MF1
MF2
MPP:Complete portfolio
</t>
  </si>
  <si>
    <t>https://docs.google.com/spreadsheets/d/1h72tk3jrQBUyGuBX-ZMlcF8MieXoIAiUX05c6pBikkM/edit#gid=553612915</t>
  </si>
  <si>
    <t>https://docs.google.com/spreadsheets/d/1h72tk3jrQBUyGuBX-ZMlcF8MieXoIAiUX05c6pBikkM/edit#gid=1315460306</t>
  </si>
  <si>
    <t>https://docs.google.com/spreadsheets/d/1h72tk3jrQBUyGuBX-ZMlcF8MieXoIAiUX05c6pBikkM/edit#gid=651299742</t>
  </si>
  <si>
    <t>https://docs.google.com/spreadsheets/d/1h72tk3jrQBUyGuBX-ZMlcF8MieXoIAiUX05c6pBikkM/edit#gid=920238389</t>
  </si>
  <si>
    <t>https://docs.google.com/spreadsheets/d/1h72tk3jrQBUyGuBX-ZMlcF8MieXoIAiUX05c6pBikkM/edit#gid=1182170765</t>
  </si>
  <si>
    <t>https://docs.google.com/spreadsheets/d/1h72tk3jrQBUyGuBX-ZMlcF8MieXoIAiUX05c6pBikkM/edit#gid=1653624287</t>
  </si>
  <si>
    <t>https://docs.google.com/spreadsheets/d/1h72tk3jrQBUyGuBX-ZMlcF8MieXoIAiUX05c6pBikkM/edit#gid=47902097</t>
  </si>
  <si>
    <t>https://docs.google.com/spreadsheets/d/1h72tk3jrQBUyGuBX-ZMlcF8MieXoIAiUX05c6pBikkM/edit#gid=1869400848</t>
  </si>
  <si>
    <t>https://docs.google.com/spreadsheets/d/1h72tk3jrQBUyGuBX-ZMlcF8MieXoIAiUX05c6pBikkM/edit#gid=1308601265</t>
  </si>
  <si>
    <t>https://docs.google.com/spreadsheets/d/1h72tk3jrQBUyGuBX-ZMlcF8MieXoIAiUX05c6pBikkM/edit#gid=52121471</t>
  </si>
  <si>
    <t>https://docs.google.com/spreadsheets/d/1h72tk3jrQBUyGuBX-ZMlcF8MieXoIAiUX05c6pBikkM/edit#gid=646647810</t>
  </si>
  <si>
    <t>https://docs.google.com/spreadsheets/d/1h72tk3jrQBUyGuBX-ZMlcF8MieXoIAiUX05c6pBikkM/edit#gid=1425234241</t>
  </si>
  <si>
    <t>https://docs.google.com/spreadsheets/d/1h72tk3jrQBUyGuBX-ZMlcF8MieXoIAiUX05c6pBikkM/edit#gid=1814812158</t>
  </si>
  <si>
    <t>https://docs.google.com/spreadsheets/d/1h72tk3jrQBUyGuBX-ZMlcF8MieXoIAiUX05c6pBikkM/edit#gid=1282364445</t>
  </si>
  <si>
    <t>https://docs.google.com/spreadsheets/d/1h72tk3jrQBUyGuBX-ZMlcF8MieXoIAiUX05c6pBikkM/edit#gid=1565077116</t>
  </si>
  <si>
    <t>https://docs.google.com/spreadsheets/d/1h72tk3jrQBUyGuBX-ZMlcF8MieXoIAiUX05c6pBikkM/edit#gid=1717075176</t>
  </si>
  <si>
    <t>https://docs.google.com/spreadsheets/d/1h72tk3jrQBUyGuBX-ZMlcF8MieXoIAiUX05c6pBikkM/edit#gid=366814028</t>
  </si>
  <si>
    <t>https://docs.google.com/spreadsheets/d/1h72tk3jrQBUyGuBX-ZMlcF8MieXoIAiUX05c6pBikkM/edit#gid=2114465626</t>
  </si>
  <si>
    <t>MCT-0004</t>
  </si>
  <si>
    <t xml:space="preserve">Match portfolio position at Complete portfolio
CSCO 
1-fund1= -500 
2-fund1= -500 
Test Preference
""Default Rule: MasterFund
Target % as of- PRO-rata 
Check side- TRUE 
Remainder Allocation- NONE
PRO-rata Masterfund
MF3
MPP:Complete portfolio
</t>
  </si>
  <si>
    <t>https://docs.google.com/spreadsheets/d/1YubfNQbc0lKrvrDBttrO83vPNh0ItKqD2oBBn-szvQc/edit#gid=1657776117</t>
  </si>
  <si>
    <t>https://docs.google.com/spreadsheets/d/1YubfNQbc0lKrvrDBttrO83vPNh0ItKqD2oBBn-szvQc/edit#gid=289581479</t>
  </si>
  <si>
    <t>https://docs.google.com/spreadsheets/d/1YubfNQbc0lKrvrDBttrO83vPNh0ItKqD2oBBn-szvQc/edit#gid=779111416</t>
  </si>
  <si>
    <t>https://docs.google.com/spreadsheets/d/1YubfNQbc0lKrvrDBttrO83vPNh0ItKqD2oBBn-szvQc/edit#gid=1907873383</t>
  </si>
  <si>
    <t>https://docs.google.com/spreadsheets/d/1YubfNQbc0lKrvrDBttrO83vPNh0ItKqD2oBBn-szvQc/edit#gid=1226180189</t>
  </si>
  <si>
    <t>https://docs.google.com/spreadsheets/d/1YubfNQbc0lKrvrDBttrO83vPNh0ItKqD2oBBn-szvQc/edit#gid=1756604409</t>
  </si>
  <si>
    <t>https://docs.google.com/spreadsheets/d/1YubfNQbc0lKrvrDBttrO83vPNh0ItKqD2oBBn-szvQc/edit#gid=733791229</t>
  </si>
  <si>
    <t>https://docs.google.com/spreadsheets/d/1YubfNQbc0lKrvrDBttrO83vPNh0ItKqD2oBBn-szvQc/edit#gid=1077914220</t>
  </si>
  <si>
    <t>https://docs.google.com/spreadsheets/d/1YubfNQbc0lKrvrDBttrO83vPNh0ItKqD2oBBn-szvQc/edit#gid=1765872621</t>
  </si>
  <si>
    <t>https://docs.google.com/spreadsheets/d/1YubfNQbc0lKrvrDBttrO83vPNh0ItKqD2oBBn-szvQc/edit#gid=1097561638</t>
  </si>
  <si>
    <t>https://docs.google.com/spreadsheets/d/1YubfNQbc0lKrvrDBttrO83vPNh0ItKqD2oBBn-szvQc/edit#gid=1725634573</t>
  </si>
  <si>
    <t>https://docs.google.com/spreadsheets/d/1YubfNQbc0lKrvrDBttrO83vPNh0ItKqD2oBBn-szvQc/edit#gid=1535283333</t>
  </si>
  <si>
    <t>https://docs.google.com/spreadsheets/d/1YubfNQbc0lKrvrDBttrO83vPNh0ItKqD2oBBn-szvQc/edit#gid=1941742842</t>
  </si>
  <si>
    <t>https://docs.google.com/spreadsheets/d/1YubfNQbc0lKrvrDBttrO83vPNh0ItKqD2oBBn-szvQc/edit#gid=985018470</t>
  </si>
  <si>
    <t>https://docs.google.com/spreadsheets/d/1YubfNQbc0lKrvrDBttrO83vPNh0ItKqD2oBBn-szvQc/edit#gid=880900787</t>
  </si>
  <si>
    <t>https://docs.google.com/spreadsheets/d/1YubfNQbc0lKrvrDBttrO83vPNh0ItKqD2oBBn-szvQc/edit#gid=162571853</t>
  </si>
  <si>
    <t>https://docs.google.com/spreadsheets/d/1YubfNQbc0lKrvrDBttrO83vPNh0ItKqD2oBBn-szvQc/edit#gid=28215975</t>
  </si>
  <si>
    <t>MCT-0005</t>
  </si>
  <si>
    <t>Master fund level default rule with Match closing at complete protfolio
with pro-rata NAV
Test Preference
""Default Rule: MasterFund
Target % as of- PRO-rata 
Check side- TRUE 
Remainder Allocation- NONE
PRO-rata NAV Masterfund
MF1
MF2
MPP:Complete portfolio
MasterFundDistribution
MF2-50%  - 2-Fund2 -100%
MF1-50% -  1-Fund2-100%</t>
  </si>
  <si>
    <t>https://docs.google.com/spreadsheets/d/10kQ72TG0X0H0-2V6QvpQfEeu-17eCMne7rhPiz4KNvc/edit#gid=942032080</t>
  </si>
  <si>
    <t>https://docs.google.com/spreadsheets/d/10kQ72TG0X0H0-2V6QvpQfEeu-17eCMne7rhPiz4KNvc/edit#gid=2134868502</t>
  </si>
  <si>
    <t>https://docs.google.com/spreadsheets/d/10kQ72TG0X0H0-2V6QvpQfEeu-17eCMne7rhPiz4KNvc/edit#gid=3213686</t>
  </si>
  <si>
    <t>https://docs.google.com/spreadsheets/d/10kQ72TG0X0H0-2V6QvpQfEeu-17eCMne7rhPiz4KNvc/edit#gid=283491738</t>
  </si>
  <si>
    <t>https://docs.google.com/spreadsheets/d/10kQ72TG0X0H0-2V6QvpQfEeu-17eCMne7rhPiz4KNvc/edit#gid=430316730</t>
  </si>
  <si>
    <t>https://docs.google.com/spreadsheets/d/10kQ72TG0X0H0-2V6QvpQfEeu-17eCMne7rhPiz4KNvc/edit#gid=854908202</t>
  </si>
  <si>
    <t>https://docs.google.com/spreadsheets/d/10kQ72TG0X0H0-2V6QvpQfEeu-17eCMne7rhPiz4KNvc/edit#gid=1710720749</t>
  </si>
  <si>
    <t>https://docs.google.com/spreadsheets/d/10kQ72TG0X0H0-2V6QvpQfEeu-17eCMne7rhPiz4KNvc/edit#gid=1919789122</t>
  </si>
  <si>
    <t>https://docs.google.com/spreadsheets/d/10kQ72TG0X0H0-2V6QvpQfEeu-17eCMne7rhPiz4KNvc/edit#gid=1813796430</t>
  </si>
  <si>
    <t>https://docs.google.com/spreadsheets/d/10kQ72TG0X0H0-2V6QvpQfEeu-17eCMne7rhPiz4KNvc/edit#gid=622345332</t>
  </si>
  <si>
    <t>https://docs.google.com/spreadsheets/d/10kQ72TG0X0H0-2V6QvpQfEeu-17eCMne7rhPiz4KNvc/edit#gid=1383476354</t>
  </si>
  <si>
    <t>https://docs.google.com/spreadsheets/d/10kQ72TG0X0H0-2V6QvpQfEeu-17eCMne7rhPiz4KNvc/edit#gid=502670903</t>
  </si>
  <si>
    <t>https://docs.google.com/spreadsheets/d/10kQ72TG0X0H0-2V6QvpQfEeu-17eCMne7rhPiz4KNvc/edit#gid=9978253</t>
  </si>
  <si>
    <t>UpdateDailyCash1</t>
  </si>
  <si>
    <t>https://docs.google.com/spreadsheets/d/10kQ72TG0X0H0-2V6QvpQfEeu-17eCMne7rhPiz4KNvc/edit#gid=1084891922</t>
  </si>
  <si>
    <t>https://docs.google.com/spreadsheets/d/10kQ72TG0X0H0-2V6QvpQfEeu-17eCMne7rhPiz4KNvc/edit#gid=346396529</t>
  </si>
  <si>
    <t>https://docs.google.com/spreadsheets/d/10kQ72TG0X0H0-2V6QvpQfEeu-17eCMne7rhPiz4KNvc/edit#gid=1699930925</t>
  </si>
  <si>
    <t>https://docs.google.com/spreadsheets/d/10kQ72TG0X0H0-2V6QvpQfEeu-17eCMne7rhPiz4KNvc/edit#gid=1584853281</t>
  </si>
  <si>
    <t>https://docs.google.com/spreadsheets/d/10kQ72TG0X0H0-2V6QvpQfEeu-17eCMne7rhPiz4KNvc/edit#gid=1237382197</t>
  </si>
  <si>
    <t>https://docs.google.com/spreadsheets/d/10kQ72TG0X0H0-2V6QvpQfEeu-17eCMne7rhPiz4KNvc/edit#gid=966225552</t>
  </si>
  <si>
    <t>https://docs.google.com/spreadsheets/d/10kQ72TG0X0H0-2V6QvpQfEeu-17eCMne7rhPiz4KNvc/edit#gid=182225908</t>
  </si>
  <si>
    <t>https://docs.google.com/spreadsheets/d/10kQ72TG0X0H0-2V6QvpQfEeu-17eCMne7rhPiz4KNvc/edit#gid=1346335023</t>
  </si>
  <si>
    <t>https://docs.google.com/spreadsheets/d/10kQ72TG0X0H0-2V6QvpQfEeu-17eCMne7rhPiz4KNvc/edit#gid=419050283</t>
  </si>
  <si>
    <t>MCT-0006</t>
  </si>
  <si>
    <t xml:space="preserve">Master fund level default rule with Match closing at complete protfolio
when general rule is not allowing allocation iin desired match closing funds
CSCO 
1-fund1= -500 
2-fund1= -500 
GOOG
1-Fund1=500
Test Preference
""Default Rule: MasterFund
Target % as of- Current preference
Check side- TRUE 
Remainder Allocation- NONE
MPP:Complete portfolio
MasterFundDistribution
MF1-50%  - 1-Fund1 -100%
MF2-50% -  2-Fund1-100%
Account Strategy Distribution
Default Rule-
Allocation method : Trade Quantity
Remainder Allocation : NONE
Target  % as of :current preference
Accounts for Prorata (NAV) :
Match closing transaction: True
General rule"
MF1 general rule (include BUY ) Match closing set true
1-fund2 -100%
MF2 general rule (include SELL) Match closing set true
2-fund2 -100%
</t>
  </si>
  <si>
    <t>https://docs.google.com/spreadsheets/d/1CeIZzJ-77XAMIf9AwATnGyDlLqphKDimh0WL5WesMQs/edit#gid=1108783006</t>
  </si>
  <si>
    <t>https://docs.google.com/spreadsheets/d/1CeIZzJ-77XAMIf9AwATnGyDlLqphKDimh0WL5WesMQs/edit#gid=32575284</t>
  </si>
  <si>
    <t>https://docs.google.com/spreadsheets/d/1CeIZzJ-77XAMIf9AwATnGyDlLqphKDimh0WL5WesMQs/edit#gid=2277340</t>
  </si>
  <si>
    <t>https://docs.google.com/spreadsheets/d/1CeIZzJ-77XAMIf9AwATnGyDlLqphKDimh0WL5WesMQs/edit#gid=971026806</t>
  </si>
  <si>
    <t>https://docs.google.com/spreadsheets/d/1CeIZzJ-77XAMIf9AwATnGyDlLqphKDimh0WL5WesMQs/edit#gid=1876209295</t>
  </si>
  <si>
    <t>https://docs.google.com/spreadsheets/d/1CeIZzJ-77XAMIf9AwATnGyDlLqphKDimh0WL5WesMQs/edit#gid=1032527705</t>
  </si>
  <si>
    <t>https://docs.google.com/spreadsheets/d/1supLx5_w5sK1COe4WbbzxTSLgc1gZsylY_1IJ065uHE/edit#gid=602076582</t>
  </si>
  <si>
    <t>https://docs.google.com/spreadsheets/d/1CeIZzJ-77XAMIf9AwATnGyDlLqphKDimh0WL5WesMQs/edit#gid=2043557104</t>
  </si>
  <si>
    <t>https://docs.google.com/spreadsheets/d/1CeIZzJ-77XAMIf9AwATnGyDlLqphKDimh0WL5WesMQs/edit#gid=184264098</t>
  </si>
  <si>
    <t>https://docs.google.com/spreadsheets/d/1supLx5_w5sK1COe4WbbzxTSLgc1gZsylY_1IJ065uHE/edit#gid=1280995877</t>
  </si>
  <si>
    <t>https://docs.google.com/spreadsheets/d/1CeIZzJ-77XAMIf9AwATnGyDlLqphKDimh0WL5WesMQs/edit#gid=700243386</t>
  </si>
  <si>
    <t>https://docs.google.com/spreadsheets/d/1CeIZzJ-77XAMIf9AwATnGyDlLqphKDimh0WL5WesMQs/edit#gid=68851133</t>
  </si>
  <si>
    <t>https://docs.google.com/spreadsheets/d/1CeIZzJ-77XAMIf9AwATnGyDlLqphKDimh0WL5WesMQs/edit#gid=1174546752</t>
  </si>
  <si>
    <t>https://docs.google.com/spreadsheets/d/1CeIZzJ-77XAMIf9AwATnGyDlLqphKDimh0WL5WesMQs/edit#gid=545941917</t>
  </si>
  <si>
    <t>https://docs.google.com/spreadsheets/d/1CeIZzJ-77XAMIf9AwATnGyDlLqphKDimh0WL5WesMQs/edit#gid=1535485435</t>
  </si>
  <si>
    <t>https://docs.google.com/spreadsheets/d/1CeIZzJ-77XAMIf9AwATnGyDlLqphKDimh0WL5WesMQs/edit#gid=1706311222</t>
  </si>
  <si>
    <t>https://docs.google.com/spreadsheets/d/1CeIZzJ-77XAMIf9AwATnGyDlLqphKDimh0WL5WesMQs/edit#gid=1237106737</t>
  </si>
  <si>
    <t>https://docs.google.com/spreadsheets/d/1CeIZzJ-77XAMIf9AwATnGyDlLqphKDimh0WL5WesMQs/edit#gid=2040309856</t>
  </si>
  <si>
    <t>https://docs.google.com/spreadsheets/d/1CeIZzJ-77XAMIf9AwATnGyDlLqphKDimh0WL5WesMQs/edit#gid=1593151894</t>
  </si>
  <si>
    <t>https://docs.google.com/spreadsheets/d/1CeIZzJ-77XAMIf9AwATnGyDlLqphKDimh0WL5WesMQs/edit#gid=791606359</t>
  </si>
  <si>
    <t>https://docs.google.com/spreadsheets/d/1CeIZzJ-77XAMIf9AwATnGyDlLqphKDimh0WL5WesMQs/edit#gid=1531711330</t>
  </si>
  <si>
    <t>https://docs.google.com/spreadsheets/d/1CeIZzJ-77XAMIf9AwATnGyDlLqphKDimh0WL5WesMQs/edit#gid=1832617562</t>
  </si>
  <si>
    <t>https://docs.google.com/spreadsheets/d/1CeIZzJ-77XAMIf9AwATnGyDlLqphKDimh0WL5WesMQs/edit#gid=648261834</t>
  </si>
  <si>
    <t>MCT-0007</t>
  </si>
  <si>
    <t>Selected masterfund 
Allocated in funds in which positions are not fully closing
SAP
2-Fund1=1000 
2-fund2=500 
2-fund3=500 
3-fund1=300 
3-fund2=330 
CSCO 
1-fund1= -500 
2-fund1= -500 
ALLY 
1-fund1=1500 
2-fund1=500 
Test Preference
""Default Rule: MasterFund
Target % as of- CurrentPreference 
Check side- TRUE 
Remainder Allocation- NONE
MPP:selected masterfund
MasterFundDistribution
MF2-50%  - 2-Fund3 -100%</t>
  </si>
  <si>
    <t>https://docs.google.com/spreadsheets/d/1ssQyXnFJnZybVZGh0O2TYKbm9ngypqFbAtXVo6RFP08/edit#gid=1394461961</t>
  </si>
  <si>
    <t>https://docs.google.com/spreadsheets/d/1ssQyXnFJnZybVZGh0O2TYKbm9ngypqFbAtXVo6RFP08/edit#gid=530440404</t>
  </si>
  <si>
    <t>https://docs.google.com/spreadsheets/d/1ssQyXnFJnZybVZGh0O2TYKbm9ngypqFbAtXVo6RFP08/edit#gid=162647481</t>
  </si>
  <si>
    <t>https://docs.google.com/spreadsheets/d/1ssQyXnFJnZybVZGh0O2TYKbm9ngypqFbAtXVo6RFP08/edit#gid=665075395</t>
  </si>
  <si>
    <t>https://docs.google.com/spreadsheets/d/1ssQyXnFJnZybVZGh0O2TYKbm9ngypqFbAtXVo6RFP08/edit#gid=292067206</t>
  </si>
  <si>
    <t>https://docs.google.com/spreadsheets/d/1ssQyXnFJnZybVZGh0O2TYKbm9ngypqFbAtXVo6RFP08/edit#gid=676362111</t>
  </si>
  <si>
    <t>https://docs.google.com/spreadsheets/d/1ssQyXnFJnZybVZGh0O2TYKbm9ngypqFbAtXVo6RFP08/edit#gid=237866754</t>
  </si>
  <si>
    <t>https://docs.google.com/spreadsheets/d/1ssQyXnFJnZybVZGh0O2TYKbm9ngypqFbAtXVo6RFP08/edit#gid=836553269</t>
  </si>
  <si>
    <t>https://docs.google.com/spreadsheets/d/1ssQyXnFJnZybVZGh0O2TYKbm9ngypqFbAtXVo6RFP08/edit#gid=606898054</t>
  </si>
  <si>
    <t>https://docs.google.com/spreadsheets/d/1ssQyXnFJnZybVZGh0O2TYKbm9ngypqFbAtXVo6RFP08/edit#gid=1224650196</t>
  </si>
  <si>
    <t>https://docs.google.com/spreadsheets/d/1ssQyXnFJnZybVZGh0O2TYKbm9ngypqFbAtXVo6RFP08/edit#gid=2002613967</t>
  </si>
  <si>
    <t>https://docs.google.com/spreadsheets/d/1ssQyXnFJnZybVZGh0O2TYKbm9ngypqFbAtXVo6RFP08/edit#gid=574088288</t>
  </si>
  <si>
    <t>https://docs.google.com/spreadsheets/d/1ssQyXnFJnZybVZGh0O2TYKbm9ngypqFbAtXVo6RFP08/edit#gid=309976036</t>
  </si>
  <si>
    <t>https://docs.google.com/spreadsheets/d/1ssQyXnFJnZybVZGh0O2TYKbm9ngypqFbAtXVo6RFP08/edit#gid=59971744</t>
  </si>
  <si>
    <t>https://docs.google.com/spreadsheets/d/1ssQyXnFJnZybVZGh0O2TYKbm9ngypqFbAtXVo6RFP08/edit#gid=1193617199</t>
  </si>
  <si>
    <t>https://docs.google.com/spreadsheets/d/1ssQyXnFJnZybVZGh0O2TYKbm9ngypqFbAtXVo6RFP08/edit#gid=1246686860</t>
  </si>
  <si>
    <t>https://docs.google.com/spreadsheets/d/1ssQyXnFJnZybVZGh0O2TYKbm9ngypqFbAtXVo6RFP08/edit#gid=1018112812</t>
  </si>
  <si>
    <t>https://docs.google.com/spreadsheets/d/1ssQyXnFJnZybVZGh0O2TYKbm9ngypqFbAtXVo6RFP08/edit#gid=894438115</t>
  </si>
  <si>
    <t>https://docs.google.com/spreadsheets/d/1ssQyXnFJnZybVZGh0O2TYKbm9ngypqFbAtXVo6RFP08/edit#gid=1524161599</t>
  </si>
  <si>
    <t>https://docs.google.com/spreadsheets/d/1ssQyXnFJnZybVZGh0O2TYKbm9ngypqFbAtXVo6RFP08/edit#gid=240259503</t>
  </si>
  <si>
    <t>MCT-0008</t>
  </si>
  <si>
    <t xml:space="preserve">
Allocated in funds in which positions are not present
 CSCO 
1-fund1= -500 
2-fund1= -500                  
Test Preference
""Default Rule: MasterFund
Target % as of- CurrentPreference Check side- TRUE 
Remainder Allocation- NONE
MPP:selected masterfund
MasterFundDistribution
MF1-50%  - 1-Fund3 -100%
MF2-50% -  2-Fund3-100%
Account Strategy Distribution
Default Rule-
Allocation method : Trade Quantity
Remainder Allocation : NONE
Target  % as of :current preference
Accounts for Prorata (NAV) :
Match closing transaction: True
No General rule
</t>
  </si>
  <si>
    <t>https://docs.google.com/spreadsheets/d/1qICoAZMn43DQRnqonPbcoUu5TgYZ75nqySWzynJDbDw/edit#gid=1687023375</t>
  </si>
  <si>
    <t>https://docs.google.com/spreadsheets/d/1qICoAZMn43DQRnqonPbcoUu5TgYZ75nqySWzynJDbDw/edit#gid=1808213390</t>
  </si>
  <si>
    <t>https://docs.google.com/spreadsheets/d/1qICoAZMn43DQRnqonPbcoUu5TgYZ75nqySWzynJDbDw/edit#gid=1527144882</t>
  </si>
  <si>
    <t>https://docs.google.com/spreadsheets/d/1qICoAZMn43DQRnqonPbcoUu5TgYZ75nqySWzynJDbDw/edit#gid=504880367</t>
  </si>
  <si>
    <t>https://docs.google.com/spreadsheets/d/1qICoAZMn43DQRnqonPbcoUu5TgYZ75nqySWzynJDbDw/edit#gid=1019706740</t>
  </si>
  <si>
    <t>https://docs.google.com/spreadsheets/d/1qICoAZMn43DQRnqonPbcoUu5TgYZ75nqySWzynJDbDw/edit#gid=256643315</t>
  </si>
  <si>
    <t>https://docs.google.com/spreadsheets/d/1qICoAZMn43DQRnqonPbcoUu5TgYZ75nqySWzynJDbDw/edit#gid=1509955539</t>
  </si>
  <si>
    <t>https://docs.google.com/spreadsheets/d/1qICoAZMn43DQRnqonPbcoUu5TgYZ75nqySWzynJDbDw/edit#gid=1430694164</t>
  </si>
  <si>
    <t>https://docs.google.com/spreadsheets/d/1qICoAZMn43DQRnqonPbcoUu5TgYZ75nqySWzynJDbDw/edit#gid=1134163940</t>
  </si>
  <si>
    <t>https://docs.google.com/spreadsheets/d/1qICoAZMn43DQRnqonPbcoUu5TgYZ75nqySWzynJDbDw/edit#gid=978897513</t>
  </si>
  <si>
    <t>https://docs.google.com/spreadsheets/d/1qICoAZMn43DQRnqonPbcoUu5TgYZ75nqySWzynJDbDw/edit#gid=1936206507</t>
  </si>
  <si>
    <t>https://docs.google.com/spreadsheets/d/1qICoAZMn43DQRnqonPbcoUu5TgYZ75nqySWzynJDbDw/edit#gid=829895629</t>
  </si>
  <si>
    <t>https://docs.google.com/spreadsheets/d/1qICoAZMn43DQRnqonPbcoUu5TgYZ75nqySWzynJDbDw/edit#gid=925810574</t>
  </si>
  <si>
    <t>https://docs.google.com/spreadsheets/d/1qICoAZMn43DQRnqonPbcoUu5TgYZ75nqySWzynJDbDw/edit#gid=358176109</t>
  </si>
  <si>
    <t>https://docs.google.com/spreadsheets/d/1qICoAZMn43DQRnqonPbcoUu5TgYZ75nqySWzynJDbDw/edit#gid=420409868</t>
  </si>
  <si>
    <t>https://docs.google.com/spreadsheets/d/1qICoAZMn43DQRnqonPbcoUu5TgYZ75nqySWzynJDbDw/edit#gid=1057025906</t>
  </si>
  <si>
    <t>https://docs.google.com/spreadsheets/d/1qICoAZMn43DQRnqonPbcoUu5TgYZ75nqySWzynJDbDw/edit#gid=2112279250</t>
  </si>
  <si>
    <t>https://docs.google.com/spreadsheets/d/1qICoAZMn43DQRnqonPbcoUu5TgYZ75nqySWzynJDbDw/edit#gid=379393010</t>
  </si>
  <si>
    <t>https://docs.google.com/spreadsheets/d/1qICoAZMn43DQRnqonPbcoUu5TgYZ75nqySWzynJDbDw/edit#gid=898033430</t>
  </si>
  <si>
    <t>MCT-0009</t>
  </si>
  <si>
    <t xml:space="preserve">
Allocated in funds in which partial positions are present in some fund of master fund rule
and Allocated in funds in which positions are not present in some fund of master fund but match closing can be done
CSCO 
1-fund1= -500 
2-fund1= -500      
RBS
1-fund1=1500 
2-fund1=500 
3-fund1=697 
3-fund2=303                                                           
Test Preference
""Default Rule: MasterFund
Target % as of- CurrentPreference 
Check side- TRUE 
Remainder Allocation- NONE
MPP:selected masterfund
MasterFundDistribution
MF1-50%  - 1-Fund3 -50%
                    1-fund1-50%
MF2-50% -  2-Fund3-50%
                  2-fund1-50% 
Account Strategy Distribution
Default Rule-
Allocation method : Trade Quantity
Remainder Allocation : NONE
Target  % as of :current preference
Accounts for Prorata (NAV) :
Match closing transaction: True
No General rule
</t>
  </si>
  <si>
    <t>https://docs.google.com/spreadsheets/d/15Ls9T9uHku7nGb88syZGji7fd-Ad27-WbM2qA9zGipw/edit#gid=602498557</t>
  </si>
  <si>
    <t>https://docs.google.com/spreadsheets/d/15Ls9T9uHku7nGb88syZGji7fd-Ad27-WbM2qA9zGipw/edit#gid=482432706</t>
  </si>
  <si>
    <t>https://docs.google.com/spreadsheets/d/15Ls9T9uHku7nGb88syZGji7fd-Ad27-WbM2qA9zGipw/edit#gid=1730194960</t>
  </si>
  <si>
    <t>https://docs.google.com/spreadsheets/d/15Ls9T9uHku7nGb88syZGji7fd-Ad27-WbM2qA9zGipw/edit#gid=453025607</t>
  </si>
  <si>
    <t>https://docs.google.com/spreadsheets/d/15Ls9T9uHku7nGb88syZGji7fd-Ad27-WbM2qA9zGipw/edit#gid=349280118</t>
  </si>
  <si>
    <t>https://docs.google.com/spreadsheets/d/15Ls9T9uHku7nGb88syZGji7fd-Ad27-WbM2qA9zGipw/edit#gid=496124346</t>
  </si>
  <si>
    <t>https://docs.google.com/spreadsheets/d/15Ls9T9uHku7nGb88syZGji7fd-Ad27-WbM2qA9zGipw/edit#gid=1295740922</t>
  </si>
  <si>
    <t>https://docs.google.com/spreadsheets/d/15Ls9T9uHku7nGb88syZGji7fd-Ad27-WbM2qA9zGipw/edit#gid=2006243759</t>
  </si>
  <si>
    <t>https://docs.google.com/spreadsheets/d/15Ls9T9uHku7nGb88syZGji7fd-Ad27-WbM2qA9zGipw/edit#gid=1122206331</t>
  </si>
  <si>
    <t>https://docs.google.com/spreadsheets/d/15Ls9T9uHku7nGb88syZGji7fd-Ad27-WbM2qA9zGipw/edit#gid=545647634</t>
  </si>
  <si>
    <t>https://docs.google.com/spreadsheets/d/15Ls9T9uHku7nGb88syZGji7fd-Ad27-WbM2qA9zGipw/edit#gid=149642835</t>
  </si>
  <si>
    <t>https://docs.google.com/spreadsheets/d/15Ls9T9uHku7nGb88syZGji7fd-Ad27-WbM2qA9zGipw/edit#gid=1724529759</t>
  </si>
  <si>
    <t>https://docs.google.com/spreadsheets/d/15Ls9T9uHku7nGb88syZGji7fd-Ad27-WbM2qA9zGipw/edit#gid=1442633287</t>
  </si>
  <si>
    <t>https://docs.google.com/spreadsheets/d/15Ls9T9uHku7nGb88syZGji7fd-Ad27-WbM2qA9zGipw/edit#gid=1711397854</t>
  </si>
  <si>
    <t>https://docs.google.com/spreadsheets/d/15Ls9T9uHku7nGb88syZGji7fd-Ad27-WbM2qA9zGipw/edit#gid=366029914</t>
  </si>
  <si>
    <t>https://docs.google.com/spreadsheets/d/15Ls9T9uHku7nGb88syZGji7fd-Ad27-WbM2qA9zGipw/edit#gid=121858000</t>
  </si>
  <si>
    <t>https://docs.google.com/spreadsheets/d/15Ls9T9uHku7nGb88syZGji7fd-Ad27-WbM2qA9zGipw/edit#gid=890748794</t>
  </si>
  <si>
    <t>https://docs.google.com/spreadsheets/d/15Ls9T9uHku7nGb88syZGji7fd-Ad27-WbM2qA9zGipw/edit#gid=854890791</t>
  </si>
  <si>
    <t>https://docs.google.com/spreadsheets/d/15Ls9T9uHku7nGb88syZGji7fd-Ad27-WbM2qA9zGipw/edit#gid=208074267</t>
  </si>
  <si>
    <t>https://docs.google.com/spreadsheets/d/10GzAT8HHR-slTQT_Os-3e-jmu9V_RvSDQzGQxLD13XE/edit#gid=1047740291</t>
  </si>
  <si>
    <t>MCT-0010</t>
  </si>
  <si>
    <t>Master fund level default rule with Match closing at selected masterfund level ,
 allocated by pro-rata
SAP 
1-Fund1=1000
 2-Fund1=1000 
2-fund2=500 
2-fund3=500 
3-fund1=300                                                                                                                
CSCO 
1-fund1= -500 
ALLY 
3-fund1=1000 
Test Preference
""Default Rule: MasterFund
Target % as of- pro-rata Check side- TRUE 
Remainder Allocation- NONE
MPP:selected masterfund
PRO_RATA account : MF1,MF2
MasterFundDistribution
MF1 -   1-Fund1 -50%
             1-fund2 -50%
MF2 -  2-Fund1-30%
            2-fund2-70% 
Account Strategy Distribution
Default Rule-
Allocation method : Trade Quantity
Remainder Allocation : NONE
Target  % as of :current preference
Accounts for Prorata (NAV) :
Match closing transaction: True
No General rule</t>
  </si>
  <si>
    <t>https://docs.google.com/spreadsheets/d/1UGNvsb7OwSlATLEVkIc7oApQ1zMaFGvKu0GxuFEHRX0/edit#gid=1007367394</t>
  </si>
  <si>
    <t>https://docs.google.com/spreadsheets/d/1UGNvsb7OwSlATLEVkIc7oApQ1zMaFGvKu0GxuFEHRX0/edit#gid=265219675</t>
  </si>
  <si>
    <t>https://docs.google.com/spreadsheets/d/1UGNvsb7OwSlATLEVkIc7oApQ1zMaFGvKu0GxuFEHRX0/edit#gid=1824815873</t>
  </si>
  <si>
    <t>https://docs.google.com/spreadsheets/d/1UGNvsb7OwSlATLEVkIc7oApQ1zMaFGvKu0GxuFEHRX0/edit#gid=1338237397</t>
  </si>
  <si>
    <t>https://docs.google.com/spreadsheets/d/1UGNvsb7OwSlATLEVkIc7oApQ1zMaFGvKu0GxuFEHRX0/edit#gid=1258877831</t>
  </si>
  <si>
    <t>https://docs.google.com/spreadsheets/d/1UGNvsb7OwSlATLEVkIc7oApQ1zMaFGvKu0GxuFEHRX0/edit#gid=664661328</t>
  </si>
  <si>
    <t>https://docs.google.com/spreadsheets/d/1UGNvsb7OwSlATLEVkIc7oApQ1zMaFGvKu0GxuFEHRX0/edit#gid=1990943101</t>
  </si>
  <si>
    <t>https://docs.google.com/spreadsheets/d/1UGNvsb7OwSlATLEVkIc7oApQ1zMaFGvKu0GxuFEHRX0/edit#gid=1977281217</t>
  </si>
  <si>
    <t>https://docs.google.com/spreadsheets/d/1UGNvsb7OwSlATLEVkIc7oApQ1zMaFGvKu0GxuFEHRX0/edit#gid=1094619085</t>
  </si>
  <si>
    <t>https://docs.google.com/spreadsheets/d/1UGNvsb7OwSlATLEVkIc7oApQ1zMaFGvKu0GxuFEHRX0/edit#gid=1519666620</t>
  </si>
  <si>
    <t>https://docs.google.com/spreadsheets/d/1UGNvsb7OwSlATLEVkIc7oApQ1zMaFGvKu0GxuFEHRX0/edit#gid=1575727605</t>
  </si>
  <si>
    <t>https://docs.google.com/spreadsheets/d/1UGNvsb7OwSlATLEVkIc7oApQ1zMaFGvKu0GxuFEHRX0/edit#gid=1540992092</t>
  </si>
  <si>
    <t>https://docs.google.com/spreadsheets/d/1UGNvsb7OwSlATLEVkIc7oApQ1zMaFGvKu0GxuFEHRX0/edit#gid=2069428996</t>
  </si>
  <si>
    <t>https://docs.google.com/spreadsheets/d/1UGNvsb7OwSlATLEVkIc7oApQ1zMaFGvKu0GxuFEHRX0/edit#gid=1640643891</t>
  </si>
  <si>
    <t>https://docs.google.com/spreadsheets/d/1UGNvsb7OwSlATLEVkIc7oApQ1zMaFGvKu0GxuFEHRX0/edit#gid=639487422</t>
  </si>
  <si>
    <t>https://docs.google.com/spreadsheets/d/1UGNvsb7OwSlATLEVkIc7oApQ1zMaFGvKu0GxuFEHRX0/edit#gid=188154867</t>
  </si>
  <si>
    <t>https://docs.google.com/spreadsheets/d/1UGNvsb7OwSlATLEVkIc7oApQ1zMaFGvKu0GxuFEHRX0/edit#gid=759215709</t>
  </si>
  <si>
    <t>https://docs.google.com/spreadsheets/d/1UGNvsb7OwSlATLEVkIc7oApQ1zMaFGvKu0GxuFEHRX0/edit#gid=66650429</t>
  </si>
  <si>
    <t>https://docs.google.com/spreadsheets/d/1UGNvsb7OwSlATLEVkIc7oApQ1zMaFGvKu0GxuFEHRX0/edit#gid=588810958</t>
  </si>
  <si>
    <t>MCT-0011</t>
  </si>
  <si>
    <t xml:space="preserve">
Match Closing Transaction value at master fund default rule in Master Fund Preferences will be given priority over account level setting of match closing transaction 
</t>
  </si>
  <si>
    <t>https://docs.google.com/spreadsheets/d/1apW3UuOb9XfGrzuD7zZuXIiP4ToDmzbRqp91_ki0W0M/edit#gid=2100562103</t>
  </si>
  <si>
    <t>https://docs.google.com/spreadsheets/d/1apW3UuOb9XfGrzuD7zZuXIiP4ToDmzbRqp91_ki0W0M/edit#gid=906898312</t>
  </si>
  <si>
    <t>https://docs.google.com/spreadsheets/d/1apW3UuOb9XfGrzuD7zZuXIiP4ToDmzbRqp91_ki0W0M/edit#gid=58428112</t>
  </si>
  <si>
    <t>https://docs.google.com/spreadsheets/d/1apW3UuOb9XfGrzuD7zZuXIiP4ToDmzbRqp91_ki0W0M/edit#gid=1900060806</t>
  </si>
  <si>
    <t>https://docs.google.com/spreadsheets/d/1apW3UuOb9XfGrzuD7zZuXIiP4ToDmzbRqp91_ki0W0M/edit#gid=372069415</t>
  </si>
  <si>
    <t>https://docs.google.com/spreadsheets/d/1apW3UuOb9XfGrzuD7zZuXIiP4ToDmzbRqp91_ki0W0M/edit#gid=405158107</t>
  </si>
  <si>
    <t>https://docs.google.com/spreadsheets/d/1apW3UuOb9XfGrzuD7zZuXIiP4ToDmzbRqp91_ki0W0M/edit#gid=1000301875</t>
  </si>
  <si>
    <t>https://docs.google.com/spreadsheets/d/1apW3UuOb9XfGrzuD7zZuXIiP4ToDmzbRqp91_ki0W0M/edit#gid=373140517</t>
  </si>
  <si>
    <t>https://docs.google.com/spreadsheets/d/1apW3UuOb9XfGrzuD7zZuXIiP4ToDmzbRqp91_ki0W0M/edit#gid=1884738015</t>
  </si>
  <si>
    <t>https://docs.google.com/spreadsheets/d/1apW3UuOb9XfGrzuD7zZuXIiP4ToDmzbRqp91_ki0W0M/edit#gid=305972035</t>
  </si>
  <si>
    <t>https://docs.google.com/spreadsheets/d/1apW3UuOb9XfGrzuD7zZuXIiP4ToDmzbRqp91_ki0W0M/edit#gid=659717499</t>
  </si>
  <si>
    <t>https://docs.google.com/spreadsheets/d/1apW3UuOb9XfGrzuD7zZuXIiP4ToDmzbRqp91_ki0W0M/edit#gid=2037630673</t>
  </si>
  <si>
    <t>https://docs.google.com/spreadsheets/d/1apW3UuOb9XfGrzuD7zZuXIiP4ToDmzbRqp91_ki0W0M/edit#gid=1835091816</t>
  </si>
  <si>
    <t>https://docs.google.com/spreadsheets/d/1apW3UuOb9XfGrzuD7zZuXIiP4ToDmzbRqp91_ki0W0M/edit#gid=1290629866</t>
  </si>
  <si>
    <t>https://docs.google.com/spreadsheets/d/1apW3UuOb9XfGrzuD7zZuXIiP4ToDmzbRqp91_ki0W0M/edit#gid=1695417955</t>
  </si>
  <si>
    <t>https://docs.google.com/spreadsheets/d/1apW3UuOb9XfGrzuD7zZuXIiP4ToDmzbRqp91_ki0W0M/edit#gid=313868948</t>
  </si>
  <si>
    <t>https://docs.google.com/spreadsheets/d/1apW3UuOb9XfGrzuD7zZuXIiP4ToDmzbRqp91_ki0W0M/edit#gid=1808867098</t>
  </si>
  <si>
    <t>https://docs.google.com/spreadsheets/d/1apW3UuOb9XfGrzuD7zZuXIiP4ToDmzbRqp91_ki0W0M/edit#gid=928306092</t>
  </si>
  <si>
    <t>https://docs.google.com/spreadsheets/d/1apW3UuOb9XfGrzuD7zZuXIiP4ToDmzbRqp91_ki0W0M/edit#gid=559302570</t>
  </si>
  <si>
    <t>https://docs.google.com/spreadsheets/d/1apW3UuOb9XfGrzuD7zZuXIiP4ToDmzbRqp91_ki0W0M/edit#gid=1194595873</t>
  </si>
  <si>
    <t>https://docs.google.com/spreadsheets/d/1apW3UuOb9XfGrzuD7zZuXIiP4ToDmzbRqp91_ki0W0M/edit#gid=2074310745</t>
  </si>
  <si>
    <t>https://docs.google.com/spreadsheets/d/1apW3UuOb9XfGrzuD7zZuXIiP4ToDmzbRqp91_ki0W0M/edit#gid=274869814</t>
  </si>
  <si>
    <t>https://docs.google.com/spreadsheets/d/1apW3UuOb9XfGrzuD7zZuXIiP4ToDmzbRqp91_ki0W0M/edit#gid=1863670737</t>
  </si>
  <si>
    <t>MCT-0012</t>
  </si>
  <si>
    <t>Master fund level default rule with Match closing as none but match closing set true at general rule
CSCO 
1-fund1= -500 
2-fund1= -500 
"                                                                                                                                                 
Test Preference
Default Rule: MasterFund
Target % as of- CurrentPreference Check side- TRUE 
Remainder Allocation- NONE
MPP:None
MasterFundDistribution
MF1-50%  -  1-fund1-50%
Match closing transaction: False
MF2-50% -  2-Fund2-100%
Match closing transaction: False
Account Strategy Distribution
Default Rule-
Allocation method : Trade Quantity
Remainder Allocation : NONE
Target  % as of :current preference
Accounts for Prorata (NAV) :
Match closing transaction: True
No General rule""
MF2 general rule (include buy to close) Match closing set true
2-fund1 -60%
2-fund2 -40%</t>
  </si>
  <si>
    <t>https://docs.google.com/spreadsheets/d/1DGL4ktOG5h3pyW5AqDyOs5hGEqsh3k20rnQBizsdnZM/edit#gid=330253209</t>
  </si>
  <si>
    <t>https://docs.google.com/spreadsheets/d/1DGL4ktOG5h3pyW5AqDyOs5hGEqsh3k20rnQBizsdnZM/edit#gid=264158421</t>
  </si>
  <si>
    <t>https://docs.google.com/spreadsheets/d/1DGL4ktOG5h3pyW5AqDyOs5hGEqsh3k20rnQBizsdnZM/edit#gid=1582414564</t>
  </si>
  <si>
    <t>https://docs.google.com/spreadsheets/d/1DGL4ktOG5h3pyW5AqDyOs5hGEqsh3k20rnQBizsdnZM/edit#gid=239188956</t>
  </si>
  <si>
    <t>https://docs.google.com/spreadsheets/d/1DGL4ktOG5h3pyW5AqDyOs5hGEqsh3k20rnQBizsdnZM/edit#gid=1698473111</t>
  </si>
  <si>
    <t>https://docs.google.com/spreadsheets/d/1DGL4ktOG5h3pyW5AqDyOs5hGEqsh3k20rnQBizsdnZM/edit#gid=524318032</t>
  </si>
  <si>
    <t>https://docs.google.com/spreadsheets/d/1DGL4ktOG5h3pyW5AqDyOs5hGEqsh3k20rnQBizsdnZM/edit#gid=475331457</t>
  </si>
  <si>
    <t>https://docs.google.com/spreadsheets/d/1DGL4ktOG5h3pyW5AqDyOs5hGEqsh3k20rnQBizsdnZM/edit#gid=439113956</t>
  </si>
  <si>
    <t>https://docs.google.com/spreadsheets/d/1DGL4ktOG5h3pyW5AqDyOs5hGEqsh3k20rnQBizsdnZM/edit#gid=1913270629</t>
  </si>
  <si>
    <t>https://docs.google.com/spreadsheets/d/1DGL4ktOG5h3pyW5AqDyOs5hGEqsh3k20rnQBizsdnZM/edit#gid=746974912</t>
  </si>
  <si>
    <t>https://docs.google.com/spreadsheets/d/1DGL4ktOG5h3pyW5AqDyOs5hGEqsh3k20rnQBizsdnZM/edit#gid=686845260</t>
  </si>
  <si>
    <t>https://docs.google.com/spreadsheets/d/1DGL4ktOG5h3pyW5AqDyOs5hGEqsh3k20rnQBizsdnZM/edit#gid=526553783</t>
  </si>
  <si>
    <t>https://docs.google.com/spreadsheets/d/1DGL4ktOG5h3pyW5AqDyOs5hGEqsh3k20rnQBizsdnZM/edit#gid=930370993</t>
  </si>
  <si>
    <t>https://docs.google.com/spreadsheets/d/1DGL4ktOG5h3pyW5AqDyOs5hGEqsh3k20rnQBizsdnZM/edit#gid=1875871786</t>
  </si>
  <si>
    <t>https://docs.google.com/spreadsheets/d/1DGL4ktOG5h3pyW5AqDyOs5hGEqsh3k20rnQBizsdnZM/edit#gid=204735596</t>
  </si>
  <si>
    <t>https://docs.google.com/spreadsheets/d/1DGL4ktOG5h3pyW5AqDyOs5hGEqsh3k20rnQBizsdnZM/edit#gid=2040166769</t>
  </si>
  <si>
    <t>https://docs.google.com/spreadsheets/d/1DGL4ktOG5h3pyW5AqDyOs5hGEqsh3k20rnQBizsdnZM/edit#gid=1671447072</t>
  </si>
  <si>
    <t>https://docs.google.com/spreadsheets/d/1DGL4ktOG5h3pyW5AqDyOs5hGEqsh3k20rnQBizsdnZM/edit#gid=856845073</t>
  </si>
  <si>
    <t>https://docs.google.com/spreadsheets/d/1DGL4ktOG5h3pyW5AqDyOs5hGEqsh3k20rnQBizsdnZM/edit#gid=371090625</t>
  </si>
  <si>
    <t>https://docs.google.com/spreadsheets/d/1DGL4ktOG5h3pyW5AqDyOs5hGEqsh3k20rnQBizsdnZM/edit#gid=1418629047</t>
  </si>
  <si>
    <t>https://docs.google.com/spreadsheets/d/1DGL4ktOG5h3pyW5AqDyOs5hGEqsh3k20rnQBizsdnZM/edit#gid=1469831521</t>
  </si>
  <si>
    <t>MCT-0013</t>
  </si>
  <si>
    <t xml:space="preserve">In case of ' Match Closing Transaction = Selected Masterfunds', considering entire position in the masterfund, even if the general rule only applies to a subset of the masterfund.
Master fund level default rule with Match closing at selected masterfund level 
when allocated in funds in which positions are not closing fund wise but closing exactly master fund wise
SAP 
1-Fund1=1000
 2-Fund1=1000 
2-fund2=500 
3-fund1=300
CSCO 
1-fund1= -500 
2-fund1= -500 
Test Preference
""Default Rule: MasterFund
Target % as of- CurrentPreference Check side- TRUE 
Remainder Allocation- NONE
MPP:selected masterfund
MasterFundDistribution
MF1-50%  - 1-Fund2 -50%
                    1-fund1-50%
MF2-50% -  2-Fund2-100%
Account Strategy Distribution
Default Rule-
Allocation method : Trade Quantity
Remainder Allocation : NONE
Target  % as of :current preference
Accounts for Prorata (NAV) :
Match closing transaction: false
No General rule"
MF2 general rule (include all side)
2-fund1 -60%
2-fund2 -40%
Match closing transaction: false
</t>
  </si>
  <si>
    <t>https://docs.google.com/spreadsheets/d/1R1ne1EgNDR4zYCGSuyjU4yCIElwnGnpVQCPnhOLHCGg/edit#gid=1912730111</t>
  </si>
  <si>
    <t>https://docs.google.com/spreadsheets/d/1R1ne1EgNDR4zYCGSuyjU4yCIElwnGnpVQCPnhOLHCGg/edit#gid=824918230</t>
  </si>
  <si>
    <t>https://docs.google.com/spreadsheets/d/1R1ne1EgNDR4zYCGSuyjU4yCIElwnGnpVQCPnhOLHCGg/edit#gid=1274655216</t>
  </si>
  <si>
    <t>https://docs.google.com/spreadsheets/d/1R1ne1EgNDR4zYCGSuyjU4yCIElwnGnpVQCPnhOLHCGg/edit#gid=1623947061</t>
  </si>
  <si>
    <t>https://docs.google.com/spreadsheets/d/1R1ne1EgNDR4zYCGSuyjU4yCIElwnGnpVQCPnhOLHCGg/edit#gid=383197787</t>
  </si>
  <si>
    <t>https://docs.google.com/spreadsheets/d/1R1ne1EgNDR4zYCGSuyjU4yCIElwnGnpVQCPnhOLHCGg/edit#gid=218440730</t>
  </si>
  <si>
    <t>https://docs.google.com/spreadsheets/d/1R1ne1EgNDR4zYCGSuyjU4yCIElwnGnpVQCPnhOLHCGg/edit#gid=1418666991</t>
  </si>
  <si>
    <t>https://docs.google.com/spreadsheets/d/1R1ne1EgNDR4zYCGSuyjU4yCIElwnGnpVQCPnhOLHCGg/edit#gid=93972249</t>
  </si>
  <si>
    <t>https://docs.google.com/spreadsheets/d/1R1ne1EgNDR4zYCGSuyjU4yCIElwnGnpVQCPnhOLHCGg/edit#gid=127997073</t>
  </si>
  <si>
    <t>https://docs.google.com/spreadsheets/d/1R1ne1EgNDR4zYCGSuyjU4yCIElwnGnpVQCPnhOLHCGg/edit#gid=1486275329</t>
  </si>
  <si>
    <t>https://docs.google.com/spreadsheets/d/1GmdL6BiZ2TvSExZpboo2D9rp-vamDUkVFihjFSAgO2Y/edit#gid=1802051699</t>
  </si>
  <si>
    <t>https://docs.google.com/spreadsheets/d/1R1ne1EgNDR4zYCGSuyjU4yCIElwnGnpVQCPnhOLHCGg/edit#gid=1213660992</t>
  </si>
  <si>
    <t>https://docs.google.com/spreadsheets/d/1R1ne1EgNDR4zYCGSuyjU4yCIElwnGnpVQCPnhOLHCGg/edit#gid=1439346511</t>
  </si>
  <si>
    <t>https://docs.google.com/spreadsheets/d/1R1ne1EgNDR4zYCGSuyjU4yCIElwnGnpVQCPnhOLHCGg/edit#gid=475314203</t>
  </si>
  <si>
    <t>https://docs.google.com/spreadsheets/d/1R1ne1EgNDR4zYCGSuyjU4yCIElwnGnpVQCPnhOLHCGg/edit#gid=148291066</t>
  </si>
  <si>
    <t>https://docs.google.com/spreadsheets/d/1R1ne1EgNDR4zYCGSuyjU4yCIElwnGnpVQCPnhOLHCGg/edit#gid=199026244</t>
  </si>
  <si>
    <t>https://docs.google.com/spreadsheets/d/1R1ne1EgNDR4zYCGSuyjU4yCIElwnGnpVQCPnhOLHCGg/edit#gid=2027246941</t>
  </si>
  <si>
    <t>https://docs.google.com/spreadsheets/d/1R1ne1EgNDR4zYCGSuyjU4yCIElwnGnpVQCPnhOLHCGg/edit#gid=366411426</t>
  </si>
  <si>
    <t>https://docs.google.com/spreadsheets/d/1R1ne1EgNDR4zYCGSuyjU4yCIElwnGnpVQCPnhOLHCGg/edit#gid=1178561114</t>
  </si>
  <si>
    <t>https://docs.google.com/spreadsheets/d/1R1ne1EgNDR4zYCGSuyjU4yCIElwnGnpVQCPnhOLHCGg/edit#gid=88954847</t>
  </si>
  <si>
    <t>https://docs.google.com/spreadsheets/d/1R1ne1EgNDR4zYCGSuyjU4yCIElwnGnpVQCPnhOLHCGg/edit#gid=706206622</t>
  </si>
  <si>
    <t>MCT-0014</t>
  </si>
  <si>
    <t>Selected masterfund MF1, MF2
Prorata
MSFT
MF1 Fund1 :50
MF2 Fund2 : 50
Test Preference
""Default Rule: MasterFund
Target % as of- CurrentPreference 
Check side- TRUE 
Remainder Allocation- NONE
MPP:selected masterfund
MF1
Fund2: 100
MF2
Fund2: 50
Fund3: 50
Add fill from Blotter then allocation</t>
  </si>
  <si>
    <t>https://docs.google.com/spreadsheets/d/1RpJ9Mr9vSCmLUo3uC4l6bpg8tL6zXglTbjv5tZwGPE0/edit#gid=1282781101</t>
  </si>
  <si>
    <t>https://docs.google.com/spreadsheets/d/1RpJ9Mr9vSCmLUo3uC4l6bpg8tL6zXglTbjv5tZwGPE0/edit#gid=1412159721</t>
  </si>
  <si>
    <t>https://docs.google.com/spreadsheets/d/1RpJ9Mr9vSCmLUo3uC4l6bpg8tL6zXglTbjv5tZwGPE0/edit#gid=735519573</t>
  </si>
  <si>
    <t>https://docs.google.com/spreadsheets/d/1RpJ9Mr9vSCmLUo3uC4l6bpg8tL6zXglTbjv5tZwGPE0/edit#gid=736357021</t>
  </si>
  <si>
    <t>https://docs.google.com/spreadsheets/d/1RpJ9Mr9vSCmLUo3uC4l6bpg8tL6zXglTbjv5tZwGPE0/edit#gid=2030000827</t>
  </si>
  <si>
    <t>https://docs.google.com/spreadsheets/d/1RpJ9Mr9vSCmLUo3uC4l6bpg8tL6zXglTbjv5tZwGPE0/edit#gid=1013261552</t>
  </si>
  <si>
    <t>https://docs.google.com/spreadsheets/d/1RpJ9Mr9vSCmLUo3uC4l6bpg8tL6zXglTbjv5tZwGPE0/edit#gid=1974295125</t>
  </si>
  <si>
    <t>https://docs.google.com/spreadsheets/d/1RpJ9Mr9vSCmLUo3uC4l6bpg8tL6zXglTbjv5tZwGPE0/edit#gid=646010427</t>
  </si>
  <si>
    <t>https://docs.google.com/spreadsheets/d/1RpJ9Mr9vSCmLUo3uC4l6bpg8tL6zXglTbjv5tZwGPE0/edit#gid=1059164522</t>
  </si>
  <si>
    <t>https://docs.google.com/spreadsheets/d/1RpJ9Mr9vSCmLUo3uC4l6bpg8tL6zXglTbjv5tZwGPE0/edit#gid=62995509</t>
  </si>
  <si>
    <t>https://docs.google.com/spreadsheets/d/1RpJ9Mr9vSCmLUo3uC4l6bpg8tL6zXglTbjv5tZwGPE0/edit#gid=622853619</t>
  </si>
  <si>
    <t>https://docs.google.com/spreadsheets/d/1RpJ9Mr9vSCmLUo3uC4l6bpg8tL6zXglTbjv5tZwGPE0/edit#gid=281956772</t>
  </si>
  <si>
    <t>EditAddFillsDetails1</t>
  </si>
  <si>
    <t>https://docs.google.com/spreadsheets/d/1RpJ9Mr9vSCmLUo3uC4l6bpg8tL6zXglTbjv5tZwGPE0/edit#gid=1579694825</t>
  </si>
  <si>
    <t>https://docs.google.com/spreadsheets/d/1RpJ9Mr9vSCmLUo3uC4l6bpg8tL6zXglTbjv5tZwGPE0/edit#gid=1468073386</t>
  </si>
  <si>
    <t>EditAddFillsDetails2</t>
  </si>
  <si>
    <t>https://docs.google.com/spreadsheets/d/1RpJ9Mr9vSCmLUo3uC4l6bpg8tL6zXglTbjv5tZwGPE0/edit#gid=56811129</t>
  </si>
  <si>
    <t>https://docs.google.com/spreadsheets/d/1RpJ9Mr9vSCmLUo3uC4l6bpg8tL6zXglTbjv5tZwGPE0/edit#gid=888676894</t>
  </si>
  <si>
    <t>https://docs.google.com/spreadsheets/d/1RpJ9Mr9vSCmLUo3uC4l6bpg8tL6zXglTbjv5tZwGPE0/edit#gid=2053676709</t>
  </si>
  <si>
    <t>https://docs.google.com/spreadsheets/d/1RpJ9Mr9vSCmLUo3uC4l6bpg8tL6zXglTbjv5tZwGPE0/edit#gid=2108360540</t>
  </si>
  <si>
    <t>Change the checkside from server from true to false</t>
  </si>
  <si>
    <t>https://docs.google.com/spreadsheets/d/1JKvHPB9ogGc_K3Of9bMq5OD9CdcV_xFOLqu1aC46TT8/edit#gid=1554891146</t>
  </si>
  <si>
    <t>test-0001</t>
  </si>
  <si>
    <t>Closing preference</t>
  </si>
  <si>
    <t>https://docs.google.com/spreadsheets/d/1LRPcUXQa-DaQxTYlX8t-Sj9CT8_wsOPj-epoYEu3S3g/edit#gid=1357048602</t>
  </si>
  <si>
    <t>https://docs.google.com/spreadsheets/d/1LRPcUXQa-DaQxTYlX8t-Sj9CT8_wsOPj-epoYEu3S3g/edit#gid=2074057418</t>
  </si>
  <si>
    <t>https://docs.google.com/spreadsheets/d/1LRPcUXQa-DaQxTYlX8t-Sj9CT8_wsOPj-epoYEu3S3g/edit#gid=1037902305</t>
  </si>
  <si>
    <t>test-0002</t>
  </si>
  <si>
    <t>closing test</t>
  </si>
  <si>
    <t>https://docs.google.com/spreadsheets/d/1CO2KMSgFrZqGJ3o74LXObEH3xLifUQDgnprmnr1-P7Y/edit#gid=671213003</t>
  </si>
  <si>
    <t>test-0003</t>
  </si>
  <si>
    <t>Daily valuation</t>
  </si>
  <si>
    <t>https://docs.google.com/spreadsheets/d/19mLdMQxT2hRKcykhdp6NoynnyiwJ-75Ds2qnfbaSf3k/edit#gid=1896074876</t>
  </si>
  <si>
    <t>https://docs.google.com/spreadsheets/d/19mLdMQxT2hRKcykhdp6NoynnyiwJ-75Ds2qnfbaSf3k/edit#gid=993898530</t>
  </si>
  <si>
    <t>https://docs.google.com/spreadsheets/d/19mLdMQxT2hRKcykhdp6NoynnyiwJ-75Ds2qnfbaSf3k/edit#gid=1833948498</t>
  </si>
  <si>
    <t>https://docs.google.com/spreadsheets/d/19mLdMQxT2hRKcykhdp6NoynnyiwJ-75Ds2qnfbaSf3k/edit#gid=795483298</t>
  </si>
  <si>
    <t>https://docs.google.com/spreadsheets/d/19mLdMQxT2hRKcykhdp6NoynnyiwJ-75Ds2qnfbaSf3k/edit#gid=405044817</t>
  </si>
  <si>
    <t>https://docs.google.com/spreadsheets/d/19mLdMQxT2hRKcykhdp6NoynnyiwJ-75Ds2qnfbaSf3k/edit#gid=325396261</t>
  </si>
  <si>
    <t>https://docs.google.com/spreadsheets/d/19mLdMQxT2hRKcykhdp6NoynnyiwJ-75Ds2qnfbaSf3k/edit#gid=731147285</t>
  </si>
  <si>
    <t>https://docs.google.com/spreadsheets/d/19mLdMQxT2hRKcykhdp6NoynnyiwJ-75Ds2qnfbaSf3k/edit#gid=1866635874</t>
  </si>
  <si>
    <t>https://docs.google.com/spreadsheets/d/19mLdMQxT2hRKcykhdp6NoynnyiwJ-75Ds2qnfbaSf3k/edit#gid=1377609329</t>
  </si>
  <si>
    <t>https://docs.google.com/spreadsheets/d/19mLdMQxT2hRKcykhdp6NoynnyiwJ-75Ds2qnfbaSf3k/edit#gid=678991904</t>
  </si>
  <si>
    <t>https://docs.google.com/spreadsheets/d/19mLdMQxT2hRKcykhdp6NoynnyiwJ-75Ds2qnfbaSf3k/edit#gid=1979010966</t>
  </si>
  <si>
    <t>https://docs.google.com/spreadsheets/d/19mLdMQxT2hRKcykhdp6NoynnyiwJ-75Ds2qnfbaSf3k/edit#gid=102508156</t>
  </si>
  <si>
    <t>https://docs.google.com/spreadsheets/d/19mLdMQxT2hRKcykhdp6NoynnyiwJ-75Ds2qnfbaSf3k/edit#gid=784888424</t>
  </si>
  <si>
    <t>test-0004</t>
  </si>
  <si>
    <t>get forex</t>
  </si>
  <si>
    <t>https://docs.google.com/spreadsheets/d/1R3aaMGqfaiQBbRiItC31HWKM0wb_yYxEyap9i4_9G48/edit#gid=1768078756</t>
  </si>
  <si>
    <t>test-0005</t>
  </si>
  <si>
    <t>get daily cash</t>
  </si>
  <si>
    <t>https://docs.google.com/spreadsheets/d/1iv_Uylf5XMYhYxcF9lTsxqwpUKdPRqusMS8P5s9B788/edit#gid=1074034365</t>
  </si>
  <si>
    <t>test-0006</t>
  </si>
  <si>
    <t>get daily beta</t>
  </si>
  <si>
    <t>https://docs.google.com/spreadsheets/d/1upm_FQV8PQCRr401ZEfRT0fJ0DIQoB0f4vhVReGmpHE/edit#gid=1243926156</t>
  </si>
  <si>
    <t>test-0007</t>
  </si>
  <si>
    <t>Create Transaction</t>
  </si>
  <si>
    <t>https://docs.google.com/spreadsheets/d/1-cqHBPxuv3vhWjSNDgErYX_S7hY2IxgXN3Im8hab25o/edit#gid=850377877</t>
  </si>
  <si>
    <t>test-0008</t>
  </si>
  <si>
    <t>PTT preference</t>
  </si>
  <si>
    <t>https://docs.google.com/spreadsheets/d/1SAtV71T7CSYQ-op2aHZFWLmAaFRBG1M7Xj0BJjneKY0/edit#gid=1366252902</t>
  </si>
  <si>
    <t>https://docs.google.com/spreadsheets/d/1SAtV71T7CSYQ-op2aHZFWLmAaFRBG1M7Xj0BJjneKY0/edit#gid=925095107</t>
  </si>
  <si>
    <t>https://docs.google.com/spreadsheets/d/1SAtV71T7CSYQ-op2aHZFWLmAaFRBG1M7Xj0BJjneKY0/edit#gid=697904733</t>
  </si>
  <si>
    <t>https://docs.google.com/spreadsheets/d/1SAtV71T7CSYQ-op2aHZFWLmAaFRBG1M7Xj0BJjneKY0/edit#gid=767215740</t>
  </si>
  <si>
    <t>test-0009</t>
  </si>
  <si>
    <t>verification of TT</t>
  </si>
  <si>
    <t>https://docs.google.com/spreadsheets/d/1R64Hjyi6DVPNJCsVn0OOdnNVbfMU6jVrOYKHbZA82qg/edit#gid=782851589</t>
  </si>
  <si>
    <t>https://docs.google.com/spreadsheets/d/1R64Hjyi6DVPNJCsVn0OOdnNVbfMU6jVrOYKHbZA82qg/edit#gid=418077486</t>
  </si>
  <si>
    <t>test-0010</t>
  </si>
  <si>
    <t xml:space="preserve"> UpdateForexConversionMonthly step</t>
  </si>
  <si>
    <t>https://docs.google.com/spreadsheets/d/1qdnP28A6NX_9mxRWKJhZcdPJEBSdG2ngQMEhBgvQ4r8/edit#gid=318334556</t>
  </si>
  <si>
    <t>https://docs.google.com/spreadsheets/d/1qdnP28A6NX_9mxRWKJhZcdPJEBSdG2ngQMEhBgvQ4r8/edit#gid=594559656</t>
  </si>
  <si>
    <t>https://docs.google.com/spreadsheets/d/1qdnP28A6NX_9mxRWKJhZcdPJEBSdG2ngQMEhBgvQ4r8/edit#gid=1202419943</t>
  </si>
  <si>
    <t>https://docs.google.com/spreadsheets/d/1qdnP28A6NX_9mxRWKJhZcdPJEBSdG2ngQMEhBgvQ4r8/edit#gid=90930307</t>
  </si>
  <si>
    <t>UpdateMarkPriceMonthly.</t>
  </si>
  <si>
    <t>https://docs.google.com/spreadsheets/d/1qdnP28A6NX_9mxRWKJhZcdPJEBSdG2ngQMEhBgvQ4r8/edit#gid=1281773423</t>
  </si>
  <si>
    <t>test-0011</t>
  </si>
  <si>
    <t>opening balance</t>
  </si>
  <si>
    <t>https://docs.google.com/spreadsheets/d/1sMMrlhdTY1S-jers2YjgwP3SQo3FzLkvZj4e275rMmo/edit#gid=1897404129</t>
  </si>
  <si>
    <t>https://docs.google.com/spreadsheets/d/1sMMrlhdTY1S-jers2YjgwP3SQo3FzLkvZj4e275rMmo/edit#gid=1042698416</t>
  </si>
  <si>
    <t>https://docs.google.com/spreadsheets/d/1sMMrlhdTY1S-jers2YjgwP3SQo3FzLkvZj4e275rMmo/edit#gid=332923193</t>
  </si>
  <si>
    <t>test-0012</t>
  </si>
  <si>
    <t>https://docs.google.com/spreadsheets/d/1HpNDfjgWfF8qJLiZ4zjDMd6VB4iJG0JnXKD0oD_ddWI/edit#gid=1805078594</t>
  </si>
  <si>
    <t>https://docs.google.com/spreadsheets/d/1HpNDfjgWfF8qJLiZ4zjDMd6VB4iJG0JnXKD0oD_ddWI/edit#gid=1645974382</t>
  </si>
  <si>
    <t>https://docs.google.com/spreadsheets/d/1HpNDfjgWfF8qJLiZ4zjDMd6VB4iJG0JnXKD0oD_ddWI/edit#gid=769651241</t>
  </si>
  <si>
    <t>Allocation-0024</t>
  </si>
  <si>
    <t>Set Precision Value</t>
  </si>
  <si>
    <t>https://docs.google.com/spreadsheets/d/1MR_GIl-2VU_wnZoWjdPbONwsUiGfFT__x1Bji7uWASk/edit#gid=607609305</t>
  </si>
  <si>
    <t>https://docs.google.com/spreadsheets/d/1MR_GIl-2VU_wnZoWjdPbONwsUiGfFT__x1Bji7uWASk/edit#gid=1911203463</t>
  </si>
  <si>
    <t>https://docs.google.com/spreadsheets/d/1MR_GIl-2VU_wnZoWjdPbONwsUiGfFT__x1Bji7uWASk/edit#gid=1291034843</t>
  </si>
  <si>
    <t>https://docs.google.com/spreadsheets/d/1MR_GIl-2VU_wnZoWjdPbONwsUiGfFT__x1Bji7uWASk/edit#gid=171353722</t>
  </si>
  <si>
    <t>https://docs.google.com/spreadsheets/d/1MR_GIl-2VU_wnZoWjdPbONwsUiGfFT__x1Bji7uWASk/edit#gid=1530535261</t>
  </si>
  <si>
    <t>https://docs.google.com/spreadsheets/d/1MR_GIl-2VU_wnZoWjdPbONwsUiGfFT__x1Bji7uWASk/edit#gid=1281077717</t>
  </si>
  <si>
    <t>https://docs.google.com/spreadsheets/d/1MR_GIl-2VU_wnZoWjdPbONwsUiGfFT__x1Bji7uWASk/edit#gid=650549286</t>
  </si>
  <si>
    <t>https://docs.google.com/spreadsheets/d/1MR_GIl-2VU_wnZoWjdPbONwsUiGfFT__x1Bji7uWASk/edit#gid=2041354805</t>
  </si>
  <si>
    <t>https://docs.google.com/spreadsheets/d/1MR_GIl-2VU_wnZoWjdPbONwsUiGfFT__x1Bji7uWASk/edit#gid=1983313283</t>
  </si>
  <si>
    <t>https://docs.google.com/spreadsheets/d/1MR_GIl-2VU_wnZoWjdPbONwsUiGfFT__x1Bji7uWASk/edit#gid=786876117</t>
  </si>
  <si>
    <t>https://docs.google.com/spreadsheets/d/1MR_GIl-2VU_wnZoWjdPbONwsUiGfFT__x1Bji7uWASk/edit#gid=2057787405</t>
  </si>
  <si>
    <t>https://docs.google.com/spreadsheets/d/1MR_GIl-2VU_wnZoWjdPbONwsUiGfFT__x1Bji7uWASk/edit#gid=547656314</t>
  </si>
  <si>
    <t>test-0013</t>
  </si>
  <si>
    <t>UpdateMarkPriceMonthly step</t>
  </si>
  <si>
    <t>https://docs.google.com/spreadsheets/d/1-DPQBAJiA8Ullm_rjeRURL4OnoTH-0KtgVrA0dsiEUE/edit#gid=1286553383</t>
  </si>
  <si>
    <t>https://docs.google.com/spreadsheets/d/1-DPQBAJiA8Ullm_rjeRURL4OnoTH-0KtgVrA0dsiEUE/edit#gid=1197969382</t>
  </si>
  <si>
    <t>Allocation-0026</t>
  </si>
  <si>
    <t>Use commisison in NET Amount</t>
  </si>
  <si>
    <t>https://docs.google.com/spreadsheets/d/1gxeQvIDxVj-pJ_6Qafql4ecOofMq5JEt05YI75ZoZgE/edit#gid=697147772</t>
  </si>
  <si>
    <t>https://docs.google.com/spreadsheets/d/1gxeQvIDxVj-pJ_6Qafql4ecOofMq5JEt05YI75ZoZgE/edit#gid=570046344</t>
  </si>
  <si>
    <t>https://docs.google.com/spreadsheets/d/1gxeQvIDxVj-pJ_6Qafql4ecOofMq5JEt05YI75ZoZgE/edit#gid=801389046</t>
  </si>
  <si>
    <t>https://docs.google.com/spreadsheets/d/1gxeQvIDxVj-pJ_6Qafql4ecOofMq5JEt05YI75ZoZgE/edit#gid=1174514257</t>
  </si>
  <si>
    <t>https://docs.google.com/spreadsheets/d/1gxeQvIDxVj-pJ_6Qafql4ecOofMq5JEt05YI75ZoZgE/edit#gid=1395693884</t>
  </si>
  <si>
    <t>https://docs.google.com/spreadsheets/d/1gxeQvIDxVj-pJ_6Qafql4ecOofMq5JEt05YI75ZoZgE/edit#gid=846705712</t>
  </si>
  <si>
    <t>https://docs.google.com/spreadsheets/d/1gxeQvIDxVj-pJ_6Qafql4ecOofMq5JEt05YI75ZoZgE/edit#gid=1431949285</t>
  </si>
  <si>
    <t>https://docs.google.com/spreadsheets/d/1gxeQvIDxVj-pJ_6Qafql4ecOofMq5JEt05YI75ZoZgE/edit#gid=171318056</t>
  </si>
  <si>
    <t>https://docs.google.com/spreadsheets/d/1gxeQvIDxVj-pJ_6Qafql4ecOofMq5JEt05YI75ZoZgE/edit#gid=1748972586</t>
  </si>
  <si>
    <t>https://docs.google.com/spreadsheets/d/1gxeQvIDxVj-pJ_6Qafql4ecOofMq5JEt05YI75ZoZgE/edit#gid=2100472622</t>
  </si>
  <si>
    <t>Allocation-0023</t>
  </si>
  <si>
    <t>Save Layout in Unallocated and allocated grid using cloumn choser</t>
  </si>
  <si>
    <t>https://docs.google.com/spreadsheets/d/1U2kQeBMB7WtdQfHuGi-iDBCqdq6k38p2RAbXtsVw8tY/edit#gid=739568164</t>
  </si>
  <si>
    <t>https://docs.google.com/spreadsheets/d/1U2kQeBMB7WtdQfHuGi-iDBCqdq6k38p2RAbXtsVw8tY/edit#gid=1005975822</t>
  </si>
  <si>
    <t>https://docs.google.com/spreadsheets/d/1U2kQeBMB7WtdQfHuGi-iDBCqdq6k38p2RAbXtsVw8tY/edit#gid=1593746503</t>
  </si>
  <si>
    <t>https://docs.google.com/spreadsheets/d/1U2kQeBMB7WtdQfHuGi-iDBCqdq6k38p2RAbXtsVw8tY/edit#gid=1905670909</t>
  </si>
  <si>
    <t>https://docs.google.com/spreadsheets/d/1U2kQeBMB7WtdQfHuGi-iDBCqdq6k38p2RAbXtsVw8tY/edit#gid=1884204587</t>
  </si>
  <si>
    <t>SaveLayoutAllocatedGridForAccountLevel</t>
  </si>
  <si>
    <t>https://docs.google.com/spreadsheets/d/1U2kQeBMB7WtdQfHuGi-iDBCqdq6k38p2RAbXtsVw8tY/edit#gid=740253771</t>
  </si>
  <si>
    <t>VerifyLayoutAllocatedGridForAccountLevel</t>
  </si>
  <si>
    <t>AllocationLeveling-0008</t>
  </si>
  <si>
    <t>allocation via leveling for non usd currency trades</t>
  </si>
  <si>
    <t>https://docs.google.com/spreadsheets/d/1lG1ojHNGAMgZivgGwOy6PIiiqTJBIbQEaMFogGCYPaw/edit#gid=539109920</t>
  </si>
  <si>
    <t>https://docs.google.com/spreadsheets/d/1lG1ojHNGAMgZivgGwOy6PIiiqTJBIbQEaMFogGCYPaw/edit#gid=1930540836</t>
  </si>
  <si>
    <t>https://docs.google.com/spreadsheets/d/1lG1ojHNGAMgZivgGwOy6PIiiqTJBIbQEaMFogGCYPaw/edit#gid=1099796962</t>
  </si>
  <si>
    <t>https://docs.google.com/spreadsheets/d/1lG1ojHNGAMgZivgGwOy6PIiiqTJBIbQEaMFogGCYPaw/edit#gid=939328428</t>
  </si>
  <si>
    <t>https://docs.google.com/spreadsheets/d/1lG1ojHNGAMgZivgGwOy6PIiiqTJBIbQEaMFogGCYPaw/edit#gid=667893217</t>
  </si>
  <si>
    <t>https://docs.google.com/spreadsheets/d/1lG1ojHNGAMgZivgGwOy6PIiiqTJBIbQEaMFogGCYPaw/edit#gid=1926667541</t>
  </si>
  <si>
    <t>https://docs.google.com/spreadsheets/d/1lG1ojHNGAMgZivgGwOy6PIiiqTJBIbQEaMFogGCYPaw/edit#gid=1725040068</t>
  </si>
  <si>
    <t>https://docs.google.com/spreadsheets/d/1lG1ojHNGAMgZivgGwOy6PIiiqTJBIbQEaMFogGCYPaw/edit#gid=917704496</t>
  </si>
  <si>
    <t>https://docs.google.com/spreadsheets/d/1lG1ojHNGAMgZivgGwOy6PIiiqTJBIbQEaMFogGCYPaw/edit#gid=237175580</t>
  </si>
  <si>
    <t>https://docs.google.com/spreadsheets/d/1lG1ojHNGAMgZivgGwOy6PIiiqTJBIbQEaMFogGCYPaw/edit#gid=838016969</t>
  </si>
  <si>
    <t>https://docs.google.com/spreadsheets/d/1lG1ojHNGAMgZivgGwOy6PIiiqTJBIbQEaMFogGCYPaw/edit#gid=811432689</t>
  </si>
  <si>
    <t>https://docs.google.com/spreadsheets/d/1lG1ojHNGAMgZivgGwOy6PIiiqTJBIbQEaMFogGCYPaw/edit#gid=2050089272</t>
  </si>
  <si>
    <t>https://docs.google.com/spreadsheets/d/1lG1ojHNGAMgZivgGwOy6PIiiqTJBIbQEaMFogGCYPaw/edit#gid=1648381537</t>
  </si>
  <si>
    <t>https://docs.google.com/spreadsheets/d/1lG1ojHNGAMgZivgGwOy6PIiiqTJBIbQEaMFogGCYPaw/edit#gid=1630976412</t>
  </si>
  <si>
    <t>https://docs.google.com/spreadsheets/d/1lG1ojHNGAMgZivgGwOy6PIiiqTJBIbQEaMFogGCYPaw/edit#gid=940055339</t>
  </si>
  <si>
    <t>https://docs.google.com/spreadsheets/d/1lG1ojHNGAMgZivgGwOy6PIiiqTJBIbQEaMFogGCYPaw/edit#gid=364500819</t>
  </si>
  <si>
    <t>https://docs.google.com/spreadsheets/d/1lG1ojHNGAMgZivgGwOy6PIiiqTJBIbQEaMFogGCYPaw/edit#gid=389499277</t>
  </si>
  <si>
    <t>https://docs.google.com/spreadsheets/d/1lG1ojHNGAMgZivgGwOy6PIiiqTJBIbQEaMFogGCYPaw/edit#gid=1331017649</t>
  </si>
  <si>
    <t>https://docs.google.com/spreadsheets/d/1lG1ojHNGAMgZivgGwOy6PIiiqTJBIbQEaMFogGCYPaw/edit#gid=590998833</t>
  </si>
  <si>
    <t>test-0017</t>
  </si>
  <si>
    <t>options testing</t>
  </si>
  <si>
    <t>https://docs.google.com/spreadsheets/d/1D-5JVjPyOCgWgSIE4x1tBoAGFXTCMLXSo5LEkandlJk/edit#gid=1558599237</t>
  </si>
  <si>
    <t>https://docs.google.com/spreadsheets/d/1D-5JVjPyOCgWgSIE4x1tBoAGFXTCMLXSo5LEkandlJk/edit#gid=58475562</t>
  </si>
  <si>
    <t>https://docs.google.com/spreadsheets/d/1D-5JVjPyOCgWgSIE4x1tBoAGFXTCMLXSo5LEkandlJk/edit#gid=541990810</t>
  </si>
  <si>
    <t>https://docs.google.com/spreadsheets/d/1D-5JVjPyOCgWgSIE4x1tBoAGFXTCMLXSo5LEkandlJk/edit#gid=123945021</t>
  </si>
  <si>
    <t>test-0018</t>
  </si>
  <si>
    <t>options</t>
  </si>
  <si>
    <t>https://docs.google.com/spreadsheets/d/1bT4qpf57MVAesA1E2n_qPrS_w_it84nU0eT3kVTUUsA/edit#gid=1730498329</t>
  </si>
  <si>
    <t>https://docs.google.com/spreadsheets/d/1bT4qpf57MVAesA1E2n_qPrS_w_it84nU0eT3kVTUUsA/edit#gid=1269471444</t>
  </si>
  <si>
    <t>https://docs.google.com/spreadsheets/d/1bT4qpf57MVAesA1E2n_qPrS_w_it84nU0eT3kVTUUsA/edit#gid=1335486616</t>
  </si>
  <si>
    <t>https://docs.google.com/spreadsheets/d/1bT4qpf57MVAesA1E2n_qPrS_w_it84nU0eT3kVTUUsA/edit#gid=458497962</t>
  </si>
  <si>
    <t>Allocation-0154</t>
  </si>
  <si>
    <t>Unallocated grid editing</t>
  </si>
  <si>
    <t>https://docs.google.com/spreadsheets/d/1NK2sWdZ56nvwYGdljL9apqTpTEsgSfs7RGRBuSZSXGc/edit#gid=2099367111</t>
  </si>
  <si>
    <t>https://docs.google.com/spreadsheets/d/1NK2sWdZ56nvwYGdljL9apqTpTEsgSfs7RGRBuSZSXGc/edit#gid=1766080265</t>
  </si>
  <si>
    <t>https://docs.google.com/spreadsheets/d/1NK2sWdZ56nvwYGdljL9apqTpTEsgSfs7RGRBuSZSXGc/edit#gid=829583158</t>
  </si>
  <si>
    <t>https://docs.google.com/spreadsheets/d/1NK2sWdZ56nvwYGdljL9apqTpTEsgSfs7RGRBuSZSXGc/edit#gid=209281587</t>
  </si>
  <si>
    <t>https://docs.google.com/spreadsheets/d/1NK2sWdZ56nvwYGdljL9apqTpTEsgSfs7RGRBuSZSXGc/edit#gid=2120397236</t>
  </si>
  <si>
    <t>Allocation-0155</t>
  </si>
  <si>
    <t>Testing</t>
  </si>
  <si>
    <t>https://docs.google.com/spreadsheets/d/1NvJrAoqbgqd4g1SIgE1URiZi2HvM2t1uOI6lYGD0bu4/edit#gid=581602826</t>
  </si>
  <si>
    <t>https://docs.google.com/spreadsheets/d/1NvJrAoqbgqd4g1SIgE1URiZi2HvM2t1uOI6lYGD0bu4/edit#gid=697274356</t>
  </si>
  <si>
    <t>https://docs.google.com/spreadsheets/d/1NvJrAoqbgqd4g1SIgE1URiZi2HvM2t1uOI6lYGD0bu4/edit#gid=2028962578</t>
  </si>
  <si>
    <t>Allocation-0156</t>
  </si>
  <si>
    <t>TD</t>
  </si>
  <si>
    <t>https://docs.google.com/spreadsheets/d/1q9ZB9VifL1OHJtysMY-ZTp3au_BKrThPmreuReMB7KY/edit#gid=919813175</t>
  </si>
  <si>
    <t>https://docs.google.com/spreadsheets/d/1q9ZB9VifL1OHJtysMY-ZTp3au_BKrThPmreuReMB7KY/edit#gid=1405059016</t>
  </si>
  <si>
    <t>https://docs.google.com/spreadsheets/d/1q9ZB9VifL1OHJtysMY-ZTp3au_BKrThPmreuReMB7KY/edit#gid=736297328</t>
  </si>
  <si>
    <t>Allocation-0157</t>
  </si>
  <si>
    <t>Date</t>
  </si>
  <si>
    <t>https://docs.google.com/spreadsheets/d/1s0SIOwoSAqFIssGCu0TNXOqjdBqr7POqcDouyVpzYCA/edit#gid=249325735</t>
  </si>
  <si>
    <t>https://docs.google.com/spreadsheets/d/1s0SIOwoSAqFIssGCu0TNXOqjdBqr7POqcDouyVpzYCA/edit#gid=717052723</t>
  </si>
  <si>
    <t>https://docs.google.com/spreadsheets/d/1s0SIOwoSAqFIssGCu0TNXOqjdBqr7POqcDouyVpzYCA/edit#gid=682749502</t>
  </si>
  <si>
    <t>Testing config</t>
  </si>
  <si>
    <t>https://docs.google.com/spreadsheets/d/199QF_5XnFmOjmj4wkei9HGcg58ODat4P24aJ9CLLj7w/edit#gid=1536582114</t>
  </si>
  <si>
    <t>Allocation-160</t>
  </si>
  <si>
    <t>https://docs.google.com/spreadsheets/d/1lTxDGKa2YuxfvcfCdIOCE_s9HaAU0n7qp2_ObFy8-pQ/edit#gid=278218781</t>
  </si>
  <si>
    <t>https://docs.google.com/spreadsheets/d/1lTxDGKa2YuxfvcfCdIOCE_s9HaAU0n7qp2_ObFy8-pQ/edit#gid=865085536</t>
  </si>
  <si>
    <t>https://docs.google.com/spreadsheets/d/1lTxDGKa2YuxfvcfCdIOCE_s9HaAU0n7qp2_ObFy8-pQ/edit#gid=608195766</t>
  </si>
  <si>
    <t>https://docs.google.com/spreadsheets/d/1lTxDGKa2YuxfvcfCdIOCE_s9HaAU0n7qp2_ObFy8-pQ/edit#gid=1626068068</t>
  </si>
  <si>
    <t>Editing in Allocated grid</t>
  </si>
  <si>
    <t>https://docs.google.com/spreadsheets/d/1Z--4m810vKqo05mXwz2th2vMbbO1rn_Olts3q7oi994/edit#gid=1017911324</t>
  </si>
  <si>
    <t>https://docs.google.com/spreadsheets/d/1Z--4m810vKqo05mXwz2th2vMbbO1rn_Olts3q7oi994/edit#gid=109170073</t>
  </si>
  <si>
    <t>https://docs.google.com/spreadsheets/d/1Z--4m810vKqo05mXwz2th2vMbbO1rn_Olts3q7oi994/edit#gid=1639080294</t>
  </si>
  <si>
    <t>Editing in Mulitple Allocated  trades</t>
  </si>
  <si>
    <t>Editing in Mulitple Allocated  tradesT</t>
  </si>
  <si>
    <t>test-0129</t>
  </si>
  <si>
    <t>testing</t>
  </si>
  <si>
    <t>https://docs.google.com/spreadsheets/d/1Zbm9la_d5FvExqrDKNjA89-a--LuiCnidrb5mrzHcx0/edit#gid=717055245</t>
  </si>
  <si>
    <t>https://docs.google.com/spreadsheets/d/199QF_5XnFmOjmj4wkei9HGcg58ODat4P24aJ9CLLj7w/edit#gid=318956890</t>
  </si>
  <si>
    <t>Allocation -1201</t>
  </si>
  <si>
    <t xml:space="preserve">editing of account </t>
  </si>
  <si>
    <t>https://docs.google.com/spreadsheets/d/1c75wVV0EoLxT4O3J2khKZCfY5lAUc_15ciPDuVK_ryE/edit#gid=1760567407</t>
  </si>
  <si>
    <t>https://docs.google.com/spreadsheets/d/1c75wVV0EoLxT4O3J2khKZCfY5lAUc_15ciPDuVK_ryE/edit#gid=1165345104</t>
  </si>
  <si>
    <t>FX1</t>
  </si>
  <si>
    <t>https://docs.google.com/spreadsheets/d/1RsbeZtwl-o_LGTnNcJERhhYORkDizNcmpp2_3gRohrE/edit#gid=443140374</t>
  </si>
  <si>
    <t>https://docs.google.com/spreadsheets/d/1RsbeZtwl-o_LGTnNcJERhhYORkDizNcmpp2_3gRohrE/edit#gid=14895873</t>
  </si>
  <si>
    <t>https://docs.google.com/spreadsheets/d/1RsbeZtwl-o_LGTnNcJERhhYORkDizNcmpp2_3gRohrE/edit#gid=243200390</t>
  </si>
  <si>
    <t>https://docs.google.com/spreadsheets/d/1RsbeZtwl-o_LGTnNcJERhhYORkDizNcmpp2_3gRohrE/edit#gid=991379584</t>
  </si>
  <si>
    <t>https://docs.google.com/spreadsheets/d/1RsbeZtwl-o_LGTnNcJERhhYORkDizNcmpp2_3gRohrE/edit#gid=1857464297</t>
  </si>
  <si>
    <t>https://docs.google.com/spreadsheets/d/1RsbeZtwl-o_LGTnNcJERhhYORkDizNcmpp2_3gRohrE/edit#gid=1112213311</t>
  </si>
  <si>
    <t>https://docs.google.com/spreadsheets/d/1RsbeZtwl-o_LGTnNcJERhhYORkDizNcmpp2_3gRohrE/edit#gid=1959627373</t>
  </si>
  <si>
    <t>https://docs.google.com/spreadsheets/d/1RsbeZtwl-o_LGTnNcJERhhYORkDizNcmpp2_3gRohrE/edit#gid=210034875</t>
  </si>
  <si>
    <t>https://docs.google.com/spreadsheets/d/1RsbeZtwl-o_LGTnNcJERhhYORkDizNcmpp2_3gRohrE/edit#gid=1146172201</t>
  </si>
  <si>
    <t>https://docs.google.com/spreadsheets/d/1RsbeZtwl-o_LGTnNcJERhhYORkDizNcmpp2_3gRohrE/edit#gid=1225993368</t>
  </si>
  <si>
    <t>https://docs.google.com/spreadsheets/d/1RsbeZtwl-o_LGTnNcJERhhYORkDizNcmpp2_3gRohrE/edit#gid=817307966</t>
  </si>
  <si>
    <t>https://docs.google.com/spreadsheets/d/1RsbeZtwl-o_LGTnNcJERhhYORkDizNcmpp2_3gRohrE/edit#gid=648285557</t>
  </si>
  <si>
    <t>https://docs.google.com/spreadsheets/d/1RsbeZtwl-o_LGTnNcJERhhYORkDizNcmpp2_3gRohrE/edit#gid=1743377203</t>
  </si>
  <si>
    <t>https://docs.google.com/spreadsheets/d/1RsbeZtwl-o_LGTnNcJERhhYORkDizNcmpp2_3gRohrE/edit#gid=523913392</t>
  </si>
  <si>
    <t>https://docs.google.com/spreadsheets/d/1RsbeZtwl-o_LGTnNcJERhhYORkDizNcmpp2_3gRohrE/edit#gid=180553021</t>
  </si>
  <si>
    <t>Blotter Verification</t>
  </si>
  <si>
    <t>https://docs.google.com/spreadsheets/d/1zC9Yw8n64AbrHw59iwqHNDl3u6H7ECzEx5UJPxOc8Tg/edit#gid=1741345592</t>
  </si>
  <si>
    <t>https://docs.google.com/spreadsheets/d/1zC9Yw8n64AbrHw59iwqHNDl3u6H7ECzEx5UJPxOc8Tg/edit#gid=309809775</t>
  </si>
  <si>
    <t>https://docs.google.com/spreadsheets/d/1zC9Yw8n64AbrHw59iwqHNDl3u6H7ECzEx5UJPxOc8Tg/edit#gid=1305796608</t>
  </si>
  <si>
    <t>https://docs.google.com/spreadsheets/d/1zC9Yw8n64AbrHw59iwqHNDl3u6H7ECzEx5UJPxOc8Tg/edit#gid=857594076</t>
  </si>
  <si>
    <t>Create_Order_Step</t>
  </si>
  <si>
    <t>https://docs.google.com/spreadsheets/d/1M8YPuqNbO2yhOPnN2N8DlzgXYq-hY8AZKs9xpJYmNAM/edit#gid=1801771210</t>
  </si>
  <si>
    <t>Compliance-00001</t>
  </si>
  <si>
    <t>Test Compliance</t>
  </si>
  <si>
    <t>TestTT-0001</t>
  </si>
  <si>
    <t>Live TT test</t>
  </si>
  <si>
    <t>Editing</t>
  </si>
  <si>
    <t>Date-001</t>
  </si>
  <si>
    <t>Trading in Back Date &amp; Verifying on Allocation &amp; PM</t>
  </si>
  <si>
    <t>https://docs.google.com/spreadsheets/d/1E2OZ58qJKubXlCxrPlnFSafC3vilpCdZ052sLj2xiNg/edit#gid=1700740665</t>
  </si>
  <si>
    <t>https://docs.google.com/spreadsheets/d/1E2OZ58qJKubXlCxrPlnFSafC3vilpCdZ052sLj2xiNg/edit#gid=1782854335</t>
  </si>
  <si>
    <t>https://docs.google.com/spreadsheets/d/1E2OZ58qJKubXlCxrPlnFSafC3vilpCdZ052sLj2xiNg/edit#gid=2031465382</t>
  </si>
  <si>
    <t>https://docs.google.com/spreadsheets/d/1E2OZ58qJKubXlCxrPlnFSafC3vilpCdZ052sLj2xiNg/edit#gid=1363713883</t>
  </si>
  <si>
    <t>https://docs.google.com/spreadsheets/d/1E2OZ58qJKubXlCxrPlnFSafC3vilpCdZ052sLj2xiNg/edit#gid=1537097839</t>
  </si>
  <si>
    <t>https://docs.google.com/spreadsheets/d/1E2OZ58qJKubXlCxrPlnFSafC3vilpCdZ052sLj2xiNg/edit#gid=755672072</t>
  </si>
  <si>
    <t>https://docs.google.com/spreadsheets/d/1E2OZ58qJKubXlCxrPlnFSafC3vilpCdZ052sLj2xiNg/edit#gid=1970046637</t>
  </si>
  <si>
    <t>https://docs.google.com/spreadsheets/d/1E2OZ58qJKubXlCxrPlnFSafC3vilpCdZ052sLj2xiNg/edit#gid=1282417779</t>
  </si>
  <si>
    <t>Date-002</t>
  </si>
  <si>
    <t>Trading in Future Date &amp; Verifying on Allocation &amp; PM</t>
  </si>
  <si>
    <t>https://docs.google.com/spreadsheets/d/1RfE_49J_E7ywzmdgn0v5O-3lTDk9bpxbBvbtx18ZTZg/edit#gid=250978788</t>
  </si>
  <si>
    <t>https://docs.google.com/spreadsheets/d/1RfE_49J_E7ywzmdgn0v5O-3lTDk9bpxbBvbtx18ZTZg/edit#gid=792449327</t>
  </si>
  <si>
    <t>https://docs.google.com/spreadsheets/d/1RfE_49J_E7ywzmdgn0v5O-3lTDk9bpxbBvbtx18ZTZg/edit#gid=1718383536</t>
  </si>
  <si>
    <t>https://docs.google.com/spreadsheets/d/1RfE_49J_E7ywzmdgn0v5O-3lTDk9bpxbBvbtx18ZTZg/edit#gid=426341568</t>
  </si>
  <si>
    <t>https://docs.google.com/spreadsheets/d/1RfE_49J_E7ywzmdgn0v5O-3lTDk9bpxbBvbtx18ZTZg/edit#gid=1058742493</t>
  </si>
  <si>
    <t>https://docs.google.com/spreadsheets/d/1RfE_49J_E7ywzmdgn0v5O-3lTDk9bpxbBvbtx18ZTZg/edit#gid=860889866</t>
  </si>
  <si>
    <t>https://docs.google.com/spreadsheets/d/1RfE_49J_E7ywzmdgn0v5O-3lTDk9bpxbBvbtx18ZTZg/edit#gid=1782813306</t>
  </si>
  <si>
    <t>https://docs.google.com/spreadsheets/d/1RfE_49J_E7ywzmdgn0v5O-3lTDk9bpxbBvbtx18ZTZg/edit#gid=529187138</t>
  </si>
  <si>
    <t>https://docs.google.com/spreadsheets/d/1l6PZEXsQCro3Z7HHq4ptxDmuRoZW63WAYCB6UJN6sKI/edit#gid=959525915</t>
  </si>
  <si>
    <t>LiveTT-0001</t>
  </si>
  <si>
    <t>First test case</t>
  </si>
  <si>
    <t>LiveTT-0002</t>
  </si>
  <si>
    <t>Live TT Seconcd Case</t>
  </si>
  <si>
    <t>LiveTT-0003</t>
  </si>
  <si>
    <t xml:space="preserve">Create Stage order 
Now create multiple sub orders created live 
partially filled sub order 1 
Fully filled sub order 2 
Cancel replace on Sub order 3 in PF state. 
Replace price and QTY both. </t>
  </si>
  <si>
    <t>VerifyOrder3</t>
  </si>
  <si>
    <t>VerifyWorkingSubs5</t>
  </si>
  <si>
    <t>VerifyOrder5</t>
  </si>
  <si>
    <t>VerifySubOrder5</t>
  </si>
  <si>
    <t>VerifyOrder6</t>
  </si>
  <si>
    <t>VerifySubOrder6</t>
  </si>
  <si>
    <t>VerifyWorkingSubs6</t>
  </si>
  <si>
    <t>AllocationLeveling-0001</t>
  </si>
  <si>
    <t xml:space="preserve">Allocation Using Leveling:
Description: 
Prerequisite: FUND 1- NAV=10000 - 
 'Inital Symbol(market value) Value' = 400 
'Symbol Contribution to Fund' =4.00 % 
 'Symbol Contribution to Portfolio' =8.00 % 
FUND 2 -NAV=15000 - 
'Inital Symbol(market value) Value' = 800 
 'Symbol Contribution to Fund' =5.33 % 
'Symbol Contribution to Portfolio' =12.00 % 
FUND 3 -NAV=100000 - 
'Inital Symbol(market value) Value' = 801 
'Symbol Contribution to Fund' =0.80 % 
'Symbol Contribution to Portfolio' =80.00 % 
Test Case: 
For Opening Transactions-Trade Value =10000@1 
MSFT buy 10000@1 
Total Market value to Allocate = 10000 
For Closing Transactions-Trade Value =5000
</t>
  </si>
  <si>
    <t>https://docs.google.com/spreadsheets/d/1ebJ88pSqCnb07kYRC0h-9hFD9sYwNw-z0H8ZTidCoPs/edit#gid=206679609</t>
  </si>
  <si>
    <t>https://docs.google.com/spreadsheets/d/1ebJ88pSqCnb07kYRC0h-9hFD9sYwNw-z0H8ZTidCoPs/edit#gid=2026632457</t>
  </si>
  <si>
    <t>https://docs.google.com/spreadsheets/d/1ebJ88pSqCnb07kYRC0h-9hFD9sYwNw-z0H8ZTidCoPs/edit#gid=1194605144</t>
  </si>
  <si>
    <t>https://docs.google.com/spreadsheets/d/1ebJ88pSqCnb07kYRC0h-9hFD9sYwNw-z0H8ZTidCoPs/edit#gid=1370694653</t>
  </si>
  <si>
    <t>https://docs.google.com/spreadsheets/d/19PPRhGWnzpk-zdi2HbSh17iM2bINQU45LVYTUHNjxBQ/edit#gid=520624758</t>
  </si>
  <si>
    <t>https://docs.google.com/spreadsheets/d/19PPRhGWnzpk-zdi2HbSh17iM2bINQU45LVYTUHNjxBQ/edit#gid=630414509</t>
  </si>
  <si>
    <t>https://docs.google.com/spreadsheets/d/19PPRhGWnzpk-zdi2HbSh17iM2bINQU45LVYTUHNjxBQ/edit#gid=1800365642</t>
  </si>
  <si>
    <t>https://docs.google.com/spreadsheets/d/19PPRhGWnzpk-zdi2HbSh17iM2bINQU45LVYTUHNjxBQ/edit#gid=1898079004</t>
  </si>
  <si>
    <t>https://docs.google.com/spreadsheets/d/19PPRhGWnzpk-zdi2HbSh17iM2bINQU45LVYTUHNjxBQ/edit#gid=576885033</t>
  </si>
  <si>
    <t>https://docs.google.com/spreadsheets/d/19PPRhGWnzpk-zdi2HbSh17iM2bINQU45LVYTUHNjxBQ/edit#gid=31429580</t>
  </si>
  <si>
    <t>https://docs.google.com/spreadsheets/d/19PPRhGWnzpk-zdi2HbSh17iM2bINQU45LVYTUHNjxBQ/edit#gid=317238644</t>
  </si>
  <si>
    <t>https://docs.google.com/spreadsheets/d/19PPRhGWnzpk-zdi2HbSh17iM2bINQU45LVYTUHNjxBQ/edit#gid=1752433969</t>
  </si>
  <si>
    <t>https://docs.google.com/spreadsheets/d/19PPRhGWnzpk-zdi2HbSh17iM2bINQU45LVYTUHNjxBQ/edit#gid=2115274167</t>
  </si>
  <si>
    <t>https://docs.google.com/spreadsheets/d/19PPRhGWnzpk-zdi2HbSh17iM2bINQU45LVYTUHNjxBQ/edit#gid=1313061459</t>
  </si>
  <si>
    <t>https://docs.google.com/spreadsheets/d/1ebJ88pSqCnb07kYRC0h-9hFD9sYwNw-z0H8ZTidCoPs/edit#gid=1869893266</t>
  </si>
  <si>
    <t>https://docs.google.com/spreadsheets/d/1ebJ88pSqCnb07kYRC0h-9hFD9sYwNw-z0H8ZTidCoPs/edit#gid=698235373</t>
  </si>
  <si>
    <t>https://docs.google.com/spreadsheets/d/1ebJ88pSqCnb07kYRC0h-9hFD9sYwNw-z0H8ZTidCoPs/edit#gid=2144319226</t>
  </si>
  <si>
    <t>AllocationLeveling-0002</t>
  </si>
  <si>
    <t>Allocation Using Levelling when traded with long Position 
1. NAV of any 1 fund is 0
2. NAV of any 1 fund is 0 and Market value of any fund is 0
3.  Market value of any fund is 0</t>
  </si>
  <si>
    <t>https://docs.google.com/spreadsheets/d/1-pHzIJhCKy4m1o9T72VmxzmRyWayK9mF6u3YNK3dU-o/edit#gid=440733960</t>
  </si>
  <si>
    <t>https://docs.google.com/spreadsheets/d/1-pHzIJhCKy4m1o9T72VmxzmRyWayK9mF6u3YNK3dU-o/edit#gid=1648605150</t>
  </si>
  <si>
    <t>https://docs.google.com/spreadsheets/d/1-pHzIJhCKy4m1o9T72VmxzmRyWayK9mF6u3YNK3dU-o/edit#gid=1653381431</t>
  </si>
  <si>
    <t>https://docs.google.com/spreadsheets/d/1-pHzIJhCKy4m1o9T72VmxzmRyWayK9mF6u3YNK3dU-o/edit#gid=446860632</t>
  </si>
  <si>
    <t>https://docs.google.com/spreadsheets/d/1-pHzIJhCKy4m1o9T72VmxzmRyWayK9mF6u3YNK3dU-o/edit#gid=351148742</t>
  </si>
  <si>
    <t>https://docs.google.com/spreadsheets/d/1-pHzIJhCKy4m1o9T72VmxzmRyWayK9mF6u3YNK3dU-o/edit#gid=632377348</t>
  </si>
  <si>
    <t>https://docs.google.com/spreadsheets/d/1-pHzIJhCKy4m1o9T72VmxzmRyWayK9mF6u3YNK3dU-o/edit#gid=803666536</t>
  </si>
  <si>
    <t>https://docs.google.com/spreadsheets/d/1-pHzIJhCKy4m1o9T72VmxzmRyWayK9mF6u3YNK3dU-o/edit#gid=25434778</t>
  </si>
  <si>
    <t>https://docs.google.com/spreadsheets/d/1-pHzIJhCKy4m1o9T72VmxzmRyWayK9mF6u3YNK3dU-o/edit#gid=1538507347</t>
  </si>
  <si>
    <t>https://docs.google.com/spreadsheets/d/1-pHzIJhCKy4m1o9T72VmxzmRyWayK9mF6u3YNK3dU-o/edit#gid=931365246</t>
  </si>
  <si>
    <t>https://docs.google.com/spreadsheets/d/1-pHzIJhCKy4m1o9T72VmxzmRyWayK9mF6u3YNK3dU-o/edit#gid=395853456</t>
  </si>
  <si>
    <t>https://docs.google.com/spreadsheets/d/1-pHzIJhCKy4m1o9T72VmxzmRyWayK9mF6u3YNK3dU-o/edit#gid=246997131</t>
  </si>
  <si>
    <t>https://docs.google.com/spreadsheets/d/1-pHzIJhCKy4m1o9T72VmxzmRyWayK9mF6u3YNK3dU-o/edit#gid=862609639</t>
  </si>
  <si>
    <t>https://docs.google.com/spreadsheets/d/1-pHzIJhCKy4m1o9T72VmxzmRyWayK9mF6u3YNK3dU-o/edit#gid=1287513517</t>
  </si>
  <si>
    <t>https://docs.google.com/spreadsheets/d/1-pHzIJhCKy4m1o9T72VmxzmRyWayK9mF6u3YNK3dU-o/edit#gid=518015695</t>
  </si>
  <si>
    <t>https://docs.google.com/spreadsheets/d/1-pHzIJhCKy4m1o9T72VmxzmRyWayK9mF6u3YNK3dU-o/edit#gid=942993562</t>
  </si>
  <si>
    <t>https://docs.google.com/spreadsheets/d/1-pHzIJhCKy4m1o9T72VmxzmRyWayK9mF6u3YNK3dU-o/edit#gid=1910715026</t>
  </si>
  <si>
    <t>https://docs.google.com/spreadsheets/d/1-pHzIJhCKy4m1o9T72VmxzmRyWayK9mF6u3YNK3dU-o/edit#gid=1169623152</t>
  </si>
  <si>
    <t>https://docs.google.com/spreadsheets/d/1-pHzIJhCKy4m1o9T72VmxzmRyWayK9mF6u3YNK3dU-o/edit#gid=112288304</t>
  </si>
  <si>
    <t>https://docs.google.com/spreadsheets/d/1-pHzIJhCKy4m1o9T72VmxzmRyWayK9mF6u3YNK3dU-o/edit#gid=1920446534</t>
  </si>
  <si>
    <t>https://docs.google.com/spreadsheets/d/1-pHzIJhCKy4m1o9T72VmxzmRyWayK9mF6u3YNK3dU-o/edit#gid=574146583</t>
  </si>
  <si>
    <t>https://docs.google.com/spreadsheets/d/1-pHzIJhCKy4m1o9T72VmxzmRyWayK9mF6u3YNK3dU-o/edit#gid=887519972</t>
  </si>
  <si>
    <t>VerifyLongPositionsGrid2</t>
  </si>
  <si>
    <t>https://docs.google.com/spreadsheets/d/1-pHzIJhCKy4m1o9T72VmxzmRyWayK9mF6u3YNK3dU-o/edit#gid=502791046</t>
  </si>
  <si>
    <t>https://docs.google.com/spreadsheets/d/1-pHzIJhCKy4m1o9T72VmxzmRyWayK9mF6u3YNK3dU-o/edit#gid=44110207</t>
  </si>
  <si>
    <t>AllocationLeveling-0003</t>
  </si>
  <si>
    <t xml:space="preserve">Allocation Using Levelling when traded with long and short Position With Different Symbols
Fund 1 NAV=10000
Fund 2 NAV=15000
Fund 3 NAV=17500
Current Market value of AAPL
FUND 1 Market value=400
FUND 2 Market value=800
FUND 3 Market value=804
Current Market value of MSFT
FUND 1 Market value=200
FUND 2 Market value=800
FUND 3 Market value=500
1.Open TT
2.Trade AAPl with side buy 5000@1
3.Trade MSFT with side Sell 5000@1
3.Total Market value to Allocate 
AAPL 5000
MSFT 5000
Final Allocation of AAPL
Fund1 =1,247.29
Fund2 =1,670.94
Fund3 =2,081.76
Final Allocation of MSFT
Fund1 =1,117.65
Fund2 =1,776.47
Fund3 =2,105.88
</t>
  </si>
  <si>
    <t>https://docs.google.com/spreadsheets/d/10Sxgm0pUMUx-kVhsBh-4p682nKGEVGRd4vaH8Rkih-0/edit#gid=638912915</t>
  </si>
  <si>
    <t>https://docs.google.com/spreadsheets/d/10Sxgm0pUMUx-kVhsBh-4p682nKGEVGRd4vaH8Rkih-0/edit#gid=1055371323</t>
  </si>
  <si>
    <t>https://docs.google.com/spreadsheets/d/10Sxgm0pUMUx-kVhsBh-4p682nKGEVGRd4vaH8Rkih-0/edit#gid=59160264</t>
  </si>
  <si>
    <t>https://docs.google.com/spreadsheets/d/10Sxgm0pUMUx-kVhsBh-4p682nKGEVGRd4vaH8Rkih-0/edit#gid=856537793</t>
  </si>
  <si>
    <t>https://docs.google.com/spreadsheets/d/10Sxgm0pUMUx-kVhsBh-4p682nKGEVGRd4vaH8Rkih-0/edit#gid=1988127730</t>
  </si>
  <si>
    <t>https://docs.google.com/spreadsheets/d/10Sxgm0pUMUx-kVhsBh-4p682nKGEVGRd4vaH8Rkih-0/edit#gid=680450947</t>
  </si>
  <si>
    <t>https://docs.google.com/spreadsheets/d/10Sxgm0pUMUx-kVhsBh-4p682nKGEVGRd4vaH8Rkih-0/edit#gid=1103035560</t>
  </si>
  <si>
    <t>https://docs.google.com/spreadsheets/d/10Sxgm0pUMUx-kVhsBh-4p682nKGEVGRd4vaH8Rkih-0/edit#gid=1089583172</t>
  </si>
  <si>
    <t>https://docs.google.com/spreadsheets/d/10Sxgm0pUMUx-kVhsBh-4p682nKGEVGRd4vaH8Rkih-0/edit#gid=1893076520</t>
  </si>
  <si>
    <t>https://docs.google.com/spreadsheets/d/10Sxgm0pUMUx-kVhsBh-4p682nKGEVGRd4vaH8Rkih-0/edit#gid=594242617</t>
  </si>
  <si>
    <t>https://docs.google.com/spreadsheets/d/10Sxgm0pUMUx-kVhsBh-4p682nKGEVGRd4vaH8Rkih-0/edit#gid=1679728225</t>
  </si>
  <si>
    <t>https://docs.google.com/spreadsheets/d/10Sxgm0pUMUx-kVhsBh-4p682nKGEVGRd4vaH8Rkih-0/edit#gid=866735970</t>
  </si>
  <si>
    <t>https://docs.google.com/spreadsheets/d/10Sxgm0pUMUx-kVhsBh-4p682nKGEVGRd4vaH8Rkih-0/edit#gid=1838128978</t>
  </si>
  <si>
    <t>https://docs.google.com/spreadsheets/d/10Sxgm0pUMUx-kVhsBh-4p682nKGEVGRd4vaH8Rkih-0/edit#gid=739751371</t>
  </si>
  <si>
    <t>https://docs.google.com/spreadsheets/d/10Sxgm0pUMUx-kVhsBh-4p682nKGEVGRd4vaH8Rkih-0/edit#gid=830718844</t>
  </si>
  <si>
    <t>AllocationLeveling-0004</t>
  </si>
  <si>
    <t xml:space="preserve">Allocation Using Levelling when traded with long Position With Different Symbols:
Fund 1 NAV=10000
Fund 2 NAV=15000
Fund 3 NAV=17500
Current Market value of AAPL
FUND 1 Market value=400
FUND 2 Market value=800
FUND 3 Market value=804
Current Market value of MSFT
FUND 1 Market value=200
FUND 2 Market value=800
FUND 3 Market value=500
1.Open TT
2.Trade AAPl with side buy 5000@1
3.Trade MSFT with side Sell 5000@1
3.Total Market value to Allocate 
AAPL 5000
MSFT 5000
Result:
Final Allocation of AAPL
Fund1 =1,247.29
Fund2 =1,670.94
Fund3 =2,081.76
Final Allocation of MSFT
Fund1 =1,235.29
Fund2 =1,752.94
Fund3 =2,011.76
</t>
  </si>
  <si>
    <t>https://docs.google.com/spreadsheets/d/1vnRfv6B9AVNDvVp-0e8rM4zwucrLYZXUoLnm35rSRWQ/edit#gid=5121208</t>
  </si>
  <si>
    <t>https://docs.google.com/spreadsheets/d/1vnRfv6B9AVNDvVp-0e8rM4zwucrLYZXUoLnm35rSRWQ/edit#gid=1963628113</t>
  </si>
  <si>
    <t>https://docs.google.com/spreadsheets/d/1vnRfv6B9AVNDvVp-0e8rM4zwucrLYZXUoLnm35rSRWQ/edit#gid=2021937918</t>
  </si>
  <si>
    <t>https://docs.google.com/spreadsheets/d/1vnRfv6B9AVNDvVp-0e8rM4zwucrLYZXUoLnm35rSRWQ/edit#gid=1252845889</t>
  </si>
  <si>
    <t>https://docs.google.com/spreadsheets/d/1vnRfv6B9AVNDvVp-0e8rM4zwucrLYZXUoLnm35rSRWQ/edit#gid=2488699</t>
  </si>
  <si>
    <t>https://docs.google.com/spreadsheets/d/1vnRfv6B9AVNDvVp-0e8rM4zwucrLYZXUoLnm35rSRWQ/edit#gid=705084497</t>
  </si>
  <si>
    <t>https://docs.google.com/spreadsheets/d/1vnRfv6B9AVNDvVp-0e8rM4zwucrLYZXUoLnm35rSRWQ/edit#gid=2026981211</t>
  </si>
  <si>
    <t>https://docs.google.com/spreadsheets/d/1vnRfv6B9AVNDvVp-0e8rM4zwucrLYZXUoLnm35rSRWQ/edit#gid=1106224571</t>
  </si>
  <si>
    <t>https://docs.google.com/spreadsheets/d/1vnRfv6B9AVNDvVp-0e8rM4zwucrLYZXUoLnm35rSRWQ/edit#gid=1573888183</t>
  </si>
  <si>
    <t>https://docs.google.com/spreadsheets/d/1vnRfv6B9AVNDvVp-0e8rM4zwucrLYZXUoLnm35rSRWQ/edit#gid=336931597</t>
  </si>
  <si>
    <t>https://docs.google.com/spreadsheets/d/1vnRfv6B9AVNDvVp-0e8rM4zwucrLYZXUoLnm35rSRWQ/edit#gid=658768196</t>
  </si>
  <si>
    <t>https://docs.google.com/spreadsheets/d/1vnRfv6B9AVNDvVp-0e8rM4zwucrLYZXUoLnm35rSRWQ/edit#gid=1100988395</t>
  </si>
  <si>
    <t>https://docs.google.com/spreadsheets/d/1vnRfv6B9AVNDvVp-0e8rM4zwucrLYZXUoLnm35rSRWQ/edit#gid=1877648456</t>
  </si>
  <si>
    <t>https://docs.google.com/spreadsheets/d/1vnRfv6B9AVNDvVp-0e8rM4zwucrLYZXUoLnm35rSRWQ/edit#gid=1477298831</t>
  </si>
  <si>
    <t xml:space="preserve">
CleanUp-0001</t>
  </si>
  <si>
    <t>AllocationLeveling-0005</t>
  </si>
  <si>
    <t>Allocation via leveling when fills are coming for long position
Fund 1 NAV=10000
Fund 2 NAV=15000
Fund 3 NAV=17500
Current Market value of IBM
FUND 1 Market value=400
FUND 2 Market value=800
FUND 3 Market value=804</t>
  </si>
  <si>
    <t>https://docs.google.com/spreadsheets/d/1QNImKsmZ_Coz0K8xe49g8INibUsZLL6zyGJlVVFQzr8/edit#gid=370182025</t>
  </si>
  <si>
    <t>https://docs.google.com/spreadsheets/d/1QNImKsmZ_Coz0K8xe49g8INibUsZLL6zyGJlVVFQzr8/edit#gid=1097615548</t>
  </si>
  <si>
    <t>https://docs.google.com/spreadsheets/d/1QNImKsmZ_Coz0K8xe49g8INibUsZLL6zyGJlVVFQzr8/edit#gid=1514688862</t>
  </si>
  <si>
    <t>https://docs.google.com/spreadsheets/d/1QNImKsmZ_Coz0K8xe49g8INibUsZLL6zyGJlVVFQzr8/edit#gid=1189717969</t>
  </si>
  <si>
    <t>https://docs.google.com/spreadsheets/d/1QNImKsmZ_Coz0K8xe49g8INibUsZLL6zyGJlVVFQzr8/edit#gid=1441124049</t>
  </si>
  <si>
    <t>https://docs.google.com/spreadsheets/d/1QNImKsmZ_Coz0K8xe49g8INibUsZLL6zyGJlVVFQzr8/edit#gid=670077948</t>
  </si>
  <si>
    <t>https://docs.google.com/spreadsheets/d/1QNImKsmZ_Coz0K8xe49g8INibUsZLL6zyGJlVVFQzr8/edit#gid=1248491562</t>
  </si>
  <si>
    <t>https://docs.google.com/spreadsheets/d/1QNImKsmZ_Coz0K8xe49g8INibUsZLL6zyGJlVVFQzr8/edit#gid=1646096756</t>
  </si>
  <si>
    <t>https://docs.google.com/spreadsheets/d/1QNImKsmZ_Coz0K8xe49g8INibUsZLL6zyGJlVVFQzr8/edit#gid=1041341364</t>
  </si>
  <si>
    <t>https://docs.google.com/spreadsheets/d/1QNImKsmZ_Coz0K8xe49g8INibUsZLL6zyGJlVVFQzr8/edit#gid=996607157</t>
  </si>
  <si>
    <t>https://docs.google.com/spreadsheets/d/1QNImKsmZ_Coz0K8xe49g8INibUsZLL6zyGJlVVFQzr8/edit#gid=24929473</t>
  </si>
  <si>
    <t>https://docs.google.com/spreadsheets/d/1QNImKsmZ_Coz0K8xe49g8INibUsZLL6zyGJlVVFQzr8/edit#gid=1763707549</t>
  </si>
  <si>
    <t>https://docs.google.com/spreadsheets/d/1QNImKsmZ_Coz0K8xe49g8INibUsZLL6zyGJlVVFQzr8/edit#gid=1108990623</t>
  </si>
  <si>
    <t>https://docs.google.com/spreadsheets/d/1QNImKsmZ_Coz0K8xe49g8INibUsZLL6zyGJlVVFQzr8/edit#gid=1505728708</t>
  </si>
  <si>
    <t>https://docs.google.com/spreadsheets/d/1QNImKsmZ_Coz0K8xe49g8INibUsZLL6zyGJlVVFQzr8/edit#gid=148143981</t>
  </si>
  <si>
    <t>https://docs.google.com/spreadsheets/d/1QNImKsmZ_Coz0K8xe49g8INibUsZLL6zyGJlVVFQzr8/edit#gid=1178395074</t>
  </si>
  <si>
    <t>https://docs.google.com/spreadsheets/d/1QNImKsmZ_Coz0K8xe49g8INibUsZLL6zyGJlVVFQzr8/edit#gid=1755092229</t>
  </si>
  <si>
    <t>https://docs.google.com/spreadsheets/d/1QNImKsmZ_Coz0K8xe49g8INibUsZLL6zyGJlVVFQzr8/edit#gid=868624948</t>
  </si>
  <si>
    <t>https://docs.google.com/spreadsheets/d/1QNImKsmZ_Coz0K8xe49g8INibUsZLL6zyGJlVVFQzr8/edit#gid=1406811710</t>
  </si>
  <si>
    <t>AddFillsSubOrder1</t>
  </si>
  <si>
    <t>https://docs.google.com/spreadsheets/d/1QNImKsmZ_Coz0K8xe49g8INibUsZLL6zyGJlVVFQzr8/edit#gid=1954500959</t>
  </si>
  <si>
    <t>https://docs.google.com/spreadsheets/d/1QNImKsmZ_Coz0K8xe49g8INibUsZLL6zyGJlVVFQzr8/edit#gid=2124588847</t>
  </si>
  <si>
    <t>https://docs.google.com/spreadsheets/d/1QNImKsmZ_Coz0K8xe49g8INibUsZLL6zyGJlVVFQzr8/edit#gid=409944311</t>
  </si>
  <si>
    <t>https://docs.google.com/spreadsheets/d/1QNImKsmZ_Coz0K8xe49g8INibUsZLL6zyGJlVVFQzr8/edit#gid=586762925</t>
  </si>
  <si>
    <t>https://docs.google.com/spreadsheets/d/1QNImKsmZ_Coz0K8xe49g8INibUsZLL6zyGJlVVFQzr8/edit#gid=710629702</t>
  </si>
  <si>
    <t>AddFillsSubOrder2</t>
  </si>
  <si>
    <t>https://docs.google.com/spreadsheets/d/1QNImKsmZ_Coz0K8xe49g8INibUsZLL6zyGJlVVFQzr8/edit#gid=2026211166</t>
  </si>
  <si>
    <t>https://docs.google.com/spreadsheets/d/1QNImKsmZ_Coz0K8xe49g8INibUsZLL6zyGJlVVFQzr8/edit#gid=820385788</t>
  </si>
  <si>
    <t>https://docs.google.com/spreadsheets/d/1QNImKsmZ_Coz0K8xe49g8INibUsZLL6zyGJlVVFQzr8/edit#gid=1878170260</t>
  </si>
  <si>
    <t>CheckPortfolioManagement3</t>
  </si>
  <si>
    <t>AllocationLeveling-0006</t>
  </si>
  <si>
    <t>Allocation via leveling when fills are coming for short position by Preference
Fund 1 NAV=10000
Fund 2 NAV=15000
Fund 3 NAV=17500
Current Market value of IBM
FUND 1 Market value=400
FUND 2 Market value=800
FUND 3 Market value=804</t>
  </si>
  <si>
    <t>https://docs.google.com/spreadsheets/d/1Nby4WVcJzaxCKbDhV1DpBXKwQJfH0Yv8xELroUxhO9w/edit#gid=561111255</t>
  </si>
  <si>
    <t>https://docs.google.com/spreadsheets/d/1Nby4WVcJzaxCKbDhV1DpBXKwQJfH0Yv8xELroUxhO9w/edit#gid=57610290</t>
  </si>
  <si>
    <t>https://docs.google.com/spreadsheets/d/1Nby4WVcJzaxCKbDhV1DpBXKwQJfH0Yv8xELroUxhO9w/edit#gid=1122300933</t>
  </si>
  <si>
    <t>https://docs.google.com/spreadsheets/d/1Nby4WVcJzaxCKbDhV1DpBXKwQJfH0Yv8xELroUxhO9w/edit#gid=1927739386</t>
  </si>
  <si>
    <t>https://docs.google.com/spreadsheets/d/1Nby4WVcJzaxCKbDhV1DpBXKwQJfH0Yv8xELroUxhO9w/edit#gid=1589304177</t>
  </si>
  <si>
    <t>https://docs.google.com/spreadsheets/d/1Nby4WVcJzaxCKbDhV1DpBXKwQJfH0Yv8xELroUxhO9w/edit#gid=51240999</t>
  </si>
  <si>
    <t>https://docs.google.com/spreadsheets/d/1Nby4WVcJzaxCKbDhV1DpBXKwQJfH0Yv8xELroUxhO9w/edit#gid=14836248</t>
  </si>
  <si>
    <t>https://docs.google.com/spreadsheets/d/1Nby4WVcJzaxCKbDhV1DpBXKwQJfH0Yv8xELroUxhO9w/edit#gid=82805763</t>
  </si>
  <si>
    <t>https://docs.google.com/spreadsheets/d/1Nby4WVcJzaxCKbDhV1DpBXKwQJfH0Yv8xELroUxhO9w/edit#gid=1168406598</t>
  </si>
  <si>
    <t>https://docs.google.com/spreadsheets/d/1Nby4WVcJzaxCKbDhV1DpBXKwQJfH0Yv8xELroUxhO9w/edit#gid=2114617666</t>
  </si>
  <si>
    <t>https://docs.google.com/spreadsheets/d/1Nby4WVcJzaxCKbDhV1DpBXKwQJfH0Yv8xELroUxhO9w/edit#gid=229135741</t>
  </si>
  <si>
    <t>https://docs.google.com/spreadsheets/d/1Nby4WVcJzaxCKbDhV1DpBXKwQJfH0Yv8xELroUxhO9w/edit#gid=1307468395</t>
  </si>
  <si>
    <t>https://docs.google.com/spreadsheets/d/1Nby4WVcJzaxCKbDhV1DpBXKwQJfH0Yv8xELroUxhO9w/edit#gid=854405853</t>
  </si>
  <si>
    <t>https://docs.google.com/spreadsheets/d/1Nby4WVcJzaxCKbDhV1DpBXKwQJfH0Yv8xELroUxhO9w/edit#gid=1547713383</t>
  </si>
  <si>
    <t>https://docs.google.com/spreadsheets/d/1Nby4WVcJzaxCKbDhV1DpBXKwQJfH0Yv8xELroUxhO9w/edit#gid=1513791186</t>
  </si>
  <si>
    <t>https://docs.google.com/spreadsheets/d/1Nby4WVcJzaxCKbDhV1DpBXKwQJfH0Yv8xELroUxhO9w/edit#gid=1018669038</t>
  </si>
  <si>
    <t>https://docs.google.com/spreadsheets/d/1Nby4WVcJzaxCKbDhV1DpBXKwQJfH0Yv8xELroUxhO9w/edit#gid=1656347192</t>
  </si>
  <si>
    <t>https://docs.google.com/spreadsheets/d/1Nby4WVcJzaxCKbDhV1DpBXKwQJfH0Yv8xELroUxhO9w/edit#gid=1054626048</t>
  </si>
  <si>
    <t>https://docs.google.com/spreadsheets/d/1Nby4WVcJzaxCKbDhV1DpBXKwQJfH0Yv8xELroUxhO9w/edit#gid=163124582</t>
  </si>
  <si>
    <t xml:space="preserve">
CleanUp-0007</t>
  </si>
  <si>
    <t>AllocationLeveling-0007</t>
  </si>
  <si>
    <t>Allocation leveling when trades are closed in a fund and Notional value is negative</t>
  </si>
  <si>
    <t>https://docs.google.com/spreadsheets/d/1QEdYm-Yk8kaDG4jtueBiruQRgIKkGKw8riOf-oy68mA/edit#gid=731848428</t>
  </si>
  <si>
    <t>https://docs.google.com/spreadsheets/d/1QEdYm-Yk8kaDG4jtueBiruQRgIKkGKw8riOf-oy68mA/edit#gid=693221343</t>
  </si>
  <si>
    <t>https://docs.google.com/spreadsheets/d/1QEdYm-Yk8kaDG4jtueBiruQRgIKkGKw8riOf-oy68mA/edit#gid=130187808</t>
  </si>
  <si>
    <t>https://docs.google.com/spreadsheets/d/1QEdYm-Yk8kaDG4jtueBiruQRgIKkGKw8riOf-oy68mA/edit#gid=1554821722</t>
  </si>
  <si>
    <t>https://docs.google.com/spreadsheets/d/1QEdYm-Yk8kaDG4jtueBiruQRgIKkGKw8riOf-oy68mA/edit#gid=1907519673</t>
  </si>
  <si>
    <t>https://docs.google.com/spreadsheets/d/1QEdYm-Yk8kaDG4jtueBiruQRgIKkGKw8riOf-oy68mA/edit#gid=1064417676</t>
  </si>
  <si>
    <t>https://docs.google.com/spreadsheets/d/1QEdYm-Yk8kaDG4jtueBiruQRgIKkGKw8riOf-oy68mA/edit#gid=319228446</t>
  </si>
  <si>
    <t>https://docs.google.com/spreadsheets/d/1QEdYm-Yk8kaDG4jtueBiruQRgIKkGKw8riOf-oy68mA/edit#gid=600447870</t>
  </si>
  <si>
    <t>https://docs.google.com/spreadsheets/d/1QEdYm-Yk8kaDG4jtueBiruQRgIKkGKw8riOf-oy68mA/edit#gid=718713868</t>
  </si>
  <si>
    <t>https://docs.google.com/spreadsheets/d/1QEdYm-Yk8kaDG4jtueBiruQRgIKkGKw8riOf-oy68mA/edit#gid=1649258802</t>
  </si>
  <si>
    <t>https://docs.google.com/spreadsheets/d/1QEdYm-Yk8kaDG4jtueBiruQRgIKkGKw8riOf-oy68mA/edit#gid=995072435</t>
  </si>
  <si>
    <t>https://docs.google.com/spreadsheets/d/1QEdYm-Yk8kaDG4jtueBiruQRgIKkGKw8riOf-oy68mA/edit#gid=936445751</t>
  </si>
  <si>
    <t>https://docs.google.com/spreadsheets/d/1QEdYm-Yk8kaDG4jtueBiruQRgIKkGKw8riOf-oy68mA/edit#gid=2411237</t>
  </si>
  <si>
    <t>https://docs.google.com/spreadsheets/d/1QEdYm-Yk8kaDG4jtueBiruQRgIKkGKw8riOf-oy68mA/edit#gid=450956232</t>
  </si>
  <si>
    <t>https://docs.google.com/spreadsheets/d/1QEdYm-Yk8kaDG4jtueBiruQRgIKkGKw8riOf-oy68mA/edit#gid=628168623</t>
  </si>
  <si>
    <t>https://docs.google.com/spreadsheets/d/1QEdYm-Yk8kaDG4jtueBiruQRgIKkGKw8riOf-oy68mA/edit#gid=1389910499</t>
  </si>
  <si>
    <t>https://docs.google.com/spreadsheets/d/1QEdYm-Yk8kaDG4jtueBiruQRgIKkGKw8riOf-oy68mA/edit#gid=97432360</t>
  </si>
  <si>
    <t>https://docs.google.com/spreadsheets/d/1QEdYm-Yk8kaDG4jtueBiruQRgIKkGKw8riOf-oy68mA/edit#gid=998614309</t>
  </si>
  <si>
    <t>https://docs.google.com/spreadsheets/d/1QEdYm-Yk8kaDG4jtueBiruQRgIKkGKw8riOf-oy68mA/edit#gid=252731563</t>
  </si>
  <si>
    <t>https://docs.google.com/spreadsheets/d/1QEdYm-Yk8kaDG4jtueBiruQRgIKkGKw8riOf-oy68mA/edit#gid=708541227</t>
  </si>
  <si>
    <t>https://docs.google.com/spreadsheets/d/1QEdYm-Yk8kaDG4jtueBiruQRgIKkGKw8riOf-oy68mA/edit#gid=446291216</t>
  </si>
  <si>
    <t>https://docs.google.com/spreadsheets/d/1QEdYm-Yk8kaDG4jtueBiruQRgIKkGKw8riOf-oy68mA/edit#gid=2081873531</t>
  </si>
</sst>
</file>

<file path=xl/styles.xml><?xml version="1.0" encoding="utf-8"?>
<styleSheet xmlns="http://schemas.openxmlformats.org/spreadsheetml/2006/main" xmlns:x14ac="http://schemas.microsoft.com/office/spreadsheetml/2009/9/ac" xmlns:mc="http://schemas.openxmlformats.org/markup-compatibility/2006">
  <fonts count="121">
    <font>
      <sz val="10.0"/>
      <color rgb="FF000000"/>
      <name val="Arial"/>
    </font>
    <font>
      <sz val="14.0"/>
      <color rgb="FFFFFFFF"/>
      <name val="Calibri"/>
    </font>
    <font/>
    <font>
      <name val="Calibri"/>
    </font>
    <font>
      <b/>
      <color rgb="FFFFFFFF"/>
      <name val="Calibri"/>
    </font>
    <font>
      <name val="Arial"/>
    </font>
    <font>
      <b/>
      <sz val="10.0"/>
      <color rgb="FFFFFFFF"/>
      <name val="Arial"/>
    </font>
    <font>
      <sz val="10.0"/>
      <name val="Arial"/>
    </font>
    <font>
      <b/>
      <color rgb="FFFFFFFF"/>
    </font>
    <font>
      <u/>
      <color rgb="FF1155CC"/>
      <name val="Arial"/>
    </font>
    <font>
      <color rgb="FF000000"/>
      <name val="Arial"/>
    </font>
    <font>
      <u/>
      <color rgb="FF1155CC"/>
      <name val="Arial"/>
    </font>
    <font>
      <u/>
      <color rgb="FF1155CC"/>
      <name val="Arial"/>
    </font>
    <font>
      <u/>
      <color rgb="FF0000FF"/>
      <name val="Arial"/>
    </font>
    <font>
      <color rgb="FF222222"/>
      <name val="Arial"/>
    </font>
    <font>
      <u/>
      <color rgb="FF0000FF"/>
      <name val="Arial"/>
    </font>
    <font>
      <sz val="10.0"/>
    </font>
    <font>
      <sz val="10.0"/>
      <name val="Calibri"/>
    </font>
    <font>
      <u/>
      <color rgb="FF1155CC"/>
      <name val="Arial"/>
    </font>
    <font>
      <u/>
      <sz val="10.0"/>
      <color rgb="FF0000FF"/>
      <name val="Arial"/>
    </font>
    <font>
      <color rgb="FF000000"/>
      <name val="Roboto"/>
    </font>
    <font>
      <u/>
      <sz val="10.0"/>
      <color rgb="FF0000FF"/>
      <name val="Arial"/>
    </font>
    <font>
      <u/>
      <color rgb="FF0000FF"/>
    </font>
    <font>
      <b/>
      <name val="Arial"/>
    </font>
    <font>
      <b/>
      <sz val="14.0"/>
      <color rgb="FFFFFFFF"/>
      <name val="Calibri"/>
    </font>
    <font>
      <color rgb="FF000000"/>
      <name val="Calibri"/>
    </font>
    <font>
      <sz val="9.0"/>
      <color rgb="FF000000"/>
      <name val="Arial"/>
    </font>
    <font>
      <color rgb="FF000000"/>
      <name val="Docs-Calibri"/>
    </font>
    <font>
      <b/>
      <color rgb="FFFFFFFF"/>
      <name val="Arial"/>
    </font>
    <font>
      <u/>
      <color rgb="FF1155CC"/>
      <name val="Arial"/>
    </font>
    <font>
      <u/>
      <color rgb="FF1155CC"/>
      <name val="Arial"/>
    </font>
    <font>
      <sz val="11.0"/>
      <color rgb="FF000000"/>
      <name val="Inconsolata"/>
    </font>
    <font>
      <u/>
      <sz val="11.0"/>
      <color rgb="FF1155CC"/>
      <name val="Inconsolata"/>
    </font>
    <font>
      <u/>
      <color rgb="FF1155CC"/>
      <name val="Arial"/>
    </font>
    <font>
      <u/>
      <sz val="11.0"/>
      <color rgb="FF000000"/>
      <name val="Inconsolata"/>
    </font>
    <font>
      <u/>
      <color rgb="FF0000FF"/>
    </font>
    <font>
      <u/>
      <color rgb="FF0000FF"/>
    </font>
    <font>
      <u/>
      <color rgb="FF0000FF"/>
      <name val="Arial"/>
    </font>
    <font>
      <u/>
      <color rgb="FF1155CC"/>
      <name val="Arial"/>
    </font>
    <font>
      <color rgb="FF0000FF"/>
      <name val="Arial"/>
    </font>
    <font>
      <u/>
      <sz val="10.0"/>
      <color rgb="FF0000FF"/>
      <name val="Arial"/>
    </font>
    <font>
      <u/>
      <sz val="11.0"/>
      <color rgb="FF000000"/>
      <name val="Inconsolata"/>
    </font>
    <font>
      <u/>
      <color rgb="FF1155CC"/>
      <name val="Arial"/>
    </font>
    <font>
      <u/>
      <color rgb="FF1155CC"/>
      <name val="Arial"/>
    </font>
    <font>
      <u/>
      <color rgb="FF1155CC"/>
      <name val="Arial"/>
    </font>
    <font>
      <u/>
      <color rgb="FF1155CC"/>
      <name val="Arial"/>
    </font>
    <font>
      <u/>
      <sz val="10.0"/>
      <color rgb="FF0000FF"/>
      <name val="Arial"/>
    </font>
    <font>
      <u/>
      <color rgb="FF1155CC"/>
    </font>
    <font>
      <u/>
      <sz val="10.0"/>
      <color rgb="FF1155CC"/>
      <name val="Arial"/>
    </font>
    <font>
      <u/>
      <color rgb="FF0000FF"/>
      <name val="Arial"/>
    </font>
    <font>
      <b/>
    </font>
    <font>
      <b/>
      <sz val="10.0"/>
      <name val="Arial"/>
    </font>
    <font>
      <b/>
      <color rgb="FF000000"/>
      <name val="Arial"/>
    </font>
    <font>
      <b/>
      <sz val="10.0"/>
      <color rgb="FF1155CC"/>
      <name val="Arial"/>
    </font>
    <font>
      <sz val="10.0"/>
      <color rgb="FF1155CC"/>
      <name val="Arial"/>
    </font>
    <font>
      <u/>
      <sz val="11.0"/>
      <color rgb="FF1155CC"/>
      <name val="Inconsolata"/>
    </font>
    <font>
      <u/>
      <color rgb="FF1155CC"/>
      <name val="Arial"/>
    </font>
    <font>
      <color rgb="FF1155CC"/>
      <name val="Arial"/>
    </font>
    <font>
      <sz val="10.0"/>
      <color rgb="FF1155CC"/>
      <name val="Inconsolata"/>
    </font>
    <font>
      <sz val="12.0"/>
      <name val="Arial"/>
    </font>
    <font>
      <u/>
      <color rgb="FF1155CC"/>
      <name val="Arial"/>
    </font>
    <font>
      <u/>
      <color rgb="FF1155CC"/>
      <name val="Arial"/>
    </font>
    <font>
      <b/>
      <sz val="10.0"/>
      <color rgb="FF000000"/>
      <name val="Arial"/>
    </font>
    <font>
      <color rgb="FF1155CC"/>
    </font>
    <font>
      <sz val="11.0"/>
      <name val="Calibri"/>
    </font>
    <font>
      <u/>
      <color rgb="FF1155CC"/>
      <name val="Arial"/>
    </font>
    <font>
      <u/>
      <color rgb="FF1155CC"/>
    </font>
    <font>
      <u/>
      <color rgb="FF1155CC"/>
    </font>
    <font>
      <u/>
      <sz val="10.0"/>
      <color rgb="FF1155CC"/>
      <name val="Arial"/>
    </font>
    <font>
      <sz val="11.0"/>
      <color rgb="FF1155CC"/>
      <name val="Inconsolata"/>
    </font>
    <font>
      <u/>
      <color rgb="FF0000FF"/>
      <name val="Arial"/>
    </font>
    <font>
      <u/>
      <color rgb="FF0000FF"/>
      <name val="Arial"/>
    </font>
    <font>
      <u/>
      <color rgb="FF0000FF"/>
      <name val="Arial"/>
    </font>
    <font>
      <u/>
      <color rgb="FF0000FF"/>
      <name val="Arial"/>
    </font>
    <font>
      <u/>
      <color rgb="FF000000"/>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sz val="10.0"/>
      <color rgb="FF0000FF"/>
      <name val="Arial"/>
    </font>
    <font>
      <b/>
      <sz val="10.0"/>
      <name val="Calibri"/>
    </font>
    <font>
      <u/>
      <sz val="10.0"/>
      <color rgb="FF0000FF"/>
      <name val="Arial"/>
    </font>
    <font>
      <color rgb="FF000000"/>
    </font>
    <font>
      <u/>
      <color rgb="FF0000FF"/>
      <name val="Arial"/>
    </font>
    <font>
      <u/>
      <color rgb="FF0000FF"/>
      <name val="Arial"/>
    </font>
    <font>
      <u/>
      <color rgb="FF0000FF"/>
      <name val="Arial"/>
    </font>
    <font>
      <u/>
      <color rgb="FF0000FF"/>
    </font>
    <font>
      <sz val="12.0"/>
      <name val="Calibri"/>
    </font>
    <font>
      <u/>
      <color rgb="FF1155CC"/>
      <name val="Arial"/>
    </font>
    <font>
      <u/>
      <color rgb="FF0000FF"/>
      <name val="Arial"/>
    </font>
    <font>
      <u/>
      <color rgb="FF1155CC"/>
      <name val="Arial"/>
    </font>
    <font>
      <u/>
      <sz val="10.0"/>
      <color rgb="FF0000FF"/>
      <name val="Arial"/>
    </font>
    <font>
      <u/>
      <color rgb="FF1155CC"/>
      <name val="Arial"/>
    </font>
    <font>
      <u/>
      <color rgb="FF1155CC"/>
      <name val="Arial"/>
    </font>
    <font>
      <u/>
      <color rgb="FF0000FF"/>
      <name val="Arial"/>
    </font>
    <font>
      <u/>
      <color rgb="FF1155CC"/>
      <name val="Arial"/>
    </font>
    <font>
      <color rgb="FF4A86E8"/>
      <name val="Arial"/>
    </font>
    <font>
      <u/>
      <color rgb="FF1155CC"/>
    </font>
    <font>
      <u/>
      <sz val="10.0"/>
      <color rgb="FF0000FF"/>
      <name val="Arial"/>
    </font>
    <font>
      <u/>
      <color rgb="FF0000FF"/>
      <name val="Arial"/>
    </font>
    <font>
      <u/>
      <color rgb="FF0000FF"/>
    </font>
    <font>
      <u/>
      <sz val="10.0"/>
      <color rgb="FF0000FF"/>
      <name val="Arial"/>
    </font>
    <font>
      <u/>
      <color rgb="FF1155CC"/>
    </font>
    <font>
      <u/>
      <color rgb="FF0000FF"/>
      <name val="Arial"/>
    </font>
    <font>
      <u/>
      <color rgb="FF1155CC"/>
      <name val="Arial"/>
    </font>
    <font>
      <u/>
      <color rgb="FF1155CC"/>
      <name val="Arial"/>
    </font>
    <font>
      <u/>
      <color rgb="FF1155CC"/>
      <name val="Arial"/>
    </font>
    <font>
      <u/>
      <sz val="10.0"/>
      <color rgb="FF1155CC"/>
      <name val="Arial"/>
    </font>
    <font>
      <u/>
      <color rgb="FF1155CC"/>
      <name val="Arial"/>
    </font>
    <font>
      <sz val="10.0"/>
      <name val="Roboto"/>
    </font>
    <font>
      <u/>
      <color rgb="FF1155CC"/>
      <name val="Arial"/>
    </font>
    <font>
      <u/>
      <color rgb="FF1155CC"/>
      <name val="Arial"/>
    </font>
    <font>
      <u/>
      <color rgb="FF1155CC"/>
      <name val="Arial"/>
    </font>
    <font>
      <u/>
      <color rgb="FF0000FF"/>
      <name val="Arial"/>
    </font>
    <font>
      <color rgb="FF263238"/>
      <name val="Roboto"/>
    </font>
  </fonts>
  <fills count="9">
    <fill>
      <patternFill patternType="none"/>
    </fill>
    <fill>
      <patternFill patternType="lightGray"/>
    </fill>
    <fill>
      <patternFill patternType="solid">
        <fgColor rgb="FF5B0F00"/>
        <bgColor rgb="FF5B0F00"/>
      </patternFill>
    </fill>
    <fill>
      <patternFill patternType="solid">
        <fgColor rgb="FF000000"/>
        <bgColor rgb="FF000000"/>
      </patternFill>
    </fill>
    <fill>
      <patternFill patternType="solid">
        <fgColor rgb="FFFFFFFF"/>
        <bgColor rgb="FFFFFFFF"/>
      </patternFill>
    </fill>
    <fill>
      <patternFill patternType="solid">
        <fgColor rgb="FFF3F3F3"/>
        <bgColor rgb="FFF3F3F3"/>
      </patternFill>
    </fill>
    <fill>
      <patternFill patternType="solid">
        <fgColor rgb="FFF0F0F0"/>
        <bgColor rgb="FFF0F0F0"/>
      </patternFill>
    </fill>
    <fill>
      <patternFill patternType="solid">
        <fgColor rgb="FF93C47D"/>
        <bgColor rgb="FF93C47D"/>
      </patternFill>
    </fill>
    <fill>
      <patternFill patternType="solid">
        <fgColor rgb="FFD9EAD3"/>
        <bgColor rgb="FFD9EAD3"/>
      </patternFill>
    </fill>
  </fills>
  <borders count="26">
    <border/>
    <border>
      <left/>
      <top/>
      <bottom/>
    </border>
    <border>
      <top/>
      <bottom/>
    </border>
    <border>
      <right/>
      <top/>
      <bottom/>
    </border>
    <border>
      <left/>
      <right/>
      <top/>
    </border>
    <border>
      <left/>
      <right/>
      <top/>
      <bottom/>
    </border>
    <border>
      <left style="thin">
        <color rgb="FF000000"/>
      </left>
      <right style="thin">
        <color rgb="FF000000"/>
      </right>
      <top style="thin">
        <color rgb="FF000000"/>
      </top>
      <bottom style="thin">
        <color rgb="FF000000"/>
      </bottom>
    </border>
    <border>
      <top/>
    </border>
    <border>
      <bottom style="thin">
        <color rgb="FF000000"/>
      </bottom>
    </border>
    <border>
      <right style="thin">
        <color rgb="FF000000"/>
      </right>
    </border>
    <border>
      <right style="thin">
        <color rgb="FF000000"/>
      </right>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C0C0C0"/>
      </left>
      <right style="thin">
        <color rgb="FFC0C0C0"/>
      </right>
      <top style="thin">
        <color rgb="FFC0C0C0"/>
      </top>
    </border>
    <border>
      <left style="thin">
        <color rgb="FFC0C0C0"/>
      </left>
      <right style="thin">
        <color rgb="FFC0C0C0"/>
      </right>
      <bottom style="thin">
        <color rgb="FFC0C0C0"/>
      </bottom>
    </border>
    <border>
      <left style="thin">
        <color rgb="FFC0C0C0"/>
      </left>
      <right style="thin">
        <color rgb="FFC0C0C0"/>
      </right>
    </border>
    <border>
      <bottom/>
    </border>
    <border>
      <left style="thin">
        <color rgb="FFD9D9D9"/>
      </left>
      <right style="thin">
        <color rgb="FFD9D9D9"/>
      </right>
      <top style="thin">
        <color rgb="FFD9D9D9"/>
      </top>
    </border>
    <border>
      <left style="thin">
        <color rgb="FFD9D9D9"/>
      </left>
      <right style="thin">
        <color rgb="FFD9D9D9"/>
      </right>
      <top style="thin">
        <color rgb="FFD9D9D9"/>
      </top>
      <bottom style="thin">
        <color rgb="FFD9D9D9"/>
      </bottom>
    </border>
    <border>
      <left style="thin">
        <color rgb="FFD9D9D9"/>
      </left>
      <right style="thin">
        <color rgb="FFD9D9D9"/>
      </right>
    </border>
    <border>
      <left style="thin">
        <color rgb="FFD9D9D9"/>
      </left>
      <right style="thin">
        <color rgb="FFD9D9D9"/>
      </right>
      <bottom style="thin">
        <color rgb="FFD9D9D9"/>
      </bottom>
    </border>
  </borders>
  <cellStyleXfs count="1">
    <xf borderId="0" fillId="0" fontId="0" numFmtId="0" applyAlignment="1" applyFont="1"/>
  </cellStyleXfs>
  <cellXfs count="57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0" fontId="2" numFmtId="0" xfId="0" applyBorder="1" applyFont="1"/>
    <xf borderId="3" fillId="0" fontId="2" numFmtId="0" xfId="0" applyBorder="1" applyFont="1"/>
    <xf borderId="0" fillId="0" fontId="3" numFmtId="0" xfId="0" applyAlignment="1" applyFont="1">
      <alignment shrinkToFit="0" wrapText="0"/>
    </xf>
    <xf borderId="4" fillId="3" fontId="4" numFmtId="0" xfId="0" applyAlignment="1" applyBorder="1" applyFill="1" applyFont="1">
      <alignment readingOrder="0" shrinkToFit="0" wrapText="0"/>
    </xf>
    <xf borderId="0" fillId="0" fontId="3" numFmtId="0" xfId="0" applyAlignment="1" applyFont="1">
      <alignment readingOrder="0" shrinkToFit="0" wrapText="0"/>
    </xf>
    <xf borderId="4" fillId="3" fontId="4" numFmtId="0" xfId="0" applyAlignment="1" applyBorder="1" applyFont="1">
      <alignment readingOrder="0" shrinkToFit="0" vertical="bottom" wrapText="0"/>
    </xf>
    <xf borderId="0" fillId="0" fontId="5" numFmtId="0" xfId="0" applyAlignment="1" applyFont="1">
      <alignment readingOrder="0" vertical="bottom"/>
    </xf>
    <xf borderId="0" fillId="0" fontId="5" numFmtId="0" xfId="0" applyAlignment="1" applyFont="1">
      <alignment vertical="bottom"/>
    </xf>
    <xf borderId="0" fillId="0" fontId="4" numFmtId="0" xfId="0" applyAlignment="1" applyFont="1">
      <alignment shrinkToFit="0" wrapText="0"/>
    </xf>
    <xf borderId="0" fillId="0" fontId="0" numFmtId="0" xfId="0" applyAlignment="1" applyFont="1">
      <alignment shrinkToFit="0" wrapText="0"/>
    </xf>
    <xf borderId="0" fillId="2" fontId="6" numFmtId="0" xfId="0" applyAlignment="1" applyFont="1">
      <alignment horizontal="center" shrinkToFit="0" wrapText="0"/>
    </xf>
    <xf borderId="0" fillId="2" fontId="6" numFmtId="0" xfId="0" applyAlignment="1" applyFont="1">
      <alignment horizontal="center" readingOrder="0" shrinkToFit="0" wrapText="1"/>
    </xf>
    <xf borderId="0" fillId="2" fontId="6" numFmtId="0" xfId="0" applyAlignment="1" applyFont="1">
      <alignment horizontal="center" readingOrder="0" shrinkToFit="0" wrapText="0"/>
    </xf>
    <xf borderId="0" fillId="0" fontId="7" numFmtId="0" xfId="0" applyFont="1"/>
    <xf borderId="0" fillId="4" fontId="6" numFmtId="0" xfId="0" applyAlignment="1" applyFill="1" applyFont="1">
      <alignment horizontal="center" shrinkToFit="0" wrapText="0"/>
    </xf>
    <xf borderId="0" fillId="4" fontId="6" numFmtId="0" xfId="0" applyAlignment="1" applyFont="1">
      <alignment horizontal="center" readingOrder="0" shrinkToFit="0" wrapText="1"/>
    </xf>
    <xf borderId="0" fillId="4" fontId="7" numFmtId="0" xfId="0" applyFont="1"/>
    <xf borderId="1" fillId="2" fontId="6" numFmtId="0" xfId="0" applyAlignment="1" applyBorder="1" applyFont="1">
      <alignment horizontal="center" readingOrder="0" shrinkToFit="0" wrapText="1"/>
    </xf>
    <xf borderId="0" fillId="0" fontId="7" numFmtId="0" xfId="0" applyAlignment="1" applyFont="1">
      <alignment shrinkToFit="0" wrapText="0"/>
    </xf>
    <xf borderId="0" fillId="0" fontId="7" numFmtId="0" xfId="0" applyAlignment="1" applyFont="1">
      <alignment shrinkToFit="0" wrapText="1"/>
    </xf>
    <xf borderId="0" fillId="3" fontId="6" numFmtId="0" xfId="0" applyAlignment="1" applyFont="1">
      <alignment readingOrder="0" shrinkToFit="0" wrapText="0"/>
    </xf>
    <xf borderId="5" fillId="3" fontId="6" numFmtId="0" xfId="0" applyAlignment="1" applyBorder="1" applyFont="1">
      <alignment readingOrder="0" shrinkToFit="0" wrapText="1"/>
    </xf>
    <xf borderId="5" fillId="3" fontId="6" numFmtId="0" xfId="0" applyAlignment="1" applyBorder="1" applyFont="1">
      <alignment readingOrder="0" shrinkToFit="0" wrapText="0"/>
    </xf>
    <xf borderId="0" fillId="3" fontId="8" numFmtId="0" xfId="0" applyAlignment="1" applyFont="1">
      <alignment horizontal="left" readingOrder="0" vertical="bottom"/>
    </xf>
    <xf borderId="0" fillId="0" fontId="7" numFmtId="0" xfId="0" applyAlignment="1" applyFont="1">
      <alignment horizontal="right" readingOrder="0" vertical="bottom"/>
    </xf>
    <xf borderId="0" fillId="4" fontId="0" numFmtId="0" xfId="0" applyAlignment="1" applyFont="1">
      <alignment horizontal="center" shrinkToFit="0" wrapText="1"/>
    </xf>
    <xf borderId="0" fillId="0" fontId="5" numFmtId="0" xfId="0" applyAlignment="1" applyFont="1">
      <alignment readingOrder="0" shrinkToFit="0" vertical="bottom" wrapText="0"/>
    </xf>
    <xf borderId="0" fillId="0" fontId="9" numFmtId="0" xfId="0" applyAlignment="1" applyFont="1">
      <alignment vertical="bottom"/>
    </xf>
    <xf borderId="0" fillId="0" fontId="10" numFmtId="0" xfId="0" applyAlignment="1" applyFont="1">
      <alignment shrinkToFit="0" vertical="bottom" wrapText="0"/>
    </xf>
    <xf borderId="0" fillId="0" fontId="5" numFmtId="0" xfId="0" applyAlignment="1" applyFont="1">
      <alignment vertical="bottom"/>
    </xf>
    <xf borderId="0" fillId="0" fontId="7" numFmtId="0" xfId="0" applyAlignment="1" applyFont="1">
      <alignment readingOrder="0"/>
    </xf>
    <xf borderId="0" fillId="4" fontId="0" numFmtId="0" xfId="0" applyAlignment="1" applyFont="1">
      <alignment horizontal="center" readingOrder="0" shrinkToFit="0" wrapText="1"/>
    </xf>
    <xf borderId="0" fillId="0" fontId="11" numFmtId="0" xfId="0" applyAlignment="1" applyFont="1">
      <alignment readingOrder="0" vertical="bottom"/>
    </xf>
    <xf borderId="0" fillId="0" fontId="2" numFmtId="0" xfId="0" applyAlignment="1" applyFont="1">
      <alignment readingOrder="0"/>
    </xf>
    <xf borderId="0" fillId="0" fontId="2" numFmtId="0" xfId="0" applyFont="1"/>
    <xf borderId="0" fillId="0" fontId="5" numFmtId="0" xfId="0" applyAlignment="1" applyFont="1">
      <alignment shrinkToFit="0" vertical="bottom" wrapText="0"/>
    </xf>
    <xf borderId="0" fillId="0" fontId="10" numFmtId="0" xfId="0" applyAlignment="1" applyFont="1">
      <alignment readingOrder="0" shrinkToFit="0" vertical="bottom" wrapText="0"/>
    </xf>
    <xf borderId="0" fillId="0" fontId="7" numFmtId="0" xfId="0" applyAlignment="1" applyFont="1">
      <alignment readingOrder="0" shrinkToFit="0" vertical="bottom" wrapText="1"/>
    </xf>
    <xf borderId="0" fillId="0" fontId="7" numFmtId="0" xfId="0" applyAlignment="1" applyFont="1">
      <alignment horizontal="right" vertical="bottom"/>
    </xf>
    <xf borderId="0" fillId="0" fontId="7" numFmtId="0" xfId="0" applyAlignment="1" applyFont="1">
      <alignment shrinkToFit="0" vertical="bottom" wrapText="1"/>
    </xf>
    <xf borderId="0" fillId="0" fontId="12" numFmtId="0" xfId="0" applyAlignment="1" applyFont="1">
      <alignment vertical="bottom"/>
    </xf>
    <xf borderId="0" fillId="0" fontId="7" numFmtId="0" xfId="0" applyAlignment="1" applyFont="1">
      <alignment horizontal="right" vertical="bottom"/>
    </xf>
    <xf borderId="0" fillId="0" fontId="7" numFmtId="0" xfId="0" applyAlignment="1" applyFont="1">
      <alignment shrinkToFit="0" vertical="bottom" wrapText="1"/>
    </xf>
    <xf borderId="0" fillId="0" fontId="5" numFmtId="0" xfId="0" applyAlignment="1" applyFont="1">
      <alignment shrinkToFit="0" vertical="bottom" wrapText="0"/>
    </xf>
    <xf borderId="0" fillId="0" fontId="7" numFmtId="0" xfId="0" applyAlignment="1" applyFont="1">
      <alignment vertical="bottom"/>
    </xf>
    <xf borderId="0" fillId="0" fontId="7" numFmtId="0" xfId="0" applyAlignment="1" applyFont="1">
      <alignment readingOrder="0" vertical="bottom"/>
    </xf>
    <xf borderId="0" fillId="0" fontId="13" numFmtId="0" xfId="0" applyAlignment="1" applyFont="1">
      <alignment vertical="bottom"/>
    </xf>
    <xf borderId="0" fillId="4" fontId="0" numFmtId="0" xfId="0" applyAlignment="1" applyFont="1">
      <alignment horizontal="left" vertical="bottom"/>
    </xf>
    <xf borderId="0" fillId="4" fontId="10" numFmtId="0" xfId="0" applyAlignment="1" applyFont="1">
      <alignment horizontal="left" vertical="bottom"/>
    </xf>
    <xf borderId="0" fillId="0" fontId="10" numFmtId="0" xfId="0" applyAlignment="1" applyFont="1">
      <alignment shrinkToFit="0" vertical="bottom" wrapText="0"/>
    </xf>
    <xf borderId="0" fillId="4" fontId="0" numFmtId="0" xfId="0" applyAlignment="1" applyFont="1">
      <alignment horizontal="left" readingOrder="0" vertical="bottom"/>
    </xf>
    <xf borderId="0" fillId="4" fontId="10" numFmtId="0" xfId="0" applyAlignment="1" applyFont="1">
      <alignment horizontal="left" readingOrder="0" vertical="bottom"/>
    </xf>
    <xf borderId="0" fillId="4" fontId="0" numFmtId="0" xfId="0" applyAlignment="1" applyFont="1">
      <alignment horizontal="left" vertical="bottom"/>
    </xf>
    <xf borderId="0" fillId="4" fontId="10" numFmtId="0" xfId="0" applyAlignment="1" applyFont="1">
      <alignment horizontal="left" vertical="bottom"/>
    </xf>
    <xf borderId="0" fillId="0" fontId="5" numFmtId="0" xfId="0" applyAlignment="1" applyFont="1">
      <alignment horizontal="left" readingOrder="0" shrinkToFit="0" vertical="center" wrapText="1"/>
    </xf>
    <xf borderId="0" fillId="4" fontId="10" numFmtId="0" xfId="0" applyAlignment="1" applyFont="1">
      <alignment readingOrder="0" shrinkToFit="0" vertical="center" wrapText="1"/>
    </xf>
    <xf borderId="0" fillId="4" fontId="14" numFmtId="0" xfId="0" applyAlignment="1" applyFont="1">
      <alignment readingOrder="0" vertical="bottom"/>
    </xf>
    <xf borderId="0" fillId="4" fontId="14" numFmtId="0" xfId="0" applyAlignment="1" applyFont="1">
      <alignment vertical="bottom"/>
    </xf>
    <xf borderId="0" fillId="0" fontId="15" numFmtId="0" xfId="0" applyAlignment="1" applyFont="1">
      <alignment vertical="bottom"/>
    </xf>
    <xf borderId="0" fillId="0" fontId="0" numFmtId="0" xfId="0" applyAlignment="1" applyFont="1">
      <alignment readingOrder="0" shrinkToFit="0" wrapText="0"/>
    </xf>
    <xf borderId="0" fillId="4" fontId="14" numFmtId="0" xfId="0" applyAlignment="1" applyFont="1">
      <alignment readingOrder="0"/>
    </xf>
    <xf borderId="0" fillId="0" fontId="16" numFmtId="0" xfId="0" applyAlignment="1" applyFont="1">
      <alignment readingOrder="0"/>
    </xf>
    <xf borderId="0" fillId="0" fontId="16" numFmtId="0" xfId="0" applyFont="1"/>
    <xf borderId="0" fillId="0" fontId="7" numFmtId="0" xfId="0" applyAlignment="1" applyFont="1">
      <alignment readingOrder="0" shrinkToFit="0" wrapText="0"/>
    </xf>
    <xf borderId="0" fillId="0" fontId="7" numFmtId="0" xfId="0" applyAlignment="1" applyFont="1">
      <alignment readingOrder="0" shrinkToFit="0" wrapText="1"/>
    </xf>
    <xf borderId="0" fillId="0" fontId="7" numFmtId="0" xfId="0" applyAlignment="1" applyFont="1">
      <alignment horizontal="left" vertical="top"/>
    </xf>
    <xf borderId="0" fillId="0" fontId="17" numFmtId="0" xfId="0" applyAlignment="1" applyFont="1">
      <alignment horizontal="left" shrinkToFit="0" wrapText="1"/>
    </xf>
    <xf borderId="0" fillId="0" fontId="18" numFmtId="0" xfId="0" applyAlignment="1" applyFont="1">
      <alignment shrinkToFit="0" vertical="bottom" wrapText="0"/>
    </xf>
    <xf borderId="0" fillId="0" fontId="19" numFmtId="0" xfId="0" applyFont="1"/>
    <xf borderId="0" fillId="4" fontId="10" numFmtId="0" xfId="0" applyAlignment="1" applyFont="1">
      <alignment horizontal="left" readingOrder="0"/>
    </xf>
    <xf borderId="0" fillId="0" fontId="7" numFmtId="14" xfId="0" applyAlignment="1" applyFont="1" applyNumberFormat="1">
      <alignment shrinkToFit="0" wrapText="1"/>
    </xf>
    <xf borderId="0" fillId="4" fontId="20" numFmtId="0" xfId="0" applyAlignment="1" applyFont="1">
      <alignment readingOrder="0"/>
    </xf>
    <xf borderId="0" fillId="0" fontId="21" numFmtId="0" xfId="0" applyAlignment="1" applyFont="1">
      <alignment readingOrder="0"/>
    </xf>
    <xf borderId="0" fillId="0" fontId="5" numFmtId="0" xfId="0" applyAlignment="1" applyFont="1">
      <alignment horizontal="right" vertical="bottom"/>
    </xf>
    <xf borderId="0" fillId="4" fontId="10" numFmtId="0" xfId="0" applyAlignment="1" applyFont="1">
      <alignment vertical="bottom"/>
    </xf>
    <xf borderId="0" fillId="4" fontId="3" numFmtId="0" xfId="0" applyAlignment="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10" numFmtId="0" xfId="0" applyAlignment="1" applyFont="1">
      <alignment vertical="bottom"/>
    </xf>
    <xf borderId="6" fillId="0" fontId="10" numFmtId="0" xfId="0" applyAlignment="1" applyBorder="1" applyFont="1">
      <alignment shrinkToFit="0" vertical="bottom" wrapText="0"/>
    </xf>
    <xf borderId="0" fillId="4" fontId="14" numFmtId="0" xfId="0" applyAlignment="1" applyFont="1">
      <alignment vertical="bottom"/>
    </xf>
    <xf borderId="0" fillId="0" fontId="5" numFmtId="0" xfId="0" applyAlignment="1" applyFont="1">
      <alignment readingOrder="0" shrinkToFit="0" vertical="center" wrapText="1"/>
    </xf>
    <xf borderId="0" fillId="0" fontId="22" numFmtId="0" xfId="0" applyFont="1"/>
    <xf borderId="0" fillId="0" fontId="23" numFmtId="0" xfId="0" applyAlignment="1" applyFont="1">
      <alignment readingOrder="0" shrinkToFit="0" vertical="bottom" wrapText="1"/>
    </xf>
    <xf borderId="0" fillId="4" fontId="23" numFmtId="0" xfId="0" applyAlignment="1" applyFont="1">
      <alignment readingOrder="0" vertical="bottom"/>
    </xf>
    <xf borderId="0" fillId="0" fontId="5" numFmtId="0" xfId="0" applyAlignment="1" applyFont="1">
      <alignment readingOrder="0" shrinkToFit="0" vertical="bottom" wrapText="1"/>
    </xf>
    <xf borderId="0" fillId="4" fontId="14" numFmtId="0" xfId="0" applyAlignment="1" applyFont="1">
      <alignment readingOrder="0" shrinkToFit="0" vertical="bottom" wrapText="1"/>
    </xf>
    <xf borderId="1" fillId="2" fontId="24" numFmtId="0" xfId="0" applyAlignment="1" applyBorder="1" applyFont="1">
      <alignment horizontal="center" readingOrder="0" shrinkToFit="0" wrapText="0"/>
    </xf>
    <xf borderId="0" fillId="0" fontId="5" numFmtId="0" xfId="0" applyAlignment="1" applyFont="1">
      <alignment shrinkToFit="0" wrapText="0"/>
    </xf>
    <xf borderId="5" fillId="3" fontId="4" numFmtId="0" xfId="0" applyAlignment="1" applyBorder="1" applyFont="1">
      <alignment readingOrder="0" shrinkToFit="0" wrapText="0"/>
    </xf>
    <xf borderId="5" fillId="3" fontId="5" numFmtId="0" xfId="0" applyAlignment="1" applyBorder="1" applyFont="1">
      <alignment shrinkToFit="0" wrapText="0"/>
    </xf>
    <xf borderId="7" fillId="4" fontId="25" numFmtId="0" xfId="0" applyAlignment="1" applyBorder="1" applyFont="1">
      <alignment vertical="bottom"/>
    </xf>
    <xf borderId="7" fillId="4" fontId="3" numFmtId="0" xfId="0" applyAlignment="1" applyBorder="1" applyFont="1">
      <alignment shrinkToFit="0" vertical="bottom" wrapText="1"/>
    </xf>
    <xf borderId="7" fillId="4" fontId="5" numFmtId="0" xfId="0" applyAlignment="1" applyBorder="1" applyFont="1">
      <alignment vertical="bottom"/>
    </xf>
    <xf borderId="0" fillId="5" fontId="3" numFmtId="0" xfId="0" applyAlignment="1" applyFill="1" applyFont="1">
      <alignment shrinkToFit="0" vertical="bottom" wrapText="1"/>
    </xf>
    <xf borderId="0" fillId="5" fontId="10" numFmtId="0" xfId="0" applyAlignment="1" applyFont="1">
      <alignment vertical="bottom"/>
    </xf>
    <xf borderId="0" fillId="5" fontId="5" numFmtId="0" xfId="0" applyAlignment="1" applyFont="1">
      <alignment vertical="bottom"/>
    </xf>
    <xf borderId="0" fillId="4" fontId="3" numFmtId="0" xfId="0" applyAlignment="1" applyFont="1">
      <alignment shrinkToFit="0" vertical="bottom" wrapText="1"/>
    </xf>
    <xf borderId="0" fillId="4" fontId="5" numFmtId="0" xfId="0" applyAlignment="1" applyFont="1">
      <alignment vertical="bottom"/>
    </xf>
    <xf borderId="0" fillId="5" fontId="10" numFmtId="0" xfId="0" applyAlignment="1" applyFont="1">
      <alignment vertical="bottom"/>
    </xf>
    <xf borderId="0" fillId="4" fontId="5" numFmtId="0" xfId="0" applyAlignment="1" applyFont="1">
      <alignment vertical="bottom"/>
    </xf>
    <xf borderId="0" fillId="5" fontId="5" numFmtId="0" xfId="0" applyAlignment="1" applyFont="1">
      <alignment vertical="bottom"/>
    </xf>
    <xf borderId="0" fillId="4" fontId="3" numFmtId="0" xfId="0" applyAlignment="1" applyFont="1">
      <alignment shrinkToFit="0" vertical="bottom" wrapText="1"/>
    </xf>
    <xf borderId="0" fillId="4" fontId="26" numFmtId="0" xfId="0" applyAlignment="1" applyFont="1">
      <alignment vertical="bottom"/>
    </xf>
    <xf borderId="0" fillId="5" fontId="3" numFmtId="0" xfId="0" applyAlignment="1" applyFont="1">
      <alignment shrinkToFit="0" vertical="bottom" wrapText="1"/>
    </xf>
    <xf borderId="0" fillId="5" fontId="25" numFmtId="0" xfId="0" applyAlignment="1" applyFont="1">
      <alignment shrinkToFit="0" vertical="bottom" wrapText="1"/>
    </xf>
    <xf borderId="0" fillId="4" fontId="25" numFmtId="0" xfId="0" applyAlignment="1" applyFont="1">
      <alignment shrinkToFit="0" vertical="bottom" wrapText="1"/>
    </xf>
    <xf borderId="0" fillId="5" fontId="26" numFmtId="0" xfId="0" applyAlignment="1" applyFont="1">
      <alignment vertical="bottom"/>
    </xf>
    <xf borderId="0" fillId="4" fontId="3" numFmtId="0" xfId="0" applyAlignment="1" applyFont="1">
      <alignment vertical="bottom"/>
    </xf>
    <xf borderId="0" fillId="5" fontId="3" numFmtId="0" xfId="0" applyAlignment="1" applyFont="1">
      <alignment vertical="bottom"/>
    </xf>
    <xf borderId="0" fillId="4" fontId="25" numFmtId="0" xfId="0" applyAlignment="1" applyFont="1">
      <alignment vertical="bottom"/>
    </xf>
    <xf borderId="0" fillId="5" fontId="25" numFmtId="0" xfId="0" applyAlignment="1" applyFont="1">
      <alignment vertical="bottom"/>
    </xf>
    <xf borderId="0" fillId="5" fontId="26" numFmtId="0" xfId="0" applyAlignment="1" applyFont="1">
      <alignment shrinkToFit="0" vertical="bottom" wrapText="1"/>
    </xf>
    <xf borderId="0" fillId="0" fontId="3" numFmtId="0" xfId="0" applyAlignment="1" applyFont="1">
      <alignment shrinkToFit="0" vertical="bottom" wrapText="1"/>
    </xf>
    <xf borderId="0" fillId="4" fontId="10" numFmtId="0" xfId="0" applyAlignment="1" applyFont="1">
      <alignment vertical="top"/>
    </xf>
    <xf borderId="0" fillId="5" fontId="10" numFmtId="0" xfId="0" applyAlignment="1" applyFont="1">
      <alignment vertical="top"/>
    </xf>
    <xf borderId="0" fillId="4" fontId="10" numFmtId="0" xfId="0" applyAlignment="1" applyFont="1">
      <alignment vertical="bottom"/>
    </xf>
    <xf borderId="0" fillId="4" fontId="10" numFmtId="0" xfId="0" applyAlignment="1" applyFont="1">
      <alignment vertical="bottom"/>
    </xf>
    <xf borderId="0" fillId="4" fontId="26" numFmtId="0" xfId="0" applyAlignment="1" applyFont="1">
      <alignment shrinkToFit="0" vertical="bottom" wrapText="1"/>
    </xf>
    <xf borderId="8" fillId="4" fontId="26" numFmtId="0" xfId="0" applyAlignment="1" applyBorder="1" applyFont="1">
      <alignment shrinkToFit="0" vertical="bottom" wrapText="1"/>
    </xf>
    <xf borderId="9" fillId="0" fontId="3" numFmtId="0" xfId="0" applyAlignment="1" applyBorder="1" applyFont="1">
      <alignment shrinkToFit="0" vertical="bottom" wrapText="1"/>
    </xf>
    <xf borderId="10" fillId="6" fontId="26" numFmtId="0" xfId="0" applyAlignment="1" applyBorder="1" applyFill="1" applyFont="1">
      <alignment vertical="bottom"/>
    </xf>
    <xf borderId="0" fillId="4" fontId="27" numFmtId="0" xfId="0" applyAlignment="1" applyFont="1">
      <alignment vertical="bottom"/>
    </xf>
    <xf borderId="0" fillId="5" fontId="27" numFmtId="0" xfId="0" applyAlignment="1" applyFont="1">
      <alignment vertical="bottom"/>
    </xf>
    <xf borderId="0" fillId="4" fontId="27" numFmtId="0" xfId="0" applyAlignment="1" applyFont="1">
      <alignment shrinkToFit="0" vertical="bottom" wrapText="1"/>
    </xf>
    <xf borderId="0" fillId="5" fontId="27" numFmtId="0" xfId="0" applyAlignment="1" applyFont="1">
      <alignment shrinkToFit="0" vertical="bottom" wrapText="1"/>
    </xf>
    <xf borderId="0" fillId="4" fontId="27" numFmtId="0" xfId="0" applyAlignment="1" applyFont="1">
      <alignment vertical="bottom"/>
    </xf>
    <xf borderId="0" fillId="4" fontId="26" numFmtId="0" xfId="0" applyAlignment="1" applyFont="1">
      <alignment readingOrder="0" shrinkToFit="0" vertical="bottom" wrapText="1"/>
    </xf>
    <xf borderId="0" fillId="5" fontId="26" numFmtId="0" xfId="0" applyAlignment="1" applyFont="1">
      <alignment horizontal="left" readingOrder="0"/>
    </xf>
    <xf borderId="0" fillId="5" fontId="25" numFmtId="0" xfId="0" applyAlignment="1" applyFont="1">
      <alignment shrinkToFit="0" vertical="bottom" wrapText="1"/>
    </xf>
    <xf borderId="0" fillId="5" fontId="25" numFmtId="0" xfId="0" applyAlignment="1" applyFont="1">
      <alignment readingOrder="0" shrinkToFit="0" vertical="bottom" wrapText="1"/>
    </xf>
    <xf borderId="0" fillId="0" fontId="0" numFmtId="0" xfId="0" applyAlignment="1" applyFont="1">
      <alignment readingOrder="0" shrinkToFit="0" wrapText="0"/>
    </xf>
    <xf borderId="0" fillId="4" fontId="26" numFmtId="0" xfId="0" applyAlignment="1" applyFont="1">
      <alignment shrinkToFit="0" vertical="bottom" wrapText="1"/>
    </xf>
    <xf borderId="0" fillId="5" fontId="10" numFmtId="0" xfId="0" applyAlignment="1" applyFont="1">
      <alignment vertical="bottom"/>
    </xf>
    <xf borderId="0" fillId="5" fontId="26" numFmtId="0" xfId="0" applyAlignment="1" applyFont="1">
      <alignment shrinkToFit="0" vertical="bottom" wrapText="1"/>
    </xf>
    <xf borderId="0" fillId="4" fontId="25" numFmtId="0" xfId="0" applyAlignment="1" applyFont="1">
      <alignment shrinkToFit="0" vertical="bottom" wrapText="1"/>
    </xf>
    <xf borderId="0" fillId="2" fontId="6" numFmtId="0" xfId="0" applyAlignment="1" applyFont="1">
      <alignment horizontal="left"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left" readingOrder="0" shrinkToFit="0" vertical="center" wrapText="1"/>
    </xf>
    <xf borderId="1" fillId="2" fontId="6" numFmtId="0" xfId="0" applyAlignment="1" applyBorder="1" applyFont="1">
      <alignment horizontal="center" readingOrder="0" shrinkToFit="0" vertical="center" wrapText="1"/>
    </xf>
    <xf borderId="2" fillId="2" fontId="6" numFmtId="0" xfId="0" applyAlignment="1" applyBorder="1" applyFont="1">
      <alignment horizontal="center" readingOrder="0" shrinkToFit="0" vertical="center" wrapText="1"/>
    </xf>
    <xf borderId="0" fillId="0" fontId="7" numFmtId="0" xfId="0" applyAlignment="1" applyFont="1">
      <alignment horizontal="left" shrinkToFit="0" vertical="center" wrapText="1"/>
    </xf>
    <xf borderId="0" fillId="0" fontId="7" numFmtId="0" xfId="0" applyAlignment="1" applyFont="1">
      <alignment shrinkToFit="0" vertical="center" wrapText="1"/>
    </xf>
    <xf borderId="0" fillId="3" fontId="6" numFmtId="0" xfId="0" applyAlignment="1" applyFont="1">
      <alignment horizontal="left" readingOrder="0" shrinkToFit="0" vertical="center" wrapText="1"/>
    </xf>
    <xf borderId="5" fillId="3" fontId="6" numFmtId="0" xfId="0" applyAlignment="1" applyBorder="1" applyFont="1">
      <alignment readingOrder="0" shrinkToFit="0" vertical="center" wrapText="1"/>
    </xf>
    <xf borderId="6" fillId="3" fontId="28" numFmtId="0" xfId="0" applyAlignment="1" applyBorder="1" applyFont="1">
      <alignment vertical="bottom"/>
    </xf>
    <xf borderId="0" fillId="3" fontId="28" numFmtId="0" xfId="0" applyAlignment="1" applyFont="1">
      <alignment vertical="bottom"/>
    </xf>
    <xf borderId="0" fillId="0" fontId="29" numFmtId="0" xfId="0" applyAlignment="1" applyFont="1">
      <alignment readingOrder="0" shrinkToFit="0" vertical="bottom" wrapText="0"/>
    </xf>
    <xf borderId="0" fillId="0" fontId="10" numFmtId="0" xfId="0" applyAlignment="1" applyFont="1">
      <alignment vertical="bottom"/>
    </xf>
    <xf borderId="0" fillId="4" fontId="10" numFmtId="0" xfId="0" applyAlignment="1" applyFont="1">
      <alignment readingOrder="0"/>
    </xf>
    <xf borderId="0" fillId="0" fontId="30" numFmtId="0" xfId="0" applyAlignment="1" applyFont="1">
      <alignment readingOrder="0" shrinkToFit="0" vertical="bottom" wrapText="0"/>
    </xf>
    <xf borderId="0" fillId="4" fontId="31" numFmtId="0" xfId="0" applyAlignment="1" applyFont="1">
      <alignment vertical="bottom"/>
    </xf>
    <xf borderId="0" fillId="4" fontId="32" numFmtId="0" xfId="0" applyAlignment="1" applyFont="1">
      <alignment readingOrder="0"/>
    </xf>
    <xf borderId="0" fillId="0" fontId="33" numFmtId="0" xfId="0" applyAlignment="1" applyFont="1">
      <alignment shrinkToFit="0" vertical="bottom" wrapText="0"/>
    </xf>
    <xf borderId="0" fillId="0" fontId="2" numFmtId="0" xfId="0" applyAlignment="1" applyFont="1">
      <alignment readingOrder="0" shrinkToFit="0" vertical="center" wrapText="1"/>
    </xf>
    <xf borderId="0" fillId="4" fontId="34" numFmtId="0" xfId="0" applyAlignment="1" applyFont="1">
      <alignment readingOrder="0"/>
    </xf>
    <xf borderId="0" fillId="4" fontId="14" numFmtId="0" xfId="0" applyAlignment="1" applyFont="1">
      <alignment horizontal="left" readingOrder="0" shrinkToFit="0" vertical="center" wrapText="1"/>
    </xf>
    <xf borderId="0" fillId="0" fontId="35" numFmtId="0" xfId="0" applyAlignment="1" applyFont="1">
      <alignment readingOrder="0" shrinkToFit="0" wrapText="0"/>
    </xf>
    <xf borderId="0" fillId="4" fontId="10" numFmtId="0" xfId="0" applyAlignment="1" applyFont="1">
      <alignment horizontal="left" readingOrder="0" shrinkToFit="0" vertical="center" wrapText="1"/>
    </xf>
    <xf borderId="0" fillId="4" fontId="31" numFmtId="0" xfId="0" applyAlignment="1" applyFont="1">
      <alignment readingOrder="0" shrinkToFit="0" vertical="center" wrapText="1"/>
    </xf>
    <xf borderId="0" fillId="4" fontId="10" numFmtId="0" xfId="0" applyAlignment="1" applyFont="1">
      <alignment vertical="bottom"/>
    </xf>
    <xf borderId="0" fillId="0" fontId="7" numFmtId="0" xfId="0" applyAlignment="1" applyFont="1">
      <alignment horizontal="left" readingOrder="0" shrinkToFit="0" vertical="center" wrapText="1"/>
    </xf>
    <xf borderId="0" fillId="0" fontId="7" numFmtId="0" xfId="0" applyAlignment="1" applyFont="1">
      <alignment readingOrder="0" shrinkToFit="0" vertical="center" wrapText="1"/>
    </xf>
    <xf borderId="0" fillId="0" fontId="36" numFmtId="0" xfId="0" applyAlignment="1" applyFont="1">
      <alignment readingOrder="0"/>
    </xf>
    <xf borderId="0" fillId="0" fontId="37" numFmtId="0" xfId="0" applyAlignment="1" applyFont="1">
      <alignment readingOrder="0" shrinkToFit="0" vertical="bottom" wrapText="0"/>
    </xf>
    <xf borderId="0" fillId="4" fontId="10" numFmtId="0" xfId="0" applyAlignment="1" applyFont="1">
      <alignment horizontal="center" readingOrder="0" shrinkToFit="0" vertical="center" wrapText="1"/>
    </xf>
    <xf borderId="0" fillId="0" fontId="38" numFmtId="0" xfId="0" applyAlignment="1" applyFont="1">
      <alignment readingOrder="0" shrinkToFit="0" vertical="bottom" wrapText="0"/>
    </xf>
    <xf borderId="0" fillId="4" fontId="7" numFmtId="0" xfId="0" applyAlignment="1" applyFont="1">
      <alignment readingOrder="0"/>
    </xf>
    <xf borderId="0" fillId="0" fontId="39" numFmtId="0" xfId="0" applyAlignment="1" applyFont="1">
      <alignment readingOrder="0" shrinkToFit="0" vertical="bottom" wrapText="0"/>
    </xf>
    <xf borderId="0" fillId="0" fontId="40" numFmtId="0" xfId="0" applyAlignment="1" applyFont="1">
      <alignment readingOrder="0" shrinkToFit="0" wrapText="0"/>
    </xf>
    <xf borderId="0" fillId="0" fontId="7" numFmtId="0" xfId="0" applyAlignment="1" applyFont="1">
      <alignment readingOrder="0" shrinkToFit="0" wrapText="0"/>
    </xf>
    <xf borderId="0" fillId="0" fontId="10" numFmtId="0" xfId="0" applyAlignment="1" applyFont="1">
      <alignment readingOrder="0" vertical="bottom"/>
    </xf>
    <xf borderId="0" fillId="4" fontId="41" numFmtId="0" xfId="0" applyAlignment="1" applyFont="1">
      <alignment readingOrder="0" vertical="bottom"/>
    </xf>
    <xf borderId="0" fillId="0" fontId="5" numFmtId="0" xfId="0" applyAlignment="1" applyFont="1">
      <alignment horizontal="center" readingOrder="0" shrinkToFit="0" vertical="center" wrapText="1"/>
    </xf>
    <xf borderId="0" fillId="0" fontId="5"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0" fontId="10" numFmtId="0" xfId="0" applyAlignment="1" applyFont="1">
      <alignment readingOrder="0"/>
    </xf>
    <xf borderId="0" fillId="0" fontId="44" numFmtId="0" xfId="0" applyFont="1"/>
    <xf borderId="0" fillId="4" fontId="10" numFmtId="0" xfId="0" applyAlignment="1" applyFont="1">
      <alignment horizontal="left" readingOrder="0" vertical="center"/>
    </xf>
    <xf borderId="0" fillId="4" fontId="10" numFmtId="0" xfId="0" applyAlignment="1" applyFont="1">
      <alignment readingOrder="0" vertical="center"/>
    </xf>
    <xf borderId="0" fillId="4" fontId="10" numFmtId="0" xfId="0" applyAlignment="1" applyFont="1">
      <alignment readingOrder="0" vertical="bottom"/>
    </xf>
    <xf borderId="0" fillId="4" fontId="10" numFmtId="0" xfId="0" applyAlignment="1" applyFont="1">
      <alignment readingOrder="0" shrinkToFit="0" vertical="center" wrapText="1"/>
    </xf>
    <xf borderId="0" fillId="0" fontId="45" numFmtId="0" xfId="0" applyAlignment="1" applyFont="1">
      <alignment readingOrder="0" vertical="bottom"/>
    </xf>
    <xf borderId="0" fillId="4" fontId="10" numFmtId="0" xfId="0" applyAlignment="1" applyFont="1">
      <alignment horizontal="left" readingOrder="0" vertical="center"/>
    </xf>
    <xf borderId="0" fillId="0" fontId="46" numFmtId="0" xfId="0" applyAlignment="1" applyFont="1">
      <alignment readingOrder="0" shrinkToFit="0" wrapText="0"/>
    </xf>
    <xf borderId="0" fillId="0" fontId="10" numFmtId="0" xfId="0" applyAlignment="1" applyFont="1">
      <alignment horizontal="center" readingOrder="0" shrinkToFit="0" vertical="center" wrapText="1"/>
    </xf>
    <xf borderId="0" fillId="0" fontId="5" numFmtId="0" xfId="0" applyAlignment="1" applyFont="1">
      <alignment readingOrder="0" shrinkToFit="0" vertical="bottom" wrapText="0"/>
    </xf>
    <xf borderId="0" fillId="4" fontId="5" numFmtId="0" xfId="0" applyAlignment="1" applyFont="1">
      <alignment horizontal="left" readingOrder="0" shrinkToFit="0" vertical="center" wrapText="1"/>
    </xf>
    <xf borderId="0" fillId="0" fontId="5" numFmtId="0" xfId="0" applyAlignment="1" applyFont="1">
      <alignment horizontal="left" readingOrder="0" shrinkToFit="0" vertical="top" wrapText="1"/>
    </xf>
    <xf borderId="0" fillId="0" fontId="47" numFmtId="0" xfId="0" applyAlignment="1" applyFont="1">
      <alignment readingOrder="0"/>
    </xf>
    <xf borderId="0" fillId="0" fontId="48" numFmtId="0" xfId="0" applyAlignment="1" applyFont="1">
      <alignment readingOrder="0" shrinkToFit="0" wrapText="0"/>
    </xf>
    <xf borderId="0" fillId="0" fontId="49" numFmtId="0" xfId="0" applyAlignment="1" applyFont="1">
      <alignment readingOrder="0" vertical="bottom"/>
    </xf>
    <xf borderId="0" fillId="0" fontId="5" numFmtId="0" xfId="0" applyAlignment="1" applyFont="1">
      <alignment horizontal="left" readingOrder="0" vertical="bottom"/>
    </xf>
    <xf borderId="0" fillId="4" fontId="10" numFmtId="0" xfId="0" applyAlignment="1" applyFont="1">
      <alignment readingOrder="0" vertical="bottom"/>
    </xf>
    <xf borderId="0" fillId="0" fontId="5" numFmtId="0" xfId="0" applyAlignment="1" applyFont="1">
      <alignment horizontal="left" shrinkToFit="0" vertical="center" wrapText="1"/>
    </xf>
    <xf borderId="0" fillId="4" fontId="10" numFmtId="0" xfId="0" applyAlignment="1" applyFont="1">
      <alignment shrinkToFit="0" vertical="center" wrapText="1"/>
    </xf>
    <xf borderId="0" fillId="0" fontId="5" numFmtId="0" xfId="0" applyFont="1"/>
    <xf borderId="0" fillId="4" fontId="5" numFmtId="0" xfId="0" applyFont="1"/>
    <xf borderId="0" fillId="4" fontId="10" numFmtId="0" xfId="0" applyAlignment="1" applyFont="1">
      <alignment vertical="bottom"/>
    </xf>
    <xf borderId="0" fillId="0" fontId="0" numFmtId="0" xfId="0" applyAlignment="1" applyFont="1">
      <alignment horizontal="center" readingOrder="0" vertical="center"/>
    </xf>
    <xf borderId="0" fillId="0" fontId="16" numFmtId="0" xfId="0" applyAlignment="1" applyFont="1">
      <alignment readingOrder="0" vertical="center"/>
    </xf>
    <xf borderId="0" fillId="0" fontId="50" numFmtId="0" xfId="0" applyAlignment="1" applyFont="1">
      <alignment readingOrder="0" vertical="center"/>
    </xf>
    <xf borderId="0" fillId="0" fontId="2" numFmtId="0" xfId="0" applyAlignment="1" applyFont="1">
      <alignment readingOrder="0" vertical="center"/>
    </xf>
    <xf borderId="0" fillId="0" fontId="50" numFmtId="0" xfId="0" applyAlignment="1" applyFont="1">
      <alignment readingOrder="0"/>
    </xf>
    <xf borderId="0" fillId="0" fontId="7" numFmtId="0" xfId="0" applyAlignment="1" applyFont="1">
      <alignment readingOrder="0" vertical="center"/>
    </xf>
    <xf borderId="0" fillId="0" fontId="51" numFmtId="0" xfId="0" applyAlignment="1" applyFont="1">
      <alignment readingOrder="0" shrinkToFit="0" wrapText="1"/>
    </xf>
    <xf borderId="0" fillId="0" fontId="5" numFmtId="0" xfId="0" applyAlignment="1" applyFont="1">
      <alignment shrinkToFit="0" vertical="bottom" wrapText="1"/>
    </xf>
    <xf borderId="0" fillId="0" fontId="51" numFmtId="0" xfId="0" applyAlignment="1" applyFont="1">
      <alignment readingOrder="0" shrinkToFit="0" vertical="center" wrapText="1"/>
    </xf>
    <xf borderId="0" fillId="4" fontId="52" numFmtId="0" xfId="0" applyAlignment="1" applyFont="1">
      <alignment horizontal="left" readingOrder="0" shrinkToFit="0" vertical="center" wrapText="1"/>
    </xf>
    <xf borderId="0" fillId="0" fontId="50" numFmtId="0" xfId="0" applyAlignment="1" applyFont="1">
      <alignment horizontal="left" readingOrder="0" vertical="center"/>
    </xf>
    <xf borderId="0" fillId="4" fontId="52" numFmtId="0" xfId="0" applyAlignment="1" applyFont="1">
      <alignment horizontal="left" readingOrder="0" vertical="center"/>
    </xf>
    <xf borderId="0" fillId="0" fontId="7" numFmtId="0" xfId="0" applyAlignment="1" applyFont="1">
      <alignment readingOrder="0" shrinkToFit="0" vertical="bottom" wrapText="0"/>
    </xf>
    <xf borderId="0" fillId="0" fontId="0" numFmtId="0" xfId="0" applyAlignment="1" applyFont="1">
      <alignment horizontal="center" readingOrder="0" shrinkToFit="0" wrapText="1"/>
    </xf>
    <xf borderId="0" fillId="0" fontId="7" numFmtId="0" xfId="0" applyAlignment="1" applyFont="1">
      <alignment horizontal="right" readingOrder="0"/>
    </xf>
    <xf borderId="0" fillId="7" fontId="0" numFmtId="0" xfId="0" applyAlignment="1" applyFill="1" applyFont="1">
      <alignment shrinkToFit="0" wrapText="0"/>
    </xf>
    <xf borderId="0" fillId="7" fontId="7" numFmtId="0" xfId="0" applyFont="1"/>
    <xf borderId="0" fillId="0" fontId="5" numFmtId="0" xfId="0" applyAlignment="1" applyFont="1">
      <alignment horizontal="right" readingOrder="0" vertical="bottom"/>
    </xf>
    <xf borderId="0" fillId="4" fontId="0" numFmtId="0" xfId="0" applyAlignment="1" applyFont="1">
      <alignment horizontal="center" readingOrder="0" shrinkToFit="0" vertical="center" wrapText="1"/>
    </xf>
    <xf borderId="0" fillId="4" fontId="10" numFmtId="0" xfId="0" applyAlignment="1" applyFont="1">
      <alignment horizontal="right" readingOrder="0"/>
    </xf>
    <xf borderId="0" fillId="0" fontId="7" numFmtId="0" xfId="0" applyAlignment="1" applyFont="1">
      <alignment horizontal="center" readingOrder="0" shrinkToFit="0" vertical="center" wrapText="1"/>
    </xf>
    <xf borderId="0" fillId="2" fontId="6" numFmtId="0" xfId="0" applyAlignment="1" applyFont="1">
      <alignment horizontal="left" readingOrder="0" shrinkToFit="0" wrapText="0"/>
    </xf>
    <xf borderId="0" fillId="2" fontId="53" numFmtId="0" xfId="0" applyAlignment="1" applyFont="1">
      <alignment horizontal="center" readingOrder="0" shrinkToFit="0" wrapText="0"/>
    </xf>
    <xf borderId="0" fillId="0" fontId="7" numFmtId="0" xfId="0" applyAlignment="1" applyFont="1">
      <alignment horizontal="center" shrinkToFit="0" wrapText="0"/>
    </xf>
    <xf borderId="0" fillId="0" fontId="7" numFmtId="0" xfId="0" applyAlignment="1" applyFont="1">
      <alignment horizontal="left" shrinkToFit="0" wrapText="0"/>
    </xf>
    <xf borderId="0" fillId="0" fontId="54" numFmtId="0" xfId="0" applyAlignment="1" applyFont="1">
      <alignment shrinkToFit="0" wrapText="0"/>
    </xf>
    <xf borderId="0" fillId="3" fontId="6" numFmtId="0" xfId="0" applyAlignment="1" applyFont="1">
      <alignment readingOrder="0" shrinkToFit="0" wrapText="1"/>
    </xf>
    <xf borderId="0" fillId="3" fontId="6" numFmtId="0" xfId="0" applyAlignment="1" applyFont="1">
      <alignment horizontal="left" readingOrder="0"/>
    </xf>
    <xf borderId="0" fillId="0" fontId="7" numFmtId="0" xfId="0" applyAlignment="1" applyFont="1">
      <alignment horizontal="left" readingOrder="0" shrinkToFit="0" wrapText="0"/>
    </xf>
    <xf borderId="0" fillId="4" fontId="55" numFmtId="0" xfId="0" applyAlignment="1" applyFont="1">
      <alignment readingOrder="0"/>
    </xf>
    <xf borderId="0" fillId="0" fontId="56" numFmtId="0" xfId="0" applyAlignment="1" applyFont="1">
      <alignment readingOrder="0" shrinkToFit="0" vertical="bottom" wrapText="0"/>
    </xf>
    <xf borderId="0" fillId="0" fontId="7" numFmtId="0" xfId="0" applyAlignment="1" applyFont="1">
      <alignment horizontal="center" readingOrder="0" vertical="bottom"/>
    </xf>
    <xf borderId="0" fillId="0" fontId="5" numFmtId="0" xfId="0" applyAlignment="1" applyFont="1">
      <alignment horizontal="left" readingOrder="0" shrinkToFit="0" vertical="bottom" wrapText="0"/>
    </xf>
    <xf borderId="0" fillId="0" fontId="57" numFmtId="0" xfId="0" applyAlignment="1" applyFont="1">
      <alignment readingOrder="0" vertical="bottom"/>
    </xf>
    <xf borderId="0" fillId="0" fontId="58" numFmtId="0" xfId="0" applyAlignment="1" applyFont="1">
      <alignment readingOrder="0" vertical="bottom"/>
    </xf>
    <xf borderId="0" fillId="8" fontId="5" numFmtId="0" xfId="0" applyAlignment="1" applyFill="1" applyFont="1">
      <alignment horizontal="center" readingOrder="0"/>
    </xf>
    <xf borderId="11" fillId="0" fontId="59" numFmtId="0" xfId="0" applyAlignment="1" applyBorder="1" applyFont="1">
      <alignment horizontal="center" readingOrder="0" shrinkToFit="0" wrapText="1"/>
    </xf>
    <xf borderId="0" fillId="0" fontId="5" numFmtId="0" xfId="0" applyAlignment="1" applyFont="1">
      <alignment horizontal="left" readingOrder="0"/>
    </xf>
    <xf borderId="0" fillId="0" fontId="5" numFmtId="0" xfId="0" applyAlignment="1" applyFont="1">
      <alignment horizontal="center" readingOrder="0"/>
    </xf>
    <xf borderId="0" fillId="0" fontId="57" numFmtId="0" xfId="0" applyFont="1"/>
    <xf borderId="0" fillId="0" fontId="60" numFmtId="0" xfId="0" applyAlignment="1" applyFont="1">
      <alignment horizontal="center" readingOrder="0"/>
    </xf>
    <xf borderId="0" fillId="0" fontId="61" numFmtId="0" xfId="0" applyAlignment="1" applyFont="1">
      <alignment horizontal="center" readingOrder="0"/>
    </xf>
    <xf borderId="0" fillId="0" fontId="7" numFmtId="0" xfId="0" applyAlignment="1" applyFont="1">
      <alignment horizontal="center" vertical="bottom"/>
    </xf>
    <xf borderId="0" fillId="0" fontId="5" numFmtId="0" xfId="0" applyAlignment="1" applyFont="1">
      <alignment horizontal="left" shrinkToFit="0" vertical="bottom" wrapText="0"/>
    </xf>
    <xf borderId="0" fillId="4" fontId="62" numFmtId="0" xfId="0" applyAlignment="1" applyFont="1">
      <alignment horizontal="left" readingOrder="0" vertical="bottom"/>
    </xf>
    <xf borderId="0" fillId="0" fontId="7" numFmtId="0" xfId="0" applyAlignment="1" applyFont="1">
      <alignment horizontal="center" vertical="bottom"/>
    </xf>
    <xf borderId="0" fillId="0" fontId="5" numFmtId="0" xfId="0" applyAlignment="1" applyFont="1">
      <alignment horizontal="left" vertical="bottom"/>
    </xf>
    <xf borderId="0" fillId="0" fontId="5" numFmtId="0" xfId="0" applyAlignment="1" applyFont="1">
      <alignment horizontal="left" shrinkToFit="0" vertical="bottom" wrapText="0"/>
    </xf>
    <xf borderId="0" fillId="0" fontId="57" numFmtId="0" xfId="0" applyAlignment="1" applyFont="1">
      <alignment vertical="bottom"/>
    </xf>
    <xf borderId="0" fillId="0" fontId="57" numFmtId="0" xfId="0" applyAlignment="1" applyFont="1">
      <alignment vertical="bottom"/>
    </xf>
    <xf borderId="0" fillId="0" fontId="16" numFmtId="0" xfId="0" applyAlignment="1" applyFont="1">
      <alignment horizontal="center" readingOrder="0"/>
    </xf>
    <xf borderId="0" fillId="0" fontId="2" numFmtId="0" xfId="0" applyAlignment="1" applyFont="1">
      <alignment horizontal="left"/>
    </xf>
    <xf borderId="0" fillId="0" fontId="63" numFmtId="0" xfId="0" applyFont="1"/>
    <xf borderId="0" fillId="0" fontId="2" numFmtId="0" xfId="0" applyAlignment="1" applyFont="1">
      <alignment horizontal="left" readingOrder="0"/>
    </xf>
    <xf borderId="0" fillId="0" fontId="7" numFmtId="0" xfId="0" applyAlignment="1" applyFont="1">
      <alignment horizontal="left" readingOrder="0"/>
    </xf>
    <xf borderId="0" fillId="0" fontId="7" numFmtId="0" xfId="0" applyAlignment="1" applyFont="1">
      <alignment horizontal="center" readingOrder="0"/>
    </xf>
    <xf borderId="0" fillId="0" fontId="63" numFmtId="0" xfId="0" applyAlignment="1" applyFont="1">
      <alignment readingOrder="0"/>
    </xf>
    <xf borderId="0" fillId="0" fontId="7" numFmtId="0" xfId="0" applyAlignment="1" applyFont="1">
      <alignment horizontal="center" vertical="top"/>
    </xf>
    <xf borderId="0" fillId="0" fontId="7" numFmtId="0" xfId="0" applyAlignment="1" applyFont="1">
      <alignment horizontal="center"/>
    </xf>
    <xf borderId="0" fillId="0" fontId="7" numFmtId="0" xfId="0" applyAlignment="1" applyFont="1">
      <alignment horizontal="left"/>
    </xf>
    <xf borderId="0" fillId="0" fontId="54" numFmtId="0" xfId="0" applyFont="1"/>
    <xf borderId="0" fillId="3" fontId="6" numFmtId="0" xfId="0" applyAlignment="1" applyFont="1">
      <alignment horizontal="left" readingOrder="0" shrinkToFit="0" wrapText="0"/>
    </xf>
    <xf borderId="0" fillId="4" fontId="0" numFmtId="0" xfId="0" applyAlignment="1" applyFont="1">
      <alignment horizontal="left" readingOrder="0" shrinkToFit="0" wrapText="1"/>
    </xf>
    <xf borderId="0" fillId="0" fontId="57" numFmtId="0" xfId="0" applyAlignment="1" applyFont="1">
      <alignment readingOrder="0" shrinkToFit="0" vertical="bottom" wrapText="0"/>
    </xf>
    <xf borderId="0" fillId="0" fontId="10" numFmtId="0" xfId="0" applyAlignment="1" applyFont="1">
      <alignment horizontal="left" readingOrder="0" shrinkToFit="0" vertical="bottom" wrapText="0"/>
    </xf>
    <xf borderId="0" fillId="0" fontId="7" numFmtId="0" xfId="0" applyAlignment="1" applyFont="1">
      <alignment horizontal="center" readingOrder="0" shrinkToFit="0" vertical="bottom" wrapText="0"/>
    </xf>
    <xf borderId="12" fillId="4" fontId="64" numFmtId="0" xfId="0" applyAlignment="1" applyBorder="1" applyFont="1">
      <alignment readingOrder="0" shrinkToFit="0" wrapText="1"/>
    </xf>
    <xf borderId="13" fillId="0" fontId="2" numFmtId="0" xfId="0" applyBorder="1" applyFont="1"/>
    <xf borderId="14" fillId="0" fontId="2" numFmtId="0" xfId="0" applyBorder="1" applyFont="1"/>
    <xf borderId="0" fillId="4" fontId="10" numFmtId="0" xfId="0" applyAlignment="1" applyFont="1">
      <alignment horizontal="left" readingOrder="0" shrinkToFit="0" wrapText="1"/>
    </xf>
    <xf borderId="0" fillId="4" fontId="5" numFmtId="0" xfId="0" applyAlignment="1" applyFont="1">
      <alignment horizontal="center" readingOrder="0"/>
    </xf>
    <xf borderId="0" fillId="0" fontId="65" numFmtId="0" xfId="0" applyFont="1"/>
    <xf borderId="0" fillId="0" fontId="59" numFmtId="0" xfId="0" applyAlignment="1" applyFont="1">
      <alignment horizontal="center" readingOrder="0" shrinkToFit="0" wrapText="1"/>
    </xf>
    <xf borderId="0" fillId="0" fontId="5" numFmtId="0" xfId="0" applyAlignment="1" applyFont="1">
      <alignment horizontal="left" readingOrder="0" shrinkToFit="0" wrapText="0"/>
    </xf>
    <xf borderId="0" fillId="0" fontId="7" numFmtId="0" xfId="0" applyAlignment="1" applyFont="1">
      <alignment horizontal="left" readingOrder="0" shrinkToFit="0" wrapText="1"/>
    </xf>
    <xf borderId="0" fillId="0" fontId="5" numFmtId="0" xfId="0" applyAlignment="1" applyFont="1">
      <alignment horizontal="left" vertical="bottom"/>
    </xf>
    <xf borderId="0" fillId="4" fontId="0" numFmtId="0" xfId="0" applyAlignment="1" applyFont="1">
      <alignment horizontal="left" readingOrder="0" shrinkToFit="0" vertical="bottom" wrapText="1"/>
    </xf>
    <xf borderId="0" fillId="0" fontId="10" numFmtId="0" xfId="0" applyAlignment="1" applyFont="1">
      <alignment horizontal="left" shrinkToFit="0" vertical="bottom" wrapText="0"/>
    </xf>
    <xf borderId="0" fillId="4" fontId="14" numFmtId="0" xfId="0" applyAlignment="1" applyFont="1">
      <alignment horizontal="left" readingOrder="0" vertical="bottom"/>
    </xf>
    <xf borderId="0" fillId="4" fontId="14" numFmtId="0" xfId="0" applyAlignment="1" applyFont="1">
      <alignment horizontal="left" readingOrder="0"/>
    </xf>
    <xf borderId="0" fillId="0" fontId="5" numFmtId="0" xfId="0" applyAlignment="1" applyFont="1">
      <alignment horizontal="center" readingOrder="0" shrinkToFit="0" vertical="bottom" wrapText="1"/>
    </xf>
    <xf borderId="0" fillId="0" fontId="66" numFmtId="0" xfId="0" applyFont="1"/>
    <xf borderId="0" fillId="0" fontId="67" numFmtId="0" xfId="0" applyAlignment="1" applyFont="1">
      <alignment readingOrder="0"/>
    </xf>
    <xf borderId="0" fillId="0" fontId="68" numFmtId="0" xfId="0" applyFont="1"/>
    <xf borderId="0" fillId="4" fontId="69" numFmtId="0" xfId="0" applyAlignment="1" applyFont="1">
      <alignment readingOrder="0"/>
    </xf>
    <xf borderId="0" fillId="4" fontId="69" numFmtId="0" xfId="0" applyAlignment="1" applyFont="1">
      <alignment readingOrder="0"/>
    </xf>
    <xf borderId="0" fillId="0" fontId="57" numFmtId="0" xfId="0" applyAlignment="1" applyFont="1">
      <alignment readingOrder="0" vertical="bottom"/>
    </xf>
    <xf borderId="6" fillId="2" fontId="6" numFmtId="0" xfId="0" applyAlignment="1" applyBorder="1" applyFont="1">
      <alignment horizontal="center" shrinkToFit="0" wrapText="0"/>
    </xf>
    <xf borderId="6" fillId="2" fontId="6" numFmtId="0" xfId="0" applyAlignment="1" applyBorder="1" applyFont="1">
      <alignment horizontal="center" readingOrder="0" shrinkToFit="0" wrapText="1"/>
    </xf>
    <xf borderId="6" fillId="2" fontId="6" numFmtId="0" xfId="0" applyAlignment="1" applyBorder="1" applyFont="1">
      <alignment horizontal="center" readingOrder="0" shrinkToFit="0" wrapText="0"/>
    </xf>
    <xf borderId="6" fillId="2" fontId="6" numFmtId="0" xfId="0" applyAlignment="1" applyBorder="1" applyFont="1">
      <alignment horizontal="center" readingOrder="0" shrinkToFit="0" wrapText="0"/>
    </xf>
    <xf borderId="6" fillId="0" fontId="7" numFmtId="0" xfId="0" applyBorder="1" applyFont="1"/>
    <xf borderId="15" fillId="2" fontId="6" numFmtId="0" xfId="0" applyAlignment="1" applyBorder="1" applyFont="1">
      <alignment horizontal="center" readingOrder="0" shrinkToFit="0" wrapText="1"/>
    </xf>
    <xf borderId="16" fillId="0" fontId="2" numFmtId="0" xfId="0" applyBorder="1" applyFont="1"/>
    <xf borderId="17" fillId="0" fontId="2" numFmtId="0" xfId="0" applyBorder="1" applyFont="1"/>
    <xf borderId="6" fillId="0" fontId="7" numFmtId="0" xfId="0" applyAlignment="1" applyBorder="1" applyFont="1">
      <alignment shrinkToFit="0" wrapText="0"/>
    </xf>
    <xf borderId="6" fillId="0" fontId="7" numFmtId="0" xfId="0" applyAlignment="1" applyBorder="1" applyFont="1">
      <alignment horizontal="center" shrinkToFit="0" wrapText="0"/>
    </xf>
    <xf borderId="6" fillId="0" fontId="7" numFmtId="0" xfId="0" applyAlignment="1" applyBorder="1" applyFont="1">
      <alignment shrinkToFit="0" wrapText="1"/>
    </xf>
    <xf borderId="6" fillId="0" fontId="7" numFmtId="0" xfId="0" applyAlignment="1" applyBorder="1" applyFont="1">
      <alignment shrinkToFit="0" wrapText="0"/>
    </xf>
    <xf borderId="6" fillId="3" fontId="6" numFmtId="0" xfId="0" applyAlignment="1" applyBorder="1" applyFont="1">
      <alignment readingOrder="0" shrinkToFit="0" wrapText="0"/>
    </xf>
    <xf borderId="6" fillId="3" fontId="6" numFmtId="0" xfId="0" applyAlignment="1" applyBorder="1" applyFont="1">
      <alignment horizontal="center" readingOrder="0" shrinkToFit="0" wrapText="0"/>
    </xf>
    <xf borderId="6" fillId="3" fontId="6" numFmtId="0" xfId="0" applyAlignment="1" applyBorder="1" applyFont="1">
      <alignment readingOrder="0" shrinkToFit="0" wrapText="1"/>
    </xf>
    <xf borderId="6" fillId="3" fontId="6" numFmtId="0" xfId="0" applyAlignment="1" applyBorder="1" applyFont="1">
      <alignment readingOrder="0" shrinkToFit="0" wrapText="0"/>
    </xf>
    <xf borderId="6" fillId="3" fontId="6" numFmtId="0" xfId="0" applyAlignment="1" applyBorder="1" applyFont="1">
      <alignment horizontal="left" readingOrder="0"/>
    </xf>
    <xf borderId="6" fillId="0" fontId="7" numFmtId="0" xfId="0" applyAlignment="1" applyBorder="1" applyFont="1">
      <alignment readingOrder="0"/>
    </xf>
    <xf borderId="6" fillId="0" fontId="5" numFmtId="0" xfId="0" applyAlignment="1" applyBorder="1" applyFont="1">
      <alignment horizontal="center" readingOrder="0" vertical="bottom"/>
    </xf>
    <xf borderId="6" fillId="0" fontId="5" numFmtId="0" xfId="0" applyAlignment="1" applyBorder="1" applyFont="1">
      <alignment readingOrder="0" shrinkToFit="0" vertical="bottom" wrapText="1"/>
    </xf>
    <xf borderId="6" fillId="0" fontId="5" numFmtId="0" xfId="0" applyAlignment="1" applyBorder="1" applyFont="1">
      <alignment readingOrder="0" vertical="bottom"/>
    </xf>
    <xf borderId="6" fillId="0" fontId="10" numFmtId="0" xfId="0" applyAlignment="1" applyBorder="1" applyFont="1">
      <alignment readingOrder="0" vertical="bottom"/>
    </xf>
    <xf borderId="6" fillId="0" fontId="5" numFmtId="0" xfId="0" applyAlignment="1" applyBorder="1" applyFont="1">
      <alignment vertical="bottom"/>
    </xf>
    <xf borderId="6" fillId="0" fontId="10" numFmtId="0" xfId="0" applyAlignment="1" applyBorder="1" applyFont="1">
      <alignment vertical="bottom"/>
    </xf>
    <xf borderId="6" fillId="0" fontId="0" numFmtId="0" xfId="0" applyAlignment="1" applyBorder="1" applyFont="1">
      <alignment shrinkToFit="0" wrapText="0"/>
    </xf>
    <xf borderId="12" fillId="0" fontId="5" numFmtId="0" xfId="0" applyAlignment="1" applyBorder="1" applyFont="1">
      <alignment horizontal="center" readingOrder="0" vertical="bottom"/>
    </xf>
    <xf borderId="12" fillId="0" fontId="5" numFmtId="0" xfId="0" applyAlignment="1" applyBorder="1" applyFont="1">
      <alignment readingOrder="0" shrinkToFit="0" vertical="bottom" wrapText="1"/>
    </xf>
    <xf borderId="12" fillId="0" fontId="5" numFmtId="0" xfId="0" applyAlignment="1" applyBorder="1" applyFont="1">
      <alignment readingOrder="0" vertical="bottom"/>
    </xf>
    <xf borderId="6" fillId="0" fontId="5" numFmtId="0" xfId="0" applyAlignment="1" applyBorder="1" applyFont="1">
      <alignment vertical="bottom"/>
    </xf>
    <xf borderId="6" fillId="0" fontId="70" numFmtId="0" xfId="0" applyAlignment="1" applyBorder="1" applyFont="1">
      <alignment readingOrder="0" vertical="bottom"/>
    </xf>
    <xf borderId="6" fillId="0" fontId="71" numFmtId="0" xfId="0" applyAlignment="1" applyBorder="1" applyFont="1">
      <alignment horizontal="center" readingOrder="0" vertical="bottom"/>
    </xf>
    <xf borderId="6" fillId="4" fontId="7" numFmtId="0" xfId="0" applyAlignment="1" applyBorder="1" applyFont="1">
      <alignment readingOrder="0"/>
    </xf>
    <xf borderId="12" fillId="4" fontId="5" numFmtId="0" xfId="0" applyAlignment="1" applyBorder="1" applyFont="1">
      <alignment horizontal="center" readingOrder="0" vertical="bottom"/>
    </xf>
    <xf borderId="12" fillId="4" fontId="5" numFmtId="0" xfId="0" applyAlignment="1" applyBorder="1" applyFont="1">
      <alignment readingOrder="0" shrinkToFit="0" vertical="bottom" wrapText="1"/>
    </xf>
    <xf borderId="12" fillId="4" fontId="5" numFmtId="0" xfId="0" applyAlignment="1" applyBorder="1" applyFont="1">
      <alignment readingOrder="0" vertical="bottom"/>
    </xf>
    <xf borderId="6" fillId="4" fontId="5" numFmtId="0" xfId="0" applyAlignment="1" applyBorder="1" applyFont="1">
      <alignment readingOrder="0" vertical="bottom"/>
    </xf>
    <xf borderId="6" fillId="4" fontId="5" numFmtId="0" xfId="0" applyAlignment="1" applyBorder="1" applyFont="1">
      <alignment vertical="bottom"/>
    </xf>
    <xf borderId="6" fillId="4" fontId="5" numFmtId="0" xfId="0" applyAlignment="1" applyBorder="1" applyFont="1">
      <alignment vertical="bottom"/>
    </xf>
    <xf borderId="6" fillId="4" fontId="0" numFmtId="0" xfId="0" applyAlignment="1" applyBorder="1" applyFont="1">
      <alignment shrinkToFit="0" wrapText="0"/>
    </xf>
    <xf borderId="6" fillId="4" fontId="7" numFmtId="0" xfId="0" applyBorder="1" applyFont="1"/>
    <xf borderId="6" fillId="4" fontId="72" numFmtId="0" xfId="0" applyAlignment="1" applyBorder="1" applyFont="1">
      <alignment readingOrder="0" vertical="bottom"/>
    </xf>
    <xf borderId="6" fillId="0" fontId="10" numFmtId="0" xfId="0" applyAlignment="1" applyBorder="1" applyFont="1">
      <alignment vertical="bottom"/>
    </xf>
    <xf borderId="6" fillId="0" fontId="73" numFmtId="0" xfId="0" applyAlignment="1" applyBorder="1" applyFont="1">
      <alignment vertical="bottom"/>
    </xf>
    <xf borderId="6" fillId="0" fontId="2" numFmtId="0" xfId="0" applyBorder="1" applyFont="1"/>
    <xf borderId="6" fillId="0" fontId="2" numFmtId="0" xfId="0" applyBorder="1" applyFont="1"/>
    <xf borderId="6" fillId="4" fontId="74" numFmtId="0" xfId="0" applyAlignment="1" applyBorder="1" applyFont="1">
      <alignment readingOrder="0"/>
    </xf>
    <xf borderId="12" fillId="0" fontId="7" numFmtId="0" xfId="0" applyAlignment="1" applyBorder="1" applyFont="1">
      <alignment readingOrder="0"/>
    </xf>
    <xf borderId="12" fillId="0" fontId="75" numFmtId="0" xfId="0" applyAlignment="1" applyBorder="1" applyFont="1">
      <alignment vertical="bottom"/>
    </xf>
    <xf borderId="12" fillId="0" fontId="2" numFmtId="0" xfId="0" applyBorder="1" applyFont="1"/>
    <xf borderId="12" fillId="0" fontId="2" numFmtId="0" xfId="0" applyBorder="1" applyFont="1"/>
    <xf borderId="12" fillId="0" fontId="0" numFmtId="0" xfId="0" applyAlignment="1" applyBorder="1" applyFont="1">
      <alignment shrinkToFit="0" wrapText="0"/>
    </xf>
    <xf borderId="12" fillId="0" fontId="7" numFmtId="0" xfId="0" applyBorder="1" applyFont="1"/>
    <xf borderId="0" fillId="0" fontId="5" numFmtId="0" xfId="0" applyAlignment="1" applyFont="1">
      <alignment vertical="center"/>
    </xf>
    <xf borderId="0" fillId="0" fontId="5" numFmtId="0" xfId="0" applyAlignment="1" applyFont="1">
      <alignment horizontal="center" readingOrder="0" vertical="bottom"/>
    </xf>
    <xf borderId="0" fillId="4" fontId="10" numFmtId="0" xfId="0" applyAlignment="1" applyFont="1">
      <alignment horizontal="left" readingOrder="0" shrinkToFit="0" vertical="bottom" wrapText="1"/>
    </xf>
    <xf borderId="0" fillId="0" fontId="5" numFmtId="0" xfId="0" applyAlignment="1" applyFont="1">
      <alignment horizontal="center" readingOrder="0" vertical="center"/>
    </xf>
    <xf borderId="0" fillId="0" fontId="5" numFmtId="0" xfId="0" applyAlignment="1" applyFont="1">
      <alignment horizontal="center" vertical="center"/>
    </xf>
    <xf borderId="0" fillId="4" fontId="10" numFmtId="0" xfId="0" applyAlignment="1" applyFont="1">
      <alignment horizontal="left" shrinkToFit="0" vertical="center" wrapText="1"/>
    </xf>
    <xf borderId="0" fillId="4" fontId="10" numFmtId="0" xfId="0" applyAlignment="1" applyFont="1">
      <alignment horizontal="left" vertical="center"/>
    </xf>
    <xf borderId="0" fillId="0" fontId="5" numFmtId="0" xfId="0" applyAlignment="1" applyFont="1">
      <alignment readingOrder="0" vertical="center"/>
    </xf>
    <xf borderId="0" fillId="4" fontId="10" numFmtId="0" xfId="0" applyAlignment="1" applyFont="1">
      <alignment shrinkToFit="0" vertical="center" wrapText="1"/>
    </xf>
    <xf borderId="0" fillId="4" fontId="10" numFmtId="0" xfId="0" applyAlignment="1" applyFont="1">
      <alignment vertical="center"/>
    </xf>
    <xf borderId="0" fillId="0" fontId="5" numFmtId="0" xfId="0" applyAlignment="1" applyFont="1">
      <alignment shrinkToFit="0" vertical="bottom" wrapText="0"/>
    </xf>
    <xf borderId="0" fillId="0" fontId="5" numFmtId="0" xfId="0" applyAlignment="1" applyFont="1">
      <alignment shrinkToFit="0" vertical="center" wrapText="1"/>
    </xf>
    <xf borderId="0" fillId="0" fontId="0" numFmtId="0" xfId="0" applyAlignment="1" applyFont="1">
      <alignment horizontal="left" readingOrder="0" shrinkToFit="0" vertical="center" wrapText="1"/>
    </xf>
    <xf borderId="14" fillId="0" fontId="7" numFmtId="0" xfId="0" applyBorder="1" applyFont="1"/>
    <xf borderId="14" fillId="0" fontId="5" numFmtId="0" xfId="0" applyAlignment="1" applyBorder="1" applyFont="1">
      <alignment horizontal="center" readingOrder="0" vertical="bottom"/>
    </xf>
    <xf borderId="14" fillId="0" fontId="5" numFmtId="0" xfId="0" applyAlignment="1" applyBorder="1" applyFont="1">
      <alignment readingOrder="0" shrinkToFit="0" vertical="bottom" wrapText="1"/>
    </xf>
    <xf borderId="14" fillId="0" fontId="5" numFmtId="0" xfId="0" applyAlignment="1" applyBorder="1" applyFont="1">
      <alignment vertical="bottom"/>
    </xf>
    <xf borderId="14" fillId="0" fontId="5" numFmtId="0" xfId="0" applyAlignment="1" applyBorder="1" applyFont="1">
      <alignment shrinkToFit="0" vertical="bottom" wrapText="0"/>
    </xf>
    <xf borderId="14" fillId="0" fontId="76" numFmtId="0" xfId="0" applyAlignment="1" applyBorder="1" applyFont="1">
      <alignment readingOrder="0" shrinkToFit="0" vertical="bottom" wrapText="0"/>
    </xf>
    <xf borderId="14" fillId="0" fontId="10" numFmtId="0" xfId="0" applyAlignment="1" applyBorder="1" applyFont="1">
      <alignment shrinkToFit="0" vertical="bottom" wrapText="0"/>
    </xf>
    <xf borderId="14" fillId="0" fontId="5" numFmtId="0" xfId="0" applyAlignment="1" applyBorder="1" applyFont="1">
      <alignment vertical="bottom"/>
    </xf>
    <xf borderId="14" fillId="0" fontId="0" numFmtId="0" xfId="0" applyAlignment="1" applyBorder="1" applyFont="1">
      <alignment shrinkToFit="0" wrapText="0"/>
    </xf>
    <xf borderId="6" fillId="0" fontId="77" numFmtId="0" xfId="0" applyAlignment="1" applyBorder="1" applyFont="1">
      <alignment readingOrder="0" shrinkToFit="0" vertical="bottom" wrapText="0"/>
    </xf>
    <xf borderId="6" fillId="4" fontId="14" numFmtId="0" xfId="0" applyAlignment="1" applyBorder="1" applyFont="1">
      <alignment readingOrder="0"/>
    </xf>
    <xf borderId="6" fillId="0" fontId="5" numFmtId="0" xfId="0" applyAlignment="1" applyBorder="1" applyFont="1">
      <alignment shrinkToFit="0" vertical="bottom" wrapText="1"/>
    </xf>
    <xf borderId="6" fillId="0" fontId="5" numFmtId="0" xfId="0" applyAlignment="1" applyBorder="1" applyFont="1">
      <alignment shrinkToFit="0" vertical="bottom" wrapText="0"/>
    </xf>
    <xf borderId="6" fillId="0" fontId="5" numFmtId="0" xfId="0" applyAlignment="1" applyBorder="1" applyFont="1">
      <alignment shrinkToFit="0" vertical="bottom" wrapText="0"/>
    </xf>
    <xf borderId="6" fillId="0" fontId="2" numFmtId="0" xfId="0" applyAlignment="1" applyBorder="1" applyFont="1">
      <alignment horizontal="center" readingOrder="0"/>
    </xf>
    <xf borderId="6" fillId="0" fontId="2" numFmtId="0" xfId="0" applyAlignment="1" applyBorder="1" applyFont="1">
      <alignment shrinkToFit="0" wrapText="1"/>
    </xf>
    <xf borderId="6" fillId="0" fontId="2" numFmtId="0" xfId="0" applyAlignment="1" applyBorder="1" applyFont="1">
      <alignment shrinkToFit="0" wrapText="0"/>
    </xf>
    <xf borderId="6" fillId="0" fontId="5" numFmtId="0" xfId="0" applyAlignment="1" applyBorder="1" applyFont="1">
      <alignment shrinkToFit="0" vertical="bottom" wrapText="1"/>
    </xf>
    <xf borderId="6" fillId="0" fontId="5" numFmtId="0" xfId="0" applyAlignment="1" applyBorder="1" applyFont="1">
      <alignment shrinkToFit="0" vertical="bottom" wrapText="0"/>
    </xf>
    <xf borderId="6" fillId="0" fontId="10" numFmtId="0" xfId="0" applyAlignment="1" applyBorder="1" applyFont="1">
      <alignment shrinkToFit="0" vertical="bottom" wrapText="0"/>
    </xf>
    <xf borderId="6" fillId="0" fontId="5" numFmtId="0" xfId="0" applyAlignment="1" applyBorder="1" applyFont="1">
      <alignment readingOrder="0" shrinkToFit="0" vertical="bottom" wrapText="0"/>
    </xf>
    <xf borderId="6" fillId="0" fontId="10" numFmtId="0" xfId="0" applyAlignment="1" applyBorder="1" applyFont="1">
      <alignment readingOrder="0" shrinkToFit="0" vertical="bottom" wrapText="0"/>
    </xf>
    <xf borderId="6" fillId="0" fontId="2" numFmtId="0" xfId="0" applyAlignment="1" applyBorder="1" applyFont="1">
      <alignment readingOrder="0"/>
    </xf>
    <xf borderId="6" fillId="0" fontId="7" numFmtId="0" xfId="0" applyAlignment="1" applyBorder="1" applyFont="1">
      <alignment horizontal="center" readingOrder="0"/>
    </xf>
    <xf borderId="6" fillId="0" fontId="7" numFmtId="0" xfId="0" applyAlignment="1" applyBorder="1" applyFont="1">
      <alignment readingOrder="0" shrinkToFit="0" wrapText="1"/>
    </xf>
    <xf borderId="6" fillId="0" fontId="2" numFmtId="0" xfId="0" applyAlignment="1" applyBorder="1" applyFont="1">
      <alignment readingOrder="0" shrinkToFit="0" wrapText="0"/>
    </xf>
    <xf borderId="6" fillId="0" fontId="7" numFmtId="0" xfId="0" applyAlignment="1" applyBorder="1" applyFont="1">
      <alignment readingOrder="0" shrinkToFit="0" wrapText="0"/>
    </xf>
    <xf borderId="6" fillId="0" fontId="5" numFmtId="0" xfId="0" applyAlignment="1" applyBorder="1" applyFont="1">
      <alignment horizontal="center" vertical="top"/>
    </xf>
    <xf borderId="6" fillId="0" fontId="3" numFmtId="0" xfId="0" applyAlignment="1" applyBorder="1" applyFont="1">
      <alignment horizontal="left" shrinkToFit="0" wrapText="1"/>
    </xf>
    <xf borderId="6" fillId="0" fontId="78" numFmtId="0" xfId="0" applyAlignment="1" applyBorder="1" applyFont="1">
      <alignment shrinkToFit="0" vertical="bottom" wrapText="0"/>
    </xf>
    <xf borderId="6" fillId="0" fontId="5" numFmtId="0" xfId="0" applyAlignment="1" applyBorder="1" applyFont="1">
      <alignment shrinkToFit="0" vertical="bottom" wrapText="0"/>
    </xf>
    <xf borderId="6" fillId="0" fontId="7" numFmtId="0" xfId="0" applyAlignment="1" applyBorder="1" applyFont="1">
      <alignment horizontal="center"/>
    </xf>
    <xf borderId="0" fillId="2" fontId="6" numFmtId="0" xfId="0" applyAlignment="1" applyFont="1">
      <alignment horizontal="center" readingOrder="0" shrinkToFit="0" wrapText="0"/>
    </xf>
    <xf borderId="0" fillId="0" fontId="7" numFmtId="0" xfId="0" applyAlignment="1" applyFont="1">
      <alignment shrinkToFit="0" wrapText="0"/>
    </xf>
    <xf borderId="0" fillId="3" fontId="6" numFmtId="0" xfId="0" applyAlignment="1" applyFont="1">
      <alignment readingOrder="0" shrinkToFit="0" wrapText="0"/>
    </xf>
    <xf borderId="8" fillId="0" fontId="5" numFmtId="0" xfId="0" applyAlignment="1" applyBorder="1" applyFont="1">
      <alignment readingOrder="0" shrinkToFit="0" vertical="bottom" wrapText="0"/>
    </xf>
    <xf borderId="8" fillId="0" fontId="10" numFmtId="0" xfId="0" applyAlignment="1" applyBorder="1" applyFont="1">
      <alignment readingOrder="0" shrinkToFit="0" vertical="bottom" wrapText="0"/>
    </xf>
    <xf borderId="8" fillId="0" fontId="79" numFmtId="0" xfId="0" applyAlignment="1" applyBorder="1" applyFont="1">
      <alignment shrinkToFit="0" vertical="bottom" wrapText="0"/>
    </xf>
    <xf borderId="8" fillId="0" fontId="10" numFmtId="0" xfId="0" applyAlignment="1" applyBorder="1" applyFont="1">
      <alignment shrinkToFit="0" vertical="bottom" wrapText="0"/>
    </xf>
    <xf borderId="8" fillId="0" fontId="5" numFmtId="0" xfId="0" applyAlignment="1" applyBorder="1" applyFont="1">
      <alignment vertical="bottom"/>
    </xf>
    <xf borderId="8" fillId="0" fontId="0" numFmtId="0" xfId="0" applyAlignment="1" applyBorder="1" applyFont="1">
      <alignment shrinkToFit="0" wrapText="0"/>
    </xf>
    <xf borderId="0" fillId="4" fontId="5" numFmtId="0" xfId="0" applyAlignment="1" applyFont="1">
      <alignment readingOrder="0" shrinkToFit="0" vertical="bottom" wrapText="0"/>
    </xf>
    <xf borderId="0" fillId="4" fontId="5" numFmtId="0" xfId="0" applyAlignment="1" applyFont="1">
      <alignment readingOrder="0" shrinkToFit="0" vertical="bottom" wrapText="1"/>
    </xf>
    <xf borderId="0" fillId="4" fontId="80" numFmtId="0" xfId="0" applyAlignment="1" applyFont="1">
      <alignment readingOrder="0" shrinkToFit="0" vertical="bottom" wrapText="0"/>
    </xf>
    <xf borderId="0" fillId="4" fontId="2" numFmtId="0" xfId="0" applyFont="1"/>
    <xf borderId="0" fillId="4" fontId="0" numFmtId="0" xfId="0" applyAlignment="1" applyFont="1">
      <alignment shrinkToFit="0" wrapText="0"/>
    </xf>
    <xf borderId="0" fillId="4" fontId="7" numFmtId="0" xfId="0" applyAlignment="1" applyFont="1">
      <alignment readingOrder="0" shrinkToFit="0" wrapText="0"/>
    </xf>
    <xf borderId="8" fillId="4" fontId="5" numFmtId="0" xfId="0" applyAlignment="1" applyBorder="1" applyFont="1">
      <alignment readingOrder="0" shrinkToFit="0" vertical="bottom" wrapText="0"/>
    </xf>
    <xf borderId="8" fillId="4" fontId="7" numFmtId="0" xfId="0" applyAlignment="1" applyBorder="1" applyFont="1">
      <alignment readingOrder="0"/>
    </xf>
    <xf borderId="8" fillId="4" fontId="2" numFmtId="0" xfId="0" applyAlignment="1" applyBorder="1" applyFont="1">
      <alignment readingOrder="0" shrinkToFit="0" wrapText="0"/>
    </xf>
    <xf borderId="8" fillId="0" fontId="2" numFmtId="0" xfId="0" applyBorder="1" applyFont="1"/>
    <xf borderId="8" fillId="4" fontId="0" numFmtId="0" xfId="0" applyAlignment="1" applyBorder="1" applyFont="1">
      <alignment shrinkToFit="0" wrapText="0"/>
    </xf>
    <xf borderId="8" fillId="4" fontId="7" numFmtId="0" xfId="0" applyBorder="1" applyFont="1"/>
    <xf borderId="8" fillId="0" fontId="7" numFmtId="0" xfId="0" applyAlignment="1" applyBorder="1" applyFont="1">
      <alignment readingOrder="0"/>
    </xf>
    <xf borderId="8" fillId="0" fontId="5" numFmtId="0" xfId="0" applyAlignment="1" applyBorder="1" applyFont="1">
      <alignment readingOrder="0" vertical="bottom"/>
    </xf>
    <xf borderId="8" fillId="0" fontId="5" numFmtId="0" xfId="0" applyAlignment="1" applyBorder="1" applyFont="1">
      <alignment vertical="bottom"/>
    </xf>
    <xf borderId="0" fillId="4" fontId="52" numFmtId="0" xfId="0" applyAlignment="1" applyFont="1">
      <alignment readingOrder="0" vertical="bottom"/>
    </xf>
    <xf borderId="8" fillId="0" fontId="81" numFmtId="0" xfId="0" applyAlignment="1" applyBorder="1" applyFont="1">
      <alignment readingOrder="0" vertical="bottom"/>
    </xf>
    <xf borderId="8" fillId="0" fontId="2" numFmtId="0" xfId="0" applyAlignment="1" applyBorder="1" applyFont="1">
      <alignment readingOrder="0"/>
    </xf>
    <xf borderId="8" fillId="0" fontId="2" numFmtId="0" xfId="0" applyBorder="1" applyFont="1"/>
    <xf borderId="8" fillId="0" fontId="7" numFmtId="0" xfId="0" applyBorder="1" applyFont="1"/>
    <xf borderId="8" fillId="0" fontId="10" numFmtId="0" xfId="0" applyAlignment="1" applyBorder="1" applyFont="1">
      <alignment readingOrder="0" vertical="bottom"/>
    </xf>
    <xf borderId="0" fillId="4" fontId="5" numFmtId="0" xfId="0" applyAlignment="1" applyFont="1">
      <alignment readingOrder="0" vertical="bottom"/>
    </xf>
    <xf borderId="8" fillId="0" fontId="82" numFmtId="0" xfId="0" applyAlignment="1" applyBorder="1" applyFont="1">
      <alignment shrinkToFit="0" vertical="bottom" wrapText="0"/>
    </xf>
    <xf borderId="0" fillId="0" fontId="23" numFmtId="0" xfId="0" applyAlignment="1" applyFont="1">
      <alignment readingOrder="0" vertical="bottom"/>
    </xf>
    <xf borderId="8" fillId="0" fontId="83" numFmtId="0" xfId="0" applyAlignment="1" applyBorder="1" applyFont="1">
      <alignment readingOrder="0" shrinkToFit="0" vertical="bottom" wrapText="0"/>
    </xf>
    <xf borderId="11" fillId="0" fontId="5" numFmtId="0" xfId="0" applyAlignment="1" applyBorder="1" applyFont="1">
      <alignment readingOrder="0" vertical="bottom"/>
    </xf>
    <xf borderId="11" fillId="0" fontId="10" numFmtId="0" xfId="0" applyAlignment="1" applyBorder="1" applyFont="1">
      <alignment readingOrder="0" vertical="bottom"/>
    </xf>
    <xf borderId="11" fillId="0" fontId="84" numFmtId="0" xfId="0" applyAlignment="1" applyBorder="1" applyFont="1">
      <alignment readingOrder="0" shrinkToFit="0" vertical="bottom" wrapText="0"/>
    </xf>
    <xf borderId="11" fillId="0" fontId="5" numFmtId="0" xfId="0" applyAlignment="1" applyBorder="1" applyFont="1">
      <alignment vertical="bottom"/>
    </xf>
    <xf borderId="8" fillId="0" fontId="5" numFmtId="0" xfId="0" applyAlignment="1" applyBorder="1" applyFont="1">
      <alignment shrinkToFit="0" vertical="bottom" wrapText="0"/>
    </xf>
    <xf borderId="8" fillId="0" fontId="7" numFmtId="0" xfId="0" applyAlignment="1" applyBorder="1" applyFont="1">
      <alignment shrinkToFit="0" wrapText="0"/>
    </xf>
    <xf borderId="16" fillId="0" fontId="5" numFmtId="0" xfId="0" applyAlignment="1" applyBorder="1" applyFont="1">
      <alignment readingOrder="0" vertical="bottom"/>
    </xf>
    <xf borderId="16" fillId="0" fontId="5" numFmtId="0" xfId="0" applyAlignment="1" applyBorder="1" applyFont="1">
      <alignment vertical="bottom"/>
    </xf>
    <xf borderId="8" fillId="0" fontId="85" numFmtId="0" xfId="0" applyAlignment="1" applyBorder="1" applyFont="1">
      <alignment readingOrder="0" shrinkToFit="0" wrapText="0"/>
    </xf>
    <xf borderId="0" fillId="0" fontId="86" numFmtId="0" xfId="0" applyAlignment="1" applyFont="1">
      <alignment horizontal="left" readingOrder="0" shrinkToFit="0" vertical="center" wrapText="1"/>
    </xf>
    <xf borderId="0" fillId="0" fontId="87" numFmtId="0" xfId="0" applyAlignment="1" applyFont="1">
      <alignment shrinkToFit="0" wrapText="0"/>
    </xf>
    <xf borderId="5" fillId="3" fontId="6" numFmtId="0" xfId="0" applyAlignment="1" applyBorder="1" applyFont="1">
      <alignment readingOrder="0" shrinkToFit="0" wrapText="0"/>
    </xf>
    <xf borderId="0" fillId="0" fontId="2" numFmtId="0" xfId="0" applyAlignment="1" applyFont="1">
      <alignment horizontal="left" readingOrder="0" vertical="bottom"/>
    </xf>
    <xf borderId="0" fillId="4" fontId="88" numFmtId="0" xfId="0" applyAlignment="1" applyFont="1">
      <alignment horizontal="left" readingOrder="0" vertical="bottom"/>
    </xf>
    <xf borderId="0" fillId="0" fontId="5" numFmtId="0" xfId="0" applyAlignment="1" applyFont="1">
      <alignment readingOrder="0" shrinkToFit="0" vertical="bottom" wrapText="0"/>
    </xf>
    <xf borderId="0" fillId="0" fontId="89" numFmtId="0" xfId="0" applyAlignment="1" applyFont="1">
      <alignment readingOrder="0" shrinkToFit="0" vertical="bottom" wrapText="0"/>
    </xf>
    <xf borderId="0" fillId="0" fontId="5" numFmtId="0" xfId="0" applyAlignment="1" applyFont="1">
      <alignment readingOrder="0" shrinkToFit="0" vertical="top" wrapText="1"/>
    </xf>
    <xf borderId="0" fillId="0" fontId="5" numFmtId="0" xfId="0" applyAlignment="1" applyFont="1">
      <alignment readingOrder="0" shrinkToFit="0" vertical="bottom" wrapText="0"/>
    </xf>
    <xf borderId="0" fillId="0" fontId="39" numFmtId="0" xfId="0" applyAlignment="1" applyFont="1">
      <alignment readingOrder="0" shrinkToFit="0" vertical="bottom" wrapText="0"/>
    </xf>
    <xf borderId="0" fillId="0" fontId="2" numFmtId="0" xfId="0" applyAlignment="1" applyFont="1">
      <alignment readingOrder="0" shrinkToFit="0" wrapText="0"/>
    </xf>
    <xf borderId="0" fillId="0" fontId="5" numFmtId="0" xfId="0" applyAlignment="1" applyFont="1">
      <alignment readingOrder="0" shrinkToFit="0" vertical="center" wrapText="0"/>
    </xf>
    <xf borderId="0" fillId="0" fontId="5" numFmtId="0" xfId="0" applyAlignment="1" applyFont="1">
      <alignment horizontal="left" readingOrder="0" vertical="center"/>
    </xf>
    <xf borderId="0" fillId="4" fontId="10" numFmtId="0" xfId="0" applyAlignment="1" applyFont="1">
      <alignment readingOrder="0" vertical="center"/>
    </xf>
    <xf borderId="0" fillId="0" fontId="5" numFmtId="0" xfId="0" applyAlignment="1" applyFont="1">
      <alignment shrinkToFit="0" vertical="bottom" wrapText="0"/>
    </xf>
    <xf borderId="0" fillId="0" fontId="14" numFmtId="0" xfId="0" applyAlignment="1" applyFont="1">
      <alignment readingOrder="0" shrinkToFit="0" vertical="bottom" wrapText="1"/>
    </xf>
    <xf borderId="0" fillId="4" fontId="26" numFmtId="0" xfId="0" applyAlignment="1" applyFont="1">
      <alignment readingOrder="0" shrinkToFit="0" vertical="center" wrapText="1"/>
    </xf>
    <xf borderId="0" fillId="0" fontId="10" numFmtId="0" xfId="0" applyAlignment="1" applyFont="1">
      <alignment readingOrder="0" shrinkToFit="0" vertical="bottom" wrapText="1"/>
    </xf>
    <xf borderId="0" fillId="4" fontId="10" numFmtId="0" xfId="0" applyAlignment="1" applyFont="1">
      <alignment horizontal="left" readingOrder="0" shrinkToFit="0" vertical="top" wrapText="1"/>
    </xf>
    <xf borderId="0" fillId="4" fontId="10" numFmtId="0" xfId="0" applyAlignment="1" applyFont="1">
      <alignment readingOrder="0" shrinkToFit="0" wrapText="1"/>
    </xf>
    <xf borderId="0" fillId="0" fontId="5" numFmtId="0" xfId="0" applyAlignment="1" applyFont="1">
      <alignment horizontal="right" vertical="bottom"/>
    </xf>
    <xf borderId="0" fillId="0" fontId="5" numFmtId="0" xfId="0" applyAlignment="1" applyFont="1">
      <alignment shrinkToFit="0" vertical="bottom" wrapText="1"/>
    </xf>
    <xf borderId="0" fillId="0" fontId="90" numFmtId="0" xfId="0" applyAlignment="1" applyFont="1">
      <alignment shrinkToFit="0" vertical="bottom" wrapText="0"/>
    </xf>
    <xf borderId="0" fillId="0" fontId="91" numFmtId="0" xfId="0" applyAlignment="1" applyFont="1">
      <alignment shrinkToFit="0" vertical="bottom" wrapText="0"/>
    </xf>
    <xf borderId="0" fillId="0" fontId="2" numFmtId="0" xfId="0" applyAlignment="1" applyFont="1">
      <alignment shrinkToFit="0" wrapText="0"/>
    </xf>
    <xf borderId="0" fillId="0" fontId="92" numFmtId="0" xfId="0" applyAlignment="1" applyFont="1">
      <alignment shrinkToFit="0" wrapText="0"/>
    </xf>
    <xf borderId="0" fillId="0" fontId="5" numFmtId="0" xfId="0" applyAlignment="1" applyFont="1">
      <alignment horizontal="left" readingOrder="0" vertical="top"/>
    </xf>
    <xf borderId="0" fillId="0" fontId="5" numFmtId="0" xfId="0" applyAlignment="1" applyFont="1">
      <alignment horizontal="left" vertical="top"/>
    </xf>
    <xf borderId="0" fillId="0" fontId="2" numFmtId="0" xfId="0" applyAlignment="1" applyFont="1">
      <alignment horizontal="center" readingOrder="0" shrinkToFit="0" vertical="center" wrapText="1"/>
    </xf>
    <xf borderId="18" fillId="0" fontId="5" numFmtId="0" xfId="0" applyAlignment="1" applyBorder="1" applyFont="1">
      <alignment horizontal="center" readingOrder="0" shrinkToFit="0" vertical="center" wrapText="0"/>
    </xf>
    <xf borderId="19" fillId="0" fontId="2" numFmtId="0" xfId="0" applyBorder="1" applyFont="1"/>
    <xf borderId="18" fillId="0" fontId="5" numFmtId="0" xfId="0" applyAlignment="1" applyBorder="1" applyFont="1">
      <alignment horizontal="center" readingOrder="0" shrinkToFit="0" vertical="center" wrapText="1"/>
    </xf>
    <xf borderId="20" fillId="0" fontId="2" numFmtId="0" xfId="0" applyBorder="1" applyFont="1"/>
    <xf borderId="20" fillId="0" fontId="5" numFmtId="0" xfId="0" applyAlignment="1" applyBorder="1" applyFont="1">
      <alignment horizontal="center" readingOrder="0" shrinkToFit="0" vertical="center" wrapText="1"/>
    </xf>
    <xf borderId="0" fillId="4" fontId="93" numFmtId="0" xfId="0" applyAlignment="1" applyFont="1">
      <alignment readingOrder="0" shrinkToFit="0" vertical="bottom" wrapText="1"/>
    </xf>
    <xf borderId="7" fillId="0" fontId="5" numFmtId="0" xfId="0" applyAlignment="1" applyBorder="1" applyFont="1">
      <alignment readingOrder="0" vertical="bottom"/>
    </xf>
    <xf borderId="7" fillId="0" fontId="94" numFmtId="0" xfId="0" applyAlignment="1" applyBorder="1" applyFont="1">
      <alignment readingOrder="0" vertical="bottom"/>
    </xf>
    <xf borderId="21" fillId="0" fontId="2" numFmtId="0" xfId="0" applyBorder="1" applyFont="1"/>
    <xf borderId="0" fillId="0" fontId="5" numFmtId="0" xfId="0" applyAlignment="1" applyFont="1">
      <alignment horizontal="center" shrinkToFit="0" vertical="center" wrapText="1"/>
    </xf>
    <xf borderId="0" fillId="4" fontId="10" numFmtId="0" xfId="0" applyAlignment="1" applyFont="1">
      <alignment horizontal="center" readingOrder="0" vertical="center"/>
    </xf>
    <xf borderId="0" fillId="0" fontId="5" numFmtId="0" xfId="0" applyAlignment="1" applyFont="1">
      <alignment horizontal="center" vertical="center"/>
    </xf>
    <xf borderId="0" fillId="4" fontId="10" numFmtId="0" xfId="0" applyAlignment="1" applyFont="1">
      <alignment horizontal="center" vertical="center"/>
    </xf>
    <xf borderId="0" fillId="4" fontId="10" numFmtId="0" xfId="0" applyAlignment="1" applyFont="1">
      <alignment horizontal="center" vertical="center"/>
    </xf>
    <xf borderId="0" fillId="0" fontId="7" numFmtId="0" xfId="0" applyAlignment="1" applyFont="1">
      <alignment horizontal="center" readingOrder="0"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5" fillId="3" fontId="28" numFmtId="0" xfId="0" applyAlignment="1" applyBorder="1" applyFont="1">
      <alignment readingOrder="0" shrinkToFit="0" wrapText="0"/>
    </xf>
    <xf borderId="22" fillId="0" fontId="5" numFmtId="0" xfId="0" applyAlignment="1" applyBorder="1" applyFont="1">
      <alignment readingOrder="0" vertical="bottom"/>
    </xf>
    <xf borderId="22" fillId="0" fontId="5" numFmtId="0" xfId="0" applyAlignment="1" applyBorder="1" applyFont="1">
      <alignment readingOrder="0" shrinkToFit="0" vertical="top" wrapText="1"/>
    </xf>
    <xf borderId="23" fillId="0" fontId="5" numFmtId="0" xfId="0" applyAlignment="1" applyBorder="1" applyFont="1">
      <alignment readingOrder="0" vertical="bottom"/>
    </xf>
    <xf borderId="24" fillId="0" fontId="2" numFmtId="0" xfId="0" applyBorder="1" applyFont="1"/>
    <xf borderId="25" fillId="0" fontId="2" numFmtId="0" xfId="0" applyBorder="1" applyFont="1"/>
    <xf borderId="0" fillId="4" fontId="10" numFmtId="0" xfId="0" applyAlignment="1" applyFont="1">
      <alignment horizontal="left" shrinkToFit="0" vertical="bottom" wrapText="1"/>
    </xf>
    <xf borderId="0" fillId="4" fontId="10" numFmtId="0" xfId="0" applyAlignment="1" applyFont="1">
      <alignment horizontal="left" shrinkToFit="0" vertical="bottom" wrapText="1"/>
    </xf>
    <xf borderId="0" fillId="0" fontId="2" numFmtId="0" xfId="0" applyAlignment="1" applyFont="1">
      <alignment shrinkToFit="0" wrapText="1"/>
    </xf>
    <xf borderId="0" fillId="0" fontId="3" numFmtId="0" xfId="0" applyAlignment="1" applyFont="1">
      <alignment horizontal="left" shrinkToFit="0" wrapText="1"/>
    </xf>
    <xf borderId="0" fillId="4" fontId="31" numFmtId="0" xfId="0" applyAlignment="1" applyFont="1">
      <alignment readingOrder="0"/>
    </xf>
    <xf borderId="0" fillId="4" fontId="10" numFmtId="0" xfId="0" applyAlignment="1" applyFont="1">
      <alignment horizontal="center" readingOrder="0" shrinkToFit="0" vertical="top" wrapText="1"/>
    </xf>
    <xf borderId="0" fillId="0" fontId="95" numFmtId="0" xfId="0" applyAlignment="1" applyFont="1">
      <alignment horizontal="center" readingOrder="0" vertical="center"/>
    </xf>
    <xf borderId="0" fillId="0" fontId="96" numFmtId="0" xfId="0" applyAlignment="1" applyFont="1">
      <alignment shrinkToFit="0" vertical="bottom" wrapText="1"/>
    </xf>
    <xf borderId="0" fillId="0" fontId="10" numFmtId="0" xfId="0" applyAlignment="1" applyFont="1">
      <alignment shrinkToFit="0" vertical="bottom" wrapText="1"/>
    </xf>
    <xf borderId="0" fillId="0" fontId="97" numFmtId="0" xfId="0" applyAlignment="1" applyFont="1">
      <alignment readingOrder="0" shrinkToFit="0" wrapText="1"/>
    </xf>
    <xf borderId="0" fillId="0" fontId="5" numFmtId="0" xfId="0" applyAlignment="1" applyFont="1">
      <alignment horizontal="right" shrinkToFit="0" vertical="bottom" wrapText="1"/>
    </xf>
    <xf borderId="0" fillId="2" fontId="6" numFmtId="0" xfId="0" applyAlignment="1" applyFont="1">
      <alignment horizontal="center" shrinkToFit="0" vertical="center" wrapText="1"/>
    </xf>
    <xf borderId="0" fillId="3" fontId="6" numFmtId="0" xfId="0" applyAlignment="1" applyFont="1">
      <alignment readingOrder="0" shrinkToFit="0" vertical="center" wrapText="1"/>
    </xf>
    <xf borderId="0" fillId="3" fontId="6" numFmtId="0" xfId="0" applyAlignment="1" applyFont="1">
      <alignment readingOrder="0" shrinkToFit="0" vertical="center" wrapText="0"/>
    </xf>
    <xf borderId="0" fillId="0" fontId="98" numFmtId="0" xfId="0" applyAlignment="1" applyFont="1">
      <alignment readingOrder="0" shrinkToFit="0" vertical="center" wrapText="0"/>
    </xf>
    <xf borderId="0" fillId="0" fontId="0" numFmtId="0" xfId="0" applyAlignment="1" applyFont="1">
      <alignment shrinkToFit="0" vertical="center" wrapText="1"/>
    </xf>
    <xf borderId="0" fillId="0" fontId="5" numFmtId="0" xfId="0" applyAlignment="1" applyFont="1">
      <alignment shrinkToFit="0" vertical="center" wrapText="1"/>
    </xf>
    <xf borderId="0" fillId="0" fontId="99" numFmtId="0" xfId="0" applyAlignment="1" applyFont="1">
      <alignment shrinkToFit="0" vertical="center" wrapText="0"/>
    </xf>
    <xf borderId="0" fillId="0" fontId="5" numFmtId="0" xfId="0" applyAlignment="1" applyFont="1">
      <alignment shrinkToFit="0" vertical="center" wrapText="0"/>
    </xf>
    <xf borderId="0" fillId="0" fontId="10" numFmtId="0" xfId="0" applyAlignment="1" applyFont="1">
      <alignment readingOrder="0" shrinkToFit="0" vertical="center" wrapText="0"/>
    </xf>
    <xf borderId="0" fillId="0" fontId="10" numFmtId="0" xfId="0" applyAlignment="1" applyFont="1">
      <alignment readingOrder="0" shrinkToFit="0" vertical="center" wrapText="1"/>
    </xf>
    <xf borderId="0" fillId="0" fontId="100" numFmtId="0" xfId="0" applyAlignment="1" applyFont="1">
      <alignment readingOrder="0" shrinkToFit="0" vertical="center" wrapText="0"/>
    </xf>
    <xf borderId="0" fillId="0" fontId="101" numFmtId="0" xfId="0" applyAlignment="1" applyFont="1">
      <alignment shrinkToFit="0" vertical="center" wrapText="0"/>
    </xf>
    <xf borderId="0" fillId="4" fontId="102" numFmtId="0" xfId="0" applyAlignment="1" applyFont="1">
      <alignment readingOrder="0"/>
    </xf>
    <xf borderId="0" fillId="0" fontId="10" numFmtId="0" xfId="0" applyAlignment="1" applyFont="1">
      <alignment shrinkToFit="0" vertical="center" wrapText="1"/>
    </xf>
    <xf borderId="7" fillId="0" fontId="23" numFmtId="0" xfId="0" applyAlignment="1" applyBorder="1" applyFont="1">
      <alignment readingOrder="0" shrinkToFit="0" wrapText="1"/>
    </xf>
    <xf borderId="0" fillId="0" fontId="23" numFmtId="0" xfId="0" applyAlignment="1" applyFont="1">
      <alignment readingOrder="0" shrinkToFit="0" vertical="center" wrapText="1"/>
    </xf>
    <xf borderId="0" fillId="0" fontId="23" numFmtId="0" xfId="0" applyAlignment="1" applyFont="1">
      <alignment readingOrder="0" shrinkToFit="0" wrapText="1"/>
    </xf>
    <xf borderId="0" fillId="0" fontId="2" numFmtId="0" xfId="0" applyAlignment="1" applyFont="1">
      <alignment horizontal="left" vertical="bottom"/>
    </xf>
    <xf borderId="0" fillId="0" fontId="103" numFmtId="0" xfId="0" applyAlignment="1" applyFont="1">
      <alignment horizontal="left" readingOrder="0" vertical="bottom"/>
    </xf>
    <xf borderId="0" fillId="0" fontId="7" numFmtId="0" xfId="0" applyAlignment="1" applyFont="1">
      <alignment shrinkToFit="0" vertical="center" wrapText="0"/>
    </xf>
    <xf borderId="0" fillId="0" fontId="104" numFmtId="0" xfId="0" applyAlignment="1" applyFont="1">
      <alignment readingOrder="0" shrinkToFit="0" vertical="center" wrapText="0"/>
    </xf>
    <xf borderId="0" fillId="0" fontId="7" numFmtId="0" xfId="0" applyAlignment="1" applyFont="1">
      <alignment readingOrder="0" shrinkToFit="0" vertical="center" wrapText="0"/>
    </xf>
    <xf borderId="4" fillId="3" fontId="6" numFmtId="0" xfId="0" applyAlignment="1" applyBorder="1" applyFont="1">
      <alignment readingOrder="0" shrinkToFit="0" wrapText="1"/>
    </xf>
    <xf borderId="4" fillId="3" fontId="6" numFmtId="0" xfId="0" applyAlignment="1" applyBorder="1" applyFont="1">
      <alignment readingOrder="0" shrinkToFit="0" wrapText="0"/>
    </xf>
    <xf borderId="0" fillId="3" fontId="28" numFmtId="0" xfId="0" applyAlignment="1" applyFont="1">
      <alignment readingOrder="0" shrinkToFit="0" wrapText="1"/>
    </xf>
    <xf borderId="20" fillId="0" fontId="5" numFmtId="0" xfId="0" applyAlignment="1" applyBorder="1" applyFont="1">
      <alignment readingOrder="0" shrinkToFit="0" vertical="bottom" wrapText="0"/>
    </xf>
    <xf borderId="20" fillId="0" fontId="5" numFmtId="0" xfId="0" applyAlignment="1" applyBorder="1" applyFont="1">
      <alignment horizontal="left" readingOrder="0" shrinkToFit="0" vertical="center" wrapText="1"/>
    </xf>
    <xf borderId="20" fillId="0" fontId="5"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0"/>
    </xf>
    <xf borderId="0" fillId="4"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2" numFmtId="0" xfId="0" applyAlignment="1" applyFont="1">
      <alignment horizontal="left" readingOrder="0" vertical="center"/>
    </xf>
    <xf borderId="0" fillId="0" fontId="2" numFmtId="0" xfId="0" applyAlignment="1" applyFont="1">
      <alignment horizontal="left" vertical="center"/>
    </xf>
    <xf borderId="0" fillId="0" fontId="2" numFmtId="0" xfId="0" applyAlignment="1" applyFont="1">
      <alignment horizontal="left" vertical="center"/>
    </xf>
    <xf borderId="0" fillId="0" fontId="5" numFmtId="0" xfId="0" applyAlignment="1" applyFont="1">
      <alignment horizontal="left" shrinkToFit="0" vertical="center" wrapText="0"/>
    </xf>
    <xf borderId="0" fillId="0" fontId="105" numFmtId="0" xfId="0" applyAlignment="1" applyFont="1">
      <alignment horizontal="left" readingOrder="0" shrinkToFit="0" vertical="center" wrapText="0"/>
    </xf>
    <xf borderId="0" fillId="0" fontId="7" numFmtId="0" xfId="0" applyAlignment="1" applyFont="1">
      <alignment horizontal="left" readingOrder="0" vertical="center"/>
    </xf>
    <xf borderId="0" fillId="0" fontId="0" numFmtId="0" xfId="0" applyAlignment="1" applyFont="1">
      <alignment horizontal="left" shrinkToFit="0" vertical="center" wrapText="0"/>
    </xf>
    <xf borderId="0" fillId="0" fontId="106" numFmtId="0" xfId="0" applyAlignment="1" applyFont="1">
      <alignment horizontal="left" readingOrder="0" vertical="center"/>
    </xf>
    <xf borderId="0" fillId="0" fontId="107" numFmtId="0" xfId="0" applyAlignment="1" applyFont="1">
      <alignment horizontal="left" readingOrder="0" shrinkToFit="0" vertical="center" wrapText="0"/>
    </xf>
    <xf borderId="0" fillId="0" fontId="0" numFmtId="0" xfId="0" applyAlignment="1" applyFont="1">
      <alignment horizontal="left" readingOrder="0" shrinkToFit="0" vertical="center" wrapText="0"/>
    </xf>
    <xf borderId="0" fillId="4" fontId="10" numFmtId="0" xfId="0" applyAlignment="1" applyFont="1">
      <alignment horizontal="left" readingOrder="0" vertical="center"/>
    </xf>
    <xf borderId="0" fillId="0" fontId="108" numFmtId="0" xfId="0" applyAlignment="1" applyFont="1">
      <alignment horizontal="left" readingOrder="0" vertical="center"/>
    </xf>
    <xf borderId="0" fillId="0" fontId="109" numFmtId="0" xfId="0" applyAlignment="1" applyFont="1">
      <alignment horizontal="left" readingOrder="0" vertical="center"/>
    </xf>
    <xf borderId="0" fillId="0" fontId="5" numFmtId="0" xfId="0" applyAlignment="1" applyFont="1">
      <alignment horizontal="left" vertical="center"/>
    </xf>
    <xf borderId="0" fillId="0" fontId="110" numFmtId="0" xfId="0" applyAlignment="1" applyFont="1">
      <alignment horizontal="left" vertical="center"/>
    </xf>
    <xf borderId="0" fillId="0" fontId="111" numFmtId="0" xfId="0" applyAlignment="1" applyFont="1">
      <alignment horizontal="left" readingOrder="0" vertical="center"/>
    </xf>
    <xf borderId="0" fillId="0" fontId="5" numFmtId="0" xfId="0" applyAlignment="1" applyFont="1">
      <alignment horizontal="left" vertical="center"/>
    </xf>
    <xf borderId="0" fillId="0" fontId="10" numFmtId="0" xfId="0" applyAlignment="1" applyFont="1">
      <alignment horizontal="left" readingOrder="0" shrinkToFit="0" vertical="center" wrapText="0"/>
    </xf>
    <xf borderId="0" fillId="0" fontId="5" numFmtId="0" xfId="0" applyAlignment="1" applyFont="1">
      <alignment horizontal="left" shrinkToFit="0" vertical="center" wrapText="1"/>
    </xf>
    <xf borderId="0" fillId="4" fontId="52" numFmtId="0" xfId="0" applyAlignment="1" applyFont="1">
      <alignment readingOrder="0"/>
    </xf>
    <xf borderId="0" fillId="4" fontId="52" numFmtId="0" xfId="0" applyAlignment="1" applyFont="1">
      <alignment readingOrder="0" shrinkToFit="0" vertical="center" wrapText="1"/>
    </xf>
    <xf borderId="0" fillId="0" fontId="5" numFmtId="0" xfId="0" applyAlignment="1" applyFont="1">
      <alignment shrinkToFit="0" vertical="center" wrapText="0"/>
    </xf>
    <xf borderId="0" fillId="0" fontId="23" numFmtId="0" xfId="0" applyAlignment="1" applyFont="1">
      <alignment shrinkToFit="0" wrapText="1"/>
    </xf>
    <xf borderId="0" fillId="0" fontId="23" numFmtId="0" xfId="0" applyAlignment="1" applyFont="1">
      <alignment shrinkToFit="0" wrapText="1"/>
    </xf>
    <xf borderId="0" fillId="0" fontId="5" numFmtId="0" xfId="0" applyAlignment="1" applyFont="1">
      <alignment vertical="center"/>
    </xf>
    <xf borderId="0" fillId="0" fontId="112" numFmtId="0" xfId="0" applyAlignment="1" applyFont="1">
      <alignment shrinkToFit="0" vertical="bottom" wrapText="0"/>
    </xf>
    <xf borderId="0" fillId="0" fontId="3" numFmtId="0" xfId="0" applyAlignment="1" applyFont="1">
      <alignment readingOrder="0"/>
    </xf>
    <xf borderId="0" fillId="4" fontId="26" numFmtId="0" xfId="0" applyAlignment="1" applyFont="1">
      <alignment readingOrder="0"/>
    </xf>
    <xf borderId="0" fillId="0" fontId="113" numFmtId="0" xfId="0" applyAlignment="1" applyFont="1">
      <alignment readingOrder="0"/>
    </xf>
    <xf borderId="0" fillId="0" fontId="5" numFmtId="0" xfId="0" applyAlignment="1" applyFont="1">
      <alignment horizontal="right" readingOrder="0" shrinkToFit="0" vertical="center" wrapText="1"/>
    </xf>
    <xf borderId="0" fillId="4" fontId="7" numFmtId="0" xfId="0" applyAlignment="1" applyFont="1">
      <alignment horizontal="left" readingOrder="0" shrinkToFit="0" vertical="center" wrapText="1"/>
    </xf>
    <xf borderId="0" fillId="4" fontId="114" numFmtId="0" xfId="0" applyAlignment="1" applyFont="1">
      <alignment readingOrder="0" vertical="bottom"/>
    </xf>
    <xf borderId="0" fillId="4" fontId="10" numFmtId="0" xfId="0" applyAlignment="1" applyFont="1">
      <alignment readingOrder="0" shrinkToFit="0" vertical="bottom" wrapText="0"/>
    </xf>
    <xf borderId="0" fillId="4" fontId="5" numFmtId="0" xfId="0" applyAlignment="1" applyFont="1">
      <alignment vertical="bottom"/>
    </xf>
    <xf borderId="12" fillId="0" fontId="115" numFmtId="0" xfId="0" applyAlignment="1" applyBorder="1" applyFont="1">
      <alignment horizontal="left" readingOrder="0" shrinkToFit="0" vertical="center" wrapText="1"/>
    </xf>
    <xf borderId="0" fillId="0" fontId="54" numFmtId="0" xfId="0" applyAlignment="1" applyFont="1">
      <alignment readingOrder="0"/>
    </xf>
    <xf borderId="0" fillId="0" fontId="5" numFmtId="0" xfId="0" applyAlignment="1" applyFont="1">
      <alignment horizontal="right" shrinkToFit="0" vertical="center" wrapText="1"/>
    </xf>
    <xf borderId="0" fillId="0" fontId="116" numFmtId="0" xfId="0" applyAlignment="1" applyFont="1">
      <alignment shrinkToFit="0" vertical="center" wrapText="1"/>
    </xf>
    <xf borderId="0" fillId="0" fontId="117" numFmtId="0" xfId="0" applyAlignment="1" applyFont="1">
      <alignment shrinkToFit="0" vertical="center" wrapText="1"/>
    </xf>
    <xf borderId="0" fillId="0" fontId="10" numFmtId="0" xfId="0" applyAlignment="1" applyFont="1">
      <alignment shrinkToFit="0" vertical="center" wrapText="1"/>
    </xf>
    <xf borderId="0" fillId="0" fontId="5" numFmtId="0" xfId="0" applyAlignment="1" applyFont="1">
      <alignment horizontal="right" shrinkToFit="0" vertical="center" wrapText="1"/>
    </xf>
    <xf borderId="0" fillId="4" fontId="10" numFmtId="0" xfId="0" applyAlignment="1" applyFont="1">
      <alignment horizontal="left" shrinkToFit="0" vertical="center" wrapText="1"/>
    </xf>
    <xf borderId="0" fillId="4" fontId="14" numFmtId="0" xfId="0" applyAlignment="1" applyFont="1">
      <alignment shrinkToFit="0" vertical="center" wrapText="1"/>
    </xf>
    <xf borderId="0" fillId="0" fontId="118" numFmtId="0" xfId="0" applyAlignment="1" applyFont="1">
      <alignment readingOrder="0" shrinkToFit="0" vertical="center" wrapText="1"/>
    </xf>
    <xf borderId="0" fillId="0" fontId="0" numFmtId="0" xfId="0" applyAlignment="1" applyFont="1">
      <alignment readingOrder="0" shrinkToFit="0" vertical="center" wrapText="1"/>
    </xf>
    <xf borderId="0" fillId="4" fontId="14"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horizontal="left" shrinkToFit="0" vertical="center" wrapText="1"/>
    </xf>
    <xf borderId="0" fillId="0" fontId="119" numFmtId="0" xfId="0" applyAlignment="1" applyFont="1">
      <alignment shrinkToFit="0" vertical="center" wrapText="1"/>
    </xf>
    <xf borderId="0" fillId="2" fontId="6" numFmtId="0" xfId="0" applyAlignment="1" applyFont="1">
      <alignment horizontal="center" shrinkToFit="0" wrapText="1"/>
    </xf>
    <xf borderId="0" fillId="0" fontId="5" numFmtId="0" xfId="0" applyAlignment="1" applyFont="1">
      <alignment horizontal="right" readingOrder="0" shrinkToFit="0" vertical="bottom" wrapText="1"/>
    </xf>
    <xf borderId="0" fillId="4" fontId="10" numFmtId="0" xfId="0" applyAlignment="1" applyFont="1">
      <alignment readingOrder="0"/>
    </xf>
    <xf borderId="0" fillId="0" fontId="5" numFmtId="0" xfId="0" applyFont="1"/>
    <xf borderId="0" fillId="0" fontId="5" numFmtId="0" xfId="0" applyAlignment="1" applyFont="1">
      <alignment readingOrder="0" shrinkToFit="0" wrapText="1"/>
    </xf>
    <xf borderId="0" fillId="0" fontId="120" numFmtId="0" xfId="0" applyAlignment="1" applyFont="1">
      <alignment horizontal="left" readingOrder="0" shrinkToFit="0" wrapText="1"/>
    </xf>
    <xf borderId="0" fillId="0" fontId="115" numFmtId="0" xfId="0" applyAlignment="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s>
  <tableStyles count="7">
    <tableStyle count="2" pivot="0" name="_Modules-style">
      <tableStyleElement dxfId="1" type="firstRowStripe"/>
      <tableStyleElement dxfId="2" type="secondRowStripe"/>
    </tableStyle>
    <tableStyle count="2" pivot="0" name="_Modules-style 2">
      <tableStyleElement dxfId="1" type="firstRowStripe"/>
      <tableStyleElement dxfId="2" type="secondRowStripe"/>
    </tableStyle>
    <tableStyle count="2" pivot="0" name="_Modules-style 3">
      <tableStyleElement dxfId="1" type="firstRowStripe"/>
      <tableStyleElement dxfId="2" type="secondRowStripe"/>
    </tableStyle>
    <tableStyle count="2" pivot="0" name="_Modules-style 4">
      <tableStyleElement dxfId="1" type="firstRowStripe"/>
      <tableStyleElement dxfId="2" type="secondRowStripe"/>
    </tableStyle>
    <tableStyle count="2" pivot="0" name="_Modules-style 5">
      <tableStyleElement dxfId="1" type="firstRowStripe"/>
      <tableStyleElement dxfId="2" type="secondRowStripe"/>
    </tableStyle>
    <tableStyle count="2" pivot="0" name="_Modules-style 6">
      <tableStyleElement dxfId="1" type="firstRowStripe"/>
      <tableStyleElement dxfId="2" type="secondRowStripe"/>
    </tableStyle>
    <tableStyle count="2" pivot="0" name="_Modules-style 7">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330:B424" displayName="Table_1" id="1">
  <tableColumns count="1">
    <tableColumn name="Column1" id="1"/>
  </tableColumns>
  <tableStyleInfo name="_Modules-style" showColumnStripes="0" showFirstColumn="1" showLastColumn="1" showRowStripes="1"/>
</table>
</file>

<file path=xl/tables/table2.xml><?xml version="1.0" encoding="utf-8"?>
<table xmlns="http://schemas.openxmlformats.org/spreadsheetml/2006/main" headerRowCount="0" ref="B161:B166" displayName="Table_2" id="2">
  <tableColumns count="1">
    <tableColumn name="Column1" id="1"/>
  </tableColumns>
  <tableStyleInfo name="_Modules-style 2" showColumnStripes="0" showFirstColumn="1" showLastColumn="1" showRowStripes="1"/>
</table>
</file>

<file path=xl/tables/table3.xml><?xml version="1.0" encoding="utf-8"?>
<table xmlns="http://schemas.openxmlformats.org/spreadsheetml/2006/main" headerRowCount="0" ref="A4:C160" displayName="Table_3" id="3">
  <tableColumns count="3">
    <tableColumn name="Column1" id="1"/>
    <tableColumn name="Column2" id="2"/>
    <tableColumn name="Column3" id="3"/>
  </tableColumns>
  <tableStyleInfo name="_Modules-style 3" showColumnStripes="0" showFirstColumn="1" showLastColumn="1" showRowStripes="1"/>
</table>
</file>

<file path=xl/tables/table4.xml><?xml version="1.0" encoding="utf-8"?>
<table xmlns="http://schemas.openxmlformats.org/spreadsheetml/2006/main" headerRowCount="0" ref="B167:B323" displayName="Table_4" id="4">
  <tableColumns count="1">
    <tableColumn name="Column1" id="1"/>
  </tableColumns>
  <tableStyleInfo name="_Modules-style 4" showColumnStripes="0" showFirstColumn="1" showLastColumn="1" showRowStripes="1"/>
</table>
</file>

<file path=xl/tables/table5.xml><?xml version="1.0" encoding="utf-8"?>
<table xmlns="http://schemas.openxmlformats.org/spreadsheetml/2006/main" headerRowCount="0" ref="C161:C323" displayName="Table_5" id="5">
  <tableColumns count="1">
    <tableColumn name="Column1" id="1"/>
  </tableColumns>
  <tableStyleInfo name="_Modules-style 5" showColumnStripes="0" showFirstColumn="1" showLastColumn="1" showRowStripes="1"/>
</table>
</file>

<file path=xl/tables/table6.xml><?xml version="1.0" encoding="utf-8"?>
<table xmlns="http://schemas.openxmlformats.org/spreadsheetml/2006/main" headerRowCount="0" ref="B324:B329" displayName="Table_6" id="6">
  <tableColumns count="1">
    <tableColumn name="Column1" id="1"/>
  </tableColumns>
  <tableStyleInfo name="_Modules-style 6" showColumnStripes="0" showFirstColumn="1" showLastColumn="1" showRowStripes="1"/>
</table>
</file>

<file path=xl/tables/table7.xml><?xml version="1.0" encoding="utf-8"?>
<table xmlns="http://schemas.openxmlformats.org/spreadsheetml/2006/main" headerRowCount="0" ref="C324:C400" displayName="Table_7" id="7">
  <tableColumns count="1">
    <tableColumn name="Column1" id="1"/>
  </tableColumns>
  <tableStyleInfo name="_Modules-style 7"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CSLGn3XiG8-sB-qFarhYAYAMXevROBp50Dc3GCBcM1s/edit" TargetMode="External"/><Relationship Id="rId10" Type="http://schemas.openxmlformats.org/officeDocument/2006/relationships/hyperlink" Target="https://docs.google.com/spreadsheets/d/1-FK2OPOe10ZWK6zdQUk73zlAKM_4Hs06FOdHBsCK7TA/edit" TargetMode="External"/><Relationship Id="rId13" Type="http://schemas.openxmlformats.org/officeDocument/2006/relationships/hyperlink" Target="https://docs.google.com/spreadsheets/d/1eJp_SzfrTJ7AilTZqSY1_IdBX8l13stncXy_xOj1dTg/edit" TargetMode="External"/><Relationship Id="rId12" Type="http://schemas.openxmlformats.org/officeDocument/2006/relationships/hyperlink" Target="https://docs.google.com/spreadsheets/d/1CSLGn3XiG8-sB-qFarhYAYAMXevROBp50Dc3GCBcM1s/edit" TargetMode="External"/><Relationship Id="rId1" Type="http://schemas.openxmlformats.org/officeDocument/2006/relationships/hyperlink" Target="https://docs.google.com/spreadsheets/d/11N1xVkd0lxlDmoAqx75wGKk-ZGm406_4GLG-ElpVeI8/edit" TargetMode="External"/><Relationship Id="rId2" Type="http://schemas.openxmlformats.org/officeDocument/2006/relationships/hyperlink" Target="https://docs.google.com/spreadsheets/d/11N1xVkd0lxlDmoAqx75wGKk-ZGm406_4GLG-ElpVeI8/edit" TargetMode="External"/><Relationship Id="rId3" Type="http://schemas.openxmlformats.org/officeDocument/2006/relationships/hyperlink" Target="https://docs.google.com/spreadsheets/d/1ffslSxdQ59rVzIO3BKCWUNnvV-VPcHTJ4kWp_KChEKY/edit" TargetMode="External"/><Relationship Id="rId4" Type="http://schemas.openxmlformats.org/officeDocument/2006/relationships/hyperlink" Target="https://docs.google.com/spreadsheets/d/17gl1xvTzNlwHNw-rfNOcMHS8VpMfdTEvdyBu-o1UsAM/edit" TargetMode="External"/><Relationship Id="rId9" Type="http://schemas.openxmlformats.org/officeDocument/2006/relationships/hyperlink" Target="https://docs.google.com/spreadsheets/d/1qpcIwoUhvM3JuSq-FF1dLbpm21J4WTf9HW3c9tiNeu0/edit" TargetMode="External"/><Relationship Id="rId15" Type="http://schemas.openxmlformats.org/officeDocument/2006/relationships/hyperlink" Target="https://docs.google.com/spreadsheets/d/1mlOLk1vzc2GsZ0T43TUDUu-sFT5FPYNv0IiVnCtwD5Q/edit" TargetMode="External"/><Relationship Id="rId14" Type="http://schemas.openxmlformats.org/officeDocument/2006/relationships/hyperlink" Target="https://docs.google.com/spreadsheets/d/1yfAy_GlI0w2IxfN100Xln8vAaInIk98CZQkHSpFWBVw/edit" TargetMode="External"/><Relationship Id="rId17" Type="http://schemas.openxmlformats.org/officeDocument/2006/relationships/drawing" Target="../drawings/drawing2.xml"/><Relationship Id="rId16" Type="http://schemas.openxmlformats.org/officeDocument/2006/relationships/hyperlink" Target="https://docs.google.com/spreadsheets/d/1Dtc8sMU2UVeKXWwAmEkXhlHvYEvNyg4ekcJFHS25tsY/edit" TargetMode="External"/><Relationship Id="rId5" Type="http://schemas.openxmlformats.org/officeDocument/2006/relationships/hyperlink" Target="https://docs.google.com/spreadsheets/d/199QF_5XnFmOjmj4wkei9HGcg58ODat4P24aJ9CLLj7w/edit" TargetMode="External"/><Relationship Id="rId6" Type="http://schemas.openxmlformats.org/officeDocument/2006/relationships/hyperlink" Target="https://docs.google.com/spreadsheets/d/1B-0zKOs-N9bHItZq9YkUH7A1e5A320HxZJSacoc-SpQ/edit" TargetMode="External"/><Relationship Id="rId7" Type="http://schemas.openxmlformats.org/officeDocument/2006/relationships/hyperlink" Target="https://docs.google.com/spreadsheets/d/1CizgH5TjkDXH1tG2N9AEqwPQiCAVFg2BTk_3VYLfgLA/edit" TargetMode="External"/><Relationship Id="rId8" Type="http://schemas.openxmlformats.org/officeDocument/2006/relationships/hyperlink" Target="https://docs.google.com/spreadsheets/d/1hVquAdem71XmMiiR58rU-GukxYRpxU3AOzQ3sqM7R2M/ed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1" Type="http://schemas.openxmlformats.org/officeDocument/2006/relationships/drawing" Target="../drawings/drawing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90" Type="http://schemas.openxmlformats.org/officeDocument/2006/relationships/hyperlink" Target="https://docs.google.com/spreadsheets/d/1lzhPynxH3Bn7rtqj7C5jUPQokVrzlmk19fZq7GYqC7k/edit" TargetMode="External"/><Relationship Id="rId194" Type="http://schemas.openxmlformats.org/officeDocument/2006/relationships/hyperlink" Target="https://docs.google.com/spreadsheets/d/1lzhPynxH3Bn7rtqj7C5jUPQokVrzlmk19fZq7GYqC7k/edit" TargetMode="External"/><Relationship Id="rId193" Type="http://schemas.openxmlformats.org/officeDocument/2006/relationships/hyperlink" Target="https://docs.google.com/spreadsheets/d/1lzhPynxH3Bn7rtqj7C5jUPQokVrzlmk19fZq7GYqC7k/edit" TargetMode="External"/><Relationship Id="rId192" Type="http://schemas.openxmlformats.org/officeDocument/2006/relationships/hyperlink" Target="https://docs.google.com/spreadsheets/d/1lzhPynxH3Bn7rtqj7C5jUPQokVrzlmk19fZq7GYqC7k/edit" TargetMode="External"/><Relationship Id="rId191" Type="http://schemas.openxmlformats.org/officeDocument/2006/relationships/hyperlink" Target="https://docs.google.com/spreadsheets/d/1lzhPynxH3Bn7rtqj7C5jUPQokVrzlmk19fZq7GYqC7k/edit" TargetMode="External"/><Relationship Id="rId187" Type="http://schemas.openxmlformats.org/officeDocument/2006/relationships/hyperlink" Target="https://docs.google.com/spreadsheets/d/1lzhPynxH3Bn7rtqj7C5jUPQokVrzlmk19fZq7GYqC7k/edit" TargetMode="External"/><Relationship Id="rId186" Type="http://schemas.openxmlformats.org/officeDocument/2006/relationships/hyperlink" Target="https://docs.google.com/spreadsheets/d/1lzhPynxH3Bn7rtqj7C5jUPQokVrzlmk19fZq7GYqC7k/edit" TargetMode="External"/><Relationship Id="rId185" Type="http://schemas.openxmlformats.org/officeDocument/2006/relationships/hyperlink" Target="https://docs.google.com/spreadsheets/d/1lzhPynxH3Bn7rtqj7C5jUPQokVrzlmk19fZq7GYqC7k/edit" TargetMode="External"/><Relationship Id="rId184" Type="http://schemas.openxmlformats.org/officeDocument/2006/relationships/hyperlink" Target="https://docs.google.com/spreadsheets/d/1lzhPynxH3Bn7rtqj7C5jUPQokVrzlmk19fZq7GYqC7k/edit" TargetMode="External"/><Relationship Id="rId189" Type="http://schemas.openxmlformats.org/officeDocument/2006/relationships/hyperlink" Target="https://docs.google.com/spreadsheets/d/1lzhPynxH3Bn7rtqj7C5jUPQokVrzlmk19fZq7GYqC7k/edit" TargetMode="External"/><Relationship Id="rId188" Type="http://schemas.openxmlformats.org/officeDocument/2006/relationships/hyperlink" Target="https://docs.google.com/spreadsheets/d/1lzhPynxH3Bn7rtqj7C5jUPQokVrzlmk19fZq7GYqC7k/edit" TargetMode="External"/><Relationship Id="rId183" Type="http://schemas.openxmlformats.org/officeDocument/2006/relationships/hyperlink" Target="https://docs.google.com/spreadsheets/d/1KcX87dwXF9elykHdnWknccAmwpZzfJvCq_cqsqAL9pA/edit" TargetMode="External"/><Relationship Id="rId182" Type="http://schemas.openxmlformats.org/officeDocument/2006/relationships/hyperlink" Target="https://docs.google.com/spreadsheets/d/1KcX87dwXF9elykHdnWknccAmwpZzfJvCq_cqsqAL9pA/edit" TargetMode="External"/><Relationship Id="rId181" Type="http://schemas.openxmlformats.org/officeDocument/2006/relationships/hyperlink" Target="https://docs.google.com/spreadsheets/d/1KcX87dwXF9elykHdnWknccAmwpZzfJvCq_cqsqAL9pA/edit" TargetMode="External"/><Relationship Id="rId180" Type="http://schemas.openxmlformats.org/officeDocument/2006/relationships/hyperlink" Target="https://docs.google.com/spreadsheets/d/1vlmdgvx2Pa9Ucoj3VHDd5rl6SWUk1k0i2PetAVInszE/edit" TargetMode="External"/><Relationship Id="rId176" Type="http://schemas.openxmlformats.org/officeDocument/2006/relationships/hyperlink" Target="https://docs.google.com/spreadsheets/d/1cire5sYqQkFf-Rl9cbAZhno26FuWrp9zR3enevK18x0/edit" TargetMode="External"/><Relationship Id="rId297" Type="http://schemas.openxmlformats.org/officeDocument/2006/relationships/hyperlink" Target="https://docs.google.com/spreadsheets/d/1udr4yjSIwUjF8sHyElC9R5wfa9q55386LZhBs6Dt3ns/edit" TargetMode="External"/><Relationship Id="rId175" Type="http://schemas.openxmlformats.org/officeDocument/2006/relationships/hyperlink" Target="https://docs.google.com/spreadsheets/d/1ACAHh8id7-s7i4b5MCId_X8QNxq3SEJFGa0JYmRCKtw/edit" TargetMode="External"/><Relationship Id="rId296" Type="http://schemas.openxmlformats.org/officeDocument/2006/relationships/hyperlink" Target="https://docs.google.com/spreadsheets/d/1udr4yjSIwUjF8sHyElC9R5wfa9q55386LZhBs6Dt3ns/edit" TargetMode="External"/><Relationship Id="rId174" Type="http://schemas.openxmlformats.org/officeDocument/2006/relationships/hyperlink" Target="https://docs.google.com/spreadsheets/d/1ACAHh8id7-s7i4b5MCId_X8QNxq3SEJFGa0JYmRCKtw/edit" TargetMode="External"/><Relationship Id="rId295" Type="http://schemas.openxmlformats.org/officeDocument/2006/relationships/hyperlink" Target="https://docs.google.com/spreadsheets/d/1udr4yjSIwUjF8sHyElC9R5wfa9q55386LZhBs6Dt3ns/edit" TargetMode="External"/><Relationship Id="rId173" Type="http://schemas.openxmlformats.org/officeDocument/2006/relationships/hyperlink" Target="https://docs.google.com/spreadsheets/d/1ACAHh8id7-s7i4b5MCId_X8QNxq3SEJFGa0JYmRCKtw/edit" TargetMode="External"/><Relationship Id="rId294" Type="http://schemas.openxmlformats.org/officeDocument/2006/relationships/hyperlink" Target="https://docs.google.com/spreadsheets/d/1udr4yjSIwUjF8sHyElC9R5wfa9q55386LZhBs6Dt3ns/edit" TargetMode="External"/><Relationship Id="rId179" Type="http://schemas.openxmlformats.org/officeDocument/2006/relationships/hyperlink" Target="https://docs.google.com/spreadsheets/d/1vlmdgvx2Pa9Ucoj3VHDd5rl6SWUk1k0i2PetAVInszE/edit" TargetMode="External"/><Relationship Id="rId178" Type="http://schemas.openxmlformats.org/officeDocument/2006/relationships/hyperlink" Target="https://docs.google.com/spreadsheets/d/1vlmdgvx2Pa9Ucoj3VHDd5rl6SWUk1k0i2PetAVInszE/edit" TargetMode="External"/><Relationship Id="rId299" Type="http://schemas.openxmlformats.org/officeDocument/2006/relationships/hyperlink" Target="https://docs.google.com/spreadsheets/d/1n9qf5PVrH5l1eRKIPF07RJBEcBTUQ1MBWbcmASDdfjE/edit" TargetMode="External"/><Relationship Id="rId177" Type="http://schemas.openxmlformats.org/officeDocument/2006/relationships/hyperlink" Target="https://docs.google.com/spreadsheets/d/1cire5sYqQkFf-Rl9cbAZhno26FuWrp9zR3enevK18x0/edit" TargetMode="External"/><Relationship Id="rId298" Type="http://schemas.openxmlformats.org/officeDocument/2006/relationships/hyperlink" Target="https://docs.google.com/spreadsheets/d/1n9qf5PVrH5l1eRKIPF07RJBEcBTUQ1MBWbcmASDdfjE/edit" TargetMode="External"/><Relationship Id="rId198" Type="http://schemas.openxmlformats.org/officeDocument/2006/relationships/hyperlink" Target="https://docs.google.com/spreadsheets/d/1zfan3f36LXH7f10VCzFrD-rQ4q8tSO0QFJhCUljR1fI/edit" TargetMode="External"/><Relationship Id="rId197" Type="http://schemas.openxmlformats.org/officeDocument/2006/relationships/hyperlink" Target="https://docs.google.com/spreadsheets/d/1zfan3f36LXH7f10VCzFrD-rQ4q8tSO0QFJhCUljR1fI/edit" TargetMode="External"/><Relationship Id="rId196" Type="http://schemas.openxmlformats.org/officeDocument/2006/relationships/hyperlink" Target="https://docs.google.com/spreadsheets/d/1zfan3f36LXH7f10VCzFrD-rQ4q8tSO0QFJhCUljR1fI/edit" TargetMode="External"/><Relationship Id="rId195" Type="http://schemas.openxmlformats.org/officeDocument/2006/relationships/hyperlink" Target="https://docs.google.com/spreadsheets/d/1zfan3f36LXH7f10VCzFrD-rQ4q8tSO0QFJhCUljR1fI/edit" TargetMode="External"/><Relationship Id="rId199" Type="http://schemas.openxmlformats.org/officeDocument/2006/relationships/hyperlink" Target="https://docs.google.com/spreadsheets/d/1zfan3f36LXH7f10VCzFrD-rQ4q8tSO0QFJhCUljR1fI/edit" TargetMode="External"/><Relationship Id="rId150" Type="http://schemas.openxmlformats.org/officeDocument/2006/relationships/hyperlink" Target="https://docs.google.com/spreadsheets/d/1CIE1ciSq6ueeJB1Qf7iJzcMzcGmC4OF1IYt4abCS5ZE/edit" TargetMode="External"/><Relationship Id="rId271" Type="http://schemas.openxmlformats.org/officeDocument/2006/relationships/hyperlink" Target="https://docs.google.com/spreadsheets/d/1itbLHI0wY0OM0FzbzlLzBlYtkZp1YzfY9L6wsbQheGI/edit" TargetMode="External"/><Relationship Id="rId392" Type="http://schemas.openxmlformats.org/officeDocument/2006/relationships/hyperlink" Target="https://docs.google.com/spreadsheets/d/15rn1qM0cfmrXNmjfmVW-trhSpLEdEapa-S_l0o5Y9o8/edit" TargetMode="External"/><Relationship Id="rId270" Type="http://schemas.openxmlformats.org/officeDocument/2006/relationships/hyperlink" Target="https://docs.google.com/spreadsheets/d/1itbLHI0wY0OM0FzbzlLzBlYtkZp1YzfY9L6wsbQheGI/edit" TargetMode="External"/><Relationship Id="rId391" Type="http://schemas.openxmlformats.org/officeDocument/2006/relationships/hyperlink" Target="https://docs.google.com/spreadsheets/d/15rn1qM0cfmrXNmjfmVW-trhSpLEdEapa-S_l0o5Y9o8/edit" TargetMode="External"/><Relationship Id="rId390" Type="http://schemas.openxmlformats.org/officeDocument/2006/relationships/hyperlink" Target="https://docs.google.com/spreadsheets/d/15rn1qM0cfmrXNmjfmVW-trhSpLEdEapa-S_l0o5Y9o8/edit" TargetMode="External"/><Relationship Id="rId1" Type="http://schemas.openxmlformats.org/officeDocument/2006/relationships/hyperlink" Target="https://docs.google.com/spreadsheets/d/1kibmPU9KVG36TSvFz1QAzXR5hIb_9KFsACqy5MEVBgg/edit" TargetMode="External"/><Relationship Id="rId2" Type="http://schemas.openxmlformats.org/officeDocument/2006/relationships/hyperlink" Target="https://docs.google.com/spreadsheets/d/1kibmPU9KVG36TSvFz1QAzXR5hIb_9KFsACqy5MEVBgg/edit" TargetMode="External"/><Relationship Id="rId3" Type="http://schemas.openxmlformats.org/officeDocument/2006/relationships/hyperlink" Target="https://docs.google.com/spreadsheets/d/1kibmPU9KVG36TSvFz1QAzXR5hIb_9KFsACqy5MEVBgg/edit" TargetMode="External"/><Relationship Id="rId149" Type="http://schemas.openxmlformats.org/officeDocument/2006/relationships/hyperlink" Target="https://docs.google.com/spreadsheets/d/1CIE1ciSq6ueeJB1Qf7iJzcMzcGmC4OF1IYt4abCS5ZE/edit" TargetMode="External"/><Relationship Id="rId4" Type="http://schemas.openxmlformats.org/officeDocument/2006/relationships/hyperlink" Target="https://docs.google.com/spreadsheets/d/1kibmPU9KVG36TSvFz1QAzXR5hIb_9KFsACqy5MEVBgg/edit" TargetMode="External"/><Relationship Id="rId148" Type="http://schemas.openxmlformats.org/officeDocument/2006/relationships/hyperlink" Target="https://docs.google.com/spreadsheets/d/1CIE1ciSq6ueeJB1Qf7iJzcMzcGmC4OF1IYt4abCS5ZE/edit" TargetMode="External"/><Relationship Id="rId269" Type="http://schemas.openxmlformats.org/officeDocument/2006/relationships/hyperlink" Target="https://docs.google.com/spreadsheets/d/1itbLHI0wY0OM0FzbzlLzBlYtkZp1YzfY9L6wsbQheGI/edit" TargetMode="External"/><Relationship Id="rId9" Type="http://schemas.openxmlformats.org/officeDocument/2006/relationships/hyperlink" Target="https://docs.google.com/spreadsheets/d/1kibmPU9KVG36TSvFz1QAzXR5hIb_9KFsACqy5MEVBgg/edit" TargetMode="External"/><Relationship Id="rId143" Type="http://schemas.openxmlformats.org/officeDocument/2006/relationships/hyperlink" Target="https://docs.google.com/spreadsheets/d/1kg8ZCFHep3wp4d2wS3yCWQrdlNzXkFMen66u4V2oO6c/edit" TargetMode="External"/><Relationship Id="rId264" Type="http://schemas.openxmlformats.org/officeDocument/2006/relationships/hyperlink" Target="https://docs.google.com/spreadsheets/d/1wHO0Dn3iytqx0akTAQhwbd6H2LyLID23CWjmagkUPMc/edit" TargetMode="External"/><Relationship Id="rId385" Type="http://schemas.openxmlformats.org/officeDocument/2006/relationships/hyperlink" Target="https://docs.google.com/spreadsheets/d/1c_XW3vUQhErtLU-8hH48_xyXfMgaSGBh-3CaeCPlRWg/edit" TargetMode="External"/><Relationship Id="rId142" Type="http://schemas.openxmlformats.org/officeDocument/2006/relationships/hyperlink" Target="https://docs.google.com/spreadsheets/d/1kg8ZCFHep3wp4d2wS3yCWQrdlNzXkFMen66u4V2oO6c/edit" TargetMode="External"/><Relationship Id="rId263" Type="http://schemas.openxmlformats.org/officeDocument/2006/relationships/hyperlink" Target="https://docs.google.com/spreadsheets/d/1wHO0Dn3iytqx0akTAQhwbd6H2LyLID23CWjmagkUPMc/edit" TargetMode="External"/><Relationship Id="rId384" Type="http://schemas.openxmlformats.org/officeDocument/2006/relationships/hyperlink" Target="https://docs.google.com/spreadsheets/d/1Y4dzCxB4VcBpDB1EciaWVJftTM07udL3WDj63t74gbw/edit" TargetMode="External"/><Relationship Id="rId141" Type="http://schemas.openxmlformats.org/officeDocument/2006/relationships/hyperlink" Target="https://docs.google.com/spreadsheets/d/1kg8ZCFHep3wp4d2wS3yCWQrdlNzXkFMen66u4V2oO6c/edit" TargetMode="External"/><Relationship Id="rId262" Type="http://schemas.openxmlformats.org/officeDocument/2006/relationships/hyperlink" Target="https://docs.google.com/spreadsheets/d/1wHO0Dn3iytqx0akTAQhwbd6H2LyLID23CWjmagkUPMc/edit" TargetMode="External"/><Relationship Id="rId383" Type="http://schemas.openxmlformats.org/officeDocument/2006/relationships/hyperlink" Target="https://docs.google.com/spreadsheets/d/1Y4dzCxB4VcBpDB1EciaWVJftTM07udL3WDj63t74gbw/edit" TargetMode="External"/><Relationship Id="rId140" Type="http://schemas.openxmlformats.org/officeDocument/2006/relationships/hyperlink" Target="https://docs.google.com/spreadsheets/d/1kg8ZCFHep3wp4d2wS3yCWQrdlNzXkFMen66u4V2oO6c/edit" TargetMode="External"/><Relationship Id="rId261" Type="http://schemas.openxmlformats.org/officeDocument/2006/relationships/hyperlink" Target="https://docs.google.com/spreadsheets/d/1wHO0Dn3iytqx0akTAQhwbd6H2LyLID23CWjmagkUPMc/edit" TargetMode="External"/><Relationship Id="rId382" Type="http://schemas.openxmlformats.org/officeDocument/2006/relationships/hyperlink" Target="https://docs.google.com/spreadsheets/d/1Y4dzCxB4VcBpDB1EciaWVJftTM07udL3WDj63t74gbw/edit" TargetMode="External"/><Relationship Id="rId5" Type="http://schemas.openxmlformats.org/officeDocument/2006/relationships/hyperlink" Target="https://docs.google.com/spreadsheets/d/1kibmPU9KVG36TSvFz1QAzXR5hIb_9KFsACqy5MEVBgg/edit" TargetMode="External"/><Relationship Id="rId147" Type="http://schemas.openxmlformats.org/officeDocument/2006/relationships/hyperlink" Target="https://docs.google.com/spreadsheets/d/1CIE1ciSq6ueeJB1Qf7iJzcMzcGmC4OF1IYt4abCS5ZE/edit" TargetMode="External"/><Relationship Id="rId268" Type="http://schemas.openxmlformats.org/officeDocument/2006/relationships/hyperlink" Target="https://docs.google.com/spreadsheets/d/1itbLHI0wY0OM0FzbzlLzBlYtkZp1YzfY9L6wsbQheGI/edit" TargetMode="External"/><Relationship Id="rId389" Type="http://schemas.openxmlformats.org/officeDocument/2006/relationships/hyperlink" Target="https://docs.google.com/spreadsheets/d/1c_XW3vUQhErtLU-8hH48_xyXfMgaSGBh-3CaeCPlRWg/edit" TargetMode="External"/><Relationship Id="rId6" Type="http://schemas.openxmlformats.org/officeDocument/2006/relationships/hyperlink" Target="https://docs.google.com/spreadsheets/d/1kibmPU9KVG36TSvFz1QAzXR5hIb_9KFsACqy5MEVBgg/edit" TargetMode="External"/><Relationship Id="rId146" Type="http://schemas.openxmlformats.org/officeDocument/2006/relationships/hyperlink" Target="https://docs.google.com/spreadsheets/d/1CIE1ciSq6ueeJB1Qf7iJzcMzcGmC4OF1IYt4abCS5ZE/edit" TargetMode="External"/><Relationship Id="rId267" Type="http://schemas.openxmlformats.org/officeDocument/2006/relationships/hyperlink" Target="https://docs.google.com/spreadsheets/d/1itbLHI0wY0OM0FzbzlLzBlYtkZp1YzfY9L6wsbQheGI/edit" TargetMode="External"/><Relationship Id="rId388" Type="http://schemas.openxmlformats.org/officeDocument/2006/relationships/hyperlink" Target="https://docs.google.com/spreadsheets/d/1c_XW3vUQhErtLU-8hH48_xyXfMgaSGBh-3CaeCPlRWg/edit" TargetMode="External"/><Relationship Id="rId7" Type="http://schemas.openxmlformats.org/officeDocument/2006/relationships/hyperlink" Target="https://docs.google.com/spreadsheets/d/1kibmPU9KVG36TSvFz1QAzXR5hIb_9KFsACqy5MEVBgg/edit" TargetMode="External"/><Relationship Id="rId145" Type="http://schemas.openxmlformats.org/officeDocument/2006/relationships/hyperlink" Target="https://docs.google.com/spreadsheets/d/1CIE1ciSq6ueeJB1Qf7iJzcMzcGmC4OF1IYt4abCS5ZE/edit" TargetMode="External"/><Relationship Id="rId266" Type="http://schemas.openxmlformats.org/officeDocument/2006/relationships/hyperlink" Target="https://docs.google.com/spreadsheets/d/1itbLHI0wY0OM0FzbzlLzBlYtkZp1YzfY9L6wsbQheGI/edit" TargetMode="External"/><Relationship Id="rId387" Type="http://schemas.openxmlformats.org/officeDocument/2006/relationships/hyperlink" Target="https://docs.google.com/spreadsheets/d/1c_XW3vUQhErtLU-8hH48_xyXfMgaSGBh-3CaeCPlRWg/edit" TargetMode="External"/><Relationship Id="rId8" Type="http://schemas.openxmlformats.org/officeDocument/2006/relationships/hyperlink" Target="https://docs.google.com/spreadsheets/d/1kibmPU9KVG36TSvFz1QAzXR5hIb_9KFsACqy5MEVBgg/edit" TargetMode="External"/><Relationship Id="rId144" Type="http://schemas.openxmlformats.org/officeDocument/2006/relationships/hyperlink" Target="https://docs.google.com/spreadsheets/d/1kg8ZCFHep3wp4d2wS3yCWQrdlNzXkFMen66u4V2oO6c/edit" TargetMode="External"/><Relationship Id="rId265" Type="http://schemas.openxmlformats.org/officeDocument/2006/relationships/hyperlink" Target="https://docs.google.com/spreadsheets/d/1itbLHI0wY0OM0FzbzlLzBlYtkZp1YzfY9L6wsbQheGI/edit" TargetMode="External"/><Relationship Id="rId386" Type="http://schemas.openxmlformats.org/officeDocument/2006/relationships/hyperlink" Target="https://docs.google.com/spreadsheets/d/1c_XW3vUQhErtLU-8hH48_xyXfMgaSGBh-3CaeCPlRWg/edit" TargetMode="External"/><Relationship Id="rId260" Type="http://schemas.openxmlformats.org/officeDocument/2006/relationships/hyperlink" Target="https://docs.google.com/spreadsheets/d/1wHO0Dn3iytqx0akTAQhwbd6H2LyLID23CWjmagkUPMc/edit" TargetMode="External"/><Relationship Id="rId381" Type="http://schemas.openxmlformats.org/officeDocument/2006/relationships/hyperlink" Target="https://docs.google.com/spreadsheets/d/1Y4dzCxB4VcBpDB1EciaWVJftTM07udL3WDj63t74gbw/edit" TargetMode="External"/><Relationship Id="rId380" Type="http://schemas.openxmlformats.org/officeDocument/2006/relationships/hyperlink" Target="https://docs.google.com/spreadsheets/d/1Y4dzCxB4VcBpDB1EciaWVJftTM07udL3WDj63t74gbw/edit" TargetMode="External"/><Relationship Id="rId139" Type="http://schemas.openxmlformats.org/officeDocument/2006/relationships/hyperlink" Target="https://docs.google.com/spreadsheets/d/1fMnIQsl_4g6Inj4nzujLbYQT3nGswfGlSdlEV1aa8Uk/edit" TargetMode="External"/><Relationship Id="rId138" Type="http://schemas.openxmlformats.org/officeDocument/2006/relationships/hyperlink" Target="https://docs.google.com/spreadsheets/d/1fMnIQsl_4g6Inj4nzujLbYQT3nGswfGlSdlEV1aa8Uk/edit" TargetMode="External"/><Relationship Id="rId259" Type="http://schemas.openxmlformats.org/officeDocument/2006/relationships/hyperlink" Target="https://docs.google.com/spreadsheets/d/1wHO0Dn3iytqx0akTAQhwbd6H2LyLID23CWjmagkUPMc/edit" TargetMode="External"/><Relationship Id="rId137" Type="http://schemas.openxmlformats.org/officeDocument/2006/relationships/hyperlink" Target="https://docs.google.com/spreadsheets/d/1fMnIQsl_4g6Inj4nzujLbYQT3nGswfGlSdlEV1aa8Uk/edit" TargetMode="External"/><Relationship Id="rId258" Type="http://schemas.openxmlformats.org/officeDocument/2006/relationships/hyperlink" Target="https://docs.google.com/spreadsheets/d/1wHO0Dn3iytqx0akTAQhwbd6H2LyLID23CWjmagkUPMc/edit" TargetMode="External"/><Relationship Id="rId379" Type="http://schemas.openxmlformats.org/officeDocument/2006/relationships/hyperlink" Target="https://docs.google.com/spreadsheets/d/1Y4dzCxB4VcBpDB1EciaWVJftTM07udL3WDj63t74gbw/edit" TargetMode="External"/><Relationship Id="rId132" Type="http://schemas.openxmlformats.org/officeDocument/2006/relationships/hyperlink" Target="https://docs.google.com/spreadsheets/d/1fMnIQsl_4g6Inj4nzujLbYQT3nGswfGlSdlEV1aa8Uk/edit" TargetMode="External"/><Relationship Id="rId253" Type="http://schemas.openxmlformats.org/officeDocument/2006/relationships/hyperlink" Target="https://docs.google.com/spreadsheets/d/1wHO0Dn3iytqx0akTAQhwbd6H2LyLID23CWjmagkUPMc/edit" TargetMode="External"/><Relationship Id="rId374" Type="http://schemas.openxmlformats.org/officeDocument/2006/relationships/hyperlink" Target="https://docs.google.com/spreadsheets/d/1n1Vxa5tUEezX0OZ7ZRTmmJR4kAgy2k3UV75NDjE59EY/edit" TargetMode="External"/><Relationship Id="rId495" Type="http://schemas.openxmlformats.org/officeDocument/2006/relationships/hyperlink" Target="https://docs.google.com/spreadsheets/d/1EHRtB62xz9l7XbOUWwsZ2nGTUi86d-GCjIOVk8F9OYg/edit" TargetMode="External"/><Relationship Id="rId131" Type="http://schemas.openxmlformats.org/officeDocument/2006/relationships/hyperlink" Target="https://docs.google.com/spreadsheets/d/1fMnIQsl_4g6Inj4nzujLbYQT3nGswfGlSdlEV1aa8Uk/edit" TargetMode="External"/><Relationship Id="rId252" Type="http://schemas.openxmlformats.org/officeDocument/2006/relationships/hyperlink" Target="https://docs.google.com/spreadsheets/d/1wHO0Dn3iytqx0akTAQhwbd6H2LyLID23CWjmagkUPMc/edit" TargetMode="External"/><Relationship Id="rId373" Type="http://schemas.openxmlformats.org/officeDocument/2006/relationships/hyperlink" Target="https://docs.google.com/spreadsheets/d/1n1Vxa5tUEezX0OZ7ZRTmmJR4kAgy2k3UV75NDjE59EY/edit" TargetMode="External"/><Relationship Id="rId494" Type="http://schemas.openxmlformats.org/officeDocument/2006/relationships/hyperlink" Target="https://docs.google.com/spreadsheets/d/1EHRtB62xz9l7XbOUWwsZ2nGTUi86d-GCjIOVk8F9OYg/edit" TargetMode="External"/><Relationship Id="rId130" Type="http://schemas.openxmlformats.org/officeDocument/2006/relationships/hyperlink" Target="https://docs.google.com/spreadsheets/d/1fMnIQsl_4g6Inj4nzujLbYQT3nGswfGlSdlEV1aa8Uk/edit" TargetMode="External"/><Relationship Id="rId251" Type="http://schemas.openxmlformats.org/officeDocument/2006/relationships/hyperlink" Target="https://docs.google.com/spreadsheets/d/1wHO0Dn3iytqx0akTAQhwbd6H2LyLID23CWjmagkUPMc/edit" TargetMode="External"/><Relationship Id="rId372" Type="http://schemas.openxmlformats.org/officeDocument/2006/relationships/hyperlink" Target="https://docs.google.com/spreadsheets/d/1n1Vxa5tUEezX0OZ7ZRTmmJR4kAgy2k3UV75NDjE59EY/edit" TargetMode="External"/><Relationship Id="rId493" Type="http://schemas.openxmlformats.org/officeDocument/2006/relationships/hyperlink" Target="https://docs.google.com/spreadsheets/d/1EHRtB62xz9l7XbOUWwsZ2nGTUi86d-GCjIOVk8F9OYg/edit" TargetMode="External"/><Relationship Id="rId250" Type="http://schemas.openxmlformats.org/officeDocument/2006/relationships/hyperlink" Target="https://docs.google.com/spreadsheets/d/1wHO0Dn3iytqx0akTAQhwbd6H2LyLID23CWjmagkUPMc/edit" TargetMode="External"/><Relationship Id="rId371" Type="http://schemas.openxmlformats.org/officeDocument/2006/relationships/hyperlink" Target="https://docs.google.com/spreadsheets/d/1n1Vxa5tUEezX0OZ7ZRTmmJR4kAgy2k3UV75NDjE59EY/edit" TargetMode="External"/><Relationship Id="rId492" Type="http://schemas.openxmlformats.org/officeDocument/2006/relationships/hyperlink" Target="https://docs.google.com/spreadsheets/d/1EHRtB62xz9l7XbOUWwsZ2nGTUi86d-GCjIOVk8F9OYg/edit" TargetMode="External"/><Relationship Id="rId136" Type="http://schemas.openxmlformats.org/officeDocument/2006/relationships/hyperlink" Target="https://docs.google.com/spreadsheets/d/1fMnIQsl_4g6Inj4nzujLbYQT3nGswfGlSdlEV1aa8Uk/edit" TargetMode="External"/><Relationship Id="rId257" Type="http://schemas.openxmlformats.org/officeDocument/2006/relationships/hyperlink" Target="https://docs.google.com/spreadsheets/d/1wHO0Dn3iytqx0akTAQhwbd6H2LyLID23CWjmagkUPMc/edit" TargetMode="External"/><Relationship Id="rId378" Type="http://schemas.openxmlformats.org/officeDocument/2006/relationships/hyperlink" Target="https://docs.google.com/spreadsheets/d/1Y4dzCxB4VcBpDB1EciaWVJftTM07udL3WDj63t74gbw/edit" TargetMode="External"/><Relationship Id="rId499" Type="http://schemas.openxmlformats.org/officeDocument/2006/relationships/hyperlink" Target="https://docs.google.com/spreadsheets/d/1G2erjfnVwsDbNg03raJdgdjbWy7Iv0dP-wbi_AYu89A/edit" TargetMode="External"/><Relationship Id="rId135" Type="http://schemas.openxmlformats.org/officeDocument/2006/relationships/hyperlink" Target="https://docs.google.com/spreadsheets/d/1fMnIQsl_4g6Inj4nzujLbYQT3nGswfGlSdlEV1aa8Uk/edit" TargetMode="External"/><Relationship Id="rId256" Type="http://schemas.openxmlformats.org/officeDocument/2006/relationships/hyperlink" Target="https://docs.google.com/spreadsheets/d/1wHO0Dn3iytqx0akTAQhwbd6H2LyLID23CWjmagkUPMc/edit" TargetMode="External"/><Relationship Id="rId377" Type="http://schemas.openxmlformats.org/officeDocument/2006/relationships/hyperlink" Target="https://docs.google.com/spreadsheets/d/1n1Vxa5tUEezX0OZ7ZRTmmJR4kAgy2k3UV75NDjE59EY/edit" TargetMode="External"/><Relationship Id="rId498" Type="http://schemas.openxmlformats.org/officeDocument/2006/relationships/hyperlink" Target="https://docs.google.com/spreadsheets/d/1G2erjfnVwsDbNg03raJdgdjbWy7Iv0dP-wbi_AYu89A/edit" TargetMode="External"/><Relationship Id="rId134" Type="http://schemas.openxmlformats.org/officeDocument/2006/relationships/hyperlink" Target="https://docs.google.com/spreadsheets/d/1fMnIQsl_4g6Inj4nzujLbYQT3nGswfGlSdlEV1aa8Uk/edit" TargetMode="External"/><Relationship Id="rId255" Type="http://schemas.openxmlformats.org/officeDocument/2006/relationships/hyperlink" Target="https://docs.google.com/spreadsheets/d/1wHO0Dn3iytqx0akTAQhwbd6H2LyLID23CWjmagkUPMc/edit" TargetMode="External"/><Relationship Id="rId376" Type="http://schemas.openxmlformats.org/officeDocument/2006/relationships/hyperlink" Target="https://docs.google.com/spreadsheets/d/1n1Vxa5tUEezX0OZ7ZRTmmJR4kAgy2k3UV75NDjE59EY/edit" TargetMode="External"/><Relationship Id="rId497" Type="http://schemas.openxmlformats.org/officeDocument/2006/relationships/hyperlink" Target="https://docs.google.com/spreadsheets/d/1EHRtB62xz9l7XbOUWwsZ2nGTUi86d-GCjIOVk8F9OYg/edit" TargetMode="External"/><Relationship Id="rId133" Type="http://schemas.openxmlformats.org/officeDocument/2006/relationships/hyperlink" Target="https://docs.google.com/spreadsheets/d/1fMnIQsl_4g6Inj4nzujLbYQT3nGswfGlSdlEV1aa8Uk/edit" TargetMode="External"/><Relationship Id="rId254" Type="http://schemas.openxmlformats.org/officeDocument/2006/relationships/hyperlink" Target="https://docs.google.com/spreadsheets/d/1wHO0Dn3iytqx0akTAQhwbd6H2LyLID23CWjmagkUPMc/edit" TargetMode="External"/><Relationship Id="rId375" Type="http://schemas.openxmlformats.org/officeDocument/2006/relationships/hyperlink" Target="https://docs.google.com/spreadsheets/d/1n1Vxa5tUEezX0OZ7ZRTmmJR4kAgy2k3UV75NDjE59EY/edit" TargetMode="External"/><Relationship Id="rId496" Type="http://schemas.openxmlformats.org/officeDocument/2006/relationships/hyperlink" Target="https://docs.google.com/spreadsheets/d/1EHRtB62xz9l7XbOUWwsZ2nGTUi86d-GCjIOVk8F9OYg/edit" TargetMode="External"/><Relationship Id="rId172" Type="http://schemas.openxmlformats.org/officeDocument/2006/relationships/hyperlink" Target="https://docs.google.com/spreadsheets/d/1ACAHh8id7-s7i4b5MCId_X8QNxq3SEJFGa0JYmRCKtw/edit" TargetMode="External"/><Relationship Id="rId293" Type="http://schemas.openxmlformats.org/officeDocument/2006/relationships/hyperlink" Target="https://docs.google.com/spreadsheets/d/1udr4yjSIwUjF8sHyElC9R5wfa9q55386LZhBs6Dt3ns/edit" TargetMode="External"/><Relationship Id="rId171" Type="http://schemas.openxmlformats.org/officeDocument/2006/relationships/hyperlink" Target="https://docs.google.com/spreadsheets/d/1ACAHh8id7-s7i4b5MCId_X8QNxq3SEJFGa0JYmRCKtw/edit" TargetMode="External"/><Relationship Id="rId292" Type="http://schemas.openxmlformats.org/officeDocument/2006/relationships/hyperlink" Target="https://docs.google.com/spreadsheets/d/1udr4yjSIwUjF8sHyElC9R5wfa9q55386LZhBs6Dt3ns/edit" TargetMode="External"/><Relationship Id="rId170" Type="http://schemas.openxmlformats.org/officeDocument/2006/relationships/hyperlink" Target="https://docs.google.com/spreadsheets/d/1ACAHh8id7-s7i4b5MCId_X8QNxq3SEJFGa0JYmRCKtw/edit" TargetMode="External"/><Relationship Id="rId291" Type="http://schemas.openxmlformats.org/officeDocument/2006/relationships/hyperlink" Target="https://docs.google.com/spreadsheets/d/1udr4yjSIwUjF8sHyElC9R5wfa9q55386LZhBs6Dt3ns/edit" TargetMode="External"/><Relationship Id="rId290" Type="http://schemas.openxmlformats.org/officeDocument/2006/relationships/hyperlink" Target="https://docs.google.com/spreadsheets/d/1udr4yjSIwUjF8sHyElC9R5wfa9q55386LZhBs6Dt3ns/edit" TargetMode="External"/><Relationship Id="rId165" Type="http://schemas.openxmlformats.org/officeDocument/2006/relationships/hyperlink" Target="https://docs.google.com/spreadsheets/d/1ACAHh8id7-s7i4b5MCId_X8QNxq3SEJFGa0JYmRCKtw/edit" TargetMode="External"/><Relationship Id="rId286" Type="http://schemas.openxmlformats.org/officeDocument/2006/relationships/hyperlink" Target="https://docs.google.com/spreadsheets/d/1udr4yjSIwUjF8sHyElC9R5wfa9q55386LZhBs6Dt3ns/edit" TargetMode="External"/><Relationship Id="rId164" Type="http://schemas.openxmlformats.org/officeDocument/2006/relationships/hyperlink" Target="https://docs.google.com/spreadsheets/d/1ACAHh8id7-s7i4b5MCId_X8QNxq3SEJFGa0JYmRCKtw/edit" TargetMode="External"/><Relationship Id="rId285" Type="http://schemas.openxmlformats.org/officeDocument/2006/relationships/hyperlink" Target="https://docs.google.com/spreadsheets/d/1udr4yjSIwUjF8sHyElC9R5wfa9q55386LZhBs6Dt3ns/edit" TargetMode="External"/><Relationship Id="rId163" Type="http://schemas.openxmlformats.org/officeDocument/2006/relationships/hyperlink" Target="https://docs.google.com/spreadsheets/d/1ACAHh8id7-s7i4b5MCId_X8QNxq3SEJFGa0JYmRCKtw/edit" TargetMode="External"/><Relationship Id="rId284" Type="http://schemas.openxmlformats.org/officeDocument/2006/relationships/hyperlink" Target="https://docs.google.com/spreadsheets/d/1udr4yjSIwUjF8sHyElC9R5wfa9q55386LZhBs6Dt3ns/edit" TargetMode="External"/><Relationship Id="rId162" Type="http://schemas.openxmlformats.org/officeDocument/2006/relationships/hyperlink" Target="https://docs.google.com/spreadsheets/d/1wQ-UIAoafQXlyw2vx5fdwulNpWW1xm4ahqiF9VWdipA/edit" TargetMode="External"/><Relationship Id="rId283" Type="http://schemas.openxmlformats.org/officeDocument/2006/relationships/hyperlink" Target="https://docs.google.com/spreadsheets/d/1udr4yjSIwUjF8sHyElC9R5wfa9q55386LZhBs6Dt3ns/edit" TargetMode="External"/><Relationship Id="rId169" Type="http://schemas.openxmlformats.org/officeDocument/2006/relationships/hyperlink" Target="https://docs.google.com/spreadsheets/d/1ACAHh8id7-s7i4b5MCId_X8QNxq3SEJFGa0JYmRCKtw/edit" TargetMode="External"/><Relationship Id="rId168" Type="http://schemas.openxmlformats.org/officeDocument/2006/relationships/hyperlink" Target="https://docs.google.com/spreadsheets/d/1ACAHh8id7-s7i4b5MCId_X8QNxq3SEJFGa0JYmRCKtw/edit" TargetMode="External"/><Relationship Id="rId289" Type="http://schemas.openxmlformats.org/officeDocument/2006/relationships/hyperlink" Target="https://docs.google.com/spreadsheets/d/1udr4yjSIwUjF8sHyElC9R5wfa9q55386LZhBs6Dt3ns/edit" TargetMode="External"/><Relationship Id="rId167" Type="http://schemas.openxmlformats.org/officeDocument/2006/relationships/hyperlink" Target="https://docs.google.com/spreadsheets/d/1ACAHh8id7-s7i4b5MCId_X8QNxq3SEJFGa0JYmRCKtw/edit" TargetMode="External"/><Relationship Id="rId288" Type="http://schemas.openxmlformats.org/officeDocument/2006/relationships/hyperlink" Target="https://docs.google.com/spreadsheets/d/1udr4yjSIwUjF8sHyElC9R5wfa9q55386LZhBs6Dt3ns/edit" TargetMode="External"/><Relationship Id="rId166" Type="http://schemas.openxmlformats.org/officeDocument/2006/relationships/hyperlink" Target="https://docs.google.com/spreadsheets/d/1ACAHh8id7-s7i4b5MCId_X8QNxq3SEJFGa0JYmRCKtw/edit" TargetMode="External"/><Relationship Id="rId287" Type="http://schemas.openxmlformats.org/officeDocument/2006/relationships/hyperlink" Target="https://docs.google.com/spreadsheets/d/1udr4yjSIwUjF8sHyElC9R5wfa9q55386LZhBs6Dt3ns/edit" TargetMode="External"/><Relationship Id="rId161" Type="http://schemas.openxmlformats.org/officeDocument/2006/relationships/hyperlink" Target="https://docs.google.com/spreadsheets/d/1wQ-UIAoafQXlyw2vx5fdwulNpWW1xm4ahqiF9VWdipA/edit" TargetMode="External"/><Relationship Id="rId282" Type="http://schemas.openxmlformats.org/officeDocument/2006/relationships/hyperlink" Target="https://docs.google.com/spreadsheets/d/1udr4yjSIwUjF8sHyElC9R5wfa9q55386LZhBs6Dt3ns/edit" TargetMode="External"/><Relationship Id="rId160" Type="http://schemas.openxmlformats.org/officeDocument/2006/relationships/hyperlink" Target="https://docs.google.com/spreadsheets/d/1wQ-UIAoafQXlyw2vx5fdwulNpWW1xm4ahqiF9VWdipA/edit" TargetMode="External"/><Relationship Id="rId281" Type="http://schemas.openxmlformats.org/officeDocument/2006/relationships/hyperlink" Target="https://docs.google.com/spreadsheets/d/1udr4yjSIwUjF8sHyElC9R5wfa9q55386LZhBs6Dt3ns/edit" TargetMode="External"/><Relationship Id="rId280" Type="http://schemas.openxmlformats.org/officeDocument/2006/relationships/hyperlink" Target="https://docs.google.com/spreadsheets/d/1udr4yjSIwUjF8sHyElC9R5wfa9q55386LZhBs6Dt3ns/edit" TargetMode="External"/><Relationship Id="rId159" Type="http://schemas.openxmlformats.org/officeDocument/2006/relationships/hyperlink" Target="https://docs.google.com/spreadsheets/d/1wQ-UIAoafQXlyw2vx5fdwulNpWW1xm4ahqiF9VWdipA/edit" TargetMode="External"/><Relationship Id="rId154" Type="http://schemas.openxmlformats.org/officeDocument/2006/relationships/hyperlink" Target="https://docs.google.com/spreadsheets/d/11lNum8RWux74nDF7XiJhgCk7BfqPV4GVfDOu3tApaf0/edit" TargetMode="External"/><Relationship Id="rId275" Type="http://schemas.openxmlformats.org/officeDocument/2006/relationships/hyperlink" Target="https://docs.google.com/spreadsheets/d/1itbLHI0wY0OM0FzbzlLzBlYtkZp1YzfY9L6wsbQheGI/edit" TargetMode="External"/><Relationship Id="rId396" Type="http://schemas.openxmlformats.org/officeDocument/2006/relationships/hyperlink" Target="https://docs.google.com/spreadsheets/d/1nSZCVTV0nVjjTN4WryHNMbTQKwc0yErdSa9ejWWbQ4E/edit" TargetMode="External"/><Relationship Id="rId153" Type="http://schemas.openxmlformats.org/officeDocument/2006/relationships/hyperlink" Target="https://docs.google.com/spreadsheets/d/11lNum8RWux74nDF7XiJhgCk7BfqPV4GVfDOu3tApaf0/edit" TargetMode="External"/><Relationship Id="rId274" Type="http://schemas.openxmlformats.org/officeDocument/2006/relationships/hyperlink" Target="https://docs.google.com/spreadsheets/d/1itbLHI0wY0OM0FzbzlLzBlYtkZp1YzfY9L6wsbQheGI/edit" TargetMode="External"/><Relationship Id="rId395" Type="http://schemas.openxmlformats.org/officeDocument/2006/relationships/hyperlink" Target="https://docs.google.com/spreadsheets/d/15rn1qM0cfmrXNmjfmVW-trhSpLEdEapa-S_l0o5Y9o8/edit" TargetMode="External"/><Relationship Id="rId152" Type="http://schemas.openxmlformats.org/officeDocument/2006/relationships/hyperlink" Target="https://docs.google.com/spreadsheets/d/11lNum8RWux74nDF7XiJhgCk7BfqPV4GVfDOu3tApaf0/edit" TargetMode="External"/><Relationship Id="rId273" Type="http://schemas.openxmlformats.org/officeDocument/2006/relationships/hyperlink" Target="https://docs.google.com/spreadsheets/d/1itbLHI0wY0OM0FzbzlLzBlYtkZp1YzfY9L6wsbQheGI/edit" TargetMode="External"/><Relationship Id="rId394" Type="http://schemas.openxmlformats.org/officeDocument/2006/relationships/hyperlink" Target="https://docs.google.com/spreadsheets/d/15rn1qM0cfmrXNmjfmVW-trhSpLEdEapa-S_l0o5Y9o8/edit" TargetMode="External"/><Relationship Id="rId151" Type="http://schemas.openxmlformats.org/officeDocument/2006/relationships/hyperlink" Target="https://docs.google.com/spreadsheets/d/1CIE1ciSq6ueeJB1Qf7iJzcMzcGmC4OF1IYt4abCS5ZE/edit" TargetMode="External"/><Relationship Id="rId272" Type="http://schemas.openxmlformats.org/officeDocument/2006/relationships/hyperlink" Target="https://docs.google.com/spreadsheets/d/1itbLHI0wY0OM0FzbzlLzBlYtkZp1YzfY9L6wsbQheGI/edit" TargetMode="External"/><Relationship Id="rId393" Type="http://schemas.openxmlformats.org/officeDocument/2006/relationships/hyperlink" Target="https://docs.google.com/spreadsheets/d/15rn1qM0cfmrXNmjfmVW-trhSpLEdEapa-S_l0o5Y9o8/edit" TargetMode="External"/><Relationship Id="rId158" Type="http://schemas.openxmlformats.org/officeDocument/2006/relationships/hyperlink" Target="https://docs.google.com/spreadsheets/d/1wQ-UIAoafQXlyw2vx5fdwulNpWW1xm4ahqiF9VWdipA/edit" TargetMode="External"/><Relationship Id="rId279" Type="http://schemas.openxmlformats.org/officeDocument/2006/relationships/hyperlink" Target="https://docs.google.com/spreadsheets/d/1udr4yjSIwUjF8sHyElC9R5wfa9q55386LZhBs6Dt3ns/edit" TargetMode="External"/><Relationship Id="rId157" Type="http://schemas.openxmlformats.org/officeDocument/2006/relationships/hyperlink" Target="https://docs.google.com/spreadsheets/d/1GseEZi6Il2zIkO0nicvGS-fnJA5DsJJDkmpPn0t1U-k/edit" TargetMode="External"/><Relationship Id="rId278" Type="http://schemas.openxmlformats.org/officeDocument/2006/relationships/hyperlink" Target="https://docs.google.com/spreadsheets/d/1udr4yjSIwUjF8sHyElC9R5wfa9q55386LZhBs6Dt3ns/edit" TargetMode="External"/><Relationship Id="rId399" Type="http://schemas.openxmlformats.org/officeDocument/2006/relationships/hyperlink" Target="https://docs.google.com/spreadsheets/d/1nSZCVTV0nVjjTN4WryHNMbTQKwc0yErdSa9ejWWbQ4E/edit" TargetMode="External"/><Relationship Id="rId156" Type="http://schemas.openxmlformats.org/officeDocument/2006/relationships/hyperlink" Target="https://docs.google.com/spreadsheets/d/11lNum8RWux74nDF7XiJhgCk7BfqPV4GVfDOu3tApaf0/edit" TargetMode="External"/><Relationship Id="rId277" Type="http://schemas.openxmlformats.org/officeDocument/2006/relationships/hyperlink" Target="https://docs.google.com/spreadsheets/d/1itbLHI0wY0OM0FzbzlLzBlYtkZp1YzfY9L6wsbQheGI/edit" TargetMode="External"/><Relationship Id="rId398" Type="http://schemas.openxmlformats.org/officeDocument/2006/relationships/hyperlink" Target="https://docs.google.com/spreadsheets/d/1nSZCVTV0nVjjTN4WryHNMbTQKwc0yErdSa9ejWWbQ4E/edit" TargetMode="External"/><Relationship Id="rId155" Type="http://schemas.openxmlformats.org/officeDocument/2006/relationships/hyperlink" Target="https://docs.google.com/spreadsheets/d/11lNum8RWux74nDF7XiJhgCk7BfqPV4GVfDOu3tApaf0/edit" TargetMode="External"/><Relationship Id="rId276" Type="http://schemas.openxmlformats.org/officeDocument/2006/relationships/hyperlink" Target="https://docs.google.com/spreadsheets/d/1itbLHI0wY0OM0FzbzlLzBlYtkZp1YzfY9L6wsbQheGI/edit" TargetMode="External"/><Relationship Id="rId397" Type="http://schemas.openxmlformats.org/officeDocument/2006/relationships/hyperlink" Target="https://docs.google.com/spreadsheets/d/1nSZCVTV0nVjjTN4WryHNMbTQKwc0yErdSa9ejWWbQ4E/edit" TargetMode="External"/><Relationship Id="rId40" Type="http://schemas.openxmlformats.org/officeDocument/2006/relationships/hyperlink" Target="https://docs.google.com/spreadsheets/d/1te6imWd5RNjE2fCT4YGN5Ka0-RFGopo9p-yC8O3uIpQ/edit" TargetMode="External"/><Relationship Id="rId42" Type="http://schemas.openxmlformats.org/officeDocument/2006/relationships/hyperlink" Target="https://docs.google.com/spreadsheets/d/1te6imWd5RNjE2fCT4YGN5Ka0-RFGopo9p-yC8O3uIpQ/edit" TargetMode="External"/><Relationship Id="rId41" Type="http://schemas.openxmlformats.org/officeDocument/2006/relationships/hyperlink" Target="https://docs.google.com/spreadsheets/d/1te6imWd5RNjE2fCT4YGN5Ka0-RFGopo9p-yC8O3uIpQ/edit" TargetMode="External"/><Relationship Id="rId44" Type="http://schemas.openxmlformats.org/officeDocument/2006/relationships/hyperlink" Target="https://docs.google.com/spreadsheets/d/1te6imWd5RNjE2fCT4YGN5Ka0-RFGopo9p-yC8O3uIpQ/edit" TargetMode="External"/><Relationship Id="rId43" Type="http://schemas.openxmlformats.org/officeDocument/2006/relationships/hyperlink" Target="https://docs.google.com/spreadsheets/d/1te6imWd5RNjE2fCT4YGN5Ka0-RFGopo9p-yC8O3uIpQ/edit" TargetMode="External"/><Relationship Id="rId46" Type="http://schemas.openxmlformats.org/officeDocument/2006/relationships/hyperlink" Target="https://docs.google.com/spreadsheets/d/1nhxpB8ub1Btpq7g0ag9Oo1HmJ4zOQfroeAY9URcYmfc/edit" TargetMode="External"/><Relationship Id="rId45" Type="http://schemas.openxmlformats.org/officeDocument/2006/relationships/hyperlink" Target="https://docs.google.com/spreadsheets/d/1nhxpB8ub1Btpq7g0ag9Oo1HmJ4zOQfroeAY9URcYmfc/edit" TargetMode="External"/><Relationship Id="rId509" Type="http://schemas.openxmlformats.org/officeDocument/2006/relationships/hyperlink" Target="https://docs.google.com/spreadsheets/d/1MIZEz5FonJyHk_MCK42BsZsnfkpV5xAGFDf_asouZN4/edit" TargetMode="External"/><Relationship Id="rId508" Type="http://schemas.openxmlformats.org/officeDocument/2006/relationships/hyperlink" Target="https://docs.google.com/spreadsheets/d/1G2erjfnVwsDbNg03raJdgdjbWy7Iv0dP-wbi_AYu89A/edit" TargetMode="External"/><Relationship Id="rId629" Type="http://schemas.openxmlformats.org/officeDocument/2006/relationships/hyperlink" Target="https://docs.google.com/spreadsheets/d/1_Ewzyd7Ep20dLfXeLZN9gbKp0UJVyxoc445gUIe2mto/edit" TargetMode="External"/><Relationship Id="rId503" Type="http://schemas.openxmlformats.org/officeDocument/2006/relationships/hyperlink" Target="https://docs.google.com/spreadsheets/d/1G2erjfnVwsDbNg03raJdgdjbWy7Iv0dP-wbi_AYu89A/edit" TargetMode="External"/><Relationship Id="rId624" Type="http://schemas.openxmlformats.org/officeDocument/2006/relationships/hyperlink" Target="https://docs.google.com/spreadsheets/d/1ym1Sv-VuhdFyRqQCZKOd3lAnfLIEo5NWjPxGesnq6cc/edit" TargetMode="External"/><Relationship Id="rId502" Type="http://schemas.openxmlformats.org/officeDocument/2006/relationships/hyperlink" Target="https://docs.google.com/spreadsheets/d/1G2erjfnVwsDbNg03raJdgdjbWy7Iv0dP-wbi_AYu89A/edit" TargetMode="External"/><Relationship Id="rId623" Type="http://schemas.openxmlformats.org/officeDocument/2006/relationships/hyperlink" Target="https://docs.google.com/spreadsheets/d/1ym1Sv-VuhdFyRqQCZKOd3lAnfLIEo5NWjPxGesnq6cc/edit" TargetMode="External"/><Relationship Id="rId501" Type="http://schemas.openxmlformats.org/officeDocument/2006/relationships/hyperlink" Target="https://docs.google.com/spreadsheets/d/1G2erjfnVwsDbNg03raJdgdjbWy7Iv0dP-wbi_AYu89A/edit" TargetMode="External"/><Relationship Id="rId622" Type="http://schemas.openxmlformats.org/officeDocument/2006/relationships/hyperlink" Target="https://docs.google.com/spreadsheets/d/1ym1Sv-VuhdFyRqQCZKOd3lAnfLIEo5NWjPxGesnq6cc/edit" TargetMode="External"/><Relationship Id="rId500" Type="http://schemas.openxmlformats.org/officeDocument/2006/relationships/hyperlink" Target="https://docs.google.com/spreadsheets/d/1G2erjfnVwsDbNg03raJdgdjbWy7Iv0dP-wbi_AYu89A/edit" TargetMode="External"/><Relationship Id="rId621" Type="http://schemas.openxmlformats.org/officeDocument/2006/relationships/hyperlink" Target="https://docs.google.com/spreadsheets/d/1ym1Sv-VuhdFyRqQCZKOd3lAnfLIEo5NWjPxGesnq6cc/edit" TargetMode="External"/><Relationship Id="rId507" Type="http://schemas.openxmlformats.org/officeDocument/2006/relationships/hyperlink" Target="https://docs.google.com/spreadsheets/d/1G2erjfnVwsDbNg03raJdgdjbWy7Iv0dP-wbi_AYu89A/edit" TargetMode="External"/><Relationship Id="rId628" Type="http://schemas.openxmlformats.org/officeDocument/2006/relationships/hyperlink" Target="https://docs.google.com/spreadsheets/d/1_Ewzyd7Ep20dLfXeLZN9gbKp0UJVyxoc445gUIe2mto/edit" TargetMode="External"/><Relationship Id="rId506" Type="http://schemas.openxmlformats.org/officeDocument/2006/relationships/hyperlink" Target="https://docs.google.com/spreadsheets/d/1G2erjfnVwsDbNg03raJdgdjbWy7Iv0dP-wbi_AYu89A/edit" TargetMode="External"/><Relationship Id="rId627" Type="http://schemas.openxmlformats.org/officeDocument/2006/relationships/hyperlink" Target="https://docs.google.com/spreadsheets/d/1_Ewzyd7Ep20dLfXeLZN9gbKp0UJVyxoc445gUIe2mto/edit" TargetMode="External"/><Relationship Id="rId505" Type="http://schemas.openxmlformats.org/officeDocument/2006/relationships/hyperlink" Target="https://docs.google.com/spreadsheets/d/1G2erjfnVwsDbNg03raJdgdjbWy7Iv0dP-wbi_AYu89A/edit" TargetMode="External"/><Relationship Id="rId626" Type="http://schemas.openxmlformats.org/officeDocument/2006/relationships/hyperlink" Target="https://docs.google.com/spreadsheets/d/1_Ewzyd7Ep20dLfXeLZN9gbKp0UJVyxoc445gUIe2mto/edit" TargetMode="External"/><Relationship Id="rId504" Type="http://schemas.openxmlformats.org/officeDocument/2006/relationships/hyperlink" Target="https://docs.google.com/spreadsheets/d/1G2erjfnVwsDbNg03raJdgdjbWy7Iv0dP-wbi_AYu89A/edit" TargetMode="External"/><Relationship Id="rId625" Type="http://schemas.openxmlformats.org/officeDocument/2006/relationships/hyperlink" Target="https://docs.google.com/spreadsheets/d/1ym1Sv-VuhdFyRqQCZKOd3lAnfLIEo5NWjPxGesnq6cc/edit" TargetMode="External"/><Relationship Id="rId48" Type="http://schemas.openxmlformats.org/officeDocument/2006/relationships/hyperlink" Target="https://docs.google.com/spreadsheets/d/1nhxpB8ub1Btpq7g0ag9Oo1HmJ4zOQfroeAY9URcYmfc/edit" TargetMode="External"/><Relationship Id="rId47" Type="http://schemas.openxmlformats.org/officeDocument/2006/relationships/hyperlink" Target="https://docs.google.com/spreadsheets/d/1nhxpB8ub1Btpq7g0ag9Oo1HmJ4zOQfroeAY9URcYmfc/edit" TargetMode="External"/><Relationship Id="rId49" Type="http://schemas.openxmlformats.org/officeDocument/2006/relationships/hyperlink" Target="https://docs.google.com/spreadsheets/d/1QfnEcki7sh_0XoTNNyTHSR_P0VHi2brGPRU7n9xzPZs/edit" TargetMode="External"/><Relationship Id="rId620" Type="http://schemas.openxmlformats.org/officeDocument/2006/relationships/hyperlink" Target="https://docs.google.com/spreadsheets/d/1ym1Sv-VuhdFyRqQCZKOd3lAnfLIEo5NWjPxGesnq6cc/edit" TargetMode="External"/><Relationship Id="rId31" Type="http://schemas.openxmlformats.org/officeDocument/2006/relationships/hyperlink" Target="https://docs.google.com/spreadsheets/d/1v6xQ7i_53ts_VDqZNYd9CrjuyUMaDI_0ndcTfipQLOQ/edit" TargetMode="External"/><Relationship Id="rId30" Type="http://schemas.openxmlformats.org/officeDocument/2006/relationships/hyperlink" Target="https://docs.google.com/spreadsheets/d/1v6xQ7i_53ts_VDqZNYd9CrjuyUMaDI_0ndcTfipQLOQ/edit" TargetMode="External"/><Relationship Id="rId33" Type="http://schemas.openxmlformats.org/officeDocument/2006/relationships/hyperlink" Target="https://docs.google.com/spreadsheets/d/1v6xQ7i_53ts_VDqZNYd9CrjuyUMaDI_0ndcTfipQLOQ/edit" TargetMode="External"/><Relationship Id="rId32" Type="http://schemas.openxmlformats.org/officeDocument/2006/relationships/hyperlink" Target="https://docs.google.com/spreadsheets/d/1v6xQ7i_53ts_VDqZNYd9CrjuyUMaDI_0ndcTfipQLOQ/edit" TargetMode="External"/><Relationship Id="rId35" Type="http://schemas.openxmlformats.org/officeDocument/2006/relationships/hyperlink" Target="https://docs.google.com/spreadsheets/d/1te6imWd5RNjE2fCT4YGN5Ka0-RFGopo9p-yC8O3uIpQ/edit" TargetMode="External"/><Relationship Id="rId34" Type="http://schemas.openxmlformats.org/officeDocument/2006/relationships/hyperlink" Target="https://docs.google.com/spreadsheets/d/1v6xQ7i_53ts_VDqZNYd9CrjuyUMaDI_0ndcTfipQLOQ/edit" TargetMode="External"/><Relationship Id="rId619" Type="http://schemas.openxmlformats.org/officeDocument/2006/relationships/hyperlink" Target="https://docs.google.com/spreadsheets/d/1ym1Sv-VuhdFyRqQCZKOd3lAnfLIEo5NWjPxGesnq6cc/edit" TargetMode="External"/><Relationship Id="rId618" Type="http://schemas.openxmlformats.org/officeDocument/2006/relationships/hyperlink" Target="https://docs.google.com/spreadsheets/d/1ym1Sv-VuhdFyRqQCZKOd3lAnfLIEo5NWjPxGesnq6cc/edit" TargetMode="External"/><Relationship Id="rId613" Type="http://schemas.openxmlformats.org/officeDocument/2006/relationships/hyperlink" Target="https://docs.google.com/spreadsheets/d/1ym1Sv-VuhdFyRqQCZKOd3lAnfLIEo5NWjPxGesnq6cc/edit" TargetMode="External"/><Relationship Id="rId612" Type="http://schemas.openxmlformats.org/officeDocument/2006/relationships/hyperlink" Target="https://docs.google.com/spreadsheets/d/1ym1Sv-VuhdFyRqQCZKOd3lAnfLIEo5NWjPxGesnq6cc/edit" TargetMode="External"/><Relationship Id="rId611" Type="http://schemas.openxmlformats.org/officeDocument/2006/relationships/hyperlink" Target="https://docs.google.com/spreadsheets/d/1ym1Sv-VuhdFyRqQCZKOd3lAnfLIEo5NWjPxGesnq6cc/edit" TargetMode="External"/><Relationship Id="rId610" Type="http://schemas.openxmlformats.org/officeDocument/2006/relationships/hyperlink" Target="https://docs.google.com/spreadsheets/d/1ym1Sv-VuhdFyRqQCZKOd3lAnfLIEo5NWjPxGesnq6cc/edit" TargetMode="External"/><Relationship Id="rId617" Type="http://schemas.openxmlformats.org/officeDocument/2006/relationships/hyperlink" Target="https://docs.google.com/spreadsheets/d/1ym1Sv-VuhdFyRqQCZKOd3lAnfLIEo5NWjPxGesnq6cc/edit" TargetMode="External"/><Relationship Id="rId616" Type="http://schemas.openxmlformats.org/officeDocument/2006/relationships/hyperlink" Target="https://docs.google.com/spreadsheets/d/1ym1Sv-VuhdFyRqQCZKOd3lAnfLIEo5NWjPxGesnq6cc/edit" TargetMode="External"/><Relationship Id="rId615" Type="http://schemas.openxmlformats.org/officeDocument/2006/relationships/hyperlink" Target="https://docs.google.com/spreadsheets/d/1ym1Sv-VuhdFyRqQCZKOd3lAnfLIEo5NWjPxGesnq6cc/edit" TargetMode="External"/><Relationship Id="rId614" Type="http://schemas.openxmlformats.org/officeDocument/2006/relationships/hyperlink" Target="https://docs.google.com/spreadsheets/d/1ym1Sv-VuhdFyRqQCZKOd3lAnfLIEo5NWjPxGesnq6cc/edit" TargetMode="External"/><Relationship Id="rId37" Type="http://schemas.openxmlformats.org/officeDocument/2006/relationships/hyperlink" Target="https://docs.google.com/spreadsheets/d/1te6imWd5RNjE2fCT4YGN5Ka0-RFGopo9p-yC8O3uIpQ/edit" TargetMode="External"/><Relationship Id="rId36" Type="http://schemas.openxmlformats.org/officeDocument/2006/relationships/hyperlink" Target="https://docs.google.com/spreadsheets/d/1te6imWd5RNjE2fCT4YGN5Ka0-RFGopo9p-yC8O3uIpQ/edit" TargetMode="External"/><Relationship Id="rId39" Type="http://schemas.openxmlformats.org/officeDocument/2006/relationships/hyperlink" Target="https://docs.google.com/spreadsheets/d/1te6imWd5RNjE2fCT4YGN5Ka0-RFGopo9p-yC8O3uIpQ/edit" TargetMode="External"/><Relationship Id="rId38" Type="http://schemas.openxmlformats.org/officeDocument/2006/relationships/hyperlink" Target="https://docs.google.com/spreadsheets/d/1te6imWd5RNjE2fCT4YGN5Ka0-RFGopo9p-yC8O3uIpQ/edit" TargetMode="External"/><Relationship Id="rId20" Type="http://schemas.openxmlformats.org/officeDocument/2006/relationships/hyperlink" Target="https://docs.google.com/spreadsheets/d/1v6xQ7i_53ts_VDqZNYd9CrjuyUMaDI_0ndcTfipQLOQ/edit" TargetMode="External"/><Relationship Id="rId22" Type="http://schemas.openxmlformats.org/officeDocument/2006/relationships/hyperlink" Target="https://docs.google.com/spreadsheets/d/1v6xQ7i_53ts_VDqZNYd9CrjuyUMaDI_0ndcTfipQLOQ/edit" TargetMode="External"/><Relationship Id="rId21" Type="http://schemas.openxmlformats.org/officeDocument/2006/relationships/hyperlink" Target="https://docs.google.com/spreadsheets/d/1v6xQ7i_53ts_VDqZNYd9CrjuyUMaDI_0ndcTfipQLOQ/edit" TargetMode="External"/><Relationship Id="rId24" Type="http://schemas.openxmlformats.org/officeDocument/2006/relationships/hyperlink" Target="https://docs.google.com/spreadsheets/d/1v6xQ7i_53ts_VDqZNYd9CrjuyUMaDI_0ndcTfipQLOQ/edit" TargetMode="External"/><Relationship Id="rId23" Type="http://schemas.openxmlformats.org/officeDocument/2006/relationships/hyperlink" Target="https://docs.google.com/spreadsheets/d/1v6xQ7i_53ts_VDqZNYd9CrjuyUMaDI_0ndcTfipQLOQ/edit" TargetMode="External"/><Relationship Id="rId409" Type="http://schemas.openxmlformats.org/officeDocument/2006/relationships/hyperlink" Target="https://docs.google.com/spreadsheets/d/1_5RyZ5opNx-8H8xOKuPKDHj0nPQV8oHm2YlkyE4UUpI/edit" TargetMode="External"/><Relationship Id="rId404" Type="http://schemas.openxmlformats.org/officeDocument/2006/relationships/hyperlink" Target="https://docs.google.com/spreadsheets/d/1VknFKLMxMCZeErDyxNo6nrDX_pPp6HcrspEIUAz6i0U/edit" TargetMode="External"/><Relationship Id="rId525" Type="http://schemas.openxmlformats.org/officeDocument/2006/relationships/hyperlink" Target="https://docs.google.com/spreadsheets/d/1vXzFDLeI4qwqR5Z_2zI6vmxkxG9xG2jzr9TyBYe8b6A/edit" TargetMode="External"/><Relationship Id="rId646" Type="http://schemas.openxmlformats.org/officeDocument/2006/relationships/hyperlink" Target="https://docs.google.com/spreadsheets/d/1x1mksuhmqPoXp3XrWyIkZ3NvcJLMo_cxg5UoydFbYxo/edit" TargetMode="External"/><Relationship Id="rId403" Type="http://schemas.openxmlformats.org/officeDocument/2006/relationships/hyperlink" Target="https://docs.google.com/spreadsheets/d/1VknFKLMxMCZeErDyxNo6nrDX_pPp6HcrspEIUAz6i0U/edit" TargetMode="External"/><Relationship Id="rId524" Type="http://schemas.openxmlformats.org/officeDocument/2006/relationships/hyperlink" Target="https://docs.google.com/spreadsheets/d/1vXzFDLeI4qwqR5Z_2zI6vmxkxG9xG2jzr9TyBYe8b6A/edit" TargetMode="External"/><Relationship Id="rId645" Type="http://schemas.openxmlformats.org/officeDocument/2006/relationships/hyperlink" Target="https://docs.google.com/spreadsheets/d/1x1mksuhmqPoXp3XrWyIkZ3NvcJLMo_cxg5UoydFbYxo/edit" TargetMode="External"/><Relationship Id="rId402" Type="http://schemas.openxmlformats.org/officeDocument/2006/relationships/hyperlink" Target="https://docs.google.com/spreadsheets/d/1VknFKLMxMCZeErDyxNo6nrDX_pPp6HcrspEIUAz6i0U/edit" TargetMode="External"/><Relationship Id="rId523" Type="http://schemas.openxmlformats.org/officeDocument/2006/relationships/hyperlink" Target="https://docs.google.com/spreadsheets/d/1vXzFDLeI4qwqR5Z_2zI6vmxkxG9xG2jzr9TyBYe8b6A/edit" TargetMode="External"/><Relationship Id="rId644" Type="http://schemas.openxmlformats.org/officeDocument/2006/relationships/hyperlink" Target="https://docs.google.com/spreadsheets/d/1x1mksuhmqPoXp3XrWyIkZ3NvcJLMo_cxg5UoydFbYxo/edit" TargetMode="External"/><Relationship Id="rId401" Type="http://schemas.openxmlformats.org/officeDocument/2006/relationships/hyperlink" Target="https://docs.google.com/spreadsheets/d/1KIojBEYh0pD4fj8oYlhY0wi_UWWBM9VZfpb91SLR7nM/edit" TargetMode="External"/><Relationship Id="rId522" Type="http://schemas.openxmlformats.org/officeDocument/2006/relationships/hyperlink" Target="https://docs.google.com/spreadsheets/d/1vXzFDLeI4qwqR5Z_2zI6vmxkxG9xG2jzr9TyBYe8b6A/edit" TargetMode="External"/><Relationship Id="rId643" Type="http://schemas.openxmlformats.org/officeDocument/2006/relationships/hyperlink" Target="https://docs.google.com/spreadsheets/d/1_Ewzyd7Ep20dLfXeLZN9gbKp0UJVyxoc445gUIe2mto/edit" TargetMode="External"/><Relationship Id="rId408" Type="http://schemas.openxmlformats.org/officeDocument/2006/relationships/hyperlink" Target="https://docs.google.com/spreadsheets/d/1_5RyZ5opNx-8H8xOKuPKDHj0nPQV8oHm2YlkyE4UUpI/edit" TargetMode="External"/><Relationship Id="rId529" Type="http://schemas.openxmlformats.org/officeDocument/2006/relationships/hyperlink" Target="https://docs.google.com/spreadsheets/d/15I0cc1P2uIbnNibkGt06qGORorwZjHNyhHPfX55A4G4/edit" TargetMode="External"/><Relationship Id="rId407" Type="http://schemas.openxmlformats.org/officeDocument/2006/relationships/hyperlink" Target="https://docs.google.com/spreadsheets/d/1_5RyZ5opNx-8H8xOKuPKDHj0nPQV8oHm2YlkyE4UUpI/edit" TargetMode="External"/><Relationship Id="rId528" Type="http://schemas.openxmlformats.org/officeDocument/2006/relationships/hyperlink" Target="https://docs.google.com/spreadsheets/d/15I0cc1P2uIbnNibkGt06qGORorwZjHNyhHPfX55A4G4/edit" TargetMode="External"/><Relationship Id="rId649" Type="http://schemas.openxmlformats.org/officeDocument/2006/relationships/hyperlink" Target="https://docs.google.com/spreadsheets/d/1x1mksuhmqPoXp3XrWyIkZ3NvcJLMo_cxg5UoydFbYxo/edit" TargetMode="External"/><Relationship Id="rId406" Type="http://schemas.openxmlformats.org/officeDocument/2006/relationships/hyperlink" Target="https://docs.google.com/spreadsheets/d/1_5RyZ5opNx-8H8xOKuPKDHj0nPQV8oHm2YlkyE4UUpI/edit" TargetMode="External"/><Relationship Id="rId527" Type="http://schemas.openxmlformats.org/officeDocument/2006/relationships/hyperlink" Target="https://docs.google.com/spreadsheets/d/15I0cc1P2uIbnNibkGt06qGORorwZjHNyhHPfX55A4G4/edit" TargetMode="External"/><Relationship Id="rId648" Type="http://schemas.openxmlformats.org/officeDocument/2006/relationships/hyperlink" Target="https://docs.google.com/spreadsheets/d/1x1mksuhmqPoXp3XrWyIkZ3NvcJLMo_cxg5UoydFbYxo/edit" TargetMode="External"/><Relationship Id="rId405" Type="http://schemas.openxmlformats.org/officeDocument/2006/relationships/hyperlink" Target="https://docs.google.com/spreadsheets/d/1VknFKLMxMCZeErDyxNo6nrDX_pPp6HcrspEIUAz6i0U/edit" TargetMode="External"/><Relationship Id="rId526" Type="http://schemas.openxmlformats.org/officeDocument/2006/relationships/hyperlink" Target="https://docs.google.com/spreadsheets/d/15I0cc1P2uIbnNibkGt06qGORorwZjHNyhHPfX55A4G4/edit" TargetMode="External"/><Relationship Id="rId647" Type="http://schemas.openxmlformats.org/officeDocument/2006/relationships/hyperlink" Target="https://docs.google.com/spreadsheets/d/1x1mksuhmqPoXp3XrWyIkZ3NvcJLMo_cxg5UoydFbYxo/edit" TargetMode="External"/><Relationship Id="rId26" Type="http://schemas.openxmlformats.org/officeDocument/2006/relationships/hyperlink" Target="https://docs.google.com/spreadsheets/d/1v6xQ7i_53ts_VDqZNYd9CrjuyUMaDI_0ndcTfipQLOQ/edit" TargetMode="External"/><Relationship Id="rId25" Type="http://schemas.openxmlformats.org/officeDocument/2006/relationships/hyperlink" Target="https://docs.google.com/spreadsheets/d/1v6xQ7i_53ts_VDqZNYd9CrjuyUMaDI_0ndcTfipQLOQ/edit" TargetMode="External"/><Relationship Id="rId28" Type="http://schemas.openxmlformats.org/officeDocument/2006/relationships/hyperlink" Target="https://docs.google.com/spreadsheets/d/1v6xQ7i_53ts_VDqZNYd9CrjuyUMaDI_0ndcTfipQLOQ/edit" TargetMode="External"/><Relationship Id="rId27" Type="http://schemas.openxmlformats.org/officeDocument/2006/relationships/hyperlink" Target="https://docs.google.com/spreadsheets/d/1v6xQ7i_53ts_VDqZNYd9CrjuyUMaDI_0ndcTfipQLOQ/edit" TargetMode="External"/><Relationship Id="rId400" Type="http://schemas.openxmlformats.org/officeDocument/2006/relationships/hyperlink" Target="https://docs.google.com/spreadsheets/d/1KIojBEYh0pD4fj8oYlhY0wi_UWWBM9VZfpb91SLR7nM/edit" TargetMode="External"/><Relationship Id="rId521" Type="http://schemas.openxmlformats.org/officeDocument/2006/relationships/hyperlink" Target="https://docs.google.com/spreadsheets/d/1vXzFDLeI4qwqR5Z_2zI6vmxkxG9xG2jzr9TyBYe8b6A/edit" TargetMode="External"/><Relationship Id="rId642" Type="http://schemas.openxmlformats.org/officeDocument/2006/relationships/hyperlink" Target="https://docs.google.com/spreadsheets/d/1_Ewzyd7Ep20dLfXeLZN9gbKp0UJVyxoc445gUIe2mto/edit" TargetMode="External"/><Relationship Id="rId29" Type="http://schemas.openxmlformats.org/officeDocument/2006/relationships/hyperlink" Target="https://docs.google.com/spreadsheets/d/1v6xQ7i_53ts_VDqZNYd9CrjuyUMaDI_0ndcTfipQLOQ/edit" TargetMode="External"/><Relationship Id="rId520" Type="http://schemas.openxmlformats.org/officeDocument/2006/relationships/hyperlink" Target="https://docs.google.com/spreadsheets/d/1vXzFDLeI4qwqR5Z_2zI6vmxkxG9xG2jzr9TyBYe8b6A/edit" TargetMode="External"/><Relationship Id="rId641" Type="http://schemas.openxmlformats.org/officeDocument/2006/relationships/hyperlink" Target="https://docs.google.com/spreadsheets/d/1_Ewzyd7Ep20dLfXeLZN9gbKp0UJVyxoc445gUIe2mto/edit" TargetMode="External"/><Relationship Id="rId640" Type="http://schemas.openxmlformats.org/officeDocument/2006/relationships/hyperlink" Target="https://docs.google.com/spreadsheets/d/1_Ewzyd7Ep20dLfXeLZN9gbKp0UJVyxoc445gUIe2mto/edit" TargetMode="External"/><Relationship Id="rId11" Type="http://schemas.openxmlformats.org/officeDocument/2006/relationships/hyperlink" Target="https://docs.google.com/spreadsheets/d/1kibmPU9KVG36TSvFz1QAzXR5hIb_9KFsACqy5MEVBgg/edit" TargetMode="External"/><Relationship Id="rId10" Type="http://schemas.openxmlformats.org/officeDocument/2006/relationships/hyperlink" Target="https://docs.google.com/spreadsheets/d/1kibmPU9KVG36TSvFz1QAzXR5hIb_9KFsACqy5MEVBgg/edit" TargetMode="External"/><Relationship Id="rId13" Type="http://schemas.openxmlformats.org/officeDocument/2006/relationships/hyperlink" Target="https://docs.google.com/spreadsheets/d/1kibmPU9KVG36TSvFz1QAzXR5hIb_9KFsACqy5MEVBgg/edit" TargetMode="External"/><Relationship Id="rId12" Type="http://schemas.openxmlformats.org/officeDocument/2006/relationships/hyperlink" Target="https://docs.google.com/spreadsheets/d/1kibmPU9KVG36TSvFz1QAzXR5hIb_9KFsACqy5MEVBgg/edit" TargetMode="External"/><Relationship Id="rId519" Type="http://schemas.openxmlformats.org/officeDocument/2006/relationships/hyperlink" Target="https://docs.google.com/spreadsheets/d/1vXzFDLeI4qwqR5Z_2zI6vmxkxG9xG2jzr9TyBYe8b6A/edit" TargetMode="External"/><Relationship Id="rId514" Type="http://schemas.openxmlformats.org/officeDocument/2006/relationships/hyperlink" Target="https://docs.google.com/spreadsheets/d/1MIZEz5FonJyHk_MCK42BsZsnfkpV5xAGFDf_asouZN4/edit" TargetMode="External"/><Relationship Id="rId635" Type="http://schemas.openxmlformats.org/officeDocument/2006/relationships/hyperlink" Target="https://docs.google.com/spreadsheets/d/1_Ewzyd7Ep20dLfXeLZN9gbKp0UJVyxoc445gUIe2mto/edit" TargetMode="External"/><Relationship Id="rId513" Type="http://schemas.openxmlformats.org/officeDocument/2006/relationships/hyperlink" Target="https://docs.google.com/spreadsheets/d/1MIZEz5FonJyHk_MCK42BsZsnfkpV5xAGFDf_asouZN4/edit" TargetMode="External"/><Relationship Id="rId634" Type="http://schemas.openxmlformats.org/officeDocument/2006/relationships/hyperlink" Target="https://docs.google.com/spreadsheets/d/1_Ewzyd7Ep20dLfXeLZN9gbKp0UJVyxoc445gUIe2mto/edit" TargetMode="External"/><Relationship Id="rId512" Type="http://schemas.openxmlformats.org/officeDocument/2006/relationships/hyperlink" Target="https://docs.google.com/spreadsheets/d/1MIZEz5FonJyHk_MCK42BsZsnfkpV5xAGFDf_asouZN4/edit" TargetMode="External"/><Relationship Id="rId633" Type="http://schemas.openxmlformats.org/officeDocument/2006/relationships/hyperlink" Target="https://docs.google.com/spreadsheets/d/1_Ewzyd7Ep20dLfXeLZN9gbKp0UJVyxoc445gUIe2mto/edit" TargetMode="External"/><Relationship Id="rId511" Type="http://schemas.openxmlformats.org/officeDocument/2006/relationships/hyperlink" Target="https://docs.google.com/spreadsheets/d/1MIZEz5FonJyHk_MCK42BsZsnfkpV5xAGFDf_asouZN4/edit" TargetMode="External"/><Relationship Id="rId632" Type="http://schemas.openxmlformats.org/officeDocument/2006/relationships/hyperlink" Target="https://docs.google.com/spreadsheets/d/1_Ewzyd7Ep20dLfXeLZN9gbKp0UJVyxoc445gUIe2mto/edit" TargetMode="External"/><Relationship Id="rId518" Type="http://schemas.openxmlformats.org/officeDocument/2006/relationships/hyperlink" Target="https://docs.google.com/spreadsheets/d/1vXzFDLeI4qwqR5Z_2zI6vmxkxG9xG2jzr9TyBYe8b6A/edit" TargetMode="External"/><Relationship Id="rId639" Type="http://schemas.openxmlformats.org/officeDocument/2006/relationships/hyperlink" Target="https://docs.google.com/spreadsheets/d/1_Ewzyd7Ep20dLfXeLZN9gbKp0UJVyxoc445gUIe2mto/edit" TargetMode="External"/><Relationship Id="rId517" Type="http://schemas.openxmlformats.org/officeDocument/2006/relationships/hyperlink" Target="https://docs.google.com/spreadsheets/d/1vXzFDLeI4qwqR5Z_2zI6vmxkxG9xG2jzr9TyBYe8b6A/edit" TargetMode="External"/><Relationship Id="rId638" Type="http://schemas.openxmlformats.org/officeDocument/2006/relationships/hyperlink" Target="https://docs.google.com/spreadsheets/d/1_Ewzyd7Ep20dLfXeLZN9gbKp0UJVyxoc445gUIe2mto/edit" TargetMode="External"/><Relationship Id="rId516" Type="http://schemas.openxmlformats.org/officeDocument/2006/relationships/hyperlink" Target="https://docs.google.com/spreadsheets/d/1vXzFDLeI4qwqR5Z_2zI6vmxkxG9xG2jzr9TyBYe8b6A/edit" TargetMode="External"/><Relationship Id="rId637" Type="http://schemas.openxmlformats.org/officeDocument/2006/relationships/hyperlink" Target="https://docs.google.com/spreadsheets/d/1_Ewzyd7Ep20dLfXeLZN9gbKp0UJVyxoc445gUIe2mto/edit" TargetMode="External"/><Relationship Id="rId515" Type="http://schemas.openxmlformats.org/officeDocument/2006/relationships/hyperlink" Target="https://docs.google.com/spreadsheets/d/1vXzFDLeI4qwqR5Z_2zI6vmxkxG9xG2jzr9TyBYe8b6A/edit" TargetMode="External"/><Relationship Id="rId636" Type="http://schemas.openxmlformats.org/officeDocument/2006/relationships/hyperlink" Target="https://docs.google.com/spreadsheets/d/1_Ewzyd7Ep20dLfXeLZN9gbKp0UJVyxoc445gUIe2mto/edit" TargetMode="External"/><Relationship Id="rId15" Type="http://schemas.openxmlformats.org/officeDocument/2006/relationships/hyperlink" Target="https://docs.google.com/spreadsheets/d/1kibmPU9KVG36TSvFz1QAzXR5hIb_9KFsACqy5MEVBgg/edit" TargetMode="External"/><Relationship Id="rId14" Type="http://schemas.openxmlformats.org/officeDocument/2006/relationships/hyperlink" Target="https://docs.google.com/spreadsheets/d/1kibmPU9KVG36TSvFz1QAzXR5hIb_9KFsACqy5MEVBgg/edit" TargetMode="External"/><Relationship Id="rId17" Type="http://schemas.openxmlformats.org/officeDocument/2006/relationships/hyperlink" Target="https://docs.google.com/spreadsheets/d/1kibmPU9KVG36TSvFz1QAzXR5hIb_9KFsACqy5MEVBgg/edit" TargetMode="External"/><Relationship Id="rId16" Type="http://schemas.openxmlformats.org/officeDocument/2006/relationships/hyperlink" Target="https://docs.google.com/spreadsheets/d/1kibmPU9KVG36TSvFz1QAzXR5hIb_9KFsACqy5MEVBgg/edit" TargetMode="External"/><Relationship Id="rId19" Type="http://schemas.openxmlformats.org/officeDocument/2006/relationships/hyperlink" Target="https://docs.google.com/spreadsheets/d/1v6xQ7i_53ts_VDqZNYd9CrjuyUMaDI_0ndcTfipQLOQ/edit" TargetMode="External"/><Relationship Id="rId510" Type="http://schemas.openxmlformats.org/officeDocument/2006/relationships/hyperlink" Target="https://docs.google.com/spreadsheets/d/1MIZEz5FonJyHk_MCK42BsZsnfkpV5xAGFDf_asouZN4/edit" TargetMode="External"/><Relationship Id="rId631" Type="http://schemas.openxmlformats.org/officeDocument/2006/relationships/hyperlink" Target="https://docs.google.com/spreadsheets/d/1_Ewzyd7Ep20dLfXeLZN9gbKp0UJVyxoc445gUIe2mto/edit" TargetMode="External"/><Relationship Id="rId18" Type="http://schemas.openxmlformats.org/officeDocument/2006/relationships/hyperlink" Target="https://docs.google.com/spreadsheets/d/1kibmPU9KVG36TSvFz1QAzXR5hIb_9KFsACqy5MEVBgg/edit" TargetMode="External"/><Relationship Id="rId630" Type="http://schemas.openxmlformats.org/officeDocument/2006/relationships/hyperlink" Target="https://docs.google.com/spreadsheets/d/1_Ewzyd7Ep20dLfXeLZN9gbKp0UJVyxoc445gUIe2mto/edit" TargetMode="External"/><Relationship Id="rId84" Type="http://schemas.openxmlformats.org/officeDocument/2006/relationships/hyperlink" Target="https://docs.google.com/spreadsheets/d/1JdzfvqsgYq2WAySJsPD6QgEaMs3rxlp_rHykaM7Qpnk/edit" TargetMode="External"/><Relationship Id="rId83" Type="http://schemas.openxmlformats.org/officeDocument/2006/relationships/hyperlink" Target="https://docs.google.com/spreadsheets/d/1JdzfvqsgYq2WAySJsPD6QgEaMs3rxlp_rHykaM7Qpnk/edit" TargetMode="External"/><Relationship Id="rId86" Type="http://schemas.openxmlformats.org/officeDocument/2006/relationships/hyperlink" Target="https://docs.google.com/spreadsheets/d/1JdzfvqsgYq2WAySJsPD6QgEaMs3rxlp_rHykaM7Qpnk/edit" TargetMode="External"/><Relationship Id="rId85" Type="http://schemas.openxmlformats.org/officeDocument/2006/relationships/hyperlink" Target="https://docs.google.com/spreadsheets/d/1JdzfvqsgYq2WAySJsPD6QgEaMs3rxlp_rHykaM7Qpnk/edit" TargetMode="External"/><Relationship Id="rId88" Type="http://schemas.openxmlformats.org/officeDocument/2006/relationships/hyperlink" Target="https://docs.google.com/spreadsheets/d/1BcTQFxJieZhVaisvuouNhJsV6404T8R5sMSOYu5Y7B0/edit" TargetMode="External"/><Relationship Id="rId87" Type="http://schemas.openxmlformats.org/officeDocument/2006/relationships/hyperlink" Target="https://docs.google.com/spreadsheets/d/1JdzfvqsgYq2WAySJsPD6QgEaMs3rxlp_rHykaM7Qpnk/edit" TargetMode="External"/><Relationship Id="rId89" Type="http://schemas.openxmlformats.org/officeDocument/2006/relationships/hyperlink" Target="https://docs.google.com/spreadsheets/d/1BcTQFxJieZhVaisvuouNhJsV6404T8R5sMSOYu5Y7B0/edit" TargetMode="External"/><Relationship Id="rId80" Type="http://schemas.openxmlformats.org/officeDocument/2006/relationships/hyperlink" Target="https://docs.google.com/spreadsheets/d/1JdzfvqsgYq2WAySJsPD6QgEaMs3rxlp_rHykaM7Qpnk/edit" TargetMode="External"/><Relationship Id="rId82" Type="http://schemas.openxmlformats.org/officeDocument/2006/relationships/hyperlink" Target="https://docs.google.com/spreadsheets/d/1JdzfvqsgYq2WAySJsPD6QgEaMs3rxlp_rHykaM7Qpnk/edit" TargetMode="External"/><Relationship Id="rId81" Type="http://schemas.openxmlformats.org/officeDocument/2006/relationships/hyperlink" Target="https://docs.google.com/spreadsheets/d/1JdzfvqsgYq2WAySJsPD6QgEaMs3rxlp_rHykaM7Qpnk/edit" TargetMode="External"/><Relationship Id="rId73" Type="http://schemas.openxmlformats.org/officeDocument/2006/relationships/hyperlink" Target="https://docs.google.com/spreadsheets/d/1m65FxRZCfTnFqeEy9nG_ye3Jvsss1ps3mX9W8cYE6zc/edit" TargetMode="External"/><Relationship Id="rId72" Type="http://schemas.openxmlformats.org/officeDocument/2006/relationships/hyperlink" Target="https://docs.google.com/spreadsheets/d/1m65FxRZCfTnFqeEy9nG_ye3Jvsss1ps3mX9W8cYE6zc/edit" TargetMode="External"/><Relationship Id="rId75" Type="http://schemas.openxmlformats.org/officeDocument/2006/relationships/hyperlink" Target="https://docs.google.com/spreadsheets/d/1m65FxRZCfTnFqeEy9nG_ye3Jvsss1ps3mX9W8cYE6zc/edit" TargetMode="External"/><Relationship Id="rId74" Type="http://schemas.openxmlformats.org/officeDocument/2006/relationships/hyperlink" Target="https://docs.google.com/spreadsheets/d/1m65FxRZCfTnFqeEy9nG_ye3Jvsss1ps3mX9W8cYE6zc/edit" TargetMode="External"/><Relationship Id="rId77" Type="http://schemas.openxmlformats.org/officeDocument/2006/relationships/hyperlink" Target="https://docs.google.com/spreadsheets/d/1JdzfvqsgYq2WAySJsPD6QgEaMs3rxlp_rHykaM7Qpnk/edit" TargetMode="External"/><Relationship Id="rId76" Type="http://schemas.openxmlformats.org/officeDocument/2006/relationships/hyperlink" Target="https://docs.google.com/spreadsheets/d/1m65FxRZCfTnFqeEy9nG_ye3Jvsss1ps3mX9W8cYE6zc/edit" TargetMode="External"/><Relationship Id="rId79" Type="http://schemas.openxmlformats.org/officeDocument/2006/relationships/hyperlink" Target="https://docs.google.com/spreadsheets/d/1JdzfvqsgYq2WAySJsPD6QgEaMs3rxlp_rHykaM7Qpnk/edit" TargetMode="External"/><Relationship Id="rId78" Type="http://schemas.openxmlformats.org/officeDocument/2006/relationships/hyperlink" Target="https://docs.google.com/spreadsheets/d/1JdzfvqsgYq2WAySJsPD6QgEaMs3rxlp_rHykaM7Qpnk/edit" TargetMode="External"/><Relationship Id="rId71" Type="http://schemas.openxmlformats.org/officeDocument/2006/relationships/hyperlink" Target="https://docs.google.com/spreadsheets/d/1m65FxRZCfTnFqeEy9nG_ye3Jvsss1ps3mX9W8cYE6zc/edit" TargetMode="External"/><Relationship Id="rId70" Type="http://schemas.openxmlformats.org/officeDocument/2006/relationships/hyperlink" Target="https://docs.google.com/spreadsheets/d/1m65FxRZCfTnFqeEy9nG_ye3Jvsss1ps3mX9W8cYE6zc/edit" TargetMode="External"/><Relationship Id="rId62" Type="http://schemas.openxmlformats.org/officeDocument/2006/relationships/hyperlink" Target="https://docs.google.com/spreadsheets/d/1Yi18wLCKXbOiWwBJlJFfeY1NPY5-iWcnsRt6ZNhe3-E/edit" TargetMode="External"/><Relationship Id="rId61" Type="http://schemas.openxmlformats.org/officeDocument/2006/relationships/hyperlink" Target="https://docs.google.com/spreadsheets/d/1Yi18wLCKXbOiWwBJlJFfeY1NPY5-iWcnsRt6ZNhe3-E/edit" TargetMode="External"/><Relationship Id="rId64" Type="http://schemas.openxmlformats.org/officeDocument/2006/relationships/hyperlink" Target="https://docs.google.com/spreadsheets/d/1Yi18wLCKXbOiWwBJlJFfeY1NPY5-iWcnsRt6ZNhe3-E/edit" TargetMode="External"/><Relationship Id="rId63" Type="http://schemas.openxmlformats.org/officeDocument/2006/relationships/hyperlink" Target="https://docs.google.com/spreadsheets/d/1Yi18wLCKXbOiWwBJlJFfeY1NPY5-iWcnsRt6ZNhe3-E/edit" TargetMode="External"/><Relationship Id="rId66" Type="http://schemas.openxmlformats.org/officeDocument/2006/relationships/hyperlink" Target="https://docs.google.com/spreadsheets/d/1eOrrNfW-3rdHrGxx5I90OvXITRaQB6kEJZxhiYUW91w/edit" TargetMode="External"/><Relationship Id="rId65" Type="http://schemas.openxmlformats.org/officeDocument/2006/relationships/hyperlink" Target="https://docs.google.com/spreadsheets/d/1Yi18wLCKXbOiWwBJlJFfeY1NPY5-iWcnsRt6ZNhe3-E/edit" TargetMode="External"/><Relationship Id="rId68" Type="http://schemas.openxmlformats.org/officeDocument/2006/relationships/hyperlink" Target="https://docs.google.com/spreadsheets/d/1m65FxRZCfTnFqeEy9nG_ye3Jvsss1ps3mX9W8cYE6zc/edit" TargetMode="External"/><Relationship Id="rId67" Type="http://schemas.openxmlformats.org/officeDocument/2006/relationships/hyperlink" Target="https://docs.google.com/spreadsheets/d/1m65FxRZCfTnFqeEy9nG_ye3Jvsss1ps3mX9W8cYE6zc/edit" TargetMode="External"/><Relationship Id="rId609" Type="http://schemas.openxmlformats.org/officeDocument/2006/relationships/hyperlink" Target="https://docs.google.com/spreadsheets/d/1ym1Sv-VuhdFyRqQCZKOd3lAnfLIEo5NWjPxGesnq6cc/edit" TargetMode="External"/><Relationship Id="rId608" Type="http://schemas.openxmlformats.org/officeDocument/2006/relationships/hyperlink" Target="https://docs.google.com/spreadsheets/d/1ym1Sv-VuhdFyRqQCZKOd3lAnfLIEo5NWjPxGesnq6cc/edit" TargetMode="External"/><Relationship Id="rId607" Type="http://schemas.openxmlformats.org/officeDocument/2006/relationships/hyperlink" Target="https://docs.google.com/spreadsheets/d/1ym1Sv-VuhdFyRqQCZKOd3lAnfLIEo5NWjPxGesnq6cc/edit" TargetMode="External"/><Relationship Id="rId60" Type="http://schemas.openxmlformats.org/officeDocument/2006/relationships/hyperlink" Target="https://docs.google.com/spreadsheets/d/1Yi18wLCKXbOiWwBJlJFfeY1NPY5-iWcnsRt6ZNhe3-E/edit" TargetMode="External"/><Relationship Id="rId602" Type="http://schemas.openxmlformats.org/officeDocument/2006/relationships/hyperlink" Target="https://docs.google.com/spreadsheets/d/1CpQlRuQHa2hskrwFMwZSr2eMjA4vqEUzhtjUsg35y5k/edit" TargetMode="External"/><Relationship Id="rId601" Type="http://schemas.openxmlformats.org/officeDocument/2006/relationships/hyperlink" Target="https://docs.google.com/spreadsheets/d/1CpQlRuQHa2hskrwFMwZSr2eMjA4vqEUzhtjUsg35y5k/edit" TargetMode="External"/><Relationship Id="rId600" Type="http://schemas.openxmlformats.org/officeDocument/2006/relationships/hyperlink" Target="https://docs.google.com/spreadsheets/d/1CpQlRuQHa2hskrwFMwZSr2eMjA4vqEUzhtjUsg35y5k/edit" TargetMode="External"/><Relationship Id="rId606" Type="http://schemas.openxmlformats.org/officeDocument/2006/relationships/hyperlink" Target="https://docs.google.com/spreadsheets/d/1ym1Sv-VuhdFyRqQCZKOd3lAnfLIEo5NWjPxGesnq6cc/edit" TargetMode="External"/><Relationship Id="rId605" Type="http://schemas.openxmlformats.org/officeDocument/2006/relationships/hyperlink" Target="https://docs.google.com/spreadsheets/d/1ym1Sv-VuhdFyRqQCZKOd3lAnfLIEo5NWjPxGesnq6cc/edit" TargetMode="External"/><Relationship Id="rId604" Type="http://schemas.openxmlformats.org/officeDocument/2006/relationships/hyperlink" Target="https://docs.google.com/spreadsheets/d/1ym1Sv-VuhdFyRqQCZKOd3lAnfLIEo5NWjPxGesnq6cc/edit" TargetMode="External"/><Relationship Id="rId603" Type="http://schemas.openxmlformats.org/officeDocument/2006/relationships/hyperlink" Target="https://docs.google.com/spreadsheets/d/1CpQlRuQHa2hskrwFMwZSr2eMjA4vqEUzhtjUsg35y5k/edit" TargetMode="External"/><Relationship Id="rId69" Type="http://schemas.openxmlformats.org/officeDocument/2006/relationships/hyperlink" Target="https://docs.google.com/spreadsheets/d/1m65FxRZCfTnFqeEy9nG_ye3Jvsss1ps3mX9W8cYE6zc/edit" TargetMode="External"/><Relationship Id="rId51" Type="http://schemas.openxmlformats.org/officeDocument/2006/relationships/hyperlink" Target="https://docs.google.com/spreadsheets/d/1nhxpB8ub1Btpq7g0ag9Oo1HmJ4zOQfroeAY9URcYmfc/edit" TargetMode="External"/><Relationship Id="rId50" Type="http://schemas.openxmlformats.org/officeDocument/2006/relationships/hyperlink" Target="https://docs.google.com/spreadsheets/d/1nhxpB8ub1Btpq7g0ag9Oo1HmJ4zOQfroeAY9URcYmfc/edit" TargetMode="External"/><Relationship Id="rId53" Type="http://schemas.openxmlformats.org/officeDocument/2006/relationships/hyperlink" Target="https://docs.google.com/spreadsheets/d/1nhxpB8ub1Btpq7g0ag9Oo1HmJ4zOQfroeAY9URcYmfc/edit" TargetMode="External"/><Relationship Id="rId52" Type="http://schemas.openxmlformats.org/officeDocument/2006/relationships/hyperlink" Target="https://docs.google.com/spreadsheets/d/1nhxpB8ub1Btpq7g0ag9Oo1HmJ4zOQfroeAY9URcYmfc/edit" TargetMode="External"/><Relationship Id="rId55" Type="http://schemas.openxmlformats.org/officeDocument/2006/relationships/hyperlink" Target="https://docs.google.com/spreadsheets/d/1nhxpB8ub1Btpq7g0ag9Oo1HmJ4zOQfroeAY9URcYmfc/edit" TargetMode="External"/><Relationship Id="rId54" Type="http://schemas.openxmlformats.org/officeDocument/2006/relationships/hyperlink" Target="https://docs.google.com/spreadsheets/d/1nhxpB8ub1Btpq7g0ag9Oo1HmJ4zOQfroeAY9URcYmfc/edit" TargetMode="External"/><Relationship Id="rId57" Type="http://schemas.openxmlformats.org/officeDocument/2006/relationships/hyperlink" Target="https://docs.google.com/spreadsheets/d/1Yi18wLCKXbOiWwBJlJFfeY1NPY5-iWcnsRt6ZNhe3-E/edit" TargetMode="External"/><Relationship Id="rId56" Type="http://schemas.openxmlformats.org/officeDocument/2006/relationships/hyperlink" Target="https://docs.google.com/spreadsheets/d/1nhxpB8ub1Btpq7g0ag9Oo1HmJ4zOQfroeAY9URcYmfc/edit" TargetMode="External"/><Relationship Id="rId59" Type="http://schemas.openxmlformats.org/officeDocument/2006/relationships/hyperlink" Target="https://docs.google.com/spreadsheets/d/1Yi18wLCKXbOiWwBJlJFfeY1NPY5-iWcnsRt6ZNhe3-E/edit" TargetMode="External"/><Relationship Id="rId58" Type="http://schemas.openxmlformats.org/officeDocument/2006/relationships/hyperlink" Target="https://docs.google.com/spreadsheets/d/1Yi18wLCKXbOiWwBJlJFfeY1NPY5-iWcnsRt6ZNhe3-E/edit" TargetMode="External"/><Relationship Id="rId590" Type="http://schemas.openxmlformats.org/officeDocument/2006/relationships/hyperlink" Target="https://docs.google.com/spreadsheets/d/13uy5VqqUJMCw37m2dCDEP4SHpElR0DeYzGeqrxHSdOo/edit" TargetMode="External"/><Relationship Id="rId107" Type="http://schemas.openxmlformats.org/officeDocument/2006/relationships/hyperlink" Target="https://docs.google.com/spreadsheets/d/1LudQhqblJTjABTQtN2GqN3R0o7KUT0b0O-nmynRnZe0/edit" TargetMode="External"/><Relationship Id="rId228" Type="http://schemas.openxmlformats.org/officeDocument/2006/relationships/hyperlink" Target="https://docs.google.com/spreadsheets/d/1RoOUMDlE5a85KgOh90M7P_6s3_l8RC9Vhsng6uJLsVM/edit" TargetMode="External"/><Relationship Id="rId349" Type="http://schemas.openxmlformats.org/officeDocument/2006/relationships/hyperlink" Target="https://docs.google.com/spreadsheets/d/1Y2I686T1v8_AzO27Huj8oudxn6wQX-yukvpXODVkHxo/edit" TargetMode="External"/><Relationship Id="rId106" Type="http://schemas.openxmlformats.org/officeDocument/2006/relationships/hyperlink" Target="https://docs.google.com/spreadsheets/d/1LudQhqblJTjABTQtN2GqN3R0o7KUT0b0O-nmynRnZe0/edit" TargetMode="External"/><Relationship Id="rId227" Type="http://schemas.openxmlformats.org/officeDocument/2006/relationships/hyperlink" Target="https://docs.google.com/spreadsheets/d/1RoOUMDlE5a85KgOh90M7P_6s3_l8RC9Vhsng6uJLsVM/edit" TargetMode="External"/><Relationship Id="rId348" Type="http://schemas.openxmlformats.org/officeDocument/2006/relationships/hyperlink" Target="https://docs.google.com/spreadsheets/d/1kEQ3ecXVna-EQnU_I7CNB8a8anw1dginbyltGbSWZBE/edit" TargetMode="External"/><Relationship Id="rId469" Type="http://schemas.openxmlformats.org/officeDocument/2006/relationships/hyperlink" Target="https://docs.google.com/spreadsheets/d/1vSL4ieeJVfPAESI2k5iKQ0jaOVoVMnDfH6D7IQtKEZE/edit" TargetMode="External"/><Relationship Id="rId105" Type="http://schemas.openxmlformats.org/officeDocument/2006/relationships/hyperlink" Target="https://docs.google.com/spreadsheets/d/1LudQhqblJTjABTQtN2GqN3R0o7KUT0b0O-nmynRnZe0/edit" TargetMode="External"/><Relationship Id="rId226" Type="http://schemas.openxmlformats.org/officeDocument/2006/relationships/hyperlink" Target="https://docs.google.com/spreadsheets/d/1RoOUMDlE5a85KgOh90M7P_6s3_l8RC9Vhsng6uJLsVM/edit" TargetMode="External"/><Relationship Id="rId347" Type="http://schemas.openxmlformats.org/officeDocument/2006/relationships/hyperlink" Target="https://docs.google.com/spreadsheets/d/1kEQ3ecXVna-EQnU_I7CNB8a8anw1dginbyltGbSWZBE/edit" TargetMode="External"/><Relationship Id="rId468" Type="http://schemas.openxmlformats.org/officeDocument/2006/relationships/hyperlink" Target="https://docs.google.com/spreadsheets/d/1vSL4ieeJVfPAESI2k5iKQ0jaOVoVMnDfH6D7IQtKEZE/edit" TargetMode="External"/><Relationship Id="rId589" Type="http://schemas.openxmlformats.org/officeDocument/2006/relationships/hyperlink" Target="https://docs.google.com/spreadsheets/d/13uy5VqqUJMCw37m2dCDEP4SHpElR0DeYzGeqrxHSdOo/edit" TargetMode="External"/><Relationship Id="rId104" Type="http://schemas.openxmlformats.org/officeDocument/2006/relationships/hyperlink" Target="https://docs.google.com/spreadsheets/d/1LudQhqblJTjABTQtN2GqN3R0o7KUT0b0O-nmynRnZe0/edit" TargetMode="External"/><Relationship Id="rId225" Type="http://schemas.openxmlformats.org/officeDocument/2006/relationships/hyperlink" Target="https://docs.google.com/spreadsheets/d/1RoOUMDlE5a85KgOh90M7P_6s3_l8RC9Vhsng6uJLsVM/edit" TargetMode="External"/><Relationship Id="rId346" Type="http://schemas.openxmlformats.org/officeDocument/2006/relationships/hyperlink" Target="https://docs.google.com/spreadsheets/d/1kEQ3ecXVna-EQnU_I7CNB8a8anw1dginbyltGbSWZBE/edit" TargetMode="External"/><Relationship Id="rId467" Type="http://schemas.openxmlformats.org/officeDocument/2006/relationships/hyperlink" Target="https://docs.google.com/spreadsheets/d/1vSL4ieeJVfPAESI2k5iKQ0jaOVoVMnDfH6D7IQtKEZE/edit" TargetMode="External"/><Relationship Id="rId588" Type="http://schemas.openxmlformats.org/officeDocument/2006/relationships/hyperlink" Target="https://docs.google.com/spreadsheets/d/13uy5VqqUJMCw37m2dCDEP4SHpElR0DeYzGeqrxHSdOo/edit" TargetMode="External"/><Relationship Id="rId109" Type="http://schemas.openxmlformats.org/officeDocument/2006/relationships/hyperlink" Target="https://docs.google.com/spreadsheets/d/1vnaZ7UJqBhbSRFJh1dGrMvF1p6DH2A6_yHSORkEd-DI/edit" TargetMode="External"/><Relationship Id="rId108" Type="http://schemas.openxmlformats.org/officeDocument/2006/relationships/hyperlink" Target="https://docs.google.com/spreadsheets/d/1LudQhqblJTjABTQtN2GqN3R0o7KUT0b0O-nmynRnZe0/edit" TargetMode="External"/><Relationship Id="rId229" Type="http://schemas.openxmlformats.org/officeDocument/2006/relationships/hyperlink" Target="https://docs.google.com/spreadsheets/d/1RoOUMDlE5a85KgOh90M7P_6s3_l8RC9Vhsng6uJLsVM/edit" TargetMode="External"/><Relationship Id="rId220" Type="http://schemas.openxmlformats.org/officeDocument/2006/relationships/hyperlink" Target="https://docs.google.com/spreadsheets/d/1U3aHdBqozS85_c_zmFPxEeLUDorXwFA2efFKO_Y8fQ8/edit" TargetMode="External"/><Relationship Id="rId341" Type="http://schemas.openxmlformats.org/officeDocument/2006/relationships/hyperlink" Target="https://docs.google.com/spreadsheets/d/1kEQ3ecXVna-EQnU_I7CNB8a8anw1dginbyltGbSWZBE/edit" TargetMode="External"/><Relationship Id="rId462" Type="http://schemas.openxmlformats.org/officeDocument/2006/relationships/hyperlink" Target="https://docs.google.com/spreadsheets/d/1usWRu9bfzndPe3Ohk9h2tQ0iVw0GruU_Gnx3hBc9fQA/edit" TargetMode="External"/><Relationship Id="rId583" Type="http://schemas.openxmlformats.org/officeDocument/2006/relationships/hyperlink" Target="https://docs.google.com/spreadsheets/d/13uy5VqqUJMCw37m2dCDEP4SHpElR0DeYzGeqrxHSdOo/edit" TargetMode="External"/><Relationship Id="rId340" Type="http://schemas.openxmlformats.org/officeDocument/2006/relationships/hyperlink" Target="https://docs.google.com/spreadsheets/d/1kEQ3ecXVna-EQnU_I7CNB8a8anw1dginbyltGbSWZBE/edit" TargetMode="External"/><Relationship Id="rId461" Type="http://schemas.openxmlformats.org/officeDocument/2006/relationships/hyperlink" Target="https://docs.google.com/spreadsheets/d/1usWRu9bfzndPe3Ohk9h2tQ0iVw0GruU_Gnx3hBc9fQA/edit" TargetMode="External"/><Relationship Id="rId582" Type="http://schemas.openxmlformats.org/officeDocument/2006/relationships/hyperlink" Target="https://docs.google.com/spreadsheets/d/13uy5VqqUJMCw37m2dCDEP4SHpElR0DeYzGeqrxHSdOo/edit" TargetMode="External"/><Relationship Id="rId460" Type="http://schemas.openxmlformats.org/officeDocument/2006/relationships/hyperlink" Target="https://docs.google.com/spreadsheets/d/1usWRu9bfzndPe3Ohk9h2tQ0iVw0GruU_Gnx3hBc9fQA/edit" TargetMode="External"/><Relationship Id="rId581" Type="http://schemas.openxmlformats.org/officeDocument/2006/relationships/hyperlink" Target="https://docs.google.com/spreadsheets/d/12-VBh45HbH9XVmcLPEhsfTYhlt-jaswHIS1HLTw4EFE/edit" TargetMode="External"/><Relationship Id="rId580" Type="http://schemas.openxmlformats.org/officeDocument/2006/relationships/hyperlink" Target="https://docs.google.com/spreadsheets/d/12-VBh45HbH9XVmcLPEhsfTYhlt-jaswHIS1HLTw4EFE/edit" TargetMode="External"/><Relationship Id="rId103" Type="http://schemas.openxmlformats.org/officeDocument/2006/relationships/hyperlink" Target="https://docs.google.com/spreadsheets/d/1LudQhqblJTjABTQtN2GqN3R0o7KUT0b0O-nmynRnZe0/edit" TargetMode="External"/><Relationship Id="rId224" Type="http://schemas.openxmlformats.org/officeDocument/2006/relationships/hyperlink" Target="https://docs.google.com/spreadsheets/d/1RoOUMDlE5a85KgOh90M7P_6s3_l8RC9Vhsng6uJLsVM/edit" TargetMode="External"/><Relationship Id="rId345" Type="http://schemas.openxmlformats.org/officeDocument/2006/relationships/hyperlink" Target="https://docs.google.com/spreadsheets/d/1kEQ3ecXVna-EQnU_I7CNB8a8anw1dginbyltGbSWZBE/edit" TargetMode="External"/><Relationship Id="rId466" Type="http://schemas.openxmlformats.org/officeDocument/2006/relationships/hyperlink" Target="https://docs.google.com/spreadsheets/d/1vSL4ieeJVfPAESI2k5iKQ0jaOVoVMnDfH6D7IQtKEZE/edit" TargetMode="External"/><Relationship Id="rId587" Type="http://schemas.openxmlformats.org/officeDocument/2006/relationships/hyperlink" Target="https://docs.google.com/spreadsheets/d/13uy5VqqUJMCw37m2dCDEP4SHpElR0DeYzGeqrxHSdOo/edit" TargetMode="External"/><Relationship Id="rId102" Type="http://schemas.openxmlformats.org/officeDocument/2006/relationships/hyperlink" Target="https://docs.google.com/spreadsheets/d/1LudQhqblJTjABTQtN2GqN3R0o7KUT0b0O-nmynRnZe0/edit" TargetMode="External"/><Relationship Id="rId223" Type="http://schemas.openxmlformats.org/officeDocument/2006/relationships/hyperlink" Target="https://docs.google.com/spreadsheets/d/1U3aHdBqozS85_c_zmFPxEeLUDorXwFA2efFKO_Y8fQ8/edit" TargetMode="External"/><Relationship Id="rId344" Type="http://schemas.openxmlformats.org/officeDocument/2006/relationships/hyperlink" Target="https://docs.google.com/spreadsheets/d/1kEQ3ecXVna-EQnU_I7CNB8a8anw1dginbyltGbSWZBE/edit" TargetMode="External"/><Relationship Id="rId465" Type="http://schemas.openxmlformats.org/officeDocument/2006/relationships/hyperlink" Target="https://docs.google.com/spreadsheets/d/1vSL4ieeJVfPAESI2k5iKQ0jaOVoVMnDfH6D7IQtKEZE/edit" TargetMode="External"/><Relationship Id="rId586" Type="http://schemas.openxmlformats.org/officeDocument/2006/relationships/hyperlink" Target="https://docs.google.com/spreadsheets/d/13uy5VqqUJMCw37m2dCDEP4SHpElR0DeYzGeqrxHSdOo/edit" TargetMode="External"/><Relationship Id="rId101" Type="http://schemas.openxmlformats.org/officeDocument/2006/relationships/hyperlink" Target="https://docs.google.com/spreadsheets/d/1LudQhqblJTjABTQtN2GqN3R0o7KUT0b0O-nmynRnZe0/edit" TargetMode="External"/><Relationship Id="rId222" Type="http://schemas.openxmlformats.org/officeDocument/2006/relationships/hyperlink" Target="https://docs.google.com/spreadsheets/d/1U3aHdBqozS85_c_zmFPxEeLUDorXwFA2efFKO_Y8fQ8/edit" TargetMode="External"/><Relationship Id="rId343" Type="http://schemas.openxmlformats.org/officeDocument/2006/relationships/hyperlink" Target="https://docs.google.com/spreadsheets/d/1kEQ3ecXVna-EQnU_I7CNB8a8anw1dginbyltGbSWZBE/edit" TargetMode="External"/><Relationship Id="rId464" Type="http://schemas.openxmlformats.org/officeDocument/2006/relationships/hyperlink" Target="https://docs.google.com/spreadsheets/d/1vSL4ieeJVfPAESI2k5iKQ0jaOVoVMnDfH6D7IQtKEZE/edit" TargetMode="External"/><Relationship Id="rId585" Type="http://schemas.openxmlformats.org/officeDocument/2006/relationships/hyperlink" Target="https://docs.google.com/spreadsheets/d/13uy5VqqUJMCw37m2dCDEP4SHpElR0DeYzGeqrxHSdOo/edit" TargetMode="External"/><Relationship Id="rId100" Type="http://schemas.openxmlformats.org/officeDocument/2006/relationships/hyperlink" Target="https://docs.google.com/spreadsheets/d/1LudQhqblJTjABTQtN2GqN3R0o7KUT0b0O-nmynRnZe0/edit" TargetMode="External"/><Relationship Id="rId221" Type="http://schemas.openxmlformats.org/officeDocument/2006/relationships/hyperlink" Target="https://docs.google.com/spreadsheets/d/1U3aHdBqozS85_c_zmFPxEeLUDorXwFA2efFKO_Y8fQ8/edit" TargetMode="External"/><Relationship Id="rId342" Type="http://schemas.openxmlformats.org/officeDocument/2006/relationships/hyperlink" Target="https://docs.google.com/spreadsheets/d/1kEQ3ecXVna-EQnU_I7CNB8a8anw1dginbyltGbSWZBE/edit" TargetMode="External"/><Relationship Id="rId463" Type="http://schemas.openxmlformats.org/officeDocument/2006/relationships/hyperlink" Target="https://docs.google.com/spreadsheets/d/1usWRu9bfzndPe3Ohk9h2tQ0iVw0GruU_Gnx3hBc9fQA/edit" TargetMode="External"/><Relationship Id="rId584" Type="http://schemas.openxmlformats.org/officeDocument/2006/relationships/hyperlink" Target="https://docs.google.com/spreadsheets/d/13uy5VqqUJMCw37m2dCDEP4SHpElR0DeYzGeqrxHSdOo/edit" TargetMode="External"/><Relationship Id="rId217" Type="http://schemas.openxmlformats.org/officeDocument/2006/relationships/hyperlink" Target="https://docs.google.com/spreadsheets/d/1U3aHdBqozS85_c_zmFPxEeLUDorXwFA2efFKO_Y8fQ8/edit" TargetMode="External"/><Relationship Id="rId338" Type="http://schemas.openxmlformats.org/officeDocument/2006/relationships/hyperlink" Target="https://docs.google.com/spreadsheets/d/1kEQ3ecXVna-EQnU_I7CNB8a8anw1dginbyltGbSWZBE/edit" TargetMode="External"/><Relationship Id="rId459" Type="http://schemas.openxmlformats.org/officeDocument/2006/relationships/hyperlink" Target="https://docs.google.com/spreadsheets/d/1usWRu9bfzndPe3Ohk9h2tQ0iVw0GruU_Gnx3hBc9fQA/edit" TargetMode="External"/><Relationship Id="rId216" Type="http://schemas.openxmlformats.org/officeDocument/2006/relationships/hyperlink" Target="https://docs.google.com/spreadsheets/d/1U3aHdBqozS85_c_zmFPxEeLUDorXwFA2efFKO_Y8fQ8/edit" TargetMode="External"/><Relationship Id="rId337" Type="http://schemas.openxmlformats.org/officeDocument/2006/relationships/hyperlink" Target="https://docs.google.com/spreadsheets/d/1kEQ3ecXVna-EQnU_I7CNB8a8anw1dginbyltGbSWZBE/edit" TargetMode="External"/><Relationship Id="rId458" Type="http://schemas.openxmlformats.org/officeDocument/2006/relationships/hyperlink" Target="https://docs.google.com/spreadsheets/d/1usWRu9bfzndPe3Ohk9h2tQ0iVw0GruU_Gnx3hBc9fQA/edit" TargetMode="External"/><Relationship Id="rId579" Type="http://schemas.openxmlformats.org/officeDocument/2006/relationships/hyperlink" Target="https://docs.google.com/spreadsheets/d/12-VBh45HbH9XVmcLPEhsfTYhlt-jaswHIS1HLTw4EFE/edit" TargetMode="External"/><Relationship Id="rId215" Type="http://schemas.openxmlformats.org/officeDocument/2006/relationships/hyperlink" Target="https://docs.google.com/spreadsheets/d/1U3aHdBqozS85_c_zmFPxEeLUDorXwFA2efFKO_Y8fQ8/edit" TargetMode="External"/><Relationship Id="rId336" Type="http://schemas.openxmlformats.org/officeDocument/2006/relationships/hyperlink" Target="https://docs.google.com/spreadsheets/d/1kEQ3ecXVna-EQnU_I7CNB8a8anw1dginbyltGbSWZBE/edit" TargetMode="External"/><Relationship Id="rId457" Type="http://schemas.openxmlformats.org/officeDocument/2006/relationships/hyperlink" Target="https://docs.google.com/spreadsheets/d/1usWRu9bfzndPe3Ohk9h2tQ0iVw0GruU_Gnx3hBc9fQA/edit" TargetMode="External"/><Relationship Id="rId578" Type="http://schemas.openxmlformats.org/officeDocument/2006/relationships/hyperlink" Target="https://docs.google.com/spreadsheets/d/12-VBh45HbH9XVmcLPEhsfTYhlt-jaswHIS1HLTw4EFE/edit" TargetMode="External"/><Relationship Id="rId214" Type="http://schemas.openxmlformats.org/officeDocument/2006/relationships/hyperlink" Target="https://docs.google.com/spreadsheets/d/1U3aHdBqozS85_c_zmFPxEeLUDorXwFA2efFKO_Y8fQ8/edit" TargetMode="External"/><Relationship Id="rId335" Type="http://schemas.openxmlformats.org/officeDocument/2006/relationships/hyperlink" Target="https://docs.google.com/spreadsheets/d/1ScQphSLjOygtEsXFOkEq8uNRL6AyDoCsxL-a2UwjxPM/edit" TargetMode="External"/><Relationship Id="rId456" Type="http://schemas.openxmlformats.org/officeDocument/2006/relationships/hyperlink" Target="https://docs.google.com/spreadsheets/d/1usWRu9bfzndPe3Ohk9h2tQ0iVw0GruU_Gnx3hBc9fQA/edit" TargetMode="External"/><Relationship Id="rId577" Type="http://schemas.openxmlformats.org/officeDocument/2006/relationships/hyperlink" Target="https://docs.google.com/spreadsheets/d/12-VBh45HbH9XVmcLPEhsfTYhlt-jaswHIS1HLTw4EFE/edit" TargetMode="External"/><Relationship Id="rId219" Type="http://schemas.openxmlformats.org/officeDocument/2006/relationships/hyperlink" Target="https://docs.google.com/spreadsheets/d/1U3aHdBqozS85_c_zmFPxEeLUDorXwFA2efFKO_Y8fQ8/edit" TargetMode="External"/><Relationship Id="rId218" Type="http://schemas.openxmlformats.org/officeDocument/2006/relationships/hyperlink" Target="https://docs.google.com/spreadsheets/d/1U3aHdBqozS85_c_zmFPxEeLUDorXwFA2efFKO_Y8fQ8/edit" TargetMode="External"/><Relationship Id="rId339" Type="http://schemas.openxmlformats.org/officeDocument/2006/relationships/hyperlink" Target="https://docs.google.com/spreadsheets/d/1kEQ3ecXVna-EQnU_I7CNB8a8anw1dginbyltGbSWZBE/edit" TargetMode="External"/><Relationship Id="rId330" Type="http://schemas.openxmlformats.org/officeDocument/2006/relationships/hyperlink" Target="https://docs.google.com/spreadsheets/d/1ScQphSLjOygtEsXFOkEq8uNRL6AyDoCsxL-a2UwjxPM/edit" TargetMode="External"/><Relationship Id="rId451" Type="http://schemas.openxmlformats.org/officeDocument/2006/relationships/hyperlink" Target="https://docs.google.com/spreadsheets/d/1dh0sv-EN5j_7LJr3dDJE-48-ZWTcR6AWt-GxwLMnt_A/edit" TargetMode="External"/><Relationship Id="rId572" Type="http://schemas.openxmlformats.org/officeDocument/2006/relationships/hyperlink" Target="https://docs.google.com/spreadsheets/d/12-VBh45HbH9XVmcLPEhsfTYhlt-jaswHIS1HLTw4EFE/edit" TargetMode="External"/><Relationship Id="rId693" Type="http://schemas.openxmlformats.org/officeDocument/2006/relationships/hyperlink" Target="https://docs.google.com/spreadsheets/d/19soMnxXX2fSzJaXFKd8QeCkWXPgVEAF2tpzAzTmAeOU/edit" TargetMode="External"/><Relationship Id="rId450" Type="http://schemas.openxmlformats.org/officeDocument/2006/relationships/hyperlink" Target="https://docs.google.com/spreadsheets/d/1dh0sv-EN5j_7LJr3dDJE-48-ZWTcR6AWt-GxwLMnt_A/edit" TargetMode="External"/><Relationship Id="rId571" Type="http://schemas.openxmlformats.org/officeDocument/2006/relationships/hyperlink" Target="https://docs.google.com/spreadsheets/d/12-VBh45HbH9XVmcLPEhsfTYhlt-jaswHIS1HLTw4EFE/edit" TargetMode="External"/><Relationship Id="rId692" Type="http://schemas.openxmlformats.org/officeDocument/2006/relationships/hyperlink" Target="https://docs.google.com/spreadsheets/d/19soMnxXX2fSzJaXFKd8QeCkWXPgVEAF2tpzAzTmAeOU/edit" TargetMode="External"/><Relationship Id="rId570" Type="http://schemas.openxmlformats.org/officeDocument/2006/relationships/hyperlink" Target="https://docs.google.com/spreadsheets/d/13PT2NRbxpZkLRz6Oc5SXg5bjrJjKcWpdi-FtSp0-TjA/edit" TargetMode="External"/><Relationship Id="rId691" Type="http://schemas.openxmlformats.org/officeDocument/2006/relationships/hyperlink" Target="https://docs.google.com/spreadsheets/d/19soMnxXX2fSzJaXFKd8QeCkWXPgVEAF2tpzAzTmAeOU/edit" TargetMode="External"/><Relationship Id="rId690" Type="http://schemas.openxmlformats.org/officeDocument/2006/relationships/hyperlink" Target="https://docs.google.com/spreadsheets/d/1Z--4m810vKqo05mXwz2th2vMbbO1rn_Olts3q7oi994/edit" TargetMode="External"/><Relationship Id="rId213" Type="http://schemas.openxmlformats.org/officeDocument/2006/relationships/hyperlink" Target="https://docs.google.com/spreadsheets/d/1U3aHdBqozS85_c_zmFPxEeLUDorXwFA2efFKO_Y8fQ8/edit" TargetMode="External"/><Relationship Id="rId334" Type="http://schemas.openxmlformats.org/officeDocument/2006/relationships/hyperlink" Target="https://docs.google.com/spreadsheets/d/1ScQphSLjOygtEsXFOkEq8uNRL6AyDoCsxL-a2UwjxPM/edit" TargetMode="External"/><Relationship Id="rId455" Type="http://schemas.openxmlformats.org/officeDocument/2006/relationships/hyperlink" Target="https://docs.google.com/spreadsheets/d/1usWRu9bfzndPe3Ohk9h2tQ0iVw0GruU_Gnx3hBc9fQA/edit" TargetMode="External"/><Relationship Id="rId576" Type="http://schemas.openxmlformats.org/officeDocument/2006/relationships/hyperlink" Target="https://docs.google.com/spreadsheets/d/12-VBh45HbH9XVmcLPEhsfTYhlt-jaswHIS1HLTw4EFE/edit" TargetMode="External"/><Relationship Id="rId697" Type="http://schemas.openxmlformats.org/officeDocument/2006/relationships/drawing" Target="../drawings/drawing5.xml"/><Relationship Id="rId212" Type="http://schemas.openxmlformats.org/officeDocument/2006/relationships/hyperlink" Target="https://docs.google.com/spreadsheets/d/1tTZX3NLX1PCJzAUjeFXLMuKqqbTHxwWExoX--01KqFU/edit" TargetMode="External"/><Relationship Id="rId333" Type="http://schemas.openxmlformats.org/officeDocument/2006/relationships/hyperlink" Target="https://docs.google.com/spreadsheets/d/1ScQphSLjOygtEsXFOkEq8uNRL6AyDoCsxL-a2UwjxPM/edit" TargetMode="External"/><Relationship Id="rId454" Type="http://schemas.openxmlformats.org/officeDocument/2006/relationships/hyperlink" Target="https://docs.google.com/spreadsheets/d/1usWRu9bfzndPe3Ohk9h2tQ0iVw0GruU_Gnx3hBc9fQA/edit" TargetMode="External"/><Relationship Id="rId575" Type="http://schemas.openxmlformats.org/officeDocument/2006/relationships/hyperlink" Target="https://docs.google.com/spreadsheets/d/12-VBh45HbH9XVmcLPEhsfTYhlt-jaswHIS1HLTw4EFE/edit" TargetMode="External"/><Relationship Id="rId696" Type="http://schemas.openxmlformats.org/officeDocument/2006/relationships/hyperlink" Target="https://docs.google.com/spreadsheets/d/1GddSNOSIZ9YGAh3y2qA2Hm4IFTB1HbmCbZ-FyF6q0n8/edit" TargetMode="External"/><Relationship Id="rId211" Type="http://schemas.openxmlformats.org/officeDocument/2006/relationships/hyperlink" Target="https://docs.google.com/spreadsheets/d/1tTZX3NLX1PCJzAUjeFXLMuKqqbTHxwWExoX--01KqFU/edit" TargetMode="External"/><Relationship Id="rId332" Type="http://schemas.openxmlformats.org/officeDocument/2006/relationships/hyperlink" Target="https://docs.google.com/spreadsheets/d/1ScQphSLjOygtEsXFOkEq8uNRL6AyDoCsxL-a2UwjxPM/edit" TargetMode="External"/><Relationship Id="rId453" Type="http://schemas.openxmlformats.org/officeDocument/2006/relationships/hyperlink" Target="https://docs.google.com/spreadsheets/d/1usWRu9bfzndPe3Ohk9h2tQ0iVw0GruU_Gnx3hBc9fQA/edit" TargetMode="External"/><Relationship Id="rId574" Type="http://schemas.openxmlformats.org/officeDocument/2006/relationships/hyperlink" Target="https://docs.google.com/spreadsheets/d/12-VBh45HbH9XVmcLPEhsfTYhlt-jaswHIS1HLTw4EFE/edit" TargetMode="External"/><Relationship Id="rId695" Type="http://schemas.openxmlformats.org/officeDocument/2006/relationships/hyperlink" Target="https://docs.google.com/spreadsheets/d/1GddSNOSIZ9YGAh3y2qA2Hm4IFTB1HbmCbZ-FyF6q0n8/edit" TargetMode="External"/><Relationship Id="rId210" Type="http://schemas.openxmlformats.org/officeDocument/2006/relationships/hyperlink" Target="https://docs.google.com/spreadsheets/d/1tTZX3NLX1PCJzAUjeFXLMuKqqbTHxwWExoX--01KqFU/edit" TargetMode="External"/><Relationship Id="rId331" Type="http://schemas.openxmlformats.org/officeDocument/2006/relationships/hyperlink" Target="https://docs.google.com/spreadsheets/d/1ScQphSLjOygtEsXFOkEq8uNRL6AyDoCsxL-a2UwjxPM/edit" TargetMode="External"/><Relationship Id="rId452" Type="http://schemas.openxmlformats.org/officeDocument/2006/relationships/hyperlink" Target="https://docs.google.com/spreadsheets/d/1usWRu9bfzndPe3Ohk9h2tQ0iVw0GruU_Gnx3hBc9fQA/edit" TargetMode="External"/><Relationship Id="rId573" Type="http://schemas.openxmlformats.org/officeDocument/2006/relationships/hyperlink" Target="https://docs.google.com/spreadsheets/d/12-VBh45HbH9XVmcLPEhsfTYhlt-jaswHIS1HLTw4EFE/edit" TargetMode="External"/><Relationship Id="rId694" Type="http://schemas.openxmlformats.org/officeDocument/2006/relationships/hyperlink" Target="https://docs.google.com/spreadsheets/d/1GddSNOSIZ9YGAh3y2qA2Hm4IFTB1HbmCbZ-FyF6q0n8/edit" TargetMode="External"/><Relationship Id="rId370" Type="http://schemas.openxmlformats.org/officeDocument/2006/relationships/hyperlink" Target="https://docs.google.com/spreadsheets/d/1-TOoGZJrlBLnwxD5BmNKJ9Nw6aE_Co2WSfSqIZjvmck/edit" TargetMode="External"/><Relationship Id="rId491" Type="http://schemas.openxmlformats.org/officeDocument/2006/relationships/hyperlink" Target="https://docs.google.com/spreadsheets/d/1EHRtB62xz9l7XbOUWwsZ2nGTUi86d-GCjIOVk8F9OYg/edit" TargetMode="External"/><Relationship Id="rId490" Type="http://schemas.openxmlformats.org/officeDocument/2006/relationships/hyperlink" Target="https://docs.google.com/spreadsheets/d/1EHRtB62xz9l7XbOUWwsZ2nGTUi86d-GCjIOVk8F9OYg/edit" TargetMode="External"/><Relationship Id="rId129" Type="http://schemas.openxmlformats.org/officeDocument/2006/relationships/hyperlink" Target="https://docs.google.com/spreadsheets/d/1fMnIQsl_4g6Inj4nzujLbYQT3nGswfGlSdlEV1aa8Uk/edit" TargetMode="External"/><Relationship Id="rId128" Type="http://schemas.openxmlformats.org/officeDocument/2006/relationships/hyperlink" Target="https://docs.google.com/spreadsheets/d/1fMnIQsl_4g6Inj4nzujLbYQT3nGswfGlSdlEV1aa8Uk/edit" TargetMode="External"/><Relationship Id="rId249" Type="http://schemas.openxmlformats.org/officeDocument/2006/relationships/hyperlink" Target="https://docs.google.com/spreadsheets/d/1wHO0Dn3iytqx0akTAQhwbd6H2LyLID23CWjmagkUPMc/edit" TargetMode="External"/><Relationship Id="rId127" Type="http://schemas.openxmlformats.org/officeDocument/2006/relationships/hyperlink" Target="https://docs.google.com/spreadsheets/d/1fMnIQsl_4g6Inj4nzujLbYQT3nGswfGlSdlEV1aa8Uk/edit" TargetMode="External"/><Relationship Id="rId248" Type="http://schemas.openxmlformats.org/officeDocument/2006/relationships/hyperlink" Target="https://docs.google.com/spreadsheets/d/1wHO0Dn3iytqx0akTAQhwbd6H2LyLID23CWjmagkUPMc/edit" TargetMode="External"/><Relationship Id="rId369" Type="http://schemas.openxmlformats.org/officeDocument/2006/relationships/hyperlink" Target="https://docs.google.com/spreadsheets/d/1-TOoGZJrlBLnwxD5BmNKJ9Nw6aE_Co2WSfSqIZjvmck/edit" TargetMode="External"/><Relationship Id="rId126" Type="http://schemas.openxmlformats.org/officeDocument/2006/relationships/hyperlink" Target="https://docs.google.com/spreadsheets/d/1WP2hQK2umN_5Fy0TKu6xJPqDHVgaBEKbdozF6N-CAkU/edit" TargetMode="External"/><Relationship Id="rId247" Type="http://schemas.openxmlformats.org/officeDocument/2006/relationships/hyperlink" Target="https://docs.google.com/spreadsheets/d/1wHO0Dn3iytqx0akTAQhwbd6H2LyLID23CWjmagkUPMc/edit" TargetMode="External"/><Relationship Id="rId368" Type="http://schemas.openxmlformats.org/officeDocument/2006/relationships/hyperlink" Target="https://docs.google.com/spreadsheets/d/1G55eCXh4chH7s1V7HoOjMEK5H8llbFCM6ItXdTjseHA/edit" TargetMode="External"/><Relationship Id="rId489" Type="http://schemas.openxmlformats.org/officeDocument/2006/relationships/hyperlink" Target="https://docs.google.com/spreadsheets/d/1EHRtB62xz9l7XbOUWwsZ2nGTUi86d-GCjIOVk8F9OYg/edit" TargetMode="External"/><Relationship Id="rId121" Type="http://schemas.openxmlformats.org/officeDocument/2006/relationships/hyperlink" Target="https://docs.google.com/spreadsheets/d/1WP2hQK2umN_5Fy0TKu6xJPqDHVgaBEKbdozF6N-CAkU/edit" TargetMode="External"/><Relationship Id="rId242" Type="http://schemas.openxmlformats.org/officeDocument/2006/relationships/hyperlink" Target="https://docs.google.com/spreadsheets/d/1_PSvOVuaMeWwLPgtbTwE7qfu5O57MUI5Ur4dP0Pk9z8/edit" TargetMode="External"/><Relationship Id="rId363" Type="http://schemas.openxmlformats.org/officeDocument/2006/relationships/hyperlink" Target="https://docs.google.com/spreadsheets/d/1FmXFQo0m5lESW24aRElos7H5juRJEOD18TQ8NHkyHUU/edit" TargetMode="External"/><Relationship Id="rId484" Type="http://schemas.openxmlformats.org/officeDocument/2006/relationships/hyperlink" Target="https://docs.google.com/spreadsheets/d/16jUmDXptcsobUVsgBJj8UCYw-OWxyivMJMK5x4U-H00/edit" TargetMode="External"/><Relationship Id="rId120" Type="http://schemas.openxmlformats.org/officeDocument/2006/relationships/hyperlink" Target="https://docs.google.com/spreadsheets/d/1WP2hQK2umN_5Fy0TKu6xJPqDHVgaBEKbdozF6N-CAkU/edit" TargetMode="External"/><Relationship Id="rId241" Type="http://schemas.openxmlformats.org/officeDocument/2006/relationships/hyperlink" Target="https://docs.google.com/spreadsheets/d/1_PSvOVuaMeWwLPgtbTwE7qfu5O57MUI5Ur4dP0Pk9z8/edit" TargetMode="External"/><Relationship Id="rId362" Type="http://schemas.openxmlformats.org/officeDocument/2006/relationships/hyperlink" Target="https://docs.google.com/spreadsheets/d/1FmXFQo0m5lESW24aRElos7H5juRJEOD18TQ8NHkyHUU/edit" TargetMode="External"/><Relationship Id="rId483" Type="http://schemas.openxmlformats.org/officeDocument/2006/relationships/hyperlink" Target="https://docs.google.com/spreadsheets/d/16jUmDXptcsobUVsgBJj8UCYw-OWxyivMJMK5x4U-H00/edit" TargetMode="External"/><Relationship Id="rId240" Type="http://schemas.openxmlformats.org/officeDocument/2006/relationships/hyperlink" Target="https://docs.google.com/spreadsheets/d/1_PSvOVuaMeWwLPgtbTwE7qfu5O57MUI5Ur4dP0Pk9z8/edit" TargetMode="External"/><Relationship Id="rId361" Type="http://schemas.openxmlformats.org/officeDocument/2006/relationships/hyperlink" Target="https://docs.google.com/spreadsheets/d/1FmXFQo0m5lESW24aRElos7H5juRJEOD18TQ8NHkyHUU/edit" TargetMode="External"/><Relationship Id="rId482" Type="http://schemas.openxmlformats.org/officeDocument/2006/relationships/hyperlink" Target="https://docs.google.com/spreadsheets/d/16jUmDXptcsobUVsgBJj8UCYw-OWxyivMJMK5x4U-H00/edit" TargetMode="External"/><Relationship Id="rId360" Type="http://schemas.openxmlformats.org/officeDocument/2006/relationships/hyperlink" Target="https://docs.google.com/spreadsheets/d/1Y2I686T1v8_AzO27Huj8oudxn6wQX-yukvpXODVkHxo/edit" TargetMode="External"/><Relationship Id="rId481" Type="http://schemas.openxmlformats.org/officeDocument/2006/relationships/hyperlink" Target="https://docs.google.com/spreadsheets/d/16jUmDXptcsobUVsgBJj8UCYw-OWxyivMJMK5x4U-H00/edit" TargetMode="External"/><Relationship Id="rId125" Type="http://schemas.openxmlformats.org/officeDocument/2006/relationships/hyperlink" Target="https://docs.google.com/spreadsheets/d/1WP2hQK2umN_5Fy0TKu6xJPqDHVgaBEKbdozF6N-CAkU/edit" TargetMode="External"/><Relationship Id="rId246" Type="http://schemas.openxmlformats.org/officeDocument/2006/relationships/hyperlink" Target="https://docs.google.com/spreadsheets/d/1_PSvOVuaMeWwLPgtbTwE7qfu5O57MUI5Ur4dP0Pk9z8/edit" TargetMode="External"/><Relationship Id="rId367" Type="http://schemas.openxmlformats.org/officeDocument/2006/relationships/hyperlink" Target="https://docs.google.com/spreadsheets/d/1G55eCXh4chH7s1V7HoOjMEK5H8llbFCM6ItXdTjseHA/edit" TargetMode="External"/><Relationship Id="rId488" Type="http://schemas.openxmlformats.org/officeDocument/2006/relationships/hyperlink" Target="https://docs.google.com/spreadsheets/d/1EHRtB62xz9l7XbOUWwsZ2nGTUi86d-GCjIOVk8F9OYg/edit" TargetMode="External"/><Relationship Id="rId124" Type="http://schemas.openxmlformats.org/officeDocument/2006/relationships/hyperlink" Target="https://docs.google.com/spreadsheets/d/1WP2hQK2umN_5Fy0TKu6xJPqDHVgaBEKbdozF6N-CAkU/edit" TargetMode="External"/><Relationship Id="rId245" Type="http://schemas.openxmlformats.org/officeDocument/2006/relationships/hyperlink" Target="https://docs.google.com/spreadsheets/d/1_PSvOVuaMeWwLPgtbTwE7qfu5O57MUI5Ur4dP0Pk9z8/edit" TargetMode="External"/><Relationship Id="rId366" Type="http://schemas.openxmlformats.org/officeDocument/2006/relationships/hyperlink" Target="https://docs.google.com/spreadsheets/d/1G55eCXh4chH7s1V7HoOjMEK5H8llbFCM6ItXdTjseHA/edit" TargetMode="External"/><Relationship Id="rId487" Type="http://schemas.openxmlformats.org/officeDocument/2006/relationships/hyperlink" Target="https://docs.google.com/spreadsheets/d/1EHRtB62xz9l7XbOUWwsZ2nGTUi86d-GCjIOVk8F9OYg/edit" TargetMode="External"/><Relationship Id="rId123" Type="http://schemas.openxmlformats.org/officeDocument/2006/relationships/hyperlink" Target="https://docs.google.com/spreadsheets/d/1WP2hQK2umN_5Fy0TKu6xJPqDHVgaBEKbdozF6N-CAkU/edit" TargetMode="External"/><Relationship Id="rId244" Type="http://schemas.openxmlformats.org/officeDocument/2006/relationships/hyperlink" Target="https://docs.google.com/spreadsheets/d/1_PSvOVuaMeWwLPgtbTwE7qfu5O57MUI5Ur4dP0Pk9z8/edit" TargetMode="External"/><Relationship Id="rId365" Type="http://schemas.openxmlformats.org/officeDocument/2006/relationships/hyperlink" Target="https://docs.google.com/spreadsheets/d/1G55eCXh4chH7s1V7HoOjMEK5H8llbFCM6ItXdTjseHA/edit" TargetMode="External"/><Relationship Id="rId486" Type="http://schemas.openxmlformats.org/officeDocument/2006/relationships/hyperlink" Target="https://docs.google.com/spreadsheets/d/1EHRtB62xz9l7XbOUWwsZ2nGTUi86d-GCjIOVk8F9OYg/edit" TargetMode="External"/><Relationship Id="rId122" Type="http://schemas.openxmlformats.org/officeDocument/2006/relationships/hyperlink" Target="https://docs.google.com/spreadsheets/d/1WP2hQK2umN_5Fy0TKu6xJPqDHVgaBEKbdozF6N-CAkU/edit" TargetMode="External"/><Relationship Id="rId243" Type="http://schemas.openxmlformats.org/officeDocument/2006/relationships/hyperlink" Target="https://docs.google.com/spreadsheets/d/1_PSvOVuaMeWwLPgtbTwE7qfu5O57MUI5Ur4dP0Pk9z8/edit" TargetMode="External"/><Relationship Id="rId364" Type="http://schemas.openxmlformats.org/officeDocument/2006/relationships/hyperlink" Target="https://docs.google.com/spreadsheets/d/1FmXFQo0m5lESW24aRElos7H5juRJEOD18TQ8NHkyHUU/edit" TargetMode="External"/><Relationship Id="rId485" Type="http://schemas.openxmlformats.org/officeDocument/2006/relationships/hyperlink" Target="https://docs.google.com/spreadsheets/d/16jUmDXptcsobUVsgBJj8UCYw-OWxyivMJMK5x4U-H00/edit" TargetMode="External"/><Relationship Id="rId95" Type="http://schemas.openxmlformats.org/officeDocument/2006/relationships/hyperlink" Target="https://docs.google.com/spreadsheets/d/1BcTQFxJieZhVaisvuouNhJsV6404T8R5sMSOYu5Y7B0/edit" TargetMode="External"/><Relationship Id="rId94" Type="http://schemas.openxmlformats.org/officeDocument/2006/relationships/hyperlink" Target="https://docs.google.com/spreadsheets/d/1BcTQFxJieZhVaisvuouNhJsV6404T8R5sMSOYu5Y7B0/edit" TargetMode="External"/><Relationship Id="rId97" Type="http://schemas.openxmlformats.org/officeDocument/2006/relationships/hyperlink" Target="https://docs.google.com/spreadsheets/d/1BcTQFxJieZhVaisvuouNhJsV6404T8R5sMSOYu5Y7B0/edit" TargetMode="External"/><Relationship Id="rId96" Type="http://schemas.openxmlformats.org/officeDocument/2006/relationships/hyperlink" Target="https://docs.google.com/spreadsheets/d/1BcTQFxJieZhVaisvuouNhJsV6404T8R5sMSOYu5Y7B0/edit" TargetMode="External"/><Relationship Id="rId99" Type="http://schemas.openxmlformats.org/officeDocument/2006/relationships/hyperlink" Target="https://docs.google.com/spreadsheets/d/1LudQhqblJTjABTQtN2GqN3R0o7KUT0b0O-nmynRnZe0/edit" TargetMode="External"/><Relationship Id="rId480" Type="http://schemas.openxmlformats.org/officeDocument/2006/relationships/hyperlink" Target="https://docs.google.com/spreadsheets/d/16jUmDXptcsobUVsgBJj8UCYw-OWxyivMJMK5x4U-H00/edit" TargetMode="External"/><Relationship Id="rId98" Type="http://schemas.openxmlformats.org/officeDocument/2006/relationships/hyperlink" Target="https://docs.google.com/spreadsheets/d/1BcTQFxJieZhVaisvuouNhJsV6404T8R5sMSOYu5Y7B0/edit" TargetMode="External"/><Relationship Id="rId91" Type="http://schemas.openxmlformats.org/officeDocument/2006/relationships/hyperlink" Target="https://docs.google.com/spreadsheets/d/1BcTQFxJieZhVaisvuouNhJsV6404T8R5sMSOYu5Y7B0/edit" TargetMode="External"/><Relationship Id="rId90" Type="http://schemas.openxmlformats.org/officeDocument/2006/relationships/hyperlink" Target="https://docs.google.com/spreadsheets/d/1BcTQFxJieZhVaisvuouNhJsV6404T8R5sMSOYu5Y7B0/edit" TargetMode="External"/><Relationship Id="rId93" Type="http://schemas.openxmlformats.org/officeDocument/2006/relationships/hyperlink" Target="https://docs.google.com/spreadsheets/d/1BcTQFxJieZhVaisvuouNhJsV6404T8R5sMSOYu5Y7B0/edit" TargetMode="External"/><Relationship Id="rId92" Type="http://schemas.openxmlformats.org/officeDocument/2006/relationships/hyperlink" Target="https://docs.google.com/spreadsheets/d/1BcTQFxJieZhVaisvuouNhJsV6404T8R5sMSOYu5Y7B0/edit" TargetMode="External"/><Relationship Id="rId118" Type="http://schemas.openxmlformats.org/officeDocument/2006/relationships/hyperlink" Target="https://docs.google.com/spreadsheets/d/1WP2hQK2umN_5Fy0TKu6xJPqDHVgaBEKbdozF6N-CAkU/edit" TargetMode="External"/><Relationship Id="rId239" Type="http://schemas.openxmlformats.org/officeDocument/2006/relationships/hyperlink" Target="https://docs.google.com/spreadsheets/d/1_PSvOVuaMeWwLPgtbTwE7qfu5O57MUI5Ur4dP0Pk9z8/edit" TargetMode="External"/><Relationship Id="rId117" Type="http://schemas.openxmlformats.org/officeDocument/2006/relationships/hyperlink" Target="https://docs.google.com/spreadsheets/d/1vnaZ7UJqBhbSRFJh1dGrMvF1p6DH2A6_yHSORkEd-DI/edit" TargetMode="External"/><Relationship Id="rId238" Type="http://schemas.openxmlformats.org/officeDocument/2006/relationships/hyperlink" Target="https://docs.google.com/spreadsheets/d/1_PSvOVuaMeWwLPgtbTwE7qfu5O57MUI5Ur4dP0Pk9z8/edit" TargetMode="External"/><Relationship Id="rId359" Type="http://schemas.openxmlformats.org/officeDocument/2006/relationships/hyperlink" Target="https://docs.google.com/spreadsheets/d/1Y2I686T1v8_AzO27Huj8oudxn6wQX-yukvpXODVkHxo/edit" TargetMode="External"/><Relationship Id="rId116" Type="http://schemas.openxmlformats.org/officeDocument/2006/relationships/hyperlink" Target="https://docs.google.com/spreadsheets/d/1vnaZ7UJqBhbSRFJh1dGrMvF1p6DH2A6_yHSORkEd-DI/edit" TargetMode="External"/><Relationship Id="rId237" Type="http://schemas.openxmlformats.org/officeDocument/2006/relationships/hyperlink" Target="https://docs.google.com/spreadsheets/d/1_PSvOVuaMeWwLPgtbTwE7qfu5O57MUI5Ur4dP0Pk9z8/edit" TargetMode="External"/><Relationship Id="rId358" Type="http://schemas.openxmlformats.org/officeDocument/2006/relationships/hyperlink" Target="https://docs.google.com/spreadsheets/d/1Y2I686T1v8_AzO27Huj8oudxn6wQX-yukvpXODVkHxo/edit" TargetMode="External"/><Relationship Id="rId479" Type="http://schemas.openxmlformats.org/officeDocument/2006/relationships/hyperlink" Target="https://docs.google.com/spreadsheets/d/16jUmDXptcsobUVsgBJj8UCYw-OWxyivMJMK5x4U-H00/edit" TargetMode="External"/><Relationship Id="rId115" Type="http://schemas.openxmlformats.org/officeDocument/2006/relationships/hyperlink" Target="https://docs.google.com/spreadsheets/d/1vnaZ7UJqBhbSRFJh1dGrMvF1p6DH2A6_yHSORkEd-DI/edit" TargetMode="External"/><Relationship Id="rId236" Type="http://schemas.openxmlformats.org/officeDocument/2006/relationships/hyperlink" Target="https://docs.google.com/spreadsheets/d/1_PSvOVuaMeWwLPgtbTwE7qfu5O57MUI5Ur4dP0Pk9z8/edit" TargetMode="External"/><Relationship Id="rId357" Type="http://schemas.openxmlformats.org/officeDocument/2006/relationships/hyperlink" Target="https://docs.google.com/spreadsheets/d/1Y2I686T1v8_AzO27Huj8oudxn6wQX-yukvpXODVkHxo/edit" TargetMode="External"/><Relationship Id="rId478" Type="http://schemas.openxmlformats.org/officeDocument/2006/relationships/hyperlink" Target="https://docs.google.com/spreadsheets/d/16jUmDXptcsobUVsgBJj8UCYw-OWxyivMJMK5x4U-H00/edit" TargetMode="External"/><Relationship Id="rId599" Type="http://schemas.openxmlformats.org/officeDocument/2006/relationships/hyperlink" Target="https://docs.google.com/spreadsheets/d/1CpQlRuQHa2hskrwFMwZSr2eMjA4vqEUzhtjUsg35y5k/edit" TargetMode="External"/><Relationship Id="rId119" Type="http://schemas.openxmlformats.org/officeDocument/2006/relationships/hyperlink" Target="https://docs.google.com/spreadsheets/d/1WP2hQK2umN_5Fy0TKu6xJPqDHVgaBEKbdozF6N-CAkU/edit" TargetMode="External"/><Relationship Id="rId110" Type="http://schemas.openxmlformats.org/officeDocument/2006/relationships/hyperlink" Target="https://docs.google.com/spreadsheets/d/1HblxGZctsKeu-4NRNhqpgL6ICf4osAY5wIg5e2bEkq4/edit" TargetMode="External"/><Relationship Id="rId231" Type="http://schemas.openxmlformats.org/officeDocument/2006/relationships/hyperlink" Target="https://docs.google.com/spreadsheets/d/1RoOUMDlE5a85KgOh90M7P_6s3_l8RC9Vhsng6uJLsVM/edit" TargetMode="External"/><Relationship Id="rId352" Type="http://schemas.openxmlformats.org/officeDocument/2006/relationships/hyperlink" Target="https://docs.google.com/spreadsheets/d/1Y2I686T1v8_AzO27Huj8oudxn6wQX-yukvpXODVkHxo/edit" TargetMode="External"/><Relationship Id="rId473" Type="http://schemas.openxmlformats.org/officeDocument/2006/relationships/hyperlink" Target="https://docs.google.com/spreadsheets/d/1vSL4ieeJVfPAESI2k5iKQ0jaOVoVMnDfH6D7IQtKEZE/edit" TargetMode="External"/><Relationship Id="rId594" Type="http://schemas.openxmlformats.org/officeDocument/2006/relationships/hyperlink" Target="https://docs.google.com/spreadsheets/d/1CpQlRuQHa2hskrwFMwZSr2eMjA4vqEUzhtjUsg35y5k/edit" TargetMode="External"/><Relationship Id="rId230" Type="http://schemas.openxmlformats.org/officeDocument/2006/relationships/hyperlink" Target="https://docs.google.com/spreadsheets/d/1RoOUMDlE5a85KgOh90M7P_6s3_l8RC9Vhsng6uJLsVM/edit" TargetMode="External"/><Relationship Id="rId351" Type="http://schemas.openxmlformats.org/officeDocument/2006/relationships/hyperlink" Target="https://docs.google.com/spreadsheets/d/1Y2I686T1v8_AzO27Huj8oudxn6wQX-yukvpXODVkHxo/edit" TargetMode="External"/><Relationship Id="rId472" Type="http://schemas.openxmlformats.org/officeDocument/2006/relationships/hyperlink" Target="https://docs.google.com/spreadsheets/d/1vSL4ieeJVfPAESI2k5iKQ0jaOVoVMnDfH6D7IQtKEZE/edit" TargetMode="External"/><Relationship Id="rId593" Type="http://schemas.openxmlformats.org/officeDocument/2006/relationships/hyperlink" Target="https://docs.google.com/spreadsheets/d/1CpQlRuQHa2hskrwFMwZSr2eMjA4vqEUzhtjUsg35y5k/edit" TargetMode="External"/><Relationship Id="rId350" Type="http://schemas.openxmlformats.org/officeDocument/2006/relationships/hyperlink" Target="https://docs.google.com/spreadsheets/d/1Y2I686T1v8_AzO27Huj8oudxn6wQX-yukvpXODVkHxo/edit" TargetMode="External"/><Relationship Id="rId471" Type="http://schemas.openxmlformats.org/officeDocument/2006/relationships/hyperlink" Target="https://docs.google.com/spreadsheets/d/1vSL4ieeJVfPAESI2k5iKQ0jaOVoVMnDfH6D7IQtKEZE/edit" TargetMode="External"/><Relationship Id="rId592" Type="http://schemas.openxmlformats.org/officeDocument/2006/relationships/hyperlink" Target="https://docs.google.com/spreadsheets/d/13uy5VqqUJMCw37m2dCDEP4SHpElR0DeYzGeqrxHSdOo/edit" TargetMode="External"/><Relationship Id="rId470" Type="http://schemas.openxmlformats.org/officeDocument/2006/relationships/hyperlink" Target="https://docs.google.com/spreadsheets/d/1vSL4ieeJVfPAESI2k5iKQ0jaOVoVMnDfH6D7IQtKEZE/edit" TargetMode="External"/><Relationship Id="rId591" Type="http://schemas.openxmlformats.org/officeDocument/2006/relationships/hyperlink" Target="https://docs.google.com/spreadsheets/d/13uy5VqqUJMCw37m2dCDEP4SHpElR0DeYzGeqrxHSdOo/edit" TargetMode="External"/><Relationship Id="rId114" Type="http://schemas.openxmlformats.org/officeDocument/2006/relationships/hyperlink" Target="https://docs.google.com/spreadsheets/d/1vnaZ7UJqBhbSRFJh1dGrMvF1p6DH2A6_yHSORkEd-DI/edit" TargetMode="External"/><Relationship Id="rId235" Type="http://schemas.openxmlformats.org/officeDocument/2006/relationships/hyperlink" Target="https://docs.google.com/spreadsheets/d/1_PSvOVuaMeWwLPgtbTwE7qfu5O57MUI5Ur4dP0Pk9z8/edit" TargetMode="External"/><Relationship Id="rId356" Type="http://schemas.openxmlformats.org/officeDocument/2006/relationships/hyperlink" Target="https://docs.google.com/spreadsheets/d/1Y2I686T1v8_AzO27Huj8oudxn6wQX-yukvpXODVkHxo/edit" TargetMode="External"/><Relationship Id="rId477" Type="http://schemas.openxmlformats.org/officeDocument/2006/relationships/hyperlink" Target="https://docs.google.com/spreadsheets/d/16jUmDXptcsobUVsgBJj8UCYw-OWxyivMJMK5x4U-H00/edit" TargetMode="External"/><Relationship Id="rId598" Type="http://schemas.openxmlformats.org/officeDocument/2006/relationships/hyperlink" Target="https://docs.google.com/spreadsheets/d/1CpQlRuQHa2hskrwFMwZSr2eMjA4vqEUzhtjUsg35y5k/edit" TargetMode="External"/><Relationship Id="rId113" Type="http://schemas.openxmlformats.org/officeDocument/2006/relationships/hyperlink" Target="https://docs.google.com/spreadsheets/d/1vnaZ7UJqBhbSRFJh1dGrMvF1p6DH2A6_yHSORkEd-DI/edit" TargetMode="External"/><Relationship Id="rId234" Type="http://schemas.openxmlformats.org/officeDocument/2006/relationships/hyperlink" Target="https://docs.google.com/spreadsheets/d/1_PSvOVuaMeWwLPgtbTwE7qfu5O57MUI5Ur4dP0Pk9z8/edit" TargetMode="External"/><Relationship Id="rId355" Type="http://schemas.openxmlformats.org/officeDocument/2006/relationships/hyperlink" Target="https://docs.google.com/spreadsheets/d/1Y2I686T1v8_AzO27Huj8oudxn6wQX-yukvpXODVkHxo/edit" TargetMode="External"/><Relationship Id="rId476" Type="http://schemas.openxmlformats.org/officeDocument/2006/relationships/hyperlink" Target="https://docs.google.com/spreadsheets/d/16jUmDXptcsobUVsgBJj8UCYw-OWxyivMJMK5x4U-H00/edit" TargetMode="External"/><Relationship Id="rId597" Type="http://schemas.openxmlformats.org/officeDocument/2006/relationships/hyperlink" Target="https://docs.google.com/spreadsheets/d/1CpQlRuQHa2hskrwFMwZSr2eMjA4vqEUzhtjUsg35y5k/edit" TargetMode="External"/><Relationship Id="rId112" Type="http://schemas.openxmlformats.org/officeDocument/2006/relationships/hyperlink" Target="https://docs.google.com/spreadsheets/d/1vnaZ7UJqBhbSRFJh1dGrMvF1p6DH2A6_yHSORkEd-DI/edit" TargetMode="External"/><Relationship Id="rId233" Type="http://schemas.openxmlformats.org/officeDocument/2006/relationships/hyperlink" Target="https://docs.google.com/spreadsheets/d/1RoOUMDlE5a85KgOh90M7P_6s3_l8RC9Vhsng6uJLsVM/edit" TargetMode="External"/><Relationship Id="rId354" Type="http://schemas.openxmlformats.org/officeDocument/2006/relationships/hyperlink" Target="https://docs.google.com/spreadsheets/d/1Y2I686T1v8_AzO27Huj8oudxn6wQX-yukvpXODVkHxo/edit" TargetMode="External"/><Relationship Id="rId475" Type="http://schemas.openxmlformats.org/officeDocument/2006/relationships/hyperlink" Target="https://docs.google.com/spreadsheets/d/1vSL4ieeJVfPAESI2k5iKQ0jaOVoVMnDfH6D7IQtKEZE/edit" TargetMode="External"/><Relationship Id="rId596" Type="http://schemas.openxmlformats.org/officeDocument/2006/relationships/hyperlink" Target="https://docs.google.com/spreadsheets/d/1CpQlRuQHa2hskrwFMwZSr2eMjA4vqEUzhtjUsg35y5k/edit" TargetMode="External"/><Relationship Id="rId111" Type="http://schemas.openxmlformats.org/officeDocument/2006/relationships/hyperlink" Target="https://docs.google.com/spreadsheets/d/1vnaZ7UJqBhbSRFJh1dGrMvF1p6DH2A6_yHSORkEd-DI/edit" TargetMode="External"/><Relationship Id="rId232" Type="http://schemas.openxmlformats.org/officeDocument/2006/relationships/hyperlink" Target="https://docs.google.com/spreadsheets/d/1RoOUMDlE5a85KgOh90M7P_6s3_l8RC9Vhsng6uJLsVM/edit" TargetMode="External"/><Relationship Id="rId353" Type="http://schemas.openxmlformats.org/officeDocument/2006/relationships/hyperlink" Target="https://docs.google.com/spreadsheets/d/1Y2I686T1v8_AzO27Huj8oudxn6wQX-yukvpXODVkHxo/edit" TargetMode="External"/><Relationship Id="rId474" Type="http://schemas.openxmlformats.org/officeDocument/2006/relationships/hyperlink" Target="https://docs.google.com/spreadsheets/d/1vSL4ieeJVfPAESI2k5iKQ0jaOVoVMnDfH6D7IQtKEZE/edit" TargetMode="External"/><Relationship Id="rId595" Type="http://schemas.openxmlformats.org/officeDocument/2006/relationships/hyperlink" Target="https://docs.google.com/spreadsheets/d/1CpQlRuQHa2hskrwFMwZSr2eMjA4vqEUzhtjUsg35y5k/edit" TargetMode="External"/><Relationship Id="rId305" Type="http://schemas.openxmlformats.org/officeDocument/2006/relationships/hyperlink" Target="https://docs.google.com/spreadsheets/d/1n9qf5PVrH5l1eRKIPF07RJBEcBTUQ1MBWbcmASDdfjE/edit" TargetMode="External"/><Relationship Id="rId426" Type="http://schemas.openxmlformats.org/officeDocument/2006/relationships/hyperlink" Target="https://docs.google.com/spreadsheets/d/1eIT_A56vV3yTdz1THkqSHdxqSRUcq4zGa6TWgJkKbB8/edit" TargetMode="External"/><Relationship Id="rId547" Type="http://schemas.openxmlformats.org/officeDocument/2006/relationships/hyperlink" Target="https://docs.google.com/spreadsheets/d/1JRhstUoxRgofgASQ2aYBjuk3X9B_ZWcsx3NoAlTbCMg/edit" TargetMode="External"/><Relationship Id="rId668" Type="http://schemas.openxmlformats.org/officeDocument/2006/relationships/hyperlink" Target="https://docs.google.com/spreadsheets/d/1aSbXo-Hf8pKEEiVPzd3RqBrXmmUBF7f_LryaKoXJhpc/edit" TargetMode="External"/><Relationship Id="rId304" Type="http://schemas.openxmlformats.org/officeDocument/2006/relationships/hyperlink" Target="https://docs.google.com/spreadsheets/d/1n9qf5PVrH5l1eRKIPF07RJBEcBTUQ1MBWbcmASDdfjE/edit" TargetMode="External"/><Relationship Id="rId425" Type="http://schemas.openxmlformats.org/officeDocument/2006/relationships/hyperlink" Target="https://docs.google.com/spreadsheets/d/1eIT_A56vV3yTdz1THkqSHdxqSRUcq4zGa6TWgJkKbB8/edit" TargetMode="External"/><Relationship Id="rId546" Type="http://schemas.openxmlformats.org/officeDocument/2006/relationships/hyperlink" Target="https://docs.google.com/spreadsheets/d/1JRhstUoxRgofgASQ2aYBjuk3X9B_ZWcsx3NoAlTbCMg/edit" TargetMode="External"/><Relationship Id="rId667" Type="http://schemas.openxmlformats.org/officeDocument/2006/relationships/hyperlink" Target="https://docs.google.com/spreadsheets/d/1aSbXo-Hf8pKEEiVPzd3RqBrXmmUBF7f_LryaKoXJhpc/edit" TargetMode="External"/><Relationship Id="rId303" Type="http://schemas.openxmlformats.org/officeDocument/2006/relationships/hyperlink" Target="https://docs.google.com/spreadsheets/d/1n9qf5PVrH5l1eRKIPF07RJBEcBTUQ1MBWbcmASDdfjE/edit" TargetMode="External"/><Relationship Id="rId424" Type="http://schemas.openxmlformats.org/officeDocument/2006/relationships/hyperlink" Target="https://docs.google.com/spreadsheets/d/1eIT_A56vV3yTdz1THkqSHdxqSRUcq4zGa6TWgJkKbB8/edit" TargetMode="External"/><Relationship Id="rId545" Type="http://schemas.openxmlformats.org/officeDocument/2006/relationships/hyperlink" Target="https://docs.google.com/spreadsheets/d/1JRhstUoxRgofgASQ2aYBjuk3X9B_ZWcsx3NoAlTbCMg/edit" TargetMode="External"/><Relationship Id="rId666" Type="http://schemas.openxmlformats.org/officeDocument/2006/relationships/hyperlink" Target="https://docs.google.com/spreadsheets/d/1aSbXo-Hf8pKEEiVPzd3RqBrXmmUBF7f_LryaKoXJhpc/edit" TargetMode="External"/><Relationship Id="rId302" Type="http://schemas.openxmlformats.org/officeDocument/2006/relationships/hyperlink" Target="https://docs.google.com/spreadsheets/d/1n9qf5PVrH5l1eRKIPF07RJBEcBTUQ1MBWbcmASDdfjE/edit" TargetMode="External"/><Relationship Id="rId423" Type="http://schemas.openxmlformats.org/officeDocument/2006/relationships/hyperlink" Target="https://docs.google.com/spreadsheets/d/1eIT_A56vV3yTdz1THkqSHdxqSRUcq4zGa6TWgJkKbB8/edit" TargetMode="External"/><Relationship Id="rId544" Type="http://schemas.openxmlformats.org/officeDocument/2006/relationships/hyperlink" Target="https://docs.google.com/spreadsheets/d/1JRhstUoxRgofgASQ2aYBjuk3X9B_ZWcsx3NoAlTbCMg/edit" TargetMode="External"/><Relationship Id="rId665" Type="http://schemas.openxmlformats.org/officeDocument/2006/relationships/hyperlink" Target="https://docs.google.com/spreadsheets/d/1aSbXo-Hf8pKEEiVPzd3RqBrXmmUBF7f_LryaKoXJhpc/edit" TargetMode="External"/><Relationship Id="rId309" Type="http://schemas.openxmlformats.org/officeDocument/2006/relationships/hyperlink" Target="https://docs.google.com/spreadsheets/d/1n9qf5PVrH5l1eRKIPF07RJBEcBTUQ1MBWbcmASDdfjE/edit" TargetMode="External"/><Relationship Id="rId308" Type="http://schemas.openxmlformats.org/officeDocument/2006/relationships/hyperlink" Target="https://docs.google.com/spreadsheets/d/1n9qf5PVrH5l1eRKIPF07RJBEcBTUQ1MBWbcmASDdfjE/edit" TargetMode="External"/><Relationship Id="rId429" Type="http://schemas.openxmlformats.org/officeDocument/2006/relationships/hyperlink" Target="https://docs.google.com/spreadsheets/d/1eIT_A56vV3yTdz1THkqSHdxqSRUcq4zGa6TWgJkKbB8/edit" TargetMode="External"/><Relationship Id="rId307" Type="http://schemas.openxmlformats.org/officeDocument/2006/relationships/hyperlink" Target="https://docs.google.com/spreadsheets/d/1n9qf5PVrH5l1eRKIPF07RJBEcBTUQ1MBWbcmASDdfjE/edit" TargetMode="External"/><Relationship Id="rId428" Type="http://schemas.openxmlformats.org/officeDocument/2006/relationships/hyperlink" Target="https://docs.google.com/spreadsheets/d/1eIT_A56vV3yTdz1THkqSHdxqSRUcq4zGa6TWgJkKbB8/edit" TargetMode="External"/><Relationship Id="rId549" Type="http://schemas.openxmlformats.org/officeDocument/2006/relationships/hyperlink" Target="https://docs.google.com/spreadsheets/d/1_6OdYY76tqDYBJztvW_RMsV5p3E40rhCMTEwDTCm4QE/edit" TargetMode="External"/><Relationship Id="rId306" Type="http://schemas.openxmlformats.org/officeDocument/2006/relationships/hyperlink" Target="https://docs.google.com/spreadsheets/d/1n9qf5PVrH5l1eRKIPF07RJBEcBTUQ1MBWbcmASDdfjE/edit" TargetMode="External"/><Relationship Id="rId427" Type="http://schemas.openxmlformats.org/officeDocument/2006/relationships/hyperlink" Target="https://docs.google.com/spreadsheets/d/1eIT_A56vV3yTdz1THkqSHdxqSRUcq4zGa6TWgJkKbB8/edit" TargetMode="External"/><Relationship Id="rId548" Type="http://schemas.openxmlformats.org/officeDocument/2006/relationships/hyperlink" Target="https://docs.google.com/spreadsheets/d/1JRhstUoxRgofgASQ2aYBjuk3X9B_ZWcsx3NoAlTbCMg/edit" TargetMode="External"/><Relationship Id="rId669" Type="http://schemas.openxmlformats.org/officeDocument/2006/relationships/hyperlink" Target="https://docs.google.com/spreadsheets/d/1aSbXo-Hf8pKEEiVPzd3RqBrXmmUBF7f_LryaKoXJhpc/edit" TargetMode="External"/><Relationship Id="rId660" Type="http://schemas.openxmlformats.org/officeDocument/2006/relationships/hyperlink" Target="https://docs.google.com/spreadsheets/d/1x1mksuhmqPoXp3XrWyIkZ3NvcJLMo_cxg5UoydFbYxo/edit" TargetMode="External"/><Relationship Id="rId301" Type="http://schemas.openxmlformats.org/officeDocument/2006/relationships/hyperlink" Target="https://docs.google.com/spreadsheets/d/1n9qf5PVrH5l1eRKIPF07RJBEcBTUQ1MBWbcmASDdfjE/edit" TargetMode="External"/><Relationship Id="rId422" Type="http://schemas.openxmlformats.org/officeDocument/2006/relationships/hyperlink" Target="https://docs.google.com/spreadsheets/d/1IoCcp7WrdfimMam4aXvs-6SmrIrCRUug1mcALDnAfcg/edit" TargetMode="External"/><Relationship Id="rId543" Type="http://schemas.openxmlformats.org/officeDocument/2006/relationships/hyperlink" Target="https://docs.google.com/spreadsheets/d/1JRhstUoxRgofgASQ2aYBjuk3X9B_ZWcsx3NoAlTbCMg/edit" TargetMode="External"/><Relationship Id="rId664" Type="http://schemas.openxmlformats.org/officeDocument/2006/relationships/hyperlink" Target="https://docs.google.com/spreadsheets/d/1aSbXo-Hf8pKEEiVPzd3RqBrXmmUBF7f_LryaKoXJhpc/edit" TargetMode="External"/><Relationship Id="rId300" Type="http://schemas.openxmlformats.org/officeDocument/2006/relationships/hyperlink" Target="https://docs.google.com/spreadsheets/d/1n9qf5PVrH5l1eRKIPF07RJBEcBTUQ1MBWbcmASDdfjE/edit" TargetMode="External"/><Relationship Id="rId421" Type="http://schemas.openxmlformats.org/officeDocument/2006/relationships/hyperlink" Target="https://docs.google.com/spreadsheets/d/1IoCcp7WrdfimMam4aXvs-6SmrIrCRUug1mcALDnAfcg/edit" TargetMode="External"/><Relationship Id="rId542" Type="http://schemas.openxmlformats.org/officeDocument/2006/relationships/hyperlink" Target="https://docs.google.com/spreadsheets/d/1JRhstUoxRgofgASQ2aYBjuk3X9B_ZWcsx3NoAlTbCMg/edit" TargetMode="External"/><Relationship Id="rId663" Type="http://schemas.openxmlformats.org/officeDocument/2006/relationships/hyperlink" Target="https://docs.google.com/spreadsheets/d/1aSbXo-Hf8pKEEiVPzd3RqBrXmmUBF7f_LryaKoXJhpc/edit" TargetMode="External"/><Relationship Id="rId420" Type="http://schemas.openxmlformats.org/officeDocument/2006/relationships/hyperlink" Target="https://docs.google.com/spreadsheets/d/1IoCcp7WrdfimMam4aXvs-6SmrIrCRUug1mcALDnAfcg/edit" TargetMode="External"/><Relationship Id="rId541" Type="http://schemas.openxmlformats.org/officeDocument/2006/relationships/hyperlink" Target="https://docs.google.com/spreadsheets/d/1JRhstUoxRgofgASQ2aYBjuk3X9B_ZWcsx3NoAlTbCMg/edit" TargetMode="External"/><Relationship Id="rId662" Type="http://schemas.openxmlformats.org/officeDocument/2006/relationships/hyperlink" Target="https://docs.google.com/spreadsheets/d/1x1mksuhmqPoXp3XrWyIkZ3NvcJLMo_cxg5UoydFbYxo/edit" TargetMode="External"/><Relationship Id="rId540" Type="http://schemas.openxmlformats.org/officeDocument/2006/relationships/hyperlink" Target="https://docs.google.com/spreadsheets/d/1JRhstUoxRgofgASQ2aYBjuk3X9B_ZWcsx3NoAlTbCMg/edit" TargetMode="External"/><Relationship Id="rId661" Type="http://schemas.openxmlformats.org/officeDocument/2006/relationships/hyperlink" Target="https://docs.google.com/spreadsheets/d/1x1mksuhmqPoXp3XrWyIkZ3NvcJLMo_cxg5UoydFbYxo/edit" TargetMode="External"/><Relationship Id="rId415" Type="http://schemas.openxmlformats.org/officeDocument/2006/relationships/hyperlink" Target="https://docs.google.com/spreadsheets/d/1c0UOEGkPhaBHe0Q7bDlr5zOWK-r_Ah8BCjfbopYBmKo/edit" TargetMode="External"/><Relationship Id="rId536" Type="http://schemas.openxmlformats.org/officeDocument/2006/relationships/hyperlink" Target="https://docs.google.com/spreadsheets/d/15I0cc1P2uIbnNibkGt06qGORorwZjHNyhHPfX55A4G4/edit" TargetMode="External"/><Relationship Id="rId657" Type="http://schemas.openxmlformats.org/officeDocument/2006/relationships/hyperlink" Target="https://docs.google.com/spreadsheets/d/1x1mksuhmqPoXp3XrWyIkZ3NvcJLMo_cxg5UoydFbYxo/edit" TargetMode="External"/><Relationship Id="rId414" Type="http://schemas.openxmlformats.org/officeDocument/2006/relationships/hyperlink" Target="https://docs.google.com/spreadsheets/d/19A5icAw1xKL05qGdMZzfnzok5NM-QoJX3SCO5-DZDBk/edit" TargetMode="External"/><Relationship Id="rId535" Type="http://schemas.openxmlformats.org/officeDocument/2006/relationships/hyperlink" Target="https://docs.google.com/spreadsheets/d/15I0cc1P2uIbnNibkGt06qGORorwZjHNyhHPfX55A4G4/edit" TargetMode="External"/><Relationship Id="rId656" Type="http://schemas.openxmlformats.org/officeDocument/2006/relationships/hyperlink" Target="https://docs.google.com/spreadsheets/d/1x1mksuhmqPoXp3XrWyIkZ3NvcJLMo_cxg5UoydFbYxo/edit" TargetMode="External"/><Relationship Id="rId413" Type="http://schemas.openxmlformats.org/officeDocument/2006/relationships/hyperlink" Target="https://docs.google.com/spreadsheets/d/19A5icAw1xKL05qGdMZzfnzok5NM-QoJX3SCO5-DZDBk/edit" TargetMode="External"/><Relationship Id="rId534" Type="http://schemas.openxmlformats.org/officeDocument/2006/relationships/hyperlink" Target="https://docs.google.com/spreadsheets/d/15I0cc1P2uIbnNibkGt06qGORorwZjHNyhHPfX55A4G4/edit" TargetMode="External"/><Relationship Id="rId655" Type="http://schemas.openxmlformats.org/officeDocument/2006/relationships/hyperlink" Target="https://docs.google.com/spreadsheets/d/1x1mksuhmqPoXp3XrWyIkZ3NvcJLMo_cxg5UoydFbYxo/edit" TargetMode="External"/><Relationship Id="rId412" Type="http://schemas.openxmlformats.org/officeDocument/2006/relationships/hyperlink" Target="https://docs.google.com/spreadsheets/d/19A5icAw1xKL05qGdMZzfnzok5NM-QoJX3SCO5-DZDBk/edit" TargetMode="External"/><Relationship Id="rId533" Type="http://schemas.openxmlformats.org/officeDocument/2006/relationships/hyperlink" Target="https://docs.google.com/spreadsheets/d/15I0cc1P2uIbnNibkGt06qGORorwZjHNyhHPfX55A4G4/edit" TargetMode="External"/><Relationship Id="rId654" Type="http://schemas.openxmlformats.org/officeDocument/2006/relationships/hyperlink" Target="https://docs.google.com/spreadsheets/d/1x1mksuhmqPoXp3XrWyIkZ3NvcJLMo_cxg5UoydFbYxo/edit" TargetMode="External"/><Relationship Id="rId419" Type="http://schemas.openxmlformats.org/officeDocument/2006/relationships/hyperlink" Target="https://docs.google.com/spreadsheets/d/1IoCcp7WrdfimMam4aXvs-6SmrIrCRUug1mcALDnAfcg/edit" TargetMode="External"/><Relationship Id="rId418" Type="http://schemas.openxmlformats.org/officeDocument/2006/relationships/hyperlink" Target="https://docs.google.com/spreadsheets/d/1c0UOEGkPhaBHe0Q7bDlr5zOWK-r_Ah8BCjfbopYBmKo/edit" TargetMode="External"/><Relationship Id="rId539" Type="http://schemas.openxmlformats.org/officeDocument/2006/relationships/hyperlink" Target="https://docs.google.com/spreadsheets/d/1JRhstUoxRgofgASQ2aYBjuk3X9B_ZWcsx3NoAlTbCMg/edit" TargetMode="External"/><Relationship Id="rId417" Type="http://schemas.openxmlformats.org/officeDocument/2006/relationships/hyperlink" Target="https://docs.google.com/spreadsheets/d/1c0UOEGkPhaBHe0Q7bDlr5zOWK-r_Ah8BCjfbopYBmKo/edit" TargetMode="External"/><Relationship Id="rId538" Type="http://schemas.openxmlformats.org/officeDocument/2006/relationships/hyperlink" Target="https://docs.google.com/spreadsheets/d/15I0cc1P2uIbnNibkGt06qGORorwZjHNyhHPfX55A4G4/edit" TargetMode="External"/><Relationship Id="rId659" Type="http://schemas.openxmlformats.org/officeDocument/2006/relationships/hyperlink" Target="https://docs.google.com/spreadsheets/d/1x1mksuhmqPoXp3XrWyIkZ3NvcJLMo_cxg5UoydFbYxo/edit" TargetMode="External"/><Relationship Id="rId416" Type="http://schemas.openxmlformats.org/officeDocument/2006/relationships/hyperlink" Target="https://docs.google.com/spreadsheets/d/1c0UOEGkPhaBHe0Q7bDlr5zOWK-r_Ah8BCjfbopYBmKo/edit" TargetMode="External"/><Relationship Id="rId537" Type="http://schemas.openxmlformats.org/officeDocument/2006/relationships/hyperlink" Target="https://docs.google.com/spreadsheets/d/15I0cc1P2uIbnNibkGt06qGORorwZjHNyhHPfX55A4G4/edit" TargetMode="External"/><Relationship Id="rId658" Type="http://schemas.openxmlformats.org/officeDocument/2006/relationships/hyperlink" Target="https://docs.google.com/spreadsheets/d/1x1mksuhmqPoXp3XrWyIkZ3NvcJLMo_cxg5UoydFbYxo/edit" TargetMode="External"/><Relationship Id="rId411" Type="http://schemas.openxmlformats.org/officeDocument/2006/relationships/hyperlink" Target="https://docs.google.com/spreadsheets/d/19A5icAw1xKL05qGdMZzfnzok5NM-QoJX3SCO5-DZDBk/edit" TargetMode="External"/><Relationship Id="rId532" Type="http://schemas.openxmlformats.org/officeDocument/2006/relationships/hyperlink" Target="https://docs.google.com/spreadsheets/d/15I0cc1P2uIbnNibkGt06qGORorwZjHNyhHPfX55A4G4/edit" TargetMode="External"/><Relationship Id="rId653" Type="http://schemas.openxmlformats.org/officeDocument/2006/relationships/hyperlink" Target="https://docs.google.com/spreadsheets/d/1x1mksuhmqPoXp3XrWyIkZ3NvcJLMo_cxg5UoydFbYxo/edit" TargetMode="External"/><Relationship Id="rId410" Type="http://schemas.openxmlformats.org/officeDocument/2006/relationships/hyperlink" Target="https://docs.google.com/spreadsheets/d/19A5icAw1xKL05qGdMZzfnzok5NM-QoJX3SCO5-DZDBk/edit" TargetMode="External"/><Relationship Id="rId531" Type="http://schemas.openxmlformats.org/officeDocument/2006/relationships/hyperlink" Target="https://docs.google.com/spreadsheets/d/15I0cc1P2uIbnNibkGt06qGORorwZjHNyhHPfX55A4G4/edit" TargetMode="External"/><Relationship Id="rId652" Type="http://schemas.openxmlformats.org/officeDocument/2006/relationships/hyperlink" Target="https://docs.google.com/spreadsheets/d/1x1mksuhmqPoXp3XrWyIkZ3NvcJLMo_cxg5UoydFbYxo/edit" TargetMode="External"/><Relationship Id="rId530" Type="http://schemas.openxmlformats.org/officeDocument/2006/relationships/hyperlink" Target="https://docs.google.com/spreadsheets/d/15I0cc1P2uIbnNibkGt06qGORorwZjHNyhHPfX55A4G4/edit" TargetMode="External"/><Relationship Id="rId651" Type="http://schemas.openxmlformats.org/officeDocument/2006/relationships/hyperlink" Target="https://docs.google.com/spreadsheets/d/1x1mksuhmqPoXp3XrWyIkZ3NvcJLMo_cxg5UoydFbYxo/edit" TargetMode="External"/><Relationship Id="rId650" Type="http://schemas.openxmlformats.org/officeDocument/2006/relationships/hyperlink" Target="https://docs.google.com/spreadsheets/d/1x1mksuhmqPoXp3XrWyIkZ3NvcJLMo_cxg5UoydFbYxo/edit" TargetMode="External"/><Relationship Id="rId206" Type="http://schemas.openxmlformats.org/officeDocument/2006/relationships/hyperlink" Target="https://docs.google.com/spreadsheets/d/1tTZX3NLX1PCJzAUjeFXLMuKqqbTHxwWExoX--01KqFU/edit" TargetMode="External"/><Relationship Id="rId327" Type="http://schemas.openxmlformats.org/officeDocument/2006/relationships/hyperlink" Target="https://docs.google.com/spreadsheets/d/1vBnvYHrXLkfbAt28xRbbV4nZ3HwU3C9ROwQyWc7Z4Og/edit" TargetMode="External"/><Relationship Id="rId448" Type="http://schemas.openxmlformats.org/officeDocument/2006/relationships/hyperlink" Target="https://docs.google.com/spreadsheets/d/1dh0sv-EN5j_7LJr3dDJE-48-ZWTcR6AWt-GxwLMnt_A/edit" TargetMode="External"/><Relationship Id="rId569" Type="http://schemas.openxmlformats.org/officeDocument/2006/relationships/hyperlink" Target="https://docs.google.com/spreadsheets/d/13PT2NRbxpZkLRz6Oc5SXg5bjrJjKcWpdi-FtSp0-TjA/edit" TargetMode="External"/><Relationship Id="rId205" Type="http://schemas.openxmlformats.org/officeDocument/2006/relationships/hyperlink" Target="https://docs.google.com/spreadsheets/d/1zfan3f36LXH7f10VCzFrD-rQ4q8tSO0QFJhCUljR1fI/edit" TargetMode="External"/><Relationship Id="rId326" Type="http://schemas.openxmlformats.org/officeDocument/2006/relationships/hyperlink" Target="https://docs.google.com/spreadsheets/d/1vBnvYHrXLkfbAt28xRbbV4nZ3HwU3C9ROwQyWc7Z4Og/edit" TargetMode="External"/><Relationship Id="rId447" Type="http://schemas.openxmlformats.org/officeDocument/2006/relationships/hyperlink" Target="https://docs.google.com/spreadsheets/d/1dh0sv-EN5j_7LJr3dDJE-48-ZWTcR6AWt-GxwLMnt_A/edit" TargetMode="External"/><Relationship Id="rId568" Type="http://schemas.openxmlformats.org/officeDocument/2006/relationships/hyperlink" Target="https://docs.google.com/spreadsheets/d/13PT2NRbxpZkLRz6Oc5SXg5bjrJjKcWpdi-FtSp0-TjA/edit" TargetMode="External"/><Relationship Id="rId689" Type="http://schemas.openxmlformats.org/officeDocument/2006/relationships/hyperlink" Target="https://docs.google.com/spreadsheets/d/1Z--4m810vKqo05mXwz2th2vMbbO1rn_Olts3q7oi994/edit" TargetMode="External"/><Relationship Id="rId204" Type="http://schemas.openxmlformats.org/officeDocument/2006/relationships/hyperlink" Target="https://docs.google.com/spreadsheets/d/1zfan3f36LXH7f10VCzFrD-rQ4q8tSO0QFJhCUljR1fI/edit" TargetMode="External"/><Relationship Id="rId325" Type="http://schemas.openxmlformats.org/officeDocument/2006/relationships/hyperlink" Target="https://docs.google.com/spreadsheets/d/1vBnvYHrXLkfbAt28xRbbV4nZ3HwU3C9ROwQyWc7Z4Og/edit" TargetMode="External"/><Relationship Id="rId446" Type="http://schemas.openxmlformats.org/officeDocument/2006/relationships/hyperlink" Target="https://docs.google.com/spreadsheets/d/1dh0sv-EN5j_7LJr3dDJE-48-ZWTcR6AWt-GxwLMnt_A/edit" TargetMode="External"/><Relationship Id="rId567" Type="http://schemas.openxmlformats.org/officeDocument/2006/relationships/hyperlink" Target="https://docs.google.com/spreadsheets/d/13PT2NRbxpZkLRz6Oc5SXg5bjrJjKcWpdi-FtSp0-TjA/edit" TargetMode="External"/><Relationship Id="rId688" Type="http://schemas.openxmlformats.org/officeDocument/2006/relationships/hyperlink" Target="https://docs.google.com/spreadsheets/d/1Z--4m810vKqo05mXwz2th2vMbbO1rn_Olts3q7oi994/edit" TargetMode="External"/><Relationship Id="rId203" Type="http://schemas.openxmlformats.org/officeDocument/2006/relationships/hyperlink" Target="https://docs.google.com/spreadsheets/d/1zfan3f36LXH7f10VCzFrD-rQ4q8tSO0QFJhCUljR1fI/edit" TargetMode="External"/><Relationship Id="rId324" Type="http://schemas.openxmlformats.org/officeDocument/2006/relationships/hyperlink" Target="https://docs.google.com/spreadsheets/d/1vBnvYHrXLkfbAt28xRbbV4nZ3HwU3C9ROwQyWc7Z4Og/edit" TargetMode="External"/><Relationship Id="rId445" Type="http://schemas.openxmlformats.org/officeDocument/2006/relationships/hyperlink" Target="https://docs.google.com/spreadsheets/d/1dh0sv-EN5j_7LJr3dDJE-48-ZWTcR6AWt-GxwLMnt_A/edit" TargetMode="External"/><Relationship Id="rId566" Type="http://schemas.openxmlformats.org/officeDocument/2006/relationships/hyperlink" Target="https://docs.google.com/spreadsheets/d/13PT2NRbxpZkLRz6Oc5SXg5bjrJjKcWpdi-FtSp0-TjA/edit" TargetMode="External"/><Relationship Id="rId687" Type="http://schemas.openxmlformats.org/officeDocument/2006/relationships/hyperlink" Target="https://docs.google.com/spreadsheets/d/1Z--4m810vKqo05mXwz2th2vMbbO1rn_Olts3q7oi994/edit" TargetMode="External"/><Relationship Id="rId209" Type="http://schemas.openxmlformats.org/officeDocument/2006/relationships/hyperlink" Target="https://docs.google.com/spreadsheets/d/1tTZX3NLX1PCJzAUjeFXLMuKqqbTHxwWExoX--01KqFU/edit" TargetMode="External"/><Relationship Id="rId208" Type="http://schemas.openxmlformats.org/officeDocument/2006/relationships/hyperlink" Target="https://docs.google.com/spreadsheets/d/1tTZX3NLX1PCJzAUjeFXLMuKqqbTHxwWExoX--01KqFU/edit" TargetMode="External"/><Relationship Id="rId329" Type="http://schemas.openxmlformats.org/officeDocument/2006/relationships/hyperlink" Target="https://docs.google.com/spreadsheets/d/1ScQphSLjOygtEsXFOkEq8uNRL6AyDoCsxL-a2UwjxPM/edit" TargetMode="External"/><Relationship Id="rId207" Type="http://schemas.openxmlformats.org/officeDocument/2006/relationships/hyperlink" Target="https://docs.google.com/spreadsheets/d/1tTZX3NLX1PCJzAUjeFXLMuKqqbTHxwWExoX--01KqFU/edit" TargetMode="External"/><Relationship Id="rId328" Type="http://schemas.openxmlformats.org/officeDocument/2006/relationships/hyperlink" Target="https://docs.google.com/spreadsheets/d/1vBnvYHrXLkfbAt28xRbbV4nZ3HwU3C9ROwQyWc7Z4Og/edit" TargetMode="External"/><Relationship Id="rId449" Type="http://schemas.openxmlformats.org/officeDocument/2006/relationships/hyperlink" Target="https://docs.google.com/spreadsheets/d/1dh0sv-EN5j_7LJr3dDJE-48-ZWTcR6AWt-GxwLMnt_A/edit" TargetMode="External"/><Relationship Id="rId440" Type="http://schemas.openxmlformats.org/officeDocument/2006/relationships/hyperlink" Target="https://docs.google.com/spreadsheets/d/1loIyDGdIp1yS1ZrOENun6WDskZIdIprPbz5sWbC6Fxk/edit" TargetMode="External"/><Relationship Id="rId561" Type="http://schemas.openxmlformats.org/officeDocument/2006/relationships/hyperlink" Target="https://docs.google.com/spreadsheets/d/13PT2NRbxpZkLRz6Oc5SXg5bjrJjKcWpdi-FtSp0-TjA/edit" TargetMode="External"/><Relationship Id="rId682" Type="http://schemas.openxmlformats.org/officeDocument/2006/relationships/hyperlink" Target="https://docs.google.com/spreadsheets/d/1aSbXo-Hf8pKEEiVPzd3RqBrXmmUBF7f_LryaKoXJhpc/edit" TargetMode="External"/><Relationship Id="rId560" Type="http://schemas.openxmlformats.org/officeDocument/2006/relationships/hyperlink" Target="https://docs.google.com/spreadsheets/d/13PT2NRbxpZkLRz6Oc5SXg5bjrJjKcWpdi-FtSp0-TjA/edit" TargetMode="External"/><Relationship Id="rId681" Type="http://schemas.openxmlformats.org/officeDocument/2006/relationships/hyperlink" Target="https://docs.google.com/spreadsheets/d/1aSbXo-Hf8pKEEiVPzd3RqBrXmmUBF7f_LryaKoXJhpc/edit" TargetMode="External"/><Relationship Id="rId680" Type="http://schemas.openxmlformats.org/officeDocument/2006/relationships/hyperlink" Target="https://docs.google.com/spreadsheets/d/1aSbXo-Hf8pKEEiVPzd3RqBrXmmUBF7f_LryaKoXJhpc/edit" TargetMode="External"/><Relationship Id="rId202" Type="http://schemas.openxmlformats.org/officeDocument/2006/relationships/hyperlink" Target="https://docs.google.com/spreadsheets/d/1zfan3f36LXH7f10VCzFrD-rQ4q8tSO0QFJhCUljR1fI/edit" TargetMode="External"/><Relationship Id="rId323" Type="http://schemas.openxmlformats.org/officeDocument/2006/relationships/hyperlink" Target="https://docs.google.com/spreadsheets/d/1vBnvYHrXLkfbAt28xRbbV4nZ3HwU3C9ROwQyWc7Z4Og/edit" TargetMode="External"/><Relationship Id="rId444" Type="http://schemas.openxmlformats.org/officeDocument/2006/relationships/hyperlink" Target="https://docs.google.com/spreadsheets/d/1dh0sv-EN5j_7LJr3dDJE-48-ZWTcR6AWt-GxwLMnt_A/edit" TargetMode="External"/><Relationship Id="rId565" Type="http://schemas.openxmlformats.org/officeDocument/2006/relationships/hyperlink" Target="https://docs.google.com/spreadsheets/d/13PT2NRbxpZkLRz6Oc5SXg5bjrJjKcWpdi-FtSp0-TjA/edit" TargetMode="External"/><Relationship Id="rId686" Type="http://schemas.openxmlformats.org/officeDocument/2006/relationships/hyperlink" Target="https://docs.google.com/spreadsheets/d/10wPxU0lJgEseLbRGAto0PziWKXw1Yz8_oRb39WcTH_g/edit" TargetMode="External"/><Relationship Id="rId201" Type="http://schemas.openxmlformats.org/officeDocument/2006/relationships/hyperlink" Target="https://docs.google.com/spreadsheets/d/1zfan3f36LXH7f10VCzFrD-rQ4q8tSO0QFJhCUljR1fI/edit" TargetMode="External"/><Relationship Id="rId322" Type="http://schemas.openxmlformats.org/officeDocument/2006/relationships/hyperlink" Target="https://docs.google.com/spreadsheets/d/1vBnvYHrXLkfbAt28xRbbV4nZ3HwU3C9ROwQyWc7Z4Og/edit" TargetMode="External"/><Relationship Id="rId443" Type="http://schemas.openxmlformats.org/officeDocument/2006/relationships/hyperlink" Target="https://docs.google.com/spreadsheets/d/1dh0sv-EN5j_7LJr3dDJE-48-ZWTcR6AWt-GxwLMnt_A/edit" TargetMode="External"/><Relationship Id="rId564" Type="http://schemas.openxmlformats.org/officeDocument/2006/relationships/hyperlink" Target="https://docs.google.com/spreadsheets/d/13PT2NRbxpZkLRz6Oc5SXg5bjrJjKcWpdi-FtSp0-TjA/edit" TargetMode="External"/><Relationship Id="rId685" Type="http://schemas.openxmlformats.org/officeDocument/2006/relationships/hyperlink" Target="https://docs.google.com/spreadsheets/d/10wPxU0lJgEseLbRGAto0PziWKXw1Yz8_oRb39WcTH_g/edit" TargetMode="External"/><Relationship Id="rId200" Type="http://schemas.openxmlformats.org/officeDocument/2006/relationships/hyperlink" Target="https://docs.google.com/spreadsheets/d/1zfan3f36LXH7f10VCzFrD-rQ4q8tSO0QFJhCUljR1fI/edit" TargetMode="External"/><Relationship Id="rId321" Type="http://schemas.openxmlformats.org/officeDocument/2006/relationships/hyperlink" Target="https://docs.google.com/spreadsheets/d/1u2uRZ8bZLD7fDf-wNWjqZS_SNKROemUI3vdmQJ1kLfk/edit" TargetMode="External"/><Relationship Id="rId442" Type="http://schemas.openxmlformats.org/officeDocument/2006/relationships/hyperlink" Target="https://docs.google.com/spreadsheets/d/1dh0sv-EN5j_7LJr3dDJE-48-ZWTcR6AWt-GxwLMnt_A/edit" TargetMode="External"/><Relationship Id="rId563" Type="http://schemas.openxmlformats.org/officeDocument/2006/relationships/hyperlink" Target="https://docs.google.com/spreadsheets/d/13PT2NRbxpZkLRz6Oc5SXg5bjrJjKcWpdi-FtSp0-TjA/edit" TargetMode="External"/><Relationship Id="rId684" Type="http://schemas.openxmlformats.org/officeDocument/2006/relationships/hyperlink" Target="https://docs.google.com/spreadsheets/d/10wPxU0lJgEseLbRGAto0PziWKXw1Yz8_oRb39WcTH_g/edit" TargetMode="External"/><Relationship Id="rId320" Type="http://schemas.openxmlformats.org/officeDocument/2006/relationships/hyperlink" Target="https://docs.google.com/spreadsheets/d/1u2uRZ8bZLD7fDf-wNWjqZS_SNKROemUI3vdmQJ1kLfk/edit" TargetMode="External"/><Relationship Id="rId441" Type="http://schemas.openxmlformats.org/officeDocument/2006/relationships/hyperlink" Target="https://docs.google.com/spreadsheets/d/1dh0sv-EN5j_7LJr3dDJE-48-ZWTcR6AWt-GxwLMnt_A/edit" TargetMode="External"/><Relationship Id="rId562" Type="http://schemas.openxmlformats.org/officeDocument/2006/relationships/hyperlink" Target="https://docs.google.com/spreadsheets/d/13PT2NRbxpZkLRz6Oc5SXg5bjrJjKcWpdi-FtSp0-TjA/edit" TargetMode="External"/><Relationship Id="rId683" Type="http://schemas.openxmlformats.org/officeDocument/2006/relationships/hyperlink" Target="https://docs.google.com/spreadsheets/d/10wPxU0lJgEseLbRGAto0PziWKXw1Yz8_oRb39WcTH_g/edit" TargetMode="External"/><Relationship Id="rId316" Type="http://schemas.openxmlformats.org/officeDocument/2006/relationships/hyperlink" Target="https://docs.google.com/spreadsheets/d/1u2uRZ8bZLD7fDf-wNWjqZS_SNKROemUI3vdmQJ1kLfk/edit" TargetMode="External"/><Relationship Id="rId437" Type="http://schemas.openxmlformats.org/officeDocument/2006/relationships/hyperlink" Target="https://docs.google.com/spreadsheets/d/1eIT_A56vV3yTdz1THkqSHdxqSRUcq4zGa6TWgJkKbB8/edit" TargetMode="External"/><Relationship Id="rId558" Type="http://schemas.openxmlformats.org/officeDocument/2006/relationships/hyperlink" Target="https://docs.google.com/spreadsheets/d/1_6OdYY76tqDYBJztvW_RMsV5p3E40rhCMTEwDTCm4QE/edit" TargetMode="External"/><Relationship Id="rId679" Type="http://schemas.openxmlformats.org/officeDocument/2006/relationships/hyperlink" Target="https://docs.google.com/spreadsheets/d/1aSbXo-Hf8pKEEiVPzd3RqBrXmmUBF7f_LryaKoXJhpc/edit" TargetMode="External"/><Relationship Id="rId315" Type="http://schemas.openxmlformats.org/officeDocument/2006/relationships/hyperlink" Target="https://docs.google.com/spreadsheets/d/1u2uRZ8bZLD7fDf-wNWjqZS_SNKROemUI3vdmQJ1kLfk/edit" TargetMode="External"/><Relationship Id="rId436" Type="http://schemas.openxmlformats.org/officeDocument/2006/relationships/hyperlink" Target="https://docs.google.com/spreadsheets/d/1eIT_A56vV3yTdz1THkqSHdxqSRUcq4zGa6TWgJkKbB8/edit" TargetMode="External"/><Relationship Id="rId557" Type="http://schemas.openxmlformats.org/officeDocument/2006/relationships/hyperlink" Target="https://docs.google.com/spreadsheets/d/1_6OdYY76tqDYBJztvW_RMsV5p3E40rhCMTEwDTCm4QE/edit" TargetMode="External"/><Relationship Id="rId678" Type="http://schemas.openxmlformats.org/officeDocument/2006/relationships/hyperlink" Target="https://docs.google.com/spreadsheets/d/1aSbXo-Hf8pKEEiVPzd3RqBrXmmUBF7f_LryaKoXJhpc/edit" TargetMode="External"/><Relationship Id="rId314" Type="http://schemas.openxmlformats.org/officeDocument/2006/relationships/hyperlink" Target="https://docs.google.com/spreadsheets/d/1n9qf5PVrH5l1eRKIPF07RJBEcBTUQ1MBWbcmASDdfjE/edit" TargetMode="External"/><Relationship Id="rId435" Type="http://schemas.openxmlformats.org/officeDocument/2006/relationships/hyperlink" Target="https://docs.google.com/spreadsheets/d/1eIT_A56vV3yTdz1THkqSHdxqSRUcq4zGa6TWgJkKbB8/edit" TargetMode="External"/><Relationship Id="rId556" Type="http://schemas.openxmlformats.org/officeDocument/2006/relationships/hyperlink" Target="https://docs.google.com/spreadsheets/d/1_6OdYY76tqDYBJztvW_RMsV5p3E40rhCMTEwDTCm4QE/edit" TargetMode="External"/><Relationship Id="rId677" Type="http://schemas.openxmlformats.org/officeDocument/2006/relationships/hyperlink" Target="https://docs.google.com/spreadsheets/d/1aSbXo-Hf8pKEEiVPzd3RqBrXmmUBF7f_LryaKoXJhpc/edit" TargetMode="External"/><Relationship Id="rId313" Type="http://schemas.openxmlformats.org/officeDocument/2006/relationships/hyperlink" Target="https://docs.google.com/spreadsheets/d/1n9qf5PVrH5l1eRKIPF07RJBEcBTUQ1MBWbcmASDdfjE/edit" TargetMode="External"/><Relationship Id="rId434" Type="http://schemas.openxmlformats.org/officeDocument/2006/relationships/hyperlink" Target="https://docs.google.com/spreadsheets/d/1eIT_A56vV3yTdz1THkqSHdxqSRUcq4zGa6TWgJkKbB8/edit" TargetMode="External"/><Relationship Id="rId555" Type="http://schemas.openxmlformats.org/officeDocument/2006/relationships/hyperlink" Target="https://docs.google.com/spreadsheets/d/1_6OdYY76tqDYBJztvW_RMsV5p3E40rhCMTEwDTCm4QE/edit" TargetMode="External"/><Relationship Id="rId676" Type="http://schemas.openxmlformats.org/officeDocument/2006/relationships/hyperlink" Target="https://docs.google.com/spreadsheets/d/1aSbXo-Hf8pKEEiVPzd3RqBrXmmUBF7f_LryaKoXJhpc/edit" TargetMode="External"/><Relationship Id="rId319" Type="http://schemas.openxmlformats.org/officeDocument/2006/relationships/hyperlink" Target="https://docs.google.com/spreadsheets/d/1u2uRZ8bZLD7fDf-wNWjqZS_SNKROemUI3vdmQJ1kLfk/edit" TargetMode="External"/><Relationship Id="rId318" Type="http://schemas.openxmlformats.org/officeDocument/2006/relationships/hyperlink" Target="https://docs.google.com/spreadsheets/d/1u2uRZ8bZLD7fDf-wNWjqZS_SNKROemUI3vdmQJ1kLfk/edit" TargetMode="External"/><Relationship Id="rId439" Type="http://schemas.openxmlformats.org/officeDocument/2006/relationships/hyperlink" Target="https://docs.google.com/spreadsheets/d/1eIT_A56vV3yTdz1THkqSHdxqSRUcq4zGa6TWgJkKbB8/edit" TargetMode="External"/><Relationship Id="rId317" Type="http://schemas.openxmlformats.org/officeDocument/2006/relationships/hyperlink" Target="https://docs.google.com/spreadsheets/d/1u2uRZ8bZLD7fDf-wNWjqZS_SNKROemUI3vdmQJ1kLfk/edit" TargetMode="External"/><Relationship Id="rId438" Type="http://schemas.openxmlformats.org/officeDocument/2006/relationships/hyperlink" Target="https://docs.google.com/spreadsheets/d/1eIT_A56vV3yTdz1THkqSHdxqSRUcq4zGa6TWgJkKbB8/edit" TargetMode="External"/><Relationship Id="rId559" Type="http://schemas.openxmlformats.org/officeDocument/2006/relationships/hyperlink" Target="https://docs.google.com/spreadsheets/d/1_6OdYY76tqDYBJztvW_RMsV5p3E40rhCMTEwDTCm4QE/edit" TargetMode="External"/><Relationship Id="rId550" Type="http://schemas.openxmlformats.org/officeDocument/2006/relationships/hyperlink" Target="https://docs.google.com/spreadsheets/d/1_6OdYY76tqDYBJztvW_RMsV5p3E40rhCMTEwDTCm4QE/edit" TargetMode="External"/><Relationship Id="rId671" Type="http://schemas.openxmlformats.org/officeDocument/2006/relationships/hyperlink" Target="https://docs.google.com/spreadsheets/d/1aSbXo-Hf8pKEEiVPzd3RqBrXmmUBF7f_LryaKoXJhpc/edit" TargetMode="External"/><Relationship Id="rId670" Type="http://schemas.openxmlformats.org/officeDocument/2006/relationships/hyperlink" Target="https://docs.google.com/spreadsheets/d/1aSbXo-Hf8pKEEiVPzd3RqBrXmmUBF7f_LryaKoXJhpc/edit" TargetMode="External"/><Relationship Id="rId312" Type="http://schemas.openxmlformats.org/officeDocument/2006/relationships/hyperlink" Target="https://docs.google.com/spreadsheets/d/1n9qf5PVrH5l1eRKIPF07RJBEcBTUQ1MBWbcmASDdfjE/edit" TargetMode="External"/><Relationship Id="rId433" Type="http://schemas.openxmlformats.org/officeDocument/2006/relationships/hyperlink" Target="https://docs.google.com/spreadsheets/d/1eIT_A56vV3yTdz1THkqSHdxqSRUcq4zGa6TWgJkKbB8/edit" TargetMode="External"/><Relationship Id="rId554" Type="http://schemas.openxmlformats.org/officeDocument/2006/relationships/hyperlink" Target="https://docs.google.com/spreadsheets/d/1_6OdYY76tqDYBJztvW_RMsV5p3E40rhCMTEwDTCm4QE/edit" TargetMode="External"/><Relationship Id="rId675" Type="http://schemas.openxmlformats.org/officeDocument/2006/relationships/hyperlink" Target="https://docs.google.com/spreadsheets/d/1aSbXo-Hf8pKEEiVPzd3RqBrXmmUBF7f_LryaKoXJhpc/edit" TargetMode="External"/><Relationship Id="rId311" Type="http://schemas.openxmlformats.org/officeDocument/2006/relationships/hyperlink" Target="https://docs.google.com/spreadsheets/d/1n9qf5PVrH5l1eRKIPF07RJBEcBTUQ1MBWbcmASDdfjE/edit" TargetMode="External"/><Relationship Id="rId432" Type="http://schemas.openxmlformats.org/officeDocument/2006/relationships/hyperlink" Target="https://docs.google.com/spreadsheets/d/1eIT_A56vV3yTdz1THkqSHdxqSRUcq4zGa6TWgJkKbB8/edit" TargetMode="External"/><Relationship Id="rId553" Type="http://schemas.openxmlformats.org/officeDocument/2006/relationships/hyperlink" Target="https://docs.google.com/spreadsheets/d/1_6OdYY76tqDYBJztvW_RMsV5p3E40rhCMTEwDTCm4QE/edit" TargetMode="External"/><Relationship Id="rId674" Type="http://schemas.openxmlformats.org/officeDocument/2006/relationships/hyperlink" Target="https://docs.google.com/spreadsheets/d/1aSbXo-Hf8pKEEiVPzd3RqBrXmmUBF7f_LryaKoXJhpc/edit" TargetMode="External"/><Relationship Id="rId310" Type="http://schemas.openxmlformats.org/officeDocument/2006/relationships/hyperlink" Target="https://docs.google.com/spreadsheets/d/1n9qf5PVrH5l1eRKIPF07RJBEcBTUQ1MBWbcmASDdfjE/edit" TargetMode="External"/><Relationship Id="rId431" Type="http://schemas.openxmlformats.org/officeDocument/2006/relationships/hyperlink" Target="https://docs.google.com/spreadsheets/d/1eIT_A56vV3yTdz1THkqSHdxqSRUcq4zGa6TWgJkKbB8/edit" TargetMode="External"/><Relationship Id="rId552" Type="http://schemas.openxmlformats.org/officeDocument/2006/relationships/hyperlink" Target="https://docs.google.com/spreadsheets/d/1_6OdYY76tqDYBJztvW_RMsV5p3E40rhCMTEwDTCm4QE/edit" TargetMode="External"/><Relationship Id="rId673" Type="http://schemas.openxmlformats.org/officeDocument/2006/relationships/hyperlink" Target="https://docs.google.com/spreadsheets/d/1aSbXo-Hf8pKEEiVPzd3RqBrXmmUBF7f_LryaKoXJhpc/edit" TargetMode="External"/><Relationship Id="rId430" Type="http://schemas.openxmlformats.org/officeDocument/2006/relationships/hyperlink" Target="https://docs.google.com/spreadsheets/d/1eIT_A56vV3yTdz1THkqSHdxqSRUcq4zGa6TWgJkKbB8/edit" TargetMode="External"/><Relationship Id="rId551" Type="http://schemas.openxmlformats.org/officeDocument/2006/relationships/hyperlink" Target="https://docs.google.com/spreadsheets/d/1_6OdYY76tqDYBJztvW_RMsV5p3E40rhCMTEwDTCm4QE/edit" TargetMode="External"/><Relationship Id="rId672" Type="http://schemas.openxmlformats.org/officeDocument/2006/relationships/hyperlink" Target="https://docs.google.com/spreadsheets/d/1aSbXo-Hf8pKEEiVPzd3RqBrXmmUBF7f_LryaKoXJhpc/edit"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50" Type="http://schemas.openxmlformats.org/officeDocument/2006/relationships/hyperlink" Target="https://docs.google.com/spreadsheets/d/1fI0Y_WzftuY9d72KwuKiOIYjupoBW9gVT98ko2sEDZ8/edit" TargetMode="External"/><Relationship Id="rId1" Type="http://schemas.openxmlformats.org/officeDocument/2006/relationships/hyperlink" Target="https://docs.google.com/spreadsheets/d/1SqdB4JAIN21QhgLTSf5DwTCo5mAdoG4s5F_jW8WhmHM/edit" TargetMode="External"/><Relationship Id="rId2" Type="http://schemas.openxmlformats.org/officeDocument/2006/relationships/hyperlink" Target="https://docs.google.com/spreadsheets/d/1SqdB4JAIN21QhgLTSf5DwTCo5mAdoG4s5F_jW8WhmHM/edit" TargetMode="External"/><Relationship Id="rId3" Type="http://schemas.openxmlformats.org/officeDocument/2006/relationships/hyperlink" Target="https://docs.google.com/spreadsheets/d/1SqdB4JAIN21QhgLTSf5DwTCo5mAdoG4s5F_jW8WhmHM/edit" TargetMode="External"/><Relationship Id="rId149" Type="http://schemas.openxmlformats.org/officeDocument/2006/relationships/hyperlink" Target="https://docs.google.com/spreadsheets/d/1fI0Y_WzftuY9d72KwuKiOIYjupoBW9gVT98ko2sEDZ8/edit" TargetMode="External"/><Relationship Id="rId4" Type="http://schemas.openxmlformats.org/officeDocument/2006/relationships/hyperlink" Target="https://docs.google.com/spreadsheets/d/1SqdB4JAIN21QhgLTSf5DwTCo5mAdoG4s5F_jW8WhmHM/edit" TargetMode="External"/><Relationship Id="rId148" Type="http://schemas.openxmlformats.org/officeDocument/2006/relationships/hyperlink" Target="https://docs.google.com/spreadsheets/d/1fI0Y_WzftuY9d72KwuKiOIYjupoBW9gVT98ko2sEDZ8/edit" TargetMode="External"/><Relationship Id="rId9" Type="http://schemas.openxmlformats.org/officeDocument/2006/relationships/hyperlink" Target="https://docs.google.com/spreadsheets/d/1SqdB4JAIN21QhgLTSf5DwTCo5mAdoG4s5F_jW8WhmHM/edit" TargetMode="External"/><Relationship Id="rId143" Type="http://schemas.openxmlformats.org/officeDocument/2006/relationships/hyperlink" Target="https://docs.google.com/spreadsheets/d/1fI0Y_WzftuY9d72KwuKiOIYjupoBW9gVT98ko2sEDZ8/edit" TargetMode="External"/><Relationship Id="rId142" Type="http://schemas.openxmlformats.org/officeDocument/2006/relationships/hyperlink" Target="https://docs.google.com/spreadsheets/d/1gRZsQ4mNPHFIrrTnJ2F4iqWUiCnhoE8Og1qNwVsrZHU/edit" TargetMode="External"/><Relationship Id="rId141" Type="http://schemas.openxmlformats.org/officeDocument/2006/relationships/hyperlink" Target="https://docs.google.com/spreadsheets/d/1gRZsQ4mNPHFIrrTnJ2F4iqWUiCnhoE8Og1qNwVsrZHU/edit" TargetMode="External"/><Relationship Id="rId140" Type="http://schemas.openxmlformats.org/officeDocument/2006/relationships/hyperlink" Target="https://docs.google.com/spreadsheets/d/1gRZsQ4mNPHFIrrTnJ2F4iqWUiCnhoE8Og1qNwVsrZHU/edit" TargetMode="External"/><Relationship Id="rId5" Type="http://schemas.openxmlformats.org/officeDocument/2006/relationships/hyperlink" Target="https://docs.google.com/spreadsheets/d/1SqdB4JAIN21QhgLTSf5DwTCo5mAdoG4s5F_jW8WhmHM/edit" TargetMode="External"/><Relationship Id="rId147" Type="http://schemas.openxmlformats.org/officeDocument/2006/relationships/hyperlink" Target="https://docs.google.com/spreadsheets/d/1fI0Y_WzftuY9d72KwuKiOIYjupoBW9gVT98ko2sEDZ8/edit" TargetMode="External"/><Relationship Id="rId6" Type="http://schemas.openxmlformats.org/officeDocument/2006/relationships/hyperlink" Target="https://docs.google.com/spreadsheets/d/1SqdB4JAIN21QhgLTSf5DwTCo5mAdoG4s5F_jW8WhmHM/edit" TargetMode="External"/><Relationship Id="rId146" Type="http://schemas.openxmlformats.org/officeDocument/2006/relationships/hyperlink" Target="https://docs.google.com/spreadsheets/d/1fI0Y_WzftuY9d72KwuKiOIYjupoBW9gVT98ko2sEDZ8/edit" TargetMode="External"/><Relationship Id="rId7" Type="http://schemas.openxmlformats.org/officeDocument/2006/relationships/hyperlink" Target="https://docs.google.com/spreadsheets/d/1SqdB4JAIN21QhgLTSf5DwTCo5mAdoG4s5F_jW8WhmHM/edit" TargetMode="External"/><Relationship Id="rId145" Type="http://schemas.openxmlformats.org/officeDocument/2006/relationships/hyperlink" Target="https://docs.google.com/spreadsheets/d/1fI0Y_WzftuY9d72KwuKiOIYjupoBW9gVT98ko2sEDZ8/edit" TargetMode="External"/><Relationship Id="rId8" Type="http://schemas.openxmlformats.org/officeDocument/2006/relationships/hyperlink" Target="https://docs.google.com/spreadsheets/d/1SqdB4JAIN21QhgLTSf5DwTCo5mAdoG4s5F_jW8WhmHM/edit" TargetMode="External"/><Relationship Id="rId144" Type="http://schemas.openxmlformats.org/officeDocument/2006/relationships/hyperlink" Target="https://docs.google.com/spreadsheets/d/1fI0Y_WzftuY9d72KwuKiOIYjupoBW9gVT98ko2sEDZ8/edit" TargetMode="External"/><Relationship Id="rId139" Type="http://schemas.openxmlformats.org/officeDocument/2006/relationships/hyperlink" Target="https://docs.google.com/spreadsheets/d/14lZwoFCF7ftOuaz3ekD4CDGNHdz6IRPcBK_ivXUciOc/edit" TargetMode="External"/><Relationship Id="rId138" Type="http://schemas.openxmlformats.org/officeDocument/2006/relationships/hyperlink" Target="https://docs.google.com/spreadsheets/d/14lZwoFCF7ftOuaz3ekD4CDGNHdz6IRPcBK_ivXUciOc/edit" TargetMode="External"/><Relationship Id="rId137" Type="http://schemas.openxmlformats.org/officeDocument/2006/relationships/hyperlink" Target="https://docs.google.com/spreadsheets/d/14lZwoFCF7ftOuaz3ekD4CDGNHdz6IRPcBK_ivXUciOc/edit" TargetMode="External"/><Relationship Id="rId132" Type="http://schemas.openxmlformats.org/officeDocument/2006/relationships/hyperlink" Target="https://docs.google.com/spreadsheets/d/14lZwoFCF7ftOuaz3ekD4CDGNHdz6IRPcBK_ivXUciOc/edit" TargetMode="External"/><Relationship Id="rId131" Type="http://schemas.openxmlformats.org/officeDocument/2006/relationships/hyperlink" Target="https://docs.google.com/spreadsheets/d/14lZwoFCF7ftOuaz3ekD4CDGNHdz6IRPcBK_ivXUciOc/edit" TargetMode="External"/><Relationship Id="rId130" Type="http://schemas.openxmlformats.org/officeDocument/2006/relationships/hyperlink" Target="https://docs.google.com/spreadsheets/d/14lZwoFCF7ftOuaz3ekD4CDGNHdz6IRPcBK_ivXUciOc/edit" TargetMode="External"/><Relationship Id="rId136" Type="http://schemas.openxmlformats.org/officeDocument/2006/relationships/hyperlink" Target="https://docs.google.com/spreadsheets/d/14lZwoFCF7ftOuaz3ekD4CDGNHdz6IRPcBK_ivXUciOc/edit" TargetMode="External"/><Relationship Id="rId135" Type="http://schemas.openxmlformats.org/officeDocument/2006/relationships/hyperlink" Target="https://docs.google.com/spreadsheets/d/14lZwoFCF7ftOuaz3ekD4CDGNHdz6IRPcBK_ivXUciOc/edit" TargetMode="External"/><Relationship Id="rId134" Type="http://schemas.openxmlformats.org/officeDocument/2006/relationships/hyperlink" Target="https://docs.google.com/spreadsheets/d/14lZwoFCF7ftOuaz3ekD4CDGNHdz6IRPcBK_ivXUciOc/edit" TargetMode="External"/><Relationship Id="rId133" Type="http://schemas.openxmlformats.org/officeDocument/2006/relationships/hyperlink" Target="https://docs.google.com/spreadsheets/d/14lZwoFCF7ftOuaz3ekD4CDGNHdz6IRPcBK_ivXUciOc/edit" TargetMode="External"/><Relationship Id="rId170" Type="http://schemas.openxmlformats.org/officeDocument/2006/relationships/drawing" Target="../drawings/drawing7.xml"/><Relationship Id="rId165" Type="http://schemas.openxmlformats.org/officeDocument/2006/relationships/hyperlink" Target="https://docs.google.com/spreadsheets/d/1gGI4i8N2MnnXiiyKxYXuElsb39PZtKQx-p0tXXOa15Y/edit" TargetMode="External"/><Relationship Id="rId164" Type="http://schemas.openxmlformats.org/officeDocument/2006/relationships/hyperlink" Target="https://docs.google.com/spreadsheets/d/1gGI4i8N2MnnXiiyKxYXuElsb39PZtKQx-p0tXXOa15Y/edit" TargetMode="External"/><Relationship Id="rId163" Type="http://schemas.openxmlformats.org/officeDocument/2006/relationships/hyperlink" Target="https://docs.google.com/spreadsheets/d/1gGI4i8N2MnnXiiyKxYXuElsb39PZtKQx-p0tXXOa15Y/edit" TargetMode="External"/><Relationship Id="rId162" Type="http://schemas.openxmlformats.org/officeDocument/2006/relationships/hyperlink" Target="https://docs.google.com/spreadsheets/d/1gGI4i8N2MnnXiiyKxYXuElsb39PZtKQx-p0tXXOa15Y/edit" TargetMode="External"/><Relationship Id="rId169" Type="http://schemas.openxmlformats.org/officeDocument/2006/relationships/hyperlink" Target="https://docs.google.com/spreadsheets/d/1gGI4i8N2MnnXiiyKxYXuElsb39PZtKQx-p0tXXOa15Y/edit" TargetMode="External"/><Relationship Id="rId168" Type="http://schemas.openxmlformats.org/officeDocument/2006/relationships/hyperlink" Target="https://docs.google.com/spreadsheets/d/1gGI4i8N2MnnXiiyKxYXuElsb39PZtKQx-p0tXXOa15Y/edit" TargetMode="External"/><Relationship Id="rId167" Type="http://schemas.openxmlformats.org/officeDocument/2006/relationships/hyperlink" Target="https://docs.google.com/spreadsheets/d/1gGI4i8N2MnnXiiyKxYXuElsb39PZtKQx-p0tXXOa15Y/edit" TargetMode="External"/><Relationship Id="rId166" Type="http://schemas.openxmlformats.org/officeDocument/2006/relationships/hyperlink" Target="https://docs.google.com/spreadsheets/d/1gGI4i8N2MnnXiiyKxYXuElsb39PZtKQx-p0tXXOa15Y/edit" TargetMode="External"/><Relationship Id="rId161" Type="http://schemas.openxmlformats.org/officeDocument/2006/relationships/hyperlink" Target="https://docs.google.com/spreadsheets/d/1gGI4i8N2MnnXiiyKxYXuElsb39PZtKQx-p0tXXOa15Y/edit" TargetMode="External"/><Relationship Id="rId160" Type="http://schemas.openxmlformats.org/officeDocument/2006/relationships/hyperlink" Target="https://docs.google.com/spreadsheets/d/1gGI4i8N2MnnXiiyKxYXuElsb39PZtKQx-p0tXXOa15Y/edit" TargetMode="External"/><Relationship Id="rId159" Type="http://schemas.openxmlformats.org/officeDocument/2006/relationships/hyperlink" Target="https://docs.google.com/spreadsheets/d/1gGI4i8N2MnnXiiyKxYXuElsb39PZtKQx-p0tXXOa15Y/edit" TargetMode="External"/><Relationship Id="rId154" Type="http://schemas.openxmlformats.org/officeDocument/2006/relationships/hyperlink" Target="https://docs.google.com/spreadsheets/d/1fI0Y_WzftuY9d72KwuKiOIYjupoBW9gVT98ko2sEDZ8/edit" TargetMode="External"/><Relationship Id="rId153" Type="http://schemas.openxmlformats.org/officeDocument/2006/relationships/hyperlink" Target="https://docs.google.com/spreadsheets/d/1fI0Y_WzftuY9d72KwuKiOIYjupoBW9gVT98ko2sEDZ8/edit" TargetMode="External"/><Relationship Id="rId152" Type="http://schemas.openxmlformats.org/officeDocument/2006/relationships/hyperlink" Target="https://docs.google.com/spreadsheets/d/1fI0Y_WzftuY9d72KwuKiOIYjupoBW9gVT98ko2sEDZ8/edit" TargetMode="External"/><Relationship Id="rId151" Type="http://schemas.openxmlformats.org/officeDocument/2006/relationships/hyperlink" Target="https://docs.google.com/spreadsheets/d/1fI0Y_WzftuY9d72KwuKiOIYjupoBW9gVT98ko2sEDZ8/edit" TargetMode="External"/><Relationship Id="rId158" Type="http://schemas.openxmlformats.org/officeDocument/2006/relationships/hyperlink" Target="https://docs.google.com/spreadsheets/d/1gGI4i8N2MnnXiiyKxYXuElsb39PZtKQx-p0tXXOa15Y/edit" TargetMode="External"/><Relationship Id="rId157" Type="http://schemas.openxmlformats.org/officeDocument/2006/relationships/hyperlink" Target="https://docs.google.com/spreadsheets/d/1gGI4i8N2MnnXiiyKxYXuElsb39PZtKQx-p0tXXOa15Y/edit" TargetMode="External"/><Relationship Id="rId156" Type="http://schemas.openxmlformats.org/officeDocument/2006/relationships/hyperlink" Target="https://docs.google.com/spreadsheets/d/1fI0Y_WzftuY9d72KwuKiOIYjupoBW9gVT98ko2sEDZ8/edit" TargetMode="External"/><Relationship Id="rId155" Type="http://schemas.openxmlformats.org/officeDocument/2006/relationships/hyperlink" Target="https://docs.google.com/spreadsheets/d/1fI0Y_WzftuY9d72KwuKiOIYjupoBW9gVT98ko2sEDZ8/edit" TargetMode="External"/><Relationship Id="rId40" Type="http://schemas.openxmlformats.org/officeDocument/2006/relationships/hyperlink" Target="https://docs.google.com/spreadsheets/d/1xVrnnGB7KVHQpMF1gNf8KftlcUvz4z-YChCT_cIk-Xw/edit" TargetMode="External"/><Relationship Id="rId42" Type="http://schemas.openxmlformats.org/officeDocument/2006/relationships/hyperlink" Target="https://docs.google.com/spreadsheets/d/1xVrnnGB7KVHQpMF1gNf8KftlcUvz4z-YChCT_cIk-Xw/edit" TargetMode="External"/><Relationship Id="rId41" Type="http://schemas.openxmlformats.org/officeDocument/2006/relationships/hyperlink" Target="https://docs.google.com/spreadsheets/d/1xVrnnGB7KVHQpMF1gNf8KftlcUvz4z-YChCT_cIk-Xw/edit" TargetMode="External"/><Relationship Id="rId44" Type="http://schemas.openxmlformats.org/officeDocument/2006/relationships/hyperlink" Target="https://docs.google.com/spreadsheets/d/1xVrnnGB7KVHQpMF1gNf8KftlcUvz4z-YChCT_cIk-Xw/edit" TargetMode="External"/><Relationship Id="rId43" Type="http://schemas.openxmlformats.org/officeDocument/2006/relationships/hyperlink" Target="https://docs.google.com/spreadsheets/d/1xVrnnGB7KVHQpMF1gNf8KftlcUvz4z-YChCT_cIk-Xw/edit" TargetMode="External"/><Relationship Id="rId46" Type="http://schemas.openxmlformats.org/officeDocument/2006/relationships/hyperlink" Target="https://docs.google.com/spreadsheets/d/1xVrnnGB7KVHQpMF1gNf8KftlcUvz4z-YChCT_cIk-Xw/edit" TargetMode="External"/><Relationship Id="rId45" Type="http://schemas.openxmlformats.org/officeDocument/2006/relationships/hyperlink" Target="https://docs.google.com/spreadsheets/d/1xVrnnGB7KVHQpMF1gNf8KftlcUvz4z-YChCT_cIk-Xw/edit" TargetMode="External"/><Relationship Id="rId48" Type="http://schemas.openxmlformats.org/officeDocument/2006/relationships/hyperlink" Target="https://docs.google.com/spreadsheets/d/1rx7wx7EP5dJmTnNgZa2TlMl3y8y12XupQbvo_C9heao/edit" TargetMode="External"/><Relationship Id="rId47" Type="http://schemas.openxmlformats.org/officeDocument/2006/relationships/hyperlink" Target="https://docs.google.com/spreadsheets/d/1rx7wx7EP5dJmTnNgZa2TlMl3y8y12XupQbvo_C9heao/edit" TargetMode="External"/><Relationship Id="rId49" Type="http://schemas.openxmlformats.org/officeDocument/2006/relationships/hyperlink" Target="https://docs.google.com/spreadsheets/d/1rx7wx7EP5dJmTnNgZa2TlMl3y8y12XupQbvo_C9heao/edit" TargetMode="External"/><Relationship Id="rId31" Type="http://schemas.openxmlformats.org/officeDocument/2006/relationships/hyperlink" Target="https://docs.google.com/spreadsheets/d/10mFr1Kd4vaRjqBh3lb28d50JB4Lmi9-uoU9J_slrcEs/edit" TargetMode="External"/><Relationship Id="rId30" Type="http://schemas.openxmlformats.org/officeDocument/2006/relationships/hyperlink" Target="https://docs.google.com/spreadsheets/d/10mFr1Kd4vaRjqBh3lb28d50JB4Lmi9-uoU9J_slrcEs/edit" TargetMode="External"/><Relationship Id="rId33" Type="http://schemas.openxmlformats.org/officeDocument/2006/relationships/hyperlink" Target="https://docs.google.com/spreadsheets/d/10mFr1Kd4vaRjqBh3lb28d50JB4Lmi9-uoU9J_slrcEs/edit" TargetMode="External"/><Relationship Id="rId32" Type="http://schemas.openxmlformats.org/officeDocument/2006/relationships/hyperlink" Target="https://docs.google.com/spreadsheets/d/10mFr1Kd4vaRjqBh3lb28d50JB4Lmi9-uoU9J_slrcEs/edit" TargetMode="External"/><Relationship Id="rId35" Type="http://schemas.openxmlformats.org/officeDocument/2006/relationships/hyperlink" Target="https://docs.google.com/spreadsheets/d/10mFr1Kd4vaRjqBh3lb28d50JB4Lmi9-uoU9J_slrcEs/edit" TargetMode="External"/><Relationship Id="rId34" Type="http://schemas.openxmlformats.org/officeDocument/2006/relationships/hyperlink" Target="https://docs.google.com/spreadsheets/d/10mFr1Kd4vaRjqBh3lb28d50JB4Lmi9-uoU9J_slrcEs/edit" TargetMode="External"/><Relationship Id="rId37" Type="http://schemas.openxmlformats.org/officeDocument/2006/relationships/hyperlink" Target="https://docs.google.com/spreadsheets/d/1xVrnnGB7KVHQpMF1gNf8KftlcUvz4z-YChCT_cIk-Xw/edit" TargetMode="External"/><Relationship Id="rId36" Type="http://schemas.openxmlformats.org/officeDocument/2006/relationships/hyperlink" Target="https://docs.google.com/spreadsheets/d/10mFr1Kd4vaRjqBh3lb28d50JB4Lmi9-uoU9J_slrcEs/edit" TargetMode="External"/><Relationship Id="rId39" Type="http://schemas.openxmlformats.org/officeDocument/2006/relationships/hyperlink" Target="https://docs.google.com/spreadsheets/d/1xVrnnGB7KVHQpMF1gNf8KftlcUvz4z-YChCT_cIk-Xw/edit" TargetMode="External"/><Relationship Id="rId38" Type="http://schemas.openxmlformats.org/officeDocument/2006/relationships/hyperlink" Target="https://docs.google.com/spreadsheets/d/1xVrnnGB7KVHQpMF1gNf8KftlcUvz4z-YChCT_cIk-Xw/edit" TargetMode="External"/><Relationship Id="rId20" Type="http://schemas.openxmlformats.org/officeDocument/2006/relationships/hyperlink" Target="https://docs.google.com/spreadsheets/d/14COkU_ppaSPpvh3o8lj4ugwF3BuIvbZT9_wd7V7Ejs4/edit" TargetMode="External"/><Relationship Id="rId22" Type="http://schemas.openxmlformats.org/officeDocument/2006/relationships/hyperlink" Target="https://docs.google.com/spreadsheets/d/14COkU_ppaSPpvh3o8lj4ugwF3BuIvbZT9_wd7V7Ejs4/edit" TargetMode="External"/><Relationship Id="rId21" Type="http://schemas.openxmlformats.org/officeDocument/2006/relationships/hyperlink" Target="https://docs.google.com/spreadsheets/d/14COkU_ppaSPpvh3o8lj4ugwF3BuIvbZT9_wd7V7Ejs4/edit" TargetMode="External"/><Relationship Id="rId24" Type="http://schemas.openxmlformats.org/officeDocument/2006/relationships/hyperlink" Target="https://docs.google.com/spreadsheets/d/14COkU_ppaSPpvh3o8lj4ugwF3BuIvbZT9_wd7V7Ejs4/edit" TargetMode="External"/><Relationship Id="rId23" Type="http://schemas.openxmlformats.org/officeDocument/2006/relationships/hyperlink" Target="https://docs.google.com/spreadsheets/d/14COkU_ppaSPpvh3o8lj4ugwF3BuIvbZT9_wd7V7Ejs4/edit" TargetMode="External"/><Relationship Id="rId26" Type="http://schemas.openxmlformats.org/officeDocument/2006/relationships/hyperlink" Target="https://docs.google.com/spreadsheets/d/14COkU_ppaSPpvh3o8lj4ugwF3BuIvbZT9_wd7V7Ejs4/edit" TargetMode="External"/><Relationship Id="rId25" Type="http://schemas.openxmlformats.org/officeDocument/2006/relationships/hyperlink" Target="https://docs.google.com/spreadsheets/d/14COkU_ppaSPpvh3o8lj4ugwF3BuIvbZT9_wd7V7Ejs4/edit" TargetMode="External"/><Relationship Id="rId28" Type="http://schemas.openxmlformats.org/officeDocument/2006/relationships/hyperlink" Target="https://docs.google.com/spreadsheets/d/14COkU_ppaSPpvh3o8lj4ugwF3BuIvbZT9_wd7V7Ejs4/edit" TargetMode="External"/><Relationship Id="rId27" Type="http://schemas.openxmlformats.org/officeDocument/2006/relationships/hyperlink" Target="https://docs.google.com/spreadsheets/d/14COkU_ppaSPpvh3o8lj4ugwF3BuIvbZT9_wd7V7Ejs4/edit" TargetMode="External"/><Relationship Id="rId29" Type="http://schemas.openxmlformats.org/officeDocument/2006/relationships/hyperlink" Target="https://docs.google.com/spreadsheets/d/10mFr1Kd4vaRjqBh3lb28d50JB4Lmi9-uoU9J_slrcEs/edit" TargetMode="External"/><Relationship Id="rId11" Type="http://schemas.openxmlformats.org/officeDocument/2006/relationships/hyperlink" Target="https://docs.google.com/spreadsheets/d/1xwjQ2I0LGTa8y3CXBiADY2rBRxzGTBYOTxKZW5zCfY8/edit" TargetMode="External"/><Relationship Id="rId10" Type="http://schemas.openxmlformats.org/officeDocument/2006/relationships/hyperlink" Target="https://docs.google.com/spreadsheets/d/1xwjQ2I0LGTa8y3CXBiADY2rBRxzGTBYOTxKZW5zCfY8/edit" TargetMode="External"/><Relationship Id="rId13" Type="http://schemas.openxmlformats.org/officeDocument/2006/relationships/hyperlink" Target="https://docs.google.com/spreadsheets/d/1xwjQ2I0LGTa8y3CXBiADY2rBRxzGTBYOTxKZW5zCfY8/edit" TargetMode="External"/><Relationship Id="rId12" Type="http://schemas.openxmlformats.org/officeDocument/2006/relationships/hyperlink" Target="https://docs.google.com/spreadsheets/d/1xwjQ2I0LGTa8y3CXBiADY2rBRxzGTBYOTxKZW5zCfY8/edit" TargetMode="External"/><Relationship Id="rId15" Type="http://schemas.openxmlformats.org/officeDocument/2006/relationships/hyperlink" Target="https://docs.google.com/spreadsheets/d/1xwjQ2I0LGTa8y3CXBiADY2rBRxzGTBYOTxKZW5zCfY8/edit" TargetMode="External"/><Relationship Id="rId14" Type="http://schemas.openxmlformats.org/officeDocument/2006/relationships/hyperlink" Target="https://docs.google.com/spreadsheets/d/1xwjQ2I0LGTa8y3CXBiADY2rBRxzGTBYOTxKZW5zCfY8/edit" TargetMode="External"/><Relationship Id="rId17" Type="http://schemas.openxmlformats.org/officeDocument/2006/relationships/hyperlink" Target="https://docs.google.com/spreadsheets/d/1xwjQ2I0LGTa8y3CXBiADY2rBRxzGTBYOTxKZW5zCfY8/edit" TargetMode="External"/><Relationship Id="rId16" Type="http://schemas.openxmlformats.org/officeDocument/2006/relationships/hyperlink" Target="https://docs.google.com/spreadsheets/d/1xwjQ2I0LGTa8y3CXBiADY2rBRxzGTBYOTxKZW5zCfY8/edit" TargetMode="External"/><Relationship Id="rId19" Type="http://schemas.openxmlformats.org/officeDocument/2006/relationships/hyperlink" Target="https://docs.google.com/spreadsheets/d/14COkU_ppaSPpvh3o8lj4ugwF3BuIvbZT9_wd7V7Ejs4/edit" TargetMode="External"/><Relationship Id="rId18" Type="http://schemas.openxmlformats.org/officeDocument/2006/relationships/hyperlink" Target="https://docs.google.com/spreadsheets/d/1xwjQ2I0LGTa8y3CXBiADY2rBRxzGTBYOTxKZW5zCfY8/edit" TargetMode="External"/><Relationship Id="rId84" Type="http://schemas.openxmlformats.org/officeDocument/2006/relationships/hyperlink" Target="https://docs.google.com/spreadsheets/d/1yDBj0JtCLTi2_wYuxxDSjTy1C5a_AR-_PDuiEJh8aiw/edit" TargetMode="External"/><Relationship Id="rId83" Type="http://schemas.openxmlformats.org/officeDocument/2006/relationships/hyperlink" Target="https://docs.google.com/spreadsheets/d/1yDBj0JtCLTi2_wYuxxDSjTy1C5a_AR-_PDuiEJh8aiw/edit" TargetMode="External"/><Relationship Id="rId86" Type="http://schemas.openxmlformats.org/officeDocument/2006/relationships/hyperlink" Target="https://docs.google.com/spreadsheets/d/1yDBj0JtCLTi2_wYuxxDSjTy1C5a_AR-_PDuiEJh8aiw/edit" TargetMode="External"/><Relationship Id="rId85" Type="http://schemas.openxmlformats.org/officeDocument/2006/relationships/hyperlink" Target="https://docs.google.com/spreadsheets/d/1yDBj0JtCLTi2_wYuxxDSjTy1C5a_AR-_PDuiEJh8aiw/edit" TargetMode="External"/><Relationship Id="rId88" Type="http://schemas.openxmlformats.org/officeDocument/2006/relationships/hyperlink" Target="https://docs.google.com/spreadsheets/d/1yDBj0JtCLTi2_wYuxxDSjTy1C5a_AR-_PDuiEJh8aiw/edit" TargetMode="External"/><Relationship Id="rId87" Type="http://schemas.openxmlformats.org/officeDocument/2006/relationships/hyperlink" Target="https://docs.google.com/spreadsheets/d/1yDBj0JtCLTi2_wYuxxDSjTy1C5a_AR-_PDuiEJh8aiw/edit" TargetMode="External"/><Relationship Id="rId89" Type="http://schemas.openxmlformats.org/officeDocument/2006/relationships/hyperlink" Target="https://docs.google.com/spreadsheets/d/1yDBj0JtCLTi2_wYuxxDSjTy1C5a_AR-_PDuiEJh8aiw/edit" TargetMode="External"/><Relationship Id="rId80" Type="http://schemas.openxmlformats.org/officeDocument/2006/relationships/hyperlink" Target="https://docs.google.com/spreadsheets/d/1BlWf8K7KTfk6L1BEH7hVDKo1UxU5RIHp7_jkqTzBoho/edit" TargetMode="External"/><Relationship Id="rId82" Type="http://schemas.openxmlformats.org/officeDocument/2006/relationships/hyperlink" Target="https://docs.google.com/spreadsheets/d/1yDBj0JtCLTi2_wYuxxDSjTy1C5a_AR-_PDuiEJh8aiw/edit" TargetMode="External"/><Relationship Id="rId81" Type="http://schemas.openxmlformats.org/officeDocument/2006/relationships/hyperlink" Target="https://docs.google.com/spreadsheets/d/1yDBj0JtCLTi2_wYuxxDSjTy1C5a_AR-_PDuiEJh8aiw/edit" TargetMode="External"/><Relationship Id="rId73" Type="http://schemas.openxmlformats.org/officeDocument/2006/relationships/hyperlink" Target="https://docs.google.com/spreadsheets/d/13HT_aMhvsKktKdjnZuGN1I3NSzlMIPkFcRLQb9Ke65Y/edit" TargetMode="External"/><Relationship Id="rId72" Type="http://schemas.openxmlformats.org/officeDocument/2006/relationships/hyperlink" Target="https://docs.google.com/spreadsheets/d/13HT_aMhvsKktKdjnZuGN1I3NSzlMIPkFcRLQb9Ke65Y/edit" TargetMode="External"/><Relationship Id="rId75" Type="http://schemas.openxmlformats.org/officeDocument/2006/relationships/hyperlink" Target="https://docs.google.com/spreadsheets/d/1BlWf8K7KTfk6L1BEH7hVDKo1UxU5RIHp7_jkqTzBoho/edit" TargetMode="External"/><Relationship Id="rId74" Type="http://schemas.openxmlformats.org/officeDocument/2006/relationships/hyperlink" Target="https://docs.google.com/spreadsheets/d/1BlWf8K7KTfk6L1BEH7hVDKo1UxU5RIHp7_jkqTzBoho/edit" TargetMode="External"/><Relationship Id="rId77" Type="http://schemas.openxmlformats.org/officeDocument/2006/relationships/hyperlink" Target="https://docs.google.com/spreadsheets/d/1BlWf8K7KTfk6L1BEH7hVDKo1UxU5RIHp7_jkqTzBoho/edit" TargetMode="External"/><Relationship Id="rId76" Type="http://schemas.openxmlformats.org/officeDocument/2006/relationships/hyperlink" Target="https://docs.google.com/spreadsheets/d/1BlWf8K7KTfk6L1BEH7hVDKo1UxU5RIHp7_jkqTzBoho/edit" TargetMode="External"/><Relationship Id="rId79" Type="http://schemas.openxmlformats.org/officeDocument/2006/relationships/hyperlink" Target="https://docs.google.com/spreadsheets/d/1BlWf8K7KTfk6L1BEH7hVDKo1UxU5RIHp7_jkqTzBoho/edit" TargetMode="External"/><Relationship Id="rId78" Type="http://schemas.openxmlformats.org/officeDocument/2006/relationships/hyperlink" Target="https://docs.google.com/spreadsheets/d/1BlWf8K7KTfk6L1BEH7hVDKo1UxU5RIHp7_jkqTzBoho/edit" TargetMode="External"/><Relationship Id="rId71" Type="http://schemas.openxmlformats.org/officeDocument/2006/relationships/hyperlink" Target="https://docs.google.com/spreadsheets/d/13HT_aMhvsKktKdjnZuGN1I3NSzlMIPkFcRLQb9Ke65Y/edit" TargetMode="External"/><Relationship Id="rId70" Type="http://schemas.openxmlformats.org/officeDocument/2006/relationships/hyperlink" Target="https://docs.google.com/spreadsheets/d/13HT_aMhvsKktKdjnZuGN1I3NSzlMIPkFcRLQb9Ke65Y/edit" TargetMode="External"/><Relationship Id="rId62" Type="http://schemas.openxmlformats.org/officeDocument/2006/relationships/hyperlink" Target="https://docs.google.com/spreadsheets/d/1gkvJZ70sTUlCX8FHp6nlyhGIHonptw9JHZOLBCmdty4/edit" TargetMode="External"/><Relationship Id="rId61" Type="http://schemas.openxmlformats.org/officeDocument/2006/relationships/hyperlink" Target="https://docs.google.com/spreadsheets/d/1gkvJZ70sTUlCX8FHp6nlyhGIHonptw9JHZOLBCmdty4/edit" TargetMode="External"/><Relationship Id="rId64" Type="http://schemas.openxmlformats.org/officeDocument/2006/relationships/hyperlink" Target="https://docs.google.com/spreadsheets/d/1gkvJZ70sTUlCX8FHp6nlyhGIHonptw9JHZOLBCmdty4/edit" TargetMode="External"/><Relationship Id="rId63" Type="http://schemas.openxmlformats.org/officeDocument/2006/relationships/hyperlink" Target="https://docs.google.com/spreadsheets/d/1gkvJZ70sTUlCX8FHp6nlyhGIHonptw9JHZOLBCmdty4/edit" TargetMode="External"/><Relationship Id="rId66" Type="http://schemas.openxmlformats.org/officeDocument/2006/relationships/hyperlink" Target="https://docs.google.com/spreadsheets/d/1gkvJZ70sTUlCX8FHp6nlyhGIHonptw9JHZOLBCmdty4/edit" TargetMode="External"/><Relationship Id="rId65" Type="http://schemas.openxmlformats.org/officeDocument/2006/relationships/hyperlink" Target="https://docs.google.com/spreadsheets/d/1gkvJZ70sTUlCX8FHp6nlyhGIHonptw9JHZOLBCmdty4/edit" TargetMode="External"/><Relationship Id="rId68" Type="http://schemas.openxmlformats.org/officeDocument/2006/relationships/hyperlink" Target="https://docs.google.com/spreadsheets/d/13HT_aMhvsKktKdjnZuGN1I3NSzlMIPkFcRLQb9Ke65Y/edit" TargetMode="External"/><Relationship Id="rId67" Type="http://schemas.openxmlformats.org/officeDocument/2006/relationships/hyperlink" Target="https://docs.google.com/spreadsheets/d/13HT_aMhvsKktKdjnZuGN1I3NSzlMIPkFcRLQb9Ke65Y/edit" TargetMode="External"/><Relationship Id="rId60" Type="http://schemas.openxmlformats.org/officeDocument/2006/relationships/hyperlink" Target="https://docs.google.com/spreadsheets/d/1gkvJZ70sTUlCX8FHp6nlyhGIHonptw9JHZOLBCmdty4/edit" TargetMode="External"/><Relationship Id="rId69" Type="http://schemas.openxmlformats.org/officeDocument/2006/relationships/hyperlink" Target="https://docs.google.com/spreadsheets/d/13HT_aMhvsKktKdjnZuGN1I3NSzlMIPkFcRLQb9Ke65Y/edit" TargetMode="External"/><Relationship Id="rId51" Type="http://schemas.openxmlformats.org/officeDocument/2006/relationships/hyperlink" Target="https://docs.google.com/spreadsheets/d/1mGHS0T_z9uO0YYusG17LyadQAixhep_jJotXQNtU1cs/edit" TargetMode="External"/><Relationship Id="rId50" Type="http://schemas.openxmlformats.org/officeDocument/2006/relationships/hyperlink" Target="https://docs.google.com/spreadsheets/d/1mGHS0T_z9uO0YYusG17LyadQAixhep_jJotXQNtU1cs/edit" TargetMode="External"/><Relationship Id="rId53" Type="http://schemas.openxmlformats.org/officeDocument/2006/relationships/hyperlink" Target="https://docs.google.com/spreadsheets/d/1mGHS0T_z9uO0YYusG17LyadQAixhep_jJotXQNtU1cs/edit" TargetMode="External"/><Relationship Id="rId52" Type="http://schemas.openxmlformats.org/officeDocument/2006/relationships/hyperlink" Target="https://docs.google.com/spreadsheets/d/1mGHS0T_z9uO0YYusG17LyadQAixhep_jJotXQNtU1cs/edit" TargetMode="External"/><Relationship Id="rId55" Type="http://schemas.openxmlformats.org/officeDocument/2006/relationships/hyperlink" Target="https://docs.google.com/spreadsheets/d/1mGHS0T_z9uO0YYusG17LyadQAixhep_jJotXQNtU1cs/edit" TargetMode="External"/><Relationship Id="rId54" Type="http://schemas.openxmlformats.org/officeDocument/2006/relationships/hyperlink" Target="https://docs.google.com/spreadsheets/d/1mGHS0T_z9uO0YYusG17LyadQAixhep_jJotXQNtU1cs/edit" TargetMode="External"/><Relationship Id="rId57" Type="http://schemas.openxmlformats.org/officeDocument/2006/relationships/hyperlink" Target="https://docs.google.com/spreadsheets/d/1mGHS0T_z9uO0YYusG17LyadQAixhep_jJotXQNtU1cs/edit" TargetMode="External"/><Relationship Id="rId56" Type="http://schemas.openxmlformats.org/officeDocument/2006/relationships/hyperlink" Target="https://docs.google.com/spreadsheets/d/1mGHS0T_z9uO0YYusG17LyadQAixhep_jJotXQNtU1cs/edit" TargetMode="External"/><Relationship Id="rId59" Type="http://schemas.openxmlformats.org/officeDocument/2006/relationships/hyperlink" Target="https://docs.google.com/spreadsheets/d/1gkvJZ70sTUlCX8FHp6nlyhGIHonptw9JHZOLBCmdty4/edit" TargetMode="External"/><Relationship Id="rId58" Type="http://schemas.openxmlformats.org/officeDocument/2006/relationships/hyperlink" Target="https://docs.google.com/spreadsheets/d/1mGHS0T_z9uO0YYusG17LyadQAixhep_jJotXQNtU1cs/edit" TargetMode="External"/><Relationship Id="rId107" Type="http://schemas.openxmlformats.org/officeDocument/2006/relationships/hyperlink" Target="https://docs.google.com/spreadsheets/d/1n46UJ7adDiNycYfjs42_2ILId2_-fxX4kB7kCAa7o1I/edit" TargetMode="External"/><Relationship Id="rId106" Type="http://schemas.openxmlformats.org/officeDocument/2006/relationships/hyperlink" Target="https://docs.google.com/spreadsheets/d/1n46UJ7adDiNycYfjs42_2ILId2_-fxX4kB7kCAa7o1I/edit" TargetMode="External"/><Relationship Id="rId105" Type="http://schemas.openxmlformats.org/officeDocument/2006/relationships/hyperlink" Target="https://docs.google.com/spreadsheets/d/1n46UJ7adDiNycYfjs42_2ILId2_-fxX4kB7kCAa7o1I/edit" TargetMode="External"/><Relationship Id="rId104" Type="http://schemas.openxmlformats.org/officeDocument/2006/relationships/hyperlink" Target="https://docs.google.com/spreadsheets/d/1n46UJ7adDiNycYfjs42_2ILId2_-fxX4kB7kCAa7o1I/edit" TargetMode="External"/><Relationship Id="rId109" Type="http://schemas.openxmlformats.org/officeDocument/2006/relationships/hyperlink" Target="https://docs.google.com/spreadsheets/d/1n46UJ7adDiNycYfjs42_2ILId2_-fxX4kB7kCAa7o1I/edit" TargetMode="External"/><Relationship Id="rId108" Type="http://schemas.openxmlformats.org/officeDocument/2006/relationships/hyperlink" Target="https://docs.google.com/spreadsheets/d/1n46UJ7adDiNycYfjs42_2ILId2_-fxX4kB7kCAa7o1I/edit" TargetMode="External"/><Relationship Id="rId103" Type="http://schemas.openxmlformats.org/officeDocument/2006/relationships/hyperlink" Target="https://docs.google.com/spreadsheets/d/1bwqN5rudX31mpOuIw87_tpP1n2n7AUS62Jp9M5-1YYM/edit" TargetMode="External"/><Relationship Id="rId102" Type="http://schemas.openxmlformats.org/officeDocument/2006/relationships/hyperlink" Target="https://docs.google.com/spreadsheets/d/1bwqN5rudX31mpOuIw87_tpP1n2n7AUS62Jp9M5-1YYM/edit" TargetMode="External"/><Relationship Id="rId101" Type="http://schemas.openxmlformats.org/officeDocument/2006/relationships/hyperlink" Target="https://docs.google.com/spreadsheets/d/1bwqN5rudX31mpOuIw87_tpP1n2n7AUS62Jp9M5-1YYM/edit" TargetMode="External"/><Relationship Id="rId100" Type="http://schemas.openxmlformats.org/officeDocument/2006/relationships/hyperlink" Target="https://docs.google.com/spreadsheets/d/1bwqN5rudX31mpOuIw87_tpP1n2n7AUS62Jp9M5-1YYM/edit" TargetMode="External"/><Relationship Id="rId129" Type="http://schemas.openxmlformats.org/officeDocument/2006/relationships/hyperlink" Target="https://docs.google.com/spreadsheets/d/14lZwoFCF7ftOuaz3ekD4CDGNHdz6IRPcBK_ivXUciOc/edit" TargetMode="External"/><Relationship Id="rId128" Type="http://schemas.openxmlformats.org/officeDocument/2006/relationships/hyperlink" Target="https://docs.google.com/spreadsheets/d/14lZwoFCF7ftOuaz3ekD4CDGNHdz6IRPcBK_ivXUciOc/edit" TargetMode="External"/><Relationship Id="rId127" Type="http://schemas.openxmlformats.org/officeDocument/2006/relationships/hyperlink" Target="https://docs.google.com/spreadsheets/d/14lZwoFCF7ftOuaz3ekD4CDGNHdz6IRPcBK_ivXUciOc/edit" TargetMode="External"/><Relationship Id="rId126" Type="http://schemas.openxmlformats.org/officeDocument/2006/relationships/hyperlink" Target="https://docs.google.com/spreadsheets/d/15bDupb1MgGXCQdRzv1miqlAhiURBH5S_ujJqWnFgQ0o/edit" TargetMode="External"/><Relationship Id="rId121" Type="http://schemas.openxmlformats.org/officeDocument/2006/relationships/hyperlink" Target="https://docs.google.com/spreadsheets/d/15bDupb1MgGXCQdRzv1miqlAhiURBH5S_ujJqWnFgQ0o/edit" TargetMode="External"/><Relationship Id="rId120" Type="http://schemas.openxmlformats.org/officeDocument/2006/relationships/hyperlink" Target="https://docs.google.com/spreadsheets/d/15bDupb1MgGXCQdRzv1miqlAhiURBH5S_ujJqWnFgQ0o/edit" TargetMode="External"/><Relationship Id="rId125" Type="http://schemas.openxmlformats.org/officeDocument/2006/relationships/hyperlink" Target="https://docs.google.com/spreadsheets/d/15bDupb1MgGXCQdRzv1miqlAhiURBH5S_ujJqWnFgQ0o/edit" TargetMode="External"/><Relationship Id="rId124" Type="http://schemas.openxmlformats.org/officeDocument/2006/relationships/hyperlink" Target="https://docs.google.com/spreadsheets/d/15bDupb1MgGXCQdRzv1miqlAhiURBH5S_ujJqWnFgQ0o/edit" TargetMode="External"/><Relationship Id="rId123" Type="http://schemas.openxmlformats.org/officeDocument/2006/relationships/hyperlink" Target="https://docs.google.com/spreadsheets/d/15bDupb1MgGXCQdRzv1miqlAhiURBH5S_ujJqWnFgQ0o/edit" TargetMode="External"/><Relationship Id="rId122" Type="http://schemas.openxmlformats.org/officeDocument/2006/relationships/hyperlink" Target="https://docs.google.com/spreadsheets/d/15bDupb1MgGXCQdRzv1miqlAhiURBH5S_ujJqWnFgQ0o/edit" TargetMode="External"/><Relationship Id="rId95" Type="http://schemas.openxmlformats.org/officeDocument/2006/relationships/hyperlink" Target="https://docs.google.com/spreadsheets/d/1bwqN5rudX31mpOuIw87_tpP1n2n7AUS62Jp9M5-1YYM/edit" TargetMode="External"/><Relationship Id="rId94" Type="http://schemas.openxmlformats.org/officeDocument/2006/relationships/hyperlink" Target="https://docs.google.com/spreadsheets/d/1bwqN5rudX31mpOuIw87_tpP1n2n7AUS62Jp9M5-1YYM/edit" TargetMode="External"/><Relationship Id="rId97" Type="http://schemas.openxmlformats.org/officeDocument/2006/relationships/hyperlink" Target="https://docs.google.com/spreadsheets/d/1bwqN5rudX31mpOuIw87_tpP1n2n7AUS62Jp9M5-1YYM/edit" TargetMode="External"/><Relationship Id="rId96" Type="http://schemas.openxmlformats.org/officeDocument/2006/relationships/hyperlink" Target="https://docs.google.com/spreadsheets/d/1bwqN5rudX31mpOuIw87_tpP1n2n7AUS62Jp9M5-1YYM/edit" TargetMode="External"/><Relationship Id="rId99" Type="http://schemas.openxmlformats.org/officeDocument/2006/relationships/hyperlink" Target="https://docs.google.com/spreadsheets/d/1bwqN5rudX31mpOuIw87_tpP1n2n7AUS62Jp9M5-1YYM/edit" TargetMode="External"/><Relationship Id="rId98" Type="http://schemas.openxmlformats.org/officeDocument/2006/relationships/hyperlink" Target="https://docs.google.com/spreadsheets/d/1bwqN5rudX31mpOuIw87_tpP1n2n7AUS62Jp9M5-1YYM/edit" TargetMode="External"/><Relationship Id="rId91" Type="http://schemas.openxmlformats.org/officeDocument/2006/relationships/hyperlink" Target="https://docs.google.com/spreadsheets/d/1yDBj0JtCLTi2_wYuxxDSjTy1C5a_AR-_PDuiEJh8aiw/edit" TargetMode="External"/><Relationship Id="rId90" Type="http://schemas.openxmlformats.org/officeDocument/2006/relationships/hyperlink" Target="https://docs.google.com/spreadsheets/d/1yDBj0JtCLTi2_wYuxxDSjTy1C5a_AR-_PDuiEJh8aiw/edit" TargetMode="External"/><Relationship Id="rId93" Type="http://schemas.openxmlformats.org/officeDocument/2006/relationships/hyperlink" Target="https://docs.google.com/spreadsheets/d/1bwqN5rudX31mpOuIw87_tpP1n2n7AUS62Jp9M5-1YYM/edit" TargetMode="External"/><Relationship Id="rId92" Type="http://schemas.openxmlformats.org/officeDocument/2006/relationships/hyperlink" Target="https://docs.google.com/spreadsheets/d/1bwqN5rudX31mpOuIw87_tpP1n2n7AUS62Jp9M5-1YYM/edit" TargetMode="External"/><Relationship Id="rId118" Type="http://schemas.openxmlformats.org/officeDocument/2006/relationships/hyperlink" Target="https://docs.google.com/spreadsheets/d/15bDupb1MgGXCQdRzv1miqlAhiURBH5S_ujJqWnFgQ0o/edit" TargetMode="External"/><Relationship Id="rId117" Type="http://schemas.openxmlformats.org/officeDocument/2006/relationships/hyperlink" Target="https://docs.google.com/spreadsheets/d/15bDupb1MgGXCQdRzv1miqlAhiURBH5S_ujJqWnFgQ0o/edit" TargetMode="External"/><Relationship Id="rId116" Type="http://schemas.openxmlformats.org/officeDocument/2006/relationships/hyperlink" Target="https://docs.google.com/spreadsheets/d/15bDupb1MgGXCQdRzv1miqlAhiURBH5S_ujJqWnFgQ0o/edit" TargetMode="External"/><Relationship Id="rId115" Type="http://schemas.openxmlformats.org/officeDocument/2006/relationships/hyperlink" Target="https://docs.google.com/spreadsheets/d/15bDupb1MgGXCQdRzv1miqlAhiURBH5S_ujJqWnFgQ0o/edit" TargetMode="External"/><Relationship Id="rId119" Type="http://schemas.openxmlformats.org/officeDocument/2006/relationships/hyperlink" Target="https://docs.google.com/spreadsheets/d/15bDupb1MgGXCQdRzv1miqlAhiURBH5S_ujJqWnFgQ0o/edit" TargetMode="External"/><Relationship Id="rId110" Type="http://schemas.openxmlformats.org/officeDocument/2006/relationships/hyperlink" Target="https://docs.google.com/spreadsheets/d/1n46UJ7adDiNycYfjs42_2ILId2_-fxX4kB7kCAa7o1I/edit" TargetMode="External"/><Relationship Id="rId114" Type="http://schemas.openxmlformats.org/officeDocument/2006/relationships/hyperlink" Target="https://docs.google.com/spreadsheets/d/1LdCw-8C9thCi1oOKT2TETZLvNzfqx5AjFpnoA5MUjhs/edit" TargetMode="External"/><Relationship Id="rId113" Type="http://schemas.openxmlformats.org/officeDocument/2006/relationships/hyperlink" Target="https://docs.google.com/spreadsheets/d/1LdCw-8C9thCi1oOKT2TETZLvNzfqx5AjFpnoA5MUjhs/edit" TargetMode="External"/><Relationship Id="rId112" Type="http://schemas.openxmlformats.org/officeDocument/2006/relationships/hyperlink" Target="https://docs.google.com/spreadsheets/d/1n46UJ7adDiNycYfjs42_2ILId2_-fxX4kB7kCAa7o1I/edit" TargetMode="External"/><Relationship Id="rId111" Type="http://schemas.openxmlformats.org/officeDocument/2006/relationships/hyperlink" Target="https://docs.google.com/spreadsheets/d/1n46UJ7adDiNycYfjs42_2ILId2_-fxX4kB7kCAa7o1I/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LsxCIY7idDvRr9bWjOB_8LB7qlxdeKtAGfawKKEMbec/edit" TargetMode="External"/><Relationship Id="rId2" Type="http://schemas.openxmlformats.org/officeDocument/2006/relationships/hyperlink" Target="https://docs.google.com/spreadsheets/d/1LsxCIY7idDvRr9bWjOB_8LB7qlxdeKtAGfawKKEMbec/edit" TargetMode="External"/><Relationship Id="rId3" Type="http://schemas.openxmlformats.org/officeDocument/2006/relationships/hyperlink" Target="https://docs.google.com/spreadsheets/d/1LsxCIY7idDvRr9bWjOB_8LB7qlxdeKtAGfawKKEMbec/edit" TargetMode="External"/><Relationship Id="rId4" Type="http://schemas.openxmlformats.org/officeDocument/2006/relationships/hyperlink" Target="https://docs.google.com/spreadsheets/d/1LsxCIY7idDvRr9bWjOB_8LB7qlxdeKtAGfawKKEMbec/edit" TargetMode="External"/><Relationship Id="rId9" Type="http://schemas.openxmlformats.org/officeDocument/2006/relationships/hyperlink" Target="https://docs.google.com/spreadsheets/d/1LsxCIY7idDvRr9bWjOB_8LB7qlxdeKtAGfawKKEMbec/edit" TargetMode="External"/><Relationship Id="rId5" Type="http://schemas.openxmlformats.org/officeDocument/2006/relationships/hyperlink" Target="https://docs.google.com/spreadsheets/d/1LsxCIY7idDvRr9bWjOB_8LB7qlxdeKtAGfawKKEMbec/edit" TargetMode="External"/><Relationship Id="rId6" Type="http://schemas.openxmlformats.org/officeDocument/2006/relationships/hyperlink" Target="https://docs.google.com/spreadsheets/d/1LsxCIY7idDvRr9bWjOB_8LB7qlxdeKtAGfawKKEMbec/edit" TargetMode="External"/><Relationship Id="rId7" Type="http://schemas.openxmlformats.org/officeDocument/2006/relationships/hyperlink" Target="https://docs.google.com/spreadsheets/d/1LsxCIY7idDvRr9bWjOB_8LB7qlxdeKtAGfawKKEMbec/edit" TargetMode="External"/><Relationship Id="rId8" Type="http://schemas.openxmlformats.org/officeDocument/2006/relationships/hyperlink" Target="https://docs.google.com/spreadsheets/d/1LsxCIY7idDvRr9bWjOB_8LB7qlxdeKtAGfawKKEMbec/edit" TargetMode="External"/><Relationship Id="rId40" Type="http://schemas.openxmlformats.org/officeDocument/2006/relationships/hyperlink" Target="https://docs.google.com/spreadsheets/d/1aXjwhxV38Y32xQB9-UyHZ9Du9JtYpvMgkI0f168B4gg/edit" TargetMode="External"/><Relationship Id="rId42" Type="http://schemas.openxmlformats.org/officeDocument/2006/relationships/hyperlink" Target="https://docs.google.com/spreadsheets/d/1aXjwhxV38Y32xQB9-UyHZ9Du9JtYpvMgkI0f168B4gg/edit" TargetMode="External"/><Relationship Id="rId41" Type="http://schemas.openxmlformats.org/officeDocument/2006/relationships/hyperlink" Target="https://docs.google.com/spreadsheets/d/1bAdQqhHptNKctJ0JOKZ_Osfm9ny1Joek85Zkno90wRc/edit" TargetMode="External"/><Relationship Id="rId44" Type="http://schemas.openxmlformats.org/officeDocument/2006/relationships/hyperlink" Target="https://docs.google.com/spreadsheets/d/1OJmN5uSjDL--TSpL5NvWzcwhzpAe5CcQXQrHCDlsA78/edit" TargetMode="External"/><Relationship Id="rId43" Type="http://schemas.openxmlformats.org/officeDocument/2006/relationships/hyperlink" Target="https://docs.google.com/spreadsheets/d/1aXjwhxV38Y32xQB9-UyHZ9Du9JtYpvMgkI0f168B4gg/edit" TargetMode="External"/><Relationship Id="rId46" Type="http://schemas.openxmlformats.org/officeDocument/2006/relationships/hyperlink" Target="https://docs.google.com/spreadsheets/d/1OJmN5uSjDL--TSpL5NvWzcwhzpAe5CcQXQrHCDlsA78/edit" TargetMode="External"/><Relationship Id="rId45" Type="http://schemas.openxmlformats.org/officeDocument/2006/relationships/hyperlink" Target="https://docs.google.com/spreadsheets/d/1OJmN5uSjDL--TSpL5NvWzcwhzpAe5CcQXQrHCDlsA78/edit" TargetMode="External"/><Relationship Id="rId48" Type="http://schemas.openxmlformats.org/officeDocument/2006/relationships/hyperlink" Target="https://docs.google.com/spreadsheets/d/1OJmN5uSjDL--TSpL5NvWzcwhzpAe5CcQXQrHCDlsA78/edit" TargetMode="External"/><Relationship Id="rId47" Type="http://schemas.openxmlformats.org/officeDocument/2006/relationships/hyperlink" Target="https://docs.google.com/spreadsheets/d/12N8EITPzrFb324GcylXeekgSec9-cdsH2ovw9dGA8r4/edit" TargetMode="External"/><Relationship Id="rId49" Type="http://schemas.openxmlformats.org/officeDocument/2006/relationships/hyperlink" Target="https://docs.google.com/spreadsheets/d/1OJmN5uSjDL--TSpL5NvWzcwhzpAe5CcQXQrHCDlsA78/edit" TargetMode="External"/><Relationship Id="rId31" Type="http://schemas.openxmlformats.org/officeDocument/2006/relationships/hyperlink" Target="https://docs.google.com/spreadsheets/d/1lsU7iBZLMvKT70H0QIvHXiB5Qb7gj6YGkhmBdkCZx4Q/edit" TargetMode="External"/><Relationship Id="rId30" Type="http://schemas.openxmlformats.org/officeDocument/2006/relationships/hyperlink" Target="https://docs.google.com/spreadsheets/d/1lsU7iBZLMvKT70H0QIvHXiB5Qb7gj6YGkhmBdkCZx4Q/edit" TargetMode="External"/><Relationship Id="rId33" Type="http://schemas.openxmlformats.org/officeDocument/2006/relationships/hyperlink" Target="https://docs.google.com/spreadsheets/d/1x2s5WfZ5TQzfs5MW3PU7yVq9-NMyJSW2As2ETTAOOoc/edit" TargetMode="External"/><Relationship Id="rId32" Type="http://schemas.openxmlformats.org/officeDocument/2006/relationships/hyperlink" Target="https://docs.google.com/spreadsheets/d/1x2s5WfZ5TQzfs5MW3PU7yVq9-NMyJSW2As2ETTAOOoc/edit" TargetMode="External"/><Relationship Id="rId35" Type="http://schemas.openxmlformats.org/officeDocument/2006/relationships/hyperlink" Target="https://docs.google.com/spreadsheets/d/1x2s5WfZ5TQzfs5MW3PU7yVq9-NMyJSW2As2ETTAOOoc/edit" TargetMode="External"/><Relationship Id="rId34" Type="http://schemas.openxmlformats.org/officeDocument/2006/relationships/hyperlink" Target="https://docs.google.com/spreadsheets/d/1x2s5WfZ5TQzfs5MW3PU7yVq9-NMyJSW2As2ETTAOOoc/edit" TargetMode="External"/><Relationship Id="rId37" Type="http://schemas.openxmlformats.org/officeDocument/2006/relationships/hyperlink" Target="https://docs.google.com/spreadsheets/d/1x2s5WfZ5TQzfs5MW3PU7yVq9-NMyJSW2As2ETTAOOoc/edit" TargetMode="External"/><Relationship Id="rId36" Type="http://schemas.openxmlformats.org/officeDocument/2006/relationships/hyperlink" Target="https://docs.google.com/spreadsheets/d/1x2s5WfZ5TQzfs5MW3PU7yVq9-NMyJSW2As2ETTAOOoc/edit" TargetMode="External"/><Relationship Id="rId39" Type="http://schemas.openxmlformats.org/officeDocument/2006/relationships/hyperlink" Target="https://docs.google.com/spreadsheets/d/1aXjwhxV38Y32xQB9-UyHZ9Du9JtYpvMgkI0f168B4gg/edit" TargetMode="External"/><Relationship Id="rId38" Type="http://schemas.openxmlformats.org/officeDocument/2006/relationships/hyperlink" Target="https://docs.google.com/spreadsheets/d/1aXjwhxV38Y32xQB9-UyHZ9Du9JtYpvMgkI0f168B4gg/edit" TargetMode="External"/><Relationship Id="rId20" Type="http://schemas.openxmlformats.org/officeDocument/2006/relationships/hyperlink" Target="https://docs.google.com/spreadsheets/d/1f_dIz7BjrQAbvoNct-bjhalLNdA_uubo_3-Sg2KJY5s/edit" TargetMode="External"/><Relationship Id="rId22" Type="http://schemas.openxmlformats.org/officeDocument/2006/relationships/hyperlink" Target="https://docs.google.com/spreadsheets/d/1f_dIz7BjrQAbvoNct-bjhalLNdA_uubo_3-Sg2KJY5s/edit" TargetMode="External"/><Relationship Id="rId21" Type="http://schemas.openxmlformats.org/officeDocument/2006/relationships/hyperlink" Target="https://docs.google.com/spreadsheets/d/1f_dIz7BjrQAbvoNct-bjhalLNdA_uubo_3-Sg2KJY5s/edit" TargetMode="External"/><Relationship Id="rId24" Type="http://schemas.openxmlformats.org/officeDocument/2006/relationships/hyperlink" Target="https://docs.google.com/spreadsheets/d/1f_dIz7BjrQAbvoNct-bjhalLNdA_uubo_3-Sg2KJY5s/edit" TargetMode="External"/><Relationship Id="rId23" Type="http://schemas.openxmlformats.org/officeDocument/2006/relationships/hyperlink" Target="https://docs.google.com/spreadsheets/d/1z94NcjhwihY6TurQNVD3qPHSQ8SfUdbSwGEDQWxyb5w/edit" TargetMode="External"/><Relationship Id="rId26" Type="http://schemas.openxmlformats.org/officeDocument/2006/relationships/hyperlink" Target="https://docs.google.com/spreadsheets/d/1lsU7iBZLMvKT70H0QIvHXiB5Qb7gj6YGkhmBdkCZx4Q/edit" TargetMode="External"/><Relationship Id="rId25" Type="http://schemas.openxmlformats.org/officeDocument/2006/relationships/hyperlink" Target="https://docs.google.com/spreadsheets/d/1f_dIz7BjrQAbvoNct-bjhalLNdA_uubo_3-Sg2KJY5s/edit" TargetMode="External"/><Relationship Id="rId28" Type="http://schemas.openxmlformats.org/officeDocument/2006/relationships/hyperlink" Target="https://docs.google.com/spreadsheets/d/1lsU7iBZLMvKT70H0QIvHXiB5Qb7gj6YGkhmBdkCZx4Q/edit" TargetMode="External"/><Relationship Id="rId27" Type="http://schemas.openxmlformats.org/officeDocument/2006/relationships/hyperlink" Target="https://docs.google.com/spreadsheets/d/1lsU7iBZLMvKT70H0QIvHXiB5Qb7gj6YGkhmBdkCZx4Q/edit" TargetMode="External"/><Relationship Id="rId29" Type="http://schemas.openxmlformats.org/officeDocument/2006/relationships/hyperlink" Target="https://docs.google.com/spreadsheets/d/1jVMqDVEv7N35--ZS36NkT8gRQU809XWaRsHOGG3JSqg/edit" TargetMode="External"/><Relationship Id="rId11" Type="http://schemas.openxmlformats.org/officeDocument/2006/relationships/hyperlink" Target="https://docs.google.com/spreadsheets/d/1LsxCIY7idDvRr9bWjOB_8LB7qlxdeKtAGfawKKEMbec/edit" TargetMode="External"/><Relationship Id="rId10" Type="http://schemas.openxmlformats.org/officeDocument/2006/relationships/hyperlink" Target="https://docs.google.com/spreadsheets/d/1LsxCIY7idDvRr9bWjOB_8LB7qlxdeKtAGfawKKEMbec/edit" TargetMode="External"/><Relationship Id="rId13" Type="http://schemas.openxmlformats.org/officeDocument/2006/relationships/hyperlink" Target="https://docs.google.com/spreadsheets/d/1aQDJ2llFW3oa-dlw7dNdNOzZ5hzi_LjtN6ZIPUFfS7Q/edit" TargetMode="External"/><Relationship Id="rId12" Type="http://schemas.openxmlformats.org/officeDocument/2006/relationships/hyperlink" Target="https://docs.google.com/spreadsheets/d/1LsxCIY7idDvRr9bWjOB_8LB7qlxdeKtAGfawKKEMbec/edit" TargetMode="External"/><Relationship Id="rId15" Type="http://schemas.openxmlformats.org/officeDocument/2006/relationships/hyperlink" Target="https://docs.google.com/spreadsheets/d/1aQDJ2llFW3oa-dlw7dNdNOzZ5hzi_LjtN6ZIPUFfS7Q/edit" TargetMode="External"/><Relationship Id="rId14" Type="http://schemas.openxmlformats.org/officeDocument/2006/relationships/hyperlink" Target="https://docs.google.com/spreadsheets/d/1aQDJ2llFW3oa-dlw7dNdNOzZ5hzi_LjtN6ZIPUFfS7Q/edit" TargetMode="External"/><Relationship Id="rId17" Type="http://schemas.openxmlformats.org/officeDocument/2006/relationships/hyperlink" Target="https://docs.google.com/spreadsheets/d/1VKEh7--sdQfapTTfHvb7KxbwiJV6AxZPyHRZzeUljvU/edit" TargetMode="External"/><Relationship Id="rId16" Type="http://schemas.openxmlformats.org/officeDocument/2006/relationships/hyperlink" Target="https://docs.google.com/spreadsheets/d/1aQDJ2llFW3oa-dlw7dNdNOzZ5hzi_LjtN6ZIPUFfS7Q/edit" TargetMode="External"/><Relationship Id="rId19" Type="http://schemas.openxmlformats.org/officeDocument/2006/relationships/hyperlink" Target="https://docs.google.com/spreadsheets/d/1aQDJ2llFW3oa-dlw7dNdNOzZ5hzi_LjtN6ZIPUFfS7Q/edit" TargetMode="External"/><Relationship Id="rId18" Type="http://schemas.openxmlformats.org/officeDocument/2006/relationships/hyperlink" Target="https://docs.google.com/spreadsheets/d/1aQDJ2llFW3oa-dlw7dNdNOzZ5hzi_LjtN6ZIPUFfS7Q/edit" TargetMode="External"/><Relationship Id="rId84" Type="http://schemas.openxmlformats.org/officeDocument/2006/relationships/hyperlink" Target="https://docs.google.com/spreadsheets/d/13AK7aEew1U76X8Jm8H3utar61Uzxm7b2QcLjrgwUFOc/edit" TargetMode="External"/><Relationship Id="rId83" Type="http://schemas.openxmlformats.org/officeDocument/2006/relationships/hyperlink" Target="https://docs.google.com/spreadsheets/d/13AK7aEew1U76X8Jm8H3utar61Uzxm7b2QcLjrgwUFOc/edit" TargetMode="External"/><Relationship Id="rId86" Type="http://schemas.openxmlformats.org/officeDocument/2006/relationships/hyperlink" Target="https://docs.google.com/spreadsheets/d/13AK7aEew1U76X8Jm8H3utar61Uzxm7b2QcLjrgwUFOc/edit" TargetMode="External"/><Relationship Id="rId85" Type="http://schemas.openxmlformats.org/officeDocument/2006/relationships/hyperlink" Target="https://docs.google.com/spreadsheets/d/13AK7aEew1U76X8Jm8H3utar61Uzxm7b2QcLjrgwUFOc/edit" TargetMode="External"/><Relationship Id="rId88" Type="http://schemas.openxmlformats.org/officeDocument/2006/relationships/hyperlink" Target="https://docs.google.com/spreadsheets/d/1HKWA--A_76zNGoLozyzJ_dy50MR2g8gJX9bW8RAvPZ4/edit" TargetMode="External"/><Relationship Id="rId87" Type="http://schemas.openxmlformats.org/officeDocument/2006/relationships/hyperlink" Target="https://docs.google.com/spreadsheets/d/1HKWA--A_76zNGoLozyzJ_dy50MR2g8gJX9bW8RAvPZ4/edit" TargetMode="External"/><Relationship Id="rId89" Type="http://schemas.openxmlformats.org/officeDocument/2006/relationships/hyperlink" Target="https://docs.google.com/spreadsheets/d/1HKWA--A_76zNGoLozyzJ_dy50MR2g8gJX9bW8RAvPZ4/edit" TargetMode="External"/><Relationship Id="rId80" Type="http://schemas.openxmlformats.org/officeDocument/2006/relationships/hyperlink" Target="https://docs.google.com/spreadsheets/d/1QkmoVYZ6bhNFjkO9jE8qJPfwrmlE6g2giXe6gzPf2qo/edit" TargetMode="External"/><Relationship Id="rId82" Type="http://schemas.openxmlformats.org/officeDocument/2006/relationships/hyperlink" Target="https://docs.google.com/spreadsheets/d/13AK7aEew1U76X8Jm8H3utar61Uzxm7b2QcLjrgwUFOc/edit" TargetMode="External"/><Relationship Id="rId81" Type="http://schemas.openxmlformats.org/officeDocument/2006/relationships/hyperlink" Target="https://docs.google.com/spreadsheets/d/13AK7aEew1U76X8Jm8H3utar61Uzxm7b2QcLjrgwUFOc/edit" TargetMode="External"/><Relationship Id="rId73" Type="http://schemas.openxmlformats.org/officeDocument/2006/relationships/hyperlink" Target="https://docs.google.com/spreadsheets/d/1hVa0_A65noe_CZG0HBlU9mw7Y_FwukqOz_fiVPRayXs/edit" TargetMode="External"/><Relationship Id="rId72" Type="http://schemas.openxmlformats.org/officeDocument/2006/relationships/hyperlink" Target="https://docs.google.com/spreadsheets/d/1hVa0_A65noe_CZG0HBlU9mw7Y_FwukqOz_fiVPRayXs/edit" TargetMode="External"/><Relationship Id="rId75" Type="http://schemas.openxmlformats.org/officeDocument/2006/relationships/hyperlink" Target="https://docs.google.com/spreadsheets/d/1QkmoVYZ6bhNFjkO9jE8qJPfwrmlE6g2giXe6gzPf2qo/edit" TargetMode="External"/><Relationship Id="rId74" Type="http://schemas.openxmlformats.org/officeDocument/2006/relationships/hyperlink" Target="https://docs.google.com/spreadsheets/d/1hVa0_A65noe_CZG0HBlU9mw7Y_FwukqOz_fiVPRayXs/edit" TargetMode="External"/><Relationship Id="rId77" Type="http://schemas.openxmlformats.org/officeDocument/2006/relationships/hyperlink" Target="https://docs.google.com/spreadsheets/d/1QkmoVYZ6bhNFjkO9jE8qJPfwrmlE6g2giXe6gzPf2qo/edit" TargetMode="External"/><Relationship Id="rId76" Type="http://schemas.openxmlformats.org/officeDocument/2006/relationships/hyperlink" Target="https://docs.google.com/spreadsheets/d/1QkmoVYZ6bhNFjkO9jE8qJPfwrmlE6g2giXe6gzPf2qo/edit" TargetMode="External"/><Relationship Id="rId79" Type="http://schemas.openxmlformats.org/officeDocument/2006/relationships/hyperlink" Target="https://docs.google.com/spreadsheets/d/1QkmoVYZ6bhNFjkO9jE8qJPfwrmlE6g2giXe6gzPf2qo/edit" TargetMode="External"/><Relationship Id="rId78" Type="http://schemas.openxmlformats.org/officeDocument/2006/relationships/hyperlink" Target="https://docs.google.com/spreadsheets/d/1QkmoVYZ6bhNFjkO9jE8qJPfwrmlE6g2giXe6gzPf2qo/edit" TargetMode="External"/><Relationship Id="rId71" Type="http://schemas.openxmlformats.org/officeDocument/2006/relationships/hyperlink" Target="https://docs.google.com/spreadsheets/d/1hVa0_A65noe_CZG0HBlU9mw7Y_FwukqOz_fiVPRayXs/edit" TargetMode="External"/><Relationship Id="rId70" Type="http://schemas.openxmlformats.org/officeDocument/2006/relationships/hyperlink" Target="https://docs.google.com/spreadsheets/d/1hVa0_A65noe_CZG0HBlU9mw7Y_FwukqOz_fiVPRayXs/edit" TargetMode="External"/><Relationship Id="rId62" Type="http://schemas.openxmlformats.org/officeDocument/2006/relationships/hyperlink" Target="https://docs.google.com/spreadsheets/d/1Z6gSf0CZimWdz8uIn3RXI8AwyTd8mCkqyVBOyoY4QpQ/edit" TargetMode="External"/><Relationship Id="rId61" Type="http://schemas.openxmlformats.org/officeDocument/2006/relationships/hyperlink" Target="https://docs.google.com/spreadsheets/d/1Z6gSf0CZimWdz8uIn3RXI8AwyTd8mCkqyVBOyoY4QpQ/edit" TargetMode="External"/><Relationship Id="rId64" Type="http://schemas.openxmlformats.org/officeDocument/2006/relationships/hyperlink" Target="https://docs.google.com/spreadsheets/d/1vifHJ36WePqFGiXQ4KWVNNTHoA6agzAdqDIqTmOLUqs/edit" TargetMode="External"/><Relationship Id="rId63" Type="http://schemas.openxmlformats.org/officeDocument/2006/relationships/hyperlink" Target="https://docs.google.com/spreadsheets/d/1vifHJ36WePqFGiXQ4KWVNNTHoA6agzAdqDIqTmOLUqs/edit" TargetMode="External"/><Relationship Id="rId66" Type="http://schemas.openxmlformats.org/officeDocument/2006/relationships/hyperlink" Target="https://docs.google.com/spreadsheets/d/1vifHJ36WePqFGiXQ4KWVNNTHoA6agzAdqDIqTmOLUqs/edit" TargetMode="External"/><Relationship Id="rId65" Type="http://schemas.openxmlformats.org/officeDocument/2006/relationships/hyperlink" Target="https://docs.google.com/spreadsheets/d/1vifHJ36WePqFGiXQ4KWVNNTHoA6agzAdqDIqTmOLUqs/edit" TargetMode="External"/><Relationship Id="rId68" Type="http://schemas.openxmlformats.org/officeDocument/2006/relationships/hyperlink" Target="https://docs.google.com/spreadsheets/d/1vifHJ36WePqFGiXQ4KWVNNTHoA6agzAdqDIqTmOLUqs/edit" TargetMode="External"/><Relationship Id="rId67" Type="http://schemas.openxmlformats.org/officeDocument/2006/relationships/hyperlink" Target="https://docs.google.com/spreadsheets/d/1vifHJ36WePqFGiXQ4KWVNNTHoA6agzAdqDIqTmOLUqs/edit" TargetMode="External"/><Relationship Id="rId60" Type="http://schemas.openxmlformats.org/officeDocument/2006/relationships/hyperlink" Target="https://docs.google.com/spreadsheets/d/1Z6gSf0CZimWdz8uIn3RXI8AwyTd8mCkqyVBOyoY4QpQ/edit" TargetMode="External"/><Relationship Id="rId69" Type="http://schemas.openxmlformats.org/officeDocument/2006/relationships/hyperlink" Target="https://docs.google.com/spreadsheets/d/1hVa0_A65noe_CZG0HBlU9mw7Y_FwukqOz_fiVPRayXs/edit" TargetMode="External"/><Relationship Id="rId51" Type="http://schemas.openxmlformats.org/officeDocument/2006/relationships/hyperlink" Target="https://docs.google.com/spreadsheets/d/1pMVjx7Bj5_BKyLyeeSCas9_rfSAj1R6PMfgTEpDB7BM/edit" TargetMode="External"/><Relationship Id="rId50" Type="http://schemas.openxmlformats.org/officeDocument/2006/relationships/hyperlink" Target="https://docs.google.com/spreadsheets/d/1pMVjx7Bj5_BKyLyeeSCas9_rfSAj1R6PMfgTEpDB7BM/edit" TargetMode="External"/><Relationship Id="rId53" Type="http://schemas.openxmlformats.org/officeDocument/2006/relationships/hyperlink" Target="https://docs.google.com/spreadsheets/d/1VxmNGFqLSo42w7dD4Yzt1fOHbPl2lVrlvGQdv2-ybMU/edit" TargetMode="External"/><Relationship Id="rId52" Type="http://schemas.openxmlformats.org/officeDocument/2006/relationships/hyperlink" Target="https://docs.google.com/spreadsheets/d/1pMVjx7Bj5_BKyLyeeSCas9_rfSAj1R6PMfgTEpDB7BM/edit" TargetMode="External"/><Relationship Id="rId55" Type="http://schemas.openxmlformats.org/officeDocument/2006/relationships/hyperlink" Target="https://docs.google.com/spreadsheets/d/1pMVjx7Bj5_BKyLyeeSCas9_rfSAj1R6PMfgTEpDB7BM/edit" TargetMode="External"/><Relationship Id="rId54" Type="http://schemas.openxmlformats.org/officeDocument/2006/relationships/hyperlink" Target="https://docs.google.com/spreadsheets/d/1pMVjx7Bj5_BKyLyeeSCas9_rfSAj1R6PMfgTEpDB7BM/edit" TargetMode="External"/><Relationship Id="rId57" Type="http://schemas.openxmlformats.org/officeDocument/2006/relationships/hyperlink" Target="https://docs.google.com/spreadsheets/d/1Z6gSf0CZimWdz8uIn3RXI8AwyTd8mCkqyVBOyoY4QpQ/edit" TargetMode="External"/><Relationship Id="rId56" Type="http://schemas.openxmlformats.org/officeDocument/2006/relationships/hyperlink" Target="https://docs.google.com/spreadsheets/d/1gsUrSNIGpkVobAvoDcjuemqa5iJCDMhDKx5qVNzYK0w/edit" TargetMode="External"/><Relationship Id="rId59" Type="http://schemas.openxmlformats.org/officeDocument/2006/relationships/hyperlink" Target="https://docs.google.com/spreadsheets/d/1Z6gSf0CZimWdz8uIn3RXI8AwyTd8mCkqyVBOyoY4QpQ/edit" TargetMode="External"/><Relationship Id="rId58" Type="http://schemas.openxmlformats.org/officeDocument/2006/relationships/hyperlink" Target="https://docs.google.com/spreadsheets/d/1Z6gSf0CZimWdz8uIn3RXI8AwyTd8mCkqyVBOyoY4QpQ/edit" TargetMode="External"/><Relationship Id="rId107" Type="http://schemas.openxmlformats.org/officeDocument/2006/relationships/drawing" Target="../drawings/drawing8.xml"/><Relationship Id="rId106" Type="http://schemas.openxmlformats.org/officeDocument/2006/relationships/hyperlink" Target="https://docs.google.com/spreadsheets/d/1sVetr6jM9_7VKS_8dF025pMPEB7g-zXC49irQRR8B2M/edit" TargetMode="External"/><Relationship Id="rId105" Type="http://schemas.openxmlformats.org/officeDocument/2006/relationships/hyperlink" Target="https://docs.google.com/spreadsheets/d/1sVetr6jM9_7VKS_8dF025pMPEB7g-zXC49irQRR8B2M/edit" TargetMode="External"/><Relationship Id="rId104" Type="http://schemas.openxmlformats.org/officeDocument/2006/relationships/hyperlink" Target="https://docs.google.com/spreadsheets/d/1sVetr6jM9_7VKS_8dF025pMPEB7g-zXC49irQRR8B2M/edit" TargetMode="External"/><Relationship Id="rId103" Type="http://schemas.openxmlformats.org/officeDocument/2006/relationships/hyperlink" Target="https://docs.google.com/spreadsheets/d/1sVetr6jM9_7VKS_8dF025pMPEB7g-zXC49irQRR8B2M/edit" TargetMode="External"/><Relationship Id="rId102" Type="http://schemas.openxmlformats.org/officeDocument/2006/relationships/hyperlink" Target="https://docs.google.com/spreadsheets/d/1sVetr6jM9_7VKS_8dF025pMPEB7g-zXC49irQRR8B2M/edit" TargetMode="External"/><Relationship Id="rId101" Type="http://schemas.openxmlformats.org/officeDocument/2006/relationships/hyperlink" Target="https://docs.google.com/spreadsheets/d/1sVetr6jM9_7VKS_8dF025pMPEB7g-zXC49irQRR8B2M/edit" TargetMode="External"/><Relationship Id="rId100" Type="http://schemas.openxmlformats.org/officeDocument/2006/relationships/hyperlink" Target="https://docs.google.com/spreadsheets/d/1sVetr6jM9_7VKS_8dF025pMPEB7g-zXC49irQRR8B2M/edit" TargetMode="External"/><Relationship Id="rId95" Type="http://schemas.openxmlformats.org/officeDocument/2006/relationships/hyperlink" Target="https://docs.google.com/spreadsheets/d/1sVetr6jM9_7VKS_8dF025pMPEB7g-zXC49irQRR8B2M/edit" TargetMode="External"/><Relationship Id="rId94" Type="http://schemas.openxmlformats.org/officeDocument/2006/relationships/hyperlink" Target="https://docs.google.com/spreadsheets/d/1sVetr6jM9_7VKS_8dF025pMPEB7g-zXC49irQRR8B2M/edit" TargetMode="External"/><Relationship Id="rId97" Type="http://schemas.openxmlformats.org/officeDocument/2006/relationships/hyperlink" Target="https://docs.google.com/spreadsheets/d/1sVetr6jM9_7VKS_8dF025pMPEB7g-zXC49irQRR8B2M/edit" TargetMode="External"/><Relationship Id="rId96" Type="http://schemas.openxmlformats.org/officeDocument/2006/relationships/hyperlink" Target="https://docs.google.com/spreadsheets/d/1sVetr6jM9_7VKS_8dF025pMPEB7g-zXC49irQRR8B2M/edit" TargetMode="External"/><Relationship Id="rId99" Type="http://schemas.openxmlformats.org/officeDocument/2006/relationships/hyperlink" Target="https://docs.google.com/spreadsheets/d/1sVetr6jM9_7VKS_8dF025pMPEB7g-zXC49irQRR8B2M/edit" TargetMode="External"/><Relationship Id="rId98" Type="http://schemas.openxmlformats.org/officeDocument/2006/relationships/hyperlink" Target="https://docs.google.com/spreadsheets/d/1sVetr6jM9_7VKS_8dF025pMPEB7g-zXC49irQRR8B2M/edit" TargetMode="External"/><Relationship Id="rId91" Type="http://schemas.openxmlformats.org/officeDocument/2006/relationships/hyperlink" Target="https://docs.google.com/spreadsheets/d/1HKWA--A_76zNGoLozyzJ_dy50MR2g8gJX9bW8RAvPZ4/edit" TargetMode="External"/><Relationship Id="rId90" Type="http://schemas.openxmlformats.org/officeDocument/2006/relationships/hyperlink" Target="https://docs.google.com/spreadsheets/d/1HKWA--A_76zNGoLozyzJ_dy50MR2g8gJX9bW8RAvPZ4/edit" TargetMode="External"/><Relationship Id="rId93" Type="http://schemas.openxmlformats.org/officeDocument/2006/relationships/hyperlink" Target="https://docs.google.com/spreadsheets/d/1sVetr6jM9_7VKS_8dF025pMPEB7g-zXC49irQRR8B2M/edit" TargetMode="External"/><Relationship Id="rId92" Type="http://schemas.openxmlformats.org/officeDocument/2006/relationships/hyperlink" Target="https://docs.google.com/spreadsheets/d/1HKWA--A_76zNGoLozyzJ_dy50MR2g8gJX9bW8RAvPZ4/edi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Gyc1g4iw6-vii166cMKNxF2RgqBitlGrmCjGVpYU8vE/edit" TargetMode="External"/><Relationship Id="rId2" Type="http://schemas.openxmlformats.org/officeDocument/2006/relationships/hyperlink" Target="https://docs.google.com/spreadsheets/d/1Gyc1g4iw6-vii166cMKNxF2RgqBitlGrmCjGVpYU8vE/edit" TargetMode="External"/><Relationship Id="rId3" Type="http://schemas.openxmlformats.org/officeDocument/2006/relationships/hyperlink" Target="https://docs.google.com/spreadsheets/d/1Gyc1g4iw6-vii166cMKNxF2RgqBitlGrmCjGVpYU8vE/edit" TargetMode="External"/><Relationship Id="rId4" Type="http://schemas.openxmlformats.org/officeDocument/2006/relationships/hyperlink" Target="https://docs.google.com/spreadsheets/d/1Gyc1g4iw6-vii166cMKNxF2RgqBitlGrmCjGVpYU8vE/edit" TargetMode="External"/><Relationship Id="rId9" Type="http://schemas.openxmlformats.org/officeDocument/2006/relationships/drawing" Target="../drawings/drawing9.xml"/><Relationship Id="rId5" Type="http://schemas.openxmlformats.org/officeDocument/2006/relationships/hyperlink" Target="https://docs.google.com/spreadsheets/d/1Gyc1g4iw6-vii166cMKNxF2RgqBitlGrmCjGVpYU8vE/edit" TargetMode="External"/><Relationship Id="rId6" Type="http://schemas.openxmlformats.org/officeDocument/2006/relationships/hyperlink" Target="https://docs.google.com/spreadsheets/d/1Gyc1g4iw6-vii166cMKNxF2RgqBitlGrmCjGVpYU8vE/edit" TargetMode="External"/><Relationship Id="rId7" Type="http://schemas.openxmlformats.org/officeDocument/2006/relationships/hyperlink" Target="https://docs.google.com/spreadsheets/d/1Gyc1g4iw6-vii166cMKNxF2RgqBitlGrmCjGVpYU8vE/edit" TargetMode="External"/><Relationship Id="rId8" Type="http://schemas.openxmlformats.org/officeDocument/2006/relationships/hyperlink" Target="https://docs.google.com/spreadsheets/d/1Gyc1g4iw6-vii166cMKNxF2RgqBitlGrmCjGVpYU8vE/edit"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50" Type="http://schemas.openxmlformats.org/officeDocument/2006/relationships/hyperlink" Target="https://docs.google.com/spreadsheets/d/1oqi-m68t8FNooBNGYeetPO-IjhBoFrY7gIjXaBKztM0/edit" TargetMode="External"/><Relationship Id="rId1" Type="http://schemas.openxmlformats.org/officeDocument/2006/relationships/hyperlink" Target="https://docs.google.com/spreadsheets/d/1tkXvR0Fe4vuZ6eIT5CQJ2rTXntDiooqY0ToLdZzrsYY/edit" TargetMode="External"/><Relationship Id="rId2" Type="http://schemas.openxmlformats.org/officeDocument/2006/relationships/hyperlink" Target="https://docs.google.com/spreadsheets/d/1tkXvR0Fe4vuZ6eIT5CQJ2rTXntDiooqY0ToLdZzrsYY/edit" TargetMode="External"/><Relationship Id="rId3" Type="http://schemas.openxmlformats.org/officeDocument/2006/relationships/hyperlink" Target="https://docs.google.com/spreadsheets/d/1tkXvR0Fe4vuZ6eIT5CQJ2rTXntDiooqY0ToLdZzrsYY/edit" TargetMode="External"/><Relationship Id="rId149" Type="http://schemas.openxmlformats.org/officeDocument/2006/relationships/hyperlink" Target="https://docs.google.com/spreadsheets/d/1oqi-m68t8FNooBNGYeetPO-IjhBoFrY7gIjXaBKztM0/edit" TargetMode="External"/><Relationship Id="rId4" Type="http://schemas.openxmlformats.org/officeDocument/2006/relationships/hyperlink" Target="https://docs.google.com/spreadsheets/d/1tkXvR0Fe4vuZ6eIT5CQJ2rTXntDiooqY0ToLdZzrsYY/edit" TargetMode="External"/><Relationship Id="rId148" Type="http://schemas.openxmlformats.org/officeDocument/2006/relationships/hyperlink" Target="https://docs.google.com/spreadsheets/d/1oqi-m68t8FNooBNGYeetPO-IjhBoFrY7gIjXaBKztM0/edit" TargetMode="External"/><Relationship Id="rId9" Type="http://schemas.openxmlformats.org/officeDocument/2006/relationships/hyperlink" Target="https://docs.google.com/spreadsheets/d/1QH_ufFnvx2PhMzJthyRiQsUYSp1nlyclRNmhJ2ks1hg/edit" TargetMode="External"/><Relationship Id="rId143" Type="http://schemas.openxmlformats.org/officeDocument/2006/relationships/hyperlink" Target="https://docs.google.com/spreadsheets/d/1vPs9KqbrhARkAK6raCx1npYATwnmVB8VyoRT6V0CUdk/edit" TargetMode="External"/><Relationship Id="rId142" Type="http://schemas.openxmlformats.org/officeDocument/2006/relationships/hyperlink" Target="https://docs.google.com/spreadsheets/d/1vPs9KqbrhARkAK6raCx1npYATwnmVB8VyoRT6V0CUdk/edit" TargetMode="External"/><Relationship Id="rId141" Type="http://schemas.openxmlformats.org/officeDocument/2006/relationships/hyperlink" Target="https://docs.google.com/spreadsheets/d/1vPs9KqbrhARkAK6raCx1npYATwnmVB8VyoRT6V0CUdk/edit" TargetMode="External"/><Relationship Id="rId140" Type="http://schemas.openxmlformats.org/officeDocument/2006/relationships/hyperlink" Target="https://docs.google.com/spreadsheets/d/1vPs9KqbrhARkAK6raCx1npYATwnmVB8VyoRT6V0CUdk/edit" TargetMode="External"/><Relationship Id="rId5" Type="http://schemas.openxmlformats.org/officeDocument/2006/relationships/hyperlink" Target="https://docs.google.com/spreadsheets/d/1tkXvR0Fe4vuZ6eIT5CQJ2rTXntDiooqY0ToLdZzrsYY/edit" TargetMode="External"/><Relationship Id="rId147" Type="http://schemas.openxmlformats.org/officeDocument/2006/relationships/hyperlink" Target="https://docs.google.com/spreadsheets/d/1oqi-m68t8FNooBNGYeetPO-IjhBoFrY7gIjXaBKztM0/edit" TargetMode="External"/><Relationship Id="rId6" Type="http://schemas.openxmlformats.org/officeDocument/2006/relationships/hyperlink" Target="https://docs.google.com/spreadsheets/d/1tkXvR0Fe4vuZ6eIT5CQJ2rTXntDiooqY0ToLdZzrsYY/edit" TargetMode="External"/><Relationship Id="rId146" Type="http://schemas.openxmlformats.org/officeDocument/2006/relationships/hyperlink" Target="https://docs.google.com/spreadsheets/d/1oqi-m68t8FNooBNGYeetPO-IjhBoFrY7gIjXaBKztM0/edit" TargetMode="External"/><Relationship Id="rId7" Type="http://schemas.openxmlformats.org/officeDocument/2006/relationships/hyperlink" Target="https://docs.google.com/spreadsheets/d/1QH_ufFnvx2PhMzJthyRiQsUYSp1nlyclRNmhJ2ks1hg/edit" TargetMode="External"/><Relationship Id="rId145" Type="http://schemas.openxmlformats.org/officeDocument/2006/relationships/hyperlink" Target="https://docs.google.com/spreadsheets/d/1oqi-m68t8FNooBNGYeetPO-IjhBoFrY7gIjXaBKztM0/edit" TargetMode="External"/><Relationship Id="rId8" Type="http://schemas.openxmlformats.org/officeDocument/2006/relationships/hyperlink" Target="https://docs.google.com/spreadsheets/d/1QH_ufFnvx2PhMzJthyRiQsUYSp1nlyclRNmhJ2ks1hg/edit" TargetMode="External"/><Relationship Id="rId144" Type="http://schemas.openxmlformats.org/officeDocument/2006/relationships/hyperlink" Target="https://docs.google.com/spreadsheets/d/1oqi-m68t8FNooBNGYeetPO-IjhBoFrY7gIjXaBKztM0/edit" TargetMode="External"/><Relationship Id="rId139" Type="http://schemas.openxmlformats.org/officeDocument/2006/relationships/hyperlink" Target="https://docs.google.com/spreadsheets/d/1vPs9KqbrhARkAK6raCx1npYATwnmVB8VyoRT6V0CUdk/edit" TargetMode="External"/><Relationship Id="rId138" Type="http://schemas.openxmlformats.org/officeDocument/2006/relationships/hyperlink" Target="https://docs.google.com/spreadsheets/d/1vPs9KqbrhARkAK6raCx1npYATwnmVB8VyoRT6V0CUdk/edit" TargetMode="External"/><Relationship Id="rId137" Type="http://schemas.openxmlformats.org/officeDocument/2006/relationships/hyperlink" Target="https://docs.google.com/spreadsheets/d/1yofCAPDsA0751aJHQ3TAfsBnZ2TLuF_fOA6bxNsRICM/edit" TargetMode="External"/><Relationship Id="rId132" Type="http://schemas.openxmlformats.org/officeDocument/2006/relationships/hyperlink" Target="https://docs.google.com/spreadsheets/d/1yofCAPDsA0751aJHQ3TAfsBnZ2TLuF_fOA6bxNsRICM/edit" TargetMode="External"/><Relationship Id="rId131" Type="http://schemas.openxmlformats.org/officeDocument/2006/relationships/hyperlink" Target="https://docs.google.com/spreadsheets/d/1yofCAPDsA0751aJHQ3TAfsBnZ2TLuF_fOA6bxNsRICM/edit" TargetMode="External"/><Relationship Id="rId130" Type="http://schemas.openxmlformats.org/officeDocument/2006/relationships/hyperlink" Target="https://docs.google.com/spreadsheets/d/1yofCAPDsA0751aJHQ3TAfsBnZ2TLuF_fOA6bxNsRICM/edit" TargetMode="External"/><Relationship Id="rId136" Type="http://schemas.openxmlformats.org/officeDocument/2006/relationships/hyperlink" Target="https://docs.google.com/spreadsheets/d/1yofCAPDsA0751aJHQ3TAfsBnZ2TLuF_fOA6bxNsRICM/edit" TargetMode="External"/><Relationship Id="rId135" Type="http://schemas.openxmlformats.org/officeDocument/2006/relationships/hyperlink" Target="https://docs.google.com/spreadsheets/d/1yofCAPDsA0751aJHQ3TAfsBnZ2TLuF_fOA6bxNsRICM/edit" TargetMode="External"/><Relationship Id="rId134" Type="http://schemas.openxmlformats.org/officeDocument/2006/relationships/hyperlink" Target="https://docs.google.com/spreadsheets/d/1yofCAPDsA0751aJHQ3TAfsBnZ2TLuF_fOA6bxNsRICM/edit" TargetMode="External"/><Relationship Id="rId133" Type="http://schemas.openxmlformats.org/officeDocument/2006/relationships/hyperlink" Target="https://docs.google.com/spreadsheets/d/1yofCAPDsA0751aJHQ3TAfsBnZ2TLuF_fOA6bxNsRICM/edit" TargetMode="External"/><Relationship Id="rId171" Type="http://schemas.openxmlformats.org/officeDocument/2006/relationships/drawing" Target="../drawings/drawing11.xml"/><Relationship Id="rId170" Type="http://schemas.openxmlformats.org/officeDocument/2006/relationships/hyperlink" Target="https://docs.google.com/spreadsheets/d/150PkL-7wO6OVHx7v_sMWiHHIpR4jwLUwmOvwIQfXpB8/edit" TargetMode="External"/><Relationship Id="rId165" Type="http://schemas.openxmlformats.org/officeDocument/2006/relationships/hyperlink" Target="https://docs.google.com/spreadsheets/d/150PkL-7wO6OVHx7v_sMWiHHIpR4jwLUwmOvwIQfXpB8/edit" TargetMode="External"/><Relationship Id="rId164" Type="http://schemas.openxmlformats.org/officeDocument/2006/relationships/hyperlink" Target="https://docs.google.com/spreadsheets/d/1xTrvncOFBIW6Qt_3ub6Z7S_q2slV7K80JBTxdZ8r2hk/edit" TargetMode="External"/><Relationship Id="rId163" Type="http://schemas.openxmlformats.org/officeDocument/2006/relationships/hyperlink" Target="https://docs.google.com/spreadsheets/d/1xTrvncOFBIW6Qt_3ub6Z7S_q2slV7K80JBTxdZ8r2hk/edit" TargetMode="External"/><Relationship Id="rId162" Type="http://schemas.openxmlformats.org/officeDocument/2006/relationships/hyperlink" Target="https://docs.google.com/spreadsheets/d/1xTrvncOFBIW6Qt_3ub6Z7S_q2slV7K80JBTxdZ8r2hk/edit" TargetMode="External"/><Relationship Id="rId169" Type="http://schemas.openxmlformats.org/officeDocument/2006/relationships/hyperlink" Target="https://docs.google.com/spreadsheets/d/150PkL-7wO6OVHx7v_sMWiHHIpR4jwLUwmOvwIQfXpB8/edit" TargetMode="External"/><Relationship Id="rId168" Type="http://schemas.openxmlformats.org/officeDocument/2006/relationships/hyperlink" Target="https://docs.google.com/spreadsheets/d/150PkL-7wO6OVHx7v_sMWiHHIpR4jwLUwmOvwIQfXpB8/edit" TargetMode="External"/><Relationship Id="rId167" Type="http://schemas.openxmlformats.org/officeDocument/2006/relationships/hyperlink" Target="https://docs.google.com/spreadsheets/d/150PkL-7wO6OVHx7v_sMWiHHIpR4jwLUwmOvwIQfXpB8/edit" TargetMode="External"/><Relationship Id="rId166" Type="http://schemas.openxmlformats.org/officeDocument/2006/relationships/hyperlink" Target="https://docs.google.com/spreadsheets/d/150PkL-7wO6OVHx7v_sMWiHHIpR4jwLUwmOvwIQfXpB8/edit" TargetMode="External"/><Relationship Id="rId161" Type="http://schemas.openxmlformats.org/officeDocument/2006/relationships/hyperlink" Target="https://docs.google.com/spreadsheets/d/1xTrvncOFBIW6Qt_3ub6Z7S_q2slV7K80JBTxdZ8r2hk/edit" TargetMode="External"/><Relationship Id="rId160" Type="http://schemas.openxmlformats.org/officeDocument/2006/relationships/hyperlink" Target="https://docs.google.com/spreadsheets/d/1xTrvncOFBIW6Qt_3ub6Z7S_q2slV7K80JBTxdZ8r2hk/edit" TargetMode="External"/><Relationship Id="rId159" Type="http://schemas.openxmlformats.org/officeDocument/2006/relationships/hyperlink" Target="https://docs.google.com/spreadsheets/d/1xTrvncOFBIW6Qt_3ub6Z7S_q2slV7K80JBTxdZ8r2hk/edit" TargetMode="External"/><Relationship Id="rId154" Type="http://schemas.openxmlformats.org/officeDocument/2006/relationships/hyperlink" Target="https://docs.google.com/spreadsheets/d/1oqi-m68t8FNooBNGYeetPO-IjhBoFrY7gIjXaBKztM0/edit" TargetMode="External"/><Relationship Id="rId153" Type="http://schemas.openxmlformats.org/officeDocument/2006/relationships/hyperlink" Target="https://docs.google.com/spreadsheets/d/1oqi-m68t8FNooBNGYeetPO-IjhBoFrY7gIjXaBKztM0/edit" TargetMode="External"/><Relationship Id="rId152" Type="http://schemas.openxmlformats.org/officeDocument/2006/relationships/hyperlink" Target="https://docs.google.com/spreadsheets/d/1oqi-m68t8FNooBNGYeetPO-IjhBoFrY7gIjXaBKztM0/edit" TargetMode="External"/><Relationship Id="rId151" Type="http://schemas.openxmlformats.org/officeDocument/2006/relationships/hyperlink" Target="https://docs.google.com/spreadsheets/d/1oqi-m68t8FNooBNGYeetPO-IjhBoFrY7gIjXaBKztM0/edit" TargetMode="External"/><Relationship Id="rId158" Type="http://schemas.openxmlformats.org/officeDocument/2006/relationships/hyperlink" Target="https://docs.google.com/spreadsheets/d/1xTrvncOFBIW6Qt_3ub6Z7S_q2slV7K80JBTxdZ8r2hk/edit" TargetMode="External"/><Relationship Id="rId157" Type="http://schemas.openxmlformats.org/officeDocument/2006/relationships/hyperlink" Target="https://docs.google.com/spreadsheets/d/1xTrvncOFBIW6Qt_3ub6Z7S_q2slV7K80JBTxdZ8r2hk/edit" TargetMode="External"/><Relationship Id="rId156" Type="http://schemas.openxmlformats.org/officeDocument/2006/relationships/hyperlink" Target="https://docs.google.com/spreadsheets/d/1xTrvncOFBIW6Qt_3ub6Z7S_q2slV7K80JBTxdZ8r2hk/edit" TargetMode="External"/><Relationship Id="rId155" Type="http://schemas.openxmlformats.org/officeDocument/2006/relationships/hyperlink" Target="https://docs.google.com/spreadsheets/d/1oqi-m68t8FNooBNGYeetPO-IjhBoFrY7gIjXaBKztM0/edit" TargetMode="External"/><Relationship Id="rId40" Type="http://schemas.openxmlformats.org/officeDocument/2006/relationships/hyperlink" Target="https://docs.google.com/spreadsheets/d/1xCCpC0trfjQXmSDsGgDYlvbl4bZRwm7SzyNabe8Kg9g/edit" TargetMode="External"/><Relationship Id="rId42" Type="http://schemas.openxmlformats.org/officeDocument/2006/relationships/hyperlink" Target="https://docs.google.com/spreadsheets/d/1xCCpC0trfjQXmSDsGgDYlvbl4bZRwm7SzyNabe8Kg9g/edit" TargetMode="External"/><Relationship Id="rId41" Type="http://schemas.openxmlformats.org/officeDocument/2006/relationships/hyperlink" Target="https://docs.google.com/spreadsheets/d/1xCCpC0trfjQXmSDsGgDYlvbl4bZRwm7SzyNabe8Kg9g/edit" TargetMode="External"/><Relationship Id="rId44" Type="http://schemas.openxmlformats.org/officeDocument/2006/relationships/hyperlink" Target="https://docs.google.com/spreadsheets/d/1XPXKJUIONK-hsSbp-cQpgW8b_ru2qnSeO5nwYOFBWY0/edit" TargetMode="External"/><Relationship Id="rId43" Type="http://schemas.openxmlformats.org/officeDocument/2006/relationships/hyperlink" Target="https://docs.google.com/spreadsheets/d/1XPXKJUIONK-hsSbp-cQpgW8b_ru2qnSeO5nwYOFBWY0/edit" TargetMode="External"/><Relationship Id="rId46" Type="http://schemas.openxmlformats.org/officeDocument/2006/relationships/hyperlink" Target="https://docs.google.com/spreadsheets/d/1XPXKJUIONK-hsSbp-cQpgW8b_ru2qnSeO5nwYOFBWY0/edit" TargetMode="External"/><Relationship Id="rId45" Type="http://schemas.openxmlformats.org/officeDocument/2006/relationships/hyperlink" Target="https://docs.google.com/spreadsheets/d/1XPXKJUIONK-hsSbp-cQpgW8b_ru2qnSeO5nwYOFBWY0/edit" TargetMode="External"/><Relationship Id="rId48" Type="http://schemas.openxmlformats.org/officeDocument/2006/relationships/hyperlink" Target="https://docs.google.com/spreadsheets/d/1XPXKJUIONK-hsSbp-cQpgW8b_ru2qnSeO5nwYOFBWY0/edit" TargetMode="External"/><Relationship Id="rId47" Type="http://schemas.openxmlformats.org/officeDocument/2006/relationships/hyperlink" Target="https://docs.google.com/spreadsheets/d/1XPXKJUIONK-hsSbp-cQpgW8b_ru2qnSeO5nwYOFBWY0/edit" TargetMode="External"/><Relationship Id="rId49" Type="http://schemas.openxmlformats.org/officeDocument/2006/relationships/hyperlink" Target="https://docs.google.com/spreadsheets/d/1VU3Y5wYZFlf4d58Mak0AzZoMidYH6mqxXJKMl5V0lPU/edit" TargetMode="External"/><Relationship Id="rId31" Type="http://schemas.openxmlformats.org/officeDocument/2006/relationships/hyperlink" Target="https://docs.google.com/spreadsheets/d/17Zwr4UGBrh18rSQpbcETau1z3LwahOCwyI7cjqTY0pA/edit" TargetMode="External"/><Relationship Id="rId30" Type="http://schemas.openxmlformats.org/officeDocument/2006/relationships/hyperlink" Target="https://docs.google.com/spreadsheets/d/1kHRM_ssaCLJjkDvZCDdMknvQ8ERl0JhNYFOq4wh9jDU/edit" TargetMode="External"/><Relationship Id="rId33" Type="http://schemas.openxmlformats.org/officeDocument/2006/relationships/hyperlink" Target="https://docs.google.com/spreadsheets/d/17Zwr4UGBrh18rSQpbcETau1z3LwahOCwyI7cjqTY0pA/edit" TargetMode="External"/><Relationship Id="rId32" Type="http://schemas.openxmlformats.org/officeDocument/2006/relationships/hyperlink" Target="https://docs.google.com/spreadsheets/d/17Zwr4UGBrh18rSQpbcETau1z3LwahOCwyI7cjqTY0pA/edit" TargetMode="External"/><Relationship Id="rId35" Type="http://schemas.openxmlformats.org/officeDocument/2006/relationships/hyperlink" Target="https://docs.google.com/spreadsheets/d/17Zwr4UGBrh18rSQpbcETau1z3LwahOCwyI7cjqTY0pA/edit" TargetMode="External"/><Relationship Id="rId34" Type="http://schemas.openxmlformats.org/officeDocument/2006/relationships/hyperlink" Target="https://docs.google.com/spreadsheets/d/17Zwr4UGBrh18rSQpbcETau1z3LwahOCwyI7cjqTY0pA/edit" TargetMode="External"/><Relationship Id="rId37" Type="http://schemas.openxmlformats.org/officeDocument/2006/relationships/hyperlink" Target="https://docs.google.com/spreadsheets/d/1xCCpC0trfjQXmSDsGgDYlvbl4bZRwm7SzyNabe8Kg9g/edit" TargetMode="External"/><Relationship Id="rId36" Type="http://schemas.openxmlformats.org/officeDocument/2006/relationships/hyperlink" Target="https://docs.google.com/spreadsheets/d/17Zwr4UGBrh18rSQpbcETau1z3LwahOCwyI7cjqTY0pA/edit" TargetMode="External"/><Relationship Id="rId39" Type="http://schemas.openxmlformats.org/officeDocument/2006/relationships/hyperlink" Target="https://docs.google.com/spreadsheets/d/1xCCpC0trfjQXmSDsGgDYlvbl4bZRwm7SzyNabe8Kg9g/edit" TargetMode="External"/><Relationship Id="rId38" Type="http://schemas.openxmlformats.org/officeDocument/2006/relationships/hyperlink" Target="https://docs.google.com/spreadsheets/d/1xCCpC0trfjQXmSDsGgDYlvbl4bZRwm7SzyNabe8Kg9g/edit" TargetMode="External"/><Relationship Id="rId20" Type="http://schemas.openxmlformats.org/officeDocument/2006/relationships/hyperlink" Target="https://docs.google.com/spreadsheets/d/1VP9B3qRujJBGZnvXlDzTivPHew3gDPjpV5rmDW0hTIs/edit" TargetMode="External"/><Relationship Id="rId22" Type="http://schemas.openxmlformats.org/officeDocument/2006/relationships/hyperlink" Target="https://docs.google.com/spreadsheets/d/1VP9B3qRujJBGZnvXlDzTivPHew3gDPjpV5rmDW0hTIs/edit" TargetMode="External"/><Relationship Id="rId21" Type="http://schemas.openxmlformats.org/officeDocument/2006/relationships/hyperlink" Target="https://docs.google.com/spreadsheets/d/1VP9B3qRujJBGZnvXlDzTivPHew3gDPjpV5rmDW0hTIs/edit" TargetMode="External"/><Relationship Id="rId24" Type="http://schemas.openxmlformats.org/officeDocument/2006/relationships/hyperlink" Target="https://docs.google.com/spreadsheets/d/1VP9B3qRujJBGZnvXlDzTivPHew3gDPjpV5rmDW0hTIs/edit" TargetMode="External"/><Relationship Id="rId23" Type="http://schemas.openxmlformats.org/officeDocument/2006/relationships/hyperlink" Target="https://docs.google.com/spreadsheets/d/1VP9B3qRujJBGZnvXlDzTivPHew3gDPjpV5rmDW0hTIs/edit" TargetMode="External"/><Relationship Id="rId26" Type="http://schemas.openxmlformats.org/officeDocument/2006/relationships/hyperlink" Target="https://docs.google.com/spreadsheets/d/1hZaeSkuAcodJH6v00PAgMt2jGptI0glVSu9_jKQuTgc/edit" TargetMode="External"/><Relationship Id="rId25" Type="http://schemas.openxmlformats.org/officeDocument/2006/relationships/hyperlink" Target="https://docs.google.com/spreadsheets/d/1hZaeSkuAcodJH6v00PAgMt2jGptI0glVSu9_jKQuTgc/edit" TargetMode="External"/><Relationship Id="rId28" Type="http://schemas.openxmlformats.org/officeDocument/2006/relationships/hyperlink" Target="https://docs.google.com/spreadsheets/d/1hZaeSkuAcodJH6v00PAgMt2jGptI0glVSu9_jKQuTgc/edit" TargetMode="External"/><Relationship Id="rId27" Type="http://schemas.openxmlformats.org/officeDocument/2006/relationships/hyperlink" Target="https://docs.google.com/spreadsheets/d/1hZaeSkuAcodJH6v00PAgMt2jGptI0glVSu9_jKQuTgc/edit" TargetMode="External"/><Relationship Id="rId29" Type="http://schemas.openxmlformats.org/officeDocument/2006/relationships/hyperlink" Target="https://docs.google.com/spreadsheets/d/1hZaeSkuAcodJH6v00PAgMt2jGptI0glVSu9_jKQuTgc/edit" TargetMode="External"/><Relationship Id="rId11" Type="http://schemas.openxmlformats.org/officeDocument/2006/relationships/hyperlink" Target="https://docs.google.com/spreadsheets/d/1QH_ufFnvx2PhMzJthyRiQsUYSp1nlyclRNmhJ2ks1hg/edit" TargetMode="External"/><Relationship Id="rId10" Type="http://schemas.openxmlformats.org/officeDocument/2006/relationships/hyperlink" Target="https://docs.google.com/spreadsheets/d/1QH_ufFnvx2PhMzJthyRiQsUYSp1nlyclRNmhJ2ks1hg/edit" TargetMode="External"/><Relationship Id="rId13" Type="http://schemas.openxmlformats.org/officeDocument/2006/relationships/hyperlink" Target="https://docs.google.com/spreadsheets/d/1cIkW0obVcZyogVsxxSfaaFiqNLKVcR4GNaLfSpLXUoc/edit" TargetMode="External"/><Relationship Id="rId12" Type="http://schemas.openxmlformats.org/officeDocument/2006/relationships/hyperlink" Target="https://docs.google.com/spreadsheets/d/1QH_ufFnvx2PhMzJthyRiQsUYSp1nlyclRNmhJ2ks1hg/edit" TargetMode="External"/><Relationship Id="rId15" Type="http://schemas.openxmlformats.org/officeDocument/2006/relationships/hyperlink" Target="https://docs.google.com/spreadsheets/d/1cIkW0obVcZyogVsxxSfaaFiqNLKVcR4GNaLfSpLXUoc/edit" TargetMode="External"/><Relationship Id="rId14" Type="http://schemas.openxmlformats.org/officeDocument/2006/relationships/hyperlink" Target="https://docs.google.com/spreadsheets/d/1cIkW0obVcZyogVsxxSfaaFiqNLKVcR4GNaLfSpLXUoc/edit" TargetMode="External"/><Relationship Id="rId17" Type="http://schemas.openxmlformats.org/officeDocument/2006/relationships/hyperlink" Target="https://docs.google.com/spreadsheets/d/1cIkW0obVcZyogVsxxSfaaFiqNLKVcR4GNaLfSpLXUoc/edit" TargetMode="External"/><Relationship Id="rId16" Type="http://schemas.openxmlformats.org/officeDocument/2006/relationships/hyperlink" Target="https://docs.google.com/spreadsheets/d/1cIkW0obVcZyogVsxxSfaaFiqNLKVcR4GNaLfSpLXUoc/edit" TargetMode="External"/><Relationship Id="rId19" Type="http://schemas.openxmlformats.org/officeDocument/2006/relationships/hyperlink" Target="https://docs.google.com/spreadsheets/d/1VP9B3qRujJBGZnvXlDzTivPHew3gDPjpV5rmDW0hTIs/edit" TargetMode="External"/><Relationship Id="rId18" Type="http://schemas.openxmlformats.org/officeDocument/2006/relationships/hyperlink" Target="https://docs.google.com/spreadsheets/d/1cIkW0obVcZyogVsxxSfaaFiqNLKVcR4GNaLfSpLXUoc/edit" TargetMode="External"/><Relationship Id="rId84" Type="http://schemas.openxmlformats.org/officeDocument/2006/relationships/hyperlink" Target="https://docs.google.com/spreadsheets/d/1cFlWgX3lJHJ9_QpYqU4GAO6cLrWObG2PC-LTl0rfR-Y/edit" TargetMode="External"/><Relationship Id="rId83" Type="http://schemas.openxmlformats.org/officeDocument/2006/relationships/hyperlink" Target="https://docs.google.com/spreadsheets/d/1cFlWgX3lJHJ9_QpYqU4GAO6cLrWObG2PC-LTl0rfR-Y/edit" TargetMode="External"/><Relationship Id="rId86" Type="http://schemas.openxmlformats.org/officeDocument/2006/relationships/hyperlink" Target="https://docs.google.com/spreadsheets/d/1HywREbap84Usmq0topw9cj4a92Rm_fOeQg-jbAYYb9A/edit" TargetMode="External"/><Relationship Id="rId85" Type="http://schemas.openxmlformats.org/officeDocument/2006/relationships/hyperlink" Target="https://docs.google.com/spreadsheets/d/1HywREbap84Usmq0topw9cj4a92Rm_fOeQg-jbAYYb9A/edit" TargetMode="External"/><Relationship Id="rId88" Type="http://schemas.openxmlformats.org/officeDocument/2006/relationships/hyperlink" Target="https://docs.google.com/spreadsheets/d/1HywREbap84Usmq0topw9cj4a92Rm_fOeQg-jbAYYb9A/edit" TargetMode="External"/><Relationship Id="rId87" Type="http://schemas.openxmlformats.org/officeDocument/2006/relationships/hyperlink" Target="https://docs.google.com/spreadsheets/d/1HywREbap84Usmq0topw9cj4a92Rm_fOeQg-jbAYYb9A/edit" TargetMode="External"/><Relationship Id="rId89" Type="http://schemas.openxmlformats.org/officeDocument/2006/relationships/hyperlink" Target="https://docs.google.com/spreadsheets/d/1HywREbap84Usmq0topw9cj4a92Rm_fOeQg-jbAYYb9A/edit" TargetMode="External"/><Relationship Id="rId80" Type="http://schemas.openxmlformats.org/officeDocument/2006/relationships/hyperlink" Target="https://docs.google.com/spreadsheets/d/1cFlWgX3lJHJ9_QpYqU4GAO6cLrWObG2PC-LTl0rfR-Y/edit" TargetMode="External"/><Relationship Id="rId82" Type="http://schemas.openxmlformats.org/officeDocument/2006/relationships/hyperlink" Target="https://docs.google.com/spreadsheets/d/1cFlWgX3lJHJ9_QpYqU4GAO6cLrWObG2PC-LTl0rfR-Y/edit" TargetMode="External"/><Relationship Id="rId81" Type="http://schemas.openxmlformats.org/officeDocument/2006/relationships/hyperlink" Target="https://docs.google.com/spreadsheets/d/1cFlWgX3lJHJ9_QpYqU4GAO6cLrWObG2PC-LTl0rfR-Y/edit" TargetMode="External"/><Relationship Id="rId73" Type="http://schemas.openxmlformats.org/officeDocument/2006/relationships/hyperlink" Target="https://docs.google.com/spreadsheets/d/1F2ymYcKVPb84waajwB6hDq3zH49gD92Xky-4T0Acid4/edit" TargetMode="External"/><Relationship Id="rId72" Type="http://schemas.openxmlformats.org/officeDocument/2006/relationships/hyperlink" Target="https://docs.google.com/spreadsheets/d/1F2ymYcKVPb84waajwB6hDq3zH49gD92Xky-4T0Acid4/edit" TargetMode="External"/><Relationship Id="rId75" Type="http://schemas.openxmlformats.org/officeDocument/2006/relationships/hyperlink" Target="https://docs.google.com/spreadsheets/d/1F2ymYcKVPb84waajwB6hDq3zH49gD92Xky-4T0Acid4/edit" TargetMode="External"/><Relationship Id="rId74" Type="http://schemas.openxmlformats.org/officeDocument/2006/relationships/hyperlink" Target="https://docs.google.com/spreadsheets/d/1F2ymYcKVPb84waajwB6hDq3zH49gD92Xky-4T0Acid4/edit" TargetMode="External"/><Relationship Id="rId77" Type="http://schemas.openxmlformats.org/officeDocument/2006/relationships/hyperlink" Target="https://docs.google.com/spreadsheets/d/1cFlWgX3lJHJ9_QpYqU4GAO6cLrWObG2PC-LTl0rfR-Y/edit" TargetMode="External"/><Relationship Id="rId76" Type="http://schemas.openxmlformats.org/officeDocument/2006/relationships/hyperlink" Target="https://docs.google.com/spreadsheets/d/1cFlWgX3lJHJ9_QpYqU4GAO6cLrWObG2PC-LTl0rfR-Y/edit" TargetMode="External"/><Relationship Id="rId79" Type="http://schemas.openxmlformats.org/officeDocument/2006/relationships/hyperlink" Target="https://docs.google.com/spreadsheets/d/1cFlWgX3lJHJ9_QpYqU4GAO6cLrWObG2PC-LTl0rfR-Y/edit" TargetMode="External"/><Relationship Id="rId78" Type="http://schemas.openxmlformats.org/officeDocument/2006/relationships/hyperlink" Target="https://docs.google.com/spreadsheets/d/1cFlWgX3lJHJ9_QpYqU4GAO6cLrWObG2PC-LTl0rfR-Y/edit" TargetMode="External"/><Relationship Id="rId71" Type="http://schemas.openxmlformats.org/officeDocument/2006/relationships/hyperlink" Target="https://docs.google.com/spreadsheets/d/1F2ymYcKVPb84waajwB6hDq3zH49gD92Xky-4T0Acid4/edit" TargetMode="External"/><Relationship Id="rId70" Type="http://schemas.openxmlformats.org/officeDocument/2006/relationships/hyperlink" Target="https://docs.google.com/spreadsheets/d/1F2ymYcKVPb84waajwB6hDq3zH49gD92Xky-4T0Acid4/edit" TargetMode="External"/><Relationship Id="rId62" Type="http://schemas.openxmlformats.org/officeDocument/2006/relationships/hyperlink" Target="https://docs.google.com/spreadsheets/d/1nXO9iKr2QA42zz4xhhtMBAc2VX7sTpu7PHmNhcqgHl4/edit" TargetMode="External"/><Relationship Id="rId61" Type="http://schemas.openxmlformats.org/officeDocument/2006/relationships/hyperlink" Target="https://docs.google.com/spreadsheets/d/1nXO9iKr2QA42zz4xhhtMBAc2VX7sTpu7PHmNhcqgHl4/edit" TargetMode="External"/><Relationship Id="rId64" Type="http://schemas.openxmlformats.org/officeDocument/2006/relationships/hyperlink" Target="https://docs.google.com/spreadsheets/d/1nXO9iKr2QA42zz4xhhtMBAc2VX7sTpu7PHmNhcqgHl4/edit" TargetMode="External"/><Relationship Id="rId63" Type="http://schemas.openxmlformats.org/officeDocument/2006/relationships/hyperlink" Target="https://docs.google.com/spreadsheets/d/1nXO9iKr2QA42zz4xhhtMBAc2VX7sTpu7PHmNhcqgHl4/edit" TargetMode="External"/><Relationship Id="rId66" Type="http://schemas.openxmlformats.org/officeDocument/2006/relationships/hyperlink" Target="https://docs.google.com/spreadsheets/d/1nXO9iKr2QA42zz4xhhtMBAc2VX7sTpu7PHmNhcqgHl4/edit" TargetMode="External"/><Relationship Id="rId65" Type="http://schemas.openxmlformats.org/officeDocument/2006/relationships/hyperlink" Target="https://docs.google.com/spreadsheets/d/1nXO9iKr2QA42zz4xhhtMBAc2VX7sTpu7PHmNhcqgHl4/edit" TargetMode="External"/><Relationship Id="rId68" Type="http://schemas.openxmlformats.org/officeDocument/2006/relationships/hyperlink" Target="https://docs.google.com/spreadsheets/d/1F2ymYcKVPb84waajwB6hDq3zH49gD92Xky-4T0Acid4/edit" TargetMode="External"/><Relationship Id="rId67" Type="http://schemas.openxmlformats.org/officeDocument/2006/relationships/hyperlink" Target="https://docs.google.com/spreadsheets/d/1F2ymYcKVPb84waajwB6hDq3zH49gD92Xky-4T0Acid4/edit" TargetMode="External"/><Relationship Id="rId60" Type="http://schemas.openxmlformats.org/officeDocument/2006/relationships/hyperlink" Target="https://docs.google.com/spreadsheets/d/1nXO9iKr2QA42zz4xhhtMBAc2VX7sTpu7PHmNhcqgHl4/edit" TargetMode="External"/><Relationship Id="rId69" Type="http://schemas.openxmlformats.org/officeDocument/2006/relationships/hyperlink" Target="https://docs.google.com/spreadsheets/d/1F2ymYcKVPb84waajwB6hDq3zH49gD92Xky-4T0Acid4/edit" TargetMode="External"/><Relationship Id="rId51" Type="http://schemas.openxmlformats.org/officeDocument/2006/relationships/hyperlink" Target="https://docs.google.com/spreadsheets/d/1VU3Y5wYZFlf4d58Mak0AzZoMidYH6mqxXJKMl5V0lPU/edit" TargetMode="External"/><Relationship Id="rId50" Type="http://schemas.openxmlformats.org/officeDocument/2006/relationships/hyperlink" Target="https://docs.google.com/spreadsheets/d/1VU3Y5wYZFlf4d58Mak0AzZoMidYH6mqxXJKMl5V0lPU/edit" TargetMode="External"/><Relationship Id="rId53" Type="http://schemas.openxmlformats.org/officeDocument/2006/relationships/hyperlink" Target="https://docs.google.com/spreadsheets/d/1VU3Y5wYZFlf4d58Mak0AzZoMidYH6mqxXJKMl5V0lPU/edit" TargetMode="External"/><Relationship Id="rId52" Type="http://schemas.openxmlformats.org/officeDocument/2006/relationships/hyperlink" Target="https://docs.google.com/spreadsheets/d/1VU3Y5wYZFlf4d58Mak0AzZoMidYH6mqxXJKMl5V0lPU/edit" TargetMode="External"/><Relationship Id="rId55" Type="http://schemas.openxmlformats.org/officeDocument/2006/relationships/hyperlink" Target="https://docs.google.com/spreadsheets/d/1VU3Y5wYZFlf4d58Mak0AzZoMidYH6mqxXJKMl5V0lPU/edit" TargetMode="External"/><Relationship Id="rId54" Type="http://schemas.openxmlformats.org/officeDocument/2006/relationships/hyperlink" Target="https://docs.google.com/spreadsheets/d/1VU3Y5wYZFlf4d58Mak0AzZoMidYH6mqxXJKMl5V0lPU/edit" TargetMode="External"/><Relationship Id="rId57" Type="http://schemas.openxmlformats.org/officeDocument/2006/relationships/hyperlink" Target="https://docs.google.com/spreadsheets/d/1VU3Y5wYZFlf4d58Mak0AzZoMidYH6mqxXJKMl5V0lPU/edit" TargetMode="External"/><Relationship Id="rId56" Type="http://schemas.openxmlformats.org/officeDocument/2006/relationships/hyperlink" Target="https://docs.google.com/spreadsheets/d/1VU3Y5wYZFlf4d58Mak0AzZoMidYH6mqxXJKMl5V0lPU/edit" TargetMode="External"/><Relationship Id="rId59" Type="http://schemas.openxmlformats.org/officeDocument/2006/relationships/hyperlink" Target="https://docs.google.com/spreadsheets/d/1nXO9iKr2QA42zz4xhhtMBAc2VX7sTpu7PHmNhcqgHl4/edit" TargetMode="External"/><Relationship Id="rId58" Type="http://schemas.openxmlformats.org/officeDocument/2006/relationships/hyperlink" Target="https://docs.google.com/spreadsheets/d/1nXO9iKr2QA42zz4xhhtMBAc2VX7sTpu7PHmNhcqgHl4/edit" TargetMode="External"/><Relationship Id="rId107" Type="http://schemas.openxmlformats.org/officeDocument/2006/relationships/hyperlink" Target="https://docs.google.com/spreadsheets/d/1BDnRPD3KgcZtTUJa9SSlbaemHVA54bY7yz0qCUDaD1s/edit" TargetMode="External"/><Relationship Id="rId106" Type="http://schemas.openxmlformats.org/officeDocument/2006/relationships/hyperlink" Target="https://docs.google.com/spreadsheets/d/1m_lez8wrKZt7BI08hoFONjUJXD5B7Jn7HxK8KpAJtrQ/edit" TargetMode="External"/><Relationship Id="rId105" Type="http://schemas.openxmlformats.org/officeDocument/2006/relationships/hyperlink" Target="https://docs.google.com/spreadsheets/d/1m_lez8wrKZt7BI08hoFONjUJXD5B7Jn7HxK8KpAJtrQ/edit" TargetMode="External"/><Relationship Id="rId104" Type="http://schemas.openxmlformats.org/officeDocument/2006/relationships/hyperlink" Target="https://docs.google.com/spreadsheets/d/1m_lez8wrKZt7BI08hoFONjUJXD5B7Jn7HxK8KpAJtrQ/edit" TargetMode="External"/><Relationship Id="rId109" Type="http://schemas.openxmlformats.org/officeDocument/2006/relationships/hyperlink" Target="https://docs.google.com/spreadsheets/d/1BDnRPD3KgcZtTUJa9SSlbaemHVA54bY7yz0qCUDaD1s/edit" TargetMode="External"/><Relationship Id="rId108" Type="http://schemas.openxmlformats.org/officeDocument/2006/relationships/hyperlink" Target="https://docs.google.com/spreadsheets/d/1BDnRPD3KgcZtTUJa9SSlbaemHVA54bY7yz0qCUDaD1s/edit" TargetMode="External"/><Relationship Id="rId103" Type="http://schemas.openxmlformats.org/officeDocument/2006/relationships/hyperlink" Target="https://docs.google.com/spreadsheets/d/1m_lez8wrKZt7BI08hoFONjUJXD5B7Jn7HxK8KpAJtrQ/edit" TargetMode="External"/><Relationship Id="rId102" Type="http://schemas.openxmlformats.org/officeDocument/2006/relationships/hyperlink" Target="https://docs.google.com/spreadsheets/d/1m_lez8wrKZt7BI08hoFONjUJXD5B7Jn7HxK8KpAJtrQ/edit" TargetMode="External"/><Relationship Id="rId101" Type="http://schemas.openxmlformats.org/officeDocument/2006/relationships/hyperlink" Target="https://docs.google.com/spreadsheets/d/1m_lez8wrKZt7BI08hoFONjUJXD5B7Jn7HxK8KpAJtrQ/edit" TargetMode="External"/><Relationship Id="rId100" Type="http://schemas.openxmlformats.org/officeDocument/2006/relationships/hyperlink" Target="https://docs.google.com/spreadsheets/d/1m_lez8wrKZt7BI08hoFONjUJXD5B7Jn7HxK8KpAJtrQ/edit" TargetMode="External"/><Relationship Id="rId129" Type="http://schemas.openxmlformats.org/officeDocument/2006/relationships/hyperlink" Target="https://docs.google.com/spreadsheets/d/1yofCAPDsA0751aJHQ3TAfsBnZ2TLuF_fOA6bxNsRICM/edit" TargetMode="External"/><Relationship Id="rId128" Type="http://schemas.openxmlformats.org/officeDocument/2006/relationships/hyperlink" Target="https://docs.google.com/spreadsheets/d/1_QDmz_0fwrspqLxMArntoij5s_mbkli-r-6cRLv4bCU/edit" TargetMode="External"/><Relationship Id="rId127" Type="http://schemas.openxmlformats.org/officeDocument/2006/relationships/hyperlink" Target="https://docs.google.com/spreadsheets/d/1_QDmz_0fwrspqLxMArntoij5s_mbkli-r-6cRLv4bCU/edit" TargetMode="External"/><Relationship Id="rId126" Type="http://schemas.openxmlformats.org/officeDocument/2006/relationships/hyperlink" Target="https://docs.google.com/spreadsheets/d/1_QDmz_0fwrspqLxMArntoij5s_mbkli-r-6cRLv4bCU/edit" TargetMode="External"/><Relationship Id="rId121" Type="http://schemas.openxmlformats.org/officeDocument/2006/relationships/hyperlink" Target="https://docs.google.com/spreadsheets/d/1_QDmz_0fwrspqLxMArntoij5s_mbkli-r-6cRLv4bCU/edit" TargetMode="External"/><Relationship Id="rId120" Type="http://schemas.openxmlformats.org/officeDocument/2006/relationships/hyperlink" Target="https://docs.google.com/spreadsheets/d/1_QDmz_0fwrspqLxMArntoij5s_mbkli-r-6cRLv4bCU/edit" TargetMode="External"/><Relationship Id="rId125" Type="http://schemas.openxmlformats.org/officeDocument/2006/relationships/hyperlink" Target="https://docs.google.com/spreadsheets/d/1_QDmz_0fwrspqLxMArntoij5s_mbkli-r-6cRLv4bCU/edit" TargetMode="External"/><Relationship Id="rId124" Type="http://schemas.openxmlformats.org/officeDocument/2006/relationships/hyperlink" Target="https://docs.google.com/spreadsheets/d/1_QDmz_0fwrspqLxMArntoij5s_mbkli-r-6cRLv4bCU/edit" TargetMode="External"/><Relationship Id="rId123" Type="http://schemas.openxmlformats.org/officeDocument/2006/relationships/hyperlink" Target="https://docs.google.com/spreadsheets/d/1_QDmz_0fwrspqLxMArntoij5s_mbkli-r-6cRLv4bCU/edit" TargetMode="External"/><Relationship Id="rId122" Type="http://schemas.openxmlformats.org/officeDocument/2006/relationships/hyperlink" Target="https://docs.google.com/spreadsheets/d/1_QDmz_0fwrspqLxMArntoij5s_mbkli-r-6cRLv4bCU/edit" TargetMode="External"/><Relationship Id="rId95" Type="http://schemas.openxmlformats.org/officeDocument/2006/relationships/hyperlink" Target="https://docs.google.com/spreadsheets/d/1m_lez8wrKZt7BI08hoFONjUJXD5B7Jn7HxK8KpAJtrQ/edit" TargetMode="External"/><Relationship Id="rId94" Type="http://schemas.openxmlformats.org/officeDocument/2006/relationships/hyperlink" Target="https://docs.google.com/spreadsheets/d/1HywREbap84Usmq0topw9cj4a92Rm_fOeQg-jbAYYb9A/edit" TargetMode="External"/><Relationship Id="rId97" Type="http://schemas.openxmlformats.org/officeDocument/2006/relationships/hyperlink" Target="https://docs.google.com/spreadsheets/d/1m_lez8wrKZt7BI08hoFONjUJXD5B7Jn7HxK8KpAJtrQ/edit" TargetMode="External"/><Relationship Id="rId96" Type="http://schemas.openxmlformats.org/officeDocument/2006/relationships/hyperlink" Target="https://docs.google.com/spreadsheets/d/1m_lez8wrKZt7BI08hoFONjUJXD5B7Jn7HxK8KpAJtrQ/edit" TargetMode="External"/><Relationship Id="rId99" Type="http://schemas.openxmlformats.org/officeDocument/2006/relationships/hyperlink" Target="https://docs.google.com/spreadsheets/d/13oroYyzQSJ83OvFWosqDJz0xh_m32RYcJjy2PxMSt0U/edit" TargetMode="External"/><Relationship Id="rId98" Type="http://schemas.openxmlformats.org/officeDocument/2006/relationships/hyperlink" Target="https://docs.google.com/spreadsheets/d/1m_lez8wrKZt7BI08hoFONjUJXD5B7Jn7HxK8KpAJtrQ/edit" TargetMode="External"/><Relationship Id="rId91" Type="http://schemas.openxmlformats.org/officeDocument/2006/relationships/hyperlink" Target="https://docs.google.com/spreadsheets/d/1HywREbap84Usmq0topw9cj4a92Rm_fOeQg-jbAYYb9A/edit" TargetMode="External"/><Relationship Id="rId90" Type="http://schemas.openxmlformats.org/officeDocument/2006/relationships/hyperlink" Target="https://docs.google.com/spreadsheets/d/1HywREbap84Usmq0topw9cj4a92Rm_fOeQg-jbAYYb9A/edit" TargetMode="External"/><Relationship Id="rId93" Type="http://schemas.openxmlformats.org/officeDocument/2006/relationships/hyperlink" Target="https://docs.google.com/spreadsheets/d/1HywREbap84Usmq0topw9cj4a92Rm_fOeQg-jbAYYb9A/edit" TargetMode="External"/><Relationship Id="rId92" Type="http://schemas.openxmlformats.org/officeDocument/2006/relationships/hyperlink" Target="https://docs.google.com/spreadsheets/d/1HywREbap84Usmq0topw9cj4a92Rm_fOeQg-jbAYYb9A/edit" TargetMode="External"/><Relationship Id="rId118" Type="http://schemas.openxmlformats.org/officeDocument/2006/relationships/hyperlink" Target="https://docs.google.com/spreadsheets/d/1BDnRPD3KgcZtTUJa9SSlbaemHVA54bY7yz0qCUDaD1s/edit" TargetMode="External"/><Relationship Id="rId117" Type="http://schemas.openxmlformats.org/officeDocument/2006/relationships/hyperlink" Target="https://docs.google.com/spreadsheets/d/1BDnRPD3KgcZtTUJa9SSlbaemHVA54bY7yz0qCUDaD1s/edit" TargetMode="External"/><Relationship Id="rId116" Type="http://schemas.openxmlformats.org/officeDocument/2006/relationships/hyperlink" Target="https://docs.google.com/spreadsheets/d/1BDnRPD3KgcZtTUJa9SSlbaemHVA54bY7yz0qCUDaD1s/edit" TargetMode="External"/><Relationship Id="rId115" Type="http://schemas.openxmlformats.org/officeDocument/2006/relationships/hyperlink" Target="https://docs.google.com/spreadsheets/d/1BDnRPD3KgcZtTUJa9SSlbaemHVA54bY7yz0qCUDaD1s/edit" TargetMode="External"/><Relationship Id="rId119" Type="http://schemas.openxmlformats.org/officeDocument/2006/relationships/hyperlink" Target="https://docs.google.com/spreadsheets/d/1_QDmz_0fwrspqLxMArntoij5s_mbkli-r-6cRLv4bCU/edit" TargetMode="External"/><Relationship Id="rId110" Type="http://schemas.openxmlformats.org/officeDocument/2006/relationships/hyperlink" Target="https://docs.google.com/spreadsheets/d/1BDnRPD3KgcZtTUJa9SSlbaemHVA54bY7yz0qCUDaD1s/edit" TargetMode="External"/><Relationship Id="rId114" Type="http://schemas.openxmlformats.org/officeDocument/2006/relationships/hyperlink" Target="https://docs.google.com/spreadsheets/d/1BDnRPD3KgcZtTUJa9SSlbaemHVA54bY7yz0qCUDaD1s/edit" TargetMode="External"/><Relationship Id="rId113" Type="http://schemas.openxmlformats.org/officeDocument/2006/relationships/hyperlink" Target="https://docs.google.com/spreadsheets/d/1BDnRPD3KgcZtTUJa9SSlbaemHVA54bY7yz0qCUDaD1s/edit" TargetMode="External"/><Relationship Id="rId112" Type="http://schemas.openxmlformats.org/officeDocument/2006/relationships/hyperlink" Target="https://docs.google.com/spreadsheets/d/1BDnRPD3KgcZtTUJa9SSlbaemHVA54bY7yz0qCUDaD1s/edit" TargetMode="External"/><Relationship Id="rId111" Type="http://schemas.openxmlformats.org/officeDocument/2006/relationships/hyperlink" Target="https://docs.google.com/spreadsheets/d/1BDnRPD3KgcZtTUJa9SSlbaemHVA54bY7yz0qCUDaD1s/edit" TargetMode="External"/></Relationships>
</file>

<file path=xl/worksheets/_rels/sheet12.xml.rels><?xml version="1.0" encoding="UTF-8" standalone="yes"?><Relationships xmlns="http://schemas.openxmlformats.org/package/2006/relationships"><Relationship Id="rId190" Type="http://schemas.openxmlformats.org/officeDocument/2006/relationships/hyperlink" Target="https://docs.google.com/spreadsheets/d/1-kOKmPcJqZ1ukDQ8Ou6LFv-HaQuGP40mNtiypP3Wedo/edit" TargetMode="External"/><Relationship Id="rId194" Type="http://schemas.openxmlformats.org/officeDocument/2006/relationships/hyperlink" Target="https://docs.google.com/spreadsheets/d/1-kOKmPcJqZ1ukDQ8Ou6LFv-HaQuGP40mNtiypP3Wedo/edit" TargetMode="External"/><Relationship Id="rId193" Type="http://schemas.openxmlformats.org/officeDocument/2006/relationships/hyperlink" Target="https://docs.google.com/spreadsheets/d/1-kOKmPcJqZ1ukDQ8Ou6LFv-HaQuGP40mNtiypP3Wedo/edit" TargetMode="External"/><Relationship Id="rId192" Type="http://schemas.openxmlformats.org/officeDocument/2006/relationships/hyperlink" Target="https://docs.google.com/spreadsheets/d/1-kOKmPcJqZ1ukDQ8Ou6LFv-HaQuGP40mNtiypP3Wedo/edit" TargetMode="External"/><Relationship Id="rId191" Type="http://schemas.openxmlformats.org/officeDocument/2006/relationships/hyperlink" Target="https://docs.google.com/spreadsheets/d/1-kOKmPcJqZ1ukDQ8Ou6LFv-HaQuGP40mNtiypP3Wedo/edit" TargetMode="External"/><Relationship Id="rId187" Type="http://schemas.openxmlformats.org/officeDocument/2006/relationships/hyperlink" Target="https://docs.google.com/spreadsheets/d/1-kOKmPcJqZ1ukDQ8Ou6LFv-HaQuGP40mNtiypP3Wedo/edit" TargetMode="External"/><Relationship Id="rId186" Type="http://schemas.openxmlformats.org/officeDocument/2006/relationships/hyperlink" Target="https://docs.google.com/spreadsheets/d/1-kOKmPcJqZ1ukDQ8Ou6LFv-HaQuGP40mNtiypP3Wedo/edit" TargetMode="External"/><Relationship Id="rId185" Type="http://schemas.openxmlformats.org/officeDocument/2006/relationships/hyperlink" Target="https://docs.google.com/spreadsheets/d/1-kOKmPcJqZ1ukDQ8Ou6LFv-HaQuGP40mNtiypP3Wedo/edit" TargetMode="External"/><Relationship Id="rId184" Type="http://schemas.openxmlformats.org/officeDocument/2006/relationships/hyperlink" Target="https://docs.google.com/spreadsheets/d/1-kOKmPcJqZ1ukDQ8Ou6LFv-HaQuGP40mNtiypP3Wedo/edit" TargetMode="External"/><Relationship Id="rId189" Type="http://schemas.openxmlformats.org/officeDocument/2006/relationships/hyperlink" Target="https://docs.google.com/spreadsheets/d/1-kOKmPcJqZ1ukDQ8Ou6LFv-HaQuGP40mNtiypP3Wedo/edit" TargetMode="External"/><Relationship Id="rId188" Type="http://schemas.openxmlformats.org/officeDocument/2006/relationships/hyperlink" Target="https://docs.google.com/spreadsheets/d/1-kOKmPcJqZ1ukDQ8Ou6LFv-HaQuGP40mNtiypP3Wedo/edit" TargetMode="External"/><Relationship Id="rId183" Type="http://schemas.openxmlformats.org/officeDocument/2006/relationships/hyperlink" Target="https://docs.google.com/spreadsheets/d/1-kOKmPcJqZ1ukDQ8Ou6LFv-HaQuGP40mNtiypP3Wedo/edit" TargetMode="External"/><Relationship Id="rId182" Type="http://schemas.openxmlformats.org/officeDocument/2006/relationships/hyperlink" Target="https://docs.google.com/spreadsheets/d/1-kOKmPcJqZ1ukDQ8Ou6LFv-HaQuGP40mNtiypP3Wedo/edit" TargetMode="External"/><Relationship Id="rId181" Type="http://schemas.openxmlformats.org/officeDocument/2006/relationships/hyperlink" Target="https://docs.google.com/spreadsheets/d/1-kOKmPcJqZ1ukDQ8Ou6LFv-HaQuGP40mNtiypP3Wedo/edit" TargetMode="External"/><Relationship Id="rId180" Type="http://schemas.openxmlformats.org/officeDocument/2006/relationships/hyperlink" Target="https://docs.google.com/spreadsheets/d/1-kOKmPcJqZ1ukDQ8Ou6LFv-HaQuGP40mNtiypP3Wedo/edit" TargetMode="External"/><Relationship Id="rId176" Type="http://schemas.openxmlformats.org/officeDocument/2006/relationships/hyperlink" Target="https://docs.google.com/spreadsheets/d/1VeD7g2QnmosyPkouXVJiMiZa4F_RaTNgN7VFYVH6Bv4/edit" TargetMode="External"/><Relationship Id="rId297" Type="http://schemas.openxmlformats.org/officeDocument/2006/relationships/hyperlink" Target="https://docs.google.com/spreadsheets/d/1O85f61zk1kgngySG0ifzXbRSl9Xiy_xiHH1pwk4cyLI/edit" TargetMode="External"/><Relationship Id="rId175" Type="http://schemas.openxmlformats.org/officeDocument/2006/relationships/hyperlink" Target="https://docs.google.com/spreadsheets/d/1-kOKmPcJqZ1ukDQ8Ou6LFv-HaQuGP40mNtiypP3Wedo/edit" TargetMode="External"/><Relationship Id="rId296" Type="http://schemas.openxmlformats.org/officeDocument/2006/relationships/hyperlink" Target="https://docs.google.com/spreadsheets/d/1O85f61zk1kgngySG0ifzXbRSl9Xiy_xiHH1pwk4cyLI/edit" TargetMode="External"/><Relationship Id="rId174" Type="http://schemas.openxmlformats.org/officeDocument/2006/relationships/hyperlink" Target="https://docs.google.com/spreadsheets/d/1-kOKmPcJqZ1ukDQ8Ou6LFv-HaQuGP40mNtiypP3Wedo/edit" TargetMode="External"/><Relationship Id="rId295" Type="http://schemas.openxmlformats.org/officeDocument/2006/relationships/hyperlink" Target="https://docs.google.com/spreadsheets/d/17eptdTe0p0M_2Vg3w7iCI035nma9kXvgvHIQNv05B_I/edit" TargetMode="External"/><Relationship Id="rId173" Type="http://schemas.openxmlformats.org/officeDocument/2006/relationships/hyperlink" Target="https://docs.google.com/spreadsheets/d/1-kOKmPcJqZ1ukDQ8Ou6LFv-HaQuGP40mNtiypP3Wedo/edit" TargetMode="External"/><Relationship Id="rId294" Type="http://schemas.openxmlformats.org/officeDocument/2006/relationships/hyperlink" Target="https://docs.google.com/spreadsheets/d/1O85f61zk1kgngySG0ifzXbRSl9Xiy_xiHH1pwk4cyLI/edit" TargetMode="External"/><Relationship Id="rId179" Type="http://schemas.openxmlformats.org/officeDocument/2006/relationships/hyperlink" Target="https://docs.google.com/spreadsheets/d/1-kOKmPcJqZ1ukDQ8Ou6LFv-HaQuGP40mNtiypP3Wedo/edit" TargetMode="External"/><Relationship Id="rId178" Type="http://schemas.openxmlformats.org/officeDocument/2006/relationships/hyperlink" Target="https://docs.google.com/spreadsheets/d/1VeD7g2QnmosyPkouXVJiMiZa4F_RaTNgN7VFYVH6Bv4/edit" TargetMode="External"/><Relationship Id="rId299" Type="http://schemas.openxmlformats.org/officeDocument/2006/relationships/hyperlink" Target="https://docs.google.com/spreadsheets/d/1O85f61zk1kgngySG0ifzXbRSl9Xiy_xiHH1pwk4cyLI/edit" TargetMode="External"/><Relationship Id="rId177" Type="http://schemas.openxmlformats.org/officeDocument/2006/relationships/hyperlink" Target="https://docs.google.com/spreadsheets/d/1-kOKmPcJqZ1ukDQ8Ou6LFv-HaQuGP40mNtiypP3Wedo/edit" TargetMode="External"/><Relationship Id="rId298" Type="http://schemas.openxmlformats.org/officeDocument/2006/relationships/hyperlink" Target="https://docs.google.com/spreadsheets/d/1O85f61zk1kgngySG0ifzXbRSl9Xiy_xiHH1pwk4cyLI/edit" TargetMode="External"/><Relationship Id="rId198" Type="http://schemas.openxmlformats.org/officeDocument/2006/relationships/hyperlink" Target="https://docs.google.com/spreadsheets/d/1-kOKmPcJqZ1ukDQ8Ou6LFv-HaQuGP40mNtiypP3Wedo/edit" TargetMode="External"/><Relationship Id="rId197" Type="http://schemas.openxmlformats.org/officeDocument/2006/relationships/hyperlink" Target="https://docs.google.com/spreadsheets/d/1-kOKmPcJqZ1ukDQ8Ou6LFv-HaQuGP40mNtiypP3Wedo/edit" TargetMode="External"/><Relationship Id="rId196" Type="http://schemas.openxmlformats.org/officeDocument/2006/relationships/hyperlink" Target="https://docs.google.com/spreadsheets/d/1-kOKmPcJqZ1ukDQ8Ou6LFv-HaQuGP40mNtiypP3Wedo/edit" TargetMode="External"/><Relationship Id="rId195" Type="http://schemas.openxmlformats.org/officeDocument/2006/relationships/hyperlink" Target="https://docs.google.com/spreadsheets/d/1-kOKmPcJqZ1ukDQ8Ou6LFv-HaQuGP40mNtiypP3Wedo/edit" TargetMode="External"/><Relationship Id="rId199" Type="http://schemas.openxmlformats.org/officeDocument/2006/relationships/hyperlink" Target="https://docs.google.com/spreadsheets/d/1-kOKmPcJqZ1ukDQ8Ou6LFv-HaQuGP40mNtiypP3Wedo/edit" TargetMode="External"/><Relationship Id="rId150" Type="http://schemas.openxmlformats.org/officeDocument/2006/relationships/hyperlink" Target="https://docs.google.com/spreadsheets/d/1FlQJ_gYh7e9J6goggYz0M4tj_jk5wCvpAGcXxhiHCvk/edit" TargetMode="External"/><Relationship Id="rId271" Type="http://schemas.openxmlformats.org/officeDocument/2006/relationships/hyperlink" Target="https://docs.google.com/spreadsheets/d/10t91WY4I9PGcpNfp5foLxGWqQW452mbt9JokUKXvg-4/edit" TargetMode="External"/><Relationship Id="rId392" Type="http://schemas.openxmlformats.org/officeDocument/2006/relationships/hyperlink" Target="https://docs.google.com/spreadsheets/d/1m6e6o7qs3u2mS7B-vAxPEcFPizcpv3NKyhG0sJhh_fU/edit" TargetMode="External"/><Relationship Id="rId270" Type="http://schemas.openxmlformats.org/officeDocument/2006/relationships/hyperlink" Target="https://docs.google.com/spreadsheets/d/10t91WY4I9PGcpNfp5foLxGWqQW452mbt9JokUKXvg-4/edit" TargetMode="External"/><Relationship Id="rId391" Type="http://schemas.openxmlformats.org/officeDocument/2006/relationships/hyperlink" Target="https://docs.google.com/spreadsheets/d/1m6e6o7qs3u2mS7B-vAxPEcFPizcpv3NKyhG0sJhh_fU/edit" TargetMode="External"/><Relationship Id="rId390" Type="http://schemas.openxmlformats.org/officeDocument/2006/relationships/hyperlink" Target="https://docs.google.com/spreadsheets/d/1m6e6o7qs3u2mS7B-vAxPEcFPizcpv3NKyhG0sJhh_fU/edit" TargetMode="External"/><Relationship Id="rId1" Type="http://schemas.openxmlformats.org/officeDocument/2006/relationships/hyperlink" Target="https://docs.google.com/spreadsheets/d/1BfYc1i9qt0apEYNxTznmYn6dQlXRx3XlsKY0wAJBLOE/edit" TargetMode="External"/><Relationship Id="rId2" Type="http://schemas.openxmlformats.org/officeDocument/2006/relationships/hyperlink" Target="https://docs.google.com/spreadsheets/d/1BfYc1i9qt0apEYNxTznmYn6dQlXRx3XlsKY0wAJBLOE/edit" TargetMode="External"/><Relationship Id="rId3" Type="http://schemas.openxmlformats.org/officeDocument/2006/relationships/hyperlink" Target="https://docs.google.com/spreadsheets/d/1BfYc1i9qt0apEYNxTznmYn6dQlXRx3XlsKY0wAJBLOE/edit" TargetMode="External"/><Relationship Id="rId149" Type="http://schemas.openxmlformats.org/officeDocument/2006/relationships/hyperlink" Target="https://docs.google.com/spreadsheets/d/1hnLYeml0J4zS1z6PTzjihM8CkKDN3Zz3zvfa9c95Lx0/edit" TargetMode="External"/><Relationship Id="rId4" Type="http://schemas.openxmlformats.org/officeDocument/2006/relationships/hyperlink" Target="https://docs.google.com/spreadsheets/d/1BfYc1i9qt0apEYNxTznmYn6dQlXRx3XlsKY0wAJBLOE/edit" TargetMode="External"/><Relationship Id="rId148" Type="http://schemas.openxmlformats.org/officeDocument/2006/relationships/hyperlink" Target="https://docs.google.com/spreadsheets/d/1hnLYeml0J4zS1z6PTzjihM8CkKDN3Zz3zvfa9c95Lx0/edit" TargetMode="External"/><Relationship Id="rId269" Type="http://schemas.openxmlformats.org/officeDocument/2006/relationships/hyperlink" Target="https://docs.google.com/spreadsheets/d/10t91WY4I9PGcpNfp5foLxGWqQW452mbt9JokUKXvg-4/edit" TargetMode="External"/><Relationship Id="rId9" Type="http://schemas.openxmlformats.org/officeDocument/2006/relationships/hyperlink" Target="https://docs.google.com/spreadsheets/d/1KYgSjZPu10SFjisYdGwRKPdPjl_p1FJygfXQCpEXGmY/edit" TargetMode="External"/><Relationship Id="rId143" Type="http://schemas.openxmlformats.org/officeDocument/2006/relationships/hyperlink" Target="https://docs.google.com/spreadsheets/d/1hnLYeml0J4zS1z6PTzjihM8CkKDN3Zz3zvfa9c95Lx0/edit" TargetMode="External"/><Relationship Id="rId264" Type="http://schemas.openxmlformats.org/officeDocument/2006/relationships/hyperlink" Target="https://docs.google.com/spreadsheets/d/10t91WY4I9PGcpNfp5foLxGWqQW452mbt9JokUKXvg-4/edit" TargetMode="External"/><Relationship Id="rId385" Type="http://schemas.openxmlformats.org/officeDocument/2006/relationships/hyperlink" Target="https://docs.google.com/spreadsheets/d/1m6e6o7qs3u2mS7B-vAxPEcFPizcpv3NKyhG0sJhh_fU/edit" TargetMode="External"/><Relationship Id="rId142" Type="http://schemas.openxmlformats.org/officeDocument/2006/relationships/hyperlink" Target="https://docs.google.com/spreadsheets/d/1hnLYeml0J4zS1z6PTzjihM8CkKDN3Zz3zvfa9c95Lx0/edit" TargetMode="External"/><Relationship Id="rId263" Type="http://schemas.openxmlformats.org/officeDocument/2006/relationships/hyperlink" Target="https://docs.google.com/spreadsheets/d/10t91WY4I9PGcpNfp5foLxGWqQW452mbt9JokUKXvg-4/edit" TargetMode="External"/><Relationship Id="rId384" Type="http://schemas.openxmlformats.org/officeDocument/2006/relationships/hyperlink" Target="https://docs.google.com/spreadsheets/d/1m6e6o7qs3u2mS7B-vAxPEcFPizcpv3NKyhG0sJhh_fU/edit" TargetMode="External"/><Relationship Id="rId141" Type="http://schemas.openxmlformats.org/officeDocument/2006/relationships/hyperlink" Target="https://docs.google.com/spreadsheets/d/1hnLYeml0J4zS1z6PTzjihM8CkKDN3Zz3zvfa9c95Lx0/edit" TargetMode="External"/><Relationship Id="rId262" Type="http://schemas.openxmlformats.org/officeDocument/2006/relationships/hyperlink" Target="https://docs.google.com/spreadsheets/d/10t91WY4I9PGcpNfp5foLxGWqQW452mbt9JokUKXvg-4/edit" TargetMode="External"/><Relationship Id="rId383" Type="http://schemas.openxmlformats.org/officeDocument/2006/relationships/hyperlink" Target="https://docs.google.com/spreadsheets/d/1m6e6o7qs3u2mS7B-vAxPEcFPizcpv3NKyhG0sJhh_fU/edit" TargetMode="External"/><Relationship Id="rId140" Type="http://schemas.openxmlformats.org/officeDocument/2006/relationships/hyperlink" Target="https://docs.google.com/spreadsheets/d/1hnLYeml0J4zS1z6PTzjihM8CkKDN3Zz3zvfa9c95Lx0/edit" TargetMode="External"/><Relationship Id="rId261" Type="http://schemas.openxmlformats.org/officeDocument/2006/relationships/hyperlink" Target="https://docs.google.com/spreadsheets/d/10t91WY4I9PGcpNfp5foLxGWqQW452mbt9JokUKXvg-4/edit" TargetMode="External"/><Relationship Id="rId382" Type="http://schemas.openxmlformats.org/officeDocument/2006/relationships/hyperlink" Target="https://docs.google.com/spreadsheets/d/1m6e6o7qs3u2mS7B-vAxPEcFPizcpv3NKyhG0sJhh_fU/edit" TargetMode="External"/><Relationship Id="rId5" Type="http://schemas.openxmlformats.org/officeDocument/2006/relationships/hyperlink" Target="https://docs.google.com/spreadsheets/d/1KYgSjZPu10SFjisYdGwRKPdPjl_p1FJygfXQCpEXGmY/edit" TargetMode="External"/><Relationship Id="rId147" Type="http://schemas.openxmlformats.org/officeDocument/2006/relationships/hyperlink" Target="https://docs.google.com/spreadsheets/d/1hnLYeml0J4zS1z6PTzjihM8CkKDN3Zz3zvfa9c95Lx0/edit" TargetMode="External"/><Relationship Id="rId268" Type="http://schemas.openxmlformats.org/officeDocument/2006/relationships/hyperlink" Target="https://docs.google.com/spreadsheets/d/10t91WY4I9PGcpNfp5foLxGWqQW452mbt9JokUKXvg-4/edit" TargetMode="External"/><Relationship Id="rId389" Type="http://schemas.openxmlformats.org/officeDocument/2006/relationships/hyperlink" Target="https://docs.google.com/spreadsheets/d/1m6e6o7qs3u2mS7B-vAxPEcFPizcpv3NKyhG0sJhh_fU/edit" TargetMode="External"/><Relationship Id="rId6" Type="http://schemas.openxmlformats.org/officeDocument/2006/relationships/hyperlink" Target="https://docs.google.com/spreadsheets/d/1KYgSjZPu10SFjisYdGwRKPdPjl_p1FJygfXQCpEXGmY/edit" TargetMode="External"/><Relationship Id="rId146" Type="http://schemas.openxmlformats.org/officeDocument/2006/relationships/hyperlink" Target="https://docs.google.com/spreadsheets/d/1hnLYeml0J4zS1z6PTzjihM8CkKDN3Zz3zvfa9c95Lx0/edit" TargetMode="External"/><Relationship Id="rId267" Type="http://schemas.openxmlformats.org/officeDocument/2006/relationships/hyperlink" Target="https://docs.google.com/spreadsheets/d/10t91WY4I9PGcpNfp5foLxGWqQW452mbt9JokUKXvg-4/edit" TargetMode="External"/><Relationship Id="rId388" Type="http://schemas.openxmlformats.org/officeDocument/2006/relationships/hyperlink" Target="https://docs.google.com/spreadsheets/d/1m6e6o7qs3u2mS7B-vAxPEcFPizcpv3NKyhG0sJhh_fU/edit" TargetMode="External"/><Relationship Id="rId7" Type="http://schemas.openxmlformats.org/officeDocument/2006/relationships/hyperlink" Target="https://docs.google.com/spreadsheets/d/1KYgSjZPu10SFjisYdGwRKPdPjl_p1FJygfXQCpEXGmY/edit" TargetMode="External"/><Relationship Id="rId145" Type="http://schemas.openxmlformats.org/officeDocument/2006/relationships/hyperlink" Target="https://docs.google.com/spreadsheets/d/1hnLYeml0J4zS1z6PTzjihM8CkKDN3Zz3zvfa9c95Lx0/edit" TargetMode="External"/><Relationship Id="rId266" Type="http://schemas.openxmlformats.org/officeDocument/2006/relationships/hyperlink" Target="https://docs.google.com/spreadsheets/d/10t91WY4I9PGcpNfp5foLxGWqQW452mbt9JokUKXvg-4/edit" TargetMode="External"/><Relationship Id="rId387" Type="http://schemas.openxmlformats.org/officeDocument/2006/relationships/hyperlink" Target="https://docs.google.com/spreadsheets/d/1m6e6o7qs3u2mS7B-vAxPEcFPizcpv3NKyhG0sJhh_fU/edit" TargetMode="External"/><Relationship Id="rId8" Type="http://schemas.openxmlformats.org/officeDocument/2006/relationships/hyperlink" Target="https://docs.google.com/spreadsheets/d/1KYgSjZPu10SFjisYdGwRKPdPjl_p1FJygfXQCpEXGmY/edit" TargetMode="External"/><Relationship Id="rId144" Type="http://schemas.openxmlformats.org/officeDocument/2006/relationships/hyperlink" Target="https://docs.google.com/spreadsheets/d/1hnLYeml0J4zS1z6PTzjihM8CkKDN3Zz3zvfa9c95Lx0/edit" TargetMode="External"/><Relationship Id="rId265" Type="http://schemas.openxmlformats.org/officeDocument/2006/relationships/hyperlink" Target="https://docs.google.com/spreadsheets/d/10t91WY4I9PGcpNfp5foLxGWqQW452mbt9JokUKXvg-4/edit" TargetMode="External"/><Relationship Id="rId386" Type="http://schemas.openxmlformats.org/officeDocument/2006/relationships/hyperlink" Target="https://docs.google.com/spreadsheets/d/1m6e6o7qs3u2mS7B-vAxPEcFPizcpv3NKyhG0sJhh_fU/edit" TargetMode="External"/><Relationship Id="rId260" Type="http://schemas.openxmlformats.org/officeDocument/2006/relationships/hyperlink" Target="https://docs.google.com/spreadsheets/d/10t91WY4I9PGcpNfp5foLxGWqQW452mbt9JokUKXvg-4/edit" TargetMode="External"/><Relationship Id="rId381" Type="http://schemas.openxmlformats.org/officeDocument/2006/relationships/hyperlink" Target="https://docs.google.com/spreadsheets/d/1m6e6o7qs3u2mS7B-vAxPEcFPizcpv3NKyhG0sJhh_fU/edit" TargetMode="External"/><Relationship Id="rId380" Type="http://schemas.openxmlformats.org/officeDocument/2006/relationships/hyperlink" Target="https://docs.google.com/spreadsheets/d/1m6e6o7qs3u2mS7B-vAxPEcFPizcpv3NKyhG0sJhh_fU/edit" TargetMode="External"/><Relationship Id="rId139" Type="http://schemas.openxmlformats.org/officeDocument/2006/relationships/hyperlink" Target="https://docs.google.com/spreadsheets/d/1hnLYeml0J4zS1z6PTzjihM8CkKDN3Zz3zvfa9c95Lx0/edit" TargetMode="External"/><Relationship Id="rId138" Type="http://schemas.openxmlformats.org/officeDocument/2006/relationships/hyperlink" Target="https://docs.google.com/spreadsheets/d/1hnLYeml0J4zS1z6PTzjihM8CkKDN3Zz3zvfa9c95Lx0/edit" TargetMode="External"/><Relationship Id="rId259" Type="http://schemas.openxmlformats.org/officeDocument/2006/relationships/hyperlink" Target="https://docs.google.com/spreadsheets/d/10t91WY4I9PGcpNfp5foLxGWqQW452mbt9JokUKXvg-4/edit" TargetMode="External"/><Relationship Id="rId137" Type="http://schemas.openxmlformats.org/officeDocument/2006/relationships/hyperlink" Target="https://docs.google.com/spreadsheets/d/1hnLYeml0J4zS1z6PTzjihM8CkKDN3Zz3zvfa9c95Lx0/edit" TargetMode="External"/><Relationship Id="rId258" Type="http://schemas.openxmlformats.org/officeDocument/2006/relationships/hyperlink" Target="https://docs.google.com/spreadsheets/d/10t91WY4I9PGcpNfp5foLxGWqQW452mbt9JokUKXvg-4/edit" TargetMode="External"/><Relationship Id="rId379" Type="http://schemas.openxmlformats.org/officeDocument/2006/relationships/hyperlink" Target="https://docs.google.com/spreadsheets/d/1m6e6o7qs3u2mS7B-vAxPEcFPizcpv3NKyhG0sJhh_fU/edit" TargetMode="External"/><Relationship Id="rId132" Type="http://schemas.openxmlformats.org/officeDocument/2006/relationships/hyperlink" Target="https://docs.google.com/spreadsheets/d/1hnLYeml0J4zS1z6PTzjihM8CkKDN3Zz3zvfa9c95Lx0/edit" TargetMode="External"/><Relationship Id="rId253" Type="http://schemas.openxmlformats.org/officeDocument/2006/relationships/hyperlink" Target="https://docs.google.com/spreadsheets/d/10t91WY4I9PGcpNfp5foLxGWqQW452mbt9JokUKXvg-4/edit" TargetMode="External"/><Relationship Id="rId374" Type="http://schemas.openxmlformats.org/officeDocument/2006/relationships/hyperlink" Target="https://docs.google.com/spreadsheets/d/1hg2hGsNCnq8HaYYtNnu0MIfkEeJLlc3FZhc3Oj-ZMMI/edit" TargetMode="External"/><Relationship Id="rId495" Type="http://schemas.openxmlformats.org/officeDocument/2006/relationships/hyperlink" Target="https://docs.google.com/spreadsheets/d/1RBYzgra-RweOGB794OGwGBa-XzjDPvDGNgY2r2GUE9c/edit" TargetMode="External"/><Relationship Id="rId131" Type="http://schemas.openxmlformats.org/officeDocument/2006/relationships/hyperlink" Target="https://docs.google.com/spreadsheets/d/1hnLYeml0J4zS1z6PTzjihM8CkKDN3Zz3zvfa9c95Lx0/edit" TargetMode="External"/><Relationship Id="rId252" Type="http://schemas.openxmlformats.org/officeDocument/2006/relationships/hyperlink" Target="https://docs.google.com/spreadsheets/d/10t91WY4I9PGcpNfp5foLxGWqQW452mbt9JokUKXvg-4/edit" TargetMode="External"/><Relationship Id="rId373" Type="http://schemas.openxmlformats.org/officeDocument/2006/relationships/hyperlink" Target="https://docs.google.com/spreadsheets/d/1hg2hGsNCnq8HaYYtNnu0MIfkEeJLlc3FZhc3Oj-ZMMI/edit" TargetMode="External"/><Relationship Id="rId494" Type="http://schemas.openxmlformats.org/officeDocument/2006/relationships/hyperlink" Target="https://docs.google.com/spreadsheets/d/1RBYzgra-RweOGB794OGwGBa-XzjDPvDGNgY2r2GUE9c/edit" TargetMode="External"/><Relationship Id="rId130" Type="http://schemas.openxmlformats.org/officeDocument/2006/relationships/hyperlink" Target="https://docs.google.com/spreadsheets/d/1hnLYeml0J4zS1z6PTzjihM8CkKDN3Zz3zvfa9c95Lx0/edit" TargetMode="External"/><Relationship Id="rId251" Type="http://schemas.openxmlformats.org/officeDocument/2006/relationships/hyperlink" Target="https://docs.google.com/spreadsheets/d/10t91WY4I9PGcpNfp5foLxGWqQW452mbt9JokUKXvg-4/edit" TargetMode="External"/><Relationship Id="rId372" Type="http://schemas.openxmlformats.org/officeDocument/2006/relationships/hyperlink" Target="https://docs.google.com/spreadsheets/d/1hg2hGsNCnq8HaYYtNnu0MIfkEeJLlc3FZhc3Oj-ZMMI/edit" TargetMode="External"/><Relationship Id="rId493" Type="http://schemas.openxmlformats.org/officeDocument/2006/relationships/hyperlink" Target="https://docs.google.com/spreadsheets/d/1RBYzgra-RweOGB794OGwGBa-XzjDPvDGNgY2r2GUE9c/edit" TargetMode="External"/><Relationship Id="rId250" Type="http://schemas.openxmlformats.org/officeDocument/2006/relationships/hyperlink" Target="https://docs.google.com/spreadsheets/d/10t91WY4I9PGcpNfp5foLxGWqQW452mbt9JokUKXvg-4/edit" TargetMode="External"/><Relationship Id="rId371" Type="http://schemas.openxmlformats.org/officeDocument/2006/relationships/hyperlink" Target="https://docs.google.com/spreadsheets/d/1hg2hGsNCnq8HaYYtNnu0MIfkEeJLlc3FZhc3Oj-ZMMI/edit" TargetMode="External"/><Relationship Id="rId492" Type="http://schemas.openxmlformats.org/officeDocument/2006/relationships/hyperlink" Target="https://docs.google.com/spreadsheets/d/1RBYzgra-RweOGB794OGwGBa-XzjDPvDGNgY2r2GUE9c/edit" TargetMode="External"/><Relationship Id="rId136" Type="http://schemas.openxmlformats.org/officeDocument/2006/relationships/hyperlink" Target="https://docs.google.com/spreadsheets/d/1hnLYeml0J4zS1z6PTzjihM8CkKDN3Zz3zvfa9c95Lx0/edit" TargetMode="External"/><Relationship Id="rId257" Type="http://schemas.openxmlformats.org/officeDocument/2006/relationships/hyperlink" Target="https://docs.google.com/spreadsheets/d/10t91WY4I9PGcpNfp5foLxGWqQW452mbt9JokUKXvg-4/edit" TargetMode="External"/><Relationship Id="rId378" Type="http://schemas.openxmlformats.org/officeDocument/2006/relationships/hyperlink" Target="https://docs.google.com/spreadsheets/d/1m6e6o7qs3u2mS7B-vAxPEcFPizcpv3NKyhG0sJhh_fU/edit" TargetMode="External"/><Relationship Id="rId499" Type="http://schemas.openxmlformats.org/officeDocument/2006/relationships/hyperlink" Target="https://docs.google.com/spreadsheets/d/1RBYzgra-RweOGB794OGwGBa-XzjDPvDGNgY2r2GUE9c/edit" TargetMode="External"/><Relationship Id="rId135" Type="http://schemas.openxmlformats.org/officeDocument/2006/relationships/hyperlink" Target="https://docs.google.com/spreadsheets/d/1hnLYeml0J4zS1z6PTzjihM8CkKDN3Zz3zvfa9c95Lx0/edit" TargetMode="External"/><Relationship Id="rId256" Type="http://schemas.openxmlformats.org/officeDocument/2006/relationships/hyperlink" Target="https://docs.google.com/spreadsheets/d/10t91WY4I9PGcpNfp5foLxGWqQW452mbt9JokUKXvg-4/edit" TargetMode="External"/><Relationship Id="rId377" Type="http://schemas.openxmlformats.org/officeDocument/2006/relationships/hyperlink" Target="https://docs.google.com/spreadsheets/d/1m6e6o7qs3u2mS7B-vAxPEcFPizcpv3NKyhG0sJhh_fU/edit" TargetMode="External"/><Relationship Id="rId498" Type="http://schemas.openxmlformats.org/officeDocument/2006/relationships/hyperlink" Target="https://docs.google.com/spreadsheets/d/1RBYzgra-RweOGB794OGwGBa-XzjDPvDGNgY2r2GUE9c/edit" TargetMode="External"/><Relationship Id="rId134" Type="http://schemas.openxmlformats.org/officeDocument/2006/relationships/hyperlink" Target="https://docs.google.com/spreadsheets/d/1hnLYeml0J4zS1z6PTzjihM8CkKDN3Zz3zvfa9c95Lx0/edit" TargetMode="External"/><Relationship Id="rId255" Type="http://schemas.openxmlformats.org/officeDocument/2006/relationships/hyperlink" Target="https://docs.google.com/spreadsheets/d/10t91WY4I9PGcpNfp5foLxGWqQW452mbt9JokUKXvg-4/edit" TargetMode="External"/><Relationship Id="rId376" Type="http://schemas.openxmlformats.org/officeDocument/2006/relationships/hyperlink" Target="https://docs.google.com/spreadsheets/d/1m6e6o7qs3u2mS7B-vAxPEcFPizcpv3NKyhG0sJhh_fU/edit" TargetMode="External"/><Relationship Id="rId497" Type="http://schemas.openxmlformats.org/officeDocument/2006/relationships/hyperlink" Target="https://docs.google.com/spreadsheets/d/1RBYzgra-RweOGB794OGwGBa-XzjDPvDGNgY2r2GUE9c/edit" TargetMode="External"/><Relationship Id="rId133" Type="http://schemas.openxmlformats.org/officeDocument/2006/relationships/hyperlink" Target="https://docs.google.com/spreadsheets/d/1hnLYeml0J4zS1z6PTzjihM8CkKDN3Zz3zvfa9c95Lx0/edit" TargetMode="External"/><Relationship Id="rId254" Type="http://schemas.openxmlformats.org/officeDocument/2006/relationships/hyperlink" Target="https://docs.google.com/spreadsheets/d/10t91WY4I9PGcpNfp5foLxGWqQW452mbt9JokUKXvg-4/edit" TargetMode="External"/><Relationship Id="rId375" Type="http://schemas.openxmlformats.org/officeDocument/2006/relationships/hyperlink" Target="https://docs.google.com/spreadsheets/d/1hg2hGsNCnq8HaYYtNnu0MIfkEeJLlc3FZhc3Oj-ZMMI/edit" TargetMode="External"/><Relationship Id="rId496" Type="http://schemas.openxmlformats.org/officeDocument/2006/relationships/hyperlink" Target="https://docs.google.com/spreadsheets/d/1RBYzgra-RweOGB794OGwGBa-XzjDPvDGNgY2r2GUE9c/edit" TargetMode="External"/><Relationship Id="rId172" Type="http://schemas.openxmlformats.org/officeDocument/2006/relationships/hyperlink" Target="https://docs.google.com/spreadsheets/d/1-kOKmPcJqZ1ukDQ8Ou6LFv-HaQuGP40mNtiypP3Wedo/edit" TargetMode="External"/><Relationship Id="rId293" Type="http://schemas.openxmlformats.org/officeDocument/2006/relationships/hyperlink" Target="https://docs.google.com/spreadsheets/d/1O85f61zk1kgngySG0ifzXbRSl9Xiy_xiHH1pwk4cyLI/edit" TargetMode="External"/><Relationship Id="rId171" Type="http://schemas.openxmlformats.org/officeDocument/2006/relationships/hyperlink" Target="https://docs.google.com/spreadsheets/d/1-kOKmPcJqZ1ukDQ8Ou6LFv-HaQuGP40mNtiypP3Wedo/edit" TargetMode="External"/><Relationship Id="rId292" Type="http://schemas.openxmlformats.org/officeDocument/2006/relationships/hyperlink" Target="https://docs.google.com/spreadsheets/d/1O85f61zk1kgngySG0ifzXbRSl9Xiy_xiHH1pwk4cyLI/edit" TargetMode="External"/><Relationship Id="rId170" Type="http://schemas.openxmlformats.org/officeDocument/2006/relationships/hyperlink" Target="https://docs.google.com/spreadsheets/d/1-kOKmPcJqZ1ukDQ8Ou6LFv-HaQuGP40mNtiypP3Wedo/edit" TargetMode="External"/><Relationship Id="rId291" Type="http://schemas.openxmlformats.org/officeDocument/2006/relationships/hyperlink" Target="https://docs.google.com/spreadsheets/d/1O85f61zk1kgngySG0ifzXbRSl9Xiy_xiHH1pwk4cyLI/edit" TargetMode="External"/><Relationship Id="rId290" Type="http://schemas.openxmlformats.org/officeDocument/2006/relationships/hyperlink" Target="https://docs.google.com/spreadsheets/d/1O85f61zk1kgngySG0ifzXbRSl9Xiy_xiHH1pwk4cyLI/edit" TargetMode="External"/><Relationship Id="rId165" Type="http://schemas.openxmlformats.org/officeDocument/2006/relationships/hyperlink" Target="https://docs.google.com/spreadsheets/d/1FlQJ_gYh7e9J6goggYz0M4tj_jk5wCvpAGcXxhiHCvk/edit" TargetMode="External"/><Relationship Id="rId286" Type="http://schemas.openxmlformats.org/officeDocument/2006/relationships/hyperlink" Target="https://docs.google.com/spreadsheets/d/1O85f61zk1kgngySG0ifzXbRSl9Xiy_xiHH1pwk4cyLI/edit" TargetMode="External"/><Relationship Id="rId164" Type="http://schemas.openxmlformats.org/officeDocument/2006/relationships/hyperlink" Target="https://docs.google.com/spreadsheets/d/1FlQJ_gYh7e9J6goggYz0M4tj_jk5wCvpAGcXxhiHCvk/edit" TargetMode="External"/><Relationship Id="rId285" Type="http://schemas.openxmlformats.org/officeDocument/2006/relationships/hyperlink" Target="https://docs.google.com/spreadsheets/d/1O85f61zk1kgngySG0ifzXbRSl9Xiy_xiHH1pwk4cyLI/edit" TargetMode="External"/><Relationship Id="rId163" Type="http://schemas.openxmlformats.org/officeDocument/2006/relationships/hyperlink" Target="https://docs.google.com/spreadsheets/d/1FlQJ_gYh7e9J6goggYz0M4tj_jk5wCvpAGcXxhiHCvk/edit" TargetMode="External"/><Relationship Id="rId284" Type="http://schemas.openxmlformats.org/officeDocument/2006/relationships/hyperlink" Target="https://docs.google.com/spreadsheets/d/1O85f61zk1kgngySG0ifzXbRSl9Xiy_xiHH1pwk4cyLI/edit" TargetMode="External"/><Relationship Id="rId162" Type="http://schemas.openxmlformats.org/officeDocument/2006/relationships/hyperlink" Target="https://docs.google.com/spreadsheets/d/1FlQJ_gYh7e9J6goggYz0M4tj_jk5wCvpAGcXxhiHCvk/edit" TargetMode="External"/><Relationship Id="rId283" Type="http://schemas.openxmlformats.org/officeDocument/2006/relationships/hyperlink" Target="https://docs.google.com/spreadsheets/d/1O85f61zk1kgngySG0ifzXbRSl9Xiy_xiHH1pwk4cyLI/edit" TargetMode="External"/><Relationship Id="rId169" Type="http://schemas.openxmlformats.org/officeDocument/2006/relationships/hyperlink" Target="https://docs.google.com/spreadsheets/d/1-kOKmPcJqZ1ukDQ8Ou6LFv-HaQuGP40mNtiypP3Wedo/edit" TargetMode="External"/><Relationship Id="rId168" Type="http://schemas.openxmlformats.org/officeDocument/2006/relationships/hyperlink" Target="https://docs.google.com/spreadsheets/d/1FlQJ_gYh7e9J6goggYz0M4tj_jk5wCvpAGcXxhiHCvk/edit" TargetMode="External"/><Relationship Id="rId289" Type="http://schemas.openxmlformats.org/officeDocument/2006/relationships/hyperlink" Target="https://docs.google.com/spreadsheets/d/1O85f61zk1kgngySG0ifzXbRSl9Xiy_xiHH1pwk4cyLI/edit" TargetMode="External"/><Relationship Id="rId167" Type="http://schemas.openxmlformats.org/officeDocument/2006/relationships/hyperlink" Target="https://docs.google.com/spreadsheets/d/1FlQJ_gYh7e9J6goggYz0M4tj_jk5wCvpAGcXxhiHCvk/edit" TargetMode="External"/><Relationship Id="rId288" Type="http://schemas.openxmlformats.org/officeDocument/2006/relationships/hyperlink" Target="https://docs.google.com/spreadsheets/d/1O85f61zk1kgngySG0ifzXbRSl9Xiy_xiHH1pwk4cyLI/edit" TargetMode="External"/><Relationship Id="rId166" Type="http://schemas.openxmlformats.org/officeDocument/2006/relationships/hyperlink" Target="https://docs.google.com/spreadsheets/d/1FlQJ_gYh7e9J6goggYz0M4tj_jk5wCvpAGcXxhiHCvk/edit" TargetMode="External"/><Relationship Id="rId287" Type="http://schemas.openxmlformats.org/officeDocument/2006/relationships/hyperlink" Target="https://docs.google.com/spreadsheets/d/1O85f61zk1kgngySG0ifzXbRSl9Xiy_xiHH1pwk4cyLI/edit" TargetMode="External"/><Relationship Id="rId161" Type="http://schemas.openxmlformats.org/officeDocument/2006/relationships/hyperlink" Target="https://docs.google.com/spreadsheets/d/1FlQJ_gYh7e9J6goggYz0M4tj_jk5wCvpAGcXxhiHCvk/edit" TargetMode="External"/><Relationship Id="rId282" Type="http://schemas.openxmlformats.org/officeDocument/2006/relationships/hyperlink" Target="https://docs.google.com/spreadsheets/d/1O85f61zk1kgngySG0ifzXbRSl9Xiy_xiHH1pwk4cyLI/edit" TargetMode="External"/><Relationship Id="rId160" Type="http://schemas.openxmlformats.org/officeDocument/2006/relationships/hyperlink" Target="https://docs.google.com/spreadsheets/d/1FlQJ_gYh7e9J6goggYz0M4tj_jk5wCvpAGcXxhiHCvk/edit" TargetMode="External"/><Relationship Id="rId281" Type="http://schemas.openxmlformats.org/officeDocument/2006/relationships/hyperlink" Target="https://docs.google.com/spreadsheets/d/1O85f61zk1kgngySG0ifzXbRSl9Xiy_xiHH1pwk4cyLI/edit" TargetMode="External"/><Relationship Id="rId280" Type="http://schemas.openxmlformats.org/officeDocument/2006/relationships/hyperlink" Target="https://docs.google.com/spreadsheets/d/1O85f61zk1kgngySG0ifzXbRSl9Xiy_xiHH1pwk4cyLI/edit" TargetMode="External"/><Relationship Id="rId159" Type="http://schemas.openxmlformats.org/officeDocument/2006/relationships/hyperlink" Target="https://docs.google.com/spreadsheets/d/1FlQJ_gYh7e9J6goggYz0M4tj_jk5wCvpAGcXxhiHCvk/edit" TargetMode="External"/><Relationship Id="rId154" Type="http://schemas.openxmlformats.org/officeDocument/2006/relationships/hyperlink" Target="https://docs.google.com/spreadsheets/d/1FlQJ_gYh7e9J6goggYz0M4tj_jk5wCvpAGcXxhiHCvk/edit" TargetMode="External"/><Relationship Id="rId275" Type="http://schemas.openxmlformats.org/officeDocument/2006/relationships/hyperlink" Target="https://docs.google.com/spreadsheets/d/1O85f61zk1kgngySG0ifzXbRSl9Xiy_xiHH1pwk4cyLI/edit" TargetMode="External"/><Relationship Id="rId396" Type="http://schemas.openxmlformats.org/officeDocument/2006/relationships/hyperlink" Target="https://docs.google.com/spreadsheets/d/1m6e6o7qs3u2mS7B-vAxPEcFPizcpv3NKyhG0sJhh_fU/edit" TargetMode="External"/><Relationship Id="rId153" Type="http://schemas.openxmlformats.org/officeDocument/2006/relationships/hyperlink" Target="https://docs.google.com/spreadsheets/d/1FlQJ_gYh7e9J6goggYz0M4tj_jk5wCvpAGcXxhiHCvk/edit" TargetMode="External"/><Relationship Id="rId274" Type="http://schemas.openxmlformats.org/officeDocument/2006/relationships/hyperlink" Target="https://docs.google.com/spreadsheets/d/1O85f61zk1kgngySG0ifzXbRSl9Xiy_xiHH1pwk4cyLI/edit" TargetMode="External"/><Relationship Id="rId395" Type="http://schemas.openxmlformats.org/officeDocument/2006/relationships/hyperlink" Target="https://docs.google.com/spreadsheets/d/1m6e6o7qs3u2mS7B-vAxPEcFPizcpv3NKyhG0sJhh_fU/edit" TargetMode="External"/><Relationship Id="rId152" Type="http://schemas.openxmlformats.org/officeDocument/2006/relationships/hyperlink" Target="https://docs.google.com/spreadsheets/d/1FlQJ_gYh7e9J6goggYz0M4tj_jk5wCvpAGcXxhiHCvk/edit" TargetMode="External"/><Relationship Id="rId273" Type="http://schemas.openxmlformats.org/officeDocument/2006/relationships/hyperlink" Target="https://docs.google.com/spreadsheets/d/1O85f61zk1kgngySG0ifzXbRSl9Xiy_xiHH1pwk4cyLI/edit" TargetMode="External"/><Relationship Id="rId394" Type="http://schemas.openxmlformats.org/officeDocument/2006/relationships/hyperlink" Target="https://docs.google.com/spreadsheets/d/1m6e6o7qs3u2mS7B-vAxPEcFPizcpv3NKyhG0sJhh_fU/edit" TargetMode="External"/><Relationship Id="rId151" Type="http://schemas.openxmlformats.org/officeDocument/2006/relationships/hyperlink" Target="https://docs.google.com/spreadsheets/d/1FlQJ_gYh7e9J6goggYz0M4tj_jk5wCvpAGcXxhiHCvk/edit" TargetMode="External"/><Relationship Id="rId272" Type="http://schemas.openxmlformats.org/officeDocument/2006/relationships/hyperlink" Target="https://docs.google.com/spreadsheets/d/10t91WY4I9PGcpNfp5foLxGWqQW452mbt9JokUKXvg-4/edit" TargetMode="External"/><Relationship Id="rId393" Type="http://schemas.openxmlformats.org/officeDocument/2006/relationships/hyperlink" Target="https://docs.google.com/spreadsheets/d/1m6e6o7qs3u2mS7B-vAxPEcFPizcpv3NKyhG0sJhh_fU/edit" TargetMode="External"/><Relationship Id="rId158" Type="http://schemas.openxmlformats.org/officeDocument/2006/relationships/hyperlink" Target="https://docs.google.com/spreadsheets/d/1FlQJ_gYh7e9J6goggYz0M4tj_jk5wCvpAGcXxhiHCvk/edit" TargetMode="External"/><Relationship Id="rId279" Type="http://schemas.openxmlformats.org/officeDocument/2006/relationships/hyperlink" Target="https://docs.google.com/spreadsheets/d/1O85f61zk1kgngySG0ifzXbRSl9Xiy_xiHH1pwk4cyLI/edit" TargetMode="External"/><Relationship Id="rId157" Type="http://schemas.openxmlformats.org/officeDocument/2006/relationships/hyperlink" Target="https://docs.google.com/spreadsheets/d/1FlQJ_gYh7e9J6goggYz0M4tj_jk5wCvpAGcXxhiHCvk/edit" TargetMode="External"/><Relationship Id="rId278" Type="http://schemas.openxmlformats.org/officeDocument/2006/relationships/hyperlink" Target="https://docs.google.com/spreadsheets/d/1O85f61zk1kgngySG0ifzXbRSl9Xiy_xiHH1pwk4cyLI/edit" TargetMode="External"/><Relationship Id="rId399" Type="http://schemas.openxmlformats.org/officeDocument/2006/relationships/hyperlink" Target="https://docs.google.com/spreadsheets/d/1m6e6o7qs3u2mS7B-vAxPEcFPizcpv3NKyhG0sJhh_fU/edit" TargetMode="External"/><Relationship Id="rId156" Type="http://schemas.openxmlformats.org/officeDocument/2006/relationships/hyperlink" Target="https://docs.google.com/spreadsheets/d/1FlQJ_gYh7e9J6goggYz0M4tj_jk5wCvpAGcXxhiHCvk/edit" TargetMode="External"/><Relationship Id="rId277" Type="http://schemas.openxmlformats.org/officeDocument/2006/relationships/hyperlink" Target="https://docs.google.com/spreadsheets/d/1O85f61zk1kgngySG0ifzXbRSl9Xiy_xiHH1pwk4cyLI/edit" TargetMode="External"/><Relationship Id="rId398" Type="http://schemas.openxmlformats.org/officeDocument/2006/relationships/hyperlink" Target="https://docs.google.com/spreadsheets/d/1m6e6o7qs3u2mS7B-vAxPEcFPizcpv3NKyhG0sJhh_fU/edit" TargetMode="External"/><Relationship Id="rId155" Type="http://schemas.openxmlformats.org/officeDocument/2006/relationships/hyperlink" Target="https://docs.google.com/spreadsheets/d/1FlQJ_gYh7e9J6goggYz0M4tj_jk5wCvpAGcXxhiHCvk/edit" TargetMode="External"/><Relationship Id="rId276" Type="http://schemas.openxmlformats.org/officeDocument/2006/relationships/hyperlink" Target="https://docs.google.com/spreadsheets/d/1O85f61zk1kgngySG0ifzXbRSl9Xiy_xiHH1pwk4cyLI/edit" TargetMode="External"/><Relationship Id="rId397" Type="http://schemas.openxmlformats.org/officeDocument/2006/relationships/hyperlink" Target="https://docs.google.com/spreadsheets/d/1m6e6o7qs3u2mS7B-vAxPEcFPizcpv3NKyhG0sJhh_fU/edit" TargetMode="External"/><Relationship Id="rId40" Type="http://schemas.openxmlformats.org/officeDocument/2006/relationships/hyperlink" Target="https://docs.google.com/spreadsheets/d/1EsD58Wo3A2L19SP8bHIajKtjIcQjde9l22rHBlb7YeI/edit" TargetMode="External"/><Relationship Id="rId42" Type="http://schemas.openxmlformats.org/officeDocument/2006/relationships/hyperlink" Target="https://docs.google.com/spreadsheets/d/1EsD58Wo3A2L19SP8bHIajKtjIcQjde9l22rHBlb7YeI/edit" TargetMode="External"/><Relationship Id="rId41" Type="http://schemas.openxmlformats.org/officeDocument/2006/relationships/hyperlink" Target="https://docs.google.com/spreadsheets/d/1EsD58Wo3A2L19SP8bHIajKtjIcQjde9l22rHBlb7YeI/edit" TargetMode="External"/><Relationship Id="rId44" Type="http://schemas.openxmlformats.org/officeDocument/2006/relationships/hyperlink" Target="https://docs.google.com/spreadsheets/d/1EsD58Wo3A2L19SP8bHIajKtjIcQjde9l22rHBlb7YeI/edit" TargetMode="External"/><Relationship Id="rId43" Type="http://schemas.openxmlformats.org/officeDocument/2006/relationships/hyperlink" Target="https://docs.google.com/spreadsheets/d/1EsD58Wo3A2L19SP8bHIajKtjIcQjde9l22rHBlb7YeI/edit" TargetMode="External"/><Relationship Id="rId46" Type="http://schemas.openxmlformats.org/officeDocument/2006/relationships/hyperlink" Target="https://docs.google.com/spreadsheets/d/1EsD58Wo3A2L19SP8bHIajKtjIcQjde9l22rHBlb7YeI/edit" TargetMode="External"/><Relationship Id="rId45" Type="http://schemas.openxmlformats.org/officeDocument/2006/relationships/hyperlink" Target="https://docs.google.com/spreadsheets/d/1EsD58Wo3A2L19SP8bHIajKtjIcQjde9l22rHBlb7YeI/edit" TargetMode="External"/><Relationship Id="rId509" Type="http://schemas.openxmlformats.org/officeDocument/2006/relationships/hyperlink" Target="https://docs.google.com/spreadsheets/d/1RBYzgra-RweOGB794OGwGBa-XzjDPvDGNgY2r2GUE9c/edit" TargetMode="External"/><Relationship Id="rId508" Type="http://schemas.openxmlformats.org/officeDocument/2006/relationships/hyperlink" Target="https://docs.google.com/spreadsheets/d/1RBYzgra-RweOGB794OGwGBa-XzjDPvDGNgY2r2GUE9c/edit" TargetMode="External"/><Relationship Id="rId503" Type="http://schemas.openxmlformats.org/officeDocument/2006/relationships/hyperlink" Target="https://docs.google.com/spreadsheets/d/1RBYzgra-RweOGB794OGwGBa-XzjDPvDGNgY2r2GUE9c/edit" TargetMode="External"/><Relationship Id="rId502" Type="http://schemas.openxmlformats.org/officeDocument/2006/relationships/hyperlink" Target="https://docs.google.com/spreadsheets/d/1RBYzgra-RweOGB794OGwGBa-XzjDPvDGNgY2r2GUE9c/edit" TargetMode="External"/><Relationship Id="rId501" Type="http://schemas.openxmlformats.org/officeDocument/2006/relationships/hyperlink" Target="https://docs.google.com/spreadsheets/d/1RBYzgra-RweOGB794OGwGBa-XzjDPvDGNgY2r2GUE9c/edit" TargetMode="External"/><Relationship Id="rId500" Type="http://schemas.openxmlformats.org/officeDocument/2006/relationships/hyperlink" Target="https://docs.google.com/spreadsheets/d/1RBYzgra-RweOGB794OGwGBa-XzjDPvDGNgY2r2GUE9c/edit" TargetMode="External"/><Relationship Id="rId507" Type="http://schemas.openxmlformats.org/officeDocument/2006/relationships/hyperlink" Target="https://docs.google.com/spreadsheets/d/1RBYzgra-RweOGB794OGwGBa-XzjDPvDGNgY2r2GUE9c/edit" TargetMode="External"/><Relationship Id="rId506" Type="http://schemas.openxmlformats.org/officeDocument/2006/relationships/hyperlink" Target="https://docs.google.com/spreadsheets/d/1RBYzgra-RweOGB794OGwGBa-XzjDPvDGNgY2r2GUE9c/edit" TargetMode="External"/><Relationship Id="rId505" Type="http://schemas.openxmlformats.org/officeDocument/2006/relationships/hyperlink" Target="https://docs.google.com/spreadsheets/d/1RBYzgra-RweOGB794OGwGBa-XzjDPvDGNgY2r2GUE9c/edit" TargetMode="External"/><Relationship Id="rId504" Type="http://schemas.openxmlformats.org/officeDocument/2006/relationships/hyperlink" Target="https://docs.google.com/spreadsheets/d/1RBYzgra-RweOGB794OGwGBa-XzjDPvDGNgY2r2GUE9c/edit" TargetMode="External"/><Relationship Id="rId48" Type="http://schemas.openxmlformats.org/officeDocument/2006/relationships/hyperlink" Target="https://docs.google.com/spreadsheets/d/1-rBvgfqRgjLZs5i1tefl_2Miwb-kUQVGZxDeEz_U8_o/edit" TargetMode="External"/><Relationship Id="rId47" Type="http://schemas.openxmlformats.org/officeDocument/2006/relationships/hyperlink" Target="https://docs.google.com/spreadsheets/d/1-rBvgfqRgjLZs5i1tefl_2Miwb-kUQVGZxDeEz_U8_o/edit" TargetMode="External"/><Relationship Id="rId49" Type="http://schemas.openxmlformats.org/officeDocument/2006/relationships/hyperlink" Target="https://docs.google.com/spreadsheets/d/1-rBvgfqRgjLZs5i1tefl_2Miwb-kUQVGZxDeEz_U8_o/edit" TargetMode="External"/><Relationship Id="rId31" Type="http://schemas.openxmlformats.org/officeDocument/2006/relationships/hyperlink" Target="https://docs.google.com/spreadsheets/d/1EsD58Wo3A2L19SP8bHIajKtjIcQjde9l22rHBlb7YeI/edit" TargetMode="External"/><Relationship Id="rId30" Type="http://schemas.openxmlformats.org/officeDocument/2006/relationships/hyperlink" Target="https://docs.google.com/spreadsheets/d/1KYgSjZPu10SFjisYdGwRKPdPjl_p1FJygfXQCpEXGmY/edit" TargetMode="External"/><Relationship Id="rId33" Type="http://schemas.openxmlformats.org/officeDocument/2006/relationships/hyperlink" Target="https://docs.google.com/spreadsheets/d/1EsD58Wo3A2L19SP8bHIajKtjIcQjde9l22rHBlb7YeI/edit" TargetMode="External"/><Relationship Id="rId32" Type="http://schemas.openxmlformats.org/officeDocument/2006/relationships/hyperlink" Target="https://docs.google.com/spreadsheets/d/1EsD58Wo3A2L19SP8bHIajKtjIcQjde9l22rHBlb7YeI/edit" TargetMode="External"/><Relationship Id="rId35" Type="http://schemas.openxmlformats.org/officeDocument/2006/relationships/hyperlink" Target="https://docs.google.com/spreadsheets/d/1EsD58Wo3A2L19SP8bHIajKtjIcQjde9l22rHBlb7YeI/edit" TargetMode="External"/><Relationship Id="rId34" Type="http://schemas.openxmlformats.org/officeDocument/2006/relationships/hyperlink" Target="https://docs.google.com/spreadsheets/d/1EsD58Wo3A2L19SP8bHIajKtjIcQjde9l22rHBlb7YeI/edit" TargetMode="External"/><Relationship Id="rId37" Type="http://schemas.openxmlformats.org/officeDocument/2006/relationships/hyperlink" Target="https://docs.google.com/spreadsheets/d/1EsD58Wo3A2L19SP8bHIajKtjIcQjde9l22rHBlb7YeI/edit" TargetMode="External"/><Relationship Id="rId36" Type="http://schemas.openxmlformats.org/officeDocument/2006/relationships/hyperlink" Target="https://docs.google.com/spreadsheets/d/1EsD58Wo3A2L19SP8bHIajKtjIcQjde9l22rHBlb7YeI/edit" TargetMode="External"/><Relationship Id="rId39" Type="http://schemas.openxmlformats.org/officeDocument/2006/relationships/hyperlink" Target="https://docs.google.com/spreadsheets/d/1EsD58Wo3A2L19SP8bHIajKtjIcQjde9l22rHBlb7YeI/edit" TargetMode="External"/><Relationship Id="rId38" Type="http://schemas.openxmlformats.org/officeDocument/2006/relationships/hyperlink" Target="https://docs.google.com/spreadsheets/d/1EsD58Wo3A2L19SP8bHIajKtjIcQjde9l22rHBlb7YeI/edit" TargetMode="External"/><Relationship Id="rId20" Type="http://schemas.openxmlformats.org/officeDocument/2006/relationships/hyperlink" Target="https://docs.google.com/spreadsheets/d/1KYgSjZPu10SFjisYdGwRKPdPjl_p1FJygfXQCpEXGmY/edit" TargetMode="External"/><Relationship Id="rId22" Type="http://schemas.openxmlformats.org/officeDocument/2006/relationships/hyperlink" Target="https://docs.google.com/spreadsheets/d/1KYgSjZPu10SFjisYdGwRKPdPjl_p1FJygfXQCpEXGmY/edit" TargetMode="External"/><Relationship Id="rId21" Type="http://schemas.openxmlformats.org/officeDocument/2006/relationships/hyperlink" Target="https://docs.google.com/spreadsheets/d/1KYgSjZPu10SFjisYdGwRKPdPjl_p1FJygfXQCpEXGmY/edit" TargetMode="External"/><Relationship Id="rId24" Type="http://schemas.openxmlformats.org/officeDocument/2006/relationships/hyperlink" Target="https://docs.google.com/spreadsheets/d/1KYgSjZPu10SFjisYdGwRKPdPjl_p1FJygfXQCpEXGmY/edit" TargetMode="External"/><Relationship Id="rId23" Type="http://schemas.openxmlformats.org/officeDocument/2006/relationships/hyperlink" Target="https://docs.google.com/spreadsheets/d/1KYgSjZPu10SFjisYdGwRKPdPjl_p1FJygfXQCpEXGmY/edit" TargetMode="External"/><Relationship Id="rId409" Type="http://schemas.openxmlformats.org/officeDocument/2006/relationships/hyperlink" Target="https://docs.google.com/spreadsheets/d/1m6e6o7qs3u2mS7B-vAxPEcFPizcpv3NKyhG0sJhh_fU/edit" TargetMode="External"/><Relationship Id="rId404" Type="http://schemas.openxmlformats.org/officeDocument/2006/relationships/hyperlink" Target="https://docs.google.com/spreadsheets/d/1m6e6o7qs3u2mS7B-vAxPEcFPizcpv3NKyhG0sJhh_fU/edit" TargetMode="External"/><Relationship Id="rId525" Type="http://schemas.openxmlformats.org/officeDocument/2006/relationships/hyperlink" Target="https://docs.google.com/spreadsheets/d/1RBYzgra-RweOGB794OGwGBa-XzjDPvDGNgY2r2GUE9c/edit" TargetMode="External"/><Relationship Id="rId403" Type="http://schemas.openxmlformats.org/officeDocument/2006/relationships/hyperlink" Target="https://docs.google.com/spreadsheets/d/1m6e6o7qs3u2mS7B-vAxPEcFPizcpv3NKyhG0sJhh_fU/edit" TargetMode="External"/><Relationship Id="rId524" Type="http://schemas.openxmlformats.org/officeDocument/2006/relationships/hyperlink" Target="https://docs.google.com/spreadsheets/d/1RBYzgra-RweOGB794OGwGBa-XzjDPvDGNgY2r2GUE9c/edit" TargetMode="External"/><Relationship Id="rId402" Type="http://schemas.openxmlformats.org/officeDocument/2006/relationships/hyperlink" Target="https://docs.google.com/spreadsheets/d/1m6e6o7qs3u2mS7B-vAxPEcFPizcpv3NKyhG0sJhh_fU/edit" TargetMode="External"/><Relationship Id="rId523" Type="http://schemas.openxmlformats.org/officeDocument/2006/relationships/hyperlink" Target="https://docs.google.com/spreadsheets/d/1RBYzgra-RweOGB794OGwGBa-XzjDPvDGNgY2r2GUE9c/edit" TargetMode="External"/><Relationship Id="rId401" Type="http://schemas.openxmlformats.org/officeDocument/2006/relationships/hyperlink" Target="https://docs.google.com/spreadsheets/d/1m6e6o7qs3u2mS7B-vAxPEcFPizcpv3NKyhG0sJhh_fU/edit" TargetMode="External"/><Relationship Id="rId522" Type="http://schemas.openxmlformats.org/officeDocument/2006/relationships/hyperlink" Target="https://docs.google.com/spreadsheets/d/1RBYzgra-RweOGB794OGwGBa-XzjDPvDGNgY2r2GUE9c/edit" TargetMode="External"/><Relationship Id="rId408" Type="http://schemas.openxmlformats.org/officeDocument/2006/relationships/hyperlink" Target="https://docs.google.com/spreadsheets/d/1m6e6o7qs3u2mS7B-vAxPEcFPizcpv3NKyhG0sJhh_fU/edit" TargetMode="External"/><Relationship Id="rId407" Type="http://schemas.openxmlformats.org/officeDocument/2006/relationships/hyperlink" Target="https://docs.google.com/spreadsheets/d/1m6e6o7qs3u2mS7B-vAxPEcFPizcpv3NKyhG0sJhh_fU/edit" TargetMode="External"/><Relationship Id="rId406" Type="http://schemas.openxmlformats.org/officeDocument/2006/relationships/hyperlink" Target="https://docs.google.com/spreadsheets/d/1m6e6o7qs3u2mS7B-vAxPEcFPizcpv3NKyhG0sJhh_fU/edit" TargetMode="External"/><Relationship Id="rId405" Type="http://schemas.openxmlformats.org/officeDocument/2006/relationships/hyperlink" Target="https://docs.google.com/spreadsheets/d/1m6e6o7qs3u2mS7B-vAxPEcFPizcpv3NKyhG0sJhh_fU/edit" TargetMode="External"/><Relationship Id="rId526" Type="http://schemas.openxmlformats.org/officeDocument/2006/relationships/drawing" Target="../drawings/drawing12.xml"/><Relationship Id="rId26" Type="http://schemas.openxmlformats.org/officeDocument/2006/relationships/hyperlink" Target="https://docs.google.com/spreadsheets/d/1KYgSjZPu10SFjisYdGwRKPdPjl_p1FJygfXQCpEXGmY/edit" TargetMode="External"/><Relationship Id="rId25" Type="http://schemas.openxmlformats.org/officeDocument/2006/relationships/hyperlink" Target="https://docs.google.com/spreadsheets/d/1KYgSjZPu10SFjisYdGwRKPdPjl_p1FJygfXQCpEXGmY/edit" TargetMode="External"/><Relationship Id="rId28" Type="http://schemas.openxmlformats.org/officeDocument/2006/relationships/hyperlink" Target="https://docs.google.com/spreadsheets/d/1KYgSjZPu10SFjisYdGwRKPdPjl_p1FJygfXQCpEXGmY/edit" TargetMode="External"/><Relationship Id="rId27" Type="http://schemas.openxmlformats.org/officeDocument/2006/relationships/hyperlink" Target="https://docs.google.com/spreadsheets/d/1KYgSjZPu10SFjisYdGwRKPdPjl_p1FJygfXQCpEXGmY/edit" TargetMode="External"/><Relationship Id="rId400" Type="http://schemas.openxmlformats.org/officeDocument/2006/relationships/hyperlink" Target="https://docs.google.com/spreadsheets/d/1m6e6o7qs3u2mS7B-vAxPEcFPizcpv3NKyhG0sJhh_fU/edit" TargetMode="External"/><Relationship Id="rId521" Type="http://schemas.openxmlformats.org/officeDocument/2006/relationships/hyperlink" Target="https://docs.google.com/spreadsheets/d/1RBYzgra-RweOGB794OGwGBa-XzjDPvDGNgY2r2GUE9c/edit" TargetMode="External"/><Relationship Id="rId29" Type="http://schemas.openxmlformats.org/officeDocument/2006/relationships/hyperlink" Target="https://docs.google.com/spreadsheets/d/1KYgSjZPu10SFjisYdGwRKPdPjl_p1FJygfXQCpEXGmY/edit" TargetMode="External"/><Relationship Id="rId520" Type="http://schemas.openxmlformats.org/officeDocument/2006/relationships/hyperlink" Target="https://docs.google.com/spreadsheets/d/1RBYzgra-RweOGB794OGwGBa-XzjDPvDGNgY2r2GUE9c/edit" TargetMode="External"/><Relationship Id="rId11" Type="http://schemas.openxmlformats.org/officeDocument/2006/relationships/hyperlink" Target="https://docs.google.com/spreadsheets/d/1KYgSjZPu10SFjisYdGwRKPdPjl_p1FJygfXQCpEXGmY/edit" TargetMode="External"/><Relationship Id="rId10" Type="http://schemas.openxmlformats.org/officeDocument/2006/relationships/hyperlink" Target="https://docs.google.com/spreadsheets/d/1KYgSjZPu10SFjisYdGwRKPdPjl_p1FJygfXQCpEXGmY/edit" TargetMode="External"/><Relationship Id="rId13" Type="http://schemas.openxmlformats.org/officeDocument/2006/relationships/hyperlink" Target="https://docs.google.com/spreadsheets/d/1KYgSjZPu10SFjisYdGwRKPdPjl_p1FJygfXQCpEXGmY/edit" TargetMode="External"/><Relationship Id="rId12" Type="http://schemas.openxmlformats.org/officeDocument/2006/relationships/hyperlink" Target="https://docs.google.com/spreadsheets/d/1KYgSjZPu10SFjisYdGwRKPdPjl_p1FJygfXQCpEXGmY/edit" TargetMode="External"/><Relationship Id="rId519" Type="http://schemas.openxmlformats.org/officeDocument/2006/relationships/hyperlink" Target="https://docs.google.com/spreadsheets/d/1RBYzgra-RweOGB794OGwGBa-XzjDPvDGNgY2r2GUE9c/edit" TargetMode="External"/><Relationship Id="rId514" Type="http://schemas.openxmlformats.org/officeDocument/2006/relationships/hyperlink" Target="https://docs.google.com/spreadsheets/d/1RBYzgra-RweOGB794OGwGBa-XzjDPvDGNgY2r2GUE9c/edit" TargetMode="External"/><Relationship Id="rId513" Type="http://schemas.openxmlformats.org/officeDocument/2006/relationships/hyperlink" Target="https://docs.google.com/spreadsheets/d/1RBYzgra-RweOGB794OGwGBa-XzjDPvDGNgY2r2GUE9c/edit" TargetMode="External"/><Relationship Id="rId512" Type="http://schemas.openxmlformats.org/officeDocument/2006/relationships/hyperlink" Target="https://docs.google.com/spreadsheets/d/1RBYzgra-RweOGB794OGwGBa-XzjDPvDGNgY2r2GUE9c/edit" TargetMode="External"/><Relationship Id="rId511" Type="http://schemas.openxmlformats.org/officeDocument/2006/relationships/hyperlink" Target="https://docs.google.com/spreadsheets/d/1RBYzgra-RweOGB794OGwGBa-XzjDPvDGNgY2r2GUE9c/edit" TargetMode="External"/><Relationship Id="rId518" Type="http://schemas.openxmlformats.org/officeDocument/2006/relationships/hyperlink" Target="https://docs.google.com/spreadsheets/d/1RBYzgra-RweOGB794OGwGBa-XzjDPvDGNgY2r2GUE9c/edit" TargetMode="External"/><Relationship Id="rId517" Type="http://schemas.openxmlformats.org/officeDocument/2006/relationships/hyperlink" Target="https://docs.google.com/spreadsheets/d/1RBYzgra-RweOGB794OGwGBa-XzjDPvDGNgY2r2GUE9c/edit" TargetMode="External"/><Relationship Id="rId516" Type="http://schemas.openxmlformats.org/officeDocument/2006/relationships/hyperlink" Target="https://docs.google.com/spreadsheets/d/1RBYzgra-RweOGB794OGwGBa-XzjDPvDGNgY2r2GUE9c/edit" TargetMode="External"/><Relationship Id="rId515" Type="http://schemas.openxmlformats.org/officeDocument/2006/relationships/hyperlink" Target="https://docs.google.com/spreadsheets/d/1RBYzgra-RweOGB794OGwGBa-XzjDPvDGNgY2r2GUE9c/edit" TargetMode="External"/><Relationship Id="rId15" Type="http://schemas.openxmlformats.org/officeDocument/2006/relationships/hyperlink" Target="https://docs.google.com/spreadsheets/d/1KYgSjZPu10SFjisYdGwRKPdPjl_p1FJygfXQCpEXGmY/edit" TargetMode="External"/><Relationship Id="rId14" Type="http://schemas.openxmlformats.org/officeDocument/2006/relationships/hyperlink" Target="https://docs.google.com/spreadsheets/d/1KYgSjZPu10SFjisYdGwRKPdPjl_p1FJygfXQCpEXGmY/edit" TargetMode="External"/><Relationship Id="rId17" Type="http://schemas.openxmlformats.org/officeDocument/2006/relationships/hyperlink" Target="https://docs.google.com/spreadsheets/d/1KYgSjZPu10SFjisYdGwRKPdPjl_p1FJygfXQCpEXGmY/edit" TargetMode="External"/><Relationship Id="rId16" Type="http://schemas.openxmlformats.org/officeDocument/2006/relationships/hyperlink" Target="https://docs.google.com/spreadsheets/d/1KYgSjZPu10SFjisYdGwRKPdPjl_p1FJygfXQCpEXGmY/edit" TargetMode="External"/><Relationship Id="rId19" Type="http://schemas.openxmlformats.org/officeDocument/2006/relationships/hyperlink" Target="https://docs.google.com/spreadsheets/d/1KYgSjZPu10SFjisYdGwRKPdPjl_p1FJygfXQCpEXGmY/edit" TargetMode="External"/><Relationship Id="rId510" Type="http://schemas.openxmlformats.org/officeDocument/2006/relationships/hyperlink" Target="https://docs.google.com/spreadsheets/d/1RBYzgra-RweOGB794OGwGBa-XzjDPvDGNgY2r2GUE9c/edit" TargetMode="External"/><Relationship Id="rId18" Type="http://schemas.openxmlformats.org/officeDocument/2006/relationships/hyperlink" Target="https://docs.google.com/spreadsheets/d/1KYgSjZPu10SFjisYdGwRKPdPjl_p1FJygfXQCpEXGmY/edit" TargetMode="External"/><Relationship Id="rId84" Type="http://schemas.openxmlformats.org/officeDocument/2006/relationships/hyperlink" Target="https://docs.google.com/spreadsheets/d/1P1Rb5yL-ktMelPF8I2RnrhydkjSWmhnIO3xNS3mOQuM/edit" TargetMode="External"/><Relationship Id="rId83" Type="http://schemas.openxmlformats.org/officeDocument/2006/relationships/hyperlink" Target="https://docs.google.com/spreadsheets/d/1SqxdqHZpMAHXPsK0HKCmZWVcQcHYWZMitGIh8oYBTeE/edit" TargetMode="External"/><Relationship Id="rId86" Type="http://schemas.openxmlformats.org/officeDocument/2006/relationships/hyperlink" Target="https://docs.google.com/spreadsheets/d/1P1Rb5yL-ktMelPF8I2RnrhydkjSWmhnIO3xNS3mOQuM/edit" TargetMode="External"/><Relationship Id="rId85" Type="http://schemas.openxmlformats.org/officeDocument/2006/relationships/hyperlink" Target="https://docs.google.com/spreadsheets/d/1P1Rb5yL-ktMelPF8I2RnrhydkjSWmhnIO3xNS3mOQuM/edit" TargetMode="External"/><Relationship Id="rId88" Type="http://schemas.openxmlformats.org/officeDocument/2006/relationships/hyperlink" Target="https://docs.google.com/spreadsheets/d/1GUwW_EKplw8CEbJgAe8SqzdXNsdKIGS-9U_jioWrHMU/edit" TargetMode="External"/><Relationship Id="rId87" Type="http://schemas.openxmlformats.org/officeDocument/2006/relationships/hyperlink" Target="https://docs.google.com/spreadsheets/d/1GUwW_EKplw8CEbJgAe8SqzdXNsdKIGS-9U_jioWrHMU/edit" TargetMode="External"/><Relationship Id="rId89" Type="http://schemas.openxmlformats.org/officeDocument/2006/relationships/hyperlink" Target="https://docs.google.com/spreadsheets/d/1GUwW_EKplw8CEbJgAe8SqzdXNsdKIGS-9U_jioWrHMU/edit" TargetMode="External"/><Relationship Id="rId80" Type="http://schemas.openxmlformats.org/officeDocument/2006/relationships/hyperlink" Target="https://docs.google.com/spreadsheets/d/1P1Rb5yL-ktMelPF8I2RnrhydkjSWmhnIO3xNS3mOQuM/edit" TargetMode="External"/><Relationship Id="rId82" Type="http://schemas.openxmlformats.org/officeDocument/2006/relationships/hyperlink" Target="https://docs.google.com/spreadsheets/d/1P1Rb5yL-ktMelPF8I2RnrhydkjSWmhnIO3xNS3mOQuM/edit" TargetMode="External"/><Relationship Id="rId81" Type="http://schemas.openxmlformats.org/officeDocument/2006/relationships/hyperlink" Target="https://docs.google.com/spreadsheets/d/1P1Rb5yL-ktMelPF8I2RnrhydkjSWmhnIO3xNS3mOQuM/edit" TargetMode="External"/><Relationship Id="rId73" Type="http://schemas.openxmlformats.org/officeDocument/2006/relationships/hyperlink" Target="https://docs.google.com/spreadsheets/d/1P1Rb5yL-ktMelPF8I2RnrhydkjSWmhnIO3xNS3mOQuM/edit" TargetMode="External"/><Relationship Id="rId72" Type="http://schemas.openxmlformats.org/officeDocument/2006/relationships/hyperlink" Target="https://docs.google.com/spreadsheets/d/1P1Rb5yL-ktMelPF8I2RnrhydkjSWmhnIO3xNS3mOQuM/edit" TargetMode="External"/><Relationship Id="rId75" Type="http://schemas.openxmlformats.org/officeDocument/2006/relationships/hyperlink" Target="https://docs.google.com/spreadsheets/d/1P1Rb5yL-ktMelPF8I2RnrhydkjSWmhnIO3xNS3mOQuM/edit" TargetMode="External"/><Relationship Id="rId74" Type="http://schemas.openxmlformats.org/officeDocument/2006/relationships/hyperlink" Target="https://docs.google.com/spreadsheets/d/1P1Rb5yL-ktMelPF8I2RnrhydkjSWmhnIO3xNS3mOQuM/edit" TargetMode="External"/><Relationship Id="rId77" Type="http://schemas.openxmlformats.org/officeDocument/2006/relationships/hyperlink" Target="https://docs.google.com/spreadsheets/d/1P1Rb5yL-ktMelPF8I2RnrhydkjSWmhnIO3xNS3mOQuM/edit" TargetMode="External"/><Relationship Id="rId76" Type="http://schemas.openxmlformats.org/officeDocument/2006/relationships/hyperlink" Target="https://docs.google.com/spreadsheets/d/1P1Rb5yL-ktMelPF8I2RnrhydkjSWmhnIO3xNS3mOQuM/edit" TargetMode="External"/><Relationship Id="rId79" Type="http://schemas.openxmlformats.org/officeDocument/2006/relationships/hyperlink" Target="https://docs.google.com/spreadsheets/d/1P1Rb5yL-ktMelPF8I2RnrhydkjSWmhnIO3xNS3mOQuM/edit" TargetMode="External"/><Relationship Id="rId78" Type="http://schemas.openxmlformats.org/officeDocument/2006/relationships/hyperlink" Target="https://docs.google.com/spreadsheets/d/1P1Rb5yL-ktMelPF8I2RnrhydkjSWmhnIO3xNS3mOQuM/edit" TargetMode="External"/><Relationship Id="rId71" Type="http://schemas.openxmlformats.org/officeDocument/2006/relationships/hyperlink" Target="https://docs.google.com/spreadsheets/d/1SqxdqHZpMAHXPsK0HKCmZWVcQcHYWZMitGIh8oYBTeE/edit" TargetMode="External"/><Relationship Id="rId70" Type="http://schemas.openxmlformats.org/officeDocument/2006/relationships/hyperlink" Target="https://docs.google.com/spreadsheets/d/1P1Rb5yL-ktMelPF8I2RnrhydkjSWmhnIO3xNS3mOQuM/edit" TargetMode="External"/><Relationship Id="rId62" Type="http://schemas.openxmlformats.org/officeDocument/2006/relationships/hyperlink" Target="https://docs.google.com/spreadsheets/d/1-rBvgfqRgjLZs5i1tefl_2Miwb-kUQVGZxDeEz_U8_o/edit" TargetMode="External"/><Relationship Id="rId61" Type="http://schemas.openxmlformats.org/officeDocument/2006/relationships/hyperlink" Target="https://docs.google.com/spreadsheets/d/1-rBvgfqRgjLZs5i1tefl_2Miwb-kUQVGZxDeEz_U8_o/edit" TargetMode="External"/><Relationship Id="rId64" Type="http://schemas.openxmlformats.org/officeDocument/2006/relationships/hyperlink" Target="https://docs.google.com/spreadsheets/d/1-rBvgfqRgjLZs5i1tefl_2Miwb-kUQVGZxDeEz_U8_o/edit" TargetMode="External"/><Relationship Id="rId63" Type="http://schemas.openxmlformats.org/officeDocument/2006/relationships/hyperlink" Target="https://docs.google.com/spreadsheets/d/1-rBvgfqRgjLZs5i1tefl_2Miwb-kUQVGZxDeEz_U8_o/edit" TargetMode="External"/><Relationship Id="rId66" Type="http://schemas.openxmlformats.org/officeDocument/2006/relationships/hyperlink" Target="https://docs.google.com/spreadsheets/d/1P1Rb5yL-ktMelPF8I2RnrhydkjSWmhnIO3xNS3mOQuM/edit" TargetMode="External"/><Relationship Id="rId65" Type="http://schemas.openxmlformats.org/officeDocument/2006/relationships/hyperlink" Target="https://docs.google.com/spreadsheets/d/1-rBvgfqRgjLZs5i1tefl_2Miwb-kUQVGZxDeEz_U8_o/edit" TargetMode="External"/><Relationship Id="rId68" Type="http://schemas.openxmlformats.org/officeDocument/2006/relationships/hyperlink" Target="https://docs.google.com/spreadsheets/d/1P1Rb5yL-ktMelPF8I2RnrhydkjSWmhnIO3xNS3mOQuM/edit" TargetMode="External"/><Relationship Id="rId67" Type="http://schemas.openxmlformats.org/officeDocument/2006/relationships/hyperlink" Target="https://docs.google.com/spreadsheets/d/1P1Rb5yL-ktMelPF8I2RnrhydkjSWmhnIO3xNS3mOQuM/edit" TargetMode="External"/><Relationship Id="rId60" Type="http://schemas.openxmlformats.org/officeDocument/2006/relationships/hyperlink" Target="https://docs.google.com/spreadsheets/d/1-rBvgfqRgjLZs5i1tefl_2Miwb-kUQVGZxDeEz_U8_o/edit" TargetMode="External"/><Relationship Id="rId69" Type="http://schemas.openxmlformats.org/officeDocument/2006/relationships/hyperlink" Target="https://docs.google.com/spreadsheets/d/1P1Rb5yL-ktMelPF8I2RnrhydkjSWmhnIO3xNS3mOQuM/edit" TargetMode="External"/><Relationship Id="rId51" Type="http://schemas.openxmlformats.org/officeDocument/2006/relationships/hyperlink" Target="https://docs.google.com/spreadsheets/d/1-rBvgfqRgjLZs5i1tefl_2Miwb-kUQVGZxDeEz_U8_o/edit" TargetMode="External"/><Relationship Id="rId50" Type="http://schemas.openxmlformats.org/officeDocument/2006/relationships/hyperlink" Target="https://docs.google.com/spreadsheets/d/1-rBvgfqRgjLZs5i1tefl_2Miwb-kUQVGZxDeEz_U8_o/edit" TargetMode="External"/><Relationship Id="rId53" Type="http://schemas.openxmlformats.org/officeDocument/2006/relationships/hyperlink" Target="https://docs.google.com/spreadsheets/d/1-rBvgfqRgjLZs5i1tefl_2Miwb-kUQVGZxDeEz_U8_o/edit" TargetMode="External"/><Relationship Id="rId52" Type="http://schemas.openxmlformats.org/officeDocument/2006/relationships/hyperlink" Target="https://docs.google.com/spreadsheets/d/1EsD58Wo3A2L19SP8bHIajKtjIcQjde9l22rHBlb7YeI/edit" TargetMode="External"/><Relationship Id="rId55" Type="http://schemas.openxmlformats.org/officeDocument/2006/relationships/hyperlink" Target="https://docs.google.com/spreadsheets/d/1-rBvgfqRgjLZs5i1tefl_2Miwb-kUQVGZxDeEz_U8_o/edit" TargetMode="External"/><Relationship Id="rId54" Type="http://schemas.openxmlformats.org/officeDocument/2006/relationships/hyperlink" Target="https://docs.google.com/spreadsheets/d/1-rBvgfqRgjLZs5i1tefl_2Miwb-kUQVGZxDeEz_U8_o/edit" TargetMode="External"/><Relationship Id="rId57" Type="http://schemas.openxmlformats.org/officeDocument/2006/relationships/hyperlink" Target="https://docs.google.com/spreadsheets/d/1-rBvgfqRgjLZs5i1tefl_2Miwb-kUQVGZxDeEz_U8_o/edit" TargetMode="External"/><Relationship Id="rId56" Type="http://schemas.openxmlformats.org/officeDocument/2006/relationships/hyperlink" Target="https://docs.google.com/spreadsheets/d/1-rBvgfqRgjLZs5i1tefl_2Miwb-kUQVGZxDeEz_U8_o/edit" TargetMode="External"/><Relationship Id="rId59" Type="http://schemas.openxmlformats.org/officeDocument/2006/relationships/hyperlink" Target="https://docs.google.com/spreadsheets/d/1EsD58Wo3A2L19SP8bHIajKtjIcQjde9l22rHBlb7YeI/edit" TargetMode="External"/><Relationship Id="rId58" Type="http://schemas.openxmlformats.org/officeDocument/2006/relationships/hyperlink" Target="https://docs.google.com/spreadsheets/d/1-rBvgfqRgjLZs5i1tefl_2Miwb-kUQVGZxDeEz_U8_o/edit" TargetMode="External"/><Relationship Id="rId107" Type="http://schemas.openxmlformats.org/officeDocument/2006/relationships/hyperlink" Target="https://docs.google.com/spreadsheets/d/1GUwW_EKplw8CEbJgAe8SqzdXNsdKIGS-9U_jioWrHMU/edit" TargetMode="External"/><Relationship Id="rId228" Type="http://schemas.openxmlformats.org/officeDocument/2006/relationships/hyperlink" Target="https://docs.google.com/spreadsheets/d/1avwaLPC0vzQlxbJnF3faTNOkw3FwMyO17zFpjCNc9CU/edit" TargetMode="External"/><Relationship Id="rId349" Type="http://schemas.openxmlformats.org/officeDocument/2006/relationships/hyperlink" Target="https://docs.google.com/spreadsheets/d/1Hl7_UxTs1hem7ptVgqsakEq1bnVIAtBi8h8ElsdwqI0/edit" TargetMode="External"/><Relationship Id="rId106" Type="http://schemas.openxmlformats.org/officeDocument/2006/relationships/hyperlink" Target="https://docs.google.com/spreadsheets/d/1Kx05JImIOfl4R33DONm57V9S7BHm-ikzVgCKUKDecAQ/edit" TargetMode="External"/><Relationship Id="rId227" Type="http://schemas.openxmlformats.org/officeDocument/2006/relationships/hyperlink" Target="https://docs.google.com/spreadsheets/d/1avwaLPC0vzQlxbJnF3faTNOkw3FwMyO17zFpjCNc9CU/edit" TargetMode="External"/><Relationship Id="rId348" Type="http://schemas.openxmlformats.org/officeDocument/2006/relationships/hyperlink" Target="https://docs.google.com/spreadsheets/d/1Hl7_UxTs1hem7ptVgqsakEq1bnVIAtBi8h8ElsdwqI0/edit" TargetMode="External"/><Relationship Id="rId469" Type="http://schemas.openxmlformats.org/officeDocument/2006/relationships/hyperlink" Target="https://docs.google.com/spreadsheets/d/1Q5Lfnoxb9AwKhnwx-R1a8ctFcxo-ouqeYj53fCh8478/edit" TargetMode="External"/><Relationship Id="rId105" Type="http://schemas.openxmlformats.org/officeDocument/2006/relationships/hyperlink" Target="https://docs.google.com/spreadsheets/d/1Kx05JImIOfl4R33DONm57V9S7BHm-ikzVgCKUKDecAQ/edit" TargetMode="External"/><Relationship Id="rId226" Type="http://schemas.openxmlformats.org/officeDocument/2006/relationships/hyperlink" Target="https://docs.google.com/spreadsheets/d/1avwaLPC0vzQlxbJnF3faTNOkw3FwMyO17zFpjCNc9CU/edit" TargetMode="External"/><Relationship Id="rId347" Type="http://schemas.openxmlformats.org/officeDocument/2006/relationships/hyperlink" Target="https://docs.google.com/spreadsheets/d/1Hl7_UxTs1hem7ptVgqsakEq1bnVIAtBi8h8ElsdwqI0/edit" TargetMode="External"/><Relationship Id="rId468" Type="http://schemas.openxmlformats.org/officeDocument/2006/relationships/hyperlink" Target="https://docs.google.com/spreadsheets/d/1Q5Lfnoxb9AwKhnwx-R1a8ctFcxo-ouqeYj53fCh8478/edit" TargetMode="External"/><Relationship Id="rId104" Type="http://schemas.openxmlformats.org/officeDocument/2006/relationships/hyperlink" Target="https://docs.google.com/spreadsheets/d/1Kx05JImIOfl4R33DONm57V9S7BHm-ikzVgCKUKDecAQ/edit" TargetMode="External"/><Relationship Id="rId225" Type="http://schemas.openxmlformats.org/officeDocument/2006/relationships/hyperlink" Target="https://docs.google.com/spreadsheets/d/1avwaLPC0vzQlxbJnF3faTNOkw3FwMyO17zFpjCNc9CU/edit" TargetMode="External"/><Relationship Id="rId346" Type="http://schemas.openxmlformats.org/officeDocument/2006/relationships/hyperlink" Target="https://docs.google.com/spreadsheets/d/1Hl7_UxTs1hem7ptVgqsakEq1bnVIAtBi8h8ElsdwqI0/edit" TargetMode="External"/><Relationship Id="rId467" Type="http://schemas.openxmlformats.org/officeDocument/2006/relationships/hyperlink" Target="https://docs.google.com/spreadsheets/d/1Q5Lfnoxb9AwKhnwx-R1a8ctFcxo-ouqeYj53fCh8478/edit" TargetMode="External"/><Relationship Id="rId109" Type="http://schemas.openxmlformats.org/officeDocument/2006/relationships/hyperlink" Target="https://docs.google.com/spreadsheets/d/1GUwW_EKplw8CEbJgAe8SqzdXNsdKIGS-9U_jioWrHMU/edit" TargetMode="External"/><Relationship Id="rId108" Type="http://schemas.openxmlformats.org/officeDocument/2006/relationships/hyperlink" Target="https://docs.google.com/spreadsheets/d/1GUwW_EKplw8CEbJgAe8SqzdXNsdKIGS-9U_jioWrHMU/edit" TargetMode="External"/><Relationship Id="rId229" Type="http://schemas.openxmlformats.org/officeDocument/2006/relationships/hyperlink" Target="https://docs.google.com/spreadsheets/d/1avwaLPC0vzQlxbJnF3faTNOkw3FwMyO17zFpjCNc9CU/edit" TargetMode="External"/><Relationship Id="rId220" Type="http://schemas.openxmlformats.org/officeDocument/2006/relationships/hyperlink" Target="https://docs.google.com/spreadsheets/d/1avwaLPC0vzQlxbJnF3faTNOkw3FwMyO17zFpjCNc9CU/edit" TargetMode="External"/><Relationship Id="rId341" Type="http://schemas.openxmlformats.org/officeDocument/2006/relationships/hyperlink" Target="https://docs.google.com/spreadsheets/d/1Hl7_UxTs1hem7ptVgqsakEq1bnVIAtBi8h8ElsdwqI0/edit" TargetMode="External"/><Relationship Id="rId462" Type="http://schemas.openxmlformats.org/officeDocument/2006/relationships/hyperlink" Target="https://docs.google.com/spreadsheets/d/1Q5Lfnoxb9AwKhnwx-R1a8ctFcxo-ouqeYj53fCh8478/edit" TargetMode="External"/><Relationship Id="rId340" Type="http://schemas.openxmlformats.org/officeDocument/2006/relationships/hyperlink" Target="https://docs.google.com/spreadsheets/d/1Hl7_UxTs1hem7ptVgqsakEq1bnVIAtBi8h8ElsdwqI0/edit" TargetMode="External"/><Relationship Id="rId461" Type="http://schemas.openxmlformats.org/officeDocument/2006/relationships/hyperlink" Target="https://docs.google.com/spreadsheets/d/1Q5Lfnoxb9AwKhnwx-R1a8ctFcxo-ouqeYj53fCh8478/edit" TargetMode="External"/><Relationship Id="rId460" Type="http://schemas.openxmlformats.org/officeDocument/2006/relationships/hyperlink" Target="https://docs.google.com/spreadsheets/d/1Q5Lfnoxb9AwKhnwx-R1a8ctFcxo-ouqeYj53fCh8478/edit" TargetMode="External"/><Relationship Id="rId103" Type="http://schemas.openxmlformats.org/officeDocument/2006/relationships/hyperlink" Target="https://docs.google.com/spreadsheets/d/1Kx05JImIOfl4R33DONm57V9S7BHm-ikzVgCKUKDecAQ/edit" TargetMode="External"/><Relationship Id="rId224" Type="http://schemas.openxmlformats.org/officeDocument/2006/relationships/hyperlink" Target="https://docs.google.com/spreadsheets/d/1avwaLPC0vzQlxbJnF3faTNOkw3FwMyO17zFpjCNc9CU/edit" TargetMode="External"/><Relationship Id="rId345" Type="http://schemas.openxmlformats.org/officeDocument/2006/relationships/hyperlink" Target="https://docs.google.com/spreadsheets/d/1Hl7_UxTs1hem7ptVgqsakEq1bnVIAtBi8h8ElsdwqI0/edit" TargetMode="External"/><Relationship Id="rId466" Type="http://schemas.openxmlformats.org/officeDocument/2006/relationships/hyperlink" Target="https://docs.google.com/spreadsheets/d/1Q5Lfnoxb9AwKhnwx-R1a8ctFcxo-ouqeYj53fCh8478/edit" TargetMode="External"/><Relationship Id="rId102" Type="http://schemas.openxmlformats.org/officeDocument/2006/relationships/hyperlink" Target="https://docs.google.com/spreadsheets/d/1Kx05JImIOfl4R33DONm57V9S7BHm-ikzVgCKUKDecAQ/edit" TargetMode="External"/><Relationship Id="rId223" Type="http://schemas.openxmlformats.org/officeDocument/2006/relationships/hyperlink" Target="https://docs.google.com/spreadsheets/d/1avwaLPC0vzQlxbJnF3faTNOkw3FwMyO17zFpjCNc9CU/edit" TargetMode="External"/><Relationship Id="rId344" Type="http://schemas.openxmlformats.org/officeDocument/2006/relationships/hyperlink" Target="https://docs.google.com/spreadsheets/d/1Hl7_UxTs1hem7ptVgqsakEq1bnVIAtBi8h8ElsdwqI0/edit" TargetMode="External"/><Relationship Id="rId465" Type="http://schemas.openxmlformats.org/officeDocument/2006/relationships/hyperlink" Target="https://docs.google.com/spreadsheets/d/1Q5Lfnoxb9AwKhnwx-R1a8ctFcxo-ouqeYj53fCh8478/edit" TargetMode="External"/><Relationship Id="rId101" Type="http://schemas.openxmlformats.org/officeDocument/2006/relationships/hyperlink" Target="https://docs.google.com/spreadsheets/d/1Kx05JImIOfl4R33DONm57V9S7BHm-ikzVgCKUKDecAQ/edit" TargetMode="External"/><Relationship Id="rId222" Type="http://schemas.openxmlformats.org/officeDocument/2006/relationships/hyperlink" Target="https://docs.google.com/spreadsheets/d/1avwaLPC0vzQlxbJnF3faTNOkw3FwMyO17zFpjCNc9CU/edit" TargetMode="External"/><Relationship Id="rId343" Type="http://schemas.openxmlformats.org/officeDocument/2006/relationships/hyperlink" Target="https://docs.google.com/spreadsheets/d/1Hl7_UxTs1hem7ptVgqsakEq1bnVIAtBi8h8ElsdwqI0/edit" TargetMode="External"/><Relationship Id="rId464" Type="http://schemas.openxmlformats.org/officeDocument/2006/relationships/hyperlink" Target="https://docs.google.com/spreadsheets/d/1Q5Lfnoxb9AwKhnwx-R1a8ctFcxo-ouqeYj53fCh8478/edit" TargetMode="External"/><Relationship Id="rId100" Type="http://schemas.openxmlformats.org/officeDocument/2006/relationships/hyperlink" Target="https://docs.google.com/spreadsheets/d/1Kx05JImIOfl4R33DONm57V9S7BHm-ikzVgCKUKDecAQ/edit" TargetMode="External"/><Relationship Id="rId221" Type="http://schemas.openxmlformats.org/officeDocument/2006/relationships/hyperlink" Target="https://docs.google.com/spreadsheets/d/1avwaLPC0vzQlxbJnF3faTNOkw3FwMyO17zFpjCNc9CU/edit" TargetMode="External"/><Relationship Id="rId342" Type="http://schemas.openxmlformats.org/officeDocument/2006/relationships/hyperlink" Target="https://docs.google.com/spreadsheets/d/1Hl7_UxTs1hem7ptVgqsakEq1bnVIAtBi8h8ElsdwqI0/edit" TargetMode="External"/><Relationship Id="rId463" Type="http://schemas.openxmlformats.org/officeDocument/2006/relationships/hyperlink" Target="https://docs.google.com/spreadsheets/d/1Q5Lfnoxb9AwKhnwx-R1a8ctFcxo-ouqeYj53fCh8478/edit" TargetMode="External"/><Relationship Id="rId217" Type="http://schemas.openxmlformats.org/officeDocument/2006/relationships/hyperlink" Target="https://docs.google.com/spreadsheets/d/1avwaLPC0vzQlxbJnF3faTNOkw3FwMyO17zFpjCNc9CU/edit" TargetMode="External"/><Relationship Id="rId338" Type="http://schemas.openxmlformats.org/officeDocument/2006/relationships/hyperlink" Target="https://docs.google.com/spreadsheets/d/1Hl7_UxTs1hem7ptVgqsakEq1bnVIAtBi8h8ElsdwqI0/edit" TargetMode="External"/><Relationship Id="rId459" Type="http://schemas.openxmlformats.org/officeDocument/2006/relationships/hyperlink" Target="https://docs.google.com/spreadsheets/d/1Q5Lfnoxb9AwKhnwx-R1a8ctFcxo-ouqeYj53fCh8478/edit" TargetMode="External"/><Relationship Id="rId216" Type="http://schemas.openxmlformats.org/officeDocument/2006/relationships/hyperlink" Target="https://docs.google.com/spreadsheets/d/1avwaLPC0vzQlxbJnF3faTNOkw3FwMyO17zFpjCNc9CU/edit" TargetMode="External"/><Relationship Id="rId337" Type="http://schemas.openxmlformats.org/officeDocument/2006/relationships/hyperlink" Target="https://docs.google.com/spreadsheets/d/13MfycJpROb8yJshLEISMrJr65D9BYPKYsCceGgFZk64/edit" TargetMode="External"/><Relationship Id="rId458" Type="http://schemas.openxmlformats.org/officeDocument/2006/relationships/hyperlink" Target="https://docs.google.com/spreadsheets/d/1Q5Lfnoxb9AwKhnwx-R1a8ctFcxo-ouqeYj53fCh8478/edit" TargetMode="External"/><Relationship Id="rId215" Type="http://schemas.openxmlformats.org/officeDocument/2006/relationships/hyperlink" Target="https://docs.google.com/spreadsheets/d/1avwaLPC0vzQlxbJnF3faTNOkw3FwMyO17zFpjCNc9CU/edit" TargetMode="External"/><Relationship Id="rId336" Type="http://schemas.openxmlformats.org/officeDocument/2006/relationships/hyperlink" Target="https://docs.google.com/spreadsheets/d/13MfycJpROb8yJshLEISMrJr65D9BYPKYsCceGgFZk64/edit" TargetMode="External"/><Relationship Id="rId457" Type="http://schemas.openxmlformats.org/officeDocument/2006/relationships/hyperlink" Target="https://docs.google.com/spreadsheets/d/1Q5Lfnoxb9AwKhnwx-R1a8ctFcxo-ouqeYj53fCh8478/edit" TargetMode="External"/><Relationship Id="rId214" Type="http://schemas.openxmlformats.org/officeDocument/2006/relationships/hyperlink" Target="https://docs.google.com/spreadsheets/d/1avwaLPC0vzQlxbJnF3faTNOkw3FwMyO17zFpjCNc9CU/edit" TargetMode="External"/><Relationship Id="rId335" Type="http://schemas.openxmlformats.org/officeDocument/2006/relationships/hyperlink" Target="https://docs.google.com/spreadsheets/d/13MfycJpROb8yJshLEISMrJr65D9BYPKYsCceGgFZk64/edit" TargetMode="External"/><Relationship Id="rId456" Type="http://schemas.openxmlformats.org/officeDocument/2006/relationships/hyperlink" Target="https://docs.google.com/spreadsheets/d/1Q5Lfnoxb9AwKhnwx-R1a8ctFcxo-ouqeYj53fCh8478/edit" TargetMode="External"/><Relationship Id="rId219" Type="http://schemas.openxmlformats.org/officeDocument/2006/relationships/hyperlink" Target="https://docs.google.com/spreadsheets/d/1avwaLPC0vzQlxbJnF3faTNOkw3FwMyO17zFpjCNc9CU/edit" TargetMode="External"/><Relationship Id="rId218" Type="http://schemas.openxmlformats.org/officeDocument/2006/relationships/hyperlink" Target="https://docs.google.com/spreadsheets/d/1avwaLPC0vzQlxbJnF3faTNOkw3FwMyO17zFpjCNc9CU/edit" TargetMode="External"/><Relationship Id="rId339" Type="http://schemas.openxmlformats.org/officeDocument/2006/relationships/hyperlink" Target="https://docs.google.com/spreadsheets/d/1Hl7_UxTs1hem7ptVgqsakEq1bnVIAtBi8h8ElsdwqI0/edit" TargetMode="External"/><Relationship Id="rId330" Type="http://schemas.openxmlformats.org/officeDocument/2006/relationships/hyperlink" Target="https://docs.google.com/spreadsheets/d/13MfycJpROb8yJshLEISMrJr65D9BYPKYsCceGgFZk64/edit" TargetMode="External"/><Relationship Id="rId451" Type="http://schemas.openxmlformats.org/officeDocument/2006/relationships/hyperlink" Target="https://docs.google.com/spreadsheets/d/1ZRpZnQdz9aUE_mr4HHd990k6Gm_DTWUXkhwlBHz_MEQ/edit" TargetMode="External"/><Relationship Id="rId450" Type="http://schemas.openxmlformats.org/officeDocument/2006/relationships/hyperlink" Target="https://docs.google.com/spreadsheets/d/1ZRpZnQdz9aUE_mr4HHd990k6Gm_DTWUXkhwlBHz_MEQ/edit" TargetMode="External"/><Relationship Id="rId213" Type="http://schemas.openxmlformats.org/officeDocument/2006/relationships/hyperlink" Target="https://docs.google.com/spreadsheets/d/1avwaLPC0vzQlxbJnF3faTNOkw3FwMyO17zFpjCNc9CU/edit" TargetMode="External"/><Relationship Id="rId334" Type="http://schemas.openxmlformats.org/officeDocument/2006/relationships/hyperlink" Target="https://docs.google.com/spreadsheets/d/13MfycJpROb8yJshLEISMrJr65D9BYPKYsCceGgFZk64/edit" TargetMode="External"/><Relationship Id="rId455" Type="http://schemas.openxmlformats.org/officeDocument/2006/relationships/hyperlink" Target="https://docs.google.com/spreadsheets/d/1ZRpZnQdz9aUE_mr4HHd990k6Gm_DTWUXkhwlBHz_MEQ/edit" TargetMode="External"/><Relationship Id="rId212" Type="http://schemas.openxmlformats.org/officeDocument/2006/relationships/hyperlink" Target="https://docs.google.com/spreadsheets/d/1avwaLPC0vzQlxbJnF3faTNOkw3FwMyO17zFpjCNc9CU/edit" TargetMode="External"/><Relationship Id="rId333" Type="http://schemas.openxmlformats.org/officeDocument/2006/relationships/hyperlink" Target="https://docs.google.com/spreadsheets/d/13MfycJpROb8yJshLEISMrJr65D9BYPKYsCceGgFZk64/edit" TargetMode="External"/><Relationship Id="rId454" Type="http://schemas.openxmlformats.org/officeDocument/2006/relationships/hyperlink" Target="https://docs.google.com/spreadsheets/d/1ZRpZnQdz9aUE_mr4HHd990k6Gm_DTWUXkhwlBHz_MEQ/edit" TargetMode="External"/><Relationship Id="rId211" Type="http://schemas.openxmlformats.org/officeDocument/2006/relationships/hyperlink" Target="https://docs.google.com/spreadsheets/d/1avwaLPC0vzQlxbJnF3faTNOkw3FwMyO17zFpjCNc9CU/edit" TargetMode="External"/><Relationship Id="rId332" Type="http://schemas.openxmlformats.org/officeDocument/2006/relationships/hyperlink" Target="https://docs.google.com/spreadsheets/d/13MfycJpROb8yJshLEISMrJr65D9BYPKYsCceGgFZk64/edit" TargetMode="External"/><Relationship Id="rId453" Type="http://schemas.openxmlformats.org/officeDocument/2006/relationships/hyperlink" Target="https://docs.google.com/spreadsheets/d/1ZRpZnQdz9aUE_mr4HHd990k6Gm_DTWUXkhwlBHz_MEQ/edit" TargetMode="External"/><Relationship Id="rId210" Type="http://schemas.openxmlformats.org/officeDocument/2006/relationships/hyperlink" Target="https://docs.google.com/spreadsheets/d/1avwaLPC0vzQlxbJnF3faTNOkw3FwMyO17zFpjCNc9CU/edit" TargetMode="External"/><Relationship Id="rId331" Type="http://schemas.openxmlformats.org/officeDocument/2006/relationships/hyperlink" Target="https://docs.google.com/spreadsheets/d/13MfycJpROb8yJshLEISMrJr65D9BYPKYsCceGgFZk64/edit" TargetMode="External"/><Relationship Id="rId452" Type="http://schemas.openxmlformats.org/officeDocument/2006/relationships/hyperlink" Target="https://docs.google.com/spreadsheets/d/1ZRpZnQdz9aUE_mr4HHd990k6Gm_DTWUXkhwlBHz_MEQ/edit" TargetMode="External"/><Relationship Id="rId370" Type="http://schemas.openxmlformats.org/officeDocument/2006/relationships/hyperlink" Target="https://docs.google.com/spreadsheets/d/1hg2hGsNCnq8HaYYtNnu0MIfkEeJLlc3FZhc3Oj-ZMMI/edit" TargetMode="External"/><Relationship Id="rId491" Type="http://schemas.openxmlformats.org/officeDocument/2006/relationships/hyperlink" Target="https://docs.google.com/spreadsheets/d/1RBYzgra-RweOGB794OGwGBa-XzjDPvDGNgY2r2GUE9c/edit" TargetMode="External"/><Relationship Id="rId490" Type="http://schemas.openxmlformats.org/officeDocument/2006/relationships/hyperlink" Target="https://docs.google.com/spreadsheets/d/1Q5Lfnoxb9AwKhnwx-R1a8ctFcxo-ouqeYj53fCh8478/edit" TargetMode="External"/><Relationship Id="rId129" Type="http://schemas.openxmlformats.org/officeDocument/2006/relationships/hyperlink" Target="https://docs.google.com/spreadsheets/d/1hnLYeml0J4zS1z6PTzjihM8CkKDN3Zz3zvfa9c95Lx0/edit" TargetMode="External"/><Relationship Id="rId128" Type="http://schemas.openxmlformats.org/officeDocument/2006/relationships/hyperlink" Target="https://docs.google.com/spreadsheets/d/1hnLYeml0J4zS1z6PTzjihM8CkKDN3Zz3zvfa9c95Lx0/edit" TargetMode="External"/><Relationship Id="rId249" Type="http://schemas.openxmlformats.org/officeDocument/2006/relationships/hyperlink" Target="https://docs.google.com/spreadsheets/d/10t91WY4I9PGcpNfp5foLxGWqQW452mbt9JokUKXvg-4/edit" TargetMode="External"/><Relationship Id="rId127" Type="http://schemas.openxmlformats.org/officeDocument/2006/relationships/hyperlink" Target="https://docs.google.com/spreadsheets/d/1hnLYeml0J4zS1z6PTzjihM8CkKDN3Zz3zvfa9c95Lx0/edit" TargetMode="External"/><Relationship Id="rId248" Type="http://schemas.openxmlformats.org/officeDocument/2006/relationships/hyperlink" Target="https://docs.google.com/spreadsheets/d/10t91WY4I9PGcpNfp5foLxGWqQW452mbt9JokUKXvg-4/edit" TargetMode="External"/><Relationship Id="rId369" Type="http://schemas.openxmlformats.org/officeDocument/2006/relationships/hyperlink" Target="https://docs.google.com/spreadsheets/d/1hg2hGsNCnq8HaYYtNnu0MIfkEeJLlc3FZhc3Oj-ZMMI/edit" TargetMode="External"/><Relationship Id="rId126" Type="http://schemas.openxmlformats.org/officeDocument/2006/relationships/hyperlink" Target="https://docs.google.com/spreadsheets/d/1hnLYeml0J4zS1z6PTzjihM8CkKDN3Zz3zvfa9c95Lx0/edit" TargetMode="External"/><Relationship Id="rId247" Type="http://schemas.openxmlformats.org/officeDocument/2006/relationships/hyperlink" Target="https://docs.google.com/spreadsheets/d/10t91WY4I9PGcpNfp5foLxGWqQW452mbt9JokUKXvg-4/edit" TargetMode="External"/><Relationship Id="rId368" Type="http://schemas.openxmlformats.org/officeDocument/2006/relationships/hyperlink" Target="https://docs.google.com/spreadsheets/d/1hg2hGsNCnq8HaYYtNnu0MIfkEeJLlc3FZhc3Oj-ZMMI/edit" TargetMode="External"/><Relationship Id="rId489" Type="http://schemas.openxmlformats.org/officeDocument/2006/relationships/hyperlink" Target="https://docs.google.com/spreadsheets/d/1Q5Lfnoxb9AwKhnwx-R1a8ctFcxo-ouqeYj53fCh8478/edit" TargetMode="External"/><Relationship Id="rId121" Type="http://schemas.openxmlformats.org/officeDocument/2006/relationships/hyperlink" Target="https://docs.google.com/spreadsheets/d/1hnLYeml0J4zS1z6PTzjihM8CkKDN3Zz3zvfa9c95Lx0/edit" TargetMode="External"/><Relationship Id="rId242" Type="http://schemas.openxmlformats.org/officeDocument/2006/relationships/hyperlink" Target="https://docs.google.com/spreadsheets/d/10t91WY4I9PGcpNfp5foLxGWqQW452mbt9JokUKXvg-4/edit" TargetMode="External"/><Relationship Id="rId363" Type="http://schemas.openxmlformats.org/officeDocument/2006/relationships/hyperlink" Target="https://docs.google.com/spreadsheets/d/1hg2hGsNCnq8HaYYtNnu0MIfkEeJLlc3FZhc3Oj-ZMMI/edit" TargetMode="External"/><Relationship Id="rId484" Type="http://schemas.openxmlformats.org/officeDocument/2006/relationships/hyperlink" Target="https://docs.google.com/spreadsheets/d/1Q5Lfnoxb9AwKhnwx-R1a8ctFcxo-ouqeYj53fCh8478/edit" TargetMode="External"/><Relationship Id="rId120" Type="http://schemas.openxmlformats.org/officeDocument/2006/relationships/hyperlink" Target="https://docs.google.com/spreadsheets/d/1hnLYeml0J4zS1z6PTzjihM8CkKDN3Zz3zvfa9c95Lx0/edit" TargetMode="External"/><Relationship Id="rId241" Type="http://schemas.openxmlformats.org/officeDocument/2006/relationships/hyperlink" Target="https://docs.google.com/spreadsheets/d/10t91WY4I9PGcpNfp5foLxGWqQW452mbt9JokUKXvg-4/edit" TargetMode="External"/><Relationship Id="rId362" Type="http://schemas.openxmlformats.org/officeDocument/2006/relationships/hyperlink" Target="https://docs.google.com/spreadsheets/d/1hg2hGsNCnq8HaYYtNnu0MIfkEeJLlc3FZhc3Oj-ZMMI/edit" TargetMode="External"/><Relationship Id="rId483" Type="http://schemas.openxmlformats.org/officeDocument/2006/relationships/hyperlink" Target="https://docs.google.com/spreadsheets/d/1Q5Lfnoxb9AwKhnwx-R1a8ctFcxo-ouqeYj53fCh8478/edit" TargetMode="External"/><Relationship Id="rId240" Type="http://schemas.openxmlformats.org/officeDocument/2006/relationships/hyperlink" Target="https://docs.google.com/spreadsheets/d/10t91WY4I9PGcpNfp5foLxGWqQW452mbt9JokUKXvg-4/edit" TargetMode="External"/><Relationship Id="rId361" Type="http://schemas.openxmlformats.org/officeDocument/2006/relationships/hyperlink" Target="https://docs.google.com/spreadsheets/d/1hg2hGsNCnq8HaYYtNnu0MIfkEeJLlc3FZhc3Oj-ZMMI/edit" TargetMode="External"/><Relationship Id="rId482" Type="http://schemas.openxmlformats.org/officeDocument/2006/relationships/hyperlink" Target="https://docs.google.com/spreadsheets/d/1Q5Lfnoxb9AwKhnwx-R1a8ctFcxo-ouqeYj53fCh8478/edit" TargetMode="External"/><Relationship Id="rId360" Type="http://schemas.openxmlformats.org/officeDocument/2006/relationships/hyperlink" Target="https://docs.google.com/spreadsheets/d/1hg2hGsNCnq8HaYYtNnu0MIfkEeJLlc3FZhc3Oj-ZMMI/edit" TargetMode="External"/><Relationship Id="rId481" Type="http://schemas.openxmlformats.org/officeDocument/2006/relationships/hyperlink" Target="https://docs.google.com/spreadsheets/d/1Q5Lfnoxb9AwKhnwx-R1a8ctFcxo-ouqeYj53fCh8478/edit" TargetMode="External"/><Relationship Id="rId125" Type="http://schemas.openxmlformats.org/officeDocument/2006/relationships/hyperlink" Target="https://docs.google.com/spreadsheets/d/1hnLYeml0J4zS1z6PTzjihM8CkKDN3Zz3zvfa9c95Lx0/edit" TargetMode="External"/><Relationship Id="rId246" Type="http://schemas.openxmlformats.org/officeDocument/2006/relationships/hyperlink" Target="https://docs.google.com/spreadsheets/d/10t91WY4I9PGcpNfp5foLxGWqQW452mbt9JokUKXvg-4/edit" TargetMode="External"/><Relationship Id="rId367" Type="http://schemas.openxmlformats.org/officeDocument/2006/relationships/hyperlink" Target="https://docs.google.com/spreadsheets/d/1hg2hGsNCnq8HaYYtNnu0MIfkEeJLlc3FZhc3Oj-ZMMI/edit" TargetMode="External"/><Relationship Id="rId488" Type="http://schemas.openxmlformats.org/officeDocument/2006/relationships/hyperlink" Target="https://docs.google.com/spreadsheets/d/1Q5Lfnoxb9AwKhnwx-R1a8ctFcxo-ouqeYj53fCh8478/edit" TargetMode="External"/><Relationship Id="rId124" Type="http://schemas.openxmlformats.org/officeDocument/2006/relationships/hyperlink" Target="https://docs.google.com/spreadsheets/d/1hnLYeml0J4zS1z6PTzjihM8CkKDN3Zz3zvfa9c95Lx0/edit" TargetMode="External"/><Relationship Id="rId245" Type="http://schemas.openxmlformats.org/officeDocument/2006/relationships/hyperlink" Target="https://docs.google.com/spreadsheets/d/10t91WY4I9PGcpNfp5foLxGWqQW452mbt9JokUKXvg-4/edit" TargetMode="External"/><Relationship Id="rId366" Type="http://schemas.openxmlformats.org/officeDocument/2006/relationships/hyperlink" Target="https://docs.google.com/spreadsheets/d/1hg2hGsNCnq8HaYYtNnu0MIfkEeJLlc3FZhc3Oj-ZMMI/edit" TargetMode="External"/><Relationship Id="rId487" Type="http://schemas.openxmlformats.org/officeDocument/2006/relationships/hyperlink" Target="https://docs.google.com/spreadsheets/d/1Q5Lfnoxb9AwKhnwx-R1a8ctFcxo-ouqeYj53fCh8478/edit" TargetMode="External"/><Relationship Id="rId123" Type="http://schemas.openxmlformats.org/officeDocument/2006/relationships/hyperlink" Target="https://docs.google.com/spreadsheets/d/1hnLYeml0J4zS1z6PTzjihM8CkKDN3Zz3zvfa9c95Lx0/edit" TargetMode="External"/><Relationship Id="rId244" Type="http://schemas.openxmlformats.org/officeDocument/2006/relationships/hyperlink" Target="https://docs.google.com/spreadsheets/d/10t91WY4I9PGcpNfp5foLxGWqQW452mbt9JokUKXvg-4/edit" TargetMode="External"/><Relationship Id="rId365" Type="http://schemas.openxmlformats.org/officeDocument/2006/relationships/hyperlink" Target="https://docs.google.com/spreadsheets/d/1hg2hGsNCnq8HaYYtNnu0MIfkEeJLlc3FZhc3Oj-ZMMI/edit" TargetMode="External"/><Relationship Id="rId486" Type="http://schemas.openxmlformats.org/officeDocument/2006/relationships/hyperlink" Target="https://docs.google.com/spreadsheets/d/1Q5Lfnoxb9AwKhnwx-R1a8ctFcxo-ouqeYj53fCh8478/edit" TargetMode="External"/><Relationship Id="rId122" Type="http://schemas.openxmlformats.org/officeDocument/2006/relationships/hyperlink" Target="https://docs.google.com/spreadsheets/d/1hnLYeml0J4zS1z6PTzjihM8CkKDN3Zz3zvfa9c95Lx0/edit" TargetMode="External"/><Relationship Id="rId243" Type="http://schemas.openxmlformats.org/officeDocument/2006/relationships/hyperlink" Target="https://docs.google.com/spreadsheets/d/10t91WY4I9PGcpNfp5foLxGWqQW452mbt9JokUKXvg-4/edit" TargetMode="External"/><Relationship Id="rId364" Type="http://schemas.openxmlformats.org/officeDocument/2006/relationships/hyperlink" Target="https://docs.google.com/spreadsheets/d/1hg2hGsNCnq8HaYYtNnu0MIfkEeJLlc3FZhc3Oj-ZMMI/edit" TargetMode="External"/><Relationship Id="rId485" Type="http://schemas.openxmlformats.org/officeDocument/2006/relationships/hyperlink" Target="https://docs.google.com/spreadsheets/d/1Q5Lfnoxb9AwKhnwx-R1a8ctFcxo-ouqeYj53fCh8478/edit" TargetMode="External"/><Relationship Id="rId95" Type="http://schemas.openxmlformats.org/officeDocument/2006/relationships/hyperlink" Target="https://docs.google.com/spreadsheets/d/1GUwW_EKplw8CEbJgAe8SqzdXNsdKIGS-9U_jioWrHMU/edit" TargetMode="External"/><Relationship Id="rId94" Type="http://schemas.openxmlformats.org/officeDocument/2006/relationships/hyperlink" Target="https://docs.google.com/spreadsheets/d/1GUwW_EKplw8CEbJgAe8SqzdXNsdKIGS-9U_jioWrHMU/edit" TargetMode="External"/><Relationship Id="rId97" Type="http://schemas.openxmlformats.org/officeDocument/2006/relationships/hyperlink" Target="https://docs.google.com/spreadsheets/d/1GUwW_EKplw8CEbJgAe8SqzdXNsdKIGS-9U_jioWrHMU/edit" TargetMode="External"/><Relationship Id="rId96" Type="http://schemas.openxmlformats.org/officeDocument/2006/relationships/hyperlink" Target="https://docs.google.com/spreadsheets/d/1Kx05JImIOfl4R33DONm57V9S7BHm-ikzVgCKUKDecAQ/edit" TargetMode="External"/><Relationship Id="rId99" Type="http://schemas.openxmlformats.org/officeDocument/2006/relationships/hyperlink" Target="https://docs.google.com/spreadsheets/d/1Kx05JImIOfl4R33DONm57V9S7BHm-ikzVgCKUKDecAQ/edit" TargetMode="External"/><Relationship Id="rId480" Type="http://schemas.openxmlformats.org/officeDocument/2006/relationships/hyperlink" Target="https://docs.google.com/spreadsheets/d/1Q5Lfnoxb9AwKhnwx-R1a8ctFcxo-ouqeYj53fCh8478/edit" TargetMode="External"/><Relationship Id="rId98" Type="http://schemas.openxmlformats.org/officeDocument/2006/relationships/hyperlink" Target="https://docs.google.com/spreadsheets/d/1GUwW_EKplw8CEbJgAe8SqzdXNsdKIGS-9U_jioWrHMU/edit" TargetMode="External"/><Relationship Id="rId91" Type="http://schemas.openxmlformats.org/officeDocument/2006/relationships/hyperlink" Target="https://docs.google.com/spreadsheets/d/1GUwW_EKplw8CEbJgAe8SqzdXNsdKIGS-9U_jioWrHMU/edit" TargetMode="External"/><Relationship Id="rId90" Type="http://schemas.openxmlformats.org/officeDocument/2006/relationships/hyperlink" Target="https://docs.google.com/spreadsheets/d/1GUwW_EKplw8CEbJgAe8SqzdXNsdKIGS-9U_jioWrHMU/edit" TargetMode="External"/><Relationship Id="rId93" Type="http://schemas.openxmlformats.org/officeDocument/2006/relationships/hyperlink" Target="https://docs.google.com/spreadsheets/d/1GUwW_EKplw8CEbJgAe8SqzdXNsdKIGS-9U_jioWrHMU/edit" TargetMode="External"/><Relationship Id="rId92" Type="http://schemas.openxmlformats.org/officeDocument/2006/relationships/hyperlink" Target="https://docs.google.com/spreadsheets/d/1GUwW_EKplw8CEbJgAe8SqzdXNsdKIGS-9U_jioWrHMU/edit" TargetMode="External"/><Relationship Id="rId118" Type="http://schemas.openxmlformats.org/officeDocument/2006/relationships/hyperlink" Target="https://docs.google.com/spreadsheets/d/1hnLYeml0J4zS1z6PTzjihM8CkKDN3Zz3zvfa9c95Lx0/edit" TargetMode="External"/><Relationship Id="rId239" Type="http://schemas.openxmlformats.org/officeDocument/2006/relationships/hyperlink" Target="https://docs.google.com/spreadsheets/d/10t91WY4I9PGcpNfp5foLxGWqQW452mbt9JokUKXvg-4/edit" TargetMode="External"/><Relationship Id="rId117" Type="http://schemas.openxmlformats.org/officeDocument/2006/relationships/hyperlink" Target="https://docs.google.com/spreadsheets/d/1hnLYeml0J4zS1z6PTzjihM8CkKDN3Zz3zvfa9c95Lx0/edit" TargetMode="External"/><Relationship Id="rId238" Type="http://schemas.openxmlformats.org/officeDocument/2006/relationships/hyperlink" Target="https://docs.google.com/spreadsheets/d/10t91WY4I9PGcpNfp5foLxGWqQW452mbt9JokUKXvg-4/edit" TargetMode="External"/><Relationship Id="rId359" Type="http://schemas.openxmlformats.org/officeDocument/2006/relationships/hyperlink" Target="https://docs.google.com/spreadsheets/d/1hg2hGsNCnq8HaYYtNnu0MIfkEeJLlc3FZhc3Oj-ZMMI/edit" TargetMode="External"/><Relationship Id="rId116" Type="http://schemas.openxmlformats.org/officeDocument/2006/relationships/hyperlink" Target="https://docs.google.com/spreadsheets/d/1zInvAiqnSrVQj2hL_4TJ45iWLqYs9Y4C6WnbrJ-VyRU/edit" TargetMode="External"/><Relationship Id="rId237" Type="http://schemas.openxmlformats.org/officeDocument/2006/relationships/hyperlink" Target="https://docs.google.com/spreadsheets/d/10t91WY4I9PGcpNfp5foLxGWqQW452mbt9JokUKXvg-4/edit" TargetMode="External"/><Relationship Id="rId358" Type="http://schemas.openxmlformats.org/officeDocument/2006/relationships/hyperlink" Target="https://docs.google.com/spreadsheets/d/1hg2hGsNCnq8HaYYtNnu0MIfkEeJLlc3FZhc3Oj-ZMMI/edit" TargetMode="External"/><Relationship Id="rId479" Type="http://schemas.openxmlformats.org/officeDocument/2006/relationships/hyperlink" Target="https://docs.google.com/spreadsheets/d/1Q5Lfnoxb9AwKhnwx-R1a8ctFcxo-ouqeYj53fCh8478/edit" TargetMode="External"/><Relationship Id="rId115" Type="http://schemas.openxmlformats.org/officeDocument/2006/relationships/hyperlink" Target="https://docs.google.com/spreadsheets/d/1GUwW_EKplw8CEbJgAe8SqzdXNsdKIGS-9U_jioWrHMU/edit" TargetMode="External"/><Relationship Id="rId236" Type="http://schemas.openxmlformats.org/officeDocument/2006/relationships/hyperlink" Target="https://docs.google.com/spreadsheets/d/10t91WY4I9PGcpNfp5foLxGWqQW452mbt9JokUKXvg-4/edit" TargetMode="External"/><Relationship Id="rId357" Type="http://schemas.openxmlformats.org/officeDocument/2006/relationships/hyperlink" Target="https://docs.google.com/spreadsheets/d/1hg2hGsNCnq8HaYYtNnu0MIfkEeJLlc3FZhc3Oj-ZMMI/edit" TargetMode="External"/><Relationship Id="rId478" Type="http://schemas.openxmlformats.org/officeDocument/2006/relationships/hyperlink" Target="https://docs.google.com/spreadsheets/d/1Q5Lfnoxb9AwKhnwx-R1a8ctFcxo-ouqeYj53fCh8478/edit" TargetMode="External"/><Relationship Id="rId119" Type="http://schemas.openxmlformats.org/officeDocument/2006/relationships/hyperlink" Target="https://docs.google.com/spreadsheets/d/1hnLYeml0J4zS1z6PTzjihM8CkKDN3Zz3zvfa9c95Lx0/edit" TargetMode="External"/><Relationship Id="rId110" Type="http://schemas.openxmlformats.org/officeDocument/2006/relationships/hyperlink" Target="https://docs.google.com/spreadsheets/d/1GUwW_EKplw8CEbJgAe8SqzdXNsdKIGS-9U_jioWrHMU/edit" TargetMode="External"/><Relationship Id="rId231" Type="http://schemas.openxmlformats.org/officeDocument/2006/relationships/hyperlink" Target="https://docs.google.com/spreadsheets/d/1avwaLPC0vzQlxbJnF3faTNOkw3FwMyO17zFpjCNc9CU/edit" TargetMode="External"/><Relationship Id="rId352" Type="http://schemas.openxmlformats.org/officeDocument/2006/relationships/hyperlink" Target="https://docs.google.com/spreadsheets/d/1hg2hGsNCnq8HaYYtNnu0MIfkEeJLlc3FZhc3Oj-ZMMI/edit" TargetMode="External"/><Relationship Id="rId473" Type="http://schemas.openxmlformats.org/officeDocument/2006/relationships/hyperlink" Target="https://docs.google.com/spreadsheets/d/1Q5Lfnoxb9AwKhnwx-R1a8ctFcxo-ouqeYj53fCh8478/edit" TargetMode="External"/><Relationship Id="rId230" Type="http://schemas.openxmlformats.org/officeDocument/2006/relationships/hyperlink" Target="https://docs.google.com/spreadsheets/d/1avwaLPC0vzQlxbJnF3faTNOkw3FwMyO17zFpjCNc9CU/edit" TargetMode="External"/><Relationship Id="rId351" Type="http://schemas.openxmlformats.org/officeDocument/2006/relationships/hyperlink" Target="https://docs.google.com/spreadsheets/d/1Hl7_UxTs1hem7ptVgqsakEq1bnVIAtBi8h8ElsdwqI0/edit" TargetMode="External"/><Relationship Id="rId472" Type="http://schemas.openxmlformats.org/officeDocument/2006/relationships/hyperlink" Target="https://docs.google.com/spreadsheets/d/1Q5Lfnoxb9AwKhnwx-R1a8ctFcxo-ouqeYj53fCh8478/edit" TargetMode="External"/><Relationship Id="rId350" Type="http://schemas.openxmlformats.org/officeDocument/2006/relationships/hyperlink" Target="https://docs.google.com/spreadsheets/d/1Hl7_UxTs1hem7ptVgqsakEq1bnVIAtBi8h8ElsdwqI0/edit" TargetMode="External"/><Relationship Id="rId471" Type="http://schemas.openxmlformats.org/officeDocument/2006/relationships/hyperlink" Target="https://docs.google.com/spreadsheets/d/1Q5Lfnoxb9AwKhnwx-R1a8ctFcxo-ouqeYj53fCh8478/edit" TargetMode="External"/><Relationship Id="rId470" Type="http://schemas.openxmlformats.org/officeDocument/2006/relationships/hyperlink" Target="https://docs.google.com/spreadsheets/d/1Q5Lfnoxb9AwKhnwx-R1a8ctFcxo-ouqeYj53fCh8478/edit" TargetMode="External"/><Relationship Id="rId114" Type="http://schemas.openxmlformats.org/officeDocument/2006/relationships/hyperlink" Target="https://docs.google.com/spreadsheets/d/1GUwW_EKplw8CEbJgAe8SqzdXNsdKIGS-9U_jioWrHMU/edit" TargetMode="External"/><Relationship Id="rId235" Type="http://schemas.openxmlformats.org/officeDocument/2006/relationships/hyperlink" Target="https://docs.google.com/spreadsheets/d/10t91WY4I9PGcpNfp5foLxGWqQW452mbt9JokUKXvg-4/edit" TargetMode="External"/><Relationship Id="rId356" Type="http://schemas.openxmlformats.org/officeDocument/2006/relationships/hyperlink" Target="https://docs.google.com/spreadsheets/d/1hg2hGsNCnq8HaYYtNnu0MIfkEeJLlc3FZhc3Oj-ZMMI/edit" TargetMode="External"/><Relationship Id="rId477" Type="http://schemas.openxmlformats.org/officeDocument/2006/relationships/hyperlink" Target="https://docs.google.com/spreadsheets/d/1Q5Lfnoxb9AwKhnwx-R1a8ctFcxo-ouqeYj53fCh8478/edit" TargetMode="External"/><Relationship Id="rId113" Type="http://schemas.openxmlformats.org/officeDocument/2006/relationships/hyperlink" Target="https://docs.google.com/spreadsheets/d/1Kx05JImIOfl4R33DONm57V9S7BHm-ikzVgCKUKDecAQ/edit" TargetMode="External"/><Relationship Id="rId234" Type="http://schemas.openxmlformats.org/officeDocument/2006/relationships/hyperlink" Target="https://docs.google.com/spreadsheets/d/10t91WY4I9PGcpNfp5foLxGWqQW452mbt9JokUKXvg-4/edit" TargetMode="External"/><Relationship Id="rId355" Type="http://schemas.openxmlformats.org/officeDocument/2006/relationships/hyperlink" Target="https://docs.google.com/spreadsheets/d/1hg2hGsNCnq8HaYYtNnu0MIfkEeJLlc3FZhc3Oj-ZMMI/edit" TargetMode="External"/><Relationship Id="rId476" Type="http://schemas.openxmlformats.org/officeDocument/2006/relationships/hyperlink" Target="https://docs.google.com/spreadsheets/d/1Q5Lfnoxb9AwKhnwx-R1a8ctFcxo-ouqeYj53fCh8478/edit" TargetMode="External"/><Relationship Id="rId112" Type="http://schemas.openxmlformats.org/officeDocument/2006/relationships/hyperlink" Target="https://docs.google.com/spreadsheets/d/1GUwW_EKplw8CEbJgAe8SqzdXNsdKIGS-9U_jioWrHMU/edit" TargetMode="External"/><Relationship Id="rId233" Type="http://schemas.openxmlformats.org/officeDocument/2006/relationships/hyperlink" Target="https://docs.google.com/spreadsheets/d/10t91WY4I9PGcpNfp5foLxGWqQW452mbt9JokUKXvg-4/edit" TargetMode="External"/><Relationship Id="rId354" Type="http://schemas.openxmlformats.org/officeDocument/2006/relationships/hyperlink" Target="https://docs.google.com/spreadsheets/d/1hg2hGsNCnq8HaYYtNnu0MIfkEeJLlc3FZhc3Oj-ZMMI/edit" TargetMode="External"/><Relationship Id="rId475" Type="http://schemas.openxmlformats.org/officeDocument/2006/relationships/hyperlink" Target="https://docs.google.com/spreadsheets/d/1Q5Lfnoxb9AwKhnwx-R1a8ctFcxo-ouqeYj53fCh8478/edit" TargetMode="External"/><Relationship Id="rId111" Type="http://schemas.openxmlformats.org/officeDocument/2006/relationships/hyperlink" Target="https://docs.google.com/spreadsheets/d/1GUwW_EKplw8CEbJgAe8SqzdXNsdKIGS-9U_jioWrHMU/edit" TargetMode="External"/><Relationship Id="rId232" Type="http://schemas.openxmlformats.org/officeDocument/2006/relationships/hyperlink" Target="https://docs.google.com/spreadsheets/d/1avwaLPC0vzQlxbJnF3faTNOkw3FwMyO17zFpjCNc9CU/edit" TargetMode="External"/><Relationship Id="rId353" Type="http://schemas.openxmlformats.org/officeDocument/2006/relationships/hyperlink" Target="https://docs.google.com/spreadsheets/d/1hg2hGsNCnq8HaYYtNnu0MIfkEeJLlc3FZhc3Oj-ZMMI/edit" TargetMode="External"/><Relationship Id="rId474" Type="http://schemas.openxmlformats.org/officeDocument/2006/relationships/hyperlink" Target="https://docs.google.com/spreadsheets/d/1Q5Lfnoxb9AwKhnwx-R1a8ctFcxo-ouqeYj53fCh8478/edit" TargetMode="External"/><Relationship Id="rId305" Type="http://schemas.openxmlformats.org/officeDocument/2006/relationships/hyperlink" Target="https://docs.google.com/spreadsheets/d/1O85f61zk1kgngySG0ifzXbRSl9Xiy_xiHH1pwk4cyLI/edit" TargetMode="External"/><Relationship Id="rId426" Type="http://schemas.openxmlformats.org/officeDocument/2006/relationships/hyperlink" Target="https://docs.google.com/spreadsheets/d/1aGd6L69dNataqrWkG9r3YNQTvCVKjCupABYPGm0djus/edit" TargetMode="External"/><Relationship Id="rId304" Type="http://schemas.openxmlformats.org/officeDocument/2006/relationships/hyperlink" Target="https://docs.google.com/spreadsheets/d/1O85f61zk1kgngySG0ifzXbRSl9Xiy_xiHH1pwk4cyLI/edit" TargetMode="External"/><Relationship Id="rId425" Type="http://schemas.openxmlformats.org/officeDocument/2006/relationships/hyperlink" Target="https://docs.google.com/spreadsheets/d/1aGd6L69dNataqrWkG9r3YNQTvCVKjCupABYPGm0djus/edit" TargetMode="External"/><Relationship Id="rId303" Type="http://schemas.openxmlformats.org/officeDocument/2006/relationships/hyperlink" Target="https://docs.google.com/spreadsheets/d/1O85f61zk1kgngySG0ifzXbRSl9Xiy_xiHH1pwk4cyLI/edit" TargetMode="External"/><Relationship Id="rId424" Type="http://schemas.openxmlformats.org/officeDocument/2006/relationships/hyperlink" Target="https://docs.google.com/spreadsheets/d/1aGd6L69dNataqrWkG9r3YNQTvCVKjCupABYPGm0djus/edit" TargetMode="External"/><Relationship Id="rId302" Type="http://schemas.openxmlformats.org/officeDocument/2006/relationships/hyperlink" Target="https://docs.google.com/spreadsheets/d/1O85f61zk1kgngySG0ifzXbRSl9Xiy_xiHH1pwk4cyLI/edit" TargetMode="External"/><Relationship Id="rId423" Type="http://schemas.openxmlformats.org/officeDocument/2006/relationships/hyperlink" Target="https://docs.google.com/spreadsheets/d/1aGd6L69dNataqrWkG9r3YNQTvCVKjCupABYPGm0djus/edit" TargetMode="External"/><Relationship Id="rId309" Type="http://schemas.openxmlformats.org/officeDocument/2006/relationships/hyperlink" Target="https://docs.google.com/spreadsheets/d/13MfycJpROb8yJshLEISMrJr65D9BYPKYsCceGgFZk64/edit" TargetMode="External"/><Relationship Id="rId308" Type="http://schemas.openxmlformats.org/officeDocument/2006/relationships/hyperlink" Target="https://docs.google.com/spreadsheets/d/13MfycJpROb8yJshLEISMrJr65D9BYPKYsCceGgFZk64/edit" TargetMode="External"/><Relationship Id="rId429" Type="http://schemas.openxmlformats.org/officeDocument/2006/relationships/hyperlink" Target="https://docs.google.com/spreadsheets/d/1aGd6L69dNataqrWkG9r3YNQTvCVKjCupABYPGm0djus/edit" TargetMode="External"/><Relationship Id="rId307" Type="http://schemas.openxmlformats.org/officeDocument/2006/relationships/hyperlink" Target="https://docs.google.com/spreadsheets/d/1O85f61zk1kgngySG0ifzXbRSl9Xiy_xiHH1pwk4cyLI/edit" TargetMode="External"/><Relationship Id="rId428" Type="http://schemas.openxmlformats.org/officeDocument/2006/relationships/hyperlink" Target="https://docs.google.com/spreadsheets/d/1aGd6L69dNataqrWkG9r3YNQTvCVKjCupABYPGm0djus/edit" TargetMode="External"/><Relationship Id="rId306" Type="http://schemas.openxmlformats.org/officeDocument/2006/relationships/hyperlink" Target="https://docs.google.com/spreadsheets/d/1O85f61zk1kgngySG0ifzXbRSl9Xiy_xiHH1pwk4cyLI/edit" TargetMode="External"/><Relationship Id="rId427" Type="http://schemas.openxmlformats.org/officeDocument/2006/relationships/hyperlink" Target="https://docs.google.com/spreadsheets/d/1aGd6L69dNataqrWkG9r3YNQTvCVKjCupABYPGm0djus/edit" TargetMode="External"/><Relationship Id="rId301" Type="http://schemas.openxmlformats.org/officeDocument/2006/relationships/hyperlink" Target="https://docs.google.com/spreadsheets/d/1O85f61zk1kgngySG0ifzXbRSl9Xiy_xiHH1pwk4cyLI/edit" TargetMode="External"/><Relationship Id="rId422" Type="http://schemas.openxmlformats.org/officeDocument/2006/relationships/hyperlink" Target="https://docs.google.com/spreadsheets/d/1aGd6L69dNataqrWkG9r3YNQTvCVKjCupABYPGm0djus/edit" TargetMode="External"/><Relationship Id="rId300" Type="http://schemas.openxmlformats.org/officeDocument/2006/relationships/hyperlink" Target="https://docs.google.com/spreadsheets/d/1O85f61zk1kgngySG0ifzXbRSl9Xiy_xiHH1pwk4cyLI/edit" TargetMode="External"/><Relationship Id="rId421" Type="http://schemas.openxmlformats.org/officeDocument/2006/relationships/hyperlink" Target="https://docs.google.com/spreadsheets/d/1aGd6L69dNataqrWkG9r3YNQTvCVKjCupABYPGm0djus/edit" TargetMode="External"/><Relationship Id="rId420" Type="http://schemas.openxmlformats.org/officeDocument/2006/relationships/hyperlink" Target="https://docs.google.com/spreadsheets/d/1aGd6L69dNataqrWkG9r3YNQTvCVKjCupABYPGm0djus/edit" TargetMode="External"/><Relationship Id="rId415" Type="http://schemas.openxmlformats.org/officeDocument/2006/relationships/hyperlink" Target="https://docs.google.com/spreadsheets/d/1aGd6L69dNataqrWkG9r3YNQTvCVKjCupABYPGm0djus/edit" TargetMode="External"/><Relationship Id="rId414" Type="http://schemas.openxmlformats.org/officeDocument/2006/relationships/hyperlink" Target="https://docs.google.com/spreadsheets/d/1aGd6L69dNataqrWkG9r3YNQTvCVKjCupABYPGm0djus/edit" TargetMode="External"/><Relationship Id="rId413" Type="http://schemas.openxmlformats.org/officeDocument/2006/relationships/hyperlink" Target="https://docs.google.com/spreadsheets/d/1aGd6L69dNataqrWkG9r3YNQTvCVKjCupABYPGm0djus/edit" TargetMode="External"/><Relationship Id="rId412" Type="http://schemas.openxmlformats.org/officeDocument/2006/relationships/hyperlink" Target="https://docs.google.com/spreadsheets/d/1aGd6L69dNataqrWkG9r3YNQTvCVKjCupABYPGm0djus/edit" TargetMode="External"/><Relationship Id="rId419" Type="http://schemas.openxmlformats.org/officeDocument/2006/relationships/hyperlink" Target="https://docs.google.com/spreadsheets/d/1aGd6L69dNataqrWkG9r3YNQTvCVKjCupABYPGm0djus/edit" TargetMode="External"/><Relationship Id="rId418" Type="http://schemas.openxmlformats.org/officeDocument/2006/relationships/hyperlink" Target="https://docs.google.com/spreadsheets/d/1aGd6L69dNataqrWkG9r3YNQTvCVKjCupABYPGm0djus/edit" TargetMode="External"/><Relationship Id="rId417" Type="http://schemas.openxmlformats.org/officeDocument/2006/relationships/hyperlink" Target="https://docs.google.com/spreadsheets/d/1aGd6L69dNataqrWkG9r3YNQTvCVKjCupABYPGm0djus/edit" TargetMode="External"/><Relationship Id="rId416" Type="http://schemas.openxmlformats.org/officeDocument/2006/relationships/hyperlink" Target="https://docs.google.com/spreadsheets/d/1aGd6L69dNataqrWkG9r3YNQTvCVKjCupABYPGm0djus/edit" TargetMode="External"/><Relationship Id="rId411" Type="http://schemas.openxmlformats.org/officeDocument/2006/relationships/hyperlink" Target="https://docs.google.com/spreadsheets/d/1m6e6o7qs3u2mS7B-vAxPEcFPizcpv3NKyhG0sJhh_fU/edit" TargetMode="External"/><Relationship Id="rId410" Type="http://schemas.openxmlformats.org/officeDocument/2006/relationships/hyperlink" Target="https://docs.google.com/spreadsheets/d/1m6e6o7qs3u2mS7B-vAxPEcFPizcpv3NKyhG0sJhh_fU/edit" TargetMode="External"/><Relationship Id="rId206" Type="http://schemas.openxmlformats.org/officeDocument/2006/relationships/hyperlink" Target="https://docs.google.com/spreadsheets/d/1-kOKmPcJqZ1ukDQ8Ou6LFv-HaQuGP40mNtiypP3Wedo/edit" TargetMode="External"/><Relationship Id="rId327" Type="http://schemas.openxmlformats.org/officeDocument/2006/relationships/hyperlink" Target="https://docs.google.com/spreadsheets/d/13MfycJpROb8yJshLEISMrJr65D9BYPKYsCceGgFZk64/edit" TargetMode="External"/><Relationship Id="rId448" Type="http://schemas.openxmlformats.org/officeDocument/2006/relationships/hyperlink" Target="https://docs.google.com/spreadsheets/d/1ZRpZnQdz9aUE_mr4HHd990k6Gm_DTWUXkhwlBHz_MEQ/edit" TargetMode="External"/><Relationship Id="rId205" Type="http://schemas.openxmlformats.org/officeDocument/2006/relationships/hyperlink" Target="https://docs.google.com/spreadsheets/d/1-kOKmPcJqZ1ukDQ8Ou6LFv-HaQuGP40mNtiypP3Wedo/edit" TargetMode="External"/><Relationship Id="rId326" Type="http://schemas.openxmlformats.org/officeDocument/2006/relationships/hyperlink" Target="https://docs.google.com/spreadsheets/d/13MfycJpROb8yJshLEISMrJr65D9BYPKYsCceGgFZk64/edit" TargetMode="External"/><Relationship Id="rId447" Type="http://schemas.openxmlformats.org/officeDocument/2006/relationships/hyperlink" Target="https://docs.google.com/spreadsheets/d/1ZRpZnQdz9aUE_mr4HHd990k6Gm_DTWUXkhwlBHz_MEQ/edit" TargetMode="External"/><Relationship Id="rId204" Type="http://schemas.openxmlformats.org/officeDocument/2006/relationships/hyperlink" Target="https://docs.google.com/spreadsheets/d/1-kOKmPcJqZ1ukDQ8Ou6LFv-HaQuGP40mNtiypP3Wedo/edit" TargetMode="External"/><Relationship Id="rId325" Type="http://schemas.openxmlformats.org/officeDocument/2006/relationships/hyperlink" Target="https://docs.google.com/spreadsheets/d/13MfycJpROb8yJshLEISMrJr65D9BYPKYsCceGgFZk64/edit" TargetMode="External"/><Relationship Id="rId446" Type="http://schemas.openxmlformats.org/officeDocument/2006/relationships/hyperlink" Target="https://docs.google.com/spreadsheets/d/1ZRpZnQdz9aUE_mr4HHd990k6Gm_DTWUXkhwlBHz_MEQ/edit" TargetMode="External"/><Relationship Id="rId203" Type="http://schemas.openxmlformats.org/officeDocument/2006/relationships/hyperlink" Target="https://docs.google.com/spreadsheets/d/1-kOKmPcJqZ1ukDQ8Ou6LFv-HaQuGP40mNtiypP3Wedo/edit" TargetMode="External"/><Relationship Id="rId324" Type="http://schemas.openxmlformats.org/officeDocument/2006/relationships/hyperlink" Target="https://docs.google.com/spreadsheets/d/13MfycJpROb8yJshLEISMrJr65D9BYPKYsCceGgFZk64/edit" TargetMode="External"/><Relationship Id="rId445" Type="http://schemas.openxmlformats.org/officeDocument/2006/relationships/hyperlink" Target="https://docs.google.com/spreadsheets/d/1ZRpZnQdz9aUE_mr4HHd990k6Gm_DTWUXkhwlBHz_MEQ/edit" TargetMode="External"/><Relationship Id="rId209" Type="http://schemas.openxmlformats.org/officeDocument/2006/relationships/hyperlink" Target="https://docs.google.com/spreadsheets/d/1avwaLPC0vzQlxbJnF3faTNOkw3FwMyO17zFpjCNc9CU/edit" TargetMode="External"/><Relationship Id="rId208" Type="http://schemas.openxmlformats.org/officeDocument/2006/relationships/hyperlink" Target="https://docs.google.com/spreadsheets/d/1avwaLPC0vzQlxbJnF3faTNOkw3FwMyO17zFpjCNc9CU/edit" TargetMode="External"/><Relationship Id="rId329" Type="http://schemas.openxmlformats.org/officeDocument/2006/relationships/hyperlink" Target="https://docs.google.com/spreadsheets/d/13MfycJpROb8yJshLEISMrJr65D9BYPKYsCceGgFZk64/edit" TargetMode="External"/><Relationship Id="rId207" Type="http://schemas.openxmlformats.org/officeDocument/2006/relationships/hyperlink" Target="https://docs.google.com/spreadsheets/d/1avwaLPC0vzQlxbJnF3faTNOkw3FwMyO17zFpjCNc9CU/edit" TargetMode="External"/><Relationship Id="rId328" Type="http://schemas.openxmlformats.org/officeDocument/2006/relationships/hyperlink" Target="https://docs.google.com/spreadsheets/d/13MfycJpROb8yJshLEISMrJr65D9BYPKYsCceGgFZk64/edit" TargetMode="External"/><Relationship Id="rId449" Type="http://schemas.openxmlformats.org/officeDocument/2006/relationships/hyperlink" Target="https://docs.google.com/spreadsheets/d/1ZRpZnQdz9aUE_mr4HHd990k6Gm_DTWUXkhwlBHz_MEQ/edit" TargetMode="External"/><Relationship Id="rId440" Type="http://schemas.openxmlformats.org/officeDocument/2006/relationships/hyperlink" Target="https://docs.google.com/spreadsheets/d/1ZRpZnQdz9aUE_mr4HHd990k6Gm_DTWUXkhwlBHz_MEQ/edit" TargetMode="External"/><Relationship Id="rId202" Type="http://schemas.openxmlformats.org/officeDocument/2006/relationships/hyperlink" Target="https://docs.google.com/spreadsheets/d/1-kOKmPcJqZ1ukDQ8Ou6LFv-HaQuGP40mNtiypP3Wedo/edit" TargetMode="External"/><Relationship Id="rId323" Type="http://schemas.openxmlformats.org/officeDocument/2006/relationships/hyperlink" Target="https://docs.google.com/spreadsheets/d/13MfycJpROb8yJshLEISMrJr65D9BYPKYsCceGgFZk64/edit" TargetMode="External"/><Relationship Id="rId444" Type="http://schemas.openxmlformats.org/officeDocument/2006/relationships/hyperlink" Target="https://docs.google.com/spreadsheets/d/1ZRpZnQdz9aUE_mr4HHd990k6Gm_DTWUXkhwlBHz_MEQ/edit" TargetMode="External"/><Relationship Id="rId201" Type="http://schemas.openxmlformats.org/officeDocument/2006/relationships/hyperlink" Target="https://docs.google.com/spreadsheets/d/1-kOKmPcJqZ1ukDQ8Ou6LFv-HaQuGP40mNtiypP3Wedo/edit" TargetMode="External"/><Relationship Id="rId322" Type="http://schemas.openxmlformats.org/officeDocument/2006/relationships/hyperlink" Target="https://docs.google.com/spreadsheets/d/13MfycJpROb8yJshLEISMrJr65D9BYPKYsCceGgFZk64/edit" TargetMode="External"/><Relationship Id="rId443" Type="http://schemas.openxmlformats.org/officeDocument/2006/relationships/hyperlink" Target="https://docs.google.com/spreadsheets/d/1ZRpZnQdz9aUE_mr4HHd990k6Gm_DTWUXkhwlBHz_MEQ/edit" TargetMode="External"/><Relationship Id="rId200" Type="http://schemas.openxmlformats.org/officeDocument/2006/relationships/hyperlink" Target="https://docs.google.com/spreadsheets/d/1-kOKmPcJqZ1ukDQ8Ou6LFv-HaQuGP40mNtiypP3Wedo/edit" TargetMode="External"/><Relationship Id="rId321" Type="http://schemas.openxmlformats.org/officeDocument/2006/relationships/hyperlink" Target="https://docs.google.com/spreadsheets/d/13MfycJpROb8yJshLEISMrJr65D9BYPKYsCceGgFZk64/edit" TargetMode="External"/><Relationship Id="rId442" Type="http://schemas.openxmlformats.org/officeDocument/2006/relationships/hyperlink" Target="https://docs.google.com/spreadsheets/d/1ZRpZnQdz9aUE_mr4HHd990k6Gm_DTWUXkhwlBHz_MEQ/edit" TargetMode="External"/><Relationship Id="rId320" Type="http://schemas.openxmlformats.org/officeDocument/2006/relationships/hyperlink" Target="https://docs.google.com/spreadsheets/d/13MfycJpROb8yJshLEISMrJr65D9BYPKYsCceGgFZk64/edit" TargetMode="External"/><Relationship Id="rId441" Type="http://schemas.openxmlformats.org/officeDocument/2006/relationships/hyperlink" Target="https://docs.google.com/spreadsheets/d/1ZRpZnQdz9aUE_mr4HHd990k6Gm_DTWUXkhwlBHz_MEQ/edit" TargetMode="External"/><Relationship Id="rId316" Type="http://schemas.openxmlformats.org/officeDocument/2006/relationships/hyperlink" Target="https://docs.google.com/spreadsheets/d/13MfycJpROb8yJshLEISMrJr65D9BYPKYsCceGgFZk64/edit" TargetMode="External"/><Relationship Id="rId437" Type="http://schemas.openxmlformats.org/officeDocument/2006/relationships/hyperlink" Target="https://docs.google.com/spreadsheets/d/1ZRpZnQdz9aUE_mr4HHd990k6Gm_DTWUXkhwlBHz_MEQ/edit" TargetMode="External"/><Relationship Id="rId315" Type="http://schemas.openxmlformats.org/officeDocument/2006/relationships/hyperlink" Target="https://docs.google.com/spreadsheets/d/13MfycJpROb8yJshLEISMrJr65D9BYPKYsCceGgFZk64/edit" TargetMode="External"/><Relationship Id="rId436" Type="http://schemas.openxmlformats.org/officeDocument/2006/relationships/hyperlink" Target="https://docs.google.com/spreadsheets/d/1aGd6L69dNataqrWkG9r3YNQTvCVKjCupABYPGm0djus/edit" TargetMode="External"/><Relationship Id="rId314" Type="http://schemas.openxmlformats.org/officeDocument/2006/relationships/hyperlink" Target="https://docs.google.com/spreadsheets/d/13MfycJpROb8yJshLEISMrJr65D9BYPKYsCceGgFZk64/edit" TargetMode="External"/><Relationship Id="rId435" Type="http://schemas.openxmlformats.org/officeDocument/2006/relationships/hyperlink" Target="https://docs.google.com/spreadsheets/d/1aGd6L69dNataqrWkG9r3YNQTvCVKjCupABYPGm0djus/edit" TargetMode="External"/><Relationship Id="rId313" Type="http://schemas.openxmlformats.org/officeDocument/2006/relationships/hyperlink" Target="https://docs.google.com/spreadsheets/d/13MfycJpROb8yJshLEISMrJr65D9BYPKYsCceGgFZk64/edit" TargetMode="External"/><Relationship Id="rId434" Type="http://schemas.openxmlformats.org/officeDocument/2006/relationships/hyperlink" Target="https://docs.google.com/spreadsheets/d/1aGd6L69dNataqrWkG9r3YNQTvCVKjCupABYPGm0djus/edit" TargetMode="External"/><Relationship Id="rId319" Type="http://schemas.openxmlformats.org/officeDocument/2006/relationships/hyperlink" Target="https://docs.google.com/spreadsheets/d/13MfycJpROb8yJshLEISMrJr65D9BYPKYsCceGgFZk64/edit" TargetMode="External"/><Relationship Id="rId318" Type="http://schemas.openxmlformats.org/officeDocument/2006/relationships/hyperlink" Target="https://docs.google.com/spreadsheets/d/13MfycJpROb8yJshLEISMrJr65D9BYPKYsCceGgFZk64/edit" TargetMode="External"/><Relationship Id="rId439" Type="http://schemas.openxmlformats.org/officeDocument/2006/relationships/hyperlink" Target="https://docs.google.com/spreadsheets/d/1ZRpZnQdz9aUE_mr4HHd990k6Gm_DTWUXkhwlBHz_MEQ/edit" TargetMode="External"/><Relationship Id="rId317" Type="http://schemas.openxmlformats.org/officeDocument/2006/relationships/hyperlink" Target="https://docs.google.com/spreadsheets/d/13MfycJpROb8yJshLEISMrJr65D9BYPKYsCceGgFZk64/edit" TargetMode="External"/><Relationship Id="rId438" Type="http://schemas.openxmlformats.org/officeDocument/2006/relationships/hyperlink" Target="https://docs.google.com/spreadsheets/d/1ZRpZnQdz9aUE_mr4HHd990k6Gm_DTWUXkhwlBHz_MEQ/edit" TargetMode="External"/><Relationship Id="rId312" Type="http://schemas.openxmlformats.org/officeDocument/2006/relationships/hyperlink" Target="https://docs.google.com/spreadsheets/d/13MfycJpROb8yJshLEISMrJr65D9BYPKYsCceGgFZk64/edit" TargetMode="External"/><Relationship Id="rId433" Type="http://schemas.openxmlformats.org/officeDocument/2006/relationships/hyperlink" Target="https://docs.google.com/spreadsheets/d/1aGd6L69dNataqrWkG9r3YNQTvCVKjCupABYPGm0djus/edit" TargetMode="External"/><Relationship Id="rId311" Type="http://schemas.openxmlformats.org/officeDocument/2006/relationships/hyperlink" Target="https://docs.google.com/spreadsheets/d/13MfycJpROb8yJshLEISMrJr65D9BYPKYsCceGgFZk64/edit" TargetMode="External"/><Relationship Id="rId432" Type="http://schemas.openxmlformats.org/officeDocument/2006/relationships/hyperlink" Target="https://docs.google.com/spreadsheets/d/1aGd6L69dNataqrWkG9r3YNQTvCVKjCupABYPGm0djus/edit" TargetMode="External"/><Relationship Id="rId310" Type="http://schemas.openxmlformats.org/officeDocument/2006/relationships/hyperlink" Target="https://docs.google.com/spreadsheets/d/13MfycJpROb8yJshLEISMrJr65D9BYPKYsCceGgFZk64/edit" TargetMode="External"/><Relationship Id="rId431" Type="http://schemas.openxmlformats.org/officeDocument/2006/relationships/hyperlink" Target="https://docs.google.com/spreadsheets/d/1aGd6L69dNataqrWkG9r3YNQTvCVKjCupABYPGm0djus/edit" TargetMode="External"/><Relationship Id="rId430" Type="http://schemas.openxmlformats.org/officeDocument/2006/relationships/hyperlink" Target="https://docs.google.com/spreadsheets/d/1aGd6L69dNataqrWkG9r3YNQTvCVKjCupABYPGm0djus/edit"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https://docs.google.com/spreadsheets/d/1BEz4q2oxJYL4i43rQPlozHdBbwAypsX6AjGmQEEVZI4/edit" TargetMode="External"/><Relationship Id="rId194" Type="http://schemas.openxmlformats.org/officeDocument/2006/relationships/hyperlink" Target="https://docs.google.com/spreadsheets/d/1BEz4q2oxJYL4i43rQPlozHdBbwAypsX6AjGmQEEVZI4/edit" TargetMode="External"/><Relationship Id="rId193" Type="http://schemas.openxmlformats.org/officeDocument/2006/relationships/hyperlink" Target="https://docs.google.com/spreadsheets/d/1BEz4q2oxJYL4i43rQPlozHdBbwAypsX6AjGmQEEVZI4/edit" TargetMode="External"/><Relationship Id="rId192" Type="http://schemas.openxmlformats.org/officeDocument/2006/relationships/hyperlink" Target="https://docs.google.com/spreadsheets/d/1BEz4q2oxJYL4i43rQPlozHdBbwAypsX6AjGmQEEVZI4/edit" TargetMode="External"/><Relationship Id="rId191" Type="http://schemas.openxmlformats.org/officeDocument/2006/relationships/hyperlink" Target="https://docs.google.com/spreadsheets/d/1BEz4q2oxJYL4i43rQPlozHdBbwAypsX6AjGmQEEVZI4/edit" TargetMode="External"/><Relationship Id="rId187" Type="http://schemas.openxmlformats.org/officeDocument/2006/relationships/hyperlink" Target="https://docs.google.com/spreadsheets/d/1zkG2Z6DiNdb06ixm36x0cRirSooAecCkgsEj-xTIm4o/edit" TargetMode="External"/><Relationship Id="rId186" Type="http://schemas.openxmlformats.org/officeDocument/2006/relationships/hyperlink" Target="https://docs.google.com/spreadsheets/d/1zkG2Z6DiNdb06ixm36x0cRirSooAecCkgsEj-xTIm4o/edit" TargetMode="External"/><Relationship Id="rId185" Type="http://schemas.openxmlformats.org/officeDocument/2006/relationships/hyperlink" Target="https://docs.google.com/spreadsheets/d/1zkG2Z6DiNdb06ixm36x0cRirSooAecCkgsEj-xTIm4o/edit" TargetMode="External"/><Relationship Id="rId184" Type="http://schemas.openxmlformats.org/officeDocument/2006/relationships/hyperlink" Target="https://docs.google.com/spreadsheets/d/1zkG2Z6DiNdb06ixm36x0cRirSooAecCkgsEj-xTIm4o/edit" TargetMode="External"/><Relationship Id="rId189" Type="http://schemas.openxmlformats.org/officeDocument/2006/relationships/hyperlink" Target="https://docs.google.com/spreadsheets/d/1BEz4q2oxJYL4i43rQPlozHdBbwAypsX6AjGmQEEVZI4/edit" TargetMode="External"/><Relationship Id="rId188" Type="http://schemas.openxmlformats.org/officeDocument/2006/relationships/hyperlink" Target="https://docs.google.com/spreadsheets/d/1BEz4q2oxJYL4i43rQPlozHdBbwAypsX6AjGmQEEVZI4/edit" TargetMode="External"/><Relationship Id="rId183" Type="http://schemas.openxmlformats.org/officeDocument/2006/relationships/hyperlink" Target="https://docs.google.com/spreadsheets/d/1zkG2Z6DiNdb06ixm36x0cRirSooAecCkgsEj-xTIm4o/edit" TargetMode="External"/><Relationship Id="rId182" Type="http://schemas.openxmlformats.org/officeDocument/2006/relationships/hyperlink" Target="https://docs.google.com/spreadsheets/d/1zkG2Z6DiNdb06ixm36x0cRirSooAecCkgsEj-xTIm4o/edit" TargetMode="External"/><Relationship Id="rId181" Type="http://schemas.openxmlformats.org/officeDocument/2006/relationships/hyperlink" Target="https://docs.google.com/spreadsheets/d/1zkG2Z6DiNdb06ixm36x0cRirSooAecCkgsEj-xTIm4o/edit" TargetMode="External"/><Relationship Id="rId180" Type="http://schemas.openxmlformats.org/officeDocument/2006/relationships/hyperlink" Target="https://docs.google.com/spreadsheets/d/1zkG2Z6DiNdb06ixm36x0cRirSooAecCkgsEj-xTIm4o/edit" TargetMode="External"/><Relationship Id="rId176" Type="http://schemas.openxmlformats.org/officeDocument/2006/relationships/hyperlink" Target="https://docs.google.com/spreadsheets/d/1FASvUDz_ry2cURKROz0blX7umDknWPUWJH0Nf4sHSv0/edit" TargetMode="External"/><Relationship Id="rId297" Type="http://schemas.openxmlformats.org/officeDocument/2006/relationships/hyperlink" Target="https://docs.google.com/spreadsheets/d/1717PBA3Wazor6-vpyqTJQwlnRrWbgLNyMcLYj9ES9IQ/edit" TargetMode="External"/><Relationship Id="rId175" Type="http://schemas.openxmlformats.org/officeDocument/2006/relationships/hyperlink" Target="https://docs.google.com/spreadsheets/d/1FASvUDz_ry2cURKROz0blX7umDknWPUWJH0Nf4sHSv0/edit" TargetMode="External"/><Relationship Id="rId296" Type="http://schemas.openxmlformats.org/officeDocument/2006/relationships/hyperlink" Target="https://docs.google.com/spreadsheets/d/1CvG0Qli-0LS1DIWthehMVY96mIfbxvlvNXljzRUQirg/edit" TargetMode="External"/><Relationship Id="rId174" Type="http://schemas.openxmlformats.org/officeDocument/2006/relationships/hyperlink" Target="https://docs.google.com/spreadsheets/d/1FASvUDz_ry2cURKROz0blX7umDknWPUWJH0Nf4sHSv0/edit" TargetMode="External"/><Relationship Id="rId295" Type="http://schemas.openxmlformats.org/officeDocument/2006/relationships/hyperlink" Target="https://docs.google.com/spreadsheets/d/1CvG0Qli-0LS1DIWthehMVY96mIfbxvlvNXljzRUQirg/edit" TargetMode="External"/><Relationship Id="rId173" Type="http://schemas.openxmlformats.org/officeDocument/2006/relationships/hyperlink" Target="https://docs.google.com/spreadsheets/d/1FASvUDz_ry2cURKROz0blX7umDknWPUWJH0Nf4sHSv0/edit" TargetMode="External"/><Relationship Id="rId294" Type="http://schemas.openxmlformats.org/officeDocument/2006/relationships/hyperlink" Target="https://docs.google.com/spreadsheets/d/1CvG0Qli-0LS1DIWthehMVY96mIfbxvlvNXljzRUQirg/edit" TargetMode="External"/><Relationship Id="rId179" Type="http://schemas.openxmlformats.org/officeDocument/2006/relationships/hyperlink" Target="https://docs.google.com/spreadsheets/d/1zkG2Z6DiNdb06ixm36x0cRirSooAecCkgsEj-xTIm4o/edit" TargetMode="External"/><Relationship Id="rId178" Type="http://schemas.openxmlformats.org/officeDocument/2006/relationships/hyperlink" Target="https://docs.google.com/spreadsheets/d/1FASvUDz_ry2cURKROz0blX7umDknWPUWJH0Nf4sHSv0/edit" TargetMode="External"/><Relationship Id="rId299" Type="http://schemas.openxmlformats.org/officeDocument/2006/relationships/hyperlink" Target="https://docs.google.com/spreadsheets/d/1717PBA3Wazor6-vpyqTJQwlnRrWbgLNyMcLYj9ES9IQ/edit" TargetMode="External"/><Relationship Id="rId177" Type="http://schemas.openxmlformats.org/officeDocument/2006/relationships/hyperlink" Target="https://docs.google.com/spreadsheets/d/1FASvUDz_ry2cURKROz0blX7umDknWPUWJH0Nf4sHSv0/edit" TargetMode="External"/><Relationship Id="rId298" Type="http://schemas.openxmlformats.org/officeDocument/2006/relationships/hyperlink" Target="https://docs.google.com/spreadsheets/d/1717PBA3Wazor6-vpyqTJQwlnRrWbgLNyMcLYj9ES9IQ/edit" TargetMode="External"/><Relationship Id="rId198" Type="http://schemas.openxmlformats.org/officeDocument/2006/relationships/hyperlink" Target="https://docs.google.com/spreadsheets/d/1BEz4q2oxJYL4i43rQPlozHdBbwAypsX6AjGmQEEVZI4/edit" TargetMode="External"/><Relationship Id="rId197" Type="http://schemas.openxmlformats.org/officeDocument/2006/relationships/hyperlink" Target="https://docs.google.com/spreadsheets/d/1BEz4q2oxJYL4i43rQPlozHdBbwAypsX6AjGmQEEVZI4/edit" TargetMode="External"/><Relationship Id="rId196" Type="http://schemas.openxmlformats.org/officeDocument/2006/relationships/hyperlink" Target="https://docs.google.com/spreadsheets/d/1BEz4q2oxJYL4i43rQPlozHdBbwAypsX6AjGmQEEVZI4/edit" TargetMode="External"/><Relationship Id="rId195" Type="http://schemas.openxmlformats.org/officeDocument/2006/relationships/hyperlink" Target="https://docs.google.com/spreadsheets/d/1BEz4q2oxJYL4i43rQPlozHdBbwAypsX6AjGmQEEVZI4/edit" TargetMode="External"/><Relationship Id="rId199" Type="http://schemas.openxmlformats.org/officeDocument/2006/relationships/hyperlink" Target="https://docs.google.com/spreadsheets/d/1AHLDMFDswQgAFnvBtBTUancgooLkNOa_jUPEjcA34U8/edit" TargetMode="External"/><Relationship Id="rId150" Type="http://schemas.openxmlformats.org/officeDocument/2006/relationships/hyperlink" Target="https://docs.google.com/spreadsheets/d/1rvz1vRanN_-2nTkm77e_XguRqu6S2EQ1OSxSXN4RHks/edit" TargetMode="External"/><Relationship Id="rId271" Type="http://schemas.openxmlformats.org/officeDocument/2006/relationships/hyperlink" Target="https://docs.google.com/spreadsheets/d/1SYNuNvFvFVz-iFA-OdX9e3jtdnjahtfqLFG0NzIeSwY/edit" TargetMode="External"/><Relationship Id="rId392" Type="http://schemas.openxmlformats.org/officeDocument/2006/relationships/hyperlink" Target="https://docs.google.com/spreadsheets/d/1ua5igwxlLDbjMaeAF8F7lxhlU1XkAJ3B86kb00pNnbg/edit" TargetMode="External"/><Relationship Id="rId270" Type="http://schemas.openxmlformats.org/officeDocument/2006/relationships/hyperlink" Target="https://docs.google.com/spreadsheets/d/1SYNuNvFvFVz-iFA-OdX9e3jtdnjahtfqLFG0NzIeSwY/edit" TargetMode="External"/><Relationship Id="rId391" Type="http://schemas.openxmlformats.org/officeDocument/2006/relationships/hyperlink" Target="https://docs.google.com/spreadsheets/d/1ua5igwxlLDbjMaeAF8F7lxhlU1XkAJ3B86kb00pNnbg/edit" TargetMode="External"/><Relationship Id="rId390" Type="http://schemas.openxmlformats.org/officeDocument/2006/relationships/hyperlink" Target="https://docs.google.com/spreadsheets/d/1ua5igwxlLDbjMaeAF8F7lxhlU1XkAJ3B86kb00pNnbg/edit" TargetMode="External"/><Relationship Id="rId1" Type="http://schemas.openxmlformats.org/officeDocument/2006/relationships/hyperlink" Target="https://docs.google.com/spreadsheets/d/1PQekmcHmBX57NCMW0aNZz8TySEt2RdTHqlYOo6WTTYU/edit" TargetMode="External"/><Relationship Id="rId2" Type="http://schemas.openxmlformats.org/officeDocument/2006/relationships/hyperlink" Target="https://docs.google.com/spreadsheets/d/1PQekmcHmBX57NCMW0aNZz8TySEt2RdTHqlYOo6WTTYU/edit" TargetMode="External"/><Relationship Id="rId3" Type="http://schemas.openxmlformats.org/officeDocument/2006/relationships/hyperlink" Target="https://docs.google.com/spreadsheets/d/1PQekmcHmBX57NCMW0aNZz8TySEt2RdTHqlYOo6WTTYU/edit" TargetMode="External"/><Relationship Id="rId149" Type="http://schemas.openxmlformats.org/officeDocument/2006/relationships/hyperlink" Target="https://docs.google.com/spreadsheets/d/145ZVvxKL9SB2fsewX7iBpDfAaMA_ylZDW4SGR5L3jEQ/edit" TargetMode="External"/><Relationship Id="rId4" Type="http://schemas.openxmlformats.org/officeDocument/2006/relationships/hyperlink" Target="https://docs.google.com/spreadsheets/d/1PQekmcHmBX57NCMW0aNZz8TySEt2RdTHqlYOo6WTTYU/edit" TargetMode="External"/><Relationship Id="rId148" Type="http://schemas.openxmlformats.org/officeDocument/2006/relationships/hyperlink" Target="https://docs.google.com/spreadsheets/d/145ZVvxKL9SB2fsewX7iBpDfAaMA_ylZDW4SGR5L3jEQ/edit" TargetMode="External"/><Relationship Id="rId269" Type="http://schemas.openxmlformats.org/officeDocument/2006/relationships/hyperlink" Target="https://docs.google.com/spreadsheets/d/1SYNuNvFvFVz-iFA-OdX9e3jtdnjahtfqLFG0NzIeSwY/edit" TargetMode="External"/><Relationship Id="rId9" Type="http://schemas.openxmlformats.org/officeDocument/2006/relationships/hyperlink" Target="https://docs.google.com/spreadsheets/d/1PQekmcHmBX57NCMW0aNZz8TySEt2RdTHqlYOo6WTTYU/edit" TargetMode="External"/><Relationship Id="rId143" Type="http://schemas.openxmlformats.org/officeDocument/2006/relationships/hyperlink" Target="https://docs.google.com/spreadsheets/d/145ZVvxKL9SB2fsewX7iBpDfAaMA_ylZDW4SGR5L3jEQ/edit" TargetMode="External"/><Relationship Id="rId264" Type="http://schemas.openxmlformats.org/officeDocument/2006/relationships/hyperlink" Target="https://docs.google.com/spreadsheets/d/1SYNuNvFvFVz-iFA-OdX9e3jtdnjahtfqLFG0NzIeSwY/edit" TargetMode="External"/><Relationship Id="rId385" Type="http://schemas.openxmlformats.org/officeDocument/2006/relationships/hyperlink" Target="https://docs.google.com/spreadsheets/d/1ua5igwxlLDbjMaeAF8F7lxhlU1XkAJ3B86kb00pNnbg/edit" TargetMode="External"/><Relationship Id="rId142" Type="http://schemas.openxmlformats.org/officeDocument/2006/relationships/hyperlink" Target="https://docs.google.com/spreadsheets/d/145ZVvxKL9SB2fsewX7iBpDfAaMA_ylZDW4SGR5L3jEQ/edit" TargetMode="External"/><Relationship Id="rId263" Type="http://schemas.openxmlformats.org/officeDocument/2006/relationships/hyperlink" Target="https://docs.google.com/spreadsheets/d/1DuYCk1pXtumCQ9OMUEIx1G3cwhh_WP_3GbBtoGpJVuo/edit" TargetMode="External"/><Relationship Id="rId384" Type="http://schemas.openxmlformats.org/officeDocument/2006/relationships/hyperlink" Target="https://docs.google.com/spreadsheets/d/1ua5igwxlLDbjMaeAF8F7lxhlU1XkAJ3B86kb00pNnbg/edit" TargetMode="External"/><Relationship Id="rId141" Type="http://schemas.openxmlformats.org/officeDocument/2006/relationships/hyperlink" Target="https://docs.google.com/spreadsheets/d/145ZVvxKL9SB2fsewX7iBpDfAaMA_ylZDW4SGR5L3jEQ/edit" TargetMode="External"/><Relationship Id="rId262" Type="http://schemas.openxmlformats.org/officeDocument/2006/relationships/hyperlink" Target="https://docs.google.com/spreadsheets/d/1DuYCk1pXtumCQ9OMUEIx1G3cwhh_WP_3GbBtoGpJVuo/edit" TargetMode="External"/><Relationship Id="rId383" Type="http://schemas.openxmlformats.org/officeDocument/2006/relationships/hyperlink" Target="https://docs.google.com/spreadsheets/d/1ua5igwxlLDbjMaeAF8F7lxhlU1XkAJ3B86kb00pNnbg/edit" TargetMode="External"/><Relationship Id="rId140" Type="http://schemas.openxmlformats.org/officeDocument/2006/relationships/hyperlink" Target="https://docs.google.com/spreadsheets/d/1091_I-Rml3LBXxrAqHcZJoTyAcN7UoFOfCpO9YYg29c/edit" TargetMode="External"/><Relationship Id="rId261" Type="http://schemas.openxmlformats.org/officeDocument/2006/relationships/hyperlink" Target="https://docs.google.com/spreadsheets/d/1DuYCk1pXtumCQ9OMUEIx1G3cwhh_WP_3GbBtoGpJVuo/edit" TargetMode="External"/><Relationship Id="rId382" Type="http://schemas.openxmlformats.org/officeDocument/2006/relationships/hyperlink" Target="https://docs.google.com/spreadsheets/d/1ua5igwxlLDbjMaeAF8F7lxhlU1XkAJ3B86kb00pNnbg/edit" TargetMode="External"/><Relationship Id="rId5" Type="http://schemas.openxmlformats.org/officeDocument/2006/relationships/hyperlink" Target="https://docs.google.com/spreadsheets/d/1PQekmcHmBX57NCMW0aNZz8TySEt2RdTHqlYOo6WTTYU/edit" TargetMode="External"/><Relationship Id="rId147" Type="http://schemas.openxmlformats.org/officeDocument/2006/relationships/hyperlink" Target="https://docs.google.com/spreadsheets/d/145ZVvxKL9SB2fsewX7iBpDfAaMA_ylZDW4SGR5L3jEQ/edit" TargetMode="External"/><Relationship Id="rId268" Type="http://schemas.openxmlformats.org/officeDocument/2006/relationships/hyperlink" Target="https://docs.google.com/spreadsheets/d/1SYNuNvFvFVz-iFA-OdX9e3jtdnjahtfqLFG0NzIeSwY/edit" TargetMode="External"/><Relationship Id="rId389" Type="http://schemas.openxmlformats.org/officeDocument/2006/relationships/hyperlink" Target="https://docs.google.com/spreadsheets/d/1ua5igwxlLDbjMaeAF8F7lxhlU1XkAJ3B86kb00pNnbg/edit" TargetMode="External"/><Relationship Id="rId6" Type="http://schemas.openxmlformats.org/officeDocument/2006/relationships/hyperlink" Target="https://docs.google.com/spreadsheets/d/1PQekmcHmBX57NCMW0aNZz8TySEt2RdTHqlYOo6WTTYU/edit" TargetMode="External"/><Relationship Id="rId146" Type="http://schemas.openxmlformats.org/officeDocument/2006/relationships/hyperlink" Target="https://docs.google.com/spreadsheets/d/145ZVvxKL9SB2fsewX7iBpDfAaMA_ylZDW4SGR5L3jEQ/edit" TargetMode="External"/><Relationship Id="rId267" Type="http://schemas.openxmlformats.org/officeDocument/2006/relationships/hyperlink" Target="https://docs.google.com/spreadsheets/d/1SYNuNvFvFVz-iFA-OdX9e3jtdnjahtfqLFG0NzIeSwY/edit" TargetMode="External"/><Relationship Id="rId388" Type="http://schemas.openxmlformats.org/officeDocument/2006/relationships/hyperlink" Target="https://docs.google.com/spreadsheets/d/1ua5igwxlLDbjMaeAF8F7lxhlU1XkAJ3B86kb00pNnbg/edit" TargetMode="External"/><Relationship Id="rId7" Type="http://schemas.openxmlformats.org/officeDocument/2006/relationships/hyperlink" Target="https://docs.google.com/spreadsheets/d/1PQekmcHmBX57NCMW0aNZz8TySEt2RdTHqlYOo6WTTYU/edit" TargetMode="External"/><Relationship Id="rId145" Type="http://schemas.openxmlformats.org/officeDocument/2006/relationships/hyperlink" Target="https://docs.google.com/spreadsheets/d/145ZVvxKL9SB2fsewX7iBpDfAaMA_ylZDW4SGR5L3jEQ/edit" TargetMode="External"/><Relationship Id="rId266" Type="http://schemas.openxmlformats.org/officeDocument/2006/relationships/hyperlink" Target="https://docs.google.com/spreadsheets/d/1SYNuNvFvFVz-iFA-OdX9e3jtdnjahtfqLFG0NzIeSwY/edit" TargetMode="External"/><Relationship Id="rId387" Type="http://schemas.openxmlformats.org/officeDocument/2006/relationships/hyperlink" Target="https://docs.google.com/spreadsheets/d/1ua5igwxlLDbjMaeAF8F7lxhlU1XkAJ3B86kb00pNnbg/edit" TargetMode="External"/><Relationship Id="rId8" Type="http://schemas.openxmlformats.org/officeDocument/2006/relationships/hyperlink" Target="https://docs.google.com/spreadsheets/d/1PQekmcHmBX57NCMW0aNZz8TySEt2RdTHqlYOo6WTTYU/edit" TargetMode="External"/><Relationship Id="rId144" Type="http://schemas.openxmlformats.org/officeDocument/2006/relationships/hyperlink" Target="https://docs.google.com/spreadsheets/d/145ZVvxKL9SB2fsewX7iBpDfAaMA_ylZDW4SGR5L3jEQ/edit" TargetMode="External"/><Relationship Id="rId265" Type="http://schemas.openxmlformats.org/officeDocument/2006/relationships/hyperlink" Target="https://docs.google.com/spreadsheets/d/1SYNuNvFvFVz-iFA-OdX9e3jtdnjahtfqLFG0NzIeSwY/edit" TargetMode="External"/><Relationship Id="rId386" Type="http://schemas.openxmlformats.org/officeDocument/2006/relationships/hyperlink" Target="https://docs.google.com/spreadsheets/d/1ua5igwxlLDbjMaeAF8F7lxhlU1XkAJ3B86kb00pNnbg/edit" TargetMode="External"/><Relationship Id="rId260" Type="http://schemas.openxmlformats.org/officeDocument/2006/relationships/hyperlink" Target="https://docs.google.com/spreadsheets/d/1DuYCk1pXtumCQ9OMUEIx1G3cwhh_WP_3GbBtoGpJVuo/edit" TargetMode="External"/><Relationship Id="rId381" Type="http://schemas.openxmlformats.org/officeDocument/2006/relationships/hyperlink" Target="https://docs.google.com/spreadsheets/d/11-dvUfCe0PHf0SYSi3KDOJ60e6b8gS4q0icHsGIAhsI/edit" TargetMode="External"/><Relationship Id="rId380" Type="http://schemas.openxmlformats.org/officeDocument/2006/relationships/hyperlink" Target="https://docs.google.com/spreadsheets/d/11-dvUfCe0PHf0SYSi3KDOJ60e6b8gS4q0icHsGIAhsI/edit" TargetMode="External"/><Relationship Id="rId139" Type="http://schemas.openxmlformats.org/officeDocument/2006/relationships/hyperlink" Target="https://docs.google.com/spreadsheets/d/1091_I-Rml3LBXxrAqHcZJoTyAcN7UoFOfCpO9YYg29c/edit" TargetMode="External"/><Relationship Id="rId138" Type="http://schemas.openxmlformats.org/officeDocument/2006/relationships/hyperlink" Target="https://docs.google.com/spreadsheets/d/1091_I-Rml3LBXxrAqHcZJoTyAcN7UoFOfCpO9YYg29c/edit" TargetMode="External"/><Relationship Id="rId259" Type="http://schemas.openxmlformats.org/officeDocument/2006/relationships/hyperlink" Target="https://docs.google.com/spreadsheets/d/1DuYCk1pXtumCQ9OMUEIx1G3cwhh_WP_3GbBtoGpJVuo/edit" TargetMode="External"/><Relationship Id="rId137" Type="http://schemas.openxmlformats.org/officeDocument/2006/relationships/hyperlink" Target="https://docs.google.com/spreadsheets/d/1091_I-Rml3LBXxrAqHcZJoTyAcN7UoFOfCpO9YYg29c/edit" TargetMode="External"/><Relationship Id="rId258" Type="http://schemas.openxmlformats.org/officeDocument/2006/relationships/hyperlink" Target="https://docs.google.com/spreadsheets/d/1DuYCk1pXtumCQ9OMUEIx1G3cwhh_WP_3GbBtoGpJVuo/edit" TargetMode="External"/><Relationship Id="rId379" Type="http://schemas.openxmlformats.org/officeDocument/2006/relationships/hyperlink" Target="https://docs.google.com/spreadsheets/d/11-dvUfCe0PHf0SYSi3KDOJ60e6b8gS4q0icHsGIAhsI/edit" TargetMode="External"/><Relationship Id="rId132" Type="http://schemas.openxmlformats.org/officeDocument/2006/relationships/hyperlink" Target="https://docs.google.com/spreadsheets/d/1091_I-Rml3LBXxrAqHcZJoTyAcN7UoFOfCpO9YYg29c/edit" TargetMode="External"/><Relationship Id="rId253" Type="http://schemas.openxmlformats.org/officeDocument/2006/relationships/hyperlink" Target="https://docs.google.com/spreadsheets/d/1cuXQUbesBO2VbEWPJLBsPjUT6vk29JXgbSwUze0pORQ/edit" TargetMode="External"/><Relationship Id="rId374" Type="http://schemas.openxmlformats.org/officeDocument/2006/relationships/hyperlink" Target="https://docs.google.com/spreadsheets/d/11-dvUfCe0PHf0SYSi3KDOJ60e6b8gS4q0icHsGIAhsI/edit" TargetMode="External"/><Relationship Id="rId131" Type="http://schemas.openxmlformats.org/officeDocument/2006/relationships/hyperlink" Target="https://docs.google.com/spreadsheets/d/1Hxsdmc7QxSjkzrd-ae4fEFR-3Czr30zOSMG7BmACHiI/edit" TargetMode="External"/><Relationship Id="rId252" Type="http://schemas.openxmlformats.org/officeDocument/2006/relationships/hyperlink" Target="https://docs.google.com/spreadsheets/d/1cuXQUbesBO2VbEWPJLBsPjUT6vk29JXgbSwUze0pORQ/edit" TargetMode="External"/><Relationship Id="rId373" Type="http://schemas.openxmlformats.org/officeDocument/2006/relationships/hyperlink" Target="https://docs.google.com/spreadsheets/d/11-dvUfCe0PHf0SYSi3KDOJ60e6b8gS4q0icHsGIAhsI/edit" TargetMode="External"/><Relationship Id="rId130" Type="http://schemas.openxmlformats.org/officeDocument/2006/relationships/hyperlink" Target="https://docs.google.com/spreadsheets/d/1Hxsdmc7QxSjkzrd-ae4fEFR-3Czr30zOSMG7BmACHiI/edit" TargetMode="External"/><Relationship Id="rId251" Type="http://schemas.openxmlformats.org/officeDocument/2006/relationships/hyperlink" Target="https://docs.google.com/spreadsheets/d/1cuXQUbesBO2VbEWPJLBsPjUT6vk29JXgbSwUze0pORQ/edit" TargetMode="External"/><Relationship Id="rId372" Type="http://schemas.openxmlformats.org/officeDocument/2006/relationships/hyperlink" Target="https://docs.google.com/spreadsheets/d/11-dvUfCe0PHf0SYSi3KDOJ60e6b8gS4q0icHsGIAhsI/edit" TargetMode="External"/><Relationship Id="rId250" Type="http://schemas.openxmlformats.org/officeDocument/2006/relationships/hyperlink" Target="https://docs.google.com/spreadsheets/d/1cuXQUbesBO2VbEWPJLBsPjUT6vk29JXgbSwUze0pORQ/edit" TargetMode="External"/><Relationship Id="rId371" Type="http://schemas.openxmlformats.org/officeDocument/2006/relationships/hyperlink" Target="https://docs.google.com/spreadsheets/d/11-dvUfCe0PHf0SYSi3KDOJ60e6b8gS4q0icHsGIAhsI/edit" TargetMode="External"/><Relationship Id="rId136" Type="http://schemas.openxmlformats.org/officeDocument/2006/relationships/hyperlink" Target="https://docs.google.com/spreadsheets/d/1091_I-Rml3LBXxrAqHcZJoTyAcN7UoFOfCpO9YYg29c/edit" TargetMode="External"/><Relationship Id="rId257" Type="http://schemas.openxmlformats.org/officeDocument/2006/relationships/hyperlink" Target="https://docs.google.com/spreadsheets/d/1DuYCk1pXtumCQ9OMUEIx1G3cwhh_WP_3GbBtoGpJVuo/edit" TargetMode="External"/><Relationship Id="rId378" Type="http://schemas.openxmlformats.org/officeDocument/2006/relationships/hyperlink" Target="https://docs.google.com/spreadsheets/d/11-dvUfCe0PHf0SYSi3KDOJ60e6b8gS4q0icHsGIAhsI/edit" TargetMode="External"/><Relationship Id="rId135" Type="http://schemas.openxmlformats.org/officeDocument/2006/relationships/hyperlink" Target="https://docs.google.com/spreadsheets/d/1091_I-Rml3LBXxrAqHcZJoTyAcN7UoFOfCpO9YYg29c/edit" TargetMode="External"/><Relationship Id="rId256" Type="http://schemas.openxmlformats.org/officeDocument/2006/relationships/hyperlink" Target="https://docs.google.com/spreadsheets/d/1DuYCk1pXtumCQ9OMUEIx1G3cwhh_WP_3GbBtoGpJVuo/edit" TargetMode="External"/><Relationship Id="rId377" Type="http://schemas.openxmlformats.org/officeDocument/2006/relationships/hyperlink" Target="https://docs.google.com/spreadsheets/d/11-dvUfCe0PHf0SYSi3KDOJ60e6b8gS4q0icHsGIAhsI/edit" TargetMode="External"/><Relationship Id="rId134" Type="http://schemas.openxmlformats.org/officeDocument/2006/relationships/hyperlink" Target="https://docs.google.com/spreadsheets/d/1091_I-Rml3LBXxrAqHcZJoTyAcN7UoFOfCpO9YYg29c/edit" TargetMode="External"/><Relationship Id="rId255" Type="http://schemas.openxmlformats.org/officeDocument/2006/relationships/hyperlink" Target="https://docs.google.com/spreadsheets/d/1cuXQUbesBO2VbEWPJLBsPjUT6vk29JXgbSwUze0pORQ/edit" TargetMode="External"/><Relationship Id="rId376" Type="http://schemas.openxmlformats.org/officeDocument/2006/relationships/hyperlink" Target="https://docs.google.com/spreadsheets/d/11-dvUfCe0PHf0SYSi3KDOJ60e6b8gS4q0icHsGIAhsI/edit" TargetMode="External"/><Relationship Id="rId133" Type="http://schemas.openxmlformats.org/officeDocument/2006/relationships/hyperlink" Target="https://docs.google.com/spreadsheets/d/1091_I-Rml3LBXxrAqHcZJoTyAcN7UoFOfCpO9YYg29c/edit" TargetMode="External"/><Relationship Id="rId254" Type="http://schemas.openxmlformats.org/officeDocument/2006/relationships/hyperlink" Target="https://docs.google.com/spreadsheets/d/1cuXQUbesBO2VbEWPJLBsPjUT6vk29JXgbSwUze0pORQ/edit" TargetMode="External"/><Relationship Id="rId375" Type="http://schemas.openxmlformats.org/officeDocument/2006/relationships/hyperlink" Target="https://docs.google.com/spreadsheets/d/11-dvUfCe0PHf0SYSi3KDOJ60e6b8gS4q0icHsGIAhsI/edit" TargetMode="External"/><Relationship Id="rId172" Type="http://schemas.openxmlformats.org/officeDocument/2006/relationships/hyperlink" Target="https://docs.google.com/spreadsheets/d/1FASvUDz_ry2cURKROz0blX7umDknWPUWJH0Nf4sHSv0/edit" TargetMode="External"/><Relationship Id="rId293" Type="http://schemas.openxmlformats.org/officeDocument/2006/relationships/hyperlink" Target="https://docs.google.com/spreadsheets/d/1CvG0Qli-0LS1DIWthehMVY96mIfbxvlvNXljzRUQirg/edit" TargetMode="External"/><Relationship Id="rId171" Type="http://schemas.openxmlformats.org/officeDocument/2006/relationships/hyperlink" Target="https://docs.google.com/spreadsheets/d/1FASvUDz_ry2cURKROz0blX7umDknWPUWJH0Nf4sHSv0/edit" TargetMode="External"/><Relationship Id="rId292" Type="http://schemas.openxmlformats.org/officeDocument/2006/relationships/hyperlink" Target="https://docs.google.com/spreadsheets/d/1CvG0Qli-0LS1DIWthehMVY96mIfbxvlvNXljzRUQirg/edit" TargetMode="External"/><Relationship Id="rId170" Type="http://schemas.openxmlformats.org/officeDocument/2006/relationships/hyperlink" Target="https://docs.google.com/spreadsheets/d/1FASvUDz_ry2cURKROz0blX7umDknWPUWJH0Nf4sHSv0/edit" TargetMode="External"/><Relationship Id="rId291" Type="http://schemas.openxmlformats.org/officeDocument/2006/relationships/hyperlink" Target="https://docs.google.com/spreadsheets/d/1CvG0Qli-0LS1DIWthehMVY96mIfbxvlvNXljzRUQirg/edit" TargetMode="External"/><Relationship Id="rId290" Type="http://schemas.openxmlformats.org/officeDocument/2006/relationships/hyperlink" Target="https://docs.google.com/spreadsheets/d/1CvG0Qli-0LS1DIWthehMVY96mIfbxvlvNXljzRUQirg/edit" TargetMode="External"/><Relationship Id="rId165" Type="http://schemas.openxmlformats.org/officeDocument/2006/relationships/hyperlink" Target="https://docs.google.com/spreadsheets/d/169oGKIf_IvYqonWfxQJBzer3eOdt-WMhVc6mzl7ZBag/edit" TargetMode="External"/><Relationship Id="rId286" Type="http://schemas.openxmlformats.org/officeDocument/2006/relationships/hyperlink" Target="https://docs.google.com/spreadsheets/d/1CvG0Qli-0LS1DIWthehMVY96mIfbxvlvNXljzRUQirg/edit" TargetMode="External"/><Relationship Id="rId164" Type="http://schemas.openxmlformats.org/officeDocument/2006/relationships/hyperlink" Target="https://docs.google.com/spreadsheets/d/169oGKIf_IvYqonWfxQJBzer3eOdt-WMhVc6mzl7ZBag/edit" TargetMode="External"/><Relationship Id="rId285" Type="http://schemas.openxmlformats.org/officeDocument/2006/relationships/hyperlink" Target="https://docs.google.com/spreadsheets/d/1jxwO_MWtH9Jv-JKIVjLFUIJWz9_sylwom4IROdW81-0/edit" TargetMode="External"/><Relationship Id="rId163" Type="http://schemas.openxmlformats.org/officeDocument/2006/relationships/hyperlink" Target="https://docs.google.com/spreadsheets/d/169oGKIf_IvYqonWfxQJBzer3eOdt-WMhVc6mzl7ZBag/edit" TargetMode="External"/><Relationship Id="rId284" Type="http://schemas.openxmlformats.org/officeDocument/2006/relationships/hyperlink" Target="https://docs.google.com/spreadsheets/d/1jxwO_MWtH9Jv-JKIVjLFUIJWz9_sylwom4IROdW81-0/edit" TargetMode="External"/><Relationship Id="rId162" Type="http://schemas.openxmlformats.org/officeDocument/2006/relationships/hyperlink" Target="https://docs.google.com/spreadsheets/d/169oGKIf_IvYqonWfxQJBzer3eOdt-WMhVc6mzl7ZBag/edit" TargetMode="External"/><Relationship Id="rId283" Type="http://schemas.openxmlformats.org/officeDocument/2006/relationships/hyperlink" Target="https://docs.google.com/spreadsheets/d/1jxwO_MWtH9Jv-JKIVjLFUIJWz9_sylwom4IROdW81-0/edit" TargetMode="External"/><Relationship Id="rId169" Type="http://schemas.openxmlformats.org/officeDocument/2006/relationships/hyperlink" Target="https://docs.google.com/spreadsheets/d/1FASvUDz_ry2cURKROz0blX7umDknWPUWJH0Nf4sHSv0/edit" TargetMode="External"/><Relationship Id="rId168" Type="http://schemas.openxmlformats.org/officeDocument/2006/relationships/hyperlink" Target="https://docs.google.com/spreadsheets/d/1FASvUDz_ry2cURKROz0blX7umDknWPUWJH0Nf4sHSv0/edit" TargetMode="External"/><Relationship Id="rId289" Type="http://schemas.openxmlformats.org/officeDocument/2006/relationships/hyperlink" Target="https://docs.google.com/spreadsheets/d/1CvG0Qli-0LS1DIWthehMVY96mIfbxvlvNXljzRUQirg/edit" TargetMode="External"/><Relationship Id="rId167" Type="http://schemas.openxmlformats.org/officeDocument/2006/relationships/hyperlink" Target="https://docs.google.com/spreadsheets/d/169oGKIf_IvYqonWfxQJBzer3eOdt-WMhVc6mzl7ZBag/edit" TargetMode="External"/><Relationship Id="rId288" Type="http://schemas.openxmlformats.org/officeDocument/2006/relationships/hyperlink" Target="https://docs.google.com/spreadsheets/d/1CvG0Qli-0LS1DIWthehMVY96mIfbxvlvNXljzRUQirg/edit" TargetMode="External"/><Relationship Id="rId166" Type="http://schemas.openxmlformats.org/officeDocument/2006/relationships/hyperlink" Target="https://docs.google.com/spreadsheets/d/169oGKIf_IvYqonWfxQJBzer3eOdt-WMhVc6mzl7ZBag/edit" TargetMode="External"/><Relationship Id="rId287" Type="http://schemas.openxmlformats.org/officeDocument/2006/relationships/hyperlink" Target="https://docs.google.com/spreadsheets/d/1CvG0Qli-0LS1DIWthehMVY96mIfbxvlvNXljzRUQirg/edit" TargetMode="External"/><Relationship Id="rId161" Type="http://schemas.openxmlformats.org/officeDocument/2006/relationships/hyperlink" Target="https://docs.google.com/spreadsheets/d/169oGKIf_IvYqonWfxQJBzer3eOdt-WMhVc6mzl7ZBag/edit" TargetMode="External"/><Relationship Id="rId282" Type="http://schemas.openxmlformats.org/officeDocument/2006/relationships/hyperlink" Target="https://docs.google.com/spreadsheets/d/1jxwO_MWtH9Jv-JKIVjLFUIJWz9_sylwom4IROdW81-0/edit" TargetMode="External"/><Relationship Id="rId160" Type="http://schemas.openxmlformats.org/officeDocument/2006/relationships/hyperlink" Target="https://docs.google.com/spreadsheets/d/169oGKIf_IvYqonWfxQJBzer3eOdt-WMhVc6mzl7ZBag/edit" TargetMode="External"/><Relationship Id="rId281" Type="http://schemas.openxmlformats.org/officeDocument/2006/relationships/hyperlink" Target="https://docs.google.com/spreadsheets/d/1jxwO_MWtH9Jv-JKIVjLFUIJWz9_sylwom4IROdW81-0/edit" TargetMode="External"/><Relationship Id="rId280" Type="http://schemas.openxmlformats.org/officeDocument/2006/relationships/hyperlink" Target="https://docs.google.com/spreadsheets/d/1jxwO_MWtH9Jv-JKIVjLFUIJWz9_sylwom4IROdW81-0/edit" TargetMode="External"/><Relationship Id="rId159" Type="http://schemas.openxmlformats.org/officeDocument/2006/relationships/hyperlink" Target="https://docs.google.com/spreadsheets/d/169oGKIf_IvYqonWfxQJBzer3eOdt-WMhVc6mzl7ZBag/edit" TargetMode="External"/><Relationship Id="rId154" Type="http://schemas.openxmlformats.org/officeDocument/2006/relationships/hyperlink" Target="https://docs.google.com/spreadsheets/d/1rvz1vRanN_-2nTkm77e_XguRqu6S2EQ1OSxSXN4RHks/edit" TargetMode="External"/><Relationship Id="rId275" Type="http://schemas.openxmlformats.org/officeDocument/2006/relationships/hyperlink" Target="https://docs.google.com/spreadsheets/d/1jxwO_MWtH9Jv-JKIVjLFUIJWz9_sylwom4IROdW81-0/edit" TargetMode="External"/><Relationship Id="rId396" Type="http://schemas.openxmlformats.org/officeDocument/2006/relationships/hyperlink" Target="https://docs.google.com/spreadsheets/d/1ua5igwxlLDbjMaeAF8F7lxhlU1XkAJ3B86kb00pNnbg/edit" TargetMode="External"/><Relationship Id="rId153" Type="http://schemas.openxmlformats.org/officeDocument/2006/relationships/hyperlink" Target="https://docs.google.com/spreadsheets/d/1rvz1vRanN_-2nTkm77e_XguRqu6S2EQ1OSxSXN4RHks/edit" TargetMode="External"/><Relationship Id="rId274" Type="http://schemas.openxmlformats.org/officeDocument/2006/relationships/hyperlink" Target="https://docs.google.com/spreadsheets/d/1SYNuNvFvFVz-iFA-OdX9e3jtdnjahtfqLFG0NzIeSwY/edit" TargetMode="External"/><Relationship Id="rId395" Type="http://schemas.openxmlformats.org/officeDocument/2006/relationships/hyperlink" Target="https://docs.google.com/spreadsheets/d/1ua5igwxlLDbjMaeAF8F7lxhlU1XkAJ3B86kb00pNnbg/edit" TargetMode="External"/><Relationship Id="rId152" Type="http://schemas.openxmlformats.org/officeDocument/2006/relationships/hyperlink" Target="https://docs.google.com/spreadsheets/d/1rvz1vRanN_-2nTkm77e_XguRqu6S2EQ1OSxSXN4RHks/edit" TargetMode="External"/><Relationship Id="rId273" Type="http://schemas.openxmlformats.org/officeDocument/2006/relationships/hyperlink" Target="https://docs.google.com/spreadsheets/d/1SYNuNvFvFVz-iFA-OdX9e3jtdnjahtfqLFG0NzIeSwY/edit" TargetMode="External"/><Relationship Id="rId394" Type="http://schemas.openxmlformats.org/officeDocument/2006/relationships/hyperlink" Target="https://docs.google.com/spreadsheets/d/1ua5igwxlLDbjMaeAF8F7lxhlU1XkAJ3B86kb00pNnbg/edit" TargetMode="External"/><Relationship Id="rId151" Type="http://schemas.openxmlformats.org/officeDocument/2006/relationships/hyperlink" Target="https://docs.google.com/spreadsheets/d/1rvz1vRanN_-2nTkm77e_XguRqu6S2EQ1OSxSXN4RHks/edit" TargetMode="External"/><Relationship Id="rId272" Type="http://schemas.openxmlformats.org/officeDocument/2006/relationships/hyperlink" Target="https://docs.google.com/spreadsheets/d/1SYNuNvFvFVz-iFA-OdX9e3jtdnjahtfqLFG0NzIeSwY/edit" TargetMode="External"/><Relationship Id="rId393" Type="http://schemas.openxmlformats.org/officeDocument/2006/relationships/hyperlink" Target="https://docs.google.com/spreadsheets/d/1ua5igwxlLDbjMaeAF8F7lxhlU1XkAJ3B86kb00pNnbg/edit" TargetMode="External"/><Relationship Id="rId158" Type="http://schemas.openxmlformats.org/officeDocument/2006/relationships/hyperlink" Target="https://docs.google.com/spreadsheets/d/1rvz1vRanN_-2nTkm77e_XguRqu6S2EQ1OSxSXN4RHks/edit" TargetMode="External"/><Relationship Id="rId279" Type="http://schemas.openxmlformats.org/officeDocument/2006/relationships/hyperlink" Target="https://docs.google.com/spreadsheets/d/1jxwO_MWtH9Jv-JKIVjLFUIJWz9_sylwom4IROdW81-0/edit" TargetMode="External"/><Relationship Id="rId157" Type="http://schemas.openxmlformats.org/officeDocument/2006/relationships/hyperlink" Target="https://docs.google.com/spreadsheets/d/1rvz1vRanN_-2nTkm77e_XguRqu6S2EQ1OSxSXN4RHks/edit" TargetMode="External"/><Relationship Id="rId278" Type="http://schemas.openxmlformats.org/officeDocument/2006/relationships/hyperlink" Target="https://docs.google.com/spreadsheets/d/1jxwO_MWtH9Jv-JKIVjLFUIJWz9_sylwom4IROdW81-0/edit" TargetMode="External"/><Relationship Id="rId399" Type="http://schemas.openxmlformats.org/officeDocument/2006/relationships/hyperlink" Target="https://docs.google.com/spreadsheets/d/1-D37LIDbsX2cd-clolP2jcF9RXcO6oFfvazMgEvZZ_Q/edit" TargetMode="External"/><Relationship Id="rId156" Type="http://schemas.openxmlformats.org/officeDocument/2006/relationships/hyperlink" Target="https://docs.google.com/spreadsheets/d/1rvz1vRanN_-2nTkm77e_XguRqu6S2EQ1OSxSXN4RHks/edit" TargetMode="External"/><Relationship Id="rId277" Type="http://schemas.openxmlformats.org/officeDocument/2006/relationships/hyperlink" Target="https://docs.google.com/spreadsheets/d/1jxwO_MWtH9Jv-JKIVjLFUIJWz9_sylwom4IROdW81-0/edit" TargetMode="External"/><Relationship Id="rId398" Type="http://schemas.openxmlformats.org/officeDocument/2006/relationships/hyperlink" Target="https://docs.google.com/spreadsheets/d/1-D37LIDbsX2cd-clolP2jcF9RXcO6oFfvazMgEvZZ_Q/edit" TargetMode="External"/><Relationship Id="rId155" Type="http://schemas.openxmlformats.org/officeDocument/2006/relationships/hyperlink" Target="https://docs.google.com/spreadsheets/d/1rvz1vRanN_-2nTkm77e_XguRqu6S2EQ1OSxSXN4RHks/edit" TargetMode="External"/><Relationship Id="rId276" Type="http://schemas.openxmlformats.org/officeDocument/2006/relationships/hyperlink" Target="https://docs.google.com/spreadsheets/d/1jxwO_MWtH9Jv-JKIVjLFUIJWz9_sylwom4IROdW81-0/edit" TargetMode="External"/><Relationship Id="rId397" Type="http://schemas.openxmlformats.org/officeDocument/2006/relationships/hyperlink" Target="https://docs.google.com/spreadsheets/d/1-D37LIDbsX2cd-clolP2jcF9RXcO6oFfvazMgEvZZ_Q/edit" TargetMode="External"/><Relationship Id="rId40" Type="http://schemas.openxmlformats.org/officeDocument/2006/relationships/hyperlink" Target="https://docs.google.com/spreadsheets/d/1xE-LmK_mQoXZouPJmh4cFcu7mns7QuBon_HokJUC_zw/edit" TargetMode="External"/><Relationship Id="rId42" Type="http://schemas.openxmlformats.org/officeDocument/2006/relationships/hyperlink" Target="https://docs.google.com/spreadsheets/d/18JtELWXdetUDVSRCmeDdJ1OPAG5f5-hhChvqWonuFP0/edit" TargetMode="External"/><Relationship Id="rId41" Type="http://schemas.openxmlformats.org/officeDocument/2006/relationships/hyperlink" Target="https://docs.google.com/spreadsheets/d/1xE-LmK_mQoXZouPJmh4cFcu7mns7QuBon_HokJUC_zw/edit" TargetMode="External"/><Relationship Id="rId44" Type="http://schemas.openxmlformats.org/officeDocument/2006/relationships/hyperlink" Target="https://docs.google.com/spreadsheets/d/18JtELWXdetUDVSRCmeDdJ1OPAG5f5-hhChvqWonuFP0/edit" TargetMode="External"/><Relationship Id="rId43" Type="http://schemas.openxmlformats.org/officeDocument/2006/relationships/hyperlink" Target="https://docs.google.com/spreadsheets/d/18JtELWXdetUDVSRCmeDdJ1OPAG5f5-hhChvqWonuFP0/edit" TargetMode="External"/><Relationship Id="rId46" Type="http://schemas.openxmlformats.org/officeDocument/2006/relationships/hyperlink" Target="https://docs.google.com/spreadsheets/d/18JtELWXdetUDVSRCmeDdJ1OPAG5f5-hhChvqWonuFP0/edit" TargetMode="External"/><Relationship Id="rId45" Type="http://schemas.openxmlformats.org/officeDocument/2006/relationships/hyperlink" Target="https://docs.google.com/spreadsheets/d/18JtELWXdetUDVSRCmeDdJ1OPAG5f5-hhChvqWonuFP0/edit" TargetMode="External"/><Relationship Id="rId48" Type="http://schemas.openxmlformats.org/officeDocument/2006/relationships/hyperlink" Target="https://docs.google.com/spreadsheets/d/18JtELWXdetUDVSRCmeDdJ1OPAG5f5-hhChvqWonuFP0/edit" TargetMode="External"/><Relationship Id="rId47" Type="http://schemas.openxmlformats.org/officeDocument/2006/relationships/hyperlink" Target="https://docs.google.com/spreadsheets/d/18JtELWXdetUDVSRCmeDdJ1OPAG5f5-hhChvqWonuFP0/edit" TargetMode="External"/><Relationship Id="rId49" Type="http://schemas.openxmlformats.org/officeDocument/2006/relationships/hyperlink" Target="https://docs.google.com/spreadsheets/d/18JtELWXdetUDVSRCmeDdJ1OPAG5f5-hhChvqWonuFP0/edit" TargetMode="External"/><Relationship Id="rId31" Type="http://schemas.openxmlformats.org/officeDocument/2006/relationships/hyperlink" Target="https://docs.google.com/spreadsheets/d/1FLfSDerQEYV_TyfkFuJBFLPnjabK3CVvHwV1sKgBHN8/edit" TargetMode="External"/><Relationship Id="rId30" Type="http://schemas.openxmlformats.org/officeDocument/2006/relationships/hyperlink" Target="https://docs.google.com/spreadsheets/d/1FLfSDerQEYV_TyfkFuJBFLPnjabK3CVvHwV1sKgBHN8/edit" TargetMode="External"/><Relationship Id="rId33" Type="http://schemas.openxmlformats.org/officeDocument/2006/relationships/hyperlink" Target="https://docs.google.com/spreadsheets/d/1xE-LmK_mQoXZouPJmh4cFcu7mns7QuBon_HokJUC_zw/edit" TargetMode="External"/><Relationship Id="rId32" Type="http://schemas.openxmlformats.org/officeDocument/2006/relationships/hyperlink" Target="https://docs.google.com/spreadsheets/d/1xE-LmK_mQoXZouPJmh4cFcu7mns7QuBon_HokJUC_zw/edit" TargetMode="External"/><Relationship Id="rId35" Type="http://schemas.openxmlformats.org/officeDocument/2006/relationships/hyperlink" Target="https://docs.google.com/spreadsheets/d/1xE-LmK_mQoXZouPJmh4cFcu7mns7QuBon_HokJUC_zw/edit" TargetMode="External"/><Relationship Id="rId34" Type="http://schemas.openxmlformats.org/officeDocument/2006/relationships/hyperlink" Target="https://docs.google.com/spreadsheets/d/1xE-LmK_mQoXZouPJmh4cFcu7mns7QuBon_HokJUC_zw/edit" TargetMode="External"/><Relationship Id="rId37" Type="http://schemas.openxmlformats.org/officeDocument/2006/relationships/hyperlink" Target="https://docs.google.com/spreadsheets/d/1xE-LmK_mQoXZouPJmh4cFcu7mns7QuBon_HokJUC_zw/edit" TargetMode="External"/><Relationship Id="rId36" Type="http://schemas.openxmlformats.org/officeDocument/2006/relationships/hyperlink" Target="https://docs.google.com/spreadsheets/d/1xE-LmK_mQoXZouPJmh4cFcu7mns7QuBon_HokJUC_zw/edit" TargetMode="External"/><Relationship Id="rId39" Type="http://schemas.openxmlformats.org/officeDocument/2006/relationships/hyperlink" Target="https://docs.google.com/spreadsheets/d/1xE-LmK_mQoXZouPJmh4cFcu7mns7QuBon_HokJUC_zw/edit" TargetMode="External"/><Relationship Id="rId38" Type="http://schemas.openxmlformats.org/officeDocument/2006/relationships/hyperlink" Target="https://docs.google.com/spreadsheets/d/1xE-LmK_mQoXZouPJmh4cFcu7mns7QuBon_HokJUC_zw/edit" TargetMode="External"/><Relationship Id="rId20" Type="http://schemas.openxmlformats.org/officeDocument/2006/relationships/hyperlink" Target="https://docs.google.com/spreadsheets/d/1r6ss6kBfhzf5-s_F2QzIbU_Cp-JICPSFpmcuAxAXrM4/edit" TargetMode="External"/><Relationship Id="rId22" Type="http://schemas.openxmlformats.org/officeDocument/2006/relationships/hyperlink" Target="https://docs.google.com/spreadsheets/d/1FLfSDerQEYV_TyfkFuJBFLPnjabK3CVvHwV1sKgBHN8/edit" TargetMode="External"/><Relationship Id="rId21" Type="http://schemas.openxmlformats.org/officeDocument/2006/relationships/hyperlink" Target="https://docs.google.com/spreadsheets/d/1r6ss6kBfhzf5-s_F2QzIbU_Cp-JICPSFpmcuAxAXrM4/edit" TargetMode="External"/><Relationship Id="rId24" Type="http://schemas.openxmlformats.org/officeDocument/2006/relationships/hyperlink" Target="https://docs.google.com/spreadsheets/d/1FLfSDerQEYV_TyfkFuJBFLPnjabK3CVvHwV1sKgBHN8/edit" TargetMode="External"/><Relationship Id="rId23" Type="http://schemas.openxmlformats.org/officeDocument/2006/relationships/hyperlink" Target="https://docs.google.com/spreadsheets/d/1FLfSDerQEYV_TyfkFuJBFLPnjabK3CVvHwV1sKgBHN8/edit" TargetMode="External"/><Relationship Id="rId409" Type="http://schemas.openxmlformats.org/officeDocument/2006/relationships/hyperlink" Target="https://docs.google.com/spreadsheets/d/1-D37LIDbsX2cd-clolP2jcF9RXcO6oFfvazMgEvZZ_Q/edit" TargetMode="External"/><Relationship Id="rId404" Type="http://schemas.openxmlformats.org/officeDocument/2006/relationships/hyperlink" Target="https://docs.google.com/spreadsheets/d/1-D37LIDbsX2cd-clolP2jcF9RXcO6oFfvazMgEvZZ_Q/edit" TargetMode="External"/><Relationship Id="rId403" Type="http://schemas.openxmlformats.org/officeDocument/2006/relationships/hyperlink" Target="https://docs.google.com/spreadsheets/d/1-D37LIDbsX2cd-clolP2jcF9RXcO6oFfvazMgEvZZ_Q/edit" TargetMode="External"/><Relationship Id="rId402" Type="http://schemas.openxmlformats.org/officeDocument/2006/relationships/hyperlink" Target="https://docs.google.com/spreadsheets/d/1-D37LIDbsX2cd-clolP2jcF9RXcO6oFfvazMgEvZZ_Q/edit" TargetMode="External"/><Relationship Id="rId401" Type="http://schemas.openxmlformats.org/officeDocument/2006/relationships/hyperlink" Target="https://docs.google.com/spreadsheets/d/1-D37LIDbsX2cd-clolP2jcF9RXcO6oFfvazMgEvZZ_Q/edit" TargetMode="External"/><Relationship Id="rId408" Type="http://schemas.openxmlformats.org/officeDocument/2006/relationships/hyperlink" Target="https://docs.google.com/spreadsheets/d/1-D37LIDbsX2cd-clolP2jcF9RXcO6oFfvazMgEvZZ_Q/edit" TargetMode="External"/><Relationship Id="rId407" Type="http://schemas.openxmlformats.org/officeDocument/2006/relationships/hyperlink" Target="https://docs.google.com/spreadsheets/d/1-D37LIDbsX2cd-clolP2jcF9RXcO6oFfvazMgEvZZ_Q/edit" TargetMode="External"/><Relationship Id="rId406" Type="http://schemas.openxmlformats.org/officeDocument/2006/relationships/hyperlink" Target="https://docs.google.com/spreadsheets/d/1-D37LIDbsX2cd-clolP2jcF9RXcO6oFfvazMgEvZZ_Q/edit" TargetMode="External"/><Relationship Id="rId405" Type="http://schemas.openxmlformats.org/officeDocument/2006/relationships/hyperlink" Target="https://docs.google.com/spreadsheets/d/1-D37LIDbsX2cd-clolP2jcF9RXcO6oFfvazMgEvZZ_Q/edit" TargetMode="External"/><Relationship Id="rId26" Type="http://schemas.openxmlformats.org/officeDocument/2006/relationships/hyperlink" Target="https://docs.google.com/spreadsheets/d/1FLfSDerQEYV_TyfkFuJBFLPnjabK3CVvHwV1sKgBHN8/edit" TargetMode="External"/><Relationship Id="rId25" Type="http://schemas.openxmlformats.org/officeDocument/2006/relationships/hyperlink" Target="https://docs.google.com/spreadsheets/d/1FLfSDerQEYV_TyfkFuJBFLPnjabK3CVvHwV1sKgBHN8/edit" TargetMode="External"/><Relationship Id="rId28" Type="http://schemas.openxmlformats.org/officeDocument/2006/relationships/hyperlink" Target="https://docs.google.com/spreadsheets/d/1FLfSDerQEYV_TyfkFuJBFLPnjabK3CVvHwV1sKgBHN8/edit" TargetMode="External"/><Relationship Id="rId27" Type="http://schemas.openxmlformats.org/officeDocument/2006/relationships/hyperlink" Target="https://docs.google.com/spreadsheets/d/1FLfSDerQEYV_TyfkFuJBFLPnjabK3CVvHwV1sKgBHN8/edit" TargetMode="External"/><Relationship Id="rId400" Type="http://schemas.openxmlformats.org/officeDocument/2006/relationships/hyperlink" Target="https://docs.google.com/spreadsheets/d/1-D37LIDbsX2cd-clolP2jcF9RXcO6oFfvazMgEvZZ_Q/edit" TargetMode="External"/><Relationship Id="rId29" Type="http://schemas.openxmlformats.org/officeDocument/2006/relationships/hyperlink" Target="https://docs.google.com/spreadsheets/d/1FLfSDerQEYV_TyfkFuJBFLPnjabK3CVvHwV1sKgBHN8/edit" TargetMode="External"/><Relationship Id="rId11" Type="http://schemas.openxmlformats.org/officeDocument/2006/relationships/hyperlink" Target="https://docs.google.com/spreadsheets/d/1r6ss6kBfhzf5-s_F2QzIbU_Cp-JICPSFpmcuAxAXrM4/edit" TargetMode="External"/><Relationship Id="rId10" Type="http://schemas.openxmlformats.org/officeDocument/2006/relationships/hyperlink" Target="https://docs.google.com/spreadsheets/d/1PQekmcHmBX57NCMW0aNZz8TySEt2RdTHqlYOo6WTTYU/edit" TargetMode="External"/><Relationship Id="rId13" Type="http://schemas.openxmlformats.org/officeDocument/2006/relationships/hyperlink" Target="https://docs.google.com/spreadsheets/d/1r6ss6kBfhzf5-s_F2QzIbU_Cp-JICPSFpmcuAxAXrM4/edit" TargetMode="External"/><Relationship Id="rId12" Type="http://schemas.openxmlformats.org/officeDocument/2006/relationships/hyperlink" Target="https://docs.google.com/spreadsheets/d/1r6ss6kBfhzf5-s_F2QzIbU_Cp-JICPSFpmcuAxAXrM4/edit" TargetMode="External"/><Relationship Id="rId15" Type="http://schemas.openxmlformats.org/officeDocument/2006/relationships/hyperlink" Target="https://docs.google.com/spreadsheets/d/1r6ss6kBfhzf5-s_F2QzIbU_Cp-JICPSFpmcuAxAXrM4/edit" TargetMode="External"/><Relationship Id="rId14" Type="http://schemas.openxmlformats.org/officeDocument/2006/relationships/hyperlink" Target="https://docs.google.com/spreadsheets/d/1r6ss6kBfhzf5-s_F2QzIbU_Cp-JICPSFpmcuAxAXrM4/edit" TargetMode="External"/><Relationship Id="rId17" Type="http://schemas.openxmlformats.org/officeDocument/2006/relationships/hyperlink" Target="https://docs.google.com/spreadsheets/d/1r6ss6kBfhzf5-s_F2QzIbU_Cp-JICPSFpmcuAxAXrM4/edit" TargetMode="External"/><Relationship Id="rId16" Type="http://schemas.openxmlformats.org/officeDocument/2006/relationships/hyperlink" Target="https://docs.google.com/spreadsheets/d/1r6ss6kBfhzf5-s_F2QzIbU_Cp-JICPSFpmcuAxAXrM4/edit" TargetMode="External"/><Relationship Id="rId19" Type="http://schemas.openxmlformats.org/officeDocument/2006/relationships/hyperlink" Target="https://docs.google.com/spreadsheets/d/1r6ss6kBfhzf5-s_F2QzIbU_Cp-JICPSFpmcuAxAXrM4/edit" TargetMode="External"/><Relationship Id="rId18" Type="http://schemas.openxmlformats.org/officeDocument/2006/relationships/hyperlink" Target="https://docs.google.com/spreadsheets/d/1r6ss6kBfhzf5-s_F2QzIbU_Cp-JICPSFpmcuAxAXrM4/edit" TargetMode="External"/><Relationship Id="rId84" Type="http://schemas.openxmlformats.org/officeDocument/2006/relationships/hyperlink" Target="https://docs.google.com/spreadsheets/d/1gJodm_uXoFoQYG8iucvltvTJP9AP1MUo595AW_SGBes/edit" TargetMode="External"/><Relationship Id="rId83" Type="http://schemas.openxmlformats.org/officeDocument/2006/relationships/hyperlink" Target="https://docs.google.com/spreadsheets/d/1gJodm_uXoFoQYG8iucvltvTJP9AP1MUo595AW_SGBes/edit" TargetMode="External"/><Relationship Id="rId86" Type="http://schemas.openxmlformats.org/officeDocument/2006/relationships/hyperlink" Target="https://docs.google.com/spreadsheets/d/1gJodm_uXoFoQYG8iucvltvTJP9AP1MUo595AW_SGBes/edit" TargetMode="External"/><Relationship Id="rId85" Type="http://schemas.openxmlformats.org/officeDocument/2006/relationships/hyperlink" Target="https://docs.google.com/spreadsheets/d/1gJodm_uXoFoQYG8iucvltvTJP9AP1MUo595AW_SGBes/edit" TargetMode="External"/><Relationship Id="rId88" Type="http://schemas.openxmlformats.org/officeDocument/2006/relationships/hyperlink" Target="https://docs.google.com/spreadsheets/d/1gJodm_uXoFoQYG8iucvltvTJP9AP1MUo595AW_SGBes/edit" TargetMode="External"/><Relationship Id="rId87" Type="http://schemas.openxmlformats.org/officeDocument/2006/relationships/hyperlink" Target="https://docs.google.com/spreadsheets/d/1gJodm_uXoFoQYG8iucvltvTJP9AP1MUo595AW_SGBes/edit" TargetMode="External"/><Relationship Id="rId89" Type="http://schemas.openxmlformats.org/officeDocument/2006/relationships/hyperlink" Target="https://docs.google.com/spreadsheets/d/1gJodm_uXoFoQYG8iucvltvTJP9AP1MUo595AW_SGBes/edit" TargetMode="External"/><Relationship Id="rId80" Type="http://schemas.openxmlformats.org/officeDocument/2006/relationships/hyperlink" Target="https://docs.google.com/spreadsheets/d/13GPEWDxSFWwhjMVTlBzycovwrzcyNzaprrBDdKH9hvc/edit" TargetMode="External"/><Relationship Id="rId82" Type="http://schemas.openxmlformats.org/officeDocument/2006/relationships/hyperlink" Target="https://docs.google.com/spreadsheets/d/1gJodm_uXoFoQYG8iucvltvTJP9AP1MUo595AW_SGBes/edit" TargetMode="External"/><Relationship Id="rId81" Type="http://schemas.openxmlformats.org/officeDocument/2006/relationships/hyperlink" Target="https://docs.google.com/spreadsheets/d/13GPEWDxSFWwhjMVTlBzycovwrzcyNzaprrBDdKH9hvc/edit" TargetMode="External"/><Relationship Id="rId73" Type="http://schemas.openxmlformats.org/officeDocument/2006/relationships/hyperlink" Target="https://docs.google.com/spreadsheets/d/13GPEWDxSFWwhjMVTlBzycovwrzcyNzaprrBDdKH9hvc/edit" TargetMode="External"/><Relationship Id="rId72" Type="http://schemas.openxmlformats.org/officeDocument/2006/relationships/hyperlink" Target="https://docs.google.com/spreadsheets/d/13GPEWDxSFWwhjMVTlBzycovwrzcyNzaprrBDdKH9hvc/edit" TargetMode="External"/><Relationship Id="rId75" Type="http://schemas.openxmlformats.org/officeDocument/2006/relationships/hyperlink" Target="https://docs.google.com/spreadsheets/d/13GPEWDxSFWwhjMVTlBzycovwrzcyNzaprrBDdKH9hvc/edit" TargetMode="External"/><Relationship Id="rId74" Type="http://schemas.openxmlformats.org/officeDocument/2006/relationships/hyperlink" Target="https://docs.google.com/spreadsheets/d/13GPEWDxSFWwhjMVTlBzycovwrzcyNzaprrBDdKH9hvc/edit" TargetMode="External"/><Relationship Id="rId77" Type="http://schemas.openxmlformats.org/officeDocument/2006/relationships/hyperlink" Target="https://docs.google.com/spreadsheets/d/13GPEWDxSFWwhjMVTlBzycovwrzcyNzaprrBDdKH9hvc/edit" TargetMode="External"/><Relationship Id="rId76" Type="http://schemas.openxmlformats.org/officeDocument/2006/relationships/hyperlink" Target="https://docs.google.com/spreadsheets/d/13GPEWDxSFWwhjMVTlBzycovwrzcyNzaprrBDdKH9hvc/edit" TargetMode="External"/><Relationship Id="rId79" Type="http://schemas.openxmlformats.org/officeDocument/2006/relationships/hyperlink" Target="https://docs.google.com/spreadsheets/d/13GPEWDxSFWwhjMVTlBzycovwrzcyNzaprrBDdKH9hvc/edit" TargetMode="External"/><Relationship Id="rId78" Type="http://schemas.openxmlformats.org/officeDocument/2006/relationships/hyperlink" Target="https://docs.google.com/spreadsheets/d/13GPEWDxSFWwhjMVTlBzycovwrzcyNzaprrBDdKH9hvc/edit" TargetMode="External"/><Relationship Id="rId71" Type="http://schemas.openxmlformats.org/officeDocument/2006/relationships/hyperlink" Target="https://docs.google.com/spreadsheets/d/14-3fh-zOQrW7B5qJyFMsqV21mVuoY7dJBzfRQDGhsng/edit" TargetMode="External"/><Relationship Id="rId70" Type="http://schemas.openxmlformats.org/officeDocument/2006/relationships/hyperlink" Target="https://docs.google.com/spreadsheets/d/14-3fh-zOQrW7B5qJyFMsqV21mVuoY7dJBzfRQDGhsng/edit" TargetMode="External"/><Relationship Id="rId62" Type="http://schemas.openxmlformats.org/officeDocument/2006/relationships/hyperlink" Target="https://docs.google.com/spreadsheets/d/14-3fh-zOQrW7B5qJyFMsqV21mVuoY7dJBzfRQDGhsng/edit" TargetMode="External"/><Relationship Id="rId61" Type="http://schemas.openxmlformats.org/officeDocument/2006/relationships/hyperlink" Target="https://docs.google.com/spreadsheets/d/1lV8YfBXj97G87uPz1eVLPtIUgnUjppXi23zwFHcFVzA/edit" TargetMode="External"/><Relationship Id="rId64" Type="http://schemas.openxmlformats.org/officeDocument/2006/relationships/hyperlink" Target="https://docs.google.com/spreadsheets/d/14-3fh-zOQrW7B5qJyFMsqV21mVuoY7dJBzfRQDGhsng/edit" TargetMode="External"/><Relationship Id="rId63" Type="http://schemas.openxmlformats.org/officeDocument/2006/relationships/hyperlink" Target="https://docs.google.com/spreadsheets/d/14-3fh-zOQrW7B5qJyFMsqV21mVuoY7dJBzfRQDGhsng/edit" TargetMode="External"/><Relationship Id="rId66" Type="http://schemas.openxmlformats.org/officeDocument/2006/relationships/hyperlink" Target="https://docs.google.com/spreadsheets/d/14-3fh-zOQrW7B5qJyFMsqV21mVuoY7dJBzfRQDGhsng/edit" TargetMode="External"/><Relationship Id="rId65" Type="http://schemas.openxmlformats.org/officeDocument/2006/relationships/hyperlink" Target="https://docs.google.com/spreadsheets/d/14-3fh-zOQrW7B5qJyFMsqV21mVuoY7dJBzfRQDGhsng/edit" TargetMode="External"/><Relationship Id="rId68" Type="http://schemas.openxmlformats.org/officeDocument/2006/relationships/hyperlink" Target="https://docs.google.com/spreadsheets/d/14-3fh-zOQrW7B5qJyFMsqV21mVuoY7dJBzfRQDGhsng/edit" TargetMode="External"/><Relationship Id="rId67" Type="http://schemas.openxmlformats.org/officeDocument/2006/relationships/hyperlink" Target="https://docs.google.com/spreadsheets/d/14-3fh-zOQrW7B5qJyFMsqV21mVuoY7dJBzfRQDGhsng/edit" TargetMode="External"/><Relationship Id="rId60" Type="http://schemas.openxmlformats.org/officeDocument/2006/relationships/hyperlink" Target="https://docs.google.com/spreadsheets/d/1lV8YfBXj97G87uPz1eVLPtIUgnUjppXi23zwFHcFVzA/edit" TargetMode="External"/><Relationship Id="rId69" Type="http://schemas.openxmlformats.org/officeDocument/2006/relationships/hyperlink" Target="https://docs.google.com/spreadsheets/d/14-3fh-zOQrW7B5qJyFMsqV21mVuoY7dJBzfRQDGhsng/edit" TargetMode="External"/><Relationship Id="rId51" Type="http://schemas.openxmlformats.org/officeDocument/2006/relationships/hyperlink" Target="https://docs.google.com/spreadsheets/d/18JtELWXdetUDVSRCmeDdJ1OPAG5f5-hhChvqWonuFP0/edit" TargetMode="External"/><Relationship Id="rId50" Type="http://schemas.openxmlformats.org/officeDocument/2006/relationships/hyperlink" Target="https://docs.google.com/spreadsheets/d/18JtELWXdetUDVSRCmeDdJ1OPAG5f5-hhChvqWonuFP0/edit" TargetMode="External"/><Relationship Id="rId53" Type="http://schemas.openxmlformats.org/officeDocument/2006/relationships/hyperlink" Target="https://docs.google.com/spreadsheets/d/1lV8YfBXj97G87uPz1eVLPtIUgnUjppXi23zwFHcFVzA/edit" TargetMode="External"/><Relationship Id="rId52" Type="http://schemas.openxmlformats.org/officeDocument/2006/relationships/hyperlink" Target="https://docs.google.com/spreadsheets/d/1lV8YfBXj97G87uPz1eVLPtIUgnUjppXi23zwFHcFVzA/edit" TargetMode="External"/><Relationship Id="rId55" Type="http://schemas.openxmlformats.org/officeDocument/2006/relationships/hyperlink" Target="https://docs.google.com/spreadsheets/d/1lV8YfBXj97G87uPz1eVLPtIUgnUjppXi23zwFHcFVzA/edit" TargetMode="External"/><Relationship Id="rId54" Type="http://schemas.openxmlformats.org/officeDocument/2006/relationships/hyperlink" Target="https://docs.google.com/spreadsheets/d/1lV8YfBXj97G87uPz1eVLPtIUgnUjppXi23zwFHcFVzA/edit" TargetMode="External"/><Relationship Id="rId57" Type="http://schemas.openxmlformats.org/officeDocument/2006/relationships/hyperlink" Target="https://docs.google.com/spreadsheets/d/1lV8YfBXj97G87uPz1eVLPtIUgnUjppXi23zwFHcFVzA/edit" TargetMode="External"/><Relationship Id="rId56" Type="http://schemas.openxmlformats.org/officeDocument/2006/relationships/hyperlink" Target="https://docs.google.com/spreadsheets/d/1lV8YfBXj97G87uPz1eVLPtIUgnUjppXi23zwFHcFVzA/edit" TargetMode="External"/><Relationship Id="rId59" Type="http://schemas.openxmlformats.org/officeDocument/2006/relationships/hyperlink" Target="https://docs.google.com/spreadsheets/d/1lV8YfBXj97G87uPz1eVLPtIUgnUjppXi23zwFHcFVzA/edit" TargetMode="External"/><Relationship Id="rId58" Type="http://schemas.openxmlformats.org/officeDocument/2006/relationships/hyperlink" Target="https://docs.google.com/spreadsheets/d/1lV8YfBXj97G87uPz1eVLPtIUgnUjppXi23zwFHcFVzA/edit" TargetMode="External"/><Relationship Id="rId107" Type="http://schemas.openxmlformats.org/officeDocument/2006/relationships/hyperlink" Target="https://docs.google.com/spreadsheets/d/18xw-XtZvLKzOsqn57o8pfHdOFIg5h9AmB2bWtHCk_EM/edit" TargetMode="External"/><Relationship Id="rId228" Type="http://schemas.openxmlformats.org/officeDocument/2006/relationships/hyperlink" Target="https://docs.google.com/spreadsheets/d/1g9pfAboB6Zb-Ttee09QW2VM7Al7NCXrMzkoJbO0xbfc/edit" TargetMode="External"/><Relationship Id="rId349" Type="http://schemas.openxmlformats.org/officeDocument/2006/relationships/hyperlink" Target="https://docs.google.com/spreadsheets/d/1EDLojHfvGnhjyRFcUnKELeWnmY7n7RFMYKesedY0FuY/edit" TargetMode="External"/><Relationship Id="rId106" Type="http://schemas.openxmlformats.org/officeDocument/2006/relationships/hyperlink" Target="https://docs.google.com/spreadsheets/d/18xw-XtZvLKzOsqn57o8pfHdOFIg5h9AmB2bWtHCk_EM/edit" TargetMode="External"/><Relationship Id="rId227" Type="http://schemas.openxmlformats.org/officeDocument/2006/relationships/hyperlink" Target="https://docs.google.com/spreadsheets/d/1g9pfAboB6Zb-Ttee09QW2VM7Al7NCXrMzkoJbO0xbfc/edit" TargetMode="External"/><Relationship Id="rId348" Type="http://schemas.openxmlformats.org/officeDocument/2006/relationships/hyperlink" Target="https://docs.google.com/spreadsheets/d/1EDLojHfvGnhjyRFcUnKELeWnmY7n7RFMYKesedY0FuY/edit" TargetMode="External"/><Relationship Id="rId105" Type="http://schemas.openxmlformats.org/officeDocument/2006/relationships/hyperlink" Target="https://docs.google.com/spreadsheets/d/18xw-XtZvLKzOsqn57o8pfHdOFIg5h9AmB2bWtHCk_EM/edit" TargetMode="External"/><Relationship Id="rId226" Type="http://schemas.openxmlformats.org/officeDocument/2006/relationships/hyperlink" Target="https://docs.google.com/spreadsheets/d/1g9pfAboB6Zb-Ttee09QW2VM7Al7NCXrMzkoJbO0xbfc/edit" TargetMode="External"/><Relationship Id="rId347" Type="http://schemas.openxmlformats.org/officeDocument/2006/relationships/hyperlink" Target="https://docs.google.com/spreadsheets/d/1EDLojHfvGnhjyRFcUnKELeWnmY7n7RFMYKesedY0FuY/edit" TargetMode="External"/><Relationship Id="rId104" Type="http://schemas.openxmlformats.org/officeDocument/2006/relationships/hyperlink" Target="https://docs.google.com/spreadsheets/d/18xw-XtZvLKzOsqn57o8pfHdOFIg5h9AmB2bWtHCk_EM/edit" TargetMode="External"/><Relationship Id="rId225" Type="http://schemas.openxmlformats.org/officeDocument/2006/relationships/hyperlink" Target="https://docs.google.com/spreadsheets/d/1g9pfAboB6Zb-Ttee09QW2VM7Al7NCXrMzkoJbO0xbfc/edit" TargetMode="External"/><Relationship Id="rId346" Type="http://schemas.openxmlformats.org/officeDocument/2006/relationships/hyperlink" Target="https://docs.google.com/spreadsheets/d/1EDLojHfvGnhjyRFcUnKELeWnmY7n7RFMYKesedY0FuY/edit" TargetMode="External"/><Relationship Id="rId109" Type="http://schemas.openxmlformats.org/officeDocument/2006/relationships/hyperlink" Target="https://docs.google.com/spreadsheets/d/18xw-XtZvLKzOsqn57o8pfHdOFIg5h9AmB2bWtHCk_EM/edit" TargetMode="External"/><Relationship Id="rId108" Type="http://schemas.openxmlformats.org/officeDocument/2006/relationships/hyperlink" Target="https://docs.google.com/spreadsheets/d/18xw-XtZvLKzOsqn57o8pfHdOFIg5h9AmB2bWtHCk_EM/edit" TargetMode="External"/><Relationship Id="rId229" Type="http://schemas.openxmlformats.org/officeDocument/2006/relationships/hyperlink" Target="https://docs.google.com/spreadsheets/d/1g9pfAboB6Zb-Ttee09QW2VM7Al7NCXrMzkoJbO0xbfc/edit" TargetMode="External"/><Relationship Id="rId220" Type="http://schemas.openxmlformats.org/officeDocument/2006/relationships/hyperlink" Target="https://docs.google.com/spreadsheets/d/1LNmsi-DrC3gSa6pwdEnDhLzUXJOgpwWuKhUZ1hmWhmc/edit" TargetMode="External"/><Relationship Id="rId341" Type="http://schemas.openxmlformats.org/officeDocument/2006/relationships/hyperlink" Target="https://docs.google.com/spreadsheets/d/1GQb2MLW2ifE_wNSg53lgLj3n7_wV5Dkl8c6Wbl-5xo4/edit" TargetMode="External"/><Relationship Id="rId340" Type="http://schemas.openxmlformats.org/officeDocument/2006/relationships/hyperlink" Target="https://docs.google.com/spreadsheets/d/1GQb2MLW2ifE_wNSg53lgLj3n7_wV5Dkl8c6Wbl-5xo4/edit" TargetMode="External"/><Relationship Id="rId103" Type="http://schemas.openxmlformats.org/officeDocument/2006/relationships/hyperlink" Target="https://docs.google.com/spreadsheets/d/18xw-XtZvLKzOsqn57o8pfHdOFIg5h9AmB2bWtHCk_EM/edit" TargetMode="External"/><Relationship Id="rId224" Type="http://schemas.openxmlformats.org/officeDocument/2006/relationships/hyperlink" Target="https://docs.google.com/spreadsheets/d/1g9pfAboB6Zb-Ttee09QW2VM7Al7NCXrMzkoJbO0xbfc/edit" TargetMode="External"/><Relationship Id="rId345" Type="http://schemas.openxmlformats.org/officeDocument/2006/relationships/hyperlink" Target="https://docs.google.com/spreadsheets/d/1EDLojHfvGnhjyRFcUnKELeWnmY7n7RFMYKesedY0FuY/edit" TargetMode="External"/><Relationship Id="rId102" Type="http://schemas.openxmlformats.org/officeDocument/2006/relationships/hyperlink" Target="https://docs.google.com/spreadsheets/d/18xw-XtZvLKzOsqn57o8pfHdOFIg5h9AmB2bWtHCk_EM/edit" TargetMode="External"/><Relationship Id="rId223" Type="http://schemas.openxmlformats.org/officeDocument/2006/relationships/hyperlink" Target="https://docs.google.com/spreadsheets/d/1g9pfAboB6Zb-Ttee09QW2VM7Al7NCXrMzkoJbO0xbfc/edit" TargetMode="External"/><Relationship Id="rId344" Type="http://schemas.openxmlformats.org/officeDocument/2006/relationships/hyperlink" Target="https://docs.google.com/spreadsheets/d/1EDLojHfvGnhjyRFcUnKELeWnmY7n7RFMYKesedY0FuY/edit" TargetMode="External"/><Relationship Id="rId101" Type="http://schemas.openxmlformats.org/officeDocument/2006/relationships/hyperlink" Target="https://docs.google.com/spreadsheets/d/1fFngXXBz4OMgfufvIFYr0OoiHW0QMd9uesoCgrKBXls/edit" TargetMode="External"/><Relationship Id="rId222" Type="http://schemas.openxmlformats.org/officeDocument/2006/relationships/hyperlink" Target="https://docs.google.com/spreadsheets/d/1g9pfAboB6Zb-Ttee09QW2VM7Al7NCXrMzkoJbO0xbfc/edit" TargetMode="External"/><Relationship Id="rId343" Type="http://schemas.openxmlformats.org/officeDocument/2006/relationships/hyperlink" Target="https://docs.google.com/spreadsheets/d/1GQb2MLW2ifE_wNSg53lgLj3n7_wV5Dkl8c6Wbl-5xo4/edit" TargetMode="External"/><Relationship Id="rId100" Type="http://schemas.openxmlformats.org/officeDocument/2006/relationships/hyperlink" Target="https://docs.google.com/spreadsheets/d/1fFngXXBz4OMgfufvIFYr0OoiHW0QMd9uesoCgrKBXls/edit" TargetMode="External"/><Relationship Id="rId221" Type="http://schemas.openxmlformats.org/officeDocument/2006/relationships/hyperlink" Target="https://docs.google.com/spreadsheets/d/1g9pfAboB6Zb-Ttee09QW2VM7Al7NCXrMzkoJbO0xbfc/edit" TargetMode="External"/><Relationship Id="rId342" Type="http://schemas.openxmlformats.org/officeDocument/2006/relationships/hyperlink" Target="https://docs.google.com/spreadsheets/d/1GQb2MLW2ifE_wNSg53lgLj3n7_wV5Dkl8c6Wbl-5xo4/edit" TargetMode="External"/><Relationship Id="rId217" Type="http://schemas.openxmlformats.org/officeDocument/2006/relationships/hyperlink" Target="https://docs.google.com/spreadsheets/d/1LNmsi-DrC3gSa6pwdEnDhLzUXJOgpwWuKhUZ1hmWhmc/edit" TargetMode="External"/><Relationship Id="rId338" Type="http://schemas.openxmlformats.org/officeDocument/2006/relationships/hyperlink" Target="https://docs.google.com/spreadsheets/d/1GQb2MLW2ifE_wNSg53lgLj3n7_wV5Dkl8c6Wbl-5xo4/edit" TargetMode="External"/><Relationship Id="rId216" Type="http://schemas.openxmlformats.org/officeDocument/2006/relationships/hyperlink" Target="https://docs.google.com/spreadsheets/d/1LNmsi-DrC3gSa6pwdEnDhLzUXJOgpwWuKhUZ1hmWhmc/edit" TargetMode="External"/><Relationship Id="rId337" Type="http://schemas.openxmlformats.org/officeDocument/2006/relationships/hyperlink" Target="https://docs.google.com/spreadsheets/d/1GQb2MLW2ifE_wNSg53lgLj3n7_wV5Dkl8c6Wbl-5xo4/edit" TargetMode="External"/><Relationship Id="rId215" Type="http://schemas.openxmlformats.org/officeDocument/2006/relationships/hyperlink" Target="https://docs.google.com/spreadsheets/d/1LNmsi-DrC3gSa6pwdEnDhLzUXJOgpwWuKhUZ1hmWhmc/edit" TargetMode="External"/><Relationship Id="rId336" Type="http://schemas.openxmlformats.org/officeDocument/2006/relationships/hyperlink" Target="https://docs.google.com/spreadsheets/d/1GQb2MLW2ifE_wNSg53lgLj3n7_wV5Dkl8c6Wbl-5xo4/edit" TargetMode="External"/><Relationship Id="rId214" Type="http://schemas.openxmlformats.org/officeDocument/2006/relationships/hyperlink" Target="https://docs.google.com/spreadsheets/d/1LNmsi-DrC3gSa6pwdEnDhLzUXJOgpwWuKhUZ1hmWhmc/edit" TargetMode="External"/><Relationship Id="rId335" Type="http://schemas.openxmlformats.org/officeDocument/2006/relationships/hyperlink" Target="https://docs.google.com/spreadsheets/d/1GQb2MLW2ifE_wNSg53lgLj3n7_wV5Dkl8c6Wbl-5xo4/edit" TargetMode="External"/><Relationship Id="rId219" Type="http://schemas.openxmlformats.org/officeDocument/2006/relationships/hyperlink" Target="https://docs.google.com/spreadsheets/d/1LNmsi-DrC3gSa6pwdEnDhLzUXJOgpwWuKhUZ1hmWhmc/edit" TargetMode="External"/><Relationship Id="rId218" Type="http://schemas.openxmlformats.org/officeDocument/2006/relationships/hyperlink" Target="https://docs.google.com/spreadsheets/d/1LNmsi-DrC3gSa6pwdEnDhLzUXJOgpwWuKhUZ1hmWhmc/edit" TargetMode="External"/><Relationship Id="rId339" Type="http://schemas.openxmlformats.org/officeDocument/2006/relationships/hyperlink" Target="https://docs.google.com/spreadsheets/d/1GQb2MLW2ifE_wNSg53lgLj3n7_wV5Dkl8c6Wbl-5xo4/edit" TargetMode="External"/><Relationship Id="rId330" Type="http://schemas.openxmlformats.org/officeDocument/2006/relationships/hyperlink" Target="https://docs.google.com/spreadsheets/d/1GQb2MLW2ifE_wNSg53lgLj3n7_wV5Dkl8c6Wbl-5xo4/edit" TargetMode="External"/><Relationship Id="rId213" Type="http://schemas.openxmlformats.org/officeDocument/2006/relationships/hyperlink" Target="https://docs.google.com/spreadsheets/d/1LNmsi-DrC3gSa6pwdEnDhLzUXJOgpwWuKhUZ1hmWhmc/edit" TargetMode="External"/><Relationship Id="rId334" Type="http://schemas.openxmlformats.org/officeDocument/2006/relationships/hyperlink" Target="https://docs.google.com/spreadsheets/d/1GQb2MLW2ifE_wNSg53lgLj3n7_wV5Dkl8c6Wbl-5xo4/edit" TargetMode="External"/><Relationship Id="rId212" Type="http://schemas.openxmlformats.org/officeDocument/2006/relationships/hyperlink" Target="https://docs.google.com/spreadsheets/d/1LNmsi-DrC3gSa6pwdEnDhLzUXJOgpwWuKhUZ1hmWhmc/edit" TargetMode="External"/><Relationship Id="rId333" Type="http://schemas.openxmlformats.org/officeDocument/2006/relationships/hyperlink" Target="https://docs.google.com/spreadsheets/d/1GQb2MLW2ifE_wNSg53lgLj3n7_wV5Dkl8c6Wbl-5xo4/edit" TargetMode="External"/><Relationship Id="rId211" Type="http://schemas.openxmlformats.org/officeDocument/2006/relationships/hyperlink" Target="https://docs.google.com/spreadsheets/d/1LNmsi-DrC3gSa6pwdEnDhLzUXJOgpwWuKhUZ1hmWhmc/edit" TargetMode="External"/><Relationship Id="rId332" Type="http://schemas.openxmlformats.org/officeDocument/2006/relationships/hyperlink" Target="https://docs.google.com/spreadsheets/d/1GQb2MLW2ifE_wNSg53lgLj3n7_wV5Dkl8c6Wbl-5xo4/edit" TargetMode="External"/><Relationship Id="rId210" Type="http://schemas.openxmlformats.org/officeDocument/2006/relationships/hyperlink" Target="https://docs.google.com/spreadsheets/d/1LNmsi-DrC3gSa6pwdEnDhLzUXJOgpwWuKhUZ1hmWhmc/edit" TargetMode="External"/><Relationship Id="rId331" Type="http://schemas.openxmlformats.org/officeDocument/2006/relationships/hyperlink" Target="https://docs.google.com/spreadsheets/d/1GQb2MLW2ifE_wNSg53lgLj3n7_wV5Dkl8c6Wbl-5xo4/edit" TargetMode="External"/><Relationship Id="rId370" Type="http://schemas.openxmlformats.org/officeDocument/2006/relationships/hyperlink" Target="https://docs.google.com/spreadsheets/d/11-dvUfCe0PHf0SYSi3KDOJ60e6b8gS4q0icHsGIAhsI/edit" TargetMode="External"/><Relationship Id="rId129" Type="http://schemas.openxmlformats.org/officeDocument/2006/relationships/hyperlink" Target="https://docs.google.com/spreadsheets/d/1Hxsdmc7QxSjkzrd-ae4fEFR-3Czr30zOSMG7BmACHiI/edit" TargetMode="External"/><Relationship Id="rId128" Type="http://schemas.openxmlformats.org/officeDocument/2006/relationships/hyperlink" Target="https://docs.google.com/spreadsheets/d/1Hxsdmc7QxSjkzrd-ae4fEFR-3Czr30zOSMG7BmACHiI/edit" TargetMode="External"/><Relationship Id="rId249" Type="http://schemas.openxmlformats.org/officeDocument/2006/relationships/hyperlink" Target="https://docs.google.com/spreadsheets/d/1cuXQUbesBO2VbEWPJLBsPjUT6vk29JXgbSwUze0pORQ/edit" TargetMode="External"/><Relationship Id="rId127" Type="http://schemas.openxmlformats.org/officeDocument/2006/relationships/hyperlink" Target="https://docs.google.com/spreadsheets/d/1Hxsdmc7QxSjkzrd-ae4fEFR-3Czr30zOSMG7BmACHiI/edit" TargetMode="External"/><Relationship Id="rId248" Type="http://schemas.openxmlformats.org/officeDocument/2006/relationships/hyperlink" Target="https://docs.google.com/spreadsheets/d/1cuXQUbesBO2VbEWPJLBsPjUT6vk29JXgbSwUze0pORQ/edit" TargetMode="External"/><Relationship Id="rId369" Type="http://schemas.openxmlformats.org/officeDocument/2006/relationships/hyperlink" Target="https://docs.google.com/spreadsheets/d/11-dvUfCe0PHf0SYSi3KDOJ60e6b8gS4q0icHsGIAhsI/edit" TargetMode="External"/><Relationship Id="rId126" Type="http://schemas.openxmlformats.org/officeDocument/2006/relationships/hyperlink" Target="https://docs.google.com/spreadsheets/d/1Hxsdmc7QxSjkzrd-ae4fEFR-3Czr30zOSMG7BmACHiI/edit" TargetMode="External"/><Relationship Id="rId247" Type="http://schemas.openxmlformats.org/officeDocument/2006/relationships/hyperlink" Target="https://docs.google.com/spreadsheets/d/1cuXQUbesBO2VbEWPJLBsPjUT6vk29JXgbSwUze0pORQ/edit" TargetMode="External"/><Relationship Id="rId368" Type="http://schemas.openxmlformats.org/officeDocument/2006/relationships/hyperlink" Target="https://docs.google.com/spreadsheets/d/11-dvUfCe0PHf0SYSi3KDOJ60e6b8gS4q0icHsGIAhsI/edit" TargetMode="External"/><Relationship Id="rId121" Type="http://schemas.openxmlformats.org/officeDocument/2006/relationships/hyperlink" Target="https://docs.google.com/spreadsheets/d/1C_64Ma1ksy27NwcgZzIFXJvaqRWnMitD0cZq9Jbq7CY/edit" TargetMode="External"/><Relationship Id="rId242" Type="http://schemas.openxmlformats.org/officeDocument/2006/relationships/hyperlink" Target="https://docs.google.com/spreadsheets/d/1dYSwzvVdkz-OEenXLCAMbVIq1XgrO0Gh9EoqPK2YumE/edit" TargetMode="External"/><Relationship Id="rId363" Type="http://schemas.openxmlformats.org/officeDocument/2006/relationships/hyperlink" Target="https://docs.google.com/spreadsheets/d/1cMwP29CrKQeboWK4QgywWkFEVyvMB4DiEoNj_wp4rvg/edit" TargetMode="External"/><Relationship Id="rId120" Type="http://schemas.openxmlformats.org/officeDocument/2006/relationships/hyperlink" Target="https://docs.google.com/spreadsheets/d/1C_64Ma1ksy27NwcgZzIFXJvaqRWnMitD0cZq9Jbq7CY/edit" TargetMode="External"/><Relationship Id="rId241" Type="http://schemas.openxmlformats.org/officeDocument/2006/relationships/hyperlink" Target="https://docs.google.com/spreadsheets/d/1dYSwzvVdkz-OEenXLCAMbVIq1XgrO0Gh9EoqPK2YumE/edit" TargetMode="External"/><Relationship Id="rId362" Type="http://schemas.openxmlformats.org/officeDocument/2006/relationships/hyperlink" Target="https://docs.google.com/spreadsheets/d/1cMwP29CrKQeboWK4QgywWkFEVyvMB4DiEoNj_wp4rvg/edit" TargetMode="External"/><Relationship Id="rId240" Type="http://schemas.openxmlformats.org/officeDocument/2006/relationships/hyperlink" Target="https://docs.google.com/spreadsheets/d/1dYSwzvVdkz-OEenXLCAMbVIq1XgrO0Gh9EoqPK2YumE/edit" TargetMode="External"/><Relationship Id="rId361" Type="http://schemas.openxmlformats.org/officeDocument/2006/relationships/hyperlink" Target="https://docs.google.com/spreadsheets/d/1cMwP29CrKQeboWK4QgywWkFEVyvMB4DiEoNj_wp4rvg/edit" TargetMode="External"/><Relationship Id="rId360" Type="http://schemas.openxmlformats.org/officeDocument/2006/relationships/hyperlink" Target="https://docs.google.com/spreadsheets/d/1cMwP29CrKQeboWK4QgywWkFEVyvMB4DiEoNj_wp4rvg/edit" TargetMode="External"/><Relationship Id="rId125" Type="http://schemas.openxmlformats.org/officeDocument/2006/relationships/hyperlink" Target="https://docs.google.com/spreadsheets/d/1Hxsdmc7QxSjkzrd-ae4fEFR-3Czr30zOSMG7BmACHiI/edit" TargetMode="External"/><Relationship Id="rId246" Type="http://schemas.openxmlformats.org/officeDocument/2006/relationships/hyperlink" Target="https://docs.google.com/spreadsheets/d/1dYSwzvVdkz-OEenXLCAMbVIq1XgrO0Gh9EoqPK2YumE/edit" TargetMode="External"/><Relationship Id="rId367" Type="http://schemas.openxmlformats.org/officeDocument/2006/relationships/hyperlink" Target="https://docs.google.com/spreadsheets/d/1cMwP29CrKQeboWK4QgywWkFEVyvMB4DiEoNj_wp4rvg/edit" TargetMode="External"/><Relationship Id="rId124" Type="http://schemas.openxmlformats.org/officeDocument/2006/relationships/hyperlink" Target="https://docs.google.com/spreadsheets/d/1Hxsdmc7QxSjkzrd-ae4fEFR-3Czr30zOSMG7BmACHiI/edit" TargetMode="External"/><Relationship Id="rId245" Type="http://schemas.openxmlformats.org/officeDocument/2006/relationships/hyperlink" Target="https://docs.google.com/spreadsheets/d/1dYSwzvVdkz-OEenXLCAMbVIq1XgrO0Gh9EoqPK2YumE/edit" TargetMode="External"/><Relationship Id="rId366" Type="http://schemas.openxmlformats.org/officeDocument/2006/relationships/hyperlink" Target="https://docs.google.com/spreadsheets/d/1cMwP29CrKQeboWK4QgywWkFEVyvMB4DiEoNj_wp4rvg/edit" TargetMode="External"/><Relationship Id="rId123" Type="http://schemas.openxmlformats.org/officeDocument/2006/relationships/hyperlink" Target="https://docs.google.com/spreadsheets/d/1Hxsdmc7QxSjkzrd-ae4fEFR-3Czr30zOSMG7BmACHiI/edit" TargetMode="External"/><Relationship Id="rId244" Type="http://schemas.openxmlformats.org/officeDocument/2006/relationships/hyperlink" Target="https://docs.google.com/spreadsheets/d/1dYSwzvVdkz-OEenXLCAMbVIq1XgrO0Gh9EoqPK2YumE/edit" TargetMode="External"/><Relationship Id="rId365" Type="http://schemas.openxmlformats.org/officeDocument/2006/relationships/hyperlink" Target="https://docs.google.com/spreadsheets/d/1cMwP29CrKQeboWK4QgywWkFEVyvMB4DiEoNj_wp4rvg/edit" TargetMode="External"/><Relationship Id="rId122" Type="http://schemas.openxmlformats.org/officeDocument/2006/relationships/hyperlink" Target="https://docs.google.com/spreadsheets/d/1Hxsdmc7QxSjkzrd-ae4fEFR-3Czr30zOSMG7BmACHiI/edit" TargetMode="External"/><Relationship Id="rId243" Type="http://schemas.openxmlformats.org/officeDocument/2006/relationships/hyperlink" Target="https://docs.google.com/spreadsheets/d/1dYSwzvVdkz-OEenXLCAMbVIq1XgrO0Gh9EoqPK2YumE/edit" TargetMode="External"/><Relationship Id="rId364" Type="http://schemas.openxmlformats.org/officeDocument/2006/relationships/hyperlink" Target="https://docs.google.com/spreadsheets/d/1cMwP29CrKQeboWK4QgywWkFEVyvMB4DiEoNj_wp4rvg/edit" TargetMode="External"/><Relationship Id="rId95" Type="http://schemas.openxmlformats.org/officeDocument/2006/relationships/hyperlink" Target="https://docs.google.com/spreadsheets/d/1fFngXXBz4OMgfufvIFYr0OoiHW0QMd9uesoCgrKBXls/edit" TargetMode="External"/><Relationship Id="rId94" Type="http://schemas.openxmlformats.org/officeDocument/2006/relationships/hyperlink" Target="https://docs.google.com/spreadsheets/d/1fFngXXBz4OMgfufvIFYr0OoiHW0QMd9uesoCgrKBXls/edit" TargetMode="External"/><Relationship Id="rId97" Type="http://schemas.openxmlformats.org/officeDocument/2006/relationships/hyperlink" Target="https://docs.google.com/spreadsheets/d/1fFngXXBz4OMgfufvIFYr0OoiHW0QMd9uesoCgrKBXls/edit" TargetMode="External"/><Relationship Id="rId96" Type="http://schemas.openxmlformats.org/officeDocument/2006/relationships/hyperlink" Target="https://docs.google.com/spreadsheets/d/1fFngXXBz4OMgfufvIFYr0OoiHW0QMd9uesoCgrKBXls/edit" TargetMode="External"/><Relationship Id="rId99" Type="http://schemas.openxmlformats.org/officeDocument/2006/relationships/hyperlink" Target="https://docs.google.com/spreadsheets/d/1fFngXXBz4OMgfufvIFYr0OoiHW0QMd9uesoCgrKBXls/edit" TargetMode="External"/><Relationship Id="rId98" Type="http://schemas.openxmlformats.org/officeDocument/2006/relationships/hyperlink" Target="https://docs.google.com/spreadsheets/d/1fFngXXBz4OMgfufvIFYr0OoiHW0QMd9uesoCgrKBXls/edit" TargetMode="External"/><Relationship Id="rId91" Type="http://schemas.openxmlformats.org/officeDocument/2006/relationships/hyperlink" Target="https://docs.google.com/spreadsheets/d/1gJodm_uXoFoQYG8iucvltvTJP9AP1MUo595AW_SGBes/edit" TargetMode="External"/><Relationship Id="rId90" Type="http://schemas.openxmlformats.org/officeDocument/2006/relationships/hyperlink" Target="https://docs.google.com/spreadsheets/d/1gJodm_uXoFoQYG8iucvltvTJP9AP1MUo595AW_SGBes/edit" TargetMode="External"/><Relationship Id="rId93" Type="http://schemas.openxmlformats.org/officeDocument/2006/relationships/hyperlink" Target="https://docs.google.com/spreadsheets/d/1fFngXXBz4OMgfufvIFYr0OoiHW0QMd9uesoCgrKBXls/edit" TargetMode="External"/><Relationship Id="rId92" Type="http://schemas.openxmlformats.org/officeDocument/2006/relationships/hyperlink" Target="https://docs.google.com/spreadsheets/d/1fFngXXBz4OMgfufvIFYr0OoiHW0QMd9uesoCgrKBXls/edit" TargetMode="External"/><Relationship Id="rId118" Type="http://schemas.openxmlformats.org/officeDocument/2006/relationships/hyperlink" Target="https://docs.google.com/spreadsheets/d/1C_64Ma1ksy27NwcgZzIFXJvaqRWnMitD0cZq9Jbq7CY/edit" TargetMode="External"/><Relationship Id="rId239" Type="http://schemas.openxmlformats.org/officeDocument/2006/relationships/hyperlink" Target="https://docs.google.com/spreadsheets/d/1dYSwzvVdkz-OEenXLCAMbVIq1XgrO0Gh9EoqPK2YumE/edit" TargetMode="External"/><Relationship Id="rId117" Type="http://schemas.openxmlformats.org/officeDocument/2006/relationships/hyperlink" Target="https://docs.google.com/spreadsheets/d/1C_64Ma1ksy27NwcgZzIFXJvaqRWnMitD0cZq9Jbq7CY/edit" TargetMode="External"/><Relationship Id="rId238" Type="http://schemas.openxmlformats.org/officeDocument/2006/relationships/hyperlink" Target="https://docs.google.com/spreadsheets/d/1dYSwzvVdkz-OEenXLCAMbVIq1XgrO0Gh9EoqPK2YumE/edit" TargetMode="External"/><Relationship Id="rId359" Type="http://schemas.openxmlformats.org/officeDocument/2006/relationships/hyperlink" Target="https://docs.google.com/spreadsheets/d/1EDLojHfvGnhjyRFcUnKELeWnmY7n7RFMYKesedY0FuY/edit" TargetMode="External"/><Relationship Id="rId116" Type="http://schemas.openxmlformats.org/officeDocument/2006/relationships/hyperlink" Target="https://docs.google.com/spreadsheets/d/1C_64Ma1ksy27NwcgZzIFXJvaqRWnMitD0cZq9Jbq7CY/edit" TargetMode="External"/><Relationship Id="rId237" Type="http://schemas.openxmlformats.org/officeDocument/2006/relationships/hyperlink" Target="https://docs.google.com/spreadsheets/d/1g9pfAboB6Zb-Ttee09QW2VM7Al7NCXrMzkoJbO0xbfc/edit" TargetMode="External"/><Relationship Id="rId358" Type="http://schemas.openxmlformats.org/officeDocument/2006/relationships/hyperlink" Target="https://docs.google.com/spreadsheets/d/1EDLojHfvGnhjyRFcUnKELeWnmY7n7RFMYKesedY0FuY/edit" TargetMode="External"/><Relationship Id="rId115" Type="http://schemas.openxmlformats.org/officeDocument/2006/relationships/hyperlink" Target="https://docs.google.com/spreadsheets/d/1C_64Ma1ksy27NwcgZzIFXJvaqRWnMitD0cZq9Jbq7CY/edit" TargetMode="External"/><Relationship Id="rId236" Type="http://schemas.openxmlformats.org/officeDocument/2006/relationships/hyperlink" Target="https://docs.google.com/spreadsheets/d/1g9pfAboB6Zb-Ttee09QW2VM7Al7NCXrMzkoJbO0xbfc/edit" TargetMode="External"/><Relationship Id="rId357" Type="http://schemas.openxmlformats.org/officeDocument/2006/relationships/hyperlink" Target="https://docs.google.com/spreadsheets/d/1EDLojHfvGnhjyRFcUnKELeWnmY7n7RFMYKesedY0FuY/edit" TargetMode="External"/><Relationship Id="rId119" Type="http://schemas.openxmlformats.org/officeDocument/2006/relationships/hyperlink" Target="https://docs.google.com/spreadsheets/d/1C_64Ma1ksy27NwcgZzIFXJvaqRWnMitD0cZq9Jbq7CY/edit" TargetMode="External"/><Relationship Id="rId110" Type="http://schemas.openxmlformats.org/officeDocument/2006/relationships/hyperlink" Target="https://docs.google.com/spreadsheets/d/18xw-XtZvLKzOsqn57o8pfHdOFIg5h9AmB2bWtHCk_EM/edit" TargetMode="External"/><Relationship Id="rId231" Type="http://schemas.openxmlformats.org/officeDocument/2006/relationships/hyperlink" Target="https://docs.google.com/spreadsheets/d/1g9pfAboB6Zb-Ttee09QW2VM7Al7NCXrMzkoJbO0xbfc/edit" TargetMode="External"/><Relationship Id="rId352" Type="http://schemas.openxmlformats.org/officeDocument/2006/relationships/hyperlink" Target="https://docs.google.com/spreadsheets/d/1EDLojHfvGnhjyRFcUnKELeWnmY7n7RFMYKesedY0FuY/edit" TargetMode="External"/><Relationship Id="rId230" Type="http://schemas.openxmlformats.org/officeDocument/2006/relationships/hyperlink" Target="https://docs.google.com/spreadsheets/d/1g9pfAboB6Zb-Ttee09QW2VM7Al7NCXrMzkoJbO0xbfc/edit" TargetMode="External"/><Relationship Id="rId351" Type="http://schemas.openxmlformats.org/officeDocument/2006/relationships/hyperlink" Target="https://docs.google.com/spreadsheets/d/1EDLojHfvGnhjyRFcUnKELeWnmY7n7RFMYKesedY0FuY/edit" TargetMode="External"/><Relationship Id="rId350" Type="http://schemas.openxmlformats.org/officeDocument/2006/relationships/hyperlink" Target="https://docs.google.com/spreadsheets/d/1EDLojHfvGnhjyRFcUnKELeWnmY7n7RFMYKesedY0FuY/edit" TargetMode="External"/><Relationship Id="rId114" Type="http://schemas.openxmlformats.org/officeDocument/2006/relationships/hyperlink" Target="https://docs.google.com/spreadsheets/d/1C_64Ma1ksy27NwcgZzIFXJvaqRWnMitD0cZq9Jbq7CY/edit" TargetMode="External"/><Relationship Id="rId235" Type="http://schemas.openxmlformats.org/officeDocument/2006/relationships/hyperlink" Target="https://docs.google.com/spreadsheets/d/1g9pfAboB6Zb-Ttee09QW2VM7Al7NCXrMzkoJbO0xbfc/edit" TargetMode="External"/><Relationship Id="rId356" Type="http://schemas.openxmlformats.org/officeDocument/2006/relationships/hyperlink" Target="https://docs.google.com/spreadsheets/d/1EDLojHfvGnhjyRFcUnKELeWnmY7n7RFMYKesedY0FuY/edit" TargetMode="External"/><Relationship Id="rId113" Type="http://schemas.openxmlformats.org/officeDocument/2006/relationships/hyperlink" Target="https://docs.google.com/spreadsheets/d/1C_64Ma1ksy27NwcgZzIFXJvaqRWnMitD0cZq9Jbq7CY/edit" TargetMode="External"/><Relationship Id="rId234" Type="http://schemas.openxmlformats.org/officeDocument/2006/relationships/hyperlink" Target="https://docs.google.com/spreadsheets/d/1g9pfAboB6Zb-Ttee09QW2VM7Al7NCXrMzkoJbO0xbfc/edit" TargetMode="External"/><Relationship Id="rId355" Type="http://schemas.openxmlformats.org/officeDocument/2006/relationships/hyperlink" Target="https://docs.google.com/spreadsheets/d/1EDLojHfvGnhjyRFcUnKELeWnmY7n7RFMYKesedY0FuY/edit" TargetMode="External"/><Relationship Id="rId112" Type="http://schemas.openxmlformats.org/officeDocument/2006/relationships/hyperlink" Target="https://docs.google.com/spreadsheets/d/1C_64Ma1ksy27NwcgZzIFXJvaqRWnMitD0cZq9Jbq7CY/edit" TargetMode="External"/><Relationship Id="rId233" Type="http://schemas.openxmlformats.org/officeDocument/2006/relationships/hyperlink" Target="https://docs.google.com/spreadsheets/d/1g9pfAboB6Zb-Ttee09QW2VM7Al7NCXrMzkoJbO0xbfc/edit" TargetMode="External"/><Relationship Id="rId354" Type="http://schemas.openxmlformats.org/officeDocument/2006/relationships/hyperlink" Target="https://docs.google.com/spreadsheets/d/1EDLojHfvGnhjyRFcUnKELeWnmY7n7RFMYKesedY0FuY/edit" TargetMode="External"/><Relationship Id="rId111" Type="http://schemas.openxmlformats.org/officeDocument/2006/relationships/hyperlink" Target="https://docs.google.com/spreadsheets/d/18xw-XtZvLKzOsqn57o8pfHdOFIg5h9AmB2bWtHCk_EM/edit" TargetMode="External"/><Relationship Id="rId232" Type="http://schemas.openxmlformats.org/officeDocument/2006/relationships/hyperlink" Target="https://docs.google.com/spreadsheets/d/1g9pfAboB6Zb-Ttee09QW2VM7Al7NCXrMzkoJbO0xbfc/edit" TargetMode="External"/><Relationship Id="rId353" Type="http://schemas.openxmlformats.org/officeDocument/2006/relationships/hyperlink" Target="https://docs.google.com/spreadsheets/d/1EDLojHfvGnhjyRFcUnKELeWnmY7n7RFMYKesedY0FuY/edit" TargetMode="External"/><Relationship Id="rId305" Type="http://schemas.openxmlformats.org/officeDocument/2006/relationships/hyperlink" Target="https://docs.google.com/spreadsheets/d/1717PBA3Wazor6-vpyqTJQwlnRrWbgLNyMcLYj9ES9IQ/edit" TargetMode="External"/><Relationship Id="rId304" Type="http://schemas.openxmlformats.org/officeDocument/2006/relationships/hyperlink" Target="https://docs.google.com/spreadsheets/d/1717PBA3Wazor6-vpyqTJQwlnRrWbgLNyMcLYj9ES9IQ/edit" TargetMode="External"/><Relationship Id="rId303" Type="http://schemas.openxmlformats.org/officeDocument/2006/relationships/hyperlink" Target="https://docs.google.com/spreadsheets/d/1717PBA3Wazor6-vpyqTJQwlnRrWbgLNyMcLYj9ES9IQ/edit" TargetMode="External"/><Relationship Id="rId302" Type="http://schemas.openxmlformats.org/officeDocument/2006/relationships/hyperlink" Target="https://docs.google.com/spreadsheets/d/1717PBA3Wazor6-vpyqTJQwlnRrWbgLNyMcLYj9ES9IQ/edit" TargetMode="External"/><Relationship Id="rId309" Type="http://schemas.openxmlformats.org/officeDocument/2006/relationships/hyperlink" Target="https://docs.google.com/spreadsheets/d/1A-GQkIgMOsRB5f67QdQp7xSQUr7-AZmdW-9r0SpMpAA/edit" TargetMode="External"/><Relationship Id="rId308" Type="http://schemas.openxmlformats.org/officeDocument/2006/relationships/hyperlink" Target="https://docs.google.com/spreadsheets/d/1A-GQkIgMOsRB5f67QdQp7xSQUr7-AZmdW-9r0SpMpAA/edit" TargetMode="External"/><Relationship Id="rId307" Type="http://schemas.openxmlformats.org/officeDocument/2006/relationships/hyperlink" Target="https://docs.google.com/spreadsheets/d/1717PBA3Wazor6-vpyqTJQwlnRrWbgLNyMcLYj9ES9IQ/edit" TargetMode="External"/><Relationship Id="rId306" Type="http://schemas.openxmlformats.org/officeDocument/2006/relationships/hyperlink" Target="https://docs.google.com/spreadsheets/d/1717PBA3Wazor6-vpyqTJQwlnRrWbgLNyMcLYj9ES9IQ/edit" TargetMode="External"/><Relationship Id="rId301" Type="http://schemas.openxmlformats.org/officeDocument/2006/relationships/hyperlink" Target="https://docs.google.com/spreadsheets/d/1717PBA3Wazor6-vpyqTJQwlnRrWbgLNyMcLYj9ES9IQ/edit" TargetMode="External"/><Relationship Id="rId300" Type="http://schemas.openxmlformats.org/officeDocument/2006/relationships/hyperlink" Target="https://docs.google.com/spreadsheets/d/1717PBA3Wazor6-vpyqTJQwlnRrWbgLNyMcLYj9ES9IQ/edit" TargetMode="External"/><Relationship Id="rId411" Type="http://schemas.openxmlformats.org/officeDocument/2006/relationships/drawing" Target="../drawings/drawing13.xml"/><Relationship Id="rId410" Type="http://schemas.openxmlformats.org/officeDocument/2006/relationships/hyperlink" Target="https://docs.google.com/spreadsheets/d/1-D37LIDbsX2cd-clolP2jcF9RXcO6oFfvazMgEvZZ_Q/edit" TargetMode="External"/><Relationship Id="rId206" Type="http://schemas.openxmlformats.org/officeDocument/2006/relationships/hyperlink" Target="https://docs.google.com/spreadsheets/d/1AHLDMFDswQgAFnvBtBTUancgooLkNOa_jUPEjcA34U8/edit" TargetMode="External"/><Relationship Id="rId327" Type="http://schemas.openxmlformats.org/officeDocument/2006/relationships/hyperlink" Target="https://docs.google.com/spreadsheets/d/1pm3keztTNVrjb7L0ec6HGreXNuISRt1ZTOD-PB17Bqs/edit" TargetMode="External"/><Relationship Id="rId205" Type="http://schemas.openxmlformats.org/officeDocument/2006/relationships/hyperlink" Target="https://docs.google.com/spreadsheets/d/1AHLDMFDswQgAFnvBtBTUancgooLkNOa_jUPEjcA34U8/edit" TargetMode="External"/><Relationship Id="rId326" Type="http://schemas.openxmlformats.org/officeDocument/2006/relationships/hyperlink" Target="https://docs.google.com/spreadsheets/d/1pm3keztTNVrjb7L0ec6HGreXNuISRt1ZTOD-PB17Bqs/edit" TargetMode="External"/><Relationship Id="rId204" Type="http://schemas.openxmlformats.org/officeDocument/2006/relationships/hyperlink" Target="https://docs.google.com/spreadsheets/d/1AHLDMFDswQgAFnvBtBTUancgooLkNOa_jUPEjcA34U8/edit" TargetMode="External"/><Relationship Id="rId325" Type="http://schemas.openxmlformats.org/officeDocument/2006/relationships/hyperlink" Target="https://docs.google.com/spreadsheets/d/1pm3keztTNVrjb7L0ec6HGreXNuISRt1ZTOD-PB17Bqs/edit" TargetMode="External"/><Relationship Id="rId203" Type="http://schemas.openxmlformats.org/officeDocument/2006/relationships/hyperlink" Target="https://docs.google.com/spreadsheets/d/1AHLDMFDswQgAFnvBtBTUancgooLkNOa_jUPEjcA34U8/edit" TargetMode="External"/><Relationship Id="rId324" Type="http://schemas.openxmlformats.org/officeDocument/2006/relationships/hyperlink" Target="https://docs.google.com/spreadsheets/d/1pm3keztTNVrjb7L0ec6HGreXNuISRt1ZTOD-PB17Bqs/edit" TargetMode="External"/><Relationship Id="rId209" Type="http://schemas.openxmlformats.org/officeDocument/2006/relationships/hyperlink" Target="https://docs.google.com/spreadsheets/d/1AHLDMFDswQgAFnvBtBTUancgooLkNOa_jUPEjcA34U8/edit" TargetMode="External"/><Relationship Id="rId208" Type="http://schemas.openxmlformats.org/officeDocument/2006/relationships/hyperlink" Target="https://docs.google.com/spreadsheets/d/1AHLDMFDswQgAFnvBtBTUancgooLkNOa_jUPEjcA34U8/edit" TargetMode="External"/><Relationship Id="rId329" Type="http://schemas.openxmlformats.org/officeDocument/2006/relationships/hyperlink" Target="https://docs.google.com/spreadsheets/d/1GQb2MLW2ifE_wNSg53lgLj3n7_wV5Dkl8c6Wbl-5xo4/edit" TargetMode="External"/><Relationship Id="rId207" Type="http://schemas.openxmlformats.org/officeDocument/2006/relationships/hyperlink" Target="https://docs.google.com/spreadsheets/d/1AHLDMFDswQgAFnvBtBTUancgooLkNOa_jUPEjcA34U8/edit" TargetMode="External"/><Relationship Id="rId328" Type="http://schemas.openxmlformats.org/officeDocument/2006/relationships/hyperlink" Target="https://docs.google.com/spreadsheets/d/1GQb2MLW2ifE_wNSg53lgLj3n7_wV5Dkl8c6Wbl-5xo4/edit" TargetMode="External"/><Relationship Id="rId202" Type="http://schemas.openxmlformats.org/officeDocument/2006/relationships/hyperlink" Target="https://docs.google.com/spreadsheets/d/1AHLDMFDswQgAFnvBtBTUancgooLkNOa_jUPEjcA34U8/edit" TargetMode="External"/><Relationship Id="rId323" Type="http://schemas.openxmlformats.org/officeDocument/2006/relationships/hyperlink" Target="https://docs.google.com/spreadsheets/d/1pm3keztTNVrjb7L0ec6HGreXNuISRt1ZTOD-PB17Bqs/edit" TargetMode="External"/><Relationship Id="rId201" Type="http://schemas.openxmlformats.org/officeDocument/2006/relationships/hyperlink" Target="https://docs.google.com/spreadsheets/d/1AHLDMFDswQgAFnvBtBTUancgooLkNOa_jUPEjcA34U8/edit" TargetMode="External"/><Relationship Id="rId322" Type="http://schemas.openxmlformats.org/officeDocument/2006/relationships/hyperlink" Target="https://docs.google.com/spreadsheets/d/1pm3keztTNVrjb7L0ec6HGreXNuISRt1ZTOD-PB17Bqs/edit" TargetMode="External"/><Relationship Id="rId200" Type="http://schemas.openxmlformats.org/officeDocument/2006/relationships/hyperlink" Target="https://docs.google.com/spreadsheets/d/1AHLDMFDswQgAFnvBtBTUancgooLkNOa_jUPEjcA34U8/edit" TargetMode="External"/><Relationship Id="rId321" Type="http://schemas.openxmlformats.org/officeDocument/2006/relationships/hyperlink" Target="https://docs.google.com/spreadsheets/d/1pm3keztTNVrjb7L0ec6HGreXNuISRt1ZTOD-PB17Bqs/edit" TargetMode="External"/><Relationship Id="rId320" Type="http://schemas.openxmlformats.org/officeDocument/2006/relationships/hyperlink" Target="https://docs.google.com/spreadsheets/d/1pm3keztTNVrjb7L0ec6HGreXNuISRt1ZTOD-PB17Bqs/edit" TargetMode="External"/><Relationship Id="rId316" Type="http://schemas.openxmlformats.org/officeDocument/2006/relationships/hyperlink" Target="https://docs.google.com/spreadsheets/d/1A-GQkIgMOsRB5f67QdQp7xSQUr7-AZmdW-9r0SpMpAA/edit" TargetMode="External"/><Relationship Id="rId315" Type="http://schemas.openxmlformats.org/officeDocument/2006/relationships/hyperlink" Target="https://docs.google.com/spreadsheets/d/1A-GQkIgMOsRB5f67QdQp7xSQUr7-AZmdW-9r0SpMpAA/edit" TargetMode="External"/><Relationship Id="rId314" Type="http://schemas.openxmlformats.org/officeDocument/2006/relationships/hyperlink" Target="https://docs.google.com/spreadsheets/d/1A-GQkIgMOsRB5f67QdQp7xSQUr7-AZmdW-9r0SpMpAA/edit" TargetMode="External"/><Relationship Id="rId313" Type="http://schemas.openxmlformats.org/officeDocument/2006/relationships/hyperlink" Target="https://docs.google.com/spreadsheets/d/1A-GQkIgMOsRB5f67QdQp7xSQUr7-AZmdW-9r0SpMpAA/edit" TargetMode="External"/><Relationship Id="rId319" Type="http://schemas.openxmlformats.org/officeDocument/2006/relationships/hyperlink" Target="https://docs.google.com/spreadsheets/d/1pm3keztTNVrjb7L0ec6HGreXNuISRt1ZTOD-PB17Bqs/edit" TargetMode="External"/><Relationship Id="rId318" Type="http://schemas.openxmlformats.org/officeDocument/2006/relationships/hyperlink" Target="https://docs.google.com/spreadsheets/d/1pm3keztTNVrjb7L0ec6HGreXNuISRt1ZTOD-PB17Bqs/edit" TargetMode="External"/><Relationship Id="rId317" Type="http://schemas.openxmlformats.org/officeDocument/2006/relationships/hyperlink" Target="https://docs.google.com/spreadsheets/d/1pm3keztTNVrjb7L0ec6HGreXNuISRt1ZTOD-PB17Bqs/edit" TargetMode="External"/><Relationship Id="rId312" Type="http://schemas.openxmlformats.org/officeDocument/2006/relationships/hyperlink" Target="https://docs.google.com/spreadsheets/d/1A-GQkIgMOsRB5f67QdQp7xSQUr7-AZmdW-9r0SpMpAA/edit" TargetMode="External"/><Relationship Id="rId311" Type="http://schemas.openxmlformats.org/officeDocument/2006/relationships/hyperlink" Target="https://docs.google.com/spreadsheets/d/1A-GQkIgMOsRB5f67QdQp7xSQUr7-AZmdW-9r0SpMpAA/edit" TargetMode="External"/><Relationship Id="rId310" Type="http://schemas.openxmlformats.org/officeDocument/2006/relationships/hyperlink" Target="https://docs.google.com/spreadsheets/d/1A-GQkIgMOsRB5f67QdQp7xSQUr7-AZmdW-9r0SpMpAA/edit"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sSCLeT-mN11zJY6GDYKliOTi26Qh-krggSNyJ7Y80vU/edit" TargetMode="External"/><Relationship Id="rId2" Type="http://schemas.openxmlformats.org/officeDocument/2006/relationships/hyperlink" Target="https://docs.google.com/spreadsheets/d/1sSCLeT-mN11zJY6GDYKliOTi26Qh-krggSNyJ7Y80vU/edit" TargetMode="External"/><Relationship Id="rId3" Type="http://schemas.openxmlformats.org/officeDocument/2006/relationships/hyperlink" Target="https://docs.google.com/spreadsheets/d/1QPjBsBO9OcvrY3FMsWkz67uJ0LDIF7FkCugW32KSiYk/edit" TargetMode="External"/><Relationship Id="rId4" Type="http://schemas.openxmlformats.org/officeDocument/2006/relationships/hyperlink" Target="https://docs.google.com/spreadsheets/d/1B2T38RjWfd6Ya0zWSj0exLv-1pXTR602jx0wLviN0FE/edit" TargetMode="External"/><Relationship Id="rId9" Type="http://schemas.openxmlformats.org/officeDocument/2006/relationships/hyperlink" Target="https://docs.google.com/spreadsheets/d/1UF3Kq3e47QxGqxwa42Y89Lty12DiVRjGSoyfMD7nCCs/edit" TargetMode="External"/><Relationship Id="rId5" Type="http://schemas.openxmlformats.org/officeDocument/2006/relationships/hyperlink" Target="https://docs.google.com/spreadsheets/d/1B2T38RjWfd6Ya0zWSj0exLv-1pXTR602jx0wLviN0FE/edit" TargetMode="External"/><Relationship Id="rId6" Type="http://schemas.openxmlformats.org/officeDocument/2006/relationships/hyperlink" Target="https://docs.google.com/spreadsheets/d/1UF3Kq3e47QxGqxwa42Y89Lty12DiVRjGSoyfMD7nCCs/edit" TargetMode="External"/><Relationship Id="rId7" Type="http://schemas.openxmlformats.org/officeDocument/2006/relationships/hyperlink" Target="https://docs.google.com/spreadsheets/d/1UF3Kq3e47QxGqxwa42Y89Lty12DiVRjGSoyfMD7nCCs/edit" TargetMode="External"/><Relationship Id="rId8" Type="http://schemas.openxmlformats.org/officeDocument/2006/relationships/hyperlink" Target="https://docs.google.com/spreadsheets/d/1UF3Kq3e47QxGqxwa42Y89Lty12DiVRjGSoyfMD7nCCs/edit" TargetMode="External"/><Relationship Id="rId40" Type="http://schemas.openxmlformats.org/officeDocument/2006/relationships/hyperlink" Target="https://docs.google.com/spreadsheets/d/1xFkGbDdfTXThzNoPnzdjWuzUBxRnCBBbgSszgMmSzeA/edit" TargetMode="External"/><Relationship Id="rId42" Type="http://schemas.openxmlformats.org/officeDocument/2006/relationships/hyperlink" Target="https://docs.google.com/spreadsheets/d/1HqAeyeD7E9qTx9WEYDp__TmAa91X8adBQhSSIjDUSvo/edit" TargetMode="External"/><Relationship Id="rId41" Type="http://schemas.openxmlformats.org/officeDocument/2006/relationships/hyperlink" Target="https://docs.google.com/spreadsheets/d/1xFkGbDdfTXThzNoPnzdjWuzUBxRnCBBbgSszgMmSzeA/edit" TargetMode="External"/><Relationship Id="rId44" Type="http://schemas.openxmlformats.org/officeDocument/2006/relationships/hyperlink" Target="https://docs.google.com/spreadsheets/d/1HqAeyeD7E9qTx9WEYDp__TmAa91X8adBQhSSIjDUSvo/edit" TargetMode="External"/><Relationship Id="rId43" Type="http://schemas.openxmlformats.org/officeDocument/2006/relationships/hyperlink" Target="https://docs.google.com/spreadsheets/d/1HqAeyeD7E9qTx9WEYDp__TmAa91X8adBQhSSIjDUSvo/edit" TargetMode="External"/><Relationship Id="rId46" Type="http://schemas.openxmlformats.org/officeDocument/2006/relationships/hyperlink" Target="https://docs.google.com/spreadsheets/d/1HqAeyeD7E9qTx9WEYDp__TmAa91X8adBQhSSIjDUSvo/edit" TargetMode="External"/><Relationship Id="rId45" Type="http://schemas.openxmlformats.org/officeDocument/2006/relationships/hyperlink" Target="https://docs.google.com/spreadsheets/d/1HqAeyeD7E9qTx9WEYDp__TmAa91X8adBQhSSIjDUSvo/edit" TargetMode="External"/><Relationship Id="rId48" Type="http://schemas.openxmlformats.org/officeDocument/2006/relationships/hyperlink" Target="https://docs.google.com/spreadsheets/d/1HqAeyeD7E9qTx9WEYDp__TmAa91X8adBQhSSIjDUSvo/edit" TargetMode="External"/><Relationship Id="rId47" Type="http://schemas.openxmlformats.org/officeDocument/2006/relationships/hyperlink" Target="https://docs.google.com/spreadsheets/d/1HqAeyeD7E9qTx9WEYDp__TmAa91X8adBQhSSIjDUSvo/edit" TargetMode="External"/><Relationship Id="rId49" Type="http://schemas.openxmlformats.org/officeDocument/2006/relationships/hyperlink" Target="https://docs.google.com/spreadsheets/d/1HqAeyeD7E9qTx9WEYDp__TmAa91X8adBQhSSIjDUSvo/edit" TargetMode="External"/><Relationship Id="rId31" Type="http://schemas.openxmlformats.org/officeDocument/2006/relationships/hyperlink" Target="https://docs.google.com/spreadsheets/d/1G_ZdhcDvF6c3lw3dA6KCgzPQCoknF64oQTjJZVigTTg/edit" TargetMode="External"/><Relationship Id="rId30" Type="http://schemas.openxmlformats.org/officeDocument/2006/relationships/hyperlink" Target="https://docs.google.com/spreadsheets/d/1G_ZdhcDvF6c3lw3dA6KCgzPQCoknF64oQTjJZVigTTg/edit" TargetMode="External"/><Relationship Id="rId33" Type="http://schemas.openxmlformats.org/officeDocument/2006/relationships/hyperlink" Target="https://docs.google.com/spreadsheets/d/1xFkGbDdfTXThzNoPnzdjWuzUBxRnCBBbgSszgMmSzeA/edit" TargetMode="External"/><Relationship Id="rId32" Type="http://schemas.openxmlformats.org/officeDocument/2006/relationships/hyperlink" Target="https://docs.google.com/spreadsheets/d/1G_ZdhcDvF6c3lw3dA6KCgzPQCoknF64oQTjJZVigTTg/edit" TargetMode="External"/><Relationship Id="rId35" Type="http://schemas.openxmlformats.org/officeDocument/2006/relationships/hyperlink" Target="https://docs.google.com/spreadsheets/d/1xFkGbDdfTXThzNoPnzdjWuzUBxRnCBBbgSszgMmSzeA/edit" TargetMode="External"/><Relationship Id="rId34" Type="http://schemas.openxmlformats.org/officeDocument/2006/relationships/hyperlink" Target="https://docs.google.com/spreadsheets/d/1xFkGbDdfTXThzNoPnzdjWuzUBxRnCBBbgSszgMmSzeA/edit" TargetMode="External"/><Relationship Id="rId37" Type="http://schemas.openxmlformats.org/officeDocument/2006/relationships/hyperlink" Target="https://docs.google.com/spreadsheets/d/1xFkGbDdfTXThzNoPnzdjWuzUBxRnCBBbgSszgMmSzeA/edit" TargetMode="External"/><Relationship Id="rId36" Type="http://schemas.openxmlformats.org/officeDocument/2006/relationships/hyperlink" Target="https://docs.google.com/spreadsheets/d/1xFkGbDdfTXThzNoPnzdjWuzUBxRnCBBbgSszgMmSzeA/edit" TargetMode="External"/><Relationship Id="rId39" Type="http://schemas.openxmlformats.org/officeDocument/2006/relationships/hyperlink" Target="https://docs.google.com/spreadsheets/d/1xFkGbDdfTXThzNoPnzdjWuzUBxRnCBBbgSszgMmSzeA/edit" TargetMode="External"/><Relationship Id="rId38" Type="http://schemas.openxmlformats.org/officeDocument/2006/relationships/hyperlink" Target="https://docs.google.com/spreadsheets/d/1xFkGbDdfTXThzNoPnzdjWuzUBxRnCBBbgSszgMmSzeA/edit" TargetMode="External"/><Relationship Id="rId20" Type="http://schemas.openxmlformats.org/officeDocument/2006/relationships/hyperlink" Target="https://docs.google.com/spreadsheets/d/1m4Pc7AR5E5c3Sr-tzFsXpZOrdSBeK9r7ucYH4icLXGg/edit" TargetMode="External"/><Relationship Id="rId22" Type="http://schemas.openxmlformats.org/officeDocument/2006/relationships/hyperlink" Target="https://docs.google.com/spreadsheets/d/1m4Pc7AR5E5c3Sr-tzFsXpZOrdSBeK9r7ucYH4icLXGg/edit" TargetMode="External"/><Relationship Id="rId21" Type="http://schemas.openxmlformats.org/officeDocument/2006/relationships/hyperlink" Target="https://docs.google.com/spreadsheets/d/1m4Pc7AR5E5c3Sr-tzFsXpZOrdSBeK9r7ucYH4icLXGg/edit" TargetMode="External"/><Relationship Id="rId24" Type="http://schemas.openxmlformats.org/officeDocument/2006/relationships/hyperlink" Target="https://docs.google.com/spreadsheets/d/1G_ZdhcDvF6c3lw3dA6KCgzPQCoknF64oQTjJZVigTTg/edit" TargetMode="External"/><Relationship Id="rId23" Type="http://schemas.openxmlformats.org/officeDocument/2006/relationships/hyperlink" Target="https://docs.google.com/spreadsheets/d/1m4Pc7AR5E5c3Sr-tzFsXpZOrdSBeK9r7ucYH4icLXGg/edit" TargetMode="External"/><Relationship Id="rId26" Type="http://schemas.openxmlformats.org/officeDocument/2006/relationships/hyperlink" Target="https://docs.google.com/spreadsheets/d/1G_ZdhcDvF6c3lw3dA6KCgzPQCoknF64oQTjJZVigTTg/edit" TargetMode="External"/><Relationship Id="rId25" Type="http://schemas.openxmlformats.org/officeDocument/2006/relationships/hyperlink" Target="https://docs.google.com/spreadsheets/d/1G_ZdhcDvF6c3lw3dA6KCgzPQCoknF64oQTjJZVigTTg/edit" TargetMode="External"/><Relationship Id="rId28" Type="http://schemas.openxmlformats.org/officeDocument/2006/relationships/hyperlink" Target="https://docs.google.com/spreadsheets/d/1G_ZdhcDvF6c3lw3dA6KCgzPQCoknF64oQTjJZVigTTg/edit" TargetMode="External"/><Relationship Id="rId27" Type="http://schemas.openxmlformats.org/officeDocument/2006/relationships/hyperlink" Target="https://docs.google.com/spreadsheets/d/1G_ZdhcDvF6c3lw3dA6KCgzPQCoknF64oQTjJZVigTTg/edit" TargetMode="External"/><Relationship Id="rId29" Type="http://schemas.openxmlformats.org/officeDocument/2006/relationships/hyperlink" Target="https://docs.google.com/spreadsheets/d/1G_ZdhcDvF6c3lw3dA6KCgzPQCoknF64oQTjJZVigTTg/edit" TargetMode="External"/><Relationship Id="rId11" Type="http://schemas.openxmlformats.org/officeDocument/2006/relationships/hyperlink" Target="https://docs.google.com/spreadsheets/d/1UF3Kq3e47QxGqxwa42Y89Lty12DiVRjGSoyfMD7nCCs/edit" TargetMode="External"/><Relationship Id="rId10" Type="http://schemas.openxmlformats.org/officeDocument/2006/relationships/hyperlink" Target="https://docs.google.com/spreadsheets/d/1UF3Kq3e47QxGqxwa42Y89Lty12DiVRjGSoyfMD7nCCs/edit" TargetMode="External"/><Relationship Id="rId13" Type="http://schemas.openxmlformats.org/officeDocument/2006/relationships/hyperlink" Target="https://docs.google.com/spreadsheets/d/1UF3Kq3e47QxGqxwa42Y89Lty12DiVRjGSoyfMD7nCCs/edit" TargetMode="External"/><Relationship Id="rId12" Type="http://schemas.openxmlformats.org/officeDocument/2006/relationships/hyperlink" Target="https://docs.google.com/spreadsheets/d/1UF3Kq3e47QxGqxwa42Y89Lty12DiVRjGSoyfMD7nCCs/edit" TargetMode="External"/><Relationship Id="rId15" Type="http://schemas.openxmlformats.org/officeDocument/2006/relationships/hyperlink" Target="https://docs.google.com/spreadsheets/d/1m4Pc7AR5E5c3Sr-tzFsXpZOrdSBeK9r7ucYH4icLXGg/edit" TargetMode="External"/><Relationship Id="rId14" Type="http://schemas.openxmlformats.org/officeDocument/2006/relationships/hyperlink" Target="https://docs.google.com/spreadsheets/d/1UF3Kq3e47QxGqxwa42Y89Lty12DiVRjGSoyfMD7nCCs/edit" TargetMode="External"/><Relationship Id="rId17" Type="http://schemas.openxmlformats.org/officeDocument/2006/relationships/hyperlink" Target="https://docs.google.com/spreadsheets/d/1m4Pc7AR5E5c3Sr-tzFsXpZOrdSBeK9r7ucYH4icLXGg/edit" TargetMode="External"/><Relationship Id="rId16" Type="http://schemas.openxmlformats.org/officeDocument/2006/relationships/hyperlink" Target="https://docs.google.com/spreadsheets/d/1m4Pc7AR5E5c3Sr-tzFsXpZOrdSBeK9r7ucYH4icLXGg/edit" TargetMode="External"/><Relationship Id="rId19" Type="http://schemas.openxmlformats.org/officeDocument/2006/relationships/hyperlink" Target="https://docs.google.com/spreadsheets/d/1m4Pc7AR5E5c3Sr-tzFsXpZOrdSBeK9r7ucYH4icLXGg/edit" TargetMode="External"/><Relationship Id="rId18" Type="http://schemas.openxmlformats.org/officeDocument/2006/relationships/hyperlink" Target="https://docs.google.com/spreadsheets/d/1m4Pc7AR5E5c3Sr-tzFsXpZOrdSBeK9r7ucYH4icLXGg/edit" TargetMode="External"/><Relationship Id="rId84" Type="http://schemas.openxmlformats.org/officeDocument/2006/relationships/hyperlink" Target="https://docs.google.com/spreadsheets/d/182OWI1fkqmjJLtyUxvpP2dS3qQuIeXsmyiVzoWEiNC4/edit" TargetMode="External"/><Relationship Id="rId83" Type="http://schemas.openxmlformats.org/officeDocument/2006/relationships/hyperlink" Target="https://docs.google.com/spreadsheets/d/182OWI1fkqmjJLtyUxvpP2dS3qQuIeXsmyiVzoWEiNC4/edit" TargetMode="External"/><Relationship Id="rId86" Type="http://schemas.openxmlformats.org/officeDocument/2006/relationships/hyperlink" Target="https://docs.google.com/spreadsheets/d/182OWI1fkqmjJLtyUxvpP2dS3qQuIeXsmyiVzoWEiNC4/edit" TargetMode="External"/><Relationship Id="rId85" Type="http://schemas.openxmlformats.org/officeDocument/2006/relationships/hyperlink" Target="https://docs.google.com/spreadsheets/d/182OWI1fkqmjJLtyUxvpP2dS3qQuIeXsmyiVzoWEiNC4/edit" TargetMode="External"/><Relationship Id="rId88" Type="http://schemas.openxmlformats.org/officeDocument/2006/relationships/hyperlink" Target="https://docs.google.com/spreadsheets/d/1297Uap0O2IFXX66xxaibmqjFuUCImnlakVs1gz4bZFc/edit" TargetMode="External"/><Relationship Id="rId87" Type="http://schemas.openxmlformats.org/officeDocument/2006/relationships/hyperlink" Target="https://docs.google.com/spreadsheets/d/1297Uap0O2IFXX66xxaibmqjFuUCImnlakVs1gz4bZFc/edit" TargetMode="External"/><Relationship Id="rId89" Type="http://schemas.openxmlformats.org/officeDocument/2006/relationships/hyperlink" Target="https://docs.google.com/spreadsheets/d/1297Uap0O2IFXX66xxaibmqjFuUCImnlakVs1gz4bZFc/edit" TargetMode="External"/><Relationship Id="rId80" Type="http://schemas.openxmlformats.org/officeDocument/2006/relationships/hyperlink" Target="https://docs.google.com/spreadsheets/d/182OWI1fkqmjJLtyUxvpP2dS3qQuIeXsmyiVzoWEiNC4/edit" TargetMode="External"/><Relationship Id="rId82" Type="http://schemas.openxmlformats.org/officeDocument/2006/relationships/hyperlink" Target="https://docs.google.com/spreadsheets/d/182OWI1fkqmjJLtyUxvpP2dS3qQuIeXsmyiVzoWEiNC4/edit" TargetMode="External"/><Relationship Id="rId81" Type="http://schemas.openxmlformats.org/officeDocument/2006/relationships/hyperlink" Target="https://docs.google.com/spreadsheets/d/182OWI1fkqmjJLtyUxvpP2dS3qQuIeXsmyiVzoWEiNC4/edit" TargetMode="External"/><Relationship Id="rId73" Type="http://schemas.openxmlformats.org/officeDocument/2006/relationships/hyperlink" Target="https://docs.google.com/spreadsheets/d/1xUXspXkAUlihn0xKKC4tvFWGYOjqvXAGUdpDdnTxAGI/edit" TargetMode="External"/><Relationship Id="rId72" Type="http://schemas.openxmlformats.org/officeDocument/2006/relationships/hyperlink" Target="https://docs.google.com/spreadsheets/d/1xUXspXkAUlihn0xKKC4tvFWGYOjqvXAGUdpDdnTxAGI/edit" TargetMode="External"/><Relationship Id="rId75" Type="http://schemas.openxmlformats.org/officeDocument/2006/relationships/hyperlink" Target="https://docs.google.com/spreadsheets/d/1xUXspXkAUlihn0xKKC4tvFWGYOjqvXAGUdpDdnTxAGI/edit" TargetMode="External"/><Relationship Id="rId74" Type="http://schemas.openxmlformats.org/officeDocument/2006/relationships/hyperlink" Target="https://docs.google.com/spreadsheets/d/1xUXspXkAUlihn0xKKC4tvFWGYOjqvXAGUdpDdnTxAGI/edit" TargetMode="External"/><Relationship Id="rId77" Type="http://schemas.openxmlformats.org/officeDocument/2006/relationships/hyperlink" Target="https://docs.google.com/spreadsheets/d/1xUXspXkAUlihn0xKKC4tvFWGYOjqvXAGUdpDdnTxAGI/edit" TargetMode="External"/><Relationship Id="rId76" Type="http://schemas.openxmlformats.org/officeDocument/2006/relationships/hyperlink" Target="https://docs.google.com/spreadsheets/d/1xUXspXkAUlihn0xKKC4tvFWGYOjqvXAGUdpDdnTxAGI/edit" TargetMode="External"/><Relationship Id="rId79" Type="http://schemas.openxmlformats.org/officeDocument/2006/relationships/hyperlink" Target="https://docs.google.com/spreadsheets/d/182OWI1fkqmjJLtyUxvpP2dS3qQuIeXsmyiVzoWEiNC4/edit" TargetMode="External"/><Relationship Id="rId78" Type="http://schemas.openxmlformats.org/officeDocument/2006/relationships/hyperlink" Target="https://docs.google.com/spreadsheets/d/182OWI1fkqmjJLtyUxvpP2dS3qQuIeXsmyiVzoWEiNC4/edit" TargetMode="External"/><Relationship Id="rId71" Type="http://schemas.openxmlformats.org/officeDocument/2006/relationships/hyperlink" Target="https://docs.google.com/spreadsheets/d/1xUXspXkAUlihn0xKKC4tvFWGYOjqvXAGUdpDdnTxAGI/edit" TargetMode="External"/><Relationship Id="rId70" Type="http://schemas.openxmlformats.org/officeDocument/2006/relationships/hyperlink" Target="https://docs.google.com/spreadsheets/d/1xUXspXkAUlihn0xKKC4tvFWGYOjqvXAGUdpDdnTxAGI/edit" TargetMode="External"/><Relationship Id="rId62" Type="http://schemas.openxmlformats.org/officeDocument/2006/relationships/hyperlink" Target="https://docs.google.com/spreadsheets/d/1VB_leh0DMJGV0trEAeuMJzGQWUG1dMCLFUwWZpozfno/edit" TargetMode="External"/><Relationship Id="rId61" Type="http://schemas.openxmlformats.org/officeDocument/2006/relationships/hyperlink" Target="https://docs.google.com/spreadsheets/d/1VB_leh0DMJGV0trEAeuMJzGQWUG1dMCLFUwWZpozfno/edit" TargetMode="External"/><Relationship Id="rId64" Type="http://schemas.openxmlformats.org/officeDocument/2006/relationships/hyperlink" Target="https://docs.google.com/spreadsheets/d/1VB_leh0DMJGV0trEAeuMJzGQWUG1dMCLFUwWZpozfno/edit" TargetMode="External"/><Relationship Id="rId63" Type="http://schemas.openxmlformats.org/officeDocument/2006/relationships/hyperlink" Target="https://docs.google.com/spreadsheets/d/1VB_leh0DMJGV0trEAeuMJzGQWUG1dMCLFUwWZpozfno/edit" TargetMode="External"/><Relationship Id="rId66" Type="http://schemas.openxmlformats.org/officeDocument/2006/relationships/hyperlink" Target="https://docs.google.com/spreadsheets/d/1VB_leh0DMJGV0trEAeuMJzGQWUG1dMCLFUwWZpozfno/edit" TargetMode="External"/><Relationship Id="rId65" Type="http://schemas.openxmlformats.org/officeDocument/2006/relationships/hyperlink" Target="https://docs.google.com/spreadsheets/d/1VB_leh0DMJGV0trEAeuMJzGQWUG1dMCLFUwWZpozfno/edit" TargetMode="External"/><Relationship Id="rId68" Type="http://schemas.openxmlformats.org/officeDocument/2006/relationships/hyperlink" Target="https://docs.google.com/spreadsheets/d/1VB_leh0DMJGV0trEAeuMJzGQWUG1dMCLFUwWZpozfno/edit" TargetMode="External"/><Relationship Id="rId67" Type="http://schemas.openxmlformats.org/officeDocument/2006/relationships/hyperlink" Target="https://docs.google.com/spreadsheets/d/1VB_leh0DMJGV0trEAeuMJzGQWUG1dMCLFUwWZpozfno/edit" TargetMode="External"/><Relationship Id="rId60" Type="http://schemas.openxmlformats.org/officeDocument/2006/relationships/hyperlink" Target="https://docs.google.com/spreadsheets/d/1VB_leh0DMJGV0trEAeuMJzGQWUG1dMCLFUwWZpozfno/edit" TargetMode="External"/><Relationship Id="rId69" Type="http://schemas.openxmlformats.org/officeDocument/2006/relationships/hyperlink" Target="https://docs.google.com/spreadsheets/d/1xUXspXkAUlihn0xKKC4tvFWGYOjqvXAGUdpDdnTxAGI/edit" TargetMode="External"/><Relationship Id="rId51" Type="http://schemas.openxmlformats.org/officeDocument/2006/relationships/hyperlink" Target="https://docs.google.com/spreadsheets/d/1F4Vxb-B_Bsz-JC-dYfaq_6BksKaDLCrBQxCVAkUvHXs/edit" TargetMode="External"/><Relationship Id="rId50" Type="http://schemas.openxmlformats.org/officeDocument/2006/relationships/hyperlink" Target="https://docs.google.com/spreadsheets/d/1HqAeyeD7E9qTx9WEYDp__TmAa91X8adBQhSSIjDUSvo/edit" TargetMode="External"/><Relationship Id="rId53" Type="http://schemas.openxmlformats.org/officeDocument/2006/relationships/hyperlink" Target="https://docs.google.com/spreadsheets/d/1F4Vxb-B_Bsz-JC-dYfaq_6BksKaDLCrBQxCVAkUvHXs/edit" TargetMode="External"/><Relationship Id="rId52" Type="http://schemas.openxmlformats.org/officeDocument/2006/relationships/hyperlink" Target="https://docs.google.com/spreadsheets/d/1F4Vxb-B_Bsz-JC-dYfaq_6BksKaDLCrBQxCVAkUvHXs/edit" TargetMode="External"/><Relationship Id="rId55" Type="http://schemas.openxmlformats.org/officeDocument/2006/relationships/hyperlink" Target="https://docs.google.com/spreadsheets/d/1F4Vxb-B_Bsz-JC-dYfaq_6BksKaDLCrBQxCVAkUvHXs/edit" TargetMode="External"/><Relationship Id="rId54" Type="http://schemas.openxmlformats.org/officeDocument/2006/relationships/hyperlink" Target="https://docs.google.com/spreadsheets/d/1F4Vxb-B_Bsz-JC-dYfaq_6BksKaDLCrBQxCVAkUvHXs/edit" TargetMode="External"/><Relationship Id="rId57" Type="http://schemas.openxmlformats.org/officeDocument/2006/relationships/hyperlink" Target="https://docs.google.com/spreadsheets/d/1F4Vxb-B_Bsz-JC-dYfaq_6BksKaDLCrBQxCVAkUvHXs/edit" TargetMode="External"/><Relationship Id="rId56" Type="http://schemas.openxmlformats.org/officeDocument/2006/relationships/hyperlink" Target="https://docs.google.com/spreadsheets/d/1F4Vxb-B_Bsz-JC-dYfaq_6BksKaDLCrBQxCVAkUvHXs/edit" TargetMode="External"/><Relationship Id="rId59" Type="http://schemas.openxmlformats.org/officeDocument/2006/relationships/hyperlink" Target="https://docs.google.com/spreadsheets/d/1F4Vxb-B_Bsz-JC-dYfaq_6BksKaDLCrBQxCVAkUvHXs/edit" TargetMode="External"/><Relationship Id="rId58" Type="http://schemas.openxmlformats.org/officeDocument/2006/relationships/hyperlink" Target="https://docs.google.com/spreadsheets/d/1F4Vxb-B_Bsz-JC-dYfaq_6BksKaDLCrBQxCVAkUvHXs/edit" TargetMode="External"/><Relationship Id="rId107" Type="http://schemas.openxmlformats.org/officeDocument/2006/relationships/hyperlink" Target="https://docs.google.com/spreadsheets/d/1d-0usbmFN0VZc6aL6PirSBkYO_c1KVV6yd2N0PuC24U/edit" TargetMode="External"/><Relationship Id="rId106" Type="http://schemas.openxmlformats.org/officeDocument/2006/relationships/hyperlink" Target="https://docs.google.com/spreadsheets/d/1d-0usbmFN0VZc6aL6PirSBkYO_c1KVV6yd2N0PuC24U/edit" TargetMode="External"/><Relationship Id="rId105" Type="http://schemas.openxmlformats.org/officeDocument/2006/relationships/hyperlink" Target="https://docs.google.com/spreadsheets/d/1d-0usbmFN0VZc6aL6PirSBkYO_c1KVV6yd2N0PuC24U/edit" TargetMode="External"/><Relationship Id="rId104" Type="http://schemas.openxmlformats.org/officeDocument/2006/relationships/hyperlink" Target="https://docs.google.com/spreadsheets/d/1d-0usbmFN0VZc6aL6PirSBkYO_c1KVV6yd2N0PuC24U/edit" TargetMode="External"/><Relationship Id="rId108" Type="http://schemas.openxmlformats.org/officeDocument/2006/relationships/drawing" Target="../drawings/drawing14.xml"/><Relationship Id="rId103" Type="http://schemas.openxmlformats.org/officeDocument/2006/relationships/hyperlink" Target="https://docs.google.com/spreadsheets/d/1KeSdv1KWNV9K5vSIJitutABZpX9brP1kX2WG0tgyeic/edit" TargetMode="External"/><Relationship Id="rId102" Type="http://schemas.openxmlformats.org/officeDocument/2006/relationships/hyperlink" Target="https://docs.google.com/spreadsheets/d/1KeSdv1KWNV9K5vSIJitutABZpX9brP1kX2WG0tgyeic/edit" TargetMode="External"/><Relationship Id="rId101" Type="http://schemas.openxmlformats.org/officeDocument/2006/relationships/hyperlink" Target="https://docs.google.com/spreadsheets/d/1KeSdv1KWNV9K5vSIJitutABZpX9brP1kX2WG0tgyeic/edit" TargetMode="External"/><Relationship Id="rId100" Type="http://schemas.openxmlformats.org/officeDocument/2006/relationships/hyperlink" Target="https://docs.google.com/spreadsheets/d/1KeSdv1KWNV9K5vSIJitutABZpX9brP1kX2WG0tgyeic/edit" TargetMode="External"/><Relationship Id="rId95" Type="http://schemas.openxmlformats.org/officeDocument/2006/relationships/hyperlink" Target="https://docs.google.com/spreadsheets/d/1297Uap0O2IFXX66xxaibmqjFuUCImnlakVs1gz4bZFc/edit" TargetMode="External"/><Relationship Id="rId94" Type="http://schemas.openxmlformats.org/officeDocument/2006/relationships/hyperlink" Target="https://docs.google.com/spreadsheets/d/1297Uap0O2IFXX66xxaibmqjFuUCImnlakVs1gz4bZFc/edit" TargetMode="External"/><Relationship Id="rId97" Type="http://schemas.openxmlformats.org/officeDocument/2006/relationships/hyperlink" Target="https://docs.google.com/spreadsheets/d/1KeSdv1KWNV9K5vSIJitutABZpX9brP1kX2WG0tgyeic/edit" TargetMode="External"/><Relationship Id="rId96" Type="http://schemas.openxmlformats.org/officeDocument/2006/relationships/hyperlink" Target="https://docs.google.com/spreadsheets/d/1KeSdv1KWNV9K5vSIJitutABZpX9brP1kX2WG0tgyeic/edit" TargetMode="External"/><Relationship Id="rId99" Type="http://schemas.openxmlformats.org/officeDocument/2006/relationships/hyperlink" Target="https://docs.google.com/spreadsheets/d/1KeSdv1KWNV9K5vSIJitutABZpX9brP1kX2WG0tgyeic/edit" TargetMode="External"/><Relationship Id="rId98" Type="http://schemas.openxmlformats.org/officeDocument/2006/relationships/hyperlink" Target="https://docs.google.com/spreadsheets/d/1KeSdv1KWNV9K5vSIJitutABZpX9brP1kX2WG0tgyeic/edit" TargetMode="External"/><Relationship Id="rId91" Type="http://schemas.openxmlformats.org/officeDocument/2006/relationships/hyperlink" Target="https://docs.google.com/spreadsheets/d/1297Uap0O2IFXX66xxaibmqjFuUCImnlakVs1gz4bZFc/edit" TargetMode="External"/><Relationship Id="rId90" Type="http://schemas.openxmlformats.org/officeDocument/2006/relationships/hyperlink" Target="https://docs.google.com/spreadsheets/d/1297Uap0O2IFXX66xxaibmqjFuUCImnlakVs1gz4bZFc/edit" TargetMode="External"/><Relationship Id="rId93" Type="http://schemas.openxmlformats.org/officeDocument/2006/relationships/hyperlink" Target="https://docs.google.com/spreadsheets/d/1297Uap0O2IFXX66xxaibmqjFuUCImnlakVs1gz4bZFc/edit" TargetMode="External"/><Relationship Id="rId92" Type="http://schemas.openxmlformats.org/officeDocument/2006/relationships/hyperlink" Target="https://docs.google.com/spreadsheets/d/1297Uap0O2IFXX66xxaibmqjFuUCImnlakVs1gz4bZFc/edit"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CaqUx-mZ_mpAezpkAk92g9fbLQFCN6Br0Ek9DqLqP9w/edit" TargetMode="External"/><Relationship Id="rId2" Type="http://schemas.openxmlformats.org/officeDocument/2006/relationships/hyperlink" Target="https://docs.google.com/spreadsheets/d/1CaqUx-mZ_mpAezpkAk92g9fbLQFCN6Br0Ek9DqLqP9w/edit" TargetMode="External"/><Relationship Id="rId3" Type="http://schemas.openxmlformats.org/officeDocument/2006/relationships/hyperlink" Target="https://docs.google.com/spreadsheets/d/1CaqUx-mZ_mpAezpkAk92g9fbLQFCN6Br0Ek9DqLqP9w/edit" TargetMode="External"/><Relationship Id="rId4" Type="http://schemas.openxmlformats.org/officeDocument/2006/relationships/hyperlink" Target="https://docs.google.com/spreadsheets/d/1CaqUx-mZ_mpAezpkAk92g9fbLQFCN6Br0Ek9DqLqP9w/edit" TargetMode="External"/><Relationship Id="rId9" Type="http://schemas.openxmlformats.org/officeDocument/2006/relationships/hyperlink" Target="https://docs.google.com/spreadsheets/d/1CaqUx-mZ_mpAezpkAk92g9fbLQFCN6Br0Ek9DqLqP9w/edit" TargetMode="External"/><Relationship Id="rId5" Type="http://schemas.openxmlformats.org/officeDocument/2006/relationships/hyperlink" Target="https://docs.google.com/spreadsheets/d/1CaqUx-mZ_mpAezpkAk92g9fbLQFCN6Br0Ek9DqLqP9w/edit" TargetMode="External"/><Relationship Id="rId6" Type="http://schemas.openxmlformats.org/officeDocument/2006/relationships/hyperlink" Target="https://docs.google.com/spreadsheets/d/1CaqUx-mZ_mpAezpkAk92g9fbLQFCN6Br0Ek9DqLqP9w/edit" TargetMode="External"/><Relationship Id="rId7" Type="http://schemas.openxmlformats.org/officeDocument/2006/relationships/hyperlink" Target="https://docs.google.com/spreadsheets/d/1CaqUx-mZ_mpAezpkAk92g9fbLQFCN6Br0Ek9DqLqP9w/edit" TargetMode="External"/><Relationship Id="rId8" Type="http://schemas.openxmlformats.org/officeDocument/2006/relationships/hyperlink" Target="https://docs.google.com/spreadsheets/d/1CaqUx-mZ_mpAezpkAk92g9fbLQFCN6Br0Ek9DqLqP9w/edit" TargetMode="External"/><Relationship Id="rId40" Type="http://schemas.openxmlformats.org/officeDocument/2006/relationships/hyperlink" Target="https://docs.google.com/spreadsheets/d/1H-XahnqWgDesd4KPKHDV44zPoE09Tx_7BQnZ6_dvBec/edit" TargetMode="External"/><Relationship Id="rId42" Type="http://schemas.openxmlformats.org/officeDocument/2006/relationships/hyperlink" Target="https://docs.google.com/spreadsheets/d/19VYXWvCwnF9y7iUrR6JVjeZZ6XweoBGL1TDGRcPHOBE/edit" TargetMode="External"/><Relationship Id="rId41" Type="http://schemas.openxmlformats.org/officeDocument/2006/relationships/hyperlink" Target="https://docs.google.com/spreadsheets/d/19VYXWvCwnF9y7iUrR6JVjeZZ6XweoBGL1TDGRcPHOBE/edit" TargetMode="External"/><Relationship Id="rId44" Type="http://schemas.openxmlformats.org/officeDocument/2006/relationships/hyperlink" Target="https://docs.google.com/spreadsheets/d/19VYXWvCwnF9y7iUrR6JVjeZZ6XweoBGL1TDGRcPHOBE/edit" TargetMode="External"/><Relationship Id="rId43" Type="http://schemas.openxmlformats.org/officeDocument/2006/relationships/hyperlink" Target="https://docs.google.com/spreadsheets/d/19VYXWvCwnF9y7iUrR6JVjeZZ6XweoBGL1TDGRcPHOBE/edit" TargetMode="External"/><Relationship Id="rId46" Type="http://schemas.openxmlformats.org/officeDocument/2006/relationships/hyperlink" Target="https://docs.google.com/spreadsheets/d/19VYXWvCwnF9y7iUrR6JVjeZZ6XweoBGL1TDGRcPHOBE/edit" TargetMode="External"/><Relationship Id="rId45" Type="http://schemas.openxmlformats.org/officeDocument/2006/relationships/hyperlink" Target="https://docs.google.com/spreadsheets/d/19VYXWvCwnF9y7iUrR6JVjeZZ6XweoBGL1TDGRcPHOBE/edit" TargetMode="External"/><Relationship Id="rId48" Type="http://schemas.openxmlformats.org/officeDocument/2006/relationships/hyperlink" Target="https://docs.google.com/spreadsheets/d/1NMjgeCtYTZeTYsZOGVaREOZlDs783LxshEPvd7dmDws/edit" TargetMode="External"/><Relationship Id="rId47" Type="http://schemas.openxmlformats.org/officeDocument/2006/relationships/hyperlink" Target="https://docs.google.com/spreadsheets/d/19VYXWvCwnF9y7iUrR6JVjeZZ6XweoBGL1TDGRcPHOBE/edit" TargetMode="External"/><Relationship Id="rId49" Type="http://schemas.openxmlformats.org/officeDocument/2006/relationships/hyperlink" Target="https://docs.google.com/spreadsheets/d/1NMjgeCtYTZeTYsZOGVaREOZlDs783LxshEPvd7dmDws/edit" TargetMode="External"/><Relationship Id="rId31" Type="http://schemas.openxmlformats.org/officeDocument/2006/relationships/hyperlink" Target="https://docs.google.com/spreadsheets/d/1IzCLXDcYeuErbmaYWWnmRdNWLfNVX95nucLMD64Is9g/edit" TargetMode="External"/><Relationship Id="rId30" Type="http://schemas.openxmlformats.org/officeDocument/2006/relationships/hyperlink" Target="https://docs.google.com/spreadsheets/d/1IzCLXDcYeuErbmaYWWnmRdNWLfNVX95nucLMD64Is9g/edit" TargetMode="External"/><Relationship Id="rId33" Type="http://schemas.openxmlformats.org/officeDocument/2006/relationships/hyperlink" Target="https://docs.google.com/spreadsheets/d/1H-XahnqWgDesd4KPKHDV44zPoE09Tx_7BQnZ6_dvBec/edit" TargetMode="External"/><Relationship Id="rId32" Type="http://schemas.openxmlformats.org/officeDocument/2006/relationships/hyperlink" Target="https://docs.google.com/spreadsheets/d/1H-XahnqWgDesd4KPKHDV44zPoE09Tx_7BQnZ6_dvBec/edit" TargetMode="External"/><Relationship Id="rId35" Type="http://schemas.openxmlformats.org/officeDocument/2006/relationships/hyperlink" Target="https://docs.google.com/spreadsheets/d/1H-XahnqWgDesd4KPKHDV44zPoE09Tx_7BQnZ6_dvBec/edit" TargetMode="External"/><Relationship Id="rId34" Type="http://schemas.openxmlformats.org/officeDocument/2006/relationships/hyperlink" Target="https://docs.google.com/spreadsheets/d/1H-XahnqWgDesd4KPKHDV44zPoE09Tx_7BQnZ6_dvBec/edit" TargetMode="External"/><Relationship Id="rId37" Type="http://schemas.openxmlformats.org/officeDocument/2006/relationships/hyperlink" Target="https://docs.google.com/spreadsheets/d/1H-XahnqWgDesd4KPKHDV44zPoE09Tx_7BQnZ6_dvBec/edit" TargetMode="External"/><Relationship Id="rId36" Type="http://schemas.openxmlformats.org/officeDocument/2006/relationships/hyperlink" Target="https://docs.google.com/spreadsheets/d/1H-XahnqWgDesd4KPKHDV44zPoE09Tx_7BQnZ6_dvBec/edit" TargetMode="External"/><Relationship Id="rId39" Type="http://schemas.openxmlformats.org/officeDocument/2006/relationships/hyperlink" Target="https://docs.google.com/spreadsheets/d/1H-XahnqWgDesd4KPKHDV44zPoE09Tx_7BQnZ6_dvBec/edit" TargetMode="External"/><Relationship Id="rId38" Type="http://schemas.openxmlformats.org/officeDocument/2006/relationships/hyperlink" Target="https://docs.google.com/spreadsheets/d/1H-XahnqWgDesd4KPKHDV44zPoE09Tx_7BQnZ6_dvBec/edit" TargetMode="External"/><Relationship Id="rId20" Type="http://schemas.openxmlformats.org/officeDocument/2006/relationships/hyperlink" Target="https://docs.google.com/spreadsheets/d/1FP641Kn4_IrpgoRvn6b-DkKJTKlZdNt_XXxd5t5SHQ4/edit" TargetMode="External"/><Relationship Id="rId22" Type="http://schemas.openxmlformats.org/officeDocument/2006/relationships/hyperlink" Target="https://docs.google.com/spreadsheets/d/1FP641Kn4_IrpgoRvn6b-DkKJTKlZdNt_XXxd5t5SHQ4/edit" TargetMode="External"/><Relationship Id="rId21" Type="http://schemas.openxmlformats.org/officeDocument/2006/relationships/hyperlink" Target="https://docs.google.com/spreadsheets/d/1FP641Kn4_IrpgoRvn6b-DkKJTKlZdNt_XXxd5t5SHQ4/edit" TargetMode="External"/><Relationship Id="rId24" Type="http://schemas.openxmlformats.org/officeDocument/2006/relationships/hyperlink" Target="https://docs.google.com/spreadsheets/d/1IzCLXDcYeuErbmaYWWnmRdNWLfNVX95nucLMD64Is9g/edit" TargetMode="External"/><Relationship Id="rId23" Type="http://schemas.openxmlformats.org/officeDocument/2006/relationships/hyperlink" Target="https://docs.google.com/spreadsheets/d/1IzCLXDcYeuErbmaYWWnmRdNWLfNVX95nucLMD64Is9g/edit" TargetMode="External"/><Relationship Id="rId26" Type="http://schemas.openxmlformats.org/officeDocument/2006/relationships/hyperlink" Target="https://docs.google.com/spreadsheets/d/1IzCLXDcYeuErbmaYWWnmRdNWLfNVX95nucLMD64Is9g/edit" TargetMode="External"/><Relationship Id="rId25" Type="http://schemas.openxmlformats.org/officeDocument/2006/relationships/hyperlink" Target="https://docs.google.com/spreadsheets/d/1IzCLXDcYeuErbmaYWWnmRdNWLfNVX95nucLMD64Is9g/edit" TargetMode="External"/><Relationship Id="rId28" Type="http://schemas.openxmlformats.org/officeDocument/2006/relationships/hyperlink" Target="https://docs.google.com/spreadsheets/d/1IzCLXDcYeuErbmaYWWnmRdNWLfNVX95nucLMD64Is9g/edit" TargetMode="External"/><Relationship Id="rId27" Type="http://schemas.openxmlformats.org/officeDocument/2006/relationships/hyperlink" Target="https://docs.google.com/spreadsheets/d/1IzCLXDcYeuErbmaYWWnmRdNWLfNVX95nucLMD64Is9g/edit" TargetMode="External"/><Relationship Id="rId29" Type="http://schemas.openxmlformats.org/officeDocument/2006/relationships/hyperlink" Target="https://docs.google.com/spreadsheets/d/1IzCLXDcYeuErbmaYWWnmRdNWLfNVX95nucLMD64Is9g/edit" TargetMode="External"/><Relationship Id="rId11" Type="http://schemas.openxmlformats.org/officeDocument/2006/relationships/hyperlink" Target="https://docs.google.com/spreadsheets/d/1CaqUx-mZ_mpAezpkAk92g9fbLQFCN6Br0Ek9DqLqP9w/edit" TargetMode="External"/><Relationship Id="rId10" Type="http://schemas.openxmlformats.org/officeDocument/2006/relationships/hyperlink" Target="https://docs.google.com/spreadsheets/d/1CaqUx-mZ_mpAezpkAk92g9fbLQFCN6Br0Ek9DqLqP9w/edit" TargetMode="External"/><Relationship Id="rId13" Type="http://schemas.openxmlformats.org/officeDocument/2006/relationships/hyperlink" Target="https://docs.google.com/spreadsheets/d/1CaqUx-mZ_mpAezpkAk92g9fbLQFCN6Br0Ek9DqLqP9w/edit" TargetMode="External"/><Relationship Id="rId12" Type="http://schemas.openxmlformats.org/officeDocument/2006/relationships/hyperlink" Target="https://docs.google.com/spreadsheets/d/1CaqUx-mZ_mpAezpkAk92g9fbLQFCN6Br0Ek9DqLqP9w/edit" TargetMode="External"/><Relationship Id="rId15" Type="http://schemas.openxmlformats.org/officeDocument/2006/relationships/hyperlink" Target="https://docs.google.com/spreadsheets/d/1FP641Kn4_IrpgoRvn6b-DkKJTKlZdNt_XXxd5t5SHQ4/edit" TargetMode="External"/><Relationship Id="rId14" Type="http://schemas.openxmlformats.org/officeDocument/2006/relationships/hyperlink" Target="https://docs.google.com/spreadsheets/d/1CaqUx-mZ_mpAezpkAk92g9fbLQFCN6Br0Ek9DqLqP9w/edit" TargetMode="External"/><Relationship Id="rId17" Type="http://schemas.openxmlformats.org/officeDocument/2006/relationships/hyperlink" Target="https://docs.google.com/spreadsheets/d/1FP641Kn4_IrpgoRvn6b-DkKJTKlZdNt_XXxd5t5SHQ4/edit" TargetMode="External"/><Relationship Id="rId16" Type="http://schemas.openxmlformats.org/officeDocument/2006/relationships/hyperlink" Target="https://docs.google.com/spreadsheets/d/1FP641Kn4_IrpgoRvn6b-DkKJTKlZdNt_XXxd5t5SHQ4/edit" TargetMode="External"/><Relationship Id="rId19" Type="http://schemas.openxmlformats.org/officeDocument/2006/relationships/hyperlink" Target="https://docs.google.com/spreadsheets/d/1FP641Kn4_IrpgoRvn6b-DkKJTKlZdNt_XXxd5t5SHQ4/edit" TargetMode="External"/><Relationship Id="rId18" Type="http://schemas.openxmlformats.org/officeDocument/2006/relationships/hyperlink" Target="https://docs.google.com/spreadsheets/d/1FP641Kn4_IrpgoRvn6b-DkKJTKlZdNt_XXxd5t5SHQ4/edit" TargetMode="External"/><Relationship Id="rId51" Type="http://schemas.openxmlformats.org/officeDocument/2006/relationships/hyperlink" Target="https://docs.google.com/spreadsheets/d/1NMjgeCtYTZeTYsZOGVaREOZlDs783LxshEPvd7dmDws/edit" TargetMode="External"/><Relationship Id="rId50" Type="http://schemas.openxmlformats.org/officeDocument/2006/relationships/hyperlink" Target="https://docs.google.com/spreadsheets/d/1NMjgeCtYTZeTYsZOGVaREOZlDs783LxshEPvd7dmDws/edit" TargetMode="External"/><Relationship Id="rId53" Type="http://schemas.openxmlformats.org/officeDocument/2006/relationships/hyperlink" Target="https://docs.google.com/spreadsheets/d/1NMjgeCtYTZeTYsZOGVaREOZlDs783LxshEPvd7dmDws/edit" TargetMode="External"/><Relationship Id="rId52" Type="http://schemas.openxmlformats.org/officeDocument/2006/relationships/hyperlink" Target="https://docs.google.com/spreadsheets/d/1NMjgeCtYTZeTYsZOGVaREOZlDs783LxshEPvd7dmDws/edit" TargetMode="External"/><Relationship Id="rId55" Type="http://schemas.openxmlformats.org/officeDocument/2006/relationships/hyperlink" Target="https://docs.google.com/spreadsheets/d/1NMjgeCtYTZeTYsZOGVaREOZlDs783LxshEPvd7dmDws/edit" TargetMode="External"/><Relationship Id="rId54" Type="http://schemas.openxmlformats.org/officeDocument/2006/relationships/hyperlink" Target="https://docs.google.com/spreadsheets/d/1NMjgeCtYTZeTYsZOGVaREOZlDs783LxshEPvd7dmDws/edit" TargetMode="External"/><Relationship Id="rId57" Type="http://schemas.openxmlformats.org/officeDocument/2006/relationships/drawing" Target="../drawings/drawing16.xml"/><Relationship Id="rId56" Type="http://schemas.openxmlformats.org/officeDocument/2006/relationships/hyperlink" Target="https://docs.google.com/spreadsheets/d/1NMjgeCtYTZeTYsZOGVaREOZlDs783LxshEPvd7dmDws/edi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bNMDPkrhOvQyYWEwubvhFNpATbEMfvjwaZbRKUU5lvs/edit" TargetMode="External"/><Relationship Id="rId2" Type="http://schemas.openxmlformats.org/officeDocument/2006/relationships/hyperlink" Target="https://docs.google.com/spreadsheets/d/1bNMDPkrhOvQyYWEwubvhFNpATbEMfvjwaZbRKUU5lvs/edit" TargetMode="External"/><Relationship Id="rId3" Type="http://schemas.openxmlformats.org/officeDocument/2006/relationships/hyperlink" Target="https://docs.google.com/spreadsheets/d/1bNMDPkrhOvQyYWEwubvhFNpATbEMfvjwaZbRKUU5lvs/edit" TargetMode="External"/><Relationship Id="rId4" Type="http://schemas.openxmlformats.org/officeDocument/2006/relationships/hyperlink" Target="https://docs.google.com/spreadsheets/d/1bNMDPkrhOvQyYWEwubvhFNpATbEMfvjwaZbRKUU5lvs/edit" TargetMode="External"/><Relationship Id="rId9" Type="http://schemas.openxmlformats.org/officeDocument/2006/relationships/hyperlink" Target="https://docs.google.com/spreadsheets/d/1bNMDPkrhOvQyYWEwubvhFNpATbEMfvjwaZbRKUU5lvs/edit" TargetMode="External"/><Relationship Id="rId5" Type="http://schemas.openxmlformats.org/officeDocument/2006/relationships/hyperlink" Target="https://docs.google.com/spreadsheets/d/1bNMDPkrhOvQyYWEwubvhFNpATbEMfvjwaZbRKUU5lvs/edit" TargetMode="External"/><Relationship Id="rId6" Type="http://schemas.openxmlformats.org/officeDocument/2006/relationships/hyperlink" Target="https://docs.google.com/spreadsheets/d/1bNMDPkrhOvQyYWEwubvhFNpATbEMfvjwaZbRKUU5lvs/edit" TargetMode="External"/><Relationship Id="rId7" Type="http://schemas.openxmlformats.org/officeDocument/2006/relationships/hyperlink" Target="https://docs.google.com/spreadsheets/d/1bNMDPkrhOvQyYWEwubvhFNpATbEMfvjwaZbRKUU5lvs/edit" TargetMode="External"/><Relationship Id="rId8" Type="http://schemas.openxmlformats.org/officeDocument/2006/relationships/hyperlink" Target="https://docs.google.com/spreadsheets/d/1bNMDPkrhOvQyYWEwubvhFNpATbEMfvjwaZbRKUU5lvs/edit" TargetMode="External"/><Relationship Id="rId40" Type="http://schemas.openxmlformats.org/officeDocument/2006/relationships/hyperlink" Target="https://docs.google.com/spreadsheets/d/1N1s4StWnQlRgaUl-1bCfzkpycYuJMa7OtRD0T7K9kEc/edit" TargetMode="External"/><Relationship Id="rId42" Type="http://schemas.openxmlformats.org/officeDocument/2006/relationships/hyperlink" Target="https://docs.google.com/spreadsheets/d/1N1s4StWnQlRgaUl-1bCfzkpycYuJMa7OtRD0T7K9kEc/edit" TargetMode="External"/><Relationship Id="rId41" Type="http://schemas.openxmlformats.org/officeDocument/2006/relationships/hyperlink" Target="https://docs.google.com/spreadsheets/d/1N1s4StWnQlRgaUl-1bCfzkpycYuJMa7OtRD0T7K9kEc/edit" TargetMode="External"/><Relationship Id="rId44" Type="http://schemas.openxmlformats.org/officeDocument/2006/relationships/hyperlink" Target="https://docs.google.com/spreadsheets/d/1N1s4StWnQlRgaUl-1bCfzkpycYuJMa7OtRD0T7K9kEc/edit" TargetMode="External"/><Relationship Id="rId43" Type="http://schemas.openxmlformats.org/officeDocument/2006/relationships/hyperlink" Target="https://docs.google.com/spreadsheets/d/1N1s4StWnQlRgaUl-1bCfzkpycYuJMa7OtRD0T7K9kEc/edit" TargetMode="External"/><Relationship Id="rId46" Type="http://schemas.openxmlformats.org/officeDocument/2006/relationships/hyperlink" Target="https://docs.google.com/spreadsheets/d/1N1s4StWnQlRgaUl-1bCfzkpycYuJMa7OtRD0T7K9kEc/edit" TargetMode="External"/><Relationship Id="rId45" Type="http://schemas.openxmlformats.org/officeDocument/2006/relationships/hyperlink" Target="https://docs.google.com/spreadsheets/d/1N1s4StWnQlRgaUl-1bCfzkpycYuJMa7OtRD0T7K9kEc/edit" TargetMode="External"/><Relationship Id="rId48" Type="http://schemas.openxmlformats.org/officeDocument/2006/relationships/hyperlink" Target="https://docs.google.com/spreadsheets/d/1N1s4StWnQlRgaUl-1bCfzkpycYuJMa7OtRD0T7K9kEc/edit" TargetMode="External"/><Relationship Id="rId47" Type="http://schemas.openxmlformats.org/officeDocument/2006/relationships/hyperlink" Target="https://docs.google.com/spreadsheets/d/1N1s4StWnQlRgaUl-1bCfzkpycYuJMa7OtRD0T7K9kEc/edit" TargetMode="External"/><Relationship Id="rId49" Type="http://schemas.openxmlformats.org/officeDocument/2006/relationships/hyperlink" Target="https://docs.google.com/spreadsheets/d/1N1s4StWnQlRgaUl-1bCfzkpycYuJMa7OtRD0T7K9kEc/edit" TargetMode="External"/><Relationship Id="rId31" Type="http://schemas.openxmlformats.org/officeDocument/2006/relationships/hyperlink" Target="https://docs.google.com/spreadsheets/d/1zLp0jMcNVN_h6veC3tDix5k5krpQmbuVUCL8ERMQdtE/edit" TargetMode="External"/><Relationship Id="rId30" Type="http://schemas.openxmlformats.org/officeDocument/2006/relationships/hyperlink" Target="https://docs.google.com/spreadsheets/d/1zLp0jMcNVN_h6veC3tDix5k5krpQmbuVUCL8ERMQdtE/edit" TargetMode="External"/><Relationship Id="rId33" Type="http://schemas.openxmlformats.org/officeDocument/2006/relationships/hyperlink" Target="https://docs.google.com/spreadsheets/d/1zLp0jMcNVN_h6veC3tDix5k5krpQmbuVUCL8ERMQdtE/edit" TargetMode="External"/><Relationship Id="rId32" Type="http://schemas.openxmlformats.org/officeDocument/2006/relationships/hyperlink" Target="https://docs.google.com/spreadsheets/d/1zLp0jMcNVN_h6veC3tDix5k5krpQmbuVUCL8ERMQdtE/edit" TargetMode="External"/><Relationship Id="rId35" Type="http://schemas.openxmlformats.org/officeDocument/2006/relationships/hyperlink" Target="https://docs.google.com/spreadsheets/d/1N1s4StWnQlRgaUl-1bCfzkpycYuJMa7OtRD0T7K9kEc/edit" TargetMode="External"/><Relationship Id="rId34" Type="http://schemas.openxmlformats.org/officeDocument/2006/relationships/hyperlink" Target="https://docs.google.com/spreadsheets/d/1zLp0jMcNVN_h6veC3tDix5k5krpQmbuVUCL8ERMQdtE/edit" TargetMode="External"/><Relationship Id="rId37" Type="http://schemas.openxmlformats.org/officeDocument/2006/relationships/hyperlink" Target="https://docs.google.com/spreadsheets/d/1N1s4StWnQlRgaUl-1bCfzkpycYuJMa7OtRD0T7K9kEc/edit" TargetMode="External"/><Relationship Id="rId36" Type="http://schemas.openxmlformats.org/officeDocument/2006/relationships/hyperlink" Target="https://docs.google.com/spreadsheets/d/1N1s4StWnQlRgaUl-1bCfzkpycYuJMa7OtRD0T7K9kEc/edit" TargetMode="External"/><Relationship Id="rId39" Type="http://schemas.openxmlformats.org/officeDocument/2006/relationships/hyperlink" Target="https://docs.google.com/spreadsheets/d/1N1s4StWnQlRgaUl-1bCfzkpycYuJMa7OtRD0T7K9kEc/edit" TargetMode="External"/><Relationship Id="rId38" Type="http://schemas.openxmlformats.org/officeDocument/2006/relationships/hyperlink" Target="https://docs.google.com/spreadsheets/d/1N1s4StWnQlRgaUl-1bCfzkpycYuJMa7OtRD0T7K9kEc/edit" TargetMode="External"/><Relationship Id="rId20" Type="http://schemas.openxmlformats.org/officeDocument/2006/relationships/hyperlink" Target="https://docs.google.com/spreadsheets/d/1zLp0jMcNVN_h6veC3tDix5k5krpQmbuVUCL8ERMQdtE/edit" TargetMode="External"/><Relationship Id="rId22" Type="http://schemas.openxmlformats.org/officeDocument/2006/relationships/hyperlink" Target="https://docs.google.com/spreadsheets/d/1zLp0jMcNVN_h6veC3tDix5k5krpQmbuVUCL8ERMQdtE/edit" TargetMode="External"/><Relationship Id="rId21" Type="http://schemas.openxmlformats.org/officeDocument/2006/relationships/hyperlink" Target="https://docs.google.com/spreadsheets/d/1zLp0jMcNVN_h6veC3tDix5k5krpQmbuVUCL8ERMQdtE/edit" TargetMode="External"/><Relationship Id="rId24" Type="http://schemas.openxmlformats.org/officeDocument/2006/relationships/hyperlink" Target="https://docs.google.com/spreadsheets/d/1zLp0jMcNVN_h6veC3tDix5k5krpQmbuVUCL8ERMQdtE/edit" TargetMode="External"/><Relationship Id="rId23" Type="http://schemas.openxmlformats.org/officeDocument/2006/relationships/hyperlink" Target="https://docs.google.com/spreadsheets/d/1zLp0jMcNVN_h6veC3tDix5k5krpQmbuVUCL8ERMQdtE/edit" TargetMode="External"/><Relationship Id="rId26" Type="http://schemas.openxmlformats.org/officeDocument/2006/relationships/hyperlink" Target="https://docs.google.com/spreadsheets/d/1zLp0jMcNVN_h6veC3tDix5k5krpQmbuVUCL8ERMQdtE/edit" TargetMode="External"/><Relationship Id="rId25" Type="http://schemas.openxmlformats.org/officeDocument/2006/relationships/hyperlink" Target="https://docs.google.com/spreadsheets/d/1zLp0jMcNVN_h6veC3tDix5k5krpQmbuVUCL8ERMQdtE/edit" TargetMode="External"/><Relationship Id="rId28" Type="http://schemas.openxmlformats.org/officeDocument/2006/relationships/hyperlink" Target="https://docs.google.com/spreadsheets/d/1zLp0jMcNVN_h6veC3tDix5k5krpQmbuVUCL8ERMQdtE/edit" TargetMode="External"/><Relationship Id="rId27" Type="http://schemas.openxmlformats.org/officeDocument/2006/relationships/hyperlink" Target="https://docs.google.com/spreadsheets/d/1zLp0jMcNVN_h6veC3tDix5k5krpQmbuVUCL8ERMQdtE/edit" TargetMode="External"/><Relationship Id="rId29" Type="http://schemas.openxmlformats.org/officeDocument/2006/relationships/hyperlink" Target="https://docs.google.com/spreadsheets/d/1zLp0jMcNVN_h6veC3tDix5k5krpQmbuVUCL8ERMQdtE/edit" TargetMode="External"/><Relationship Id="rId11" Type="http://schemas.openxmlformats.org/officeDocument/2006/relationships/hyperlink" Target="https://docs.google.com/spreadsheets/d/1bNMDPkrhOvQyYWEwubvhFNpATbEMfvjwaZbRKUU5lvs/edit" TargetMode="External"/><Relationship Id="rId10" Type="http://schemas.openxmlformats.org/officeDocument/2006/relationships/hyperlink" Target="https://docs.google.com/spreadsheets/d/1bNMDPkrhOvQyYWEwubvhFNpATbEMfvjwaZbRKUU5lvs/edit" TargetMode="External"/><Relationship Id="rId13" Type="http://schemas.openxmlformats.org/officeDocument/2006/relationships/hyperlink" Target="https://docs.google.com/spreadsheets/d/1bNMDPkrhOvQyYWEwubvhFNpATbEMfvjwaZbRKUU5lvs/edit" TargetMode="External"/><Relationship Id="rId12" Type="http://schemas.openxmlformats.org/officeDocument/2006/relationships/hyperlink" Target="https://docs.google.com/spreadsheets/d/1bNMDPkrhOvQyYWEwubvhFNpATbEMfvjwaZbRKUU5lvs/edit" TargetMode="External"/><Relationship Id="rId15" Type="http://schemas.openxmlformats.org/officeDocument/2006/relationships/hyperlink" Target="https://docs.google.com/spreadsheets/d/1bNMDPkrhOvQyYWEwubvhFNpATbEMfvjwaZbRKUU5lvs/edit" TargetMode="External"/><Relationship Id="rId14" Type="http://schemas.openxmlformats.org/officeDocument/2006/relationships/hyperlink" Target="https://docs.google.com/spreadsheets/d/1bNMDPkrhOvQyYWEwubvhFNpATbEMfvjwaZbRKUU5lvs/edit" TargetMode="External"/><Relationship Id="rId17" Type="http://schemas.openxmlformats.org/officeDocument/2006/relationships/hyperlink" Target="https://docs.google.com/spreadsheets/d/1zLp0jMcNVN_h6veC3tDix5k5krpQmbuVUCL8ERMQdtE/edit" TargetMode="External"/><Relationship Id="rId16" Type="http://schemas.openxmlformats.org/officeDocument/2006/relationships/hyperlink" Target="https://docs.google.com/spreadsheets/d/1bNMDPkrhOvQyYWEwubvhFNpATbEMfvjwaZbRKUU5lvs/edit" TargetMode="External"/><Relationship Id="rId19" Type="http://schemas.openxmlformats.org/officeDocument/2006/relationships/hyperlink" Target="https://docs.google.com/spreadsheets/d/1zLp0jMcNVN_h6veC3tDix5k5krpQmbuVUCL8ERMQdtE/edit" TargetMode="External"/><Relationship Id="rId18" Type="http://schemas.openxmlformats.org/officeDocument/2006/relationships/hyperlink" Target="https://docs.google.com/spreadsheets/d/1zLp0jMcNVN_h6veC3tDix5k5krpQmbuVUCL8ERMQdtE/edit" TargetMode="External"/><Relationship Id="rId84" Type="http://schemas.openxmlformats.org/officeDocument/2006/relationships/hyperlink" Target="https://docs.google.com/spreadsheets/d/1ZRlYaAxYVaLjIQFyCFgIZXCFNMJB7o5VkcRsn0aiMZc/edit" TargetMode="External"/><Relationship Id="rId83" Type="http://schemas.openxmlformats.org/officeDocument/2006/relationships/hyperlink" Target="https://docs.google.com/spreadsheets/d/1ZRlYaAxYVaLjIQFyCFgIZXCFNMJB7o5VkcRsn0aiMZc/edit" TargetMode="External"/><Relationship Id="rId86" Type="http://schemas.openxmlformats.org/officeDocument/2006/relationships/hyperlink" Target="https://docs.google.com/spreadsheets/d/1ZRlYaAxYVaLjIQFyCFgIZXCFNMJB7o5VkcRsn0aiMZc/edit" TargetMode="External"/><Relationship Id="rId85" Type="http://schemas.openxmlformats.org/officeDocument/2006/relationships/hyperlink" Target="https://docs.google.com/spreadsheets/d/1ZRlYaAxYVaLjIQFyCFgIZXCFNMJB7o5VkcRsn0aiMZc/edit" TargetMode="External"/><Relationship Id="rId88" Type="http://schemas.openxmlformats.org/officeDocument/2006/relationships/hyperlink" Target="https://docs.google.com/spreadsheets/d/1ZRlYaAxYVaLjIQFyCFgIZXCFNMJB7o5VkcRsn0aiMZc/edit" TargetMode="External"/><Relationship Id="rId87" Type="http://schemas.openxmlformats.org/officeDocument/2006/relationships/hyperlink" Target="https://docs.google.com/spreadsheets/d/1ZRlYaAxYVaLjIQFyCFgIZXCFNMJB7o5VkcRsn0aiMZc/edit" TargetMode="External"/><Relationship Id="rId89" Type="http://schemas.openxmlformats.org/officeDocument/2006/relationships/hyperlink" Target="https://docs.google.com/spreadsheets/d/1ZRlYaAxYVaLjIQFyCFgIZXCFNMJB7o5VkcRsn0aiMZc/edit" TargetMode="External"/><Relationship Id="rId80" Type="http://schemas.openxmlformats.org/officeDocument/2006/relationships/hyperlink" Target="https://docs.google.com/spreadsheets/d/1ZRlYaAxYVaLjIQFyCFgIZXCFNMJB7o5VkcRsn0aiMZc/edit" TargetMode="External"/><Relationship Id="rId82" Type="http://schemas.openxmlformats.org/officeDocument/2006/relationships/hyperlink" Target="https://docs.google.com/spreadsheets/d/1ZRlYaAxYVaLjIQFyCFgIZXCFNMJB7o5VkcRsn0aiMZc/edit" TargetMode="External"/><Relationship Id="rId81" Type="http://schemas.openxmlformats.org/officeDocument/2006/relationships/hyperlink" Target="https://docs.google.com/spreadsheets/d/1ZRlYaAxYVaLjIQFyCFgIZXCFNMJB7o5VkcRsn0aiMZc/edit" TargetMode="External"/><Relationship Id="rId73" Type="http://schemas.openxmlformats.org/officeDocument/2006/relationships/hyperlink" Target="https://docs.google.com/spreadsheets/d/13zr1F0X8i7lkdOfWkY67XeF1XFMrNk1vDuPuKhRPz2Q/edit" TargetMode="External"/><Relationship Id="rId72" Type="http://schemas.openxmlformats.org/officeDocument/2006/relationships/hyperlink" Target="https://docs.google.com/spreadsheets/d/13zr1F0X8i7lkdOfWkY67XeF1XFMrNk1vDuPuKhRPz2Q/edit" TargetMode="External"/><Relationship Id="rId75" Type="http://schemas.openxmlformats.org/officeDocument/2006/relationships/hyperlink" Target="https://docs.google.com/spreadsheets/d/13zr1F0X8i7lkdOfWkY67XeF1XFMrNk1vDuPuKhRPz2Q/edit" TargetMode="External"/><Relationship Id="rId74" Type="http://schemas.openxmlformats.org/officeDocument/2006/relationships/hyperlink" Target="https://docs.google.com/spreadsheets/d/13zr1F0X8i7lkdOfWkY67XeF1XFMrNk1vDuPuKhRPz2Q/edit" TargetMode="External"/><Relationship Id="rId77" Type="http://schemas.openxmlformats.org/officeDocument/2006/relationships/hyperlink" Target="https://docs.google.com/spreadsheets/d/13zr1F0X8i7lkdOfWkY67XeF1XFMrNk1vDuPuKhRPz2Q/edit" TargetMode="External"/><Relationship Id="rId76" Type="http://schemas.openxmlformats.org/officeDocument/2006/relationships/hyperlink" Target="https://docs.google.com/spreadsheets/d/13zr1F0X8i7lkdOfWkY67XeF1XFMrNk1vDuPuKhRPz2Q/edit" TargetMode="External"/><Relationship Id="rId79" Type="http://schemas.openxmlformats.org/officeDocument/2006/relationships/hyperlink" Target="https://docs.google.com/spreadsheets/d/13zr1F0X8i7lkdOfWkY67XeF1XFMrNk1vDuPuKhRPz2Q/edit" TargetMode="External"/><Relationship Id="rId78" Type="http://schemas.openxmlformats.org/officeDocument/2006/relationships/hyperlink" Target="https://docs.google.com/spreadsheets/d/13zr1F0X8i7lkdOfWkY67XeF1XFMrNk1vDuPuKhRPz2Q/edit" TargetMode="External"/><Relationship Id="rId71" Type="http://schemas.openxmlformats.org/officeDocument/2006/relationships/hyperlink" Target="https://docs.google.com/spreadsheets/d/13zr1F0X8i7lkdOfWkY67XeF1XFMrNk1vDuPuKhRPz2Q/edit" TargetMode="External"/><Relationship Id="rId70" Type="http://schemas.openxmlformats.org/officeDocument/2006/relationships/hyperlink" Target="https://docs.google.com/spreadsheets/d/13zr1F0X8i7lkdOfWkY67XeF1XFMrNk1vDuPuKhRPz2Q/edit" TargetMode="External"/><Relationship Id="rId62" Type="http://schemas.openxmlformats.org/officeDocument/2006/relationships/hyperlink" Target="https://docs.google.com/spreadsheets/d/13zr1F0X8i7lkdOfWkY67XeF1XFMrNk1vDuPuKhRPz2Q/edit" TargetMode="External"/><Relationship Id="rId61" Type="http://schemas.openxmlformats.org/officeDocument/2006/relationships/hyperlink" Target="https://docs.google.com/spreadsheets/d/13zr1F0X8i7lkdOfWkY67XeF1XFMrNk1vDuPuKhRPz2Q/edit" TargetMode="External"/><Relationship Id="rId64" Type="http://schemas.openxmlformats.org/officeDocument/2006/relationships/hyperlink" Target="https://docs.google.com/spreadsheets/d/13zr1F0X8i7lkdOfWkY67XeF1XFMrNk1vDuPuKhRPz2Q/edit" TargetMode="External"/><Relationship Id="rId63" Type="http://schemas.openxmlformats.org/officeDocument/2006/relationships/hyperlink" Target="https://docs.google.com/spreadsheets/d/13zr1F0X8i7lkdOfWkY67XeF1XFMrNk1vDuPuKhRPz2Q/edit" TargetMode="External"/><Relationship Id="rId66" Type="http://schemas.openxmlformats.org/officeDocument/2006/relationships/hyperlink" Target="https://docs.google.com/spreadsheets/d/13zr1F0X8i7lkdOfWkY67XeF1XFMrNk1vDuPuKhRPz2Q/edit" TargetMode="External"/><Relationship Id="rId65" Type="http://schemas.openxmlformats.org/officeDocument/2006/relationships/hyperlink" Target="https://docs.google.com/spreadsheets/d/13zr1F0X8i7lkdOfWkY67XeF1XFMrNk1vDuPuKhRPz2Q/edit" TargetMode="External"/><Relationship Id="rId68" Type="http://schemas.openxmlformats.org/officeDocument/2006/relationships/hyperlink" Target="https://docs.google.com/spreadsheets/d/13zr1F0X8i7lkdOfWkY67XeF1XFMrNk1vDuPuKhRPz2Q/edit" TargetMode="External"/><Relationship Id="rId67" Type="http://schemas.openxmlformats.org/officeDocument/2006/relationships/hyperlink" Target="https://docs.google.com/spreadsheets/d/13zr1F0X8i7lkdOfWkY67XeF1XFMrNk1vDuPuKhRPz2Q/edit" TargetMode="External"/><Relationship Id="rId60" Type="http://schemas.openxmlformats.org/officeDocument/2006/relationships/hyperlink" Target="https://docs.google.com/spreadsheets/d/13zr1F0X8i7lkdOfWkY67XeF1XFMrNk1vDuPuKhRPz2Q/edit" TargetMode="External"/><Relationship Id="rId69" Type="http://schemas.openxmlformats.org/officeDocument/2006/relationships/hyperlink" Target="https://docs.google.com/spreadsheets/d/13zr1F0X8i7lkdOfWkY67XeF1XFMrNk1vDuPuKhRPz2Q/edit" TargetMode="External"/><Relationship Id="rId51" Type="http://schemas.openxmlformats.org/officeDocument/2006/relationships/hyperlink" Target="https://docs.google.com/spreadsheets/d/1N1s4StWnQlRgaUl-1bCfzkpycYuJMa7OtRD0T7K9kEc/edit" TargetMode="External"/><Relationship Id="rId50" Type="http://schemas.openxmlformats.org/officeDocument/2006/relationships/hyperlink" Target="https://docs.google.com/spreadsheets/d/1N1s4StWnQlRgaUl-1bCfzkpycYuJMa7OtRD0T7K9kEc/edit" TargetMode="External"/><Relationship Id="rId53" Type="http://schemas.openxmlformats.org/officeDocument/2006/relationships/hyperlink" Target="https://docs.google.com/spreadsheets/d/1N1s4StWnQlRgaUl-1bCfzkpycYuJMa7OtRD0T7K9kEc/edit" TargetMode="External"/><Relationship Id="rId52" Type="http://schemas.openxmlformats.org/officeDocument/2006/relationships/hyperlink" Target="https://docs.google.com/spreadsheets/d/1N1s4StWnQlRgaUl-1bCfzkpycYuJMa7OtRD0T7K9kEc/edit" TargetMode="External"/><Relationship Id="rId55" Type="http://schemas.openxmlformats.org/officeDocument/2006/relationships/hyperlink" Target="https://docs.google.com/spreadsheets/d/1N1s4StWnQlRgaUl-1bCfzkpycYuJMa7OtRD0T7K9kEc/edit" TargetMode="External"/><Relationship Id="rId54" Type="http://schemas.openxmlformats.org/officeDocument/2006/relationships/hyperlink" Target="https://docs.google.com/spreadsheets/d/1N1s4StWnQlRgaUl-1bCfzkpycYuJMa7OtRD0T7K9kEc/edit" TargetMode="External"/><Relationship Id="rId57" Type="http://schemas.openxmlformats.org/officeDocument/2006/relationships/hyperlink" Target="https://docs.google.com/spreadsheets/d/13zr1F0X8i7lkdOfWkY67XeF1XFMrNk1vDuPuKhRPz2Q/edit" TargetMode="External"/><Relationship Id="rId56" Type="http://schemas.openxmlformats.org/officeDocument/2006/relationships/hyperlink" Target="https://docs.google.com/spreadsheets/d/1N1s4StWnQlRgaUl-1bCfzkpycYuJMa7OtRD0T7K9kEc/edit" TargetMode="External"/><Relationship Id="rId59" Type="http://schemas.openxmlformats.org/officeDocument/2006/relationships/hyperlink" Target="https://docs.google.com/spreadsheets/d/13zr1F0X8i7lkdOfWkY67XeF1XFMrNk1vDuPuKhRPz2Q/edit" TargetMode="External"/><Relationship Id="rId58" Type="http://schemas.openxmlformats.org/officeDocument/2006/relationships/hyperlink" Target="https://docs.google.com/spreadsheets/d/13zr1F0X8i7lkdOfWkY67XeF1XFMrNk1vDuPuKhRPz2Q/edit" TargetMode="External"/><Relationship Id="rId105" Type="http://schemas.openxmlformats.org/officeDocument/2006/relationships/drawing" Target="../drawings/drawing17.xml"/><Relationship Id="rId104" Type="http://schemas.openxmlformats.org/officeDocument/2006/relationships/hyperlink" Target="https://docs.google.com/spreadsheets/d/1qeRbvOVJrDtUr7zX9KfPCAF6YZRNrAIvisgUD7fzqmw/edit" TargetMode="External"/><Relationship Id="rId103" Type="http://schemas.openxmlformats.org/officeDocument/2006/relationships/hyperlink" Target="https://docs.google.com/spreadsheets/d/1ZRlYaAxYVaLjIQFyCFgIZXCFNMJB7o5VkcRsn0aiMZc/edit" TargetMode="External"/><Relationship Id="rId102" Type="http://schemas.openxmlformats.org/officeDocument/2006/relationships/hyperlink" Target="https://docs.google.com/spreadsheets/d/1ZRlYaAxYVaLjIQFyCFgIZXCFNMJB7o5VkcRsn0aiMZc/edit" TargetMode="External"/><Relationship Id="rId101" Type="http://schemas.openxmlformats.org/officeDocument/2006/relationships/hyperlink" Target="https://docs.google.com/spreadsheets/d/1ZRlYaAxYVaLjIQFyCFgIZXCFNMJB7o5VkcRsn0aiMZc/edit" TargetMode="External"/><Relationship Id="rId100" Type="http://schemas.openxmlformats.org/officeDocument/2006/relationships/hyperlink" Target="https://docs.google.com/spreadsheets/d/1ZRlYaAxYVaLjIQFyCFgIZXCFNMJB7o5VkcRsn0aiMZc/edit" TargetMode="External"/><Relationship Id="rId95" Type="http://schemas.openxmlformats.org/officeDocument/2006/relationships/hyperlink" Target="https://docs.google.com/spreadsheets/d/1ZRlYaAxYVaLjIQFyCFgIZXCFNMJB7o5VkcRsn0aiMZc/edit" TargetMode="External"/><Relationship Id="rId94" Type="http://schemas.openxmlformats.org/officeDocument/2006/relationships/hyperlink" Target="https://docs.google.com/spreadsheets/d/1ZRlYaAxYVaLjIQFyCFgIZXCFNMJB7o5VkcRsn0aiMZc/edit" TargetMode="External"/><Relationship Id="rId97" Type="http://schemas.openxmlformats.org/officeDocument/2006/relationships/hyperlink" Target="https://docs.google.com/spreadsheets/d/1ZRlYaAxYVaLjIQFyCFgIZXCFNMJB7o5VkcRsn0aiMZc/edit" TargetMode="External"/><Relationship Id="rId96" Type="http://schemas.openxmlformats.org/officeDocument/2006/relationships/hyperlink" Target="https://docs.google.com/spreadsheets/d/1ZRlYaAxYVaLjIQFyCFgIZXCFNMJB7o5VkcRsn0aiMZc/edit" TargetMode="External"/><Relationship Id="rId99" Type="http://schemas.openxmlformats.org/officeDocument/2006/relationships/hyperlink" Target="https://docs.google.com/spreadsheets/d/1ZRlYaAxYVaLjIQFyCFgIZXCFNMJB7o5VkcRsn0aiMZc/edit" TargetMode="External"/><Relationship Id="rId98" Type="http://schemas.openxmlformats.org/officeDocument/2006/relationships/hyperlink" Target="https://docs.google.com/spreadsheets/d/1ZRlYaAxYVaLjIQFyCFgIZXCFNMJB7o5VkcRsn0aiMZc/edit" TargetMode="External"/><Relationship Id="rId91" Type="http://schemas.openxmlformats.org/officeDocument/2006/relationships/hyperlink" Target="https://docs.google.com/spreadsheets/d/1ZRlYaAxYVaLjIQFyCFgIZXCFNMJB7o5VkcRsn0aiMZc/edit" TargetMode="External"/><Relationship Id="rId90" Type="http://schemas.openxmlformats.org/officeDocument/2006/relationships/hyperlink" Target="https://docs.google.com/spreadsheets/d/1ZRlYaAxYVaLjIQFyCFgIZXCFNMJB7o5VkcRsn0aiMZc/edit" TargetMode="External"/><Relationship Id="rId93" Type="http://schemas.openxmlformats.org/officeDocument/2006/relationships/hyperlink" Target="https://docs.google.com/spreadsheets/d/1ZRlYaAxYVaLjIQFyCFgIZXCFNMJB7o5VkcRsn0aiMZc/edit" TargetMode="External"/><Relationship Id="rId92" Type="http://schemas.openxmlformats.org/officeDocument/2006/relationships/hyperlink" Target="https://docs.google.com/spreadsheets/d/1ZRlYaAxYVaLjIQFyCFgIZXCFNMJB7o5VkcRsn0aiMZc/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Di5usarODg4Opncg45HBgf-N3Vp6lngSKza2EssURvw/edit" TargetMode="External"/><Relationship Id="rId2" Type="http://schemas.openxmlformats.org/officeDocument/2006/relationships/hyperlink" Target="https://docs.google.com/spreadsheets/d/1Di5usarODg4Opncg45HBgf-N3Vp6lngSKza2EssURvw/edit" TargetMode="External"/><Relationship Id="rId3" Type="http://schemas.openxmlformats.org/officeDocument/2006/relationships/hyperlink" Target="https://docs.google.com/spreadsheets/d/1Di5usarODg4Opncg45HBgf-N3Vp6lngSKza2EssURvw/edit" TargetMode="External"/><Relationship Id="rId4" Type="http://schemas.openxmlformats.org/officeDocument/2006/relationships/hyperlink" Target="https://docs.google.com/spreadsheets/d/1Di5usarODg4Opncg45HBgf-N3Vp6lngSKza2EssURvw/edit" TargetMode="External"/><Relationship Id="rId9" Type="http://schemas.openxmlformats.org/officeDocument/2006/relationships/hyperlink" Target="https://docs.google.com/spreadsheets/d/1r7bqhEFhUgtb_5qgxk8DVvnpl2X0avjByEx8x3nWjH4/edit" TargetMode="External"/><Relationship Id="rId5" Type="http://schemas.openxmlformats.org/officeDocument/2006/relationships/hyperlink" Target="https://docs.google.com/spreadsheets/d/1r7bqhEFhUgtb_5qgxk8DVvnpl2X0avjByEx8x3nWjH4/edit" TargetMode="External"/><Relationship Id="rId6" Type="http://schemas.openxmlformats.org/officeDocument/2006/relationships/hyperlink" Target="https://docs.google.com/spreadsheets/d/1r7bqhEFhUgtb_5qgxk8DVvnpl2X0avjByEx8x3nWjH4/edit" TargetMode="External"/><Relationship Id="rId7" Type="http://schemas.openxmlformats.org/officeDocument/2006/relationships/hyperlink" Target="https://docs.google.com/spreadsheets/d/1r7bqhEFhUgtb_5qgxk8DVvnpl2X0avjByEx8x3nWjH4/edit" TargetMode="External"/><Relationship Id="rId8" Type="http://schemas.openxmlformats.org/officeDocument/2006/relationships/hyperlink" Target="https://docs.google.com/spreadsheets/d/1r7bqhEFhUgtb_5qgxk8DVvnpl2X0avjByEx8x3nWjH4/edit" TargetMode="External"/><Relationship Id="rId11" Type="http://schemas.openxmlformats.org/officeDocument/2006/relationships/hyperlink" Target="https://docs.google.com/spreadsheets/d/1r7bqhEFhUgtb_5qgxk8DVvnpl2X0avjByEx8x3nWjH4/edit" TargetMode="External"/><Relationship Id="rId10" Type="http://schemas.openxmlformats.org/officeDocument/2006/relationships/hyperlink" Target="https://docs.google.com/spreadsheets/d/1r7bqhEFhUgtb_5qgxk8DVvnpl2X0avjByEx8x3nWjH4/edit" TargetMode="External"/><Relationship Id="rId13" Type="http://schemas.openxmlformats.org/officeDocument/2006/relationships/drawing" Target="../drawings/drawing18.xml"/><Relationship Id="rId12" Type="http://schemas.openxmlformats.org/officeDocument/2006/relationships/hyperlink" Target="https://docs.google.com/spreadsheets/d/1r7bqhEFhUgtb_5qgxk8DVvnpl2X0avjByEx8x3nWjH4/edit" TargetMode="External"/></Relationships>
</file>

<file path=xl/worksheets/_rels/sheet19.xml.rels><?xml version="1.0" encoding="UTF-8" standalone="yes"?><Relationships xmlns="http://schemas.openxmlformats.org/package/2006/relationships"><Relationship Id="rId190" Type="http://schemas.openxmlformats.org/officeDocument/2006/relationships/hyperlink" Target="https://docs.google.com/spreadsheets/d/17osK1UdUpVPeQJGwd9x5yALUo_MfDxJNN7dIBz62J_M/edit" TargetMode="External"/><Relationship Id="rId194" Type="http://schemas.openxmlformats.org/officeDocument/2006/relationships/hyperlink" Target="https://docs.google.com/spreadsheets/d/17osK1UdUpVPeQJGwd9x5yALUo_MfDxJNN7dIBz62J_M/edit" TargetMode="External"/><Relationship Id="rId193" Type="http://schemas.openxmlformats.org/officeDocument/2006/relationships/hyperlink" Target="https://docs.google.com/spreadsheets/d/17osK1UdUpVPeQJGwd9x5yALUo_MfDxJNN7dIBz62J_M/edit" TargetMode="External"/><Relationship Id="rId192" Type="http://schemas.openxmlformats.org/officeDocument/2006/relationships/hyperlink" Target="https://docs.google.com/spreadsheets/d/17osK1UdUpVPeQJGwd9x5yALUo_MfDxJNN7dIBz62J_M/edit" TargetMode="External"/><Relationship Id="rId191" Type="http://schemas.openxmlformats.org/officeDocument/2006/relationships/hyperlink" Target="https://docs.google.com/spreadsheets/d/17osK1UdUpVPeQJGwd9x5yALUo_MfDxJNN7dIBz62J_M/edit" TargetMode="External"/><Relationship Id="rId187" Type="http://schemas.openxmlformats.org/officeDocument/2006/relationships/hyperlink" Target="https://docs.google.com/spreadsheets/d/17osK1UdUpVPeQJGwd9x5yALUo_MfDxJNN7dIBz62J_M/edit" TargetMode="External"/><Relationship Id="rId186" Type="http://schemas.openxmlformats.org/officeDocument/2006/relationships/hyperlink" Target="https://docs.google.com/spreadsheets/d/17osK1UdUpVPeQJGwd9x5yALUo_MfDxJNN7dIBz62J_M/edit" TargetMode="External"/><Relationship Id="rId185" Type="http://schemas.openxmlformats.org/officeDocument/2006/relationships/hyperlink" Target="https://docs.google.com/spreadsheets/d/17osK1UdUpVPeQJGwd9x5yALUo_MfDxJNN7dIBz62J_M/edit" TargetMode="External"/><Relationship Id="rId184" Type="http://schemas.openxmlformats.org/officeDocument/2006/relationships/hyperlink" Target="https://docs.google.com/spreadsheets/d/17osK1UdUpVPeQJGwd9x5yALUo_MfDxJNN7dIBz62J_M/edit" TargetMode="External"/><Relationship Id="rId189" Type="http://schemas.openxmlformats.org/officeDocument/2006/relationships/hyperlink" Target="https://docs.google.com/spreadsheets/d/17osK1UdUpVPeQJGwd9x5yALUo_MfDxJNN7dIBz62J_M/edit" TargetMode="External"/><Relationship Id="rId188" Type="http://schemas.openxmlformats.org/officeDocument/2006/relationships/hyperlink" Target="https://docs.google.com/spreadsheets/d/17osK1UdUpVPeQJGwd9x5yALUo_MfDxJNN7dIBz62J_M/edit" TargetMode="External"/><Relationship Id="rId183" Type="http://schemas.openxmlformats.org/officeDocument/2006/relationships/hyperlink" Target="https://docs.google.com/spreadsheets/d/12X7RP84Hen_Xhcv2Km3TNKYWwcrIXlhtlqPy1y2DdLc/edit" TargetMode="External"/><Relationship Id="rId182" Type="http://schemas.openxmlformats.org/officeDocument/2006/relationships/hyperlink" Target="https://docs.google.com/spreadsheets/d/12X7RP84Hen_Xhcv2Km3TNKYWwcrIXlhtlqPy1y2DdLc/edit" TargetMode="External"/><Relationship Id="rId181" Type="http://schemas.openxmlformats.org/officeDocument/2006/relationships/hyperlink" Target="https://docs.google.com/spreadsheets/d/12X7RP84Hen_Xhcv2Km3TNKYWwcrIXlhtlqPy1y2DdLc/edit" TargetMode="External"/><Relationship Id="rId180" Type="http://schemas.openxmlformats.org/officeDocument/2006/relationships/hyperlink" Target="https://docs.google.com/spreadsheets/d/12X7RP84Hen_Xhcv2Km3TNKYWwcrIXlhtlqPy1y2DdLc/edit" TargetMode="External"/><Relationship Id="rId176" Type="http://schemas.openxmlformats.org/officeDocument/2006/relationships/hyperlink" Target="https://docs.google.com/spreadsheets/d/12X7RP84Hen_Xhcv2Km3TNKYWwcrIXlhtlqPy1y2DdLc/edit" TargetMode="External"/><Relationship Id="rId297" Type="http://schemas.openxmlformats.org/officeDocument/2006/relationships/hyperlink" Target="https://docs.google.com/spreadsheets/d/1gh_kgcLpzw7Dz1x9jhJot4oSLVJ_k6BFMfhu2yOLZKs/edit" TargetMode="External"/><Relationship Id="rId175" Type="http://schemas.openxmlformats.org/officeDocument/2006/relationships/hyperlink" Target="https://docs.google.com/spreadsheets/d/12X7RP84Hen_Xhcv2Km3TNKYWwcrIXlhtlqPy1y2DdLc/edit" TargetMode="External"/><Relationship Id="rId296" Type="http://schemas.openxmlformats.org/officeDocument/2006/relationships/hyperlink" Target="https://docs.google.com/spreadsheets/d/1gh_kgcLpzw7Dz1x9jhJot4oSLVJ_k6BFMfhu2yOLZKs/edit" TargetMode="External"/><Relationship Id="rId174" Type="http://schemas.openxmlformats.org/officeDocument/2006/relationships/hyperlink" Target="https://docs.google.com/spreadsheets/d/12X7RP84Hen_Xhcv2Km3TNKYWwcrIXlhtlqPy1y2DdLc/edit" TargetMode="External"/><Relationship Id="rId295" Type="http://schemas.openxmlformats.org/officeDocument/2006/relationships/hyperlink" Target="https://docs.google.com/spreadsheets/d/1gh_kgcLpzw7Dz1x9jhJot4oSLVJ_k6BFMfhu2yOLZKs/edit" TargetMode="External"/><Relationship Id="rId173" Type="http://schemas.openxmlformats.org/officeDocument/2006/relationships/hyperlink" Target="https://docs.google.com/spreadsheets/d/12X7RP84Hen_Xhcv2Km3TNKYWwcrIXlhtlqPy1y2DdLc/edit" TargetMode="External"/><Relationship Id="rId294" Type="http://schemas.openxmlformats.org/officeDocument/2006/relationships/hyperlink" Target="https://docs.google.com/spreadsheets/d/1gh_kgcLpzw7Dz1x9jhJot4oSLVJ_k6BFMfhu2yOLZKs/edit" TargetMode="External"/><Relationship Id="rId179" Type="http://schemas.openxmlformats.org/officeDocument/2006/relationships/hyperlink" Target="https://docs.google.com/spreadsheets/d/12X7RP84Hen_Xhcv2Km3TNKYWwcrIXlhtlqPy1y2DdLc/edit" TargetMode="External"/><Relationship Id="rId178" Type="http://schemas.openxmlformats.org/officeDocument/2006/relationships/hyperlink" Target="https://docs.google.com/spreadsheets/d/12X7RP84Hen_Xhcv2Km3TNKYWwcrIXlhtlqPy1y2DdLc/edit" TargetMode="External"/><Relationship Id="rId299" Type="http://schemas.openxmlformats.org/officeDocument/2006/relationships/hyperlink" Target="https://docs.google.com/spreadsheets/d/1gh_kgcLpzw7Dz1x9jhJot4oSLVJ_k6BFMfhu2yOLZKs/edit" TargetMode="External"/><Relationship Id="rId177" Type="http://schemas.openxmlformats.org/officeDocument/2006/relationships/hyperlink" Target="https://docs.google.com/spreadsheets/d/12X7RP84Hen_Xhcv2Km3TNKYWwcrIXlhtlqPy1y2DdLc/edit" TargetMode="External"/><Relationship Id="rId298" Type="http://schemas.openxmlformats.org/officeDocument/2006/relationships/hyperlink" Target="https://docs.google.com/spreadsheets/d/1gh_kgcLpzw7Dz1x9jhJot4oSLVJ_k6BFMfhu2yOLZKs/edit" TargetMode="External"/><Relationship Id="rId198" Type="http://schemas.openxmlformats.org/officeDocument/2006/relationships/hyperlink" Target="https://docs.google.com/spreadsheets/d/18P4A5hHL8p7DNC9rv-L_EjkSCwXPc5I0vMR-9QWc-70/edit" TargetMode="External"/><Relationship Id="rId197" Type="http://schemas.openxmlformats.org/officeDocument/2006/relationships/hyperlink" Target="https://docs.google.com/spreadsheets/d/18P4A5hHL8p7DNC9rv-L_EjkSCwXPc5I0vMR-9QWc-70/edit" TargetMode="External"/><Relationship Id="rId196" Type="http://schemas.openxmlformats.org/officeDocument/2006/relationships/hyperlink" Target="https://docs.google.com/spreadsheets/d/18P4A5hHL8p7DNC9rv-L_EjkSCwXPc5I0vMR-9QWc-70/edit" TargetMode="External"/><Relationship Id="rId195" Type="http://schemas.openxmlformats.org/officeDocument/2006/relationships/hyperlink" Target="https://docs.google.com/spreadsheets/d/18P4A5hHL8p7DNC9rv-L_EjkSCwXPc5I0vMR-9QWc-70/edit" TargetMode="External"/><Relationship Id="rId199" Type="http://schemas.openxmlformats.org/officeDocument/2006/relationships/hyperlink" Target="https://docs.google.com/spreadsheets/d/18P4A5hHL8p7DNC9rv-L_EjkSCwXPc5I0vMR-9QWc-70/edit" TargetMode="External"/><Relationship Id="rId150" Type="http://schemas.openxmlformats.org/officeDocument/2006/relationships/hyperlink" Target="https://docs.google.com/spreadsheets/d/1PKrjw9bNMeCGog01-dYvMVj_L4sMxmmn8WkSarj51N0/edit" TargetMode="External"/><Relationship Id="rId271" Type="http://schemas.openxmlformats.org/officeDocument/2006/relationships/hyperlink" Target="https://docs.google.com/spreadsheets/d/1UG_kQMgXCbnXEnW2Xw-6qN4avveIt-qx9TYtAmGd77E/edit" TargetMode="External"/><Relationship Id="rId392" Type="http://schemas.openxmlformats.org/officeDocument/2006/relationships/hyperlink" Target="https://docs.google.com/spreadsheets/d/1UwdYp4xpTwsDoLw9aDCsUjJk42IC6pg3Xx1Mf48YFpo/edit" TargetMode="External"/><Relationship Id="rId270" Type="http://schemas.openxmlformats.org/officeDocument/2006/relationships/hyperlink" Target="https://docs.google.com/spreadsheets/d/1UG_kQMgXCbnXEnW2Xw-6qN4avveIt-qx9TYtAmGd77E/edit" TargetMode="External"/><Relationship Id="rId391" Type="http://schemas.openxmlformats.org/officeDocument/2006/relationships/hyperlink" Target="https://docs.google.com/spreadsheets/d/1UwdYp4xpTwsDoLw9aDCsUjJk42IC6pg3Xx1Mf48YFpo/edit" TargetMode="External"/><Relationship Id="rId390" Type="http://schemas.openxmlformats.org/officeDocument/2006/relationships/hyperlink" Target="https://docs.google.com/spreadsheets/d/1UwdYp4xpTwsDoLw9aDCsUjJk42IC6pg3Xx1Mf48YFpo/edit" TargetMode="External"/><Relationship Id="rId1" Type="http://schemas.openxmlformats.org/officeDocument/2006/relationships/hyperlink" Target="https://docs.google.com/spreadsheets/d/18E_Ung8bhLrMQCuAWUYmlKp5yegGxRDbuft90snN2d0/edit" TargetMode="External"/><Relationship Id="rId2" Type="http://schemas.openxmlformats.org/officeDocument/2006/relationships/hyperlink" Target="https://docs.google.com/spreadsheets/d/16YL2JHIyaBmG5OPr9cEROWWZdBgyylLh5TGbplyYyNI/edit" TargetMode="External"/><Relationship Id="rId3" Type="http://schemas.openxmlformats.org/officeDocument/2006/relationships/hyperlink" Target="https://docs.google.com/spreadsheets/d/16YL2JHIyaBmG5OPr9cEROWWZdBgyylLh5TGbplyYyNI/edit" TargetMode="External"/><Relationship Id="rId149" Type="http://schemas.openxmlformats.org/officeDocument/2006/relationships/hyperlink" Target="https://docs.google.com/spreadsheets/d/1PKrjw9bNMeCGog01-dYvMVj_L4sMxmmn8WkSarj51N0/edit" TargetMode="External"/><Relationship Id="rId4" Type="http://schemas.openxmlformats.org/officeDocument/2006/relationships/hyperlink" Target="https://docs.google.com/spreadsheets/d/16YL2JHIyaBmG5OPr9cEROWWZdBgyylLh5TGbplyYyNI/edit" TargetMode="External"/><Relationship Id="rId148" Type="http://schemas.openxmlformats.org/officeDocument/2006/relationships/hyperlink" Target="https://docs.google.com/spreadsheets/d/1PKrjw9bNMeCGog01-dYvMVj_L4sMxmmn8WkSarj51N0/edit" TargetMode="External"/><Relationship Id="rId269" Type="http://schemas.openxmlformats.org/officeDocument/2006/relationships/hyperlink" Target="https://docs.google.com/spreadsheets/d/1UG_kQMgXCbnXEnW2Xw-6qN4avveIt-qx9TYtAmGd77E/edit" TargetMode="External"/><Relationship Id="rId9" Type="http://schemas.openxmlformats.org/officeDocument/2006/relationships/hyperlink" Target="https://docs.google.com/spreadsheets/d/16YL2JHIyaBmG5OPr9cEROWWZdBgyylLh5TGbplyYyNI/edit" TargetMode="External"/><Relationship Id="rId143" Type="http://schemas.openxmlformats.org/officeDocument/2006/relationships/hyperlink" Target="https://docs.google.com/spreadsheets/d/1PKrjw9bNMeCGog01-dYvMVj_L4sMxmmn8WkSarj51N0/edit" TargetMode="External"/><Relationship Id="rId264" Type="http://schemas.openxmlformats.org/officeDocument/2006/relationships/hyperlink" Target="https://docs.google.com/spreadsheets/d/1UG_kQMgXCbnXEnW2Xw-6qN4avveIt-qx9TYtAmGd77E/edit" TargetMode="External"/><Relationship Id="rId385" Type="http://schemas.openxmlformats.org/officeDocument/2006/relationships/hyperlink" Target="https://docs.google.com/spreadsheets/d/1UwdYp4xpTwsDoLw9aDCsUjJk42IC6pg3Xx1Mf48YFpo/edit" TargetMode="External"/><Relationship Id="rId142" Type="http://schemas.openxmlformats.org/officeDocument/2006/relationships/hyperlink" Target="https://docs.google.com/spreadsheets/d/1PKrjw9bNMeCGog01-dYvMVj_L4sMxmmn8WkSarj51N0/edit" TargetMode="External"/><Relationship Id="rId263" Type="http://schemas.openxmlformats.org/officeDocument/2006/relationships/hyperlink" Target="https://docs.google.com/spreadsheets/d/1UG_kQMgXCbnXEnW2Xw-6qN4avveIt-qx9TYtAmGd77E/edit" TargetMode="External"/><Relationship Id="rId384" Type="http://schemas.openxmlformats.org/officeDocument/2006/relationships/hyperlink" Target="https://docs.google.com/spreadsheets/d/1UwdYp4xpTwsDoLw9aDCsUjJk42IC6pg3Xx1Mf48YFpo/edit" TargetMode="External"/><Relationship Id="rId141" Type="http://schemas.openxmlformats.org/officeDocument/2006/relationships/hyperlink" Target="https://docs.google.com/spreadsheets/d/1PKrjw9bNMeCGog01-dYvMVj_L4sMxmmn8WkSarj51N0/edit" TargetMode="External"/><Relationship Id="rId262" Type="http://schemas.openxmlformats.org/officeDocument/2006/relationships/hyperlink" Target="https://docs.google.com/spreadsheets/d/1UG_kQMgXCbnXEnW2Xw-6qN4avveIt-qx9TYtAmGd77E/edit" TargetMode="External"/><Relationship Id="rId383" Type="http://schemas.openxmlformats.org/officeDocument/2006/relationships/hyperlink" Target="https://docs.google.com/spreadsheets/d/1UwdYp4xpTwsDoLw9aDCsUjJk42IC6pg3Xx1Mf48YFpo/edit" TargetMode="External"/><Relationship Id="rId140" Type="http://schemas.openxmlformats.org/officeDocument/2006/relationships/hyperlink" Target="https://docs.google.com/spreadsheets/d/1OP6nXDQgXj9h44KJfXhBSHMyejCoDfOFNYbLqEmo88Q/edit" TargetMode="External"/><Relationship Id="rId261" Type="http://schemas.openxmlformats.org/officeDocument/2006/relationships/hyperlink" Target="https://docs.google.com/spreadsheets/d/1UG_kQMgXCbnXEnW2Xw-6qN4avveIt-qx9TYtAmGd77E/edit" TargetMode="External"/><Relationship Id="rId382" Type="http://schemas.openxmlformats.org/officeDocument/2006/relationships/hyperlink" Target="https://docs.google.com/spreadsheets/d/1UwdYp4xpTwsDoLw9aDCsUjJk42IC6pg3Xx1Mf48YFpo/edit" TargetMode="External"/><Relationship Id="rId5" Type="http://schemas.openxmlformats.org/officeDocument/2006/relationships/hyperlink" Target="https://docs.google.com/spreadsheets/d/16YL2JHIyaBmG5OPr9cEROWWZdBgyylLh5TGbplyYyNI/edit" TargetMode="External"/><Relationship Id="rId147" Type="http://schemas.openxmlformats.org/officeDocument/2006/relationships/hyperlink" Target="https://docs.google.com/spreadsheets/d/1PKrjw9bNMeCGog01-dYvMVj_L4sMxmmn8WkSarj51N0/edit" TargetMode="External"/><Relationship Id="rId268" Type="http://schemas.openxmlformats.org/officeDocument/2006/relationships/hyperlink" Target="https://docs.google.com/spreadsheets/d/1UG_kQMgXCbnXEnW2Xw-6qN4avveIt-qx9TYtAmGd77E/edit" TargetMode="External"/><Relationship Id="rId389" Type="http://schemas.openxmlformats.org/officeDocument/2006/relationships/hyperlink" Target="https://docs.google.com/spreadsheets/d/1UwdYp4xpTwsDoLw9aDCsUjJk42IC6pg3Xx1Mf48YFpo/edit" TargetMode="External"/><Relationship Id="rId6" Type="http://schemas.openxmlformats.org/officeDocument/2006/relationships/hyperlink" Target="https://docs.google.com/spreadsheets/d/16YL2JHIyaBmG5OPr9cEROWWZdBgyylLh5TGbplyYyNI/edit" TargetMode="External"/><Relationship Id="rId146" Type="http://schemas.openxmlformats.org/officeDocument/2006/relationships/hyperlink" Target="https://docs.google.com/spreadsheets/d/1PKrjw9bNMeCGog01-dYvMVj_L4sMxmmn8WkSarj51N0/edit" TargetMode="External"/><Relationship Id="rId267" Type="http://schemas.openxmlformats.org/officeDocument/2006/relationships/hyperlink" Target="https://docs.google.com/spreadsheets/d/1UG_kQMgXCbnXEnW2Xw-6qN4avveIt-qx9TYtAmGd77E/edit" TargetMode="External"/><Relationship Id="rId388" Type="http://schemas.openxmlformats.org/officeDocument/2006/relationships/hyperlink" Target="https://docs.google.com/spreadsheets/d/1UwdYp4xpTwsDoLw9aDCsUjJk42IC6pg3Xx1Mf48YFpo/edit" TargetMode="External"/><Relationship Id="rId7" Type="http://schemas.openxmlformats.org/officeDocument/2006/relationships/hyperlink" Target="https://docs.google.com/spreadsheets/d/16YL2JHIyaBmG5OPr9cEROWWZdBgyylLh5TGbplyYyNI/edit" TargetMode="External"/><Relationship Id="rId145" Type="http://schemas.openxmlformats.org/officeDocument/2006/relationships/hyperlink" Target="https://docs.google.com/spreadsheets/d/1PKrjw9bNMeCGog01-dYvMVj_L4sMxmmn8WkSarj51N0/edit" TargetMode="External"/><Relationship Id="rId266" Type="http://schemas.openxmlformats.org/officeDocument/2006/relationships/hyperlink" Target="https://docs.google.com/spreadsheets/d/1UG_kQMgXCbnXEnW2Xw-6qN4avveIt-qx9TYtAmGd77E/edit" TargetMode="External"/><Relationship Id="rId387" Type="http://schemas.openxmlformats.org/officeDocument/2006/relationships/hyperlink" Target="https://docs.google.com/spreadsheets/d/1UwdYp4xpTwsDoLw9aDCsUjJk42IC6pg3Xx1Mf48YFpo/edit" TargetMode="External"/><Relationship Id="rId8" Type="http://schemas.openxmlformats.org/officeDocument/2006/relationships/hyperlink" Target="https://docs.google.com/spreadsheets/d/16YL2JHIyaBmG5OPr9cEROWWZdBgyylLh5TGbplyYyNI/edit" TargetMode="External"/><Relationship Id="rId144" Type="http://schemas.openxmlformats.org/officeDocument/2006/relationships/hyperlink" Target="https://docs.google.com/spreadsheets/d/1PKrjw9bNMeCGog01-dYvMVj_L4sMxmmn8WkSarj51N0/edit" TargetMode="External"/><Relationship Id="rId265" Type="http://schemas.openxmlformats.org/officeDocument/2006/relationships/hyperlink" Target="https://docs.google.com/spreadsheets/d/1UG_kQMgXCbnXEnW2Xw-6qN4avveIt-qx9TYtAmGd77E/edit" TargetMode="External"/><Relationship Id="rId386" Type="http://schemas.openxmlformats.org/officeDocument/2006/relationships/hyperlink" Target="https://docs.google.com/spreadsheets/d/1UwdYp4xpTwsDoLw9aDCsUjJk42IC6pg3Xx1Mf48YFpo/edit" TargetMode="External"/><Relationship Id="rId260" Type="http://schemas.openxmlformats.org/officeDocument/2006/relationships/hyperlink" Target="https://docs.google.com/spreadsheets/d/1o1lHWD5rivYl5ZncNeQ8JcTWgqxbbWAyRKzgslyaAGM/edit" TargetMode="External"/><Relationship Id="rId381" Type="http://schemas.openxmlformats.org/officeDocument/2006/relationships/hyperlink" Target="https://docs.google.com/spreadsheets/d/1UwdYp4xpTwsDoLw9aDCsUjJk42IC6pg3Xx1Mf48YFpo/edit" TargetMode="External"/><Relationship Id="rId380" Type="http://schemas.openxmlformats.org/officeDocument/2006/relationships/hyperlink" Target="https://docs.google.com/spreadsheets/d/1UwdYp4xpTwsDoLw9aDCsUjJk42IC6pg3Xx1Mf48YFpo/edit" TargetMode="External"/><Relationship Id="rId139" Type="http://schemas.openxmlformats.org/officeDocument/2006/relationships/hyperlink" Target="https://docs.google.com/spreadsheets/d/1OP6nXDQgXj9h44KJfXhBSHMyejCoDfOFNYbLqEmo88Q/edit" TargetMode="External"/><Relationship Id="rId138" Type="http://schemas.openxmlformats.org/officeDocument/2006/relationships/hyperlink" Target="https://docs.google.com/spreadsheets/d/1OP6nXDQgXj9h44KJfXhBSHMyejCoDfOFNYbLqEmo88Q/edit" TargetMode="External"/><Relationship Id="rId259" Type="http://schemas.openxmlformats.org/officeDocument/2006/relationships/hyperlink" Target="https://docs.google.com/spreadsheets/d/1o1lHWD5rivYl5ZncNeQ8JcTWgqxbbWAyRKzgslyaAGM/edit" TargetMode="External"/><Relationship Id="rId137" Type="http://schemas.openxmlformats.org/officeDocument/2006/relationships/hyperlink" Target="https://docs.google.com/spreadsheets/d/1OP6nXDQgXj9h44KJfXhBSHMyejCoDfOFNYbLqEmo88Q/edit" TargetMode="External"/><Relationship Id="rId258" Type="http://schemas.openxmlformats.org/officeDocument/2006/relationships/hyperlink" Target="https://docs.google.com/spreadsheets/d/1o1lHWD5rivYl5ZncNeQ8JcTWgqxbbWAyRKzgslyaAGM/edit" TargetMode="External"/><Relationship Id="rId379" Type="http://schemas.openxmlformats.org/officeDocument/2006/relationships/hyperlink" Target="https://docs.google.com/spreadsheets/d/1UwdYp4xpTwsDoLw9aDCsUjJk42IC6pg3Xx1Mf48YFpo/edit" TargetMode="External"/><Relationship Id="rId132" Type="http://schemas.openxmlformats.org/officeDocument/2006/relationships/hyperlink" Target="https://docs.google.com/spreadsheets/d/1OP6nXDQgXj9h44KJfXhBSHMyejCoDfOFNYbLqEmo88Q/edit" TargetMode="External"/><Relationship Id="rId253" Type="http://schemas.openxmlformats.org/officeDocument/2006/relationships/hyperlink" Target="https://docs.google.com/spreadsheets/d/1o1lHWD5rivYl5ZncNeQ8JcTWgqxbbWAyRKzgslyaAGM/edit" TargetMode="External"/><Relationship Id="rId374" Type="http://schemas.openxmlformats.org/officeDocument/2006/relationships/hyperlink" Target="https://docs.google.com/spreadsheets/d/1MXftX1MABDPF3-AwlT4TaQZFa1HXwn_TXvdt0N_o6K8/edit" TargetMode="External"/><Relationship Id="rId495" Type="http://schemas.openxmlformats.org/officeDocument/2006/relationships/hyperlink" Target="https://docs.google.com/spreadsheets/d/1a6KE_hbjWPiEQJ_GMBHrpnLDpcXwJleISiym0-YvUaM/edit" TargetMode="External"/><Relationship Id="rId131" Type="http://schemas.openxmlformats.org/officeDocument/2006/relationships/hyperlink" Target="https://docs.google.com/spreadsheets/d/1OP6nXDQgXj9h44KJfXhBSHMyejCoDfOFNYbLqEmo88Q/edit" TargetMode="External"/><Relationship Id="rId252" Type="http://schemas.openxmlformats.org/officeDocument/2006/relationships/hyperlink" Target="https://docs.google.com/spreadsheets/d/1o1lHWD5rivYl5ZncNeQ8JcTWgqxbbWAyRKzgslyaAGM/edit" TargetMode="External"/><Relationship Id="rId373" Type="http://schemas.openxmlformats.org/officeDocument/2006/relationships/hyperlink" Target="https://docs.google.com/spreadsheets/d/1MXftX1MABDPF3-AwlT4TaQZFa1HXwn_TXvdt0N_o6K8/edit" TargetMode="External"/><Relationship Id="rId494" Type="http://schemas.openxmlformats.org/officeDocument/2006/relationships/hyperlink" Target="https://docs.google.com/spreadsheets/d/1a6KE_hbjWPiEQJ_GMBHrpnLDpcXwJleISiym0-YvUaM/edit" TargetMode="External"/><Relationship Id="rId130" Type="http://schemas.openxmlformats.org/officeDocument/2006/relationships/hyperlink" Target="https://docs.google.com/spreadsheets/d/1OP6nXDQgXj9h44KJfXhBSHMyejCoDfOFNYbLqEmo88Q/edit" TargetMode="External"/><Relationship Id="rId251" Type="http://schemas.openxmlformats.org/officeDocument/2006/relationships/hyperlink" Target="https://docs.google.com/spreadsheets/d/1o1lHWD5rivYl5ZncNeQ8JcTWgqxbbWAyRKzgslyaAGM/edit" TargetMode="External"/><Relationship Id="rId372" Type="http://schemas.openxmlformats.org/officeDocument/2006/relationships/hyperlink" Target="https://docs.google.com/spreadsheets/d/1MXftX1MABDPF3-AwlT4TaQZFa1HXwn_TXvdt0N_o6K8/edit" TargetMode="External"/><Relationship Id="rId493" Type="http://schemas.openxmlformats.org/officeDocument/2006/relationships/hyperlink" Target="https://docs.google.com/spreadsheets/d/1a6KE_hbjWPiEQJ_GMBHrpnLDpcXwJleISiym0-YvUaM/edit" TargetMode="External"/><Relationship Id="rId250" Type="http://schemas.openxmlformats.org/officeDocument/2006/relationships/hyperlink" Target="https://docs.google.com/spreadsheets/d/1o1lHWD5rivYl5ZncNeQ8JcTWgqxbbWAyRKzgslyaAGM/edit" TargetMode="External"/><Relationship Id="rId371" Type="http://schemas.openxmlformats.org/officeDocument/2006/relationships/hyperlink" Target="https://docs.google.com/spreadsheets/d/1MXftX1MABDPF3-AwlT4TaQZFa1HXwn_TXvdt0N_o6K8/edit" TargetMode="External"/><Relationship Id="rId492" Type="http://schemas.openxmlformats.org/officeDocument/2006/relationships/hyperlink" Target="https://docs.google.com/spreadsheets/d/1a6KE_hbjWPiEQJ_GMBHrpnLDpcXwJleISiym0-YvUaM/edit" TargetMode="External"/><Relationship Id="rId136" Type="http://schemas.openxmlformats.org/officeDocument/2006/relationships/hyperlink" Target="https://docs.google.com/spreadsheets/d/1OP6nXDQgXj9h44KJfXhBSHMyejCoDfOFNYbLqEmo88Q/edit" TargetMode="External"/><Relationship Id="rId257" Type="http://schemas.openxmlformats.org/officeDocument/2006/relationships/hyperlink" Target="https://docs.google.com/spreadsheets/d/1o1lHWD5rivYl5ZncNeQ8JcTWgqxbbWAyRKzgslyaAGM/edit" TargetMode="External"/><Relationship Id="rId378" Type="http://schemas.openxmlformats.org/officeDocument/2006/relationships/hyperlink" Target="https://docs.google.com/spreadsheets/d/1UwdYp4xpTwsDoLw9aDCsUjJk42IC6pg3Xx1Mf48YFpo/edit" TargetMode="External"/><Relationship Id="rId499" Type="http://schemas.openxmlformats.org/officeDocument/2006/relationships/hyperlink" Target="https://docs.google.com/spreadsheets/d/1a6KE_hbjWPiEQJ_GMBHrpnLDpcXwJleISiym0-YvUaM/edit" TargetMode="External"/><Relationship Id="rId135" Type="http://schemas.openxmlformats.org/officeDocument/2006/relationships/hyperlink" Target="https://docs.google.com/spreadsheets/d/1OP6nXDQgXj9h44KJfXhBSHMyejCoDfOFNYbLqEmo88Q/edit" TargetMode="External"/><Relationship Id="rId256" Type="http://schemas.openxmlformats.org/officeDocument/2006/relationships/hyperlink" Target="https://docs.google.com/spreadsheets/d/1o1lHWD5rivYl5ZncNeQ8JcTWgqxbbWAyRKzgslyaAGM/edit" TargetMode="External"/><Relationship Id="rId377" Type="http://schemas.openxmlformats.org/officeDocument/2006/relationships/hyperlink" Target="https://docs.google.com/spreadsheets/d/1UwdYp4xpTwsDoLw9aDCsUjJk42IC6pg3Xx1Mf48YFpo/edit" TargetMode="External"/><Relationship Id="rId498" Type="http://schemas.openxmlformats.org/officeDocument/2006/relationships/hyperlink" Target="https://docs.google.com/spreadsheets/d/1a6KE_hbjWPiEQJ_GMBHrpnLDpcXwJleISiym0-YvUaM/edit" TargetMode="External"/><Relationship Id="rId134" Type="http://schemas.openxmlformats.org/officeDocument/2006/relationships/hyperlink" Target="https://docs.google.com/spreadsheets/d/1OP6nXDQgXj9h44KJfXhBSHMyejCoDfOFNYbLqEmo88Q/edit" TargetMode="External"/><Relationship Id="rId255" Type="http://schemas.openxmlformats.org/officeDocument/2006/relationships/hyperlink" Target="https://docs.google.com/spreadsheets/d/1o1lHWD5rivYl5ZncNeQ8JcTWgqxbbWAyRKzgslyaAGM/edit" TargetMode="External"/><Relationship Id="rId376" Type="http://schemas.openxmlformats.org/officeDocument/2006/relationships/hyperlink" Target="https://docs.google.com/spreadsheets/d/1UwdYp4xpTwsDoLw9aDCsUjJk42IC6pg3Xx1Mf48YFpo/edit" TargetMode="External"/><Relationship Id="rId497" Type="http://schemas.openxmlformats.org/officeDocument/2006/relationships/hyperlink" Target="https://docs.google.com/spreadsheets/d/1a6KE_hbjWPiEQJ_GMBHrpnLDpcXwJleISiym0-YvUaM/edit" TargetMode="External"/><Relationship Id="rId133" Type="http://schemas.openxmlformats.org/officeDocument/2006/relationships/hyperlink" Target="https://docs.google.com/spreadsheets/d/1OP6nXDQgXj9h44KJfXhBSHMyejCoDfOFNYbLqEmo88Q/edit" TargetMode="External"/><Relationship Id="rId254" Type="http://schemas.openxmlformats.org/officeDocument/2006/relationships/hyperlink" Target="https://docs.google.com/spreadsheets/d/1o1lHWD5rivYl5ZncNeQ8JcTWgqxbbWAyRKzgslyaAGM/edit" TargetMode="External"/><Relationship Id="rId375" Type="http://schemas.openxmlformats.org/officeDocument/2006/relationships/hyperlink" Target="https://docs.google.com/spreadsheets/d/1MXftX1MABDPF3-AwlT4TaQZFa1HXwn_TXvdt0N_o6K8/edit" TargetMode="External"/><Relationship Id="rId496" Type="http://schemas.openxmlformats.org/officeDocument/2006/relationships/hyperlink" Target="https://docs.google.com/spreadsheets/d/1a6KE_hbjWPiEQJ_GMBHrpnLDpcXwJleISiym0-YvUaM/edit" TargetMode="External"/><Relationship Id="rId172" Type="http://schemas.openxmlformats.org/officeDocument/2006/relationships/hyperlink" Target="https://docs.google.com/spreadsheets/d/12X7RP84Hen_Xhcv2Km3TNKYWwcrIXlhtlqPy1y2DdLc/edit" TargetMode="External"/><Relationship Id="rId293" Type="http://schemas.openxmlformats.org/officeDocument/2006/relationships/hyperlink" Target="https://docs.google.com/spreadsheets/d/1gh_kgcLpzw7Dz1x9jhJot4oSLVJ_k6BFMfhu2yOLZKs/edit" TargetMode="External"/><Relationship Id="rId171" Type="http://schemas.openxmlformats.org/officeDocument/2006/relationships/hyperlink" Target="https://docs.google.com/spreadsheets/d/12X7RP84Hen_Xhcv2Km3TNKYWwcrIXlhtlqPy1y2DdLc/edit" TargetMode="External"/><Relationship Id="rId292" Type="http://schemas.openxmlformats.org/officeDocument/2006/relationships/hyperlink" Target="https://docs.google.com/spreadsheets/d/1gh_kgcLpzw7Dz1x9jhJot4oSLVJ_k6BFMfhu2yOLZKs/edit" TargetMode="External"/><Relationship Id="rId170" Type="http://schemas.openxmlformats.org/officeDocument/2006/relationships/hyperlink" Target="https://docs.google.com/spreadsheets/d/12X7RP84Hen_Xhcv2Km3TNKYWwcrIXlhtlqPy1y2DdLc/edit" TargetMode="External"/><Relationship Id="rId291" Type="http://schemas.openxmlformats.org/officeDocument/2006/relationships/hyperlink" Target="https://docs.google.com/spreadsheets/d/1gh_kgcLpzw7Dz1x9jhJot4oSLVJ_k6BFMfhu2yOLZKs/edit" TargetMode="External"/><Relationship Id="rId290" Type="http://schemas.openxmlformats.org/officeDocument/2006/relationships/hyperlink" Target="https://docs.google.com/spreadsheets/d/1vUGWCzXJ6LQV4RPWRaZaVbgFlzAwUPYmjw2OwcMvoNA/edit" TargetMode="External"/><Relationship Id="rId165" Type="http://schemas.openxmlformats.org/officeDocument/2006/relationships/hyperlink" Target="https://docs.google.com/spreadsheets/d/1QHqu4y7G06OLV6of51HKcTsVbr6GNMWRu8wcb23I1EA/edit" TargetMode="External"/><Relationship Id="rId286" Type="http://schemas.openxmlformats.org/officeDocument/2006/relationships/hyperlink" Target="https://docs.google.com/spreadsheets/d/1vUGWCzXJ6LQV4RPWRaZaVbgFlzAwUPYmjw2OwcMvoNA/edit" TargetMode="External"/><Relationship Id="rId164" Type="http://schemas.openxmlformats.org/officeDocument/2006/relationships/hyperlink" Target="https://docs.google.com/spreadsheets/d/1QHqu4y7G06OLV6of51HKcTsVbr6GNMWRu8wcb23I1EA/edit" TargetMode="External"/><Relationship Id="rId285" Type="http://schemas.openxmlformats.org/officeDocument/2006/relationships/hyperlink" Target="https://docs.google.com/spreadsheets/d/1vUGWCzXJ6LQV4RPWRaZaVbgFlzAwUPYmjw2OwcMvoNA/edit" TargetMode="External"/><Relationship Id="rId163" Type="http://schemas.openxmlformats.org/officeDocument/2006/relationships/hyperlink" Target="https://docs.google.com/spreadsheets/d/1QHqu4y7G06OLV6of51HKcTsVbr6GNMWRu8wcb23I1EA/edit" TargetMode="External"/><Relationship Id="rId284" Type="http://schemas.openxmlformats.org/officeDocument/2006/relationships/hyperlink" Target="https://docs.google.com/spreadsheets/d/1vUGWCzXJ6LQV4RPWRaZaVbgFlzAwUPYmjw2OwcMvoNA/edit" TargetMode="External"/><Relationship Id="rId162" Type="http://schemas.openxmlformats.org/officeDocument/2006/relationships/hyperlink" Target="https://docs.google.com/spreadsheets/d/1QHqu4y7G06OLV6of51HKcTsVbr6GNMWRu8wcb23I1EA/edit" TargetMode="External"/><Relationship Id="rId283" Type="http://schemas.openxmlformats.org/officeDocument/2006/relationships/hyperlink" Target="https://docs.google.com/spreadsheets/d/1vUGWCzXJ6LQV4RPWRaZaVbgFlzAwUPYmjw2OwcMvoNA/edit" TargetMode="External"/><Relationship Id="rId169" Type="http://schemas.openxmlformats.org/officeDocument/2006/relationships/hyperlink" Target="https://docs.google.com/spreadsheets/d/12X7RP84Hen_Xhcv2Km3TNKYWwcrIXlhtlqPy1y2DdLc/edit" TargetMode="External"/><Relationship Id="rId168" Type="http://schemas.openxmlformats.org/officeDocument/2006/relationships/hyperlink" Target="https://docs.google.com/spreadsheets/d/1QHqu4y7G06OLV6of51HKcTsVbr6GNMWRu8wcb23I1EA/edit" TargetMode="External"/><Relationship Id="rId289" Type="http://schemas.openxmlformats.org/officeDocument/2006/relationships/hyperlink" Target="https://docs.google.com/spreadsheets/d/1vUGWCzXJ6LQV4RPWRaZaVbgFlzAwUPYmjw2OwcMvoNA/edit" TargetMode="External"/><Relationship Id="rId167" Type="http://schemas.openxmlformats.org/officeDocument/2006/relationships/hyperlink" Target="https://docs.google.com/spreadsheets/d/1QHqu4y7G06OLV6of51HKcTsVbr6GNMWRu8wcb23I1EA/edit" TargetMode="External"/><Relationship Id="rId288" Type="http://schemas.openxmlformats.org/officeDocument/2006/relationships/hyperlink" Target="https://docs.google.com/spreadsheets/d/1vUGWCzXJ6LQV4RPWRaZaVbgFlzAwUPYmjw2OwcMvoNA/edit" TargetMode="External"/><Relationship Id="rId166" Type="http://schemas.openxmlformats.org/officeDocument/2006/relationships/hyperlink" Target="https://docs.google.com/spreadsheets/d/1QHqu4y7G06OLV6of51HKcTsVbr6GNMWRu8wcb23I1EA/edit" TargetMode="External"/><Relationship Id="rId287" Type="http://schemas.openxmlformats.org/officeDocument/2006/relationships/hyperlink" Target="https://docs.google.com/spreadsheets/d/1vUGWCzXJ6LQV4RPWRaZaVbgFlzAwUPYmjw2OwcMvoNA/edit" TargetMode="External"/><Relationship Id="rId161" Type="http://schemas.openxmlformats.org/officeDocument/2006/relationships/hyperlink" Target="https://docs.google.com/spreadsheets/d/1QHqu4y7G06OLV6of51HKcTsVbr6GNMWRu8wcb23I1EA/edit" TargetMode="External"/><Relationship Id="rId282" Type="http://schemas.openxmlformats.org/officeDocument/2006/relationships/hyperlink" Target="https://docs.google.com/spreadsheets/d/1vUGWCzXJ6LQV4RPWRaZaVbgFlzAwUPYmjw2OwcMvoNA/edit" TargetMode="External"/><Relationship Id="rId160" Type="http://schemas.openxmlformats.org/officeDocument/2006/relationships/hyperlink" Target="https://docs.google.com/spreadsheets/d/1QHqu4y7G06OLV6of51HKcTsVbr6GNMWRu8wcb23I1EA/edit" TargetMode="External"/><Relationship Id="rId281" Type="http://schemas.openxmlformats.org/officeDocument/2006/relationships/hyperlink" Target="https://docs.google.com/spreadsheets/d/1vUGWCzXJ6LQV4RPWRaZaVbgFlzAwUPYmjw2OwcMvoNA/edit" TargetMode="External"/><Relationship Id="rId280" Type="http://schemas.openxmlformats.org/officeDocument/2006/relationships/hyperlink" Target="https://docs.google.com/spreadsheets/d/1vUGWCzXJ6LQV4RPWRaZaVbgFlzAwUPYmjw2OwcMvoNA/edit" TargetMode="External"/><Relationship Id="rId159" Type="http://schemas.openxmlformats.org/officeDocument/2006/relationships/hyperlink" Target="https://docs.google.com/spreadsheets/d/1QHqu4y7G06OLV6of51HKcTsVbr6GNMWRu8wcb23I1EA/edit" TargetMode="External"/><Relationship Id="rId154" Type="http://schemas.openxmlformats.org/officeDocument/2006/relationships/hyperlink" Target="https://docs.google.com/spreadsheets/d/1PKrjw9bNMeCGog01-dYvMVj_L4sMxmmn8WkSarj51N0/edit" TargetMode="External"/><Relationship Id="rId275" Type="http://schemas.openxmlformats.org/officeDocument/2006/relationships/hyperlink" Target="https://docs.google.com/spreadsheets/d/1UG_kQMgXCbnXEnW2Xw-6qN4avveIt-qx9TYtAmGd77E/edit" TargetMode="External"/><Relationship Id="rId396" Type="http://schemas.openxmlformats.org/officeDocument/2006/relationships/hyperlink" Target="https://docs.google.com/spreadsheets/d/1WYGYY9uQ0LNPTQKkfdZkAMp8cg-SGJhof5v8d6_99WU/edit" TargetMode="External"/><Relationship Id="rId153" Type="http://schemas.openxmlformats.org/officeDocument/2006/relationships/hyperlink" Target="https://docs.google.com/spreadsheets/d/1PKrjw9bNMeCGog01-dYvMVj_L4sMxmmn8WkSarj51N0/edit" TargetMode="External"/><Relationship Id="rId274" Type="http://schemas.openxmlformats.org/officeDocument/2006/relationships/hyperlink" Target="https://docs.google.com/spreadsheets/d/1UG_kQMgXCbnXEnW2Xw-6qN4avveIt-qx9TYtAmGd77E/edit" TargetMode="External"/><Relationship Id="rId395" Type="http://schemas.openxmlformats.org/officeDocument/2006/relationships/hyperlink" Target="https://docs.google.com/spreadsheets/d/1UwdYp4xpTwsDoLw9aDCsUjJk42IC6pg3Xx1Mf48YFpo/edit" TargetMode="External"/><Relationship Id="rId152" Type="http://schemas.openxmlformats.org/officeDocument/2006/relationships/hyperlink" Target="https://docs.google.com/spreadsheets/d/1PKrjw9bNMeCGog01-dYvMVj_L4sMxmmn8WkSarj51N0/edit" TargetMode="External"/><Relationship Id="rId273" Type="http://schemas.openxmlformats.org/officeDocument/2006/relationships/hyperlink" Target="https://docs.google.com/spreadsheets/d/1UG_kQMgXCbnXEnW2Xw-6qN4avveIt-qx9TYtAmGd77E/edit" TargetMode="External"/><Relationship Id="rId394" Type="http://schemas.openxmlformats.org/officeDocument/2006/relationships/hyperlink" Target="https://docs.google.com/spreadsheets/d/1UwdYp4xpTwsDoLw9aDCsUjJk42IC6pg3Xx1Mf48YFpo/edit" TargetMode="External"/><Relationship Id="rId151" Type="http://schemas.openxmlformats.org/officeDocument/2006/relationships/hyperlink" Target="https://docs.google.com/spreadsheets/d/1PKrjw9bNMeCGog01-dYvMVj_L4sMxmmn8WkSarj51N0/edit" TargetMode="External"/><Relationship Id="rId272" Type="http://schemas.openxmlformats.org/officeDocument/2006/relationships/hyperlink" Target="https://docs.google.com/spreadsheets/d/1UG_kQMgXCbnXEnW2Xw-6qN4avveIt-qx9TYtAmGd77E/edit" TargetMode="External"/><Relationship Id="rId393" Type="http://schemas.openxmlformats.org/officeDocument/2006/relationships/hyperlink" Target="https://docs.google.com/spreadsheets/d/1UwdYp4xpTwsDoLw9aDCsUjJk42IC6pg3Xx1Mf48YFpo/edit" TargetMode="External"/><Relationship Id="rId158" Type="http://schemas.openxmlformats.org/officeDocument/2006/relationships/hyperlink" Target="https://docs.google.com/spreadsheets/d/1QHqu4y7G06OLV6of51HKcTsVbr6GNMWRu8wcb23I1EA/edit" TargetMode="External"/><Relationship Id="rId279" Type="http://schemas.openxmlformats.org/officeDocument/2006/relationships/hyperlink" Target="https://docs.google.com/spreadsheets/d/1vUGWCzXJ6LQV4RPWRaZaVbgFlzAwUPYmjw2OwcMvoNA/edit" TargetMode="External"/><Relationship Id="rId157" Type="http://schemas.openxmlformats.org/officeDocument/2006/relationships/hyperlink" Target="https://docs.google.com/spreadsheets/d/1QHqu4y7G06OLV6of51HKcTsVbr6GNMWRu8wcb23I1EA/edit" TargetMode="External"/><Relationship Id="rId278" Type="http://schemas.openxmlformats.org/officeDocument/2006/relationships/hyperlink" Target="https://docs.google.com/spreadsheets/d/1vUGWCzXJ6LQV4RPWRaZaVbgFlzAwUPYmjw2OwcMvoNA/edit" TargetMode="External"/><Relationship Id="rId399" Type="http://schemas.openxmlformats.org/officeDocument/2006/relationships/hyperlink" Target="https://docs.google.com/spreadsheets/d/1WYGYY9uQ0LNPTQKkfdZkAMp8cg-SGJhof5v8d6_99WU/edit" TargetMode="External"/><Relationship Id="rId156" Type="http://schemas.openxmlformats.org/officeDocument/2006/relationships/hyperlink" Target="https://docs.google.com/spreadsheets/d/1QHqu4y7G06OLV6of51HKcTsVbr6GNMWRu8wcb23I1EA/edit" TargetMode="External"/><Relationship Id="rId277" Type="http://schemas.openxmlformats.org/officeDocument/2006/relationships/hyperlink" Target="https://docs.google.com/spreadsheets/d/1vUGWCzXJ6LQV4RPWRaZaVbgFlzAwUPYmjw2OwcMvoNA/edit" TargetMode="External"/><Relationship Id="rId398" Type="http://schemas.openxmlformats.org/officeDocument/2006/relationships/hyperlink" Target="https://docs.google.com/spreadsheets/d/1WYGYY9uQ0LNPTQKkfdZkAMp8cg-SGJhof5v8d6_99WU/edit" TargetMode="External"/><Relationship Id="rId155" Type="http://schemas.openxmlformats.org/officeDocument/2006/relationships/hyperlink" Target="https://docs.google.com/spreadsheets/d/1QHqu4y7G06OLV6of51HKcTsVbr6GNMWRu8wcb23I1EA/edit" TargetMode="External"/><Relationship Id="rId276" Type="http://schemas.openxmlformats.org/officeDocument/2006/relationships/hyperlink" Target="https://docs.google.com/spreadsheets/d/1vUGWCzXJ6LQV4RPWRaZaVbgFlzAwUPYmjw2OwcMvoNA/edit" TargetMode="External"/><Relationship Id="rId397" Type="http://schemas.openxmlformats.org/officeDocument/2006/relationships/hyperlink" Target="https://docs.google.com/spreadsheets/d/1WYGYY9uQ0LNPTQKkfdZkAMp8cg-SGJhof5v8d6_99WU/edit" TargetMode="External"/><Relationship Id="rId40" Type="http://schemas.openxmlformats.org/officeDocument/2006/relationships/hyperlink" Target="https://docs.google.com/spreadsheets/d/1h0TyfLnTk3w8yrW6u2OZ5QYtZGpO-Mdib9IDaS38Kss/edit" TargetMode="External"/><Relationship Id="rId42" Type="http://schemas.openxmlformats.org/officeDocument/2006/relationships/hyperlink" Target="https://docs.google.com/spreadsheets/d/1h0TyfLnTk3w8yrW6u2OZ5QYtZGpO-Mdib9IDaS38Kss/edit" TargetMode="External"/><Relationship Id="rId41" Type="http://schemas.openxmlformats.org/officeDocument/2006/relationships/hyperlink" Target="https://docs.google.com/spreadsheets/d/1h0TyfLnTk3w8yrW6u2OZ5QYtZGpO-Mdib9IDaS38Kss/edit" TargetMode="External"/><Relationship Id="rId44" Type="http://schemas.openxmlformats.org/officeDocument/2006/relationships/hyperlink" Target="https://docs.google.com/spreadsheets/d/1h0TyfLnTk3w8yrW6u2OZ5QYtZGpO-Mdib9IDaS38Kss/edit" TargetMode="External"/><Relationship Id="rId43" Type="http://schemas.openxmlformats.org/officeDocument/2006/relationships/hyperlink" Target="https://docs.google.com/spreadsheets/d/1h0TyfLnTk3w8yrW6u2OZ5QYtZGpO-Mdib9IDaS38Kss/edit" TargetMode="External"/><Relationship Id="rId46" Type="http://schemas.openxmlformats.org/officeDocument/2006/relationships/hyperlink" Target="https://docs.google.com/spreadsheets/d/1h0TyfLnTk3w8yrW6u2OZ5QYtZGpO-Mdib9IDaS38Kss/edit" TargetMode="External"/><Relationship Id="rId45" Type="http://schemas.openxmlformats.org/officeDocument/2006/relationships/hyperlink" Target="https://docs.google.com/spreadsheets/d/1h0TyfLnTk3w8yrW6u2OZ5QYtZGpO-Mdib9IDaS38Kss/edit" TargetMode="External"/><Relationship Id="rId500" Type="http://schemas.openxmlformats.org/officeDocument/2006/relationships/drawing" Target="../drawings/drawing19.xml"/><Relationship Id="rId48" Type="http://schemas.openxmlformats.org/officeDocument/2006/relationships/hyperlink" Target="https://docs.google.com/spreadsheets/d/1BWXWKMl_imA-Go-mK8QYxkDuW05GsjeOe91QxjiAYMM/edit" TargetMode="External"/><Relationship Id="rId47" Type="http://schemas.openxmlformats.org/officeDocument/2006/relationships/hyperlink" Target="https://docs.google.com/spreadsheets/d/1h0TyfLnTk3w8yrW6u2OZ5QYtZGpO-Mdib9IDaS38Kss/edit" TargetMode="External"/><Relationship Id="rId49" Type="http://schemas.openxmlformats.org/officeDocument/2006/relationships/hyperlink" Target="https://docs.google.com/spreadsheets/d/1BWXWKMl_imA-Go-mK8QYxkDuW05GsjeOe91QxjiAYMM/edit" TargetMode="External"/><Relationship Id="rId31" Type="http://schemas.openxmlformats.org/officeDocument/2006/relationships/hyperlink" Target="https://docs.google.com/spreadsheets/d/1h0TyfLnTk3w8yrW6u2OZ5QYtZGpO-Mdib9IDaS38Kss/edit" TargetMode="External"/><Relationship Id="rId30" Type="http://schemas.openxmlformats.org/officeDocument/2006/relationships/hyperlink" Target="https://docs.google.com/spreadsheets/d/1h0TyfLnTk3w8yrW6u2OZ5QYtZGpO-Mdib9IDaS38Kss/edit" TargetMode="External"/><Relationship Id="rId33" Type="http://schemas.openxmlformats.org/officeDocument/2006/relationships/hyperlink" Target="https://docs.google.com/spreadsheets/d/1h0TyfLnTk3w8yrW6u2OZ5QYtZGpO-Mdib9IDaS38Kss/edit" TargetMode="External"/><Relationship Id="rId32" Type="http://schemas.openxmlformats.org/officeDocument/2006/relationships/hyperlink" Target="https://docs.google.com/spreadsheets/d/1h0TyfLnTk3w8yrW6u2OZ5QYtZGpO-Mdib9IDaS38Kss/edit" TargetMode="External"/><Relationship Id="rId35" Type="http://schemas.openxmlformats.org/officeDocument/2006/relationships/hyperlink" Target="https://docs.google.com/spreadsheets/d/1h0TyfLnTk3w8yrW6u2OZ5QYtZGpO-Mdib9IDaS38Kss/edit" TargetMode="External"/><Relationship Id="rId34" Type="http://schemas.openxmlformats.org/officeDocument/2006/relationships/hyperlink" Target="https://docs.google.com/spreadsheets/d/1h0TyfLnTk3w8yrW6u2OZ5QYtZGpO-Mdib9IDaS38Kss/edit" TargetMode="External"/><Relationship Id="rId37" Type="http://schemas.openxmlformats.org/officeDocument/2006/relationships/hyperlink" Target="https://docs.google.com/spreadsheets/d/1h0TyfLnTk3w8yrW6u2OZ5QYtZGpO-Mdib9IDaS38Kss/edit" TargetMode="External"/><Relationship Id="rId36" Type="http://schemas.openxmlformats.org/officeDocument/2006/relationships/hyperlink" Target="https://docs.google.com/spreadsheets/d/1h0TyfLnTk3w8yrW6u2OZ5QYtZGpO-Mdib9IDaS38Kss/edit" TargetMode="External"/><Relationship Id="rId39" Type="http://schemas.openxmlformats.org/officeDocument/2006/relationships/hyperlink" Target="https://docs.google.com/spreadsheets/d/1h0TyfLnTk3w8yrW6u2OZ5QYtZGpO-Mdib9IDaS38Kss/edit" TargetMode="External"/><Relationship Id="rId38" Type="http://schemas.openxmlformats.org/officeDocument/2006/relationships/hyperlink" Target="https://docs.google.com/spreadsheets/d/1h0TyfLnTk3w8yrW6u2OZ5QYtZGpO-Mdib9IDaS38Kss/edit" TargetMode="External"/><Relationship Id="rId20" Type="http://schemas.openxmlformats.org/officeDocument/2006/relationships/hyperlink" Target="https://docs.google.com/spreadsheets/d/1h0TyfLnTk3w8yrW6u2OZ5QYtZGpO-Mdib9IDaS38Kss/edit" TargetMode="External"/><Relationship Id="rId22" Type="http://schemas.openxmlformats.org/officeDocument/2006/relationships/hyperlink" Target="https://docs.google.com/spreadsheets/d/1h0TyfLnTk3w8yrW6u2OZ5QYtZGpO-Mdib9IDaS38Kss/edit" TargetMode="External"/><Relationship Id="rId21" Type="http://schemas.openxmlformats.org/officeDocument/2006/relationships/hyperlink" Target="https://docs.google.com/spreadsheets/d/1h0TyfLnTk3w8yrW6u2OZ5QYtZGpO-Mdib9IDaS38Kss/edit" TargetMode="External"/><Relationship Id="rId24" Type="http://schemas.openxmlformats.org/officeDocument/2006/relationships/hyperlink" Target="https://docs.google.com/spreadsheets/d/1h0TyfLnTk3w8yrW6u2OZ5QYtZGpO-Mdib9IDaS38Kss/edit" TargetMode="External"/><Relationship Id="rId23" Type="http://schemas.openxmlformats.org/officeDocument/2006/relationships/hyperlink" Target="https://docs.google.com/spreadsheets/d/1h0TyfLnTk3w8yrW6u2OZ5QYtZGpO-Mdib9IDaS38Kss/edit" TargetMode="External"/><Relationship Id="rId409" Type="http://schemas.openxmlformats.org/officeDocument/2006/relationships/hyperlink" Target="https://docs.google.com/spreadsheets/d/1WYGYY9uQ0LNPTQKkfdZkAMp8cg-SGJhof5v8d6_99WU/edit" TargetMode="External"/><Relationship Id="rId404" Type="http://schemas.openxmlformats.org/officeDocument/2006/relationships/hyperlink" Target="https://docs.google.com/spreadsheets/d/1WYGYY9uQ0LNPTQKkfdZkAMp8cg-SGJhof5v8d6_99WU/edit" TargetMode="External"/><Relationship Id="rId403" Type="http://schemas.openxmlformats.org/officeDocument/2006/relationships/hyperlink" Target="https://docs.google.com/spreadsheets/d/1WYGYY9uQ0LNPTQKkfdZkAMp8cg-SGJhof5v8d6_99WU/edit" TargetMode="External"/><Relationship Id="rId402" Type="http://schemas.openxmlformats.org/officeDocument/2006/relationships/hyperlink" Target="https://docs.google.com/spreadsheets/d/1WYGYY9uQ0LNPTQKkfdZkAMp8cg-SGJhof5v8d6_99WU/edit" TargetMode="External"/><Relationship Id="rId401" Type="http://schemas.openxmlformats.org/officeDocument/2006/relationships/hyperlink" Target="https://docs.google.com/spreadsheets/d/1WYGYY9uQ0LNPTQKkfdZkAMp8cg-SGJhof5v8d6_99WU/edit" TargetMode="External"/><Relationship Id="rId408" Type="http://schemas.openxmlformats.org/officeDocument/2006/relationships/hyperlink" Target="https://docs.google.com/spreadsheets/d/1WYGYY9uQ0LNPTQKkfdZkAMp8cg-SGJhof5v8d6_99WU/edit" TargetMode="External"/><Relationship Id="rId407" Type="http://schemas.openxmlformats.org/officeDocument/2006/relationships/hyperlink" Target="https://docs.google.com/spreadsheets/d/1WYGYY9uQ0LNPTQKkfdZkAMp8cg-SGJhof5v8d6_99WU/edit" TargetMode="External"/><Relationship Id="rId406" Type="http://schemas.openxmlformats.org/officeDocument/2006/relationships/hyperlink" Target="https://docs.google.com/spreadsheets/d/1WYGYY9uQ0LNPTQKkfdZkAMp8cg-SGJhof5v8d6_99WU/edit" TargetMode="External"/><Relationship Id="rId405" Type="http://schemas.openxmlformats.org/officeDocument/2006/relationships/hyperlink" Target="https://docs.google.com/spreadsheets/d/1WYGYY9uQ0LNPTQKkfdZkAMp8cg-SGJhof5v8d6_99WU/edit" TargetMode="External"/><Relationship Id="rId26" Type="http://schemas.openxmlformats.org/officeDocument/2006/relationships/hyperlink" Target="https://docs.google.com/spreadsheets/d/1h0TyfLnTk3w8yrW6u2OZ5QYtZGpO-Mdib9IDaS38Kss/edit" TargetMode="External"/><Relationship Id="rId25" Type="http://schemas.openxmlformats.org/officeDocument/2006/relationships/hyperlink" Target="https://docs.google.com/spreadsheets/d/1h0TyfLnTk3w8yrW6u2OZ5QYtZGpO-Mdib9IDaS38Kss/edit" TargetMode="External"/><Relationship Id="rId28" Type="http://schemas.openxmlformats.org/officeDocument/2006/relationships/hyperlink" Target="https://docs.google.com/spreadsheets/d/1h0TyfLnTk3w8yrW6u2OZ5QYtZGpO-Mdib9IDaS38Kss/edit" TargetMode="External"/><Relationship Id="rId27" Type="http://schemas.openxmlformats.org/officeDocument/2006/relationships/hyperlink" Target="https://docs.google.com/spreadsheets/d/1h0TyfLnTk3w8yrW6u2OZ5QYtZGpO-Mdib9IDaS38Kss/edit" TargetMode="External"/><Relationship Id="rId400" Type="http://schemas.openxmlformats.org/officeDocument/2006/relationships/hyperlink" Target="https://docs.google.com/spreadsheets/d/1WYGYY9uQ0LNPTQKkfdZkAMp8cg-SGJhof5v8d6_99WU/edit" TargetMode="External"/><Relationship Id="rId29" Type="http://schemas.openxmlformats.org/officeDocument/2006/relationships/hyperlink" Target="https://docs.google.com/spreadsheets/d/1h0TyfLnTk3w8yrW6u2OZ5QYtZGpO-Mdib9IDaS38Kss/edit" TargetMode="External"/><Relationship Id="rId11" Type="http://schemas.openxmlformats.org/officeDocument/2006/relationships/hyperlink" Target="https://docs.google.com/spreadsheets/d/1MRjqOAVLL6RkxRvVrOnHmpmz6Chl3EgErtZiF8Jwdu4/edit" TargetMode="External"/><Relationship Id="rId10" Type="http://schemas.openxmlformats.org/officeDocument/2006/relationships/hyperlink" Target="https://docs.google.com/spreadsheets/d/16YL2JHIyaBmG5OPr9cEROWWZdBgyylLh5TGbplyYyNI/edit" TargetMode="External"/><Relationship Id="rId13" Type="http://schemas.openxmlformats.org/officeDocument/2006/relationships/hyperlink" Target="https://docs.google.com/spreadsheets/d/1MRjqOAVLL6RkxRvVrOnHmpmz6Chl3EgErtZiF8Jwdu4/edit" TargetMode="External"/><Relationship Id="rId12" Type="http://schemas.openxmlformats.org/officeDocument/2006/relationships/hyperlink" Target="https://docs.google.com/spreadsheets/d/1MRjqOAVLL6RkxRvVrOnHmpmz6Chl3EgErtZiF8Jwdu4/edit" TargetMode="External"/><Relationship Id="rId15" Type="http://schemas.openxmlformats.org/officeDocument/2006/relationships/hyperlink" Target="https://docs.google.com/spreadsheets/d/1MRjqOAVLL6RkxRvVrOnHmpmz6Chl3EgErtZiF8Jwdu4/edit" TargetMode="External"/><Relationship Id="rId14" Type="http://schemas.openxmlformats.org/officeDocument/2006/relationships/hyperlink" Target="https://docs.google.com/spreadsheets/d/1MRjqOAVLL6RkxRvVrOnHmpmz6Chl3EgErtZiF8Jwdu4/edit" TargetMode="External"/><Relationship Id="rId17" Type="http://schemas.openxmlformats.org/officeDocument/2006/relationships/hyperlink" Target="https://docs.google.com/spreadsheets/d/1MRjqOAVLL6RkxRvVrOnHmpmz6Chl3EgErtZiF8Jwdu4/edit" TargetMode="External"/><Relationship Id="rId16" Type="http://schemas.openxmlformats.org/officeDocument/2006/relationships/hyperlink" Target="https://docs.google.com/spreadsheets/d/1MRjqOAVLL6RkxRvVrOnHmpmz6Chl3EgErtZiF8Jwdu4/edit" TargetMode="External"/><Relationship Id="rId19" Type="http://schemas.openxmlformats.org/officeDocument/2006/relationships/hyperlink" Target="https://docs.google.com/spreadsheets/d/1MRjqOAVLL6RkxRvVrOnHmpmz6Chl3EgErtZiF8Jwdu4/edit" TargetMode="External"/><Relationship Id="rId18" Type="http://schemas.openxmlformats.org/officeDocument/2006/relationships/hyperlink" Target="https://docs.google.com/spreadsheets/d/1MRjqOAVLL6RkxRvVrOnHmpmz6Chl3EgErtZiF8Jwdu4/edit" TargetMode="External"/><Relationship Id="rId84" Type="http://schemas.openxmlformats.org/officeDocument/2006/relationships/hyperlink" Target="https://docs.google.com/spreadsheets/d/1mXh1OJ1M9t3zVIqxPcDa7xx4sk5nKxqS9I8bMOXMu_o/edit" TargetMode="External"/><Relationship Id="rId83" Type="http://schemas.openxmlformats.org/officeDocument/2006/relationships/hyperlink" Target="https://docs.google.com/spreadsheets/d/1mXh1OJ1M9t3zVIqxPcDa7xx4sk5nKxqS9I8bMOXMu_o/edit" TargetMode="External"/><Relationship Id="rId86" Type="http://schemas.openxmlformats.org/officeDocument/2006/relationships/hyperlink" Target="https://docs.google.com/spreadsheets/d/1mXh1OJ1M9t3zVIqxPcDa7xx4sk5nKxqS9I8bMOXMu_o/edit" TargetMode="External"/><Relationship Id="rId85" Type="http://schemas.openxmlformats.org/officeDocument/2006/relationships/hyperlink" Target="https://docs.google.com/spreadsheets/d/1mXh1OJ1M9t3zVIqxPcDa7xx4sk5nKxqS9I8bMOXMu_o/edit" TargetMode="External"/><Relationship Id="rId88" Type="http://schemas.openxmlformats.org/officeDocument/2006/relationships/hyperlink" Target="https://docs.google.com/spreadsheets/d/12wtup1jz9ePtnTyjwfeFMFHYblEXPQM45ZoIKwgGJc4/edit" TargetMode="External"/><Relationship Id="rId87" Type="http://schemas.openxmlformats.org/officeDocument/2006/relationships/hyperlink" Target="https://docs.google.com/spreadsheets/d/1mXh1OJ1M9t3zVIqxPcDa7xx4sk5nKxqS9I8bMOXMu_o/edit" TargetMode="External"/><Relationship Id="rId89" Type="http://schemas.openxmlformats.org/officeDocument/2006/relationships/hyperlink" Target="https://docs.google.com/spreadsheets/d/12wtup1jz9ePtnTyjwfeFMFHYblEXPQM45ZoIKwgGJc4/edit" TargetMode="External"/><Relationship Id="rId80" Type="http://schemas.openxmlformats.org/officeDocument/2006/relationships/hyperlink" Target="https://docs.google.com/spreadsheets/d/1mXh1OJ1M9t3zVIqxPcDa7xx4sk5nKxqS9I8bMOXMu_o/edit" TargetMode="External"/><Relationship Id="rId82" Type="http://schemas.openxmlformats.org/officeDocument/2006/relationships/hyperlink" Target="https://docs.google.com/spreadsheets/d/1mXh1OJ1M9t3zVIqxPcDa7xx4sk5nKxqS9I8bMOXMu_o/edit" TargetMode="External"/><Relationship Id="rId81" Type="http://schemas.openxmlformats.org/officeDocument/2006/relationships/hyperlink" Target="https://docs.google.com/spreadsheets/d/1mXh1OJ1M9t3zVIqxPcDa7xx4sk5nKxqS9I8bMOXMu_o/edit" TargetMode="External"/><Relationship Id="rId73" Type="http://schemas.openxmlformats.org/officeDocument/2006/relationships/hyperlink" Target="https://docs.google.com/spreadsheets/d/1mXh1OJ1M9t3zVIqxPcDa7xx4sk5nKxqS9I8bMOXMu_o/edit" TargetMode="External"/><Relationship Id="rId72" Type="http://schemas.openxmlformats.org/officeDocument/2006/relationships/hyperlink" Target="https://docs.google.com/spreadsheets/d/1mXh1OJ1M9t3zVIqxPcDa7xx4sk5nKxqS9I8bMOXMu_o/edit" TargetMode="External"/><Relationship Id="rId75" Type="http://schemas.openxmlformats.org/officeDocument/2006/relationships/hyperlink" Target="https://docs.google.com/spreadsheets/d/1mXh1OJ1M9t3zVIqxPcDa7xx4sk5nKxqS9I8bMOXMu_o/edit" TargetMode="External"/><Relationship Id="rId74" Type="http://schemas.openxmlformats.org/officeDocument/2006/relationships/hyperlink" Target="https://docs.google.com/spreadsheets/d/1mXh1OJ1M9t3zVIqxPcDa7xx4sk5nKxqS9I8bMOXMu_o/edit" TargetMode="External"/><Relationship Id="rId77" Type="http://schemas.openxmlformats.org/officeDocument/2006/relationships/hyperlink" Target="https://docs.google.com/spreadsheets/d/1mXh1OJ1M9t3zVIqxPcDa7xx4sk5nKxqS9I8bMOXMu_o/edit" TargetMode="External"/><Relationship Id="rId76" Type="http://schemas.openxmlformats.org/officeDocument/2006/relationships/hyperlink" Target="https://docs.google.com/spreadsheets/d/1mXh1OJ1M9t3zVIqxPcDa7xx4sk5nKxqS9I8bMOXMu_o/edit" TargetMode="External"/><Relationship Id="rId79" Type="http://schemas.openxmlformats.org/officeDocument/2006/relationships/hyperlink" Target="https://docs.google.com/spreadsheets/d/1mXh1OJ1M9t3zVIqxPcDa7xx4sk5nKxqS9I8bMOXMu_o/edit" TargetMode="External"/><Relationship Id="rId78" Type="http://schemas.openxmlformats.org/officeDocument/2006/relationships/hyperlink" Target="https://docs.google.com/spreadsheets/d/1mXh1OJ1M9t3zVIqxPcDa7xx4sk5nKxqS9I8bMOXMu_o/edit" TargetMode="External"/><Relationship Id="rId71" Type="http://schemas.openxmlformats.org/officeDocument/2006/relationships/hyperlink" Target="https://docs.google.com/spreadsheets/d/1mXh1OJ1M9t3zVIqxPcDa7xx4sk5nKxqS9I8bMOXMu_o/edit" TargetMode="External"/><Relationship Id="rId70" Type="http://schemas.openxmlformats.org/officeDocument/2006/relationships/hyperlink" Target="https://docs.google.com/spreadsheets/d/1mXh1OJ1M9t3zVIqxPcDa7xx4sk5nKxqS9I8bMOXMu_o/edit" TargetMode="External"/><Relationship Id="rId62" Type="http://schemas.openxmlformats.org/officeDocument/2006/relationships/hyperlink" Target="https://docs.google.com/spreadsheets/d/1BWXWKMl_imA-Go-mK8QYxkDuW05GsjeOe91QxjiAYMM/edit" TargetMode="External"/><Relationship Id="rId61" Type="http://schemas.openxmlformats.org/officeDocument/2006/relationships/hyperlink" Target="https://docs.google.com/spreadsheets/d/1BWXWKMl_imA-Go-mK8QYxkDuW05GsjeOe91QxjiAYMM/edit" TargetMode="External"/><Relationship Id="rId64" Type="http://schemas.openxmlformats.org/officeDocument/2006/relationships/hyperlink" Target="https://docs.google.com/spreadsheets/d/1BWXWKMl_imA-Go-mK8QYxkDuW05GsjeOe91QxjiAYMM/edit" TargetMode="External"/><Relationship Id="rId63" Type="http://schemas.openxmlformats.org/officeDocument/2006/relationships/hyperlink" Target="https://docs.google.com/spreadsheets/d/1BWXWKMl_imA-Go-mK8QYxkDuW05GsjeOe91QxjiAYMM/edit" TargetMode="External"/><Relationship Id="rId66" Type="http://schemas.openxmlformats.org/officeDocument/2006/relationships/hyperlink" Target="https://docs.google.com/spreadsheets/d/1BWXWKMl_imA-Go-mK8QYxkDuW05GsjeOe91QxjiAYMM/edit" TargetMode="External"/><Relationship Id="rId65" Type="http://schemas.openxmlformats.org/officeDocument/2006/relationships/hyperlink" Target="https://docs.google.com/spreadsheets/d/1BWXWKMl_imA-Go-mK8QYxkDuW05GsjeOe91QxjiAYMM/edit" TargetMode="External"/><Relationship Id="rId68" Type="http://schemas.openxmlformats.org/officeDocument/2006/relationships/hyperlink" Target="https://docs.google.com/spreadsheets/d/1BWXWKMl_imA-Go-mK8QYxkDuW05GsjeOe91QxjiAYMM/edit" TargetMode="External"/><Relationship Id="rId67" Type="http://schemas.openxmlformats.org/officeDocument/2006/relationships/hyperlink" Target="https://docs.google.com/spreadsheets/d/1BWXWKMl_imA-Go-mK8QYxkDuW05GsjeOe91QxjiAYMM/edit" TargetMode="External"/><Relationship Id="rId60" Type="http://schemas.openxmlformats.org/officeDocument/2006/relationships/hyperlink" Target="https://docs.google.com/spreadsheets/d/1BWXWKMl_imA-Go-mK8QYxkDuW05GsjeOe91QxjiAYMM/edit" TargetMode="External"/><Relationship Id="rId69" Type="http://schemas.openxmlformats.org/officeDocument/2006/relationships/hyperlink" Target="https://docs.google.com/spreadsheets/d/1BWXWKMl_imA-Go-mK8QYxkDuW05GsjeOe91QxjiAYMM/edit" TargetMode="External"/><Relationship Id="rId51" Type="http://schemas.openxmlformats.org/officeDocument/2006/relationships/hyperlink" Target="https://docs.google.com/spreadsheets/d/1BWXWKMl_imA-Go-mK8QYxkDuW05GsjeOe91QxjiAYMM/edit" TargetMode="External"/><Relationship Id="rId50" Type="http://schemas.openxmlformats.org/officeDocument/2006/relationships/hyperlink" Target="https://docs.google.com/spreadsheets/d/1BWXWKMl_imA-Go-mK8QYxkDuW05GsjeOe91QxjiAYMM/edit" TargetMode="External"/><Relationship Id="rId53" Type="http://schemas.openxmlformats.org/officeDocument/2006/relationships/hyperlink" Target="https://docs.google.com/spreadsheets/d/1BWXWKMl_imA-Go-mK8QYxkDuW05GsjeOe91QxjiAYMM/edit" TargetMode="External"/><Relationship Id="rId52" Type="http://schemas.openxmlformats.org/officeDocument/2006/relationships/hyperlink" Target="https://docs.google.com/spreadsheets/d/1BWXWKMl_imA-Go-mK8QYxkDuW05GsjeOe91QxjiAYMM/edit" TargetMode="External"/><Relationship Id="rId55" Type="http://schemas.openxmlformats.org/officeDocument/2006/relationships/hyperlink" Target="https://docs.google.com/spreadsheets/d/1BWXWKMl_imA-Go-mK8QYxkDuW05GsjeOe91QxjiAYMM/edit" TargetMode="External"/><Relationship Id="rId54" Type="http://schemas.openxmlformats.org/officeDocument/2006/relationships/hyperlink" Target="https://docs.google.com/spreadsheets/d/1BWXWKMl_imA-Go-mK8QYxkDuW05GsjeOe91QxjiAYMM/edit" TargetMode="External"/><Relationship Id="rId57" Type="http://schemas.openxmlformats.org/officeDocument/2006/relationships/hyperlink" Target="https://docs.google.com/spreadsheets/d/1BWXWKMl_imA-Go-mK8QYxkDuW05GsjeOe91QxjiAYMM/edit" TargetMode="External"/><Relationship Id="rId56" Type="http://schemas.openxmlformats.org/officeDocument/2006/relationships/hyperlink" Target="https://docs.google.com/spreadsheets/d/1BWXWKMl_imA-Go-mK8QYxkDuW05GsjeOe91QxjiAYMM/edit" TargetMode="External"/><Relationship Id="rId59" Type="http://schemas.openxmlformats.org/officeDocument/2006/relationships/hyperlink" Target="https://docs.google.com/spreadsheets/d/1BWXWKMl_imA-Go-mK8QYxkDuW05GsjeOe91QxjiAYMM/edit" TargetMode="External"/><Relationship Id="rId58" Type="http://schemas.openxmlformats.org/officeDocument/2006/relationships/hyperlink" Target="https://docs.google.com/spreadsheets/d/1BWXWKMl_imA-Go-mK8QYxkDuW05GsjeOe91QxjiAYMM/edit" TargetMode="External"/><Relationship Id="rId107" Type="http://schemas.openxmlformats.org/officeDocument/2006/relationships/hyperlink" Target="https://docs.google.com/spreadsheets/d/12wtup1jz9ePtnTyjwfeFMFHYblEXPQM45ZoIKwgGJc4/edit" TargetMode="External"/><Relationship Id="rId228" Type="http://schemas.openxmlformats.org/officeDocument/2006/relationships/hyperlink" Target="https://docs.google.com/spreadsheets/d/1_ogw_1GWrgsaPylUn5PUhstj13YZEr05uQUFTN26I58/edit" TargetMode="External"/><Relationship Id="rId349" Type="http://schemas.openxmlformats.org/officeDocument/2006/relationships/hyperlink" Target="https://docs.google.com/spreadsheets/d/16yILn42B__okCx_dlEHMEfj8VMoHKxR1qANGtSc84us/edit" TargetMode="External"/><Relationship Id="rId106" Type="http://schemas.openxmlformats.org/officeDocument/2006/relationships/hyperlink" Target="https://docs.google.com/spreadsheets/d/12wtup1jz9ePtnTyjwfeFMFHYblEXPQM45ZoIKwgGJc4/edit" TargetMode="External"/><Relationship Id="rId227" Type="http://schemas.openxmlformats.org/officeDocument/2006/relationships/hyperlink" Target="https://docs.google.com/spreadsheets/d/1_ogw_1GWrgsaPylUn5PUhstj13YZEr05uQUFTN26I58/edit" TargetMode="External"/><Relationship Id="rId348" Type="http://schemas.openxmlformats.org/officeDocument/2006/relationships/hyperlink" Target="https://docs.google.com/spreadsheets/d/16yILn42B__okCx_dlEHMEfj8VMoHKxR1qANGtSc84us/edit" TargetMode="External"/><Relationship Id="rId469" Type="http://schemas.openxmlformats.org/officeDocument/2006/relationships/hyperlink" Target="https://docs.google.com/spreadsheets/d/1cVXYuHKjCgi8NxUPEEViwyhTLiK9KexzeCWIl08rEEU/edit" TargetMode="External"/><Relationship Id="rId105" Type="http://schemas.openxmlformats.org/officeDocument/2006/relationships/hyperlink" Target="https://docs.google.com/spreadsheets/d/12wtup1jz9ePtnTyjwfeFMFHYblEXPQM45ZoIKwgGJc4/edit" TargetMode="External"/><Relationship Id="rId226" Type="http://schemas.openxmlformats.org/officeDocument/2006/relationships/hyperlink" Target="https://docs.google.com/spreadsheets/d/1_ogw_1GWrgsaPylUn5PUhstj13YZEr05uQUFTN26I58/edit" TargetMode="External"/><Relationship Id="rId347" Type="http://schemas.openxmlformats.org/officeDocument/2006/relationships/hyperlink" Target="https://docs.google.com/spreadsheets/d/16yILn42B__okCx_dlEHMEfj8VMoHKxR1qANGtSc84us/edit" TargetMode="External"/><Relationship Id="rId468" Type="http://schemas.openxmlformats.org/officeDocument/2006/relationships/hyperlink" Target="https://docs.google.com/spreadsheets/d/1cVXYuHKjCgi8NxUPEEViwyhTLiK9KexzeCWIl08rEEU/edit" TargetMode="External"/><Relationship Id="rId104" Type="http://schemas.openxmlformats.org/officeDocument/2006/relationships/hyperlink" Target="https://docs.google.com/spreadsheets/d/12wtup1jz9ePtnTyjwfeFMFHYblEXPQM45ZoIKwgGJc4/edit" TargetMode="External"/><Relationship Id="rId225" Type="http://schemas.openxmlformats.org/officeDocument/2006/relationships/hyperlink" Target="https://docs.google.com/spreadsheets/d/1_ogw_1GWrgsaPylUn5PUhstj13YZEr05uQUFTN26I58/edit" TargetMode="External"/><Relationship Id="rId346" Type="http://schemas.openxmlformats.org/officeDocument/2006/relationships/hyperlink" Target="https://docs.google.com/spreadsheets/d/16yILn42B__okCx_dlEHMEfj8VMoHKxR1qANGtSc84us/edit" TargetMode="External"/><Relationship Id="rId467" Type="http://schemas.openxmlformats.org/officeDocument/2006/relationships/hyperlink" Target="https://docs.google.com/spreadsheets/d/1cVXYuHKjCgi8NxUPEEViwyhTLiK9KexzeCWIl08rEEU/edit" TargetMode="External"/><Relationship Id="rId109" Type="http://schemas.openxmlformats.org/officeDocument/2006/relationships/hyperlink" Target="https://docs.google.com/spreadsheets/d/12wtup1jz9ePtnTyjwfeFMFHYblEXPQM45ZoIKwgGJc4/edit" TargetMode="External"/><Relationship Id="rId108" Type="http://schemas.openxmlformats.org/officeDocument/2006/relationships/hyperlink" Target="https://docs.google.com/spreadsheets/d/12wtup1jz9ePtnTyjwfeFMFHYblEXPQM45ZoIKwgGJc4/edit" TargetMode="External"/><Relationship Id="rId229" Type="http://schemas.openxmlformats.org/officeDocument/2006/relationships/hyperlink" Target="https://docs.google.com/spreadsheets/d/1_ogw_1GWrgsaPylUn5PUhstj13YZEr05uQUFTN26I58/edit" TargetMode="External"/><Relationship Id="rId220" Type="http://schemas.openxmlformats.org/officeDocument/2006/relationships/hyperlink" Target="https://docs.google.com/spreadsheets/d/1_ogw_1GWrgsaPylUn5PUhstj13YZEr05uQUFTN26I58/edit" TargetMode="External"/><Relationship Id="rId341" Type="http://schemas.openxmlformats.org/officeDocument/2006/relationships/hyperlink" Target="https://docs.google.com/spreadsheets/d/16yILn42B__okCx_dlEHMEfj8VMoHKxR1qANGtSc84us/edit" TargetMode="External"/><Relationship Id="rId462" Type="http://schemas.openxmlformats.org/officeDocument/2006/relationships/hyperlink" Target="https://docs.google.com/spreadsheets/d/1cVXYuHKjCgi8NxUPEEViwyhTLiK9KexzeCWIl08rEEU/edit" TargetMode="External"/><Relationship Id="rId340" Type="http://schemas.openxmlformats.org/officeDocument/2006/relationships/hyperlink" Target="https://docs.google.com/spreadsheets/d/1gN3Kx3rFejat9MOO00xL5OUnYfJFNpdTmjphjKPF930/edit" TargetMode="External"/><Relationship Id="rId461" Type="http://schemas.openxmlformats.org/officeDocument/2006/relationships/hyperlink" Target="https://docs.google.com/spreadsheets/d/1cVXYuHKjCgi8NxUPEEViwyhTLiK9KexzeCWIl08rEEU/edit" TargetMode="External"/><Relationship Id="rId460" Type="http://schemas.openxmlformats.org/officeDocument/2006/relationships/hyperlink" Target="https://docs.google.com/spreadsheets/d/1cVXYuHKjCgi8NxUPEEViwyhTLiK9KexzeCWIl08rEEU/edit" TargetMode="External"/><Relationship Id="rId103" Type="http://schemas.openxmlformats.org/officeDocument/2006/relationships/hyperlink" Target="https://docs.google.com/spreadsheets/d/12wtup1jz9ePtnTyjwfeFMFHYblEXPQM45ZoIKwgGJc4/edit" TargetMode="External"/><Relationship Id="rId224" Type="http://schemas.openxmlformats.org/officeDocument/2006/relationships/hyperlink" Target="https://docs.google.com/spreadsheets/d/1_ogw_1GWrgsaPylUn5PUhstj13YZEr05uQUFTN26I58/edit" TargetMode="External"/><Relationship Id="rId345" Type="http://schemas.openxmlformats.org/officeDocument/2006/relationships/hyperlink" Target="https://docs.google.com/spreadsheets/d/16yILn42B__okCx_dlEHMEfj8VMoHKxR1qANGtSc84us/edit" TargetMode="External"/><Relationship Id="rId466" Type="http://schemas.openxmlformats.org/officeDocument/2006/relationships/hyperlink" Target="https://docs.google.com/spreadsheets/d/1cVXYuHKjCgi8NxUPEEViwyhTLiK9KexzeCWIl08rEEU/edit" TargetMode="External"/><Relationship Id="rId102" Type="http://schemas.openxmlformats.org/officeDocument/2006/relationships/hyperlink" Target="https://docs.google.com/spreadsheets/d/12wtup1jz9ePtnTyjwfeFMFHYblEXPQM45ZoIKwgGJc4/edit" TargetMode="External"/><Relationship Id="rId223" Type="http://schemas.openxmlformats.org/officeDocument/2006/relationships/hyperlink" Target="https://docs.google.com/spreadsheets/d/1_ogw_1GWrgsaPylUn5PUhstj13YZEr05uQUFTN26I58/edit" TargetMode="External"/><Relationship Id="rId344" Type="http://schemas.openxmlformats.org/officeDocument/2006/relationships/hyperlink" Target="https://docs.google.com/spreadsheets/d/16yILn42B__okCx_dlEHMEfj8VMoHKxR1qANGtSc84us/edit" TargetMode="External"/><Relationship Id="rId465" Type="http://schemas.openxmlformats.org/officeDocument/2006/relationships/hyperlink" Target="https://docs.google.com/spreadsheets/d/1cVXYuHKjCgi8NxUPEEViwyhTLiK9KexzeCWIl08rEEU/edit" TargetMode="External"/><Relationship Id="rId101" Type="http://schemas.openxmlformats.org/officeDocument/2006/relationships/hyperlink" Target="https://docs.google.com/spreadsheets/d/12wtup1jz9ePtnTyjwfeFMFHYblEXPQM45ZoIKwgGJc4/edit" TargetMode="External"/><Relationship Id="rId222" Type="http://schemas.openxmlformats.org/officeDocument/2006/relationships/hyperlink" Target="https://docs.google.com/spreadsheets/d/1_ogw_1GWrgsaPylUn5PUhstj13YZEr05uQUFTN26I58/edit" TargetMode="External"/><Relationship Id="rId343" Type="http://schemas.openxmlformats.org/officeDocument/2006/relationships/hyperlink" Target="https://docs.google.com/spreadsheets/d/16yILn42B__okCx_dlEHMEfj8VMoHKxR1qANGtSc84us/edit" TargetMode="External"/><Relationship Id="rId464" Type="http://schemas.openxmlformats.org/officeDocument/2006/relationships/hyperlink" Target="https://docs.google.com/spreadsheets/d/1cVXYuHKjCgi8NxUPEEViwyhTLiK9KexzeCWIl08rEEU/edit" TargetMode="External"/><Relationship Id="rId100" Type="http://schemas.openxmlformats.org/officeDocument/2006/relationships/hyperlink" Target="https://docs.google.com/spreadsheets/d/12wtup1jz9ePtnTyjwfeFMFHYblEXPQM45ZoIKwgGJc4/edit" TargetMode="External"/><Relationship Id="rId221" Type="http://schemas.openxmlformats.org/officeDocument/2006/relationships/hyperlink" Target="https://docs.google.com/spreadsheets/d/1_ogw_1GWrgsaPylUn5PUhstj13YZEr05uQUFTN26I58/edit" TargetMode="External"/><Relationship Id="rId342" Type="http://schemas.openxmlformats.org/officeDocument/2006/relationships/hyperlink" Target="https://docs.google.com/spreadsheets/d/16yILn42B__okCx_dlEHMEfj8VMoHKxR1qANGtSc84us/edit" TargetMode="External"/><Relationship Id="rId463" Type="http://schemas.openxmlformats.org/officeDocument/2006/relationships/hyperlink" Target="https://docs.google.com/spreadsheets/d/1cVXYuHKjCgi8NxUPEEViwyhTLiK9KexzeCWIl08rEEU/edit" TargetMode="External"/><Relationship Id="rId217" Type="http://schemas.openxmlformats.org/officeDocument/2006/relationships/hyperlink" Target="https://docs.google.com/spreadsheets/d/16kunet9cul4f0mAk8cXWFJKHj5axtFYdthI8LtSvPys/edit" TargetMode="External"/><Relationship Id="rId338" Type="http://schemas.openxmlformats.org/officeDocument/2006/relationships/hyperlink" Target="https://docs.google.com/spreadsheets/d/1gN3Kx3rFejat9MOO00xL5OUnYfJFNpdTmjphjKPF930/edit" TargetMode="External"/><Relationship Id="rId459" Type="http://schemas.openxmlformats.org/officeDocument/2006/relationships/hyperlink" Target="https://docs.google.com/spreadsheets/d/1cVXYuHKjCgi8NxUPEEViwyhTLiK9KexzeCWIl08rEEU/edit" TargetMode="External"/><Relationship Id="rId216" Type="http://schemas.openxmlformats.org/officeDocument/2006/relationships/hyperlink" Target="https://docs.google.com/spreadsheets/d/16kunet9cul4f0mAk8cXWFJKHj5axtFYdthI8LtSvPys/edit" TargetMode="External"/><Relationship Id="rId337" Type="http://schemas.openxmlformats.org/officeDocument/2006/relationships/hyperlink" Target="https://docs.google.com/spreadsheets/d/1gN3Kx3rFejat9MOO00xL5OUnYfJFNpdTmjphjKPF930/edit" TargetMode="External"/><Relationship Id="rId458" Type="http://schemas.openxmlformats.org/officeDocument/2006/relationships/hyperlink" Target="https://docs.google.com/spreadsheets/d/1cVXYuHKjCgi8NxUPEEViwyhTLiK9KexzeCWIl08rEEU/edit" TargetMode="External"/><Relationship Id="rId215" Type="http://schemas.openxmlformats.org/officeDocument/2006/relationships/hyperlink" Target="https://docs.google.com/spreadsheets/d/16kunet9cul4f0mAk8cXWFJKHj5axtFYdthI8LtSvPys/edit" TargetMode="External"/><Relationship Id="rId336" Type="http://schemas.openxmlformats.org/officeDocument/2006/relationships/hyperlink" Target="https://docs.google.com/spreadsheets/d/1gN3Kx3rFejat9MOO00xL5OUnYfJFNpdTmjphjKPF930/edit" TargetMode="External"/><Relationship Id="rId457" Type="http://schemas.openxmlformats.org/officeDocument/2006/relationships/hyperlink" Target="https://docs.google.com/spreadsheets/d/1cVXYuHKjCgi8NxUPEEViwyhTLiK9KexzeCWIl08rEEU/edit" TargetMode="External"/><Relationship Id="rId214" Type="http://schemas.openxmlformats.org/officeDocument/2006/relationships/hyperlink" Target="https://docs.google.com/spreadsheets/d/16kunet9cul4f0mAk8cXWFJKHj5axtFYdthI8LtSvPys/edit" TargetMode="External"/><Relationship Id="rId335" Type="http://schemas.openxmlformats.org/officeDocument/2006/relationships/hyperlink" Target="https://docs.google.com/spreadsheets/d/1gN3Kx3rFejat9MOO00xL5OUnYfJFNpdTmjphjKPF930/edit" TargetMode="External"/><Relationship Id="rId456" Type="http://schemas.openxmlformats.org/officeDocument/2006/relationships/hyperlink" Target="https://docs.google.com/spreadsheets/d/1cVXYuHKjCgi8NxUPEEViwyhTLiK9KexzeCWIl08rEEU/edit" TargetMode="External"/><Relationship Id="rId219" Type="http://schemas.openxmlformats.org/officeDocument/2006/relationships/hyperlink" Target="https://docs.google.com/spreadsheets/d/16kunet9cul4f0mAk8cXWFJKHj5axtFYdthI8LtSvPys/edit" TargetMode="External"/><Relationship Id="rId218" Type="http://schemas.openxmlformats.org/officeDocument/2006/relationships/hyperlink" Target="https://docs.google.com/spreadsheets/d/16kunet9cul4f0mAk8cXWFJKHj5axtFYdthI8LtSvPys/edit" TargetMode="External"/><Relationship Id="rId339" Type="http://schemas.openxmlformats.org/officeDocument/2006/relationships/hyperlink" Target="https://docs.google.com/spreadsheets/d/1gN3Kx3rFejat9MOO00xL5OUnYfJFNpdTmjphjKPF930/edit" TargetMode="External"/><Relationship Id="rId330" Type="http://schemas.openxmlformats.org/officeDocument/2006/relationships/hyperlink" Target="https://docs.google.com/spreadsheets/d/1gN3Kx3rFejat9MOO00xL5OUnYfJFNpdTmjphjKPF930/edit" TargetMode="External"/><Relationship Id="rId451" Type="http://schemas.openxmlformats.org/officeDocument/2006/relationships/hyperlink" Target="https://docs.google.com/spreadsheets/d/1_2kzlEAtxjpoWLOftpsQOYPAvPz7CTi35RcrYZ-AkVE/edit" TargetMode="External"/><Relationship Id="rId450" Type="http://schemas.openxmlformats.org/officeDocument/2006/relationships/hyperlink" Target="https://docs.google.com/spreadsheets/d/1_2kzlEAtxjpoWLOftpsQOYPAvPz7CTi35RcrYZ-AkVE/edit" TargetMode="External"/><Relationship Id="rId213" Type="http://schemas.openxmlformats.org/officeDocument/2006/relationships/hyperlink" Target="https://docs.google.com/spreadsheets/d/16kunet9cul4f0mAk8cXWFJKHj5axtFYdthI8LtSvPys/edit" TargetMode="External"/><Relationship Id="rId334" Type="http://schemas.openxmlformats.org/officeDocument/2006/relationships/hyperlink" Target="https://docs.google.com/spreadsheets/d/1gN3Kx3rFejat9MOO00xL5OUnYfJFNpdTmjphjKPF930/edit" TargetMode="External"/><Relationship Id="rId455" Type="http://schemas.openxmlformats.org/officeDocument/2006/relationships/hyperlink" Target="https://docs.google.com/spreadsheets/d/1cVXYuHKjCgi8NxUPEEViwyhTLiK9KexzeCWIl08rEEU/edit" TargetMode="External"/><Relationship Id="rId212" Type="http://schemas.openxmlformats.org/officeDocument/2006/relationships/hyperlink" Target="https://docs.google.com/spreadsheets/d/16kunet9cul4f0mAk8cXWFJKHj5axtFYdthI8LtSvPys/edit" TargetMode="External"/><Relationship Id="rId333" Type="http://schemas.openxmlformats.org/officeDocument/2006/relationships/hyperlink" Target="https://docs.google.com/spreadsheets/d/1gN3Kx3rFejat9MOO00xL5OUnYfJFNpdTmjphjKPF930/edit" TargetMode="External"/><Relationship Id="rId454" Type="http://schemas.openxmlformats.org/officeDocument/2006/relationships/hyperlink" Target="https://docs.google.com/spreadsheets/d/1cVXYuHKjCgi8NxUPEEViwyhTLiK9KexzeCWIl08rEEU/edit" TargetMode="External"/><Relationship Id="rId211" Type="http://schemas.openxmlformats.org/officeDocument/2006/relationships/hyperlink" Target="https://docs.google.com/spreadsheets/d/16kunet9cul4f0mAk8cXWFJKHj5axtFYdthI8LtSvPys/edit" TargetMode="External"/><Relationship Id="rId332" Type="http://schemas.openxmlformats.org/officeDocument/2006/relationships/hyperlink" Target="https://docs.google.com/spreadsheets/d/1gN3Kx3rFejat9MOO00xL5OUnYfJFNpdTmjphjKPF930/edit" TargetMode="External"/><Relationship Id="rId453" Type="http://schemas.openxmlformats.org/officeDocument/2006/relationships/hyperlink" Target="https://docs.google.com/spreadsheets/d/1cVXYuHKjCgi8NxUPEEViwyhTLiK9KexzeCWIl08rEEU/edit" TargetMode="External"/><Relationship Id="rId210" Type="http://schemas.openxmlformats.org/officeDocument/2006/relationships/hyperlink" Target="https://docs.google.com/spreadsheets/d/16kunet9cul4f0mAk8cXWFJKHj5axtFYdthI8LtSvPys/edit" TargetMode="External"/><Relationship Id="rId331" Type="http://schemas.openxmlformats.org/officeDocument/2006/relationships/hyperlink" Target="https://docs.google.com/spreadsheets/d/1gN3Kx3rFejat9MOO00xL5OUnYfJFNpdTmjphjKPF930/edit" TargetMode="External"/><Relationship Id="rId452" Type="http://schemas.openxmlformats.org/officeDocument/2006/relationships/hyperlink" Target="https://docs.google.com/spreadsheets/d/1_2kzlEAtxjpoWLOftpsQOYPAvPz7CTi35RcrYZ-AkVE/edit" TargetMode="External"/><Relationship Id="rId370" Type="http://schemas.openxmlformats.org/officeDocument/2006/relationships/hyperlink" Target="https://docs.google.com/spreadsheets/d/1MXftX1MABDPF3-AwlT4TaQZFa1HXwn_TXvdt0N_o6K8/edit" TargetMode="External"/><Relationship Id="rId491" Type="http://schemas.openxmlformats.org/officeDocument/2006/relationships/hyperlink" Target="https://docs.google.com/spreadsheets/d/1a6KE_hbjWPiEQJ_GMBHrpnLDpcXwJleISiym0-YvUaM/edit" TargetMode="External"/><Relationship Id="rId490" Type="http://schemas.openxmlformats.org/officeDocument/2006/relationships/hyperlink" Target="https://docs.google.com/spreadsheets/d/1a6KE_hbjWPiEQJ_GMBHrpnLDpcXwJleISiym0-YvUaM/edit" TargetMode="External"/><Relationship Id="rId129" Type="http://schemas.openxmlformats.org/officeDocument/2006/relationships/hyperlink" Target="https://docs.google.com/spreadsheets/d/1OP6nXDQgXj9h44KJfXhBSHMyejCoDfOFNYbLqEmo88Q/edit" TargetMode="External"/><Relationship Id="rId128" Type="http://schemas.openxmlformats.org/officeDocument/2006/relationships/hyperlink" Target="https://docs.google.com/spreadsheets/d/1OP6nXDQgXj9h44KJfXhBSHMyejCoDfOFNYbLqEmo88Q/edit" TargetMode="External"/><Relationship Id="rId249" Type="http://schemas.openxmlformats.org/officeDocument/2006/relationships/hyperlink" Target="https://docs.google.com/spreadsheets/d/1o1lHWD5rivYl5ZncNeQ8JcTWgqxbbWAyRKzgslyaAGM/edit" TargetMode="External"/><Relationship Id="rId127" Type="http://schemas.openxmlformats.org/officeDocument/2006/relationships/hyperlink" Target="https://docs.google.com/spreadsheets/d/1OP6nXDQgXj9h44KJfXhBSHMyejCoDfOFNYbLqEmo88Q/edit" TargetMode="External"/><Relationship Id="rId248" Type="http://schemas.openxmlformats.org/officeDocument/2006/relationships/hyperlink" Target="https://docs.google.com/spreadsheets/d/1o1lHWD5rivYl5ZncNeQ8JcTWgqxbbWAyRKzgslyaAGM/edit" TargetMode="External"/><Relationship Id="rId369" Type="http://schemas.openxmlformats.org/officeDocument/2006/relationships/hyperlink" Target="https://docs.google.com/spreadsheets/d/1MXftX1MABDPF3-AwlT4TaQZFa1HXwn_TXvdt0N_o6K8/edit" TargetMode="External"/><Relationship Id="rId126" Type="http://schemas.openxmlformats.org/officeDocument/2006/relationships/hyperlink" Target="https://docs.google.com/spreadsheets/d/1OP6nXDQgXj9h44KJfXhBSHMyejCoDfOFNYbLqEmo88Q/edit" TargetMode="External"/><Relationship Id="rId247" Type="http://schemas.openxmlformats.org/officeDocument/2006/relationships/hyperlink" Target="https://docs.google.com/spreadsheets/d/1fBBHSdaEfOT1lscHUBs7fZwYkMqueKeHmwZJbP3mfG0/edit" TargetMode="External"/><Relationship Id="rId368" Type="http://schemas.openxmlformats.org/officeDocument/2006/relationships/hyperlink" Target="https://docs.google.com/spreadsheets/d/1MXftX1MABDPF3-AwlT4TaQZFa1HXwn_TXvdt0N_o6K8/edit" TargetMode="External"/><Relationship Id="rId489" Type="http://schemas.openxmlformats.org/officeDocument/2006/relationships/hyperlink" Target="https://docs.google.com/spreadsheets/d/1a6KE_hbjWPiEQJ_GMBHrpnLDpcXwJleISiym0-YvUaM/edit" TargetMode="External"/><Relationship Id="rId121" Type="http://schemas.openxmlformats.org/officeDocument/2006/relationships/hyperlink" Target="https://docs.google.com/spreadsheets/d/1OP6nXDQgXj9h44KJfXhBSHMyejCoDfOFNYbLqEmo88Q/edit" TargetMode="External"/><Relationship Id="rId242" Type="http://schemas.openxmlformats.org/officeDocument/2006/relationships/hyperlink" Target="https://docs.google.com/spreadsheets/d/1fBBHSdaEfOT1lscHUBs7fZwYkMqueKeHmwZJbP3mfG0/edit" TargetMode="External"/><Relationship Id="rId363" Type="http://schemas.openxmlformats.org/officeDocument/2006/relationships/hyperlink" Target="https://docs.google.com/spreadsheets/d/1MXftX1MABDPF3-AwlT4TaQZFa1HXwn_TXvdt0N_o6K8/edit" TargetMode="External"/><Relationship Id="rId484" Type="http://schemas.openxmlformats.org/officeDocument/2006/relationships/hyperlink" Target="https://docs.google.com/spreadsheets/d/1m8W6PvkAyh42a3hGWg5E5WDphGKgBvRzcJgefYfNJfE/edit" TargetMode="External"/><Relationship Id="rId120" Type="http://schemas.openxmlformats.org/officeDocument/2006/relationships/hyperlink" Target="https://docs.google.com/spreadsheets/d/1OP6nXDQgXj9h44KJfXhBSHMyejCoDfOFNYbLqEmo88Q/edit" TargetMode="External"/><Relationship Id="rId241" Type="http://schemas.openxmlformats.org/officeDocument/2006/relationships/hyperlink" Target="https://docs.google.com/spreadsheets/d/1fBBHSdaEfOT1lscHUBs7fZwYkMqueKeHmwZJbP3mfG0/edit" TargetMode="External"/><Relationship Id="rId362" Type="http://schemas.openxmlformats.org/officeDocument/2006/relationships/hyperlink" Target="https://docs.google.com/spreadsheets/d/1MXftX1MABDPF3-AwlT4TaQZFa1HXwn_TXvdt0N_o6K8/edit" TargetMode="External"/><Relationship Id="rId483" Type="http://schemas.openxmlformats.org/officeDocument/2006/relationships/hyperlink" Target="https://docs.google.com/spreadsheets/d/1m8W6PvkAyh42a3hGWg5E5WDphGKgBvRzcJgefYfNJfE/edit" TargetMode="External"/><Relationship Id="rId240" Type="http://schemas.openxmlformats.org/officeDocument/2006/relationships/hyperlink" Target="https://docs.google.com/spreadsheets/d/1fBBHSdaEfOT1lscHUBs7fZwYkMqueKeHmwZJbP3mfG0/edit" TargetMode="External"/><Relationship Id="rId361" Type="http://schemas.openxmlformats.org/officeDocument/2006/relationships/hyperlink" Target="https://docs.google.com/spreadsheets/d/1MXftX1MABDPF3-AwlT4TaQZFa1HXwn_TXvdt0N_o6K8/edit" TargetMode="External"/><Relationship Id="rId482" Type="http://schemas.openxmlformats.org/officeDocument/2006/relationships/hyperlink" Target="https://docs.google.com/spreadsheets/d/1m8W6PvkAyh42a3hGWg5E5WDphGKgBvRzcJgefYfNJfE/edit" TargetMode="External"/><Relationship Id="rId360" Type="http://schemas.openxmlformats.org/officeDocument/2006/relationships/hyperlink" Target="https://docs.google.com/spreadsheets/d/1MXftX1MABDPF3-AwlT4TaQZFa1HXwn_TXvdt0N_o6K8/edit" TargetMode="External"/><Relationship Id="rId481" Type="http://schemas.openxmlformats.org/officeDocument/2006/relationships/hyperlink" Target="https://docs.google.com/spreadsheets/d/1m8W6PvkAyh42a3hGWg5E5WDphGKgBvRzcJgefYfNJfE/edit" TargetMode="External"/><Relationship Id="rId125" Type="http://schemas.openxmlformats.org/officeDocument/2006/relationships/hyperlink" Target="https://docs.google.com/spreadsheets/d/1OP6nXDQgXj9h44KJfXhBSHMyejCoDfOFNYbLqEmo88Q/edit" TargetMode="External"/><Relationship Id="rId246" Type="http://schemas.openxmlformats.org/officeDocument/2006/relationships/hyperlink" Target="https://docs.google.com/spreadsheets/d/1fBBHSdaEfOT1lscHUBs7fZwYkMqueKeHmwZJbP3mfG0/edit" TargetMode="External"/><Relationship Id="rId367" Type="http://schemas.openxmlformats.org/officeDocument/2006/relationships/hyperlink" Target="https://docs.google.com/spreadsheets/d/1MXftX1MABDPF3-AwlT4TaQZFa1HXwn_TXvdt0N_o6K8/edit" TargetMode="External"/><Relationship Id="rId488" Type="http://schemas.openxmlformats.org/officeDocument/2006/relationships/hyperlink" Target="https://docs.google.com/spreadsheets/d/1m8W6PvkAyh42a3hGWg5E5WDphGKgBvRzcJgefYfNJfE/edit" TargetMode="External"/><Relationship Id="rId124" Type="http://schemas.openxmlformats.org/officeDocument/2006/relationships/hyperlink" Target="https://docs.google.com/spreadsheets/d/1OP6nXDQgXj9h44KJfXhBSHMyejCoDfOFNYbLqEmo88Q/edit" TargetMode="External"/><Relationship Id="rId245" Type="http://schemas.openxmlformats.org/officeDocument/2006/relationships/hyperlink" Target="https://docs.google.com/spreadsheets/d/1fBBHSdaEfOT1lscHUBs7fZwYkMqueKeHmwZJbP3mfG0/edit" TargetMode="External"/><Relationship Id="rId366" Type="http://schemas.openxmlformats.org/officeDocument/2006/relationships/hyperlink" Target="https://docs.google.com/spreadsheets/d/1MXftX1MABDPF3-AwlT4TaQZFa1HXwn_TXvdt0N_o6K8/edit" TargetMode="External"/><Relationship Id="rId487" Type="http://schemas.openxmlformats.org/officeDocument/2006/relationships/hyperlink" Target="https://docs.google.com/spreadsheets/d/1m8W6PvkAyh42a3hGWg5E5WDphGKgBvRzcJgefYfNJfE/edit" TargetMode="External"/><Relationship Id="rId123" Type="http://schemas.openxmlformats.org/officeDocument/2006/relationships/hyperlink" Target="https://docs.google.com/spreadsheets/d/1OP6nXDQgXj9h44KJfXhBSHMyejCoDfOFNYbLqEmo88Q/edit" TargetMode="External"/><Relationship Id="rId244" Type="http://schemas.openxmlformats.org/officeDocument/2006/relationships/hyperlink" Target="https://docs.google.com/spreadsheets/d/1fBBHSdaEfOT1lscHUBs7fZwYkMqueKeHmwZJbP3mfG0/edit" TargetMode="External"/><Relationship Id="rId365" Type="http://schemas.openxmlformats.org/officeDocument/2006/relationships/hyperlink" Target="https://docs.google.com/spreadsheets/d/1MXftX1MABDPF3-AwlT4TaQZFa1HXwn_TXvdt0N_o6K8/edit" TargetMode="External"/><Relationship Id="rId486" Type="http://schemas.openxmlformats.org/officeDocument/2006/relationships/hyperlink" Target="https://docs.google.com/spreadsheets/d/1m8W6PvkAyh42a3hGWg5E5WDphGKgBvRzcJgefYfNJfE/edit" TargetMode="External"/><Relationship Id="rId122" Type="http://schemas.openxmlformats.org/officeDocument/2006/relationships/hyperlink" Target="https://docs.google.com/spreadsheets/d/1OP6nXDQgXj9h44KJfXhBSHMyejCoDfOFNYbLqEmo88Q/edit" TargetMode="External"/><Relationship Id="rId243" Type="http://schemas.openxmlformats.org/officeDocument/2006/relationships/hyperlink" Target="https://docs.google.com/spreadsheets/d/1fBBHSdaEfOT1lscHUBs7fZwYkMqueKeHmwZJbP3mfG0/edit" TargetMode="External"/><Relationship Id="rId364" Type="http://schemas.openxmlformats.org/officeDocument/2006/relationships/hyperlink" Target="https://docs.google.com/spreadsheets/d/1MXftX1MABDPF3-AwlT4TaQZFa1HXwn_TXvdt0N_o6K8/edit" TargetMode="External"/><Relationship Id="rId485" Type="http://schemas.openxmlformats.org/officeDocument/2006/relationships/hyperlink" Target="https://docs.google.com/spreadsheets/d/1m8W6PvkAyh42a3hGWg5E5WDphGKgBvRzcJgefYfNJfE/edit" TargetMode="External"/><Relationship Id="rId95" Type="http://schemas.openxmlformats.org/officeDocument/2006/relationships/hyperlink" Target="https://docs.google.com/spreadsheets/d/12wtup1jz9ePtnTyjwfeFMFHYblEXPQM45ZoIKwgGJc4/edit" TargetMode="External"/><Relationship Id="rId94" Type="http://schemas.openxmlformats.org/officeDocument/2006/relationships/hyperlink" Target="https://docs.google.com/spreadsheets/d/12wtup1jz9ePtnTyjwfeFMFHYblEXPQM45ZoIKwgGJc4/edit" TargetMode="External"/><Relationship Id="rId97" Type="http://schemas.openxmlformats.org/officeDocument/2006/relationships/hyperlink" Target="https://docs.google.com/spreadsheets/d/12wtup1jz9ePtnTyjwfeFMFHYblEXPQM45ZoIKwgGJc4/edit" TargetMode="External"/><Relationship Id="rId96" Type="http://schemas.openxmlformats.org/officeDocument/2006/relationships/hyperlink" Target="https://docs.google.com/spreadsheets/d/12wtup1jz9ePtnTyjwfeFMFHYblEXPQM45ZoIKwgGJc4/edit" TargetMode="External"/><Relationship Id="rId99" Type="http://schemas.openxmlformats.org/officeDocument/2006/relationships/hyperlink" Target="https://docs.google.com/spreadsheets/d/12wtup1jz9ePtnTyjwfeFMFHYblEXPQM45ZoIKwgGJc4/edit" TargetMode="External"/><Relationship Id="rId480" Type="http://schemas.openxmlformats.org/officeDocument/2006/relationships/hyperlink" Target="https://docs.google.com/spreadsheets/d/1m8W6PvkAyh42a3hGWg5E5WDphGKgBvRzcJgefYfNJfE/edit" TargetMode="External"/><Relationship Id="rId98" Type="http://schemas.openxmlformats.org/officeDocument/2006/relationships/hyperlink" Target="https://docs.google.com/spreadsheets/d/12wtup1jz9ePtnTyjwfeFMFHYblEXPQM45ZoIKwgGJc4/edit" TargetMode="External"/><Relationship Id="rId91" Type="http://schemas.openxmlformats.org/officeDocument/2006/relationships/hyperlink" Target="https://docs.google.com/spreadsheets/d/12wtup1jz9ePtnTyjwfeFMFHYblEXPQM45ZoIKwgGJc4/edit" TargetMode="External"/><Relationship Id="rId90" Type="http://schemas.openxmlformats.org/officeDocument/2006/relationships/hyperlink" Target="https://docs.google.com/spreadsheets/d/12wtup1jz9ePtnTyjwfeFMFHYblEXPQM45ZoIKwgGJc4/edit" TargetMode="External"/><Relationship Id="rId93" Type="http://schemas.openxmlformats.org/officeDocument/2006/relationships/hyperlink" Target="https://docs.google.com/spreadsheets/d/12wtup1jz9ePtnTyjwfeFMFHYblEXPQM45ZoIKwgGJc4/edit" TargetMode="External"/><Relationship Id="rId92" Type="http://schemas.openxmlformats.org/officeDocument/2006/relationships/hyperlink" Target="https://docs.google.com/spreadsheets/d/12wtup1jz9ePtnTyjwfeFMFHYblEXPQM45ZoIKwgGJc4/edit" TargetMode="External"/><Relationship Id="rId118" Type="http://schemas.openxmlformats.org/officeDocument/2006/relationships/hyperlink" Target="https://docs.google.com/spreadsheets/d/1OP6nXDQgXj9h44KJfXhBSHMyejCoDfOFNYbLqEmo88Q/edit" TargetMode="External"/><Relationship Id="rId239" Type="http://schemas.openxmlformats.org/officeDocument/2006/relationships/hyperlink" Target="https://docs.google.com/spreadsheets/d/1fBBHSdaEfOT1lscHUBs7fZwYkMqueKeHmwZJbP3mfG0/edit" TargetMode="External"/><Relationship Id="rId117" Type="http://schemas.openxmlformats.org/officeDocument/2006/relationships/hyperlink" Target="https://docs.google.com/spreadsheets/d/1OP6nXDQgXj9h44KJfXhBSHMyejCoDfOFNYbLqEmo88Q/edit" TargetMode="External"/><Relationship Id="rId238" Type="http://schemas.openxmlformats.org/officeDocument/2006/relationships/hyperlink" Target="https://docs.google.com/spreadsheets/d/1fBBHSdaEfOT1lscHUBs7fZwYkMqueKeHmwZJbP3mfG0/edit" TargetMode="External"/><Relationship Id="rId359" Type="http://schemas.openxmlformats.org/officeDocument/2006/relationships/hyperlink" Target="https://docs.google.com/spreadsheets/d/1MXftX1MABDPF3-AwlT4TaQZFa1HXwn_TXvdt0N_o6K8/edit" TargetMode="External"/><Relationship Id="rId116" Type="http://schemas.openxmlformats.org/officeDocument/2006/relationships/hyperlink" Target="https://docs.google.com/spreadsheets/d/1OP6nXDQgXj9h44KJfXhBSHMyejCoDfOFNYbLqEmo88Q/edit" TargetMode="External"/><Relationship Id="rId237" Type="http://schemas.openxmlformats.org/officeDocument/2006/relationships/hyperlink" Target="https://docs.google.com/spreadsheets/d/1fBBHSdaEfOT1lscHUBs7fZwYkMqueKeHmwZJbP3mfG0/edit" TargetMode="External"/><Relationship Id="rId358" Type="http://schemas.openxmlformats.org/officeDocument/2006/relationships/hyperlink" Target="https://docs.google.com/spreadsheets/d/1MXftX1MABDPF3-AwlT4TaQZFa1HXwn_TXvdt0N_o6K8/edit" TargetMode="External"/><Relationship Id="rId479" Type="http://schemas.openxmlformats.org/officeDocument/2006/relationships/hyperlink" Target="https://docs.google.com/spreadsheets/d/1m8W6PvkAyh42a3hGWg5E5WDphGKgBvRzcJgefYfNJfE/edit" TargetMode="External"/><Relationship Id="rId115" Type="http://schemas.openxmlformats.org/officeDocument/2006/relationships/hyperlink" Target="https://docs.google.com/spreadsheets/d/1OP6nXDQgXj9h44KJfXhBSHMyejCoDfOFNYbLqEmo88Q/edit" TargetMode="External"/><Relationship Id="rId236" Type="http://schemas.openxmlformats.org/officeDocument/2006/relationships/hyperlink" Target="https://docs.google.com/spreadsheets/d/1fBBHSdaEfOT1lscHUBs7fZwYkMqueKeHmwZJbP3mfG0/edit" TargetMode="External"/><Relationship Id="rId357" Type="http://schemas.openxmlformats.org/officeDocument/2006/relationships/hyperlink" Target="https://docs.google.com/spreadsheets/d/16yILn42B__okCx_dlEHMEfj8VMoHKxR1qANGtSc84us/edit" TargetMode="External"/><Relationship Id="rId478" Type="http://schemas.openxmlformats.org/officeDocument/2006/relationships/hyperlink" Target="https://docs.google.com/spreadsheets/d/1m8W6PvkAyh42a3hGWg5E5WDphGKgBvRzcJgefYfNJfE/edit" TargetMode="External"/><Relationship Id="rId119" Type="http://schemas.openxmlformats.org/officeDocument/2006/relationships/hyperlink" Target="https://docs.google.com/spreadsheets/d/1OP6nXDQgXj9h44KJfXhBSHMyejCoDfOFNYbLqEmo88Q/edit" TargetMode="External"/><Relationship Id="rId110" Type="http://schemas.openxmlformats.org/officeDocument/2006/relationships/hyperlink" Target="https://docs.google.com/spreadsheets/d/12wtup1jz9ePtnTyjwfeFMFHYblEXPQM45ZoIKwgGJc4/edit" TargetMode="External"/><Relationship Id="rId231" Type="http://schemas.openxmlformats.org/officeDocument/2006/relationships/hyperlink" Target="https://docs.google.com/spreadsheets/d/1_ogw_1GWrgsaPylUn5PUhstj13YZEr05uQUFTN26I58/edit" TargetMode="External"/><Relationship Id="rId352" Type="http://schemas.openxmlformats.org/officeDocument/2006/relationships/hyperlink" Target="https://docs.google.com/spreadsheets/d/16yILn42B__okCx_dlEHMEfj8VMoHKxR1qANGtSc84us/edit" TargetMode="External"/><Relationship Id="rId473" Type="http://schemas.openxmlformats.org/officeDocument/2006/relationships/hyperlink" Target="https://docs.google.com/spreadsheets/d/1m8W6PvkAyh42a3hGWg5E5WDphGKgBvRzcJgefYfNJfE/edit" TargetMode="External"/><Relationship Id="rId230" Type="http://schemas.openxmlformats.org/officeDocument/2006/relationships/hyperlink" Target="https://docs.google.com/spreadsheets/d/1_ogw_1GWrgsaPylUn5PUhstj13YZEr05uQUFTN26I58/edit" TargetMode="External"/><Relationship Id="rId351" Type="http://schemas.openxmlformats.org/officeDocument/2006/relationships/hyperlink" Target="https://docs.google.com/spreadsheets/d/16yILn42B__okCx_dlEHMEfj8VMoHKxR1qANGtSc84us/edit" TargetMode="External"/><Relationship Id="rId472" Type="http://schemas.openxmlformats.org/officeDocument/2006/relationships/hyperlink" Target="https://docs.google.com/spreadsheets/d/1m8W6PvkAyh42a3hGWg5E5WDphGKgBvRzcJgefYfNJfE/edit" TargetMode="External"/><Relationship Id="rId350" Type="http://schemas.openxmlformats.org/officeDocument/2006/relationships/hyperlink" Target="https://docs.google.com/spreadsheets/d/16yILn42B__okCx_dlEHMEfj8VMoHKxR1qANGtSc84us/edit" TargetMode="External"/><Relationship Id="rId471" Type="http://schemas.openxmlformats.org/officeDocument/2006/relationships/hyperlink" Target="https://docs.google.com/spreadsheets/d/1m8W6PvkAyh42a3hGWg5E5WDphGKgBvRzcJgefYfNJfE/edit" TargetMode="External"/><Relationship Id="rId470" Type="http://schemas.openxmlformats.org/officeDocument/2006/relationships/hyperlink" Target="https://docs.google.com/spreadsheets/d/1cVXYuHKjCgi8NxUPEEViwyhTLiK9KexzeCWIl08rEEU/edit" TargetMode="External"/><Relationship Id="rId114" Type="http://schemas.openxmlformats.org/officeDocument/2006/relationships/hyperlink" Target="https://docs.google.com/spreadsheets/d/12wtup1jz9ePtnTyjwfeFMFHYblEXPQM45ZoIKwgGJc4/edit" TargetMode="External"/><Relationship Id="rId235" Type="http://schemas.openxmlformats.org/officeDocument/2006/relationships/hyperlink" Target="https://docs.google.com/spreadsheets/d/1fBBHSdaEfOT1lscHUBs7fZwYkMqueKeHmwZJbP3mfG0/edit" TargetMode="External"/><Relationship Id="rId356" Type="http://schemas.openxmlformats.org/officeDocument/2006/relationships/hyperlink" Target="https://docs.google.com/spreadsheets/d/16yILn42B__okCx_dlEHMEfj8VMoHKxR1qANGtSc84us/edit" TargetMode="External"/><Relationship Id="rId477" Type="http://schemas.openxmlformats.org/officeDocument/2006/relationships/hyperlink" Target="https://docs.google.com/spreadsheets/d/1m8W6PvkAyh42a3hGWg5E5WDphGKgBvRzcJgefYfNJfE/edit" TargetMode="External"/><Relationship Id="rId113" Type="http://schemas.openxmlformats.org/officeDocument/2006/relationships/hyperlink" Target="https://docs.google.com/spreadsheets/d/12wtup1jz9ePtnTyjwfeFMFHYblEXPQM45ZoIKwgGJc4/edit" TargetMode="External"/><Relationship Id="rId234" Type="http://schemas.openxmlformats.org/officeDocument/2006/relationships/hyperlink" Target="https://docs.google.com/spreadsheets/d/1fBBHSdaEfOT1lscHUBs7fZwYkMqueKeHmwZJbP3mfG0/edit" TargetMode="External"/><Relationship Id="rId355" Type="http://schemas.openxmlformats.org/officeDocument/2006/relationships/hyperlink" Target="https://docs.google.com/spreadsheets/d/16yILn42B__okCx_dlEHMEfj8VMoHKxR1qANGtSc84us/edit" TargetMode="External"/><Relationship Id="rId476" Type="http://schemas.openxmlformats.org/officeDocument/2006/relationships/hyperlink" Target="https://docs.google.com/spreadsheets/d/1m8W6PvkAyh42a3hGWg5E5WDphGKgBvRzcJgefYfNJfE/edit" TargetMode="External"/><Relationship Id="rId112" Type="http://schemas.openxmlformats.org/officeDocument/2006/relationships/hyperlink" Target="https://docs.google.com/spreadsheets/d/12wtup1jz9ePtnTyjwfeFMFHYblEXPQM45ZoIKwgGJc4/edit" TargetMode="External"/><Relationship Id="rId233" Type="http://schemas.openxmlformats.org/officeDocument/2006/relationships/hyperlink" Target="https://docs.google.com/spreadsheets/d/1_ogw_1GWrgsaPylUn5PUhstj13YZEr05uQUFTN26I58/edit" TargetMode="External"/><Relationship Id="rId354" Type="http://schemas.openxmlformats.org/officeDocument/2006/relationships/hyperlink" Target="https://docs.google.com/spreadsheets/d/16yILn42B__okCx_dlEHMEfj8VMoHKxR1qANGtSc84us/edit" TargetMode="External"/><Relationship Id="rId475" Type="http://schemas.openxmlformats.org/officeDocument/2006/relationships/hyperlink" Target="https://docs.google.com/spreadsheets/d/1m8W6PvkAyh42a3hGWg5E5WDphGKgBvRzcJgefYfNJfE/edit" TargetMode="External"/><Relationship Id="rId111" Type="http://schemas.openxmlformats.org/officeDocument/2006/relationships/hyperlink" Target="https://docs.google.com/spreadsheets/d/12wtup1jz9ePtnTyjwfeFMFHYblEXPQM45ZoIKwgGJc4/edit" TargetMode="External"/><Relationship Id="rId232" Type="http://schemas.openxmlformats.org/officeDocument/2006/relationships/hyperlink" Target="https://docs.google.com/spreadsheets/d/1_ogw_1GWrgsaPylUn5PUhstj13YZEr05uQUFTN26I58/edit" TargetMode="External"/><Relationship Id="rId353" Type="http://schemas.openxmlformats.org/officeDocument/2006/relationships/hyperlink" Target="https://docs.google.com/spreadsheets/d/16yILn42B__okCx_dlEHMEfj8VMoHKxR1qANGtSc84us/edit" TargetMode="External"/><Relationship Id="rId474" Type="http://schemas.openxmlformats.org/officeDocument/2006/relationships/hyperlink" Target="https://docs.google.com/spreadsheets/d/1m8W6PvkAyh42a3hGWg5E5WDphGKgBvRzcJgefYfNJfE/edit" TargetMode="External"/><Relationship Id="rId305" Type="http://schemas.openxmlformats.org/officeDocument/2006/relationships/hyperlink" Target="https://docs.google.com/spreadsheets/d/1gh_kgcLpzw7Dz1x9jhJot4oSLVJ_k6BFMfhu2yOLZKs/edit" TargetMode="External"/><Relationship Id="rId426" Type="http://schemas.openxmlformats.org/officeDocument/2006/relationships/hyperlink" Target="https://docs.google.com/spreadsheets/d/1DCXQHpLNQHH6MU-lq6STTb0rPCU6lw-cf1S4GkUNDj0/edit" TargetMode="External"/><Relationship Id="rId304" Type="http://schemas.openxmlformats.org/officeDocument/2006/relationships/hyperlink" Target="https://docs.google.com/spreadsheets/d/1gh_kgcLpzw7Dz1x9jhJot4oSLVJ_k6BFMfhu2yOLZKs/edit" TargetMode="External"/><Relationship Id="rId425" Type="http://schemas.openxmlformats.org/officeDocument/2006/relationships/hyperlink" Target="https://docs.google.com/spreadsheets/d/1DCXQHpLNQHH6MU-lq6STTb0rPCU6lw-cf1S4GkUNDj0/edit" TargetMode="External"/><Relationship Id="rId303" Type="http://schemas.openxmlformats.org/officeDocument/2006/relationships/hyperlink" Target="https://docs.google.com/spreadsheets/d/1gh_kgcLpzw7Dz1x9jhJot4oSLVJ_k6BFMfhu2yOLZKs/edit" TargetMode="External"/><Relationship Id="rId424" Type="http://schemas.openxmlformats.org/officeDocument/2006/relationships/hyperlink" Target="https://docs.google.com/spreadsheets/d/1DCXQHpLNQHH6MU-lq6STTb0rPCU6lw-cf1S4GkUNDj0/edit" TargetMode="External"/><Relationship Id="rId302" Type="http://schemas.openxmlformats.org/officeDocument/2006/relationships/hyperlink" Target="https://docs.google.com/spreadsheets/d/1gh_kgcLpzw7Dz1x9jhJot4oSLVJ_k6BFMfhu2yOLZKs/edit" TargetMode="External"/><Relationship Id="rId423" Type="http://schemas.openxmlformats.org/officeDocument/2006/relationships/hyperlink" Target="https://docs.google.com/spreadsheets/d/1DCXQHpLNQHH6MU-lq6STTb0rPCU6lw-cf1S4GkUNDj0/edit" TargetMode="External"/><Relationship Id="rId309" Type="http://schemas.openxmlformats.org/officeDocument/2006/relationships/hyperlink" Target="https://docs.google.com/spreadsheets/d/1ik2RHdg7QnFqT0bWOdk-Q8Oy_ur__9wQSzRs44xriyo/edit" TargetMode="External"/><Relationship Id="rId308" Type="http://schemas.openxmlformats.org/officeDocument/2006/relationships/hyperlink" Target="https://docs.google.com/spreadsheets/d/1ik2RHdg7QnFqT0bWOdk-Q8Oy_ur__9wQSzRs44xriyo/edit" TargetMode="External"/><Relationship Id="rId429" Type="http://schemas.openxmlformats.org/officeDocument/2006/relationships/hyperlink" Target="https://docs.google.com/spreadsheets/d/1DCXQHpLNQHH6MU-lq6STTb0rPCU6lw-cf1S4GkUNDj0/edit" TargetMode="External"/><Relationship Id="rId307" Type="http://schemas.openxmlformats.org/officeDocument/2006/relationships/hyperlink" Target="https://docs.google.com/spreadsheets/d/1ik2RHdg7QnFqT0bWOdk-Q8Oy_ur__9wQSzRs44xriyo/edit" TargetMode="External"/><Relationship Id="rId428" Type="http://schemas.openxmlformats.org/officeDocument/2006/relationships/hyperlink" Target="https://docs.google.com/spreadsheets/d/1DCXQHpLNQHH6MU-lq6STTb0rPCU6lw-cf1S4GkUNDj0/edit" TargetMode="External"/><Relationship Id="rId306" Type="http://schemas.openxmlformats.org/officeDocument/2006/relationships/hyperlink" Target="https://docs.google.com/spreadsheets/d/10G0GbVRLGeHQnrydXRr2Ljy6tHXpOhy21JHCUB2KO9w/edit" TargetMode="External"/><Relationship Id="rId427" Type="http://schemas.openxmlformats.org/officeDocument/2006/relationships/hyperlink" Target="https://docs.google.com/spreadsheets/d/1DCXQHpLNQHH6MU-lq6STTb0rPCU6lw-cf1S4GkUNDj0/edit" TargetMode="External"/><Relationship Id="rId301" Type="http://schemas.openxmlformats.org/officeDocument/2006/relationships/hyperlink" Target="https://docs.google.com/spreadsheets/d/1gh_kgcLpzw7Dz1x9jhJot4oSLVJ_k6BFMfhu2yOLZKs/edit" TargetMode="External"/><Relationship Id="rId422" Type="http://schemas.openxmlformats.org/officeDocument/2006/relationships/hyperlink" Target="https://docs.google.com/spreadsheets/d/1DCXQHpLNQHH6MU-lq6STTb0rPCU6lw-cf1S4GkUNDj0/edit" TargetMode="External"/><Relationship Id="rId300" Type="http://schemas.openxmlformats.org/officeDocument/2006/relationships/hyperlink" Target="https://docs.google.com/spreadsheets/d/1gh_kgcLpzw7Dz1x9jhJot4oSLVJ_k6BFMfhu2yOLZKs/edit" TargetMode="External"/><Relationship Id="rId421" Type="http://schemas.openxmlformats.org/officeDocument/2006/relationships/hyperlink" Target="https://docs.google.com/spreadsheets/d/1DCXQHpLNQHH6MU-lq6STTb0rPCU6lw-cf1S4GkUNDj0/edit" TargetMode="External"/><Relationship Id="rId420" Type="http://schemas.openxmlformats.org/officeDocument/2006/relationships/hyperlink" Target="https://docs.google.com/spreadsheets/d/1DCXQHpLNQHH6MU-lq6STTb0rPCU6lw-cf1S4GkUNDj0/edit" TargetMode="External"/><Relationship Id="rId415" Type="http://schemas.openxmlformats.org/officeDocument/2006/relationships/hyperlink" Target="https://docs.google.com/spreadsheets/d/1DCXQHpLNQHH6MU-lq6STTb0rPCU6lw-cf1S4GkUNDj0/edit" TargetMode="External"/><Relationship Id="rId414" Type="http://schemas.openxmlformats.org/officeDocument/2006/relationships/hyperlink" Target="https://docs.google.com/spreadsheets/d/1WYGYY9uQ0LNPTQKkfdZkAMp8cg-SGJhof5v8d6_99WU/edit" TargetMode="External"/><Relationship Id="rId413" Type="http://schemas.openxmlformats.org/officeDocument/2006/relationships/hyperlink" Target="https://docs.google.com/spreadsheets/d/1WYGYY9uQ0LNPTQKkfdZkAMp8cg-SGJhof5v8d6_99WU/edit" TargetMode="External"/><Relationship Id="rId412" Type="http://schemas.openxmlformats.org/officeDocument/2006/relationships/hyperlink" Target="https://docs.google.com/spreadsheets/d/1WYGYY9uQ0LNPTQKkfdZkAMp8cg-SGJhof5v8d6_99WU/edit" TargetMode="External"/><Relationship Id="rId419" Type="http://schemas.openxmlformats.org/officeDocument/2006/relationships/hyperlink" Target="https://docs.google.com/spreadsheets/d/1DCXQHpLNQHH6MU-lq6STTb0rPCU6lw-cf1S4GkUNDj0/edit" TargetMode="External"/><Relationship Id="rId418" Type="http://schemas.openxmlformats.org/officeDocument/2006/relationships/hyperlink" Target="https://docs.google.com/spreadsheets/d/1DCXQHpLNQHH6MU-lq6STTb0rPCU6lw-cf1S4GkUNDj0/edit" TargetMode="External"/><Relationship Id="rId417" Type="http://schemas.openxmlformats.org/officeDocument/2006/relationships/hyperlink" Target="https://docs.google.com/spreadsheets/d/1DCXQHpLNQHH6MU-lq6STTb0rPCU6lw-cf1S4GkUNDj0/edit" TargetMode="External"/><Relationship Id="rId416" Type="http://schemas.openxmlformats.org/officeDocument/2006/relationships/hyperlink" Target="https://docs.google.com/spreadsheets/d/1DCXQHpLNQHH6MU-lq6STTb0rPCU6lw-cf1S4GkUNDj0/edit" TargetMode="External"/><Relationship Id="rId411" Type="http://schemas.openxmlformats.org/officeDocument/2006/relationships/hyperlink" Target="https://docs.google.com/spreadsheets/d/1WYGYY9uQ0LNPTQKkfdZkAMp8cg-SGJhof5v8d6_99WU/edit" TargetMode="External"/><Relationship Id="rId410" Type="http://schemas.openxmlformats.org/officeDocument/2006/relationships/hyperlink" Target="https://docs.google.com/spreadsheets/d/1WYGYY9uQ0LNPTQKkfdZkAMp8cg-SGJhof5v8d6_99WU/edit" TargetMode="External"/><Relationship Id="rId206" Type="http://schemas.openxmlformats.org/officeDocument/2006/relationships/hyperlink" Target="https://docs.google.com/spreadsheets/d/18P4A5hHL8p7DNC9rv-L_EjkSCwXPc5I0vMR-9QWc-70/edit" TargetMode="External"/><Relationship Id="rId327" Type="http://schemas.openxmlformats.org/officeDocument/2006/relationships/hyperlink" Target="https://docs.google.com/spreadsheets/d/1gN3Kx3rFejat9MOO00xL5OUnYfJFNpdTmjphjKPF930/edit" TargetMode="External"/><Relationship Id="rId448" Type="http://schemas.openxmlformats.org/officeDocument/2006/relationships/hyperlink" Target="https://docs.google.com/spreadsheets/d/1_2kzlEAtxjpoWLOftpsQOYPAvPz7CTi35RcrYZ-AkVE/edit" TargetMode="External"/><Relationship Id="rId205" Type="http://schemas.openxmlformats.org/officeDocument/2006/relationships/hyperlink" Target="https://docs.google.com/spreadsheets/d/18P4A5hHL8p7DNC9rv-L_EjkSCwXPc5I0vMR-9QWc-70/edit" TargetMode="External"/><Relationship Id="rId326" Type="http://schemas.openxmlformats.org/officeDocument/2006/relationships/hyperlink" Target="https://docs.google.com/spreadsheets/d/1gN3Kx3rFejat9MOO00xL5OUnYfJFNpdTmjphjKPF930/edit" TargetMode="External"/><Relationship Id="rId447" Type="http://schemas.openxmlformats.org/officeDocument/2006/relationships/hyperlink" Target="https://docs.google.com/spreadsheets/d/1_2kzlEAtxjpoWLOftpsQOYPAvPz7CTi35RcrYZ-AkVE/edit" TargetMode="External"/><Relationship Id="rId204" Type="http://schemas.openxmlformats.org/officeDocument/2006/relationships/hyperlink" Target="https://docs.google.com/spreadsheets/d/18P4A5hHL8p7DNC9rv-L_EjkSCwXPc5I0vMR-9QWc-70/edit" TargetMode="External"/><Relationship Id="rId325" Type="http://schemas.openxmlformats.org/officeDocument/2006/relationships/hyperlink" Target="https://docs.google.com/spreadsheets/d/1gN3Kx3rFejat9MOO00xL5OUnYfJFNpdTmjphjKPF930/edit" TargetMode="External"/><Relationship Id="rId446" Type="http://schemas.openxmlformats.org/officeDocument/2006/relationships/hyperlink" Target="https://docs.google.com/spreadsheets/d/1_2kzlEAtxjpoWLOftpsQOYPAvPz7CTi35RcrYZ-AkVE/edit" TargetMode="External"/><Relationship Id="rId203" Type="http://schemas.openxmlformats.org/officeDocument/2006/relationships/hyperlink" Target="https://docs.google.com/spreadsheets/d/18P4A5hHL8p7DNC9rv-L_EjkSCwXPc5I0vMR-9QWc-70/edit" TargetMode="External"/><Relationship Id="rId324" Type="http://schemas.openxmlformats.org/officeDocument/2006/relationships/hyperlink" Target="https://docs.google.com/spreadsheets/d/1gN3Kx3rFejat9MOO00xL5OUnYfJFNpdTmjphjKPF930/edit" TargetMode="External"/><Relationship Id="rId445" Type="http://schemas.openxmlformats.org/officeDocument/2006/relationships/hyperlink" Target="https://docs.google.com/spreadsheets/d/1_2kzlEAtxjpoWLOftpsQOYPAvPz7CTi35RcrYZ-AkVE/edit" TargetMode="External"/><Relationship Id="rId209" Type="http://schemas.openxmlformats.org/officeDocument/2006/relationships/hyperlink" Target="https://docs.google.com/spreadsheets/d/16kunet9cul4f0mAk8cXWFJKHj5axtFYdthI8LtSvPys/edit" TargetMode="External"/><Relationship Id="rId208" Type="http://schemas.openxmlformats.org/officeDocument/2006/relationships/hyperlink" Target="https://docs.google.com/spreadsheets/d/16kunet9cul4f0mAk8cXWFJKHj5axtFYdthI8LtSvPys/edit" TargetMode="External"/><Relationship Id="rId329" Type="http://schemas.openxmlformats.org/officeDocument/2006/relationships/hyperlink" Target="https://docs.google.com/spreadsheets/d/1gN3Kx3rFejat9MOO00xL5OUnYfJFNpdTmjphjKPF930/edit" TargetMode="External"/><Relationship Id="rId207" Type="http://schemas.openxmlformats.org/officeDocument/2006/relationships/hyperlink" Target="https://docs.google.com/spreadsheets/d/18P4A5hHL8p7DNC9rv-L_EjkSCwXPc5I0vMR-9QWc-70/edit" TargetMode="External"/><Relationship Id="rId328" Type="http://schemas.openxmlformats.org/officeDocument/2006/relationships/hyperlink" Target="https://docs.google.com/spreadsheets/d/1gN3Kx3rFejat9MOO00xL5OUnYfJFNpdTmjphjKPF930/edit" TargetMode="External"/><Relationship Id="rId449" Type="http://schemas.openxmlformats.org/officeDocument/2006/relationships/hyperlink" Target="https://docs.google.com/spreadsheets/d/1_2kzlEAtxjpoWLOftpsQOYPAvPz7CTi35RcrYZ-AkVE/edit" TargetMode="External"/><Relationship Id="rId440" Type="http://schemas.openxmlformats.org/officeDocument/2006/relationships/hyperlink" Target="https://docs.google.com/spreadsheets/d/1_2kzlEAtxjpoWLOftpsQOYPAvPz7CTi35RcrYZ-AkVE/edit" TargetMode="External"/><Relationship Id="rId202" Type="http://schemas.openxmlformats.org/officeDocument/2006/relationships/hyperlink" Target="https://docs.google.com/spreadsheets/d/18P4A5hHL8p7DNC9rv-L_EjkSCwXPc5I0vMR-9QWc-70/edit" TargetMode="External"/><Relationship Id="rId323" Type="http://schemas.openxmlformats.org/officeDocument/2006/relationships/hyperlink" Target="https://docs.google.com/spreadsheets/d/1gN3Kx3rFejat9MOO00xL5OUnYfJFNpdTmjphjKPF930/edit" TargetMode="External"/><Relationship Id="rId444" Type="http://schemas.openxmlformats.org/officeDocument/2006/relationships/hyperlink" Target="https://docs.google.com/spreadsheets/d/1_2kzlEAtxjpoWLOftpsQOYPAvPz7CTi35RcrYZ-AkVE/edit" TargetMode="External"/><Relationship Id="rId201" Type="http://schemas.openxmlformats.org/officeDocument/2006/relationships/hyperlink" Target="https://docs.google.com/spreadsheets/d/18P4A5hHL8p7DNC9rv-L_EjkSCwXPc5I0vMR-9QWc-70/edit" TargetMode="External"/><Relationship Id="rId322" Type="http://schemas.openxmlformats.org/officeDocument/2006/relationships/hyperlink" Target="https://docs.google.com/spreadsheets/d/1ik2RHdg7QnFqT0bWOdk-Q8Oy_ur__9wQSzRs44xriyo/edit" TargetMode="External"/><Relationship Id="rId443" Type="http://schemas.openxmlformats.org/officeDocument/2006/relationships/hyperlink" Target="https://docs.google.com/spreadsheets/d/1_2kzlEAtxjpoWLOftpsQOYPAvPz7CTi35RcrYZ-AkVE/edit" TargetMode="External"/><Relationship Id="rId200" Type="http://schemas.openxmlformats.org/officeDocument/2006/relationships/hyperlink" Target="https://docs.google.com/spreadsheets/d/18P4A5hHL8p7DNC9rv-L_EjkSCwXPc5I0vMR-9QWc-70/edit" TargetMode="External"/><Relationship Id="rId321" Type="http://schemas.openxmlformats.org/officeDocument/2006/relationships/hyperlink" Target="https://docs.google.com/spreadsheets/d/1ik2RHdg7QnFqT0bWOdk-Q8Oy_ur__9wQSzRs44xriyo/edit" TargetMode="External"/><Relationship Id="rId442" Type="http://schemas.openxmlformats.org/officeDocument/2006/relationships/hyperlink" Target="https://docs.google.com/spreadsheets/d/1_2kzlEAtxjpoWLOftpsQOYPAvPz7CTi35RcrYZ-AkVE/edit" TargetMode="External"/><Relationship Id="rId320" Type="http://schemas.openxmlformats.org/officeDocument/2006/relationships/hyperlink" Target="https://docs.google.com/spreadsheets/d/1ik2RHdg7QnFqT0bWOdk-Q8Oy_ur__9wQSzRs44xriyo/edit" TargetMode="External"/><Relationship Id="rId441" Type="http://schemas.openxmlformats.org/officeDocument/2006/relationships/hyperlink" Target="https://docs.google.com/spreadsheets/d/1_2kzlEAtxjpoWLOftpsQOYPAvPz7CTi35RcrYZ-AkVE/edit" TargetMode="External"/><Relationship Id="rId316" Type="http://schemas.openxmlformats.org/officeDocument/2006/relationships/hyperlink" Target="https://docs.google.com/spreadsheets/d/1ik2RHdg7QnFqT0bWOdk-Q8Oy_ur__9wQSzRs44xriyo/edit" TargetMode="External"/><Relationship Id="rId437" Type="http://schemas.openxmlformats.org/officeDocument/2006/relationships/hyperlink" Target="https://docs.google.com/spreadsheets/d/1_2kzlEAtxjpoWLOftpsQOYPAvPz7CTi35RcrYZ-AkVE/edit" TargetMode="External"/><Relationship Id="rId315" Type="http://schemas.openxmlformats.org/officeDocument/2006/relationships/hyperlink" Target="https://docs.google.com/spreadsheets/d/1ik2RHdg7QnFqT0bWOdk-Q8Oy_ur__9wQSzRs44xriyo/edit" TargetMode="External"/><Relationship Id="rId436" Type="http://schemas.openxmlformats.org/officeDocument/2006/relationships/hyperlink" Target="https://docs.google.com/spreadsheets/d/1_2kzlEAtxjpoWLOftpsQOYPAvPz7CTi35RcrYZ-AkVE/edit" TargetMode="External"/><Relationship Id="rId314" Type="http://schemas.openxmlformats.org/officeDocument/2006/relationships/hyperlink" Target="https://docs.google.com/spreadsheets/d/1ik2RHdg7QnFqT0bWOdk-Q8Oy_ur__9wQSzRs44xriyo/edit" TargetMode="External"/><Relationship Id="rId435" Type="http://schemas.openxmlformats.org/officeDocument/2006/relationships/hyperlink" Target="https://docs.google.com/spreadsheets/d/1_2kzlEAtxjpoWLOftpsQOYPAvPz7CTi35RcrYZ-AkVE/edit" TargetMode="External"/><Relationship Id="rId313" Type="http://schemas.openxmlformats.org/officeDocument/2006/relationships/hyperlink" Target="https://docs.google.com/spreadsheets/d/1ik2RHdg7QnFqT0bWOdk-Q8Oy_ur__9wQSzRs44xriyo/edit" TargetMode="External"/><Relationship Id="rId434" Type="http://schemas.openxmlformats.org/officeDocument/2006/relationships/hyperlink" Target="https://docs.google.com/spreadsheets/d/1DCXQHpLNQHH6MU-lq6STTb0rPCU6lw-cf1S4GkUNDj0/edit" TargetMode="External"/><Relationship Id="rId319" Type="http://schemas.openxmlformats.org/officeDocument/2006/relationships/hyperlink" Target="https://docs.google.com/spreadsheets/d/1ik2RHdg7QnFqT0bWOdk-Q8Oy_ur__9wQSzRs44xriyo/edit" TargetMode="External"/><Relationship Id="rId318" Type="http://schemas.openxmlformats.org/officeDocument/2006/relationships/hyperlink" Target="https://docs.google.com/spreadsheets/d/1ik2RHdg7QnFqT0bWOdk-Q8Oy_ur__9wQSzRs44xriyo/edit" TargetMode="External"/><Relationship Id="rId439" Type="http://schemas.openxmlformats.org/officeDocument/2006/relationships/hyperlink" Target="https://docs.google.com/spreadsheets/d/1_2kzlEAtxjpoWLOftpsQOYPAvPz7CTi35RcrYZ-AkVE/edit" TargetMode="External"/><Relationship Id="rId317" Type="http://schemas.openxmlformats.org/officeDocument/2006/relationships/hyperlink" Target="https://docs.google.com/spreadsheets/d/1ik2RHdg7QnFqT0bWOdk-Q8Oy_ur__9wQSzRs44xriyo/edit" TargetMode="External"/><Relationship Id="rId438" Type="http://schemas.openxmlformats.org/officeDocument/2006/relationships/hyperlink" Target="https://docs.google.com/spreadsheets/d/1_2kzlEAtxjpoWLOftpsQOYPAvPz7CTi35RcrYZ-AkVE/edit" TargetMode="External"/><Relationship Id="rId312" Type="http://schemas.openxmlformats.org/officeDocument/2006/relationships/hyperlink" Target="https://docs.google.com/spreadsheets/d/1ik2RHdg7QnFqT0bWOdk-Q8Oy_ur__9wQSzRs44xriyo/edit" TargetMode="External"/><Relationship Id="rId433" Type="http://schemas.openxmlformats.org/officeDocument/2006/relationships/hyperlink" Target="https://docs.google.com/spreadsheets/d/1DCXQHpLNQHH6MU-lq6STTb0rPCU6lw-cf1S4GkUNDj0/edit" TargetMode="External"/><Relationship Id="rId311" Type="http://schemas.openxmlformats.org/officeDocument/2006/relationships/hyperlink" Target="https://docs.google.com/spreadsheets/d/1ik2RHdg7QnFqT0bWOdk-Q8Oy_ur__9wQSzRs44xriyo/edit" TargetMode="External"/><Relationship Id="rId432" Type="http://schemas.openxmlformats.org/officeDocument/2006/relationships/hyperlink" Target="https://docs.google.com/spreadsheets/d/1DCXQHpLNQHH6MU-lq6STTb0rPCU6lw-cf1S4GkUNDj0/edit" TargetMode="External"/><Relationship Id="rId310" Type="http://schemas.openxmlformats.org/officeDocument/2006/relationships/hyperlink" Target="https://docs.google.com/spreadsheets/d/1ik2RHdg7QnFqT0bWOdk-Q8Oy_ur__9wQSzRs44xriyo/edit" TargetMode="External"/><Relationship Id="rId431" Type="http://schemas.openxmlformats.org/officeDocument/2006/relationships/hyperlink" Target="https://docs.google.com/spreadsheets/d/1DCXQHpLNQHH6MU-lq6STTb0rPCU6lw-cf1S4GkUNDj0/edit" TargetMode="External"/><Relationship Id="rId430" Type="http://schemas.openxmlformats.org/officeDocument/2006/relationships/hyperlink" Target="https://docs.google.com/spreadsheets/d/1DCXQHpLNQHH6MU-lq6STTb0rPCU6lw-cf1S4GkUNDj0/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yc5sPtxmBAMeUKBtHQJNdKm43WWYUV45O-PTcQ1C41Y/edit" TargetMode="External"/><Relationship Id="rId2" Type="http://schemas.openxmlformats.org/officeDocument/2006/relationships/hyperlink" Target="https://docs.google.com/spreadsheets/d/1yc5sPtxmBAMeUKBtHQJNdKm43WWYUV45O-PTcQ1C41Y/edit" TargetMode="External"/><Relationship Id="rId3" Type="http://schemas.openxmlformats.org/officeDocument/2006/relationships/hyperlink" Target="https://docs.google.com/spreadsheets/d/1yc5sPtxmBAMeUKBtHQJNdKm43WWYUV45O-PTcQ1C41Y/edit" TargetMode="External"/><Relationship Id="rId4" Type="http://schemas.openxmlformats.org/officeDocument/2006/relationships/hyperlink" Target="https://docs.google.com/spreadsheets/d/1yc5sPtxmBAMeUKBtHQJNdKm43WWYUV45O-PTcQ1C41Y/edit" TargetMode="External"/><Relationship Id="rId9" Type="http://schemas.openxmlformats.org/officeDocument/2006/relationships/hyperlink" Target="https://docs.google.com/spreadsheets/d/1yc5sPtxmBAMeUKBtHQJNdKm43WWYUV45O-PTcQ1C41Y/edit" TargetMode="External"/><Relationship Id="rId5" Type="http://schemas.openxmlformats.org/officeDocument/2006/relationships/hyperlink" Target="https://docs.google.com/spreadsheets/d/1yc5sPtxmBAMeUKBtHQJNdKm43WWYUV45O-PTcQ1C41Y/edit" TargetMode="External"/><Relationship Id="rId6" Type="http://schemas.openxmlformats.org/officeDocument/2006/relationships/hyperlink" Target="https://docs.google.com/spreadsheets/d/1yc5sPtxmBAMeUKBtHQJNdKm43WWYUV45O-PTcQ1C41Y/edit" TargetMode="External"/><Relationship Id="rId7" Type="http://schemas.openxmlformats.org/officeDocument/2006/relationships/hyperlink" Target="https://docs.google.com/spreadsheets/d/1yc5sPtxmBAMeUKBtHQJNdKm43WWYUV45O-PTcQ1C41Y/edit" TargetMode="External"/><Relationship Id="rId8" Type="http://schemas.openxmlformats.org/officeDocument/2006/relationships/hyperlink" Target="https://docs.google.com/spreadsheets/d/1yc5sPtxmBAMeUKBtHQJNdKm43WWYUV45O-PTcQ1C41Y/edit" TargetMode="External"/><Relationship Id="rId40" Type="http://schemas.openxmlformats.org/officeDocument/2006/relationships/hyperlink" Target="https://docs.google.com/spreadsheets/d/1A_rFxZwkA3zJx21NeAoH7qXkx3VYp4jUy82P55ExKFY" TargetMode="External"/><Relationship Id="rId42" Type="http://schemas.openxmlformats.org/officeDocument/2006/relationships/hyperlink" Target="https://docs.google.com/spreadsheets/d/1EKp-7y3aNG1kTG2BQ9GKChnZ6b4DMUtDQkLuPdmZ-Mw/edit" TargetMode="External"/><Relationship Id="rId41" Type="http://schemas.openxmlformats.org/officeDocument/2006/relationships/hyperlink" Target="https://docs.google.com/spreadsheets/d/1EKp-7y3aNG1kTG2BQ9GKChnZ6b4DMUtDQkLuPdmZ-Mw/edit" TargetMode="External"/><Relationship Id="rId44" Type="http://schemas.openxmlformats.org/officeDocument/2006/relationships/hyperlink" Target="https://docs.google.com/spreadsheets/d/1qZ2glDh3oQ0_wyxbvasIhTIBcdi9X94vT_ULxkDvzG8/edit" TargetMode="External"/><Relationship Id="rId43" Type="http://schemas.openxmlformats.org/officeDocument/2006/relationships/hyperlink" Target="https://docs.google.com/spreadsheets/d/1EKp-7y3aNG1kTG2BQ9GKChnZ6b4DMUtDQkLuPdmZ-Mw/edit" TargetMode="External"/><Relationship Id="rId46" Type="http://schemas.openxmlformats.org/officeDocument/2006/relationships/hyperlink" Target="https://docs.google.com/spreadsheets/d/1qZ2glDh3oQ0_wyxbvasIhTIBcdi9X94vT_ULxkDvzG8/edit" TargetMode="External"/><Relationship Id="rId45" Type="http://schemas.openxmlformats.org/officeDocument/2006/relationships/hyperlink" Target="https://docs.google.com/spreadsheets/d/1qZ2glDh3oQ0_wyxbvasIhTIBcdi9X94vT_ULxkDvzG8/edit" TargetMode="External"/><Relationship Id="rId48" Type="http://schemas.openxmlformats.org/officeDocument/2006/relationships/hyperlink" Target="https://docs.google.com/spreadsheets/d/1qZ2glDh3oQ0_wyxbvasIhTIBcdi9X94vT_ULxkDvzG8/edit" TargetMode="External"/><Relationship Id="rId47" Type="http://schemas.openxmlformats.org/officeDocument/2006/relationships/hyperlink" Target="https://docs.google.com/spreadsheets/d/1qZ2glDh3oQ0_wyxbvasIhTIBcdi9X94vT_ULxkDvzG8/edit" TargetMode="External"/><Relationship Id="rId49" Type="http://schemas.openxmlformats.org/officeDocument/2006/relationships/hyperlink" Target="https://docs.google.com/spreadsheets/d/1qZ2glDh3oQ0_wyxbvasIhTIBcdi9X94vT_ULxkDvzG8/edit" TargetMode="External"/><Relationship Id="rId31" Type="http://schemas.openxmlformats.org/officeDocument/2006/relationships/hyperlink" Target="https://docs.google.com/spreadsheets/d/13BhbxmiKBzUi_FK3p1u50iFMwK8p6hhw80Toiz9AY2U/edit" TargetMode="External"/><Relationship Id="rId30" Type="http://schemas.openxmlformats.org/officeDocument/2006/relationships/hyperlink" Target="https://docs.google.com/spreadsheets/d/13BhbxmiKBzUi_FK3p1u50iFMwK8p6hhw80Toiz9AY2U/edit" TargetMode="External"/><Relationship Id="rId33" Type="http://schemas.openxmlformats.org/officeDocument/2006/relationships/hyperlink" Target="https://docs.google.com/spreadsheets/d/13BhbxmiKBzUi_FK3p1u50iFMwK8p6hhw80Toiz9AY2U/edit" TargetMode="External"/><Relationship Id="rId32" Type="http://schemas.openxmlformats.org/officeDocument/2006/relationships/hyperlink" Target="https://docs.google.com/spreadsheets/d/1ufBDY9glOouwDeubS9f92TanoOj0fHb9ihxJORkLPrY/edit" TargetMode="External"/><Relationship Id="rId35" Type="http://schemas.openxmlformats.org/officeDocument/2006/relationships/hyperlink" Target="https://docs.google.com/spreadsheets/d/1A_rFxZwkA3zJx21NeAoH7qXkx3VYp4jUy82P55ExKFY" TargetMode="External"/><Relationship Id="rId34" Type="http://schemas.openxmlformats.org/officeDocument/2006/relationships/hyperlink" Target="https://docs.google.com/spreadsheets/d/1A_rFxZwkA3zJx21NeAoH7qXkx3VYp4jUy82P55ExKFY" TargetMode="External"/><Relationship Id="rId37" Type="http://schemas.openxmlformats.org/officeDocument/2006/relationships/hyperlink" Target="https://docs.google.com/spreadsheets/d/1A_rFxZwkA3zJx21NeAoH7qXkx3VYp4jUy82P55ExKFY" TargetMode="External"/><Relationship Id="rId36" Type="http://schemas.openxmlformats.org/officeDocument/2006/relationships/hyperlink" Target="https://docs.google.com/spreadsheets/d/1A_rFxZwkA3zJx21NeAoH7qXkx3VYp4jUy82P55ExKFY" TargetMode="External"/><Relationship Id="rId39" Type="http://schemas.openxmlformats.org/officeDocument/2006/relationships/hyperlink" Target="https://docs.google.com/spreadsheets/d/1A_rFxZwkA3zJx21NeAoH7qXkx3VYp4jUy82P55ExKFY" TargetMode="External"/><Relationship Id="rId38" Type="http://schemas.openxmlformats.org/officeDocument/2006/relationships/hyperlink" Target="https://docs.google.com/spreadsheets/d/1A_rFxZwkA3zJx21NeAoH7qXkx3VYp4jUy82P55ExKFY" TargetMode="External"/><Relationship Id="rId20" Type="http://schemas.openxmlformats.org/officeDocument/2006/relationships/hyperlink" Target="https://docs.google.com/spreadsheets/d/13BhbxmiKBzUi_FK3p1u50iFMwK8p6hhw80Toiz9AY2U/edit" TargetMode="External"/><Relationship Id="rId22" Type="http://schemas.openxmlformats.org/officeDocument/2006/relationships/hyperlink" Target="https://docs.google.com/spreadsheets/d/13BhbxmiKBzUi_FK3p1u50iFMwK8p6hhw80Toiz9AY2U/edit" TargetMode="External"/><Relationship Id="rId21" Type="http://schemas.openxmlformats.org/officeDocument/2006/relationships/hyperlink" Target="https://docs.google.com/spreadsheets/d/13BhbxmiKBzUi_FK3p1u50iFMwK8p6hhw80Toiz9AY2U/edit" TargetMode="External"/><Relationship Id="rId24" Type="http://schemas.openxmlformats.org/officeDocument/2006/relationships/hyperlink" Target="https://docs.google.com/spreadsheets/d/13BhbxmiKBzUi_FK3p1u50iFMwK8p6hhw80Toiz9AY2U/edit" TargetMode="External"/><Relationship Id="rId23" Type="http://schemas.openxmlformats.org/officeDocument/2006/relationships/hyperlink" Target="https://docs.google.com/spreadsheets/d/13BhbxmiKBzUi_FK3p1u50iFMwK8p6hhw80Toiz9AY2U/edit" TargetMode="External"/><Relationship Id="rId26" Type="http://schemas.openxmlformats.org/officeDocument/2006/relationships/hyperlink" Target="https://docs.google.com/spreadsheets/d/13BhbxmiKBzUi_FK3p1u50iFMwK8p6hhw80Toiz9AY2U/edit" TargetMode="External"/><Relationship Id="rId25" Type="http://schemas.openxmlformats.org/officeDocument/2006/relationships/hyperlink" Target="https://docs.google.com/spreadsheets/d/13BhbxmiKBzUi_FK3p1u50iFMwK8p6hhw80Toiz9AY2U/edit" TargetMode="External"/><Relationship Id="rId28" Type="http://schemas.openxmlformats.org/officeDocument/2006/relationships/hyperlink" Target="https://docs.google.com/spreadsheets/d/13BhbxmiKBzUi_FK3p1u50iFMwK8p6hhw80Toiz9AY2U/edit" TargetMode="External"/><Relationship Id="rId27" Type="http://schemas.openxmlformats.org/officeDocument/2006/relationships/hyperlink" Target="https://docs.google.com/spreadsheets/d/13BhbxmiKBzUi_FK3p1u50iFMwK8p6hhw80Toiz9AY2U/edit" TargetMode="External"/><Relationship Id="rId29" Type="http://schemas.openxmlformats.org/officeDocument/2006/relationships/hyperlink" Target="https://docs.google.com/spreadsheets/d/13BhbxmiKBzUi_FK3p1u50iFMwK8p6hhw80Toiz9AY2U/edit" TargetMode="External"/><Relationship Id="rId11" Type="http://schemas.openxmlformats.org/officeDocument/2006/relationships/hyperlink" Target="https://docs.google.com/spreadsheets/d/1yc5sPtxmBAMeUKBtHQJNdKm43WWYUV45O-PTcQ1C41Y/edit" TargetMode="External"/><Relationship Id="rId10" Type="http://schemas.openxmlformats.org/officeDocument/2006/relationships/hyperlink" Target="https://docs.google.com/spreadsheets/d/1yc5sPtxmBAMeUKBtHQJNdKm43WWYUV45O-PTcQ1C41Y/edit" TargetMode="External"/><Relationship Id="rId13" Type="http://schemas.openxmlformats.org/officeDocument/2006/relationships/hyperlink" Target="https://docs.google.com/spreadsheets/d/1yc5sPtxmBAMeUKBtHQJNdKm43WWYUV45O-PTcQ1C41Y/edit" TargetMode="External"/><Relationship Id="rId12" Type="http://schemas.openxmlformats.org/officeDocument/2006/relationships/hyperlink" Target="https://docs.google.com/spreadsheets/d/1yc5sPtxmBAMeUKBtHQJNdKm43WWYUV45O-PTcQ1C41Y/edit" TargetMode="External"/><Relationship Id="rId15" Type="http://schemas.openxmlformats.org/officeDocument/2006/relationships/hyperlink" Target="https://docs.google.com/spreadsheets/d/1yc5sPtxmBAMeUKBtHQJNdKm43WWYUV45O-PTcQ1C41Y/edit" TargetMode="External"/><Relationship Id="rId14" Type="http://schemas.openxmlformats.org/officeDocument/2006/relationships/hyperlink" Target="https://docs.google.com/spreadsheets/d/1yc5sPtxmBAMeUKBtHQJNdKm43WWYUV45O-PTcQ1C41Y/edit" TargetMode="External"/><Relationship Id="rId17" Type="http://schemas.openxmlformats.org/officeDocument/2006/relationships/hyperlink" Target="https://docs.google.com/spreadsheets/d/1yc5sPtxmBAMeUKBtHQJNdKm43WWYUV45O-PTcQ1C41Y/edit" TargetMode="External"/><Relationship Id="rId16" Type="http://schemas.openxmlformats.org/officeDocument/2006/relationships/hyperlink" Target="https://docs.google.com/spreadsheets/d/1Oz40bnbhzhIh_q-yzuK6NMDX45J5bjmD3HbhPrHc_AY/edit" TargetMode="External"/><Relationship Id="rId19" Type="http://schemas.openxmlformats.org/officeDocument/2006/relationships/hyperlink" Target="https://docs.google.com/spreadsheets/d/1Oz40bnbhzhIh_q-yzuK6NMDX45J5bjmD3HbhPrHc_AY/edit" TargetMode="External"/><Relationship Id="rId18" Type="http://schemas.openxmlformats.org/officeDocument/2006/relationships/hyperlink" Target="https://docs.google.com/spreadsheets/d/1yc5sPtxmBAMeUKBtHQJNdKm43WWYUV45O-PTcQ1C41Y/edit" TargetMode="External"/><Relationship Id="rId83" Type="http://schemas.openxmlformats.org/officeDocument/2006/relationships/drawing" Target="../drawings/drawing20.xml"/><Relationship Id="rId80" Type="http://schemas.openxmlformats.org/officeDocument/2006/relationships/hyperlink" Target="https://docs.google.com/spreadsheets/d/1Gi_yJqS7kmM4Io--MuuXI2_qdkf3ZHCaH9z6MZZIEJY/edit" TargetMode="External"/><Relationship Id="rId82" Type="http://schemas.openxmlformats.org/officeDocument/2006/relationships/hyperlink" Target="https://docs.google.com/spreadsheets/d/1Gi_yJqS7kmM4Io--MuuXI2_qdkf3ZHCaH9z6MZZIEJY/edit" TargetMode="External"/><Relationship Id="rId81" Type="http://schemas.openxmlformats.org/officeDocument/2006/relationships/hyperlink" Target="https://docs.google.com/spreadsheets/d/1Gi_yJqS7kmM4Io--MuuXI2_qdkf3ZHCaH9z6MZZIEJY/edit" TargetMode="External"/><Relationship Id="rId73" Type="http://schemas.openxmlformats.org/officeDocument/2006/relationships/hyperlink" Target="https://docs.google.com/spreadsheets/d/1-bnXUP_i5nS0z-k0HhX2VhIWM84t4QX_faxY21phEKQ/edit" TargetMode="External"/><Relationship Id="rId72" Type="http://schemas.openxmlformats.org/officeDocument/2006/relationships/hyperlink" Target="https://docs.google.com/spreadsheets/d/1-bnXUP_i5nS0z-k0HhX2VhIWM84t4QX_faxY21phEKQ/edit" TargetMode="External"/><Relationship Id="rId75" Type="http://schemas.openxmlformats.org/officeDocument/2006/relationships/hyperlink" Target="https://docs.google.com/spreadsheets/d/1-bnXUP_i5nS0z-k0HhX2VhIWM84t4QX_faxY21phEKQ/edit" TargetMode="External"/><Relationship Id="rId74" Type="http://schemas.openxmlformats.org/officeDocument/2006/relationships/hyperlink" Target="https://docs.google.com/spreadsheets/d/1-bnXUP_i5nS0z-k0HhX2VhIWM84t4QX_faxY21phEKQ/edit" TargetMode="External"/><Relationship Id="rId77" Type="http://schemas.openxmlformats.org/officeDocument/2006/relationships/hyperlink" Target="https://docs.google.com/spreadsheets/d/1-bnXUP_i5nS0z-k0HhX2VhIWM84t4QX_faxY21phEKQ/edit" TargetMode="External"/><Relationship Id="rId76" Type="http://schemas.openxmlformats.org/officeDocument/2006/relationships/hyperlink" Target="https://docs.google.com/spreadsheets/d/1-bnXUP_i5nS0z-k0HhX2VhIWM84t4QX_faxY21phEKQ/edit" TargetMode="External"/><Relationship Id="rId79" Type="http://schemas.openxmlformats.org/officeDocument/2006/relationships/hyperlink" Target="https://docs.google.com/spreadsheets/d/1Gi_yJqS7kmM4Io--MuuXI2_qdkf3ZHCaH9z6MZZIEJY/edit" TargetMode="External"/><Relationship Id="rId78" Type="http://schemas.openxmlformats.org/officeDocument/2006/relationships/hyperlink" Target="https://docs.google.com/spreadsheets/d/1-bnXUP_i5nS0z-k0HhX2VhIWM84t4QX_faxY21phEKQ/edit" TargetMode="External"/><Relationship Id="rId71" Type="http://schemas.openxmlformats.org/officeDocument/2006/relationships/hyperlink" Target="https://docs.google.com/spreadsheets/d/1-bnXUP_i5nS0z-k0HhX2VhIWM84t4QX_faxY21phEKQ/edit" TargetMode="External"/><Relationship Id="rId70" Type="http://schemas.openxmlformats.org/officeDocument/2006/relationships/hyperlink" Target="https://docs.google.com/spreadsheets/d/1-bnXUP_i5nS0z-k0HhX2VhIWM84t4QX_faxY21phEKQ/edit" TargetMode="External"/><Relationship Id="rId62" Type="http://schemas.openxmlformats.org/officeDocument/2006/relationships/hyperlink" Target="https://docs.google.com/spreadsheets/d/1cFQxZbwjtcT10iNn1OqsONJAbqiEt9yCFdpa-YuBOSU/edit" TargetMode="External"/><Relationship Id="rId61" Type="http://schemas.openxmlformats.org/officeDocument/2006/relationships/hyperlink" Target="https://docs.google.com/spreadsheets/d/1cFQxZbwjtcT10iNn1OqsONJAbqiEt9yCFdpa-YuBOSU/edit" TargetMode="External"/><Relationship Id="rId64" Type="http://schemas.openxmlformats.org/officeDocument/2006/relationships/hyperlink" Target="https://docs.google.com/spreadsheets/d/1cFQxZbwjtcT10iNn1OqsONJAbqiEt9yCFdpa-YuBOSU/edit" TargetMode="External"/><Relationship Id="rId63" Type="http://schemas.openxmlformats.org/officeDocument/2006/relationships/hyperlink" Target="https://docs.google.com/spreadsheets/d/1cFQxZbwjtcT10iNn1OqsONJAbqiEt9yCFdpa-YuBOSU/edit" TargetMode="External"/><Relationship Id="rId66" Type="http://schemas.openxmlformats.org/officeDocument/2006/relationships/hyperlink" Target="https://docs.google.com/spreadsheets/d/1cFQxZbwjtcT10iNn1OqsONJAbqiEt9yCFdpa-YuBOSU/edit" TargetMode="External"/><Relationship Id="rId65" Type="http://schemas.openxmlformats.org/officeDocument/2006/relationships/hyperlink" Target="https://docs.google.com/spreadsheets/d/1cFQxZbwjtcT10iNn1OqsONJAbqiEt9yCFdpa-YuBOSU/edit" TargetMode="External"/><Relationship Id="rId68" Type="http://schemas.openxmlformats.org/officeDocument/2006/relationships/hyperlink" Target="https://docs.google.com/spreadsheets/d/11tBh9KS7LKlBIVgz9yuDP5ODqF70xAUSQasYTT_Fjoo/edit" TargetMode="External"/><Relationship Id="rId67" Type="http://schemas.openxmlformats.org/officeDocument/2006/relationships/hyperlink" Target="https://docs.google.com/spreadsheets/d/11tBh9KS7LKlBIVgz9yuDP5ODqF70xAUSQasYTT_Fjoo/edit" TargetMode="External"/><Relationship Id="rId60" Type="http://schemas.openxmlformats.org/officeDocument/2006/relationships/hyperlink" Target="https://docs.google.com/spreadsheets/d/1cFQxZbwjtcT10iNn1OqsONJAbqiEt9yCFdpa-YuBOSU/edit" TargetMode="External"/><Relationship Id="rId69" Type="http://schemas.openxmlformats.org/officeDocument/2006/relationships/hyperlink" Target="https://docs.google.com/spreadsheets/d/11tBh9KS7LKlBIVgz9yuDP5ODqF70xAUSQasYTT_Fjoo/edit" TargetMode="External"/><Relationship Id="rId51" Type="http://schemas.openxmlformats.org/officeDocument/2006/relationships/hyperlink" Target="https://docs.google.com/spreadsheets/d/1c7w2w7EVMFbuT7aHr6H9NZ6-GKERp-WeaGW2KDz5mwE/edit" TargetMode="External"/><Relationship Id="rId50" Type="http://schemas.openxmlformats.org/officeDocument/2006/relationships/hyperlink" Target="https://docs.google.com/spreadsheets/d/1c7w2w7EVMFbuT7aHr6H9NZ6-GKERp-WeaGW2KDz5mwE/edit" TargetMode="External"/><Relationship Id="rId53" Type="http://schemas.openxmlformats.org/officeDocument/2006/relationships/hyperlink" Target="https://docs.google.com/spreadsheets/d/1WllmdOgNRVhWePPxfx2lwXLRujaM4iDauRGXCVIzatM/edit" TargetMode="External"/><Relationship Id="rId52" Type="http://schemas.openxmlformats.org/officeDocument/2006/relationships/hyperlink" Target="https://docs.google.com/spreadsheets/d/1c7w2w7EVMFbuT7aHr6H9NZ6-GKERp-WeaGW2KDz5mwE/edit" TargetMode="External"/><Relationship Id="rId55" Type="http://schemas.openxmlformats.org/officeDocument/2006/relationships/hyperlink" Target="https://docs.google.com/spreadsheets/d/1Xl8HsoajdBJ_OGQfYzKfZKub3LkY7nA9bfTBnLeRImg/edit" TargetMode="External"/><Relationship Id="rId54" Type="http://schemas.openxmlformats.org/officeDocument/2006/relationships/hyperlink" Target="https://docs.google.com/spreadsheets/d/1WllmdOgNRVhWePPxfx2lwXLRujaM4iDauRGXCVIzatM/edit" TargetMode="External"/><Relationship Id="rId57" Type="http://schemas.openxmlformats.org/officeDocument/2006/relationships/hyperlink" Target="https://docs.google.com/spreadsheets/d/1ZKwgq2-t3VnUvO2e2urBqF0JX7hPOppTQEb8kapseEw/edit" TargetMode="External"/><Relationship Id="rId56" Type="http://schemas.openxmlformats.org/officeDocument/2006/relationships/hyperlink" Target="https://docs.google.com/spreadsheets/d/1Xl8HsoajdBJ_OGQfYzKfZKub3LkY7nA9bfTBnLeRImg/edit" TargetMode="External"/><Relationship Id="rId59" Type="http://schemas.openxmlformats.org/officeDocument/2006/relationships/hyperlink" Target="https://docs.google.com/spreadsheets/d/1ZKwgq2-t3VnUvO2e2urBqF0JX7hPOppTQEb8kapseEw/edit" TargetMode="External"/><Relationship Id="rId58" Type="http://schemas.openxmlformats.org/officeDocument/2006/relationships/hyperlink" Target="https://docs.google.com/spreadsheets/d/1ZKwgq2-t3VnUvO2e2urBqF0JX7hPOppTQEb8kapseEw/edit" TargetMode="External"/></Relationships>
</file>

<file path=xl/worksheets/_rels/sheet21.xml.rels><?xml version="1.0" encoding="UTF-8" standalone="yes"?><Relationships xmlns="http://schemas.openxmlformats.org/package/2006/relationships"><Relationship Id="rId190" Type="http://schemas.openxmlformats.org/officeDocument/2006/relationships/hyperlink" Target="https://docs.google.com/spreadsheets/d/1UGNvsb7OwSlATLEVkIc7oApQ1zMaFGvKu0GxuFEHRX0/edit" TargetMode="External"/><Relationship Id="rId194" Type="http://schemas.openxmlformats.org/officeDocument/2006/relationships/hyperlink" Target="https://docs.google.com/spreadsheets/d/1UGNvsb7OwSlATLEVkIc7oApQ1zMaFGvKu0GxuFEHRX0/edit" TargetMode="External"/><Relationship Id="rId193" Type="http://schemas.openxmlformats.org/officeDocument/2006/relationships/hyperlink" Target="https://docs.google.com/spreadsheets/d/1UGNvsb7OwSlATLEVkIc7oApQ1zMaFGvKu0GxuFEHRX0/edit" TargetMode="External"/><Relationship Id="rId192" Type="http://schemas.openxmlformats.org/officeDocument/2006/relationships/hyperlink" Target="https://docs.google.com/spreadsheets/d/1UGNvsb7OwSlATLEVkIc7oApQ1zMaFGvKu0GxuFEHRX0/edit" TargetMode="External"/><Relationship Id="rId191" Type="http://schemas.openxmlformats.org/officeDocument/2006/relationships/hyperlink" Target="https://docs.google.com/spreadsheets/d/1UGNvsb7OwSlATLEVkIc7oApQ1zMaFGvKu0GxuFEHRX0/edit" TargetMode="External"/><Relationship Id="rId187" Type="http://schemas.openxmlformats.org/officeDocument/2006/relationships/hyperlink" Target="https://docs.google.com/spreadsheets/d/1UGNvsb7OwSlATLEVkIc7oApQ1zMaFGvKu0GxuFEHRX0/edit" TargetMode="External"/><Relationship Id="rId186" Type="http://schemas.openxmlformats.org/officeDocument/2006/relationships/hyperlink" Target="https://docs.google.com/spreadsheets/d/1UGNvsb7OwSlATLEVkIc7oApQ1zMaFGvKu0GxuFEHRX0/edit" TargetMode="External"/><Relationship Id="rId185" Type="http://schemas.openxmlformats.org/officeDocument/2006/relationships/hyperlink" Target="https://docs.google.com/spreadsheets/d/1UGNvsb7OwSlATLEVkIc7oApQ1zMaFGvKu0GxuFEHRX0/edit" TargetMode="External"/><Relationship Id="rId184" Type="http://schemas.openxmlformats.org/officeDocument/2006/relationships/hyperlink" Target="https://docs.google.com/spreadsheets/d/1UGNvsb7OwSlATLEVkIc7oApQ1zMaFGvKu0GxuFEHRX0/edit" TargetMode="External"/><Relationship Id="rId189" Type="http://schemas.openxmlformats.org/officeDocument/2006/relationships/hyperlink" Target="https://docs.google.com/spreadsheets/d/1UGNvsb7OwSlATLEVkIc7oApQ1zMaFGvKu0GxuFEHRX0/edit" TargetMode="External"/><Relationship Id="rId188" Type="http://schemas.openxmlformats.org/officeDocument/2006/relationships/hyperlink" Target="https://docs.google.com/spreadsheets/d/1UGNvsb7OwSlATLEVkIc7oApQ1zMaFGvKu0GxuFEHRX0/edit" TargetMode="External"/><Relationship Id="rId183" Type="http://schemas.openxmlformats.org/officeDocument/2006/relationships/hyperlink" Target="https://docs.google.com/spreadsheets/d/1UGNvsb7OwSlATLEVkIc7oApQ1zMaFGvKu0GxuFEHRX0/edit" TargetMode="External"/><Relationship Id="rId182" Type="http://schemas.openxmlformats.org/officeDocument/2006/relationships/hyperlink" Target="https://docs.google.com/spreadsheets/d/1UGNvsb7OwSlATLEVkIc7oApQ1zMaFGvKu0GxuFEHRX0/edit" TargetMode="External"/><Relationship Id="rId181" Type="http://schemas.openxmlformats.org/officeDocument/2006/relationships/hyperlink" Target="https://docs.google.com/spreadsheets/d/1UGNvsb7OwSlATLEVkIc7oApQ1zMaFGvKu0GxuFEHRX0/edit" TargetMode="External"/><Relationship Id="rId180" Type="http://schemas.openxmlformats.org/officeDocument/2006/relationships/hyperlink" Target="https://docs.google.com/spreadsheets/d/10GzAT8HHR-slTQT_Os-3e-jmu9V_RvSDQzGQxLD13XE/edit" TargetMode="External"/><Relationship Id="rId176" Type="http://schemas.openxmlformats.org/officeDocument/2006/relationships/hyperlink" Target="https://docs.google.com/spreadsheets/d/15Ls9T9uHku7nGb88syZGji7fd-Ad27-WbM2qA9zGipw/edit" TargetMode="External"/><Relationship Id="rId175" Type="http://schemas.openxmlformats.org/officeDocument/2006/relationships/hyperlink" Target="https://docs.google.com/spreadsheets/d/15Ls9T9uHku7nGb88syZGji7fd-Ad27-WbM2qA9zGipw/edit" TargetMode="External"/><Relationship Id="rId174" Type="http://schemas.openxmlformats.org/officeDocument/2006/relationships/hyperlink" Target="https://docs.google.com/spreadsheets/d/15Ls9T9uHku7nGb88syZGji7fd-Ad27-WbM2qA9zGipw/edit" TargetMode="External"/><Relationship Id="rId173" Type="http://schemas.openxmlformats.org/officeDocument/2006/relationships/hyperlink" Target="https://docs.google.com/spreadsheets/d/15Ls9T9uHku7nGb88syZGji7fd-Ad27-WbM2qA9zGipw/edit" TargetMode="External"/><Relationship Id="rId179" Type="http://schemas.openxmlformats.org/officeDocument/2006/relationships/hyperlink" Target="https://docs.google.com/spreadsheets/d/15Ls9T9uHku7nGb88syZGji7fd-Ad27-WbM2qA9zGipw/edit" TargetMode="External"/><Relationship Id="rId178" Type="http://schemas.openxmlformats.org/officeDocument/2006/relationships/hyperlink" Target="https://docs.google.com/spreadsheets/d/15Ls9T9uHku7nGb88syZGji7fd-Ad27-WbM2qA9zGipw/edit" TargetMode="External"/><Relationship Id="rId177" Type="http://schemas.openxmlformats.org/officeDocument/2006/relationships/hyperlink" Target="https://docs.google.com/spreadsheets/d/15Ls9T9uHku7nGb88syZGji7fd-Ad27-WbM2qA9zGipw/edit" TargetMode="External"/><Relationship Id="rId198" Type="http://schemas.openxmlformats.org/officeDocument/2006/relationships/hyperlink" Target="https://docs.google.com/spreadsheets/d/1UGNvsb7OwSlATLEVkIc7oApQ1zMaFGvKu0GxuFEHRX0/edit" TargetMode="External"/><Relationship Id="rId197" Type="http://schemas.openxmlformats.org/officeDocument/2006/relationships/hyperlink" Target="https://docs.google.com/spreadsheets/d/1UGNvsb7OwSlATLEVkIc7oApQ1zMaFGvKu0GxuFEHRX0/edit" TargetMode="External"/><Relationship Id="rId196" Type="http://schemas.openxmlformats.org/officeDocument/2006/relationships/hyperlink" Target="https://docs.google.com/spreadsheets/d/1UGNvsb7OwSlATLEVkIc7oApQ1zMaFGvKu0GxuFEHRX0/edit" TargetMode="External"/><Relationship Id="rId195" Type="http://schemas.openxmlformats.org/officeDocument/2006/relationships/hyperlink" Target="https://docs.google.com/spreadsheets/d/1UGNvsb7OwSlATLEVkIc7oApQ1zMaFGvKu0GxuFEHRX0/edit" TargetMode="External"/><Relationship Id="rId199" Type="http://schemas.openxmlformats.org/officeDocument/2006/relationships/hyperlink" Target="https://docs.google.com/spreadsheets/d/1UGNvsb7OwSlATLEVkIc7oApQ1zMaFGvKu0GxuFEHRX0/edit" TargetMode="External"/><Relationship Id="rId150" Type="http://schemas.openxmlformats.org/officeDocument/2006/relationships/hyperlink" Target="https://docs.google.com/spreadsheets/d/1qICoAZMn43DQRnqonPbcoUu5TgYZ75nqySWzynJDbDw/edit" TargetMode="External"/><Relationship Id="rId271" Type="http://schemas.openxmlformats.org/officeDocument/2006/relationships/hyperlink" Target="https://docs.google.com/spreadsheets/d/1RpJ9Mr9vSCmLUo3uC4l6bpg8tL6zXglTbjv5tZwGPE0/edit" TargetMode="External"/><Relationship Id="rId270" Type="http://schemas.openxmlformats.org/officeDocument/2006/relationships/hyperlink" Target="https://docs.google.com/spreadsheets/d/1RpJ9Mr9vSCmLUo3uC4l6bpg8tL6zXglTbjv5tZwGPE0/edit" TargetMode="External"/><Relationship Id="rId1" Type="http://schemas.openxmlformats.org/officeDocument/2006/relationships/hyperlink" Target="https://docs.google.com/spreadsheets/d/1otSbZefdjf5WilSTzDciN3vnSMZEmt5WzHEygoNS6Gw/edit" TargetMode="External"/><Relationship Id="rId2" Type="http://schemas.openxmlformats.org/officeDocument/2006/relationships/hyperlink" Target="https://docs.google.com/spreadsheets/d/1otSbZefdjf5WilSTzDciN3vnSMZEmt5WzHEygoNS6Gw/edit" TargetMode="External"/><Relationship Id="rId3" Type="http://schemas.openxmlformats.org/officeDocument/2006/relationships/hyperlink" Target="https://docs.google.com/spreadsheets/d/1otSbZefdjf5WilSTzDciN3vnSMZEmt5WzHEygoNS6Gw/edit" TargetMode="External"/><Relationship Id="rId149" Type="http://schemas.openxmlformats.org/officeDocument/2006/relationships/hyperlink" Target="https://docs.google.com/spreadsheets/d/1qICoAZMn43DQRnqonPbcoUu5TgYZ75nqySWzynJDbDw/edit" TargetMode="External"/><Relationship Id="rId4" Type="http://schemas.openxmlformats.org/officeDocument/2006/relationships/hyperlink" Target="https://docs.google.com/spreadsheets/d/1otSbZefdjf5WilSTzDciN3vnSMZEmt5WzHEygoNS6Gw/edit" TargetMode="External"/><Relationship Id="rId148" Type="http://schemas.openxmlformats.org/officeDocument/2006/relationships/hyperlink" Target="https://docs.google.com/spreadsheets/d/1qICoAZMn43DQRnqonPbcoUu5TgYZ75nqySWzynJDbDw/edit" TargetMode="External"/><Relationship Id="rId269" Type="http://schemas.openxmlformats.org/officeDocument/2006/relationships/hyperlink" Target="https://docs.google.com/spreadsheets/d/1RpJ9Mr9vSCmLUo3uC4l6bpg8tL6zXglTbjv5tZwGPE0/edit" TargetMode="External"/><Relationship Id="rId9" Type="http://schemas.openxmlformats.org/officeDocument/2006/relationships/hyperlink" Target="https://docs.google.com/spreadsheets/d/1otSbZefdjf5WilSTzDciN3vnSMZEmt5WzHEygoNS6Gw/edit" TargetMode="External"/><Relationship Id="rId143" Type="http://schemas.openxmlformats.org/officeDocument/2006/relationships/hyperlink" Target="https://docs.google.com/spreadsheets/d/1qICoAZMn43DQRnqonPbcoUu5TgYZ75nqySWzynJDbDw/edit" TargetMode="External"/><Relationship Id="rId264" Type="http://schemas.openxmlformats.org/officeDocument/2006/relationships/hyperlink" Target="https://docs.google.com/spreadsheets/d/1R1ne1EgNDR4zYCGSuyjU4yCIElwnGnpVQCPnhOLHCGg/edit" TargetMode="External"/><Relationship Id="rId142" Type="http://schemas.openxmlformats.org/officeDocument/2006/relationships/hyperlink" Target="https://docs.google.com/spreadsheets/d/1qICoAZMn43DQRnqonPbcoUu5TgYZ75nqySWzynJDbDw/edit" TargetMode="External"/><Relationship Id="rId263" Type="http://schemas.openxmlformats.org/officeDocument/2006/relationships/hyperlink" Target="https://docs.google.com/spreadsheets/d/1R1ne1EgNDR4zYCGSuyjU4yCIElwnGnpVQCPnhOLHCGg/edit" TargetMode="External"/><Relationship Id="rId141" Type="http://schemas.openxmlformats.org/officeDocument/2006/relationships/hyperlink" Target="https://docs.google.com/spreadsheets/d/1ssQyXnFJnZybVZGh0O2TYKbm9ngypqFbAtXVo6RFP08/edit" TargetMode="External"/><Relationship Id="rId262" Type="http://schemas.openxmlformats.org/officeDocument/2006/relationships/hyperlink" Target="https://docs.google.com/spreadsheets/d/1R1ne1EgNDR4zYCGSuyjU4yCIElwnGnpVQCPnhOLHCGg/edit" TargetMode="External"/><Relationship Id="rId140" Type="http://schemas.openxmlformats.org/officeDocument/2006/relationships/hyperlink" Target="https://docs.google.com/spreadsheets/d/1ssQyXnFJnZybVZGh0O2TYKbm9ngypqFbAtXVo6RFP08/edit" TargetMode="External"/><Relationship Id="rId261" Type="http://schemas.openxmlformats.org/officeDocument/2006/relationships/hyperlink" Target="https://docs.google.com/spreadsheets/d/1R1ne1EgNDR4zYCGSuyjU4yCIElwnGnpVQCPnhOLHCGg/edit" TargetMode="External"/><Relationship Id="rId5" Type="http://schemas.openxmlformats.org/officeDocument/2006/relationships/hyperlink" Target="https://docs.google.com/spreadsheets/d/1otSbZefdjf5WilSTzDciN3vnSMZEmt5WzHEygoNS6Gw/edit" TargetMode="External"/><Relationship Id="rId147" Type="http://schemas.openxmlformats.org/officeDocument/2006/relationships/hyperlink" Target="https://docs.google.com/spreadsheets/d/1qICoAZMn43DQRnqonPbcoUu5TgYZ75nqySWzynJDbDw/edit" TargetMode="External"/><Relationship Id="rId268" Type="http://schemas.openxmlformats.org/officeDocument/2006/relationships/hyperlink" Target="https://docs.google.com/spreadsheets/d/1RpJ9Mr9vSCmLUo3uC4l6bpg8tL6zXglTbjv5tZwGPE0/edit" TargetMode="External"/><Relationship Id="rId6" Type="http://schemas.openxmlformats.org/officeDocument/2006/relationships/hyperlink" Target="https://docs.google.com/spreadsheets/d/1otSbZefdjf5WilSTzDciN3vnSMZEmt5WzHEygoNS6Gw/edit" TargetMode="External"/><Relationship Id="rId146" Type="http://schemas.openxmlformats.org/officeDocument/2006/relationships/hyperlink" Target="https://docs.google.com/spreadsheets/d/1qICoAZMn43DQRnqonPbcoUu5TgYZ75nqySWzynJDbDw/edit" TargetMode="External"/><Relationship Id="rId267" Type="http://schemas.openxmlformats.org/officeDocument/2006/relationships/hyperlink" Target="https://docs.google.com/spreadsheets/d/1RpJ9Mr9vSCmLUo3uC4l6bpg8tL6zXglTbjv5tZwGPE0/edit" TargetMode="External"/><Relationship Id="rId7" Type="http://schemas.openxmlformats.org/officeDocument/2006/relationships/hyperlink" Target="https://docs.google.com/spreadsheets/d/1otSbZefdjf5WilSTzDciN3vnSMZEmt5WzHEygoNS6Gw/edit" TargetMode="External"/><Relationship Id="rId145" Type="http://schemas.openxmlformats.org/officeDocument/2006/relationships/hyperlink" Target="https://docs.google.com/spreadsheets/d/1qICoAZMn43DQRnqonPbcoUu5TgYZ75nqySWzynJDbDw/edit" TargetMode="External"/><Relationship Id="rId266" Type="http://schemas.openxmlformats.org/officeDocument/2006/relationships/hyperlink" Target="https://docs.google.com/spreadsheets/d/1RpJ9Mr9vSCmLUo3uC4l6bpg8tL6zXglTbjv5tZwGPE0/edit" TargetMode="External"/><Relationship Id="rId8" Type="http://schemas.openxmlformats.org/officeDocument/2006/relationships/hyperlink" Target="https://docs.google.com/spreadsheets/d/1otSbZefdjf5WilSTzDciN3vnSMZEmt5WzHEygoNS6Gw/edit" TargetMode="External"/><Relationship Id="rId144" Type="http://schemas.openxmlformats.org/officeDocument/2006/relationships/hyperlink" Target="https://docs.google.com/spreadsheets/d/1qICoAZMn43DQRnqonPbcoUu5TgYZ75nqySWzynJDbDw/edit" TargetMode="External"/><Relationship Id="rId265" Type="http://schemas.openxmlformats.org/officeDocument/2006/relationships/hyperlink" Target="https://docs.google.com/spreadsheets/d/1RpJ9Mr9vSCmLUo3uC4l6bpg8tL6zXglTbjv5tZwGPE0/edit" TargetMode="External"/><Relationship Id="rId260" Type="http://schemas.openxmlformats.org/officeDocument/2006/relationships/hyperlink" Target="https://docs.google.com/spreadsheets/d/1R1ne1EgNDR4zYCGSuyjU4yCIElwnGnpVQCPnhOLHCGg/edit" TargetMode="External"/><Relationship Id="rId139" Type="http://schemas.openxmlformats.org/officeDocument/2006/relationships/hyperlink" Target="https://docs.google.com/spreadsheets/d/1ssQyXnFJnZybVZGh0O2TYKbm9ngypqFbAtXVo6RFP08/edit" TargetMode="External"/><Relationship Id="rId138" Type="http://schemas.openxmlformats.org/officeDocument/2006/relationships/hyperlink" Target="https://docs.google.com/spreadsheets/d/1ssQyXnFJnZybVZGh0O2TYKbm9ngypqFbAtXVo6RFP08/edit" TargetMode="External"/><Relationship Id="rId259" Type="http://schemas.openxmlformats.org/officeDocument/2006/relationships/hyperlink" Target="https://docs.google.com/spreadsheets/d/1R1ne1EgNDR4zYCGSuyjU4yCIElwnGnpVQCPnhOLHCGg/edit" TargetMode="External"/><Relationship Id="rId137" Type="http://schemas.openxmlformats.org/officeDocument/2006/relationships/hyperlink" Target="https://docs.google.com/spreadsheets/d/1ssQyXnFJnZybVZGh0O2TYKbm9ngypqFbAtXVo6RFP08/edit" TargetMode="External"/><Relationship Id="rId258" Type="http://schemas.openxmlformats.org/officeDocument/2006/relationships/hyperlink" Target="https://docs.google.com/spreadsheets/d/1R1ne1EgNDR4zYCGSuyjU4yCIElwnGnpVQCPnhOLHCGg/edit" TargetMode="External"/><Relationship Id="rId132" Type="http://schemas.openxmlformats.org/officeDocument/2006/relationships/hyperlink" Target="https://docs.google.com/spreadsheets/d/1ssQyXnFJnZybVZGh0O2TYKbm9ngypqFbAtXVo6RFP08/edit" TargetMode="External"/><Relationship Id="rId253" Type="http://schemas.openxmlformats.org/officeDocument/2006/relationships/hyperlink" Target="https://docs.google.com/spreadsheets/d/1R1ne1EgNDR4zYCGSuyjU4yCIElwnGnpVQCPnhOLHCGg/edit" TargetMode="External"/><Relationship Id="rId131" Type="http://schemas.openxmlformats.org/officeDocument/2006/relationships/hyperlink" Target="https://docs.google.com/spreadsheets/d/1ssQyXnFJnZybVZGh0O2TYKbm9ngypqFbAtXVo6RFP08/edit" TargetMode="External"/><Relationship Id="rId252" Type="http://schemas.openxmlformats.org/officeDocument/2006/relationships/hyperlink" Target="https://docs.google.com/spreadsheets/d/1R1ne1EgNDR4zYCGSuyjU4yCIElwnGnpVQCPnhOLHCGg/edit" TargetMode="External"/><Relationship Id="rId130" Type="http://schemas.openxmlformats.org/officeDocument/2006/relationships/hyperlink" Target="https://docs.google.com/spreadsheets/d/1ssQyXnFJnZybVZGh0O2TYKbm9ngypqFbAtXVo6RFP08/edit" TargetMode="External"/><Relationship Id="rId251" Type="http://schemas.openxmlformats.org/officeDocument/2006/relationships/hyperlink" Target="https://docs.google.com/spreadsheets/d/1R1ne1EgNDR4zYCGSuyjU4yCIElwnGnpVQCPnhOLHCGg/edit" TargetMode="External"/><Relationship Id="rId250" Type="http://schemas.openxmlformats.org/officeDocument/2006/relationships/hyperlink" Target="https://docs.google.com/spreadsheets/d/1R1ne1EgNDR4zYCGSuyjU4yCIElwnGnpVQCPnhOLHCGg/edit" TargetMode="External"/><Relationship Id="rId136" Type="http://schemas.openxmlformats.org/officeDocument/2006/relationships/hyperlink" Target="https://docs.google.com/spreadsheets/d/1ssQyXnFJnZybVZGh0O2TYKbm9ngypqFbAtXVo6RFP08/edit" TargetMode="External"/><Relationship Id="rId257" Type="http://schemas.openxmlformats.org/officeDocument/2006/relationships/hyperlink" Target="https://docs.google.com/spreadsheets/d/1R1ne1EgNDR4zYCGSuyjU4yCIElwnGnpVQCPnhOLHCGg/edit" TargetMode="External"/><Relationship Id="rId135" Type="http://schemas.openxmlformats.org/officeDocument/2006/relationships/hyperlink" Target="https://docs.google.com/spreadsheets/d/1ssQyXnFJnZybVZGh0O2TYKbm9ngypqFbAtXVo6RFP08/edit" TargetMode="External"/><Relationship Id="rId256" Type="http://schemas.openxmlformats.org/officeDocument/2006/relationships/hyperlink" Target="https://docs.google.com/spreadsheets/d/1R1ne1EgNDR4zYCGSuyjU4yCIElwnGnpVQCPnhOLHCGg/edit" TargetMode="External"/><Relationship Id="rId134" Type="http://schemas.openxmlformats.org/officeDocument/2006/relationships/hyperlink" Target="https://docs.google.com/spreadsheets/d/1ssQyXnFJnZybVZGh0O2TYKbm9ngypqFbAtXVo6RFP08/edit" TargetMode="External"/><Relationship Id="rId255" Type="http://schemas.openxmlformats.org/officeDocument/2006/relationships/hyperlink" Target="https://docs.google.com/spreadsheets/d/1R1ne1EgNDR4zYCGSuyjU4yCIElwnGnpVQCPnhOLHCGg/edit" TargetMode="External"/><Relationship Id="rId133" Type="http://schemas.openxmlformats.org/officeDocument/2006/relationships/hyperlink" Target="https://docs.google.com/spreadsheets/d/1ssQyXnFJnZybVZGh0O2TYKbm9ngypqFbAtXVo6RFP08/edit" TargetMode="External"/><Relationship Id="rId254" Type="http://schemas.openxmlformats.org/officeDocument/2006/relationships/hyperlink" Target="https://docs.google.com/spreadsheets/d/1GmdL6BiZ2TvSExZpboo2D9rp-vamDUkVFihjFSAgO2Y/edit" TargetMode="External"/><Relationship Id="rId172" Type="http://schemas.openxmlformats.org/officeDocument/2006/relationships/hyperlink" Target="https://docs.google.com/spreadsheets/d/15Ls9T9uHku7nGb88syZGji7fd-Ad27-WbM2qA9zGipw/edit" TargetMode="External"/><Relationship Id="rId171" Type="http://schemas.openxmlformats.org/officeDocument/2006/relationships/hyperlink" Target="https://docs.google.com/spreadsheets/d/15Ls9T9uHku7nGb88syZGji7fd-Ad27-WbM2qA9zGipw/edit" TargetMode="External"/><Relationship Id="rId170" Type="http://schemas.openxmlformats.org/officeDocument/2006/relationships/hyperlink" Target="https://docs.google.com/spreadsheets/d/15Ls9T9uHku7nGb88syZGji7fd-Ad27-WbM2qA9zGipw/edit" TargetMode="External"/><Relationship Id="rId165" Type="http://schemas.openxmlformats.org/officeDocument/2006/relationships/hyperlink" Target="https://docs.google.com/spreadsheets/d/15Ls9T9uHku7nGb88syZGji7fd-Ad27-WbM2qA9zGipw/edit" TargetMode="External"/><Relationship Id="rId286" Type="http://schemas.openxmlformats.org/officeDocument/2006/relationships/drawing" Target="../drawings/drawing21.xml"/><Relationship Id="rId164" Type="http://schemas.openxmlformats.org/officeDocument/2006/relationships/hyperlink" Target="https://docs.google.com/spreadsheets/d/15Ls9T9uHku7nGb88syZGji7fd-Ad27-WbM2qA9zGipw/edit" TargetMode="External"/><Relationship Id="rId285" Type="http://schemas.openxmlformats.org/officeDocument/2006/relationships/hyperlink" Target="https://docs.google.com/spreadsheets/d/1JKvHPB9ogGc_K3Of9bMq5OD9CdcV_xFOLqu1aC46TT8/edit" TargetMode="External"/><Relationship Id="rId163" Type="http://schemas.openxmlformats.org/officeDocument/2006/relationships/hyperlink" Target="https://docs.google.com/spreadsheets/d/15Ls9T9uHku7nGb88syZGji7fd-Ad27-WbM2qA9zGipw/edit" TargetMode="External"/><Relationship Id="rId284" Type="http://schemas.openxmlformats.org/officeDocument/2006/relationships/hyperlink" Target="https://docs.google.com/spreadsheets/d/1RpJ9Mr9vSCmLUo3uC4l6bpg8tL6zXglTbjv5tZwGPE0/edit" TargetMode="External"/><Relationship Id="rId162" Type="http://schemas.openxmlformats.org/officeDocument/2006/relationships/hyperlink" Target="https://docs.google.com/spreadsheets/d/15Ls9T9uHku7nGb88syZGji7fd-Ad27-WbM2qA9zGipw/edit" TargetMode="External"/><Relationship Id="rId283" Type="http://schemas.openxmlformats.org/officeDocument/2006/relationships/hyperlink" Target="https://docs.google.com/spreadsheets/d/1RpJ9Mr9vSCmLUo3uC4l6bpg8tL6zXglTbjv5tZwGPE0/edit" TargetMode="External"/><Relationship Id="rId169" Type="http://schemas.openxmlformats.org/officeDocument/2006/relationships/hyperlink" Target="https://docs.google.com/spreadsheets/d/15Ls9T9uHku7nGb88syZGji7fd-Ad27-WbM2qA9zGipw/edit" TargetMode="External"/><Relationship Id="rId168" Type="http://schemas.openxmlformats.org/officeDocument/2006/relationships/hyperlink" Target="https://docs.google.com/spreadsheets/d/15Ls9T9uHku7nGb88syZGji7fd-Ad27-WbM2qA9zGipw/edit" TargetMode="External"/><Relationship Id="rId167" Type="http://schemas.openxmlformats.org/officeDocument/2006/relationships/hyperlink" Target="https://docs.google.com/spreadsheets/d/15Ls9T9uHku7nGb88syZGji7fd-Ad27-WbM2qA9zGipw/edit" TargetMode="External"/><Relationship Id="rId166" Type="http://schemas.openxmlformats.org/officeDocument/2006/relationships/hyperlink" Target="https://docs.google.com/spreadsheets/d/15Ls9T9uHku7nGb88syZGji7fd-Ad27-WbM2qA9zGipw/edit" TargetMode="External"/><Relationship Id="rId161" Type="http://schemas.openxmlformats.org/officeDocument/2006/relationships/hyperlink" Target="https://docs.google.com/spreadsheets/d/15Ls9T9uHku7nGb88syZGji7fd-Ad27-WbM2qA9zGipw/edit" TargetMode="External"/><Relationship Id="rId282" Type="http://schemas.openxmlformats.org/officeDocument/2006/relationships/hyperlink" Target="https://docs.google.com/spreadsheets/d/1RpJ9Mr9vSCmLUo3uC4l6bpg8tL6zXglTbjv5tZwGPE0/edit" TargetMode="External"/><Relationship Id="rId160" Type="http://schemas.openxmlformats.org/officeDocument/2006/relationships/hyperlink" Target="https://docs.google.com/spreadsheets/d/1qICoAZMn43DQRnqonPbcoUu5TgYZ75nqySWzynJDbDw/edit" TargetMode="External"/><Relationship Id="rId281" Type="http://schemas.openxmlformats.org/officeDocument/2006/relationships/hyperlink" Target="https://docs.google.com/spreadsheets/d/1RpJ9Mr9vSCmLUo3uC4l6bpg8tL6zXglTbjv5tZwGPE0/edit" TargetMode="External"/><Relationship Id="rId280" Type="http://schemas.openxmlformats.org/officeDocument/2006/relationships/hyperlink" Target="https://docs.google.com/spreadsheets/d/1RpJ9Mr9vSCmLUo3uC4l6bpg8tL6zXglTbjv5tZwGPE0/edit" TargetMode="External"/><Relationship Id="rId159" Type="http://schemas.openxmlformats.org/officeDocument/2006/relationships/hyperlink" Target="https://docs.google.com/spreadsheets/d/1qICoAZMn43DQRnqonPbcoUu5TgYZ75nqySWzynJDbDw/edit" TargetMode="External"/><Relationship Id="rId154" Type="http://schemas.openxmlformats.org/officeDocument/2006/relationships/hyperlink" Target="https://docs.google.com/spreadsheets/d/1qICoAZMn43DQRnqonPbcoUu5TgYZ75nqySWzynJDbDw/edit" TargetMode="External"/><Relationship Id="rId275" Type="http://schemas.openxmlformats.org/officeDocument/2006/relationships/hyperlink" Target="https://docs.google.com/spreadsheets/d/1RpJ9Mr9vSCmLUo3uC4l6bpg8tL6zXglTbjv5tZwGPE0/edit" TargetMode="External"/><Relationship Id="rId153" Type="http://schemas.openxmlformats.org/officeDocument/2006/relationships/hyperlink" Target="https://docs.google.com/spreadsheets/d/1qICoAZMn43DQRnqonPbcoUu5TgYZ75nqySWzynJDbDw/edit" TargetMode="External"/><Relationship Id="rId274" Type="http://schemas.openxmlformats.org/officeDocument/2006/relationships/hyperlink" Target="https://docs.google.com/spreadsheets/d/1RpJ9Mr9vSCmLUo3uC4l6bpg8tL6zXglTbjv5tZwGPE0/edit" TargetMode="External"/><Relationship Id="rId152" Type="http://schemas.openxmlformats.org/officeDocument/2006/relationships/hyperlink" Target="https://docs.google.com/spreadsheets/d/1qICoAZMn43DQRnqonPbcoUu5TgYZ75nqySWzynJDbDw/edit" TargetMode="External"/><Relationship Id="rId273" Type="http://schemas.openxmlformats.org/officeDocument/2006/relationships/hyperlink" Target="https://docs.google.com/spreadsheets/d/1RpJ9Mr9vSCmLUo3uC4l6bpg8tL6zXglTbjv5tZwGPE0/edit" TargetMode="External"/><Relationship Id="rId151" Type="http://schemas.openxmlformats.org/officeDocument/2006/relationships/hyperlink" Target="https://docs.google.com/spreadsheets/d/1qICoAZMn43DQRnqonPbcoUu5TgYZ75nqySWzynJDbDw/edit" TargetMode="External"/><Relationship Id="rId272" Type="http://schemas.openxmlformats.org/officeDocument/2006/relationships/hyperlink" Target="https://docs.google.com/spreadsheets/d/1RpJ9Mr9vSCmLUo3uC4l6bpg8tL6zXglTbjv5tZwGPE0/edit" TargetMode="External"/><Relationship Id="rId158" Type="http://schemas.openxmlformats.org/officeDocument/2006/relationships/hyperlink" Target="https://docs.google.com/spreadsheets/d/1qICoAZMn43DQRnqonPbcoUu5TgYZ75nqySWzynJDbDw/edit" TargetMode="External"/><Relationship Id="rId279" Type="http://schemas.openxmlformats.org/officeDocument/2006/relationships/hyperlink" Target="https://docs.google.com/spreadsheets/d/1RpJ9Mr9vSCmLUo3uC4l6bpg8tL6zXglTbjv5tZwGPE0/edit" TargetMode="External"/><Relationship Id="rId157" Type="http://schemas.openxmlformats.org/officeDocument/2006/relationships/hyperlink" Target="https://docs.google.com/spreadsheets/d/1qICoAZMn43DQRnqonPbcoUu5TgYZ75nqySWzynJDbDw/edit" TargetMode="External"/><Relationship Id="rId278" Type="http://schemas.openxmlformats.org/officeDocument/2006/relationships/hyperlink" Target="https://docs.google.com/spreadsheets/d/1RpJ9Mr9vSCmLUo3uC4l6bpg8tL6zXglTbjv5tZwGPE0/edit" TargetMode="External"/><Relationship Id="rId156" Type="http://schemas.openxmlformats.org/officeDocument/2006/relationships/hyperlink" Target="https://docs.google.com/spreadsheets/d/1qICoAZMn43DQRnqonPbcoUu5TgYZ75nqySWzynJDbDw/edit" TargetMode="External"/><Relationship Id="rId277" Type="http://schemas.openxmlformats.org/officeDocument/2006/relationships/hyperlink" Target="https://docs.google.com/spreadsheets/d/1RpJ9Mr9vSCmLUo3uC4l6bpg8tL6zXglTbjv5tZwGPE0/edit" TargetMode="External"/><Relationship Id="rId155" Type="http://schemas.openxmlformats.org/officeDocument/2006/relationships/hyperlink" Target="https://docs.google.com/spreadsheets/d/1qICoAZMn43DQRnqonPbcoUu5TgYZ75nqySWzynJDbDw/edit" TargetMode="External"/><Relationship Id="rId276" Type="http://schemas.openxmlformats.org/officeDocument/2006/relationships/hyperlink" Target="https://docs.google.com/spreadsheets/d/1RpJ9Mr9vSCmLUo3uC4l6bpg8tL6zXglTbjv5tZwGPE0/edit" TargetMode="External"/><Relationship Id="rId40" Type="http://schemas.openxmlformats.org/officeDocument/2006/relationships/hyperlink" Target="https://docs.google.com/spreadsheets/d/1h72tk3jrQBUyGuBX-ZMlcF8MieXoIAiUX05c6pBikkM/edit" TargetMode="External"/><Relationship Id="rId42" Type="http://schemas.openxmlformats.org/officeDocument/2006/relationships/hyperlink" Target="https://docs.google.com/spreadsheets/d/1h72tk3jrQBUyGuBX-ZMlcF8MieXoIAiUX05c6pBikkM/edit" TargetMode="External"/><Relationship Id="rId41" Type="http://schemas.openxmlformats.org/officeDocument/2006/relationships/hyperlink" Target="https://docs.google.com/spreadsheets/d/1h72tk3jrQBUyGuBX-ZMlcF8MieXoIAiUX05c6pBikkM/edit" TargetMode="External"/><Relationship Id="rId44" Type="http://schemas.openxmlformats.org/officeDocument/2006/relationships/hyperlink" Target="https://docs.google.com/spreadsheets/d/1h72tk3jrQBUyGuBX-ZMlcF8MieXoIAiUX05c6pBikkM/edit" TargetMode="External"/><Relationship Id="rId43" Type="http://schemas.openxmlformats.org/officeDocument/2006/relationships/hyperlink" Target="https://docs.google.com/spreadsheets/d/1h72tk3jrQBUyGuBX-ZMlcF8MieXoIAiUX05c6pBikkM/edit" TargetMode="External"/><Relationship Id="rId46" Type="http://schemas.openxmlformats.org/officeDocument/2006/relationships/hyperlink" Target="https://docs.google.com/spreadsheets/d/1h72tk3jrQBUyGuBX-ZMlcF8MieXoIAiUX05c6pBikkM/edit" TargetMode="External"/><Relationship Id="rId45" Type="http://schemas.openxmlformats.org/officeDocument/2006/relationships/hyperlink" Target="https://docs.google.com/spreadsheets/d/1h72tk3jrQBUyGuBX-ZMlcF8MieXoIAiUX05c6pBikkM/edit" TargetMode="External"/><Relationship Id="rId48" Type="http://schemas.openxmlformats.org/officeDocument/2006/relationships/hyperlink" Target="https://docs.google.com/spreadsheets/d/1h72tk3jrQBUyGuBX-ZMlcF8MieXoIAiUX05c6pBikkM/edit" TargetMode="External"/><Relationship Id="rId47" Type="http://schemas.openxmlformats.org/officeDocument/2006/relationships/hyperlink" Target="https://docs.google.com/spreadsheets/d/1h72tk3jrQBUyGuBX-ZMlcF8MieXoIAiUX05c6pBikkM/edit" TargetMode="External"/><Relationship Id="rId49" Type="http://schemas.openxmlformats.org/officeDocument/2006/relationships/hyperlink" Target="https://docs.google.com/spreadsheets/d/1h72tk3jrQBUyGuBX-ZMlcF8MieXoIAiUX05c6pBikkM/edit" TargetMode="External"/><Relationship Id="rId31" Type="http://schemas.openxmlformats.org/officeDocument/2006/relationships/hyperlink" Target="https://docs.google.com/spreadsheets/d/1nrIsFA7HebaPZ0h9vrFDmp1I80WyEApNYXyUDa3MfjI/edit" TargetMode="External"/><Relationship Id="rId30" Type="http://schemas.openxmlformats.org/officeDocument/2006/relationships/hyperlink" Target="https://docs.google.com/spreadsheets/d/1nrIsFA7HebaPZ0h9vrFDmp1I80WyEApNYXyUDa3MfjI/edit" TargetMode="External"/><Relationship Id="rId33" Type="http://schemas.openxmlformats.org/officeDocument/2006/relationships/hyperlink" Target="https://docs.google.com/spreadsheets/d/1nrIsFA7HebaPZ0h9vrFDmp1I80WyEApNYXyUDa3MfjI/edit" TargetMode="External"/><Relationship Id="rId32" Type="http://schemas.openxmlformats.org/officeDocument/2006/relationships/hyperlink" Target="https://docs.google.com/spreadsheets/d/1nrIsFA7HebaPZ0h9vrFDmp1I80WyEApNYXyUDa3MfjI/edit" TargetMode="External"/><Relationship Id="rId35" Type="http://schemas.openxmlformats.org/officeDocument/2006/relationships/hyperlink" Target="https://docs.google.com/spreadsheets/d/1nrIsFA7HebaPZ0h9vrFDmp1I80WyEApNYXyUDa3MfjI/edit" TargetMode="External"/><Relationship Id="rId34" Type="http://schemas.openxmlformats.org/officeDocument/2006/relationships/hyperlink" Target="https://docs.google.com/spreadsheets/d/1nrIsFA7HebaPZ0h9vrFDmp1I80WyEApNYXyUDa3MfjI/edit" TargetMode="External"/><Relationship Id="rId37" Type="http://schemas.openxmlformats.org/officeDocument/2006/relationships/hyperlink" Target="https://docs.google.com/spreadsheets/d/1nrIsFA7HebaPZ0h9vrFDmp1I80WyEApNYXyUDa3MfjI/edit" TargetMode="External"/><Relationship Id="rId36" Type="http://schemas.openxmlformats.org/officeDocument/2006/relationships/hyperlink" Target="https://docs.google.com/spreadsheets/d/1nrIsFA7HebaPZ0h9vrFDmp1I80WyEApNYXyUDa3MfjI/edit" TargetMode="External"/><Relationship Id="rId39" Type="http://schemas.openxmlformats.org/officeDocument/2006/relationships/hyperlink" Target="https://docs.google.com/spreadsheets/d/1nrIsFA7HebaPZ0h9vrFDmp1I80WyEApNYXyUDa3MfjI/edit" TargetMode="External"/><Relationship Id="rId38" Type="http://schemas.openxmlformats.org/officeDocument/2006/relationships/hyperlink" Target="https://docs.google.com/spreadsheets/d/1nrIsFA7HebaPZ0h9vrFDmp1I80WyEApNYXyUDa3MfjI/edit" TargetMode="External"/><Relationship Id="rId20" Type="http://schemas.openxmlformats.org/officeDocument/2006/relationships/hyperlink" Target="https://docs.google.com/spreadsheets/d/1otSbZefdjf5WilSTzDciN3vnSMZEmt5WzHEygoNS6Gw/edit" TargetMode="External"/><Relationship Id="rId22" Type="http://schemas.openxmlformats.org/officeDocument/2006/relationships/hyperlink" Target="https://docs.google.com/spreadsheets/d/1nrIsFA7HebaPZ0h9vrFDmp1I80WyEApNYXyUDa3MfjI/edit" TargetMode="External"/><Relationship Id="rId21" Type="http://schemas.openxmlformats.org/officeDocument/2006/relationships/hyperlink" Target="https://docs.google.com/spreadsheets/d/1nrIsFA7HebaPZ0h9vrFDmp1I80WyEApNYXyUDa3MfjI/edit" TargetMode="External"/><Relationship Id="rId24" Type="http://schemas.openxmlformats.org/officeDocument/2006/relationships/hyperlink" Target="https://docs.google.com/spreadsheets/d/1nrIsFA7HebaPZ0h9vrFDmp1I80WyEApNYXyUDa3MfjI/edit" TargetMode="External"/><Relationship Id="rId23" Type="http://schemas.openxmlformats.org/officeDocument/2006/relationships/hyperlink" Target="https://docs.google.com/spreadsheets/d/1nrIsFA7HebaPZ0h9vrFDmp1I80WyEApNYXyUDa3MfjI/edit" TargetMode="External"/><Relationship Id="rId26" Type="http://schemas.openxmlformats.org/officeDocument/2006/relationships/hyperlink" Target="https://docs.google.com/spreadsheets/d/1nrIsFA7HebaPZ0h9vrFDmp1I80WyEApNYXyUDa3MfjI/edit" TargetMode="External"/><Relationship Id="rId25" Type="http://schemas.openxmlformats.org/officeDocument/2006/relationships/hyperlink" Target="https://docs.google.com/spreadsheets/d/1nrIsFA7HebaPZ0h9vrFDmp1I80WyEApNYXyUDa3MfjI/edit" TargetMode="External"/><Relationship Id="rId28" Type="http://schemas.openxmlformats.org/officeDocument/2006/relationships/hyperlink" Target="https://docs.google.com/spreadsheets/d/1nrIsFA7HebaPZ0h9vrFDmp1I80WyEApNYXyUDa3MfjI/edit" TargetMode="External"/><Relationship Id="rId27" Type="http://schemas.openxmlformats.org/officeDocument/2006/relationships/hyperlink" Target="https://docs.google.com/spreadsheets/d/1nrIsFA7HebaPZ0h9vrFDmp1I80WyEApNYXyUDa3MfjI/edit" TargetMode="External"/><Relationship Id="rId29" Type="http://schemas.openxmlformats.org/officeDocument/2006/relationships/hyperlink" Target="https://docs.google.com/spreadsheets/d/1nrIsFA7HebaPZ0h9vrFDmp1I80WyEApNYXyUDa3MfjI/edit" TargetMode="External"/><Relationship Id="rId11" Type="http://schemas.openxmlformats.org/officeDocument/2006/relationships/hyperlink" Target="https://docs.google.com/spreadsheets/d/1otSbZefdjf5WilSTzDciN3vnSMZEmt5WzHEygoNS6Gw/edit" TargetMode="External"/><Relationship Id="rId10" Type="http://schemas.openxmlformats.org/officeDocument/2006/relationships/hyperlink" Target="https://docs.google.com/spreadsheets/d/1otSbZefdjf5WilSTzDciN3vnSMZEmt5WzHEygoNS6Gw/edit" TargetMode="External"/><Relationship Id="rId13" Type="http://schemas.openxmlformats.org/officeDocument/2006/relationships/hyperlink" Target="https://docs.google.com/spreadsheets/d/1otSbZefdjf5WilSTzDciN3vnSMZEmt5WzHEygoNS6Gw/edit" TargetMode="External"/><Relationship Id="rId12" Type="http://schemas.openxmlformats.org/officeDocument/2006/relationships/hyperlink" Target="https://docs.google.com/spreadsheets/d/1otSbZefdjf5WilSTzDciN3vnSMZEmt5WzHEygoNS6Gw/edit" TargetMode="External"/><Relationship Id="rId15" Type="http://schemas.openxmlformats.org/officeDocument/2006/relationships/hyperlink" Target="https://docs.google.com/spreadsheets/d/1otSbZefdjf5WilSTzDciN3vnSMZEmt5WzHEygoNS6Gw/edit" TargetMode="External"/><Relationship Id="rId14" Type="http://schemas.openxmlformats.org/officeDocument/2006/relationships/hyperlink" Target="https://docs.google.com/spreadsheets/d/1otSbZefdjf5WilSTzDciN3vnSMZEmt5WzHEygoNS6Gw/edit" TargetMode="External"/><Relationship Id="rId17" Type="http://schemas.openxmlformats.org/officeDocument/2006/relationships/hyperlink" Target="https://docs.google.com/spreadsheets/d/1otSbZefdjf5WilSTzDciN3vnSMZEmt5WzHEygoNS6Gw/edit" TargetMode="External"/><Relationship Id="rId16" Type="http://schemas.openxmlformats.org/officeDocument/2006/relationships/hyperlink" Target="https://docs.google.com/spreadsheets/d/1otSbZefdjf5WilSTzDciN3vnSMZEmt5WzHEygoNS6Gw/edit" TargetMode="External"/><Relationship Id="rId19" Type="http://schemas.openxmlformats.org/officeDocument/2006/relationships/hyperlink" Target="https://docs.google.com/spreadsheets/d/1otSbZefdjf5WilSTzDciN3vnSMZEmt5WzHEygoNS6Gw/edit" TargetMode="External"/><Relationship Id="rId18" Type="http://schemas.openxmlformats.org/officeDocument/2006/relationships/hyperlink" Target="https://docs.google.com/spreadsheets/d/1otSbZefdjf5WilSTzDciN3vnSMZEmt5WzHEygoNS6Gw/edit" TargetMode="External"/><Relationship Id="rId84" Type="http://schemas.openxmlformats.org/officeDocument/2006/relationships/hyperlink" Target="https://docs.google.com/spreadsheets/d/10kQ72TG0X0H0-2V6QvpQfEeu-17eCMne7rhPiz4KNvc/edit" TargetMode="External"/><Relationship Id="rId83" Type="http://schemas.openxmlformats.org/officeDocument/2006/relationships/hyperlink" Target="https://docs.google.com/spreadsheets/d/10kQ72TG0X0H0-2V6QvpQfEeu-17eCMne7rhPiz4KNvc/edit" TargetMode="External"/><Relationship Id="rId86" Type="http://schemas.openxmlformats.org/officeDocument/2006/relationships/hyperlink" Target="https://docs.google.com/spreadsheets/d/10kQ72TG0X0H0-2V6QvpQfEeu-17eCMne7rhPiz4KNvc/edit" TargetMode="External"/><Relationship Id="rId85" Type="http://schemas.openxmlformats.org/officeDocument/2006/relationships/hyperlink" Target="https://docs.google.com/spreadsheets/d/10kQ72TG0X0H0-2V6QvpQfEeu-17eCMne7rhPiz4KNvc/edit" TargetMode="External"/><Relationship Id="rId88" Type="http://schemas.openxmlformats.org/officeDocument/2006/relationships/hyperlink" Target="https://docs.google.com/spreadsheets/d/10kQ72TG0X0H0-2V6QvpQfEeu-17eCMne7rhPiz4KNvc/edit" TargetMode="External"/><Relationship Id="rId87" Type="http://schemas.openxmlformats.org/officeDocument/2006/relationships/hyperlink" Target="https://docs.google.com/spreadsheets/d/10kQ72TG0X0H0-2V6QvpQfEeu-17eCMne7rhPiz4KNvc/edit" TargetMode="External"/><Relationship Id="rId89" Type="http://schemas.openxmlformats.org/officeDocument/2006/relationships/hyperlink" Target="https://docs.google.com/spreadsheets/d/10kQ72TG0X0H0-2V6QvpQfEeu-17eCMne7rhPiz4KNvc/edit" TargetMode="External"/><Relationship Id="rId80" Type="http://schemas.openxmlformats.org/officeDocument/2006/relationships/hyperlink" Target="https://docs.google.com/spreadsheets/d/10kQ72TG0X0H0-2V6QvpQfEeu-17eCMne7rhPiz4KNvc/edit" TargetMode="External"/><Relationship Id="rId82" Type="http://schemas.openxmlformats.org/officeDocument/2006/relationships/hyperlink" Target="https://docs.google.com/spreadsheets/d/10kQ72TG0X0H0-2V6QvpQfEeu-17eCMne7rhPiz4KNvc/edit" TargetMode="External"/><Relationship Id="rId81" Type="http://schemas.openxmlformats.org/officeDocument/2006/relationships/hyperlink" Target="https://docs.google.com/spreadsheets/d/10kQ72TG0X0H0-2V6QvpQfEeu-17eCMne7rhPiz4KNvc/edit" TargetMode="External"/><Relationship Id="rId73" Type="http://schemas.openxmlformats.org/officeDocument/2006/relationships/hyperlink" Target="https://docs.google.com/spreadsheets/d/1YubfNQbc0lKrvrDBttrO83vPNh0ItKqD2oBBn-szvQc/edit" TargetMode="External"/><Relationship Id="rId72" Type="http://schemas.openxmlformats.org/officeDocument/2006/relationships/hyperlink" Target="https://docs.google.com/spreadsheets/d/1YubfNQbc0lKrvrDBttrO83vPNh0ItKqD2oBBn-szvQc/edit" TargetMode="External"/><Relationship Id="rId75" Type="http://schemas.openxmlformats.org/officeDocument/2006/relationships/hyperlink" Target="https://docs.google.com/spreadsheets/d/10kQ72TG0X0H0-2V6QvpQfEeu-17eCMne7rhPiz4KNvc/edit" TargetMode="External"/><Relationship Id="rId74" Type="http://schemas.openxmlformats.org/officeDocument/2006/relationships/hyperlink" Target="https://docs.google.com/spreadsheets/d/1YubfNQbc0lKrvrDBttrO83vPNh0ItKqD2oBBn-szvQc/edit" TargetMode="External"/><Relationship Id="rId77" Type="http://schemas.openxmlformats.org/officeDocument/2006/relationships/hyperlink" Target="https://docs.google.com/spreadsheets/d/10kQ72TG0X0H0-2V6QvpQfEeu-17eCMne7rhPiz4KNvc/edit" TargetMode="External"/><Relationship Id="rId76" Type="http://schemas.openxmlformats.org/officeDocument/2006/relationships/hyperlink" Target="https://docs.google.com/spreadsheets/d/10kQ72TG0X0H0-2V6QvpQfEeu-17eCMne7rhPiz4KNvc/edit" TargetMode="External"/><Relationship Id="rId79" Type="http://schemas.openxmlformats.org/officeDocument/2006/relationships/hyperlink" Target="https://docs.google.com/spreadsheets/d/10kQ72TG0X0H0-2V6QvpQfEeu-17eCMne7rhPiz4KNvc/edit" TargetMode="External"/><Relationship Id="rId78" Type="http://schemas.openxmlformats.org/officeDocument/2006/relationships/hyperlink" Target="https://docs.google.com/spreadsheets/d/10kQ72TG0X0H0-2V6QvpQfEeu-17eCMne7rhPiz4KNvc/edit" TargetMode="External"/><Relationship Id="rId71" Type="http://schemas.openxmlformats.org/officeDocument/2006/relationships/hyperlink" Target="https://docs.google.com/spreadsheets/d/1YubfNQbc0lKrvrDBttrO83vPNh0ItKqD2oBBn-szvQc/edit" TargetMode="External"/><Relationship Id="rId70" Type="http://schemas.openxmlformats.org/officeDocument/2006/relationships/hyperlink" Target="https://docs.google.com/spreadsheets/d/1YubfNQbc0lKrvrDBttrO83vPNh0ItKqD2oBBn-szvQc/edit" TargetMode="External"/><Relationship Id="rId62" Type="http://schemas.openxmlformats.org/officeDocument/2006/relationships/hyperlink" Target="https://docs.google.com/spreadsheets/d/1YubfNQbc0lKrvrDBttrO83vPNh0ItKqD2oBBn-szvQc/edit" TargetMode="External"/><Relationship Id="rId61" Type="http://schemas.openxmlformats.org/officeDocument/2006/relationships/hyperlink" Target="https://docs.google.com/spreadsheets/d/1YubfNQbc0lKrvrDBttrO83vPNh0ItKqD2oBBn-szvQc/edit" TargetMode="External"/><Relationship Id="rId64" Type="http://schemas.openxmlformats.org/officeDocument/2006/relationships/hyperlink" Target="https://docs.google.com/spreadsheets/d/1YubfNQbc0lKrvrDBttrO83vPNh0ItKqD2oBBn-szvQc/edit" TargetMode="External"/><Relationship Id="rId63" Type="http://schemas.openxmlformats.org/officeDocument/2006/relationships/hyperlink" Target="https://docs.google.com/spreadsheets/d/1YubfNQbc0lKrvrDBttrO83vPNh0ItKqD2oBBn-szvQc/edit" TargetMode="External"/><Relationship Id="rId66" Type="http://schemas.openxmlformats.org/officeDocument/2006/relationships/hyperlink" Target="https://docs.google.com/spreadsheets/d/1YubfNQbc0lKrvrDBttrO83vPNh0ItKqD2oBBn-szvQc/edit" TargetMode="External"/><Relationship Id="rId65" Type="http://schemas.openxmlformats.org/officeDocument/2006/relationships/hyperlink" Target="https://docs.google.com/spreadsheets/d/1YubfNQbc0lKrvrDBttrO83vPNh0ItKqD2oBBn-szvQc/edit" TargetMode="External"/><Relationship Id="rId68" Type="http://schemas.openxmlformats.org/officeDocument/2006/relationships/hyperlink" Target="https://docs.google.com/spreadsheets/d/1YubfNQbc0lKrvrDBttrO83vPNh0ItKqD2oBBn-szvQc/edit" TargetMode="External"/><Relationship Id="rId67" Type="http://schemas.openxmlformats.org/officeDocument/2006/relationships/hyperlink" Target="https://docs.google.com/spreadsheets/d/1YubfNQbc0lKrvrDBttrO83vPNh0ItKqD2oBBn-szvQc/edit" TargetMode="External"/><Relationship Id="rId60" Type="http://schemas.openxmlformats.org/officeDocument/2006/relationships/hyperlink" Target="https://docs.google.com/spreadsheets/d/1YubfNQbc0lKrvrDBttrO83vPNh0ItKqD2oBBn-szvQc/edit" TargetMode="External"/><Relationship Id="rId69" Type="http://schemas.openxmlformats.org/officeDocument/2006/relationships/hyperlink" Target="https://docs.google.com/spreadsheets/d/1YubfNQbc0lKrvrDBttrO83vPNh0ItKqD2oBBn-szvQc/edit" TargetMode="External"/><Relationship Id="rId51" Type="http://schemas.openxmlformats.org/officeDocument/2006/relationships/hyperlink" Target="https://docs.google.com/spreadsheets/d/1h72tk3jrQBUyGuBX-ZMlcF8MieXoIAiUX05c6pBikkM/edit" TargetMode="External"/><Relationship Id="rId50" Type="http://schemas.openxmlformats.org/officeDocument/2006/relationships/hyperlink" Target="https://docs.google.com/spreadsheets/d/1h72tk3jrQBUyGuBX-ZMlcF8MieXoIAiUX05c6pBikkM/edit" TargetMode="External"/><Relationship Id="rId53" Type="http://schemas.openxmlformats.org/officeDocument/2006/relationships/hyperlink" Target="https://docs.google.com/spreadsheets/d/1h72tk3jrQBUyGuBX-ZMlcF8MieXoIAiUX05c6pBikkM/edit" TargetMode="External"/><Relationship Id="rId52" Type="http://schemas.openxmlformats.org/officeDocument/2006/relationships/hyperlink" Target="https://docs.google.com/spreadsheets/d/1h72tk3jrQBUyGuBX-ZMlcF8MieXoIAiUX05c6pBikkM/edit" TargetMode="External"/><Relationship Id="rId55" Type="http://schemas.openxmlformats.org/officeDocument/2006/relationships/hyperlink" Target="https://docs.google.com/spreadsheets/d/1h72tk3jrQBUyGuBX-ZMlcF8MieXoIAiUX05c6pBikkM/edit" TargetMode="External"/><Relationship Id="rId54" Type="http://schemas.openxmlformats.org/officeDocument/2006/relationships/hyperlink" Target="https://docs.google.com/spreadsheets/d/1h72tk3jrQBUyGuBX-ZMlcF8MieXoIAiUX05c6pBikkM/edit" TargetMode="External"/><Relationship Id="rId57" Type="http://schemas.openxmlformats.org/officeDocument/2006/relationships/hyperlink" Target="https://docs.google.com/spreadsheets/d/1h72tk3jrQBUyGuBX-ZMlcF8MieXoIAiUX05c6pBikkM/edit" TargetMode="External"/><Relationship Id="rId56" Type="http://schemas.openxmlformats.org/officeDocument/2006/relationships/hyperlink" Target="https://docs.google.com/spreadsheets/d/1h72tk3jrQBUyGuBX-ZMlcF8MieXoIAiUX05c6pBikkM/edit" TargetMode="External"/><Relationship Id="rId59" Type="http://schemas.openxmlformats.org/officeDocument/2006/relationships/hyperlink" Target="https://docs.google.com/spreadsheets/d/1YubfNQbc0lKrvrDBttrO83vPNh0ItKqD2oBBn-szvQc/edit" TargetMode="External"/><Relationship Id="rId58" Type="http://schemas.openxmlformats.org/officeDocument/2006/relationships/hyperlink" Target="https://docs.google.com/spreadsheets/d/1YubfNQbc0lKrvrDBttrO83vPNh0ItKqD2oBBn-szvQc/edit" TargetMode="External"/><Relationship Id="rId107" Type="http://schemas.openxmlformats.org/officeDocument/2006/relationships/hyperlink" Target="https://docs.google.com/spreadsheets/d/1CeIZzJ-77XAMIf9AwATnGyDlLqphKDimh0WL5WesMQs/edit" TargetMode="External"/><Relationship Id="rId228" Type="http://schemas.openxmlformats.org/officeDocument/2006/relationships/hyperlink" Target="https://docs.google.com/spreadsheets/d/1DGL4ktOG5h3pyW5AqDyOs5hGEqsh3k20rnQBizsdnZM/edit" TargetMode="External"/><Relationship Id="rId106" Type="http://schemas.openxmlformats.org/officeDocument/2006/relationships/hyperlink" Target="https://docs.google.com/spreadsheets/d/1CeIZzJ-77XAMIf9AwATnGyDlLqphKDimh0WL5WesMQs/edit" TargetMode="External"/><Relationship Id="rId227" Type="http://schemas.openxmlformats.org/officeDocument/2006/relationships/hyperlink" Target="https://docs.google.com/spreadsheets/d/1DGL4ktOG5h3pyW5AqDyOs5hGEqsh3k20rnQBizsdnZM/edit" TargetMode="External"/><Relationship Id="rId105" Type="http://schemas.openxmlformats.org/officeDocument/2006/relationships/hyperlink" Target="https://docs.google.com/spreadsheets/d/1supLx5_w5sK1COe4WbbzxTSLgc1gZsylY_1IJ065uHE/edit" TargetMode="External"/><Relationship Id="rId226" Type="http://schemas.openxmlformats.org/officeDocument/2006/relationships/hyperlink" Target="https://docs.google.com/spreadsheets/d/1DGL4ktOG5h3pyW5AqDyOs5hGEqsh3k20rnQBizsdnZM/edit" TargetMode="External"/><Relationship Id="rId104" Type="http://schemas.openxmlformats.org/officeDocument/2006/relationships/hyperlink" Target="https://docs.google.com/spreadsheets/d/1CeIZzJ-77XAMIf9AwATnGyDlLqphKDimh0WL5WesMQs/edit" TargetMode="External"/><Relationship Id="rId225" Type="http://schemas.openxmlformats.org/officeDocument/2006/relationships/hyperlink" Target="https://docs.google.com/spreadsheets/d/1DGL4ktOG5h3pyW5AqDyOs5hGEqsh3k20rnQBizsdnZM/edit" TargetMode="External"/><Relationship Id="rId109" Type="http://schemas.openxmlformats.org/officeDocument/2006/relationships/hyperlink" Target="https://docs.google.com/spreadsheets/d/1CeIZzJ-77XAMIf9AwATnGyDlLqphKDimh0WL5WesMQs/edit" TargetMode="External"/><Relationship Id="rId108" Type="http://schemas.openxmlformats.org/officeDocument/2006/relationships/hyperlink" Target="https://docs.google.com/spreadsheets/d/1supLx5_w5sK1COe4WbbzxTSLgc1gZsylY_1IJ065uHE/edit" TargetMode="External"/><Relationship Id="rId229" Type="http://schemas.openxmlformats.org/officeDocument/2006/relationships/hyperlink" Target="https://docs.google.com/spreadsheets/d/1DGL4ktOG5h3pyW5AqDyOs5hGEqsh3k20rnQBizsdnZM/edit" TargetMode="External"/><Relationship Id="rId220" Type="http://schemas.openxmlformats.org/officeDocument/2006/relationships/hyperlink" Target="https://docs.google.com/spreadsheets/d/1apW3UuOb9XfGrzuD7zZuXIiP4ToDmzbRqp91_ki0W0M/edit" TargetMode="External"/><Relationship Id="rId103" Type="http://schemas.openxmlformats.org/officeDocument/2006/relationships/hyperlink" Target="https://docs.google.com/spreadsheets/d/1CeIZzJ-77XAMIf9AwATnGyDlLqphKDimh0WL5WesMQs/edit" TargetMode="External"/><Relationship Id="rId224" Type="http://schemas.openxmlformats.org/officeDocument/2006/relationships/hyperlink" Target="https://docs.google.com/spreadsheets/d/1DGL4ktOG5h3pyW5AqDyOs5hGEqsh3k20rnQBizsdnZM/edit" TargetMode="External"/><Relationship Id="rId102" Type="http://schemas.openxmlformats.org/officeDocument/2006/relationships/hyperlink" Target="https://docs.google.com/spreadsheets/d/1CeIZzJ-77XAMIf9AwATnGyDlLqphKDimh0WL5WesMQs/edit" TargetMode="External"/><Relationship Id="rId223" Type="http://schemas.openxmlformats.org/officeDocument/2006/relationships/hyperlink" Target="https://docs.google.com/spreadsheets/d/1DGL4ktOG5h3pyW5AqDyOs5hGEqsh3k20rnQBizsdnZM/edit" TargetMode="External"/><Relationship Id="rId101" Type="http://schemas.openxmlformats.org/officeDocument/2006/relationships/hyperlink" Target="https://docs.google.com/spreadsheets/d/1CeIZzJ-77XAMIf9AwATnGyDlLqphKDimh0WL5WesMQs/edit" TargetMode="External"/><Relationship Id="rId222" Type="http://schemas.openxmlformats.org/officeDocument/2006/relationships/hyperlink" Target="https://docs.google.com/spreadsheets/d/1apW3UuOb9XfGrzuD7zZuXIiP4ToDmzbRqp91_ki0W0M/edit" TargetMode="External"/><Relationship Id="rId100" Type="http://schemas.openxmlformats.org/officeDocument/2006/relationships/hyperlink" Target="https://docs.google.com/spreadsheets/d/1CeIZzJ-77XAMIf9AwATnGyDlLqphKDimh0WL5WesMQs/edit" TargetMode="External"/><Relationship Id="rId221" Type="http://schemas.openxmlformats.org/officeDocument/2006/relationships/hyperlink" Target="https://docs.google.com/spreadsheets/d/1apW3UuOb9XfGrzuD7zZuXIiP4ToDmzbRqp91_ki0W0M/edit" TargetMode="External"/><Relationship Id="rId217" Type="http://schemas.openxmlformats.org/officeDocument/2006/relationships/hyperlink" Target="https://docs.google.com/spreadsheets/d/1apW3UuOb9XfGrzuD7zZuXIiP4ToDmzbRqp91_ki0W0M/edit" TargetMode="External"/><Relationship Id="rId216" Type="http://schemas.openxmlformats.org/officeDocument/2006/relationships/hyperlink" Target="https://docs.google.com/spreadsheets/d/1apW3UuOb9XfGrzuD7zZuXIiP4ToDmzbRqp91_ki0W0M/edit" TargetMode="External"/><Relationship Id="rId215" Type="http://schemas.openxmlformats.org/officeDocument/2006/relationships/hyperlink" Target="https://docs.google.com/spreadsheets/d/1apW3UuOb9XfGrzuD7zZuXIiP4ToDmzbRqp91_ki0W0M/edit" TargetMode="External"/><Relationship Id="rId214" Type="http://schemas.openxmlformats.org/officeDocument/2006/relationships/hyperlink" Target="https://docs.google.com/spreadsheets/d/1apW3UuOb9XfGrzuD7zZuXIiP4ToDmzbRqp91_ki0W0M/edit" TargetMode="External"/><Relationship Id="rId219" Type="http://schemas.openxmlformats.org/officeDocument/2006/relationships/hyperlink" Target="https://docs.google.com/spreadsheets/d/1apW3UuOb9XfGrzuD7zZuXIiP4ToDmzbRqp91_ki0W0M/edit" TargetMode="External"/><Relationship Id="rId218" Type="http://schemas.openxmlformats.org/officeDocument/2006/relationships/hyperlink" Target="https://docs.google.com/spreadsheets/d/1apW3UuOb9XfGrzuD7zZuXIiP4ToDmzbRqp91_ki0W0M/edit" TargetMode="External"/><Relationship Id="rId213" Type="http://schemas.openxmlformats.org/officeDocument/2006/relationships/hyperlink" Target="https://docs.google.com/spreadsheets/d/1apW3UuOb9XfGrzuD7zZuXIiP4ToDmzbRqp91_ki0W0M/edit" TargetMode="External"/><Relationship Id="rId212" Type="http://schemas.openxmlformats.org/officeDocument/2006/relationships/hyperlink" Target="https://docs.google.com/spreadsheets/d/1apW3UuOb9XfGrzuD7zZuXIiP4ToDmzbRqp91_ki0W0M/edit" TargetMode="External"/><Relationship Id="rId211" Type="http://schemas.openxmlformats.org/officeDocument/2006/relationships/hyperlink" Target="https://docs.google.com/spreadsheets/d/1apW3UuOb9XfGrzuD7zZuXIiP4ToDmzbRqp91_ki0W0M/edit" TargetMode="External"/><Relationship Id="rId210" Type="http://schemas.openxmlformats.org/officeDocument/2006/relationships/hyperlink" Target="https://docs.google.com/spreadsheets/d/1apW3UuOb9XfGrzuD7zZuXIiP4ToDmzbRqp91_ki0W0M/edit" TargetMode="External"/><Relationship Id="rId129" Type="http://schemas.openxmlformats.org/officeDocument/2006/relationships/hyperlink" Target="https://docs.google.com/spreadsheets/d/1ssQyXnFJnZybVZGh0O2TYKbm9ngypqFbAtXVo6RFP08/edit" TargetMode="External"/><Relationship Id="rId128" Type="http://schemas.openxmlformats.org/officeDocument/2006/relationships/hyperlink" Target="https://docs.google.com/spreadsheets/d/1ssQyXnFJnZybVZGh0O2TYKbm9ngypqFbAtXVo6RFP08/edit" TargetMode="External"/><Relationship Id="rId249" Type="http://schemas.openxmlformats.org/officeDocument/2006/relationships/hyperlink" Target="https://docs.google.com/spreadsheets/d/1R1ne1EgNDR4zYCGSuyjU4yCIElwnGnpVQCPnhOLHCGg/edit" TargetMode="External"/><Relationship Id="rId127" Type="http://schemas.openxmlformats.org/officeDocument/2006/relationships/hyperlink" Target="https://docs.google.com/spreadsheets/d/1ssQyXnFJnZybVZGh0O2TYKbm9ngypqFbAtXVo6RFP08/edit" TargetMode="External"/><Relationship Id="rId248" Type="http://schemas.openxmlformats.org/officeDocument/2006/relationships/hyperlink" Target="https://docs.google.com/spreadsheets/d/1R1ne1EgNDR4zYCGSuyjU4yCIElwnGnpVQCPnhOLHCGg/edit" TargetMode="External"/><Relationship Id="rId126" Type="http://schemas.openxmlformats.org/officeDocument/2006/relationships/hyperlink" Target="https://docs.google.com/spreadsheets/d/1ssQyXnFJnZybVZGh0O2TYKbm9ngypqFbAtXVo6RFP08/edit" TargetMode="External"/><Relationship Id="rId247" Type="http://schemas.openxmlformats.org/officeDocument/2006/relationships/hyperlink" Target="https://docs.google.com/spreadsheets/d/1R1ne1EgNDR4zYCGSuyjU4yCIElwnGnpVQCPnhOLHCGg/edit" TargetMode="External"/><Relationship Id="rId121" Type="http://schemas.openxmlformats.org/officeDocument/2006/relationships/hyperlink" Target="https://docs.google.com/spreadsheets/d/1CeIZzJ-77XAMIf9AwATnGyDlLqphKDimh0WL5WesMQs/edit" TargetMode="External"/><Relationship Id="rId242" Type="http://schemas.openxmlformats.org/officeDocument/2006/relationships/hyperlink" Target="https://docs.google.com/spreadsheets/d/1DGL4ktOG5h3pyW5AqDyOs5hGEqsh3k20rnQBizsdnZM/edit" TargetMode="External"/><Relationship Id="rId120" Type="http://schemas.openxmlformats.org/officeDocument/2006/relationships/hyperlink" Target="https://docs.google.com/spreadsheets/d/1CeIZzJ-77XAMIf9AwATnGyDlLqphKDimh0WL5WesMQs/edit" TargetMode="External"/><Relationship Id="rId241" Type="http://schemas.openxmlformats.org/officeDocument/2006/relationships/hyperlink" Target="https://docs.google.com/spreadsheets/d/1DGL4ktOG5h3pyW5AqDyOs5hGEqsh3k20rnQBizsdnZM/edit" TargetMode="External"/><Relationship Id="rId240" Type="http://schemas.openxmlformats.org/officeDocument/2006/relationships/hyperlink" Target="https://docs.google.com/spreadsheets/d/1DGL4ktOG5h3pyW5AqDyOs5hGEqsh3k20rnQBizsdnZM/edit" TargetMode="External"/><Relationship Id="rId125" Type="http://schemas.openxmlformats.org/officeDocument/2006/relationships/hyperlink" Target="https://docs.google.com/spreadsheets/d/1ssQyXnFJnZybVZGh0O2TYKbm9ngypqFbAtXVo6RFP08/edit" TargetMode="External"/><Relationship Id="rId246" Type="http://schemas.openxmlformats.org/officeDocument/2006/relationships/hyperlink" Target="https://docs.google.com/spreadsheets/d/1R1ne1EgNDR4zYCGSuyjU4yCIElwnGnpVQCPnhOLHCGg/edit" TargetMode="External"/><Relationship Id="rId124" Type="http://schemas.openxmlformats.org/officeDocument/2006/relationships/hyperlink" Target="https://docs.google.com/spreadsheets/d/1ssQyXnFJnZybVZGh0O2TYKbm9ngypqFbAtXVo6RFP08/edit" TargetMode="External"/><Relationship Id="rId245" Type="http://schemas.openxmlformats.org/officeDocument/2006/relationships/hyperlink" Target="https://docs.google.com/spreadsheets/d/1R1ne1EgNDR4zYCGSuyjU4yCIElwnGnpVQCPnhOLHCGg/edit" TargetMode="External"/><Relationship Id="rId123" Type="http://schemas.openxmlformats.org/officeDocument/2006/relationships/hyperlink" Target="https://docs.google.com/spreadsheets/d/1ssQyXnFJnZybVZGh0O2TYKbm9ngypqFbAtXVo6RFP08/edit" TargetMode="External"/><Relationship Id="rId244" Type="http://schemas.openxmlformats.org/officeDocument/2006/relationships/hyperlink" Target="https://docs.google.com/spreadsheets/d/1R1ne1EgNDR4zYCGSuyjU4yCIElwnGnpVQCPnhOLHCGg/edit" TargetMode="External"/><Relationship Id="rId122" Type="http://schemas.openxmlformats.org/officeDocument/2006/relationships/hyperlink" Target="https://docs.google.com/spreadsheets/d/1ssQyXnFJnZybVZGh0O2TYKbm9ngypqFbAtXVo6RFP08/edit" TargetMode="External"/><Relationship Id="rId243" Type="http://schemas.openxmlformats.org/officeDocument/2006/relationships/hyperlink" Target="https://docs.google.com/spreadsheets/d/1DGL4ktOG5h3pyW5AqDyOs5hGEqsh3k20rnQBizsdnZM/edit" TargetMode="External"/><Relationship Id="rId95" Type="http://schemas.openxmlformats.org/officeDocument/2006/relationships/hyperlink" Target="https://docs.google.com/spreadsheets/d/10kQ72TG0X0H0-2V6QvpQfEeu-17eCMne7rhPiz4KNvc/edit" TargetMode="External"/><Relationship Id="rId94" Type="http://schemas.openxmlformats.org/officeDocument/2006/relationships/hyperlink" Target="https://docs.google.com/spreadsheets/d/10kQ72TG0X0H0-2V6QvpQfEeu-17eCMne7rhPiz4KNvc/edit" TargetMode="External"/><Relationship Id="rId97" Type="http://schemas.openxmlformats.org/officeDocument/2006/relationships/hyperlink" Target="https://docs.google.com/spreadsheets/d/10kQ72TG0X0H0-2V6QvpQfEeu-17eCMne7rhPiz4KNvc/edit" TargetMode="External"/><Relationship Id="rId96" Type="http://schemas.openxmlformats.org/officeDocument/2006/relationships/hyperlink" Target="https://docs.google.com/spreadsheets/d/10kQ72TG0X0H0-2V6QvpQfEeu-17eCMne7rhPiz4KNvc/edit" TargetMode="External"/><Relationship Id="rId99" Type="http://schemas.openxmlformats.org/officeDocument/2006/relationships/hyperlink" Target="https://docs.google.com/spreadsheets/d/1CeIZzJ-77XAMIf9AwATnGyDlLqphKDimh0WL5WesMQs/edit" TargetMode="External"/><Relationship Id="rId98" Type="http://schemas.openxmlformats.org/officeDocument/2006/relationships/hyperlink" Target="https://docs.google.com/spreadsheets/d/10kQ72TG0X0H0-2V6QvpQfEeu-17eCMne7rhPiz4KNvc/edit" TargetMode="External"/><Relationship Id="rId91" Type="http://schemas.openxmlformats.org/officeDocument/2006/relationships/hyperlink" Target="https://docs.google.com/spreadsheets/d/10kQ72TG0X0H0-2V6QvpQfEeu-17eCMne7rhPiz4KNvc/edit" TargetMode="External"/><Relationship Id="rId90" Type="http://schemas.openxmlformats.org/officeDocument/2006/relationships/hyperlink" Target="https://docs.google.com/spreadsheets/d/10kQ72TG0X0H0-2V6QvpQfEeu-17eCMne7rhPiz4KNvc/edit" TargetMode="External"/><Relationship Id="rId93" Type="http://schemas.openxmlformats.org/officeDocument/2006/relationships/hyperlink" Target="https://docs.google.com/spreadsheets/d/10kQ72TG0X0H0-2V6QvpQfEeu-17eCMne7rhPiz4KNvc/edit" TargetMode="External"/><Relationship Id="rId92" Type="http://schemas.openxmlformats.org/officeDocument/2006/relationships/hyperlink" Target="https://docs.google.com/spreadsheets/d/10kQ72TG0X0H0-2V6QvpQfEeu-17eCMne7rhPiz4KNvc/edit" TargetMode="External"/><Relationship Id="rId118" Type="http://schemas.openxmlformats.org/officeDocument/2006/relationships/hyperlink" Target="https://docs.google.com/spreadsheets/d/1CeIZzJ-77XAMIf9AwATnGyDlLqphKDimh0WL5WesMQs/edit" TargetMode="External"/><Relationship Id="rId239" Type="http://schemas.openxmlformats.org/officeDocument/2006/relationships/hyperlink" Target="https://docs.google.com/spreadsheets/d/1DGL4ktOG5h3pyW5AqDyOs5hGEqsh3k20rnQBizsdnZM/edit" TargetMode="External"/><Relationship Id="rId117" Type="http://schemas.openxmlformats.org/officeDocument/2006/relationships/hyperlink" Target="https://docs.google.com/spreadsheets/d/1CeIZzJ-77XAMIf9AwATnGyDlLqphKDimh0WL5WesMQs/edit" TargetMode="External"/><Relationship Id="rId238" Type="http://schemas.openxmlformats.org/officeDocument/2006/relationships/hyperlink" Target="https://docs.google.com/spreadsheets/d/1DGL4ktOG5h3pyW5AqDyOs5hGEqsh3k20rnQBizsdnZM/edit" TargetMode="External"/><Relationship Id="rId116" Type="http://schemas.openxmlformats.org/officeDocument/2006/relationships/hyperlink" Target="https://docs.google.com/spreadsheets/d/1CeIZzJ-77XAMIf9AwATnGyDlLqphKDimh0WL5WesMQs/edit" TargetMode="External"/><Relationship Id="rId237" Type="http://schemas.openxmlformats.org/officeDocument/2006/relationships/hyperlink" Target="https://docs.google.com/spreadsheets/d/1DGL4ktOG5h3pyW5AqDyOs5hGEqsh3k20rnQBizsdnZM/edit" TargetMode="External"/><Relationship Id="rId115" Type="http://schemas.openxmlformats.org/officeDocument/2006/relationships/hyperlink" Target="https://docs.google.com/spreadsheets/d/1CeIZzJ-77XAMIf9AwATnGyDlLqphKDimh0WL5WesMQs/edit" TargetMode="External"/><Relationship Id="rId236" Type="http://schemas.openxmlformats.org/officeDocument/2006/relationships/hyperlink" Target="https://docs.google.com/spreadsheets/d/1DGL4ktOG5h3pyW5AqDyOs5hGEqsh3k20rnQBizsdnZM/edit" TargetMode="External"/><Relationship Id="rId119" Type="http://schemas.openxmlformats.org/officeDocument/2006/relationships/hyperlink" Target="https://docs.google.com/spreadsheets/d/1CeIZzJ-77XAMIf9AwATnGyDlLqphKDimh0WL5WesMQs/edit" TargetMode="External"/><Relationship Id="rId110" Type="http://schemas.openxmlformats.org/officeDocument/2006/relationships/hyperlink" Target="https://docs.google.com/spreadsheets/d/1CeIZzJ-77XAMIf9AwATnGyDlLqphKDimh0WL5WesMQs/edit" TargetMode="External"/><Relationship Id="rId231" Type="http://schemas.openxmlformats.org/officeDocument/2006/relationships/hyperlink" Target="https://docs.google.com/spreadsheets/d/1DGL4ktOG5h3pyW5AqDyOs5hGEqsh3k20rnQBizsdnZM/edit" TargetMode="External"/><Relationship Id="rId230" Type="http://schemas.openxmlformats.org/officeDocument/2006/relationships/hyperlink" Target="https://docs.google.com/spreadsheets/d/1DGL4ktOG5h3pyW5AqDyOs5hGEqsh3k20rnQBizsdnZM/edit" TargetMode="External"/><Relationship Id="rId114" Type="http://schemas.openxmlformats.org/officeDocument/2006/relationships/hyperlink" Target="https://docs.google.com/spreadsheets/d/1CeIZzJ-77XAMIf9AwATnGyDlLqphKDimh0WL5WesMQs/edit" TargetMode="External"/><Relationship Id="rId235" Type="http://schemas.openxmlformats.org/officeDocument/2006/relationships/hyperlink" Target="https://docs.google.com/spreadsheets/d/1DGL4ktOG5h3pyW5AqDyOs5hGEqsh3k20rnQBizsdnZM/edit" TargetMode="External"/><Relationship Id="rId113" Type="http://schemas.openxmlformats.org/officeDocument/2006/relationships/hyperlink" Target="https://docs.google.com/spreadsheets/d/1CeIZzJ-77XAMIf9AwATnGyDlLqphKDimh0WL5WesMQs/edit" TargetMode="External"/><Relationship Id="rId234" Type="http://schemas.openxmlformats.org/officeDocument/2006/relationships/hyperlink" Target="https://docs.google.com/spreadsheets/d/1DGL4ktOG5h3pyW5AqDyOs5hGEqsh3k20rnQBizsdnZM/edit" TargetMode="External"/><Relationship Id="rId112" Type="http://schemas.openxmlformats.org/officeDocument/2006/relationships/hyperlink" Target="https://docs.google.com/spreadsheets/d/1CeIZzJ-77XAMIf9AwATnGyDlLqphKDimh0WL5WesMQs/edit" TargetMode="External"/><Relationship Id="rId233" Type="http://schemas.openxmlformats.org/officeDocument/2006/relationships/hyperlink" Target="https://docs.google.com/spreadsheets/d/1DGL4ktOG5h3pyW5AqDyOs5hGEqsh3k20rnQBizsdnZM/edit" TargetMode="External"/><Relationship Id="rId111" Type="http://schemas.openxmlformats.org/officeDocument/2006/relationships/hyperlink" Target="https://docs.google.com/spreadsheets/d/1CeIZzJ-77XAMIf9AwATnGyDlLqphKDimh0WL5WesMQs/edit" TargetMode="External"/><Relationship Id="rId232" Type="http://schemas.openxmlformats.org/officeDocument/2006/relationships/hyperlink" Target="https://docs.google.com/spreadsheets/d/1DGL4ktOG5h3pyW5AqDyOs5hGEqsh3k20rnQBizsdnZM/edit" TargetMode="External"/><Relationship Id="rId206" Type="http://schemas.openxmlformats.org/officeDocument/2006/relationships/hyperlink" Target="https://docs.google.com/spreadsheets/d/1apW3UuOb9XfGrzuD7zZuXIiP4ToDmzbRqp91_ki0W0M/edit" TargetMode="External"/><Relationship Id="rId205" Type="http://schemas.openxmlformats.org/officeDocument/2006/relationships/hyperlink" Target="https://docs.google.com/spreadsheets/d/1apW3UuOb9XfGrzuD7zZuXIiP4ToDmzbRqp91_ki0W0M/edit" TargetMode="External"/><Relationship Id="rId204" Type="http://schemas.openxmlformats.org/officeDocument/2006/relationships/hyperlink" Target="https://docs.google.com/spreadsheets/d/1apW3UuOb9XfGrzuD7zZuXIiP4ToDmzbRqp91_ki0W0M/edit" TargetMode="External"/><Relationship Id="rId203" Type="http://schemas.openxmlformats.org/officeDocument/2006/relationships/hyperlink" Target="https://docs.google.com/spreadsheets/d/1apW3UuOb9XfGrzuD7zZuXIiP4ToDmzbRqp91_ki0W0M/edit" TargetMode="External"/><Relationship Id="rId209" Type="http://schemas.openxmlformats.org/officeDocument/2006/relationships/hyperlink" Target="https://docs.google.com/spreadsheets/d/1apW3UuOb9XfGrzuD7zZuXIiP4ToDmzbRqp91_ki0W0M/edit" TargetMode="External"/><Relationship Id="rId208" Type="http://schemas.openxmlformats.org/officeDocument/2006/relationships/hyperlink" Target="https://docs.google.com/spreadsheets/d/1apW3UuOb9XfGrzuD7zZuXIiP4ToDmzbRqp91_ki0W0M/edit" TargetMode="External"/><Relationship Id="rId207" Type="http://schemas.openxmlformats.org/officeDocument/2006/relationships/hyperlink" Target="https://docs.google.com/spreadsheets/d/1apW3UuOb9XfGrzuD7zZuXIiP4ToDmzbRqp91_ki0W0M/edit" TargetMode="External"/><Relationship Id="rId202" Type="http://schemas.openxmlformats.org/officeDocument/2006/relationships/hyperlink" Target="https://docs.google.com/spreadsheets/d/1apW3UuOb9XfGrzuD7zZuXIiP4ToDmzbRqp91_ki0W0M/edit" TargetMode="External"/><Relationship Id="rId201" Type="http://schemas.openxmlformats.org/officeDocument/2006/relationships/hyperlink" Target="https://docs.google.com/spreadsheets/d/1apW3UuOb9XfGrzuD7zZuXIiP4ToDmzbRqp91_ki0W0M/edit" TargetMode="External"/><Relationship Id="rId200" Type="http://schemas.openxmlformats.org/officeDocument/2006/relationships/hyperlink" Target="https://docs.google.com/spreadsheets/d/1apW3UuOb9XfGrzuD7zZuXIiP4ToDmzbRqp91_ki0W0M/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LRPcUXQa-DaQxTYlX8t-Sj9CT8_wsOPj-epoYEu3S3g/edit" TargetMode="External"/><Relationship Id="rId2" Type="http://schemas.openxmlformats.org/officeDocument/2006/relationships/hyperlink" Target="https://docs.google.com/spreadsheets/d/1LRPcUXQa-DaQxTYlX8t-Sj9CT8_wsOPj-epoYEu3S3g/edit" TargetMode="External"/><Relationship Id="rId3" Type="http://schemas.openxmlformats.org/officeDocument/2006/relationships/hyperlink" Target="https://docs.google.com/spreadsheets/d/1LRPcUXQa-DaQxTYlX8t-Sj9CT8_wsOPj-epoYEu3S3g/edit" TargetMode="External"/><Relationship Id="rId149" Type="http://schemas.openxmlformats.org/officeDocument/2006/relationships/drawing" Target="../drawings/drawing22.xml"/><Relationship Id="rId4" Type="http://schemas.openxmlformats.org/officeDocument/2006/relationships/hyperlink" Target="https://docs.google.com/spreadsheets/d/1CO2KMSgFrZqGJ3o74LXObEH3xLifUQDgnprmnr1-P7Y/edit" TargetMode="External"/><Relationship Id="rId148" Type="http://schemas.openxmlformats.org/officeDocument/2006/relationships/hyperlink" Target="https://docs.google.com/spreadsheets/d/1M8YPuqNbO2yhOPnN2N8DlzgXYq-hY8AZKs9xpJYmNAM/edit" TargetMode="External"/><Relationship Id="rId9" Type="http://schemas.openxmlformats.org/officeDocument/2006/relationships/hyperlink" Target="https://docs.google.com/spreadsheets/d/19mLdMQxT2hRKcykhdp6NoynnyiwJ-75Ds2qnfbaSf3k/edit" TargetMode="External"/><Relationship Id="rId143" Type="http://schemas.openxmlformats.org/officeDocument/2006/relationships/hyperlink" Target="https://docs.google.com/spreadsheets/d/1RsbeZtwl-o_LGTnNcJERhhYORkDizNcmpp2_3gRohrE/edit" TargetMode="External"/><Relationship Id="rId142" Type="http://schemas.openxmlformats.org/officeDocument/2006/relationships/hyperlink" Target="https://docs.google.com/spreadsheets/d/1RsbeZtwl-o_LGTnNcJERhhYORkDizNcmpp2_3gRohrE/edit" TargetMode="External"/><Relationship Id="rId141" Type="http://schemas.openxmlformats.org/officeDocument/2006/relationships/hyperlink" Target="https://docs.google.com/spreadsheets/d/1RsbeZtwl-o_LGTnNcJERhhYORkDizNcmpp2_3gRohrE/edit" TargetMode="External"/><Relationship Id="rId140" Type="http://schemas.openxmlformats.org/officeDocument/2006/relationships/hyperlink" Target="https://docs.google.com/spreadsheets/d/1RsbeZtwl-o_LGTnNcJERhhYORkDizNcmpp2_3gRohrE/edit" TargetMode="External"/><Relationship Id="rId5" Type="http://schemas.openxmlformats.org/officeDocument/2006/relationships/hyperlink" Target="https://docs.google.com/spreadsheets/d/19mLdMQxT2hRKcykhdp6NoynnyiwJ-75Ds2qnfbaSf3k/edit" TargetMode="External"/><Relationship Id="rId147" Type="http://schemas.openxmlformats.org/officeDocument/2006/relationships/hyperlink" Target="https://docs.google.com/spreadsheets/d/1zC9Yw8n64AbrHw59iwqHNDl3u6H7ECzEx5UJPxOc8Tg/edit" TargetMode="External"/><Relationship Id="rId6" Type="http://schemas.openxmlformats.org/officeDocument/2006/relationships/hyperlink" Target="https://docs.google.com/spreadsheets/d/19mLdMQxT2hRKcykhdp6NoynnyiwJ-75Ds2qnfbaSf3k/edit" TargetMode="External"/><Relationship Id="rId146" Type="http://schemas.openxmlformats.org/officeDocument/2006/relationships/hyperlink" Target="https://docs.google.com/spreadsheets/d/1zC9Yw8n64AbrHw59iwqHNDl3u6H7ECzEx5UJPxOc8Tg/edit" TargetMode="External"/><Relationship Id="rId7" Type="http://schemas.openxmlformats.org/officeDocument/2006/relationships/hyperlink" Target="https://docs.google.com/spreadsheets/d/19mLdMQxT2hRKcykhdp6NoynnyiwJ-75Ds2qnfbaSf3k/edit" TargetMode="External"/><Relationship Id="rId145" Type="http://schemas.openxmlformats.org/officeDocument/2006/relationships/hyperlink" Target="https://docs.google.com/spreadsheets/d/1zC9Yw8n64AbrHw59iwqHNDl3u6H7ECzEx5UJPxOc8Tg/edit" TargetMode="External"/><Relationship Id="rId8" Type="http://schemas.openxmlformats.org/officeDocument/2006/relationships/hyperlink" Target="https://docs.google.com/spreadsheets/d/19mLdMQxT2hRKcykhdp6NoynnyiwJ-75Ds2qnfbaSf3k/edit" TargetMode="External"/><Relationship Id="rId144" Type="http://schemas.openxmlformats.org/officeDocument/2006/relationships/hyperlink" Target="https://docs.google.com/spreadsheets/d/1zC9Yw8n64AbrHw59iwqHNDl3u6H7ECzEx5UJPxOc8Tg/edit" TargetMode="External"/><Relationship Id="rId139" Type="http://schemas.openxmlformats.org/officeDocument/2006/relationships/hyperlink" Target="https://docs.google.com/spreadsheets/d/1RsbeZtwl-o_LGTnNcJERhhYORkDizNcmpp2_3gRohrE/edit" TargetMode="External"/><Relationship Id="rId138" Type="http://schemas.openxmlformats.org/officeDocument/2006/relationships/hyperlink" Target="https://docs.google.com/spreadsheets/d/1RsbeZtwl-o_LGTnNcJERhhYORkDizNcmpp2_3gRohrE/edit" TargetMode="External"/><Relationship Id="rId137" Type="http://schemas.openxmlformats.org/officeDocument/2006/relationships/hyperlink" Target="https://docs.google.com/spreadsheets/d/1RsbeZtwl-o_LGTnNcJERhhYORkDizNcmpp2_3gRohrE/edit" TargetMode="External"/><Relationship Id="rId132" Type="http://schemas.openxmlformats.org/officeDocument/2006/relationships/hyperlink" Target="https://docs.google.com/spreadsheets/d/1RsbeZtwl-o_LGTnNcJERhhYORkDizNcmpp2_3gRohrE/edit" TargetMode="External"/><Relationship Id="rId131" Type="http://schemas.openxmlformats.org/officeDocument/2006/relationships/hyperlink" Target="https://docs.google.com/spreadsheets/d/1RsbeZtwl-o_LGTnNcJERhhYORkDizNcmpp2_3gRohrE/edit" TargetMode="External"/><Relationship Id="rId130" Type="http://schemas.openxmlformats.org/officeDocument/2006/relationships/hyperlink" Target="https://docs.google.com/spreadsheets/d/1RsbeZtwl-o_LGTnNcJERhhYORkDizNcmpp2_3gRohrE/edit" TargetMode="External"/><Relationship Id="rId136" Type="http://schemas.openxmlformats.org/officeDocument/2006/relationships/hyperlink" Target="https://docs.google.com/spreadsheets/d/1RsbeZtwl-o_LGTnNcJERhhYORkDizNcmpp2_3gRohrE/edit" TargetMode="External"/><Relationship Id="rId135" Type="http://schemas.openxmlformats.org/officeDocument/2006/relationships/hyperlink" Target="https://docs.google.com/spreadsheets/d/1RsbeZtwl-o_LGTnNcJERhhYORkDizNcmpp2_3gRohrE/edit" TargetMode="External"/><Relationship Id="rId134" Type="http://schemas.openxmlformats.org/officeDocument/2006/relationships/hyperlink" Target="https://docs.google.com/spreadsheets/d/1RsbeZtwl-o_LGTnNcJERhhYORkDizNcmpp2_3gRohrE/edit" TargetMode="External"/><Relationship Id="rId133" Type="http://schemas.openxmlformats.org/officeDocument/2006/relationships/hyperlink" Target="https://docs.google.com/spreadsheets/d/1RsbeZtwl-o_LGTnNcJERhhYORkDizNcmpp2_3gRohrE/edit" TargetMode="External"/><Relationship Id="rId40" Type="http://schemas.openxmlformats.org/officeDocument/2006/relationships/hyperlink" Target="https://docs.google.com/spreadsheets/d/1MR_GIl-2VU_wnZoWjdPbONwsUiGfFT__x1Bji7uWASk/edit" TargetMode="External"/><Relationship Id="rId42" Type="http://schemas.openxmlformats.org/officeDocument/2006/relationships/hyperlink" Target="https://docs.google.com/spreadsheets/d/1MR_GIl-2VU_wnZoWjdPbONwsUiGfFT__x1Bji7uWASk/edit" TargetMode="External"/><Relationship Id="rId41" Type="http://schemas.openxmlformats.org/officeDocument/2006/relationships/hyperlink" Target="https://docs.google.com/spreadsheets/d/1MR_GIl-2VU_wnZoWjdPbONwsUiGfFT__x1Bji7uWASk/edit" TargetMode="External"/><Relationship Id="rId44" Type="http://schemas.openxmlformats.org/officeDocument/2006/relationships/hyperlink" Target="https://docs.google.com/spreadsheets/d/1MR_GIl-2VU_wnZoWjdPbONwsUiGfFT__x1Bji7uWASk/edit" TargetMode="External"/><Relationship Id="rId43" Type="http://schemas.openxmlformats.org/officeDocument/2006/relationships/hyperlink" Target="https://docs.google.com/spreadsheets/d/1MR_GIl-2VU_wnZoWjdPbONwsUiGfFT__x1Bji7uWASk/edit" TargetMode="External"/><Relationship Id="rId46" Type="http://schemas.openxmlformats.org/officeDocument/2006/relationships/hyperlink" Target="https://docs.google.com/spreadsheets/d/1MR_GIl-2VU_wnZoWjdPbONwsUiGfFT__x1Bji7uWASk/edit" TargetMode="External"/><Relationship Id="rId45" Type="http://schemas.openxmlformats.org/officeDocument/2006/relationships/hyperlink" Target="https://docs.google.com/spreadsheets/d/1MR_GIl-2VU_wnZoWjdPbONwsUiGfFT__x1Bji7uWASk/edit" TargetMode="External"/><Relationship Id="rId48" Type="http://schemas.openxmlformats.org/officeDocument/2006/relationships/hyperlink" Target="https://docs.google.com/spreadsheets/d/1MR_GIl-2VU_wnZoWjdPbONwsUiGfFT__x1Bji7uWASk/edit" TargetMode="External"/><Relationship Id="rId47" Type="http://schemas.openxmlformats.org/officeDocument/2006/relationships/hyperlink" Target="https://docs.google.com/spreadsheets/d/1MR_GIl-2VU_wnZoWjdPbONwsUiGfFT__x1Bji7uWASk/edit" TargetMode="External"/><Relationship Id="rId49" Type="http://schemas.openxmlformats.org/officeDocument/2006/relationships/hyperlink" Target="https://docs.google.com/spreadsheets/d/1MR_GIl-2VU_wnZoWjdPbONwsUiGfFT__x1Bji7uWASk/edit" TargetMode="External"/><Relationship Id="rId31" Type="http://schemas.openxmlformats.org/officeDocument/2006/relationships/hyperlink" Target="https://docs.google.com/spreadsheets/d/1qdnP28A6NX_9mxRWKJhZcdPJEBSdG2ngQMEhBgvQ4r8/edit" TargetMode="External"/><Relationship Id="rId30" Type="http://schemas.openxmlformats.org/officeDocument/2006/relationships/hyperlink" Target="https://docs.google.com/spreadsheets/d/1qdnP28A6NX_9mxRWKJhZcdPJEBSdG2ngQMEhBgvQ4r8/edit" TargetMode="External"/><Relationship Id="rId33" Type="http://schemas.openxmlformats.org/officeDocument/2006/relationships/hyperlink" Target="https://docs.google.com/spreadsheets/d/1sMMrlhdTY1S-jers2YjgwP3SQo3FzLkvZj4e275rMmo/edit" TargetMode="External"/><Relationship Id="rId32" Type="http://schemas.openxmlformats.org/officeDocument/2006/relationships/hyperlink" Target="https://docs.google.com/spreadsheets/d/1qdnP28A6NX_9mxRWKJhZcdPJEBSdG2ngQMEhBgvQ4r8/edit" TargetMode="External"/><Relationship Id="rId35" Type="http://schemas.openxmlformats.org/officeDocument/2006/relationships/hyperlink" Target="https://docs.google.com/spreadsheets/d/1sMMrlhdTY1S-jers2YjgwP3SQo3FzLkvZj4e275rMmo/edit" TargetMode="External"/><Relationship Id="rId34" Type="http://schemas.openxmlformats.org/officeDocument/2006/relationships/hyperlink" Target="https://docs.google.com/spreadsheets/d/1sMMrlhdTY1S-jers2YjgwP3SQo3FzLkvZj4e275rMmo/edit" TargetMode="External"/><Relationship Id="rId37" Type="http://schemas.openxmlformats.org/officeDocument/2006/relationships/hyperlink" Target="https://docs.google.com/spreadsheets/d/1HpNDfjgWfF8qJLiZ4zjDMd6VB4iJG0JnXKD0oD_ddWI/edit" TargetMode="External"/><Relationship Id="rId36" Type="http://schemas.openxmlformats.org/officeDocument/2006/relationships/hyperlink" Target="https://docs.google.com/spreadsheets/d/1HpNDfjgWfF8qJLiZ4zjDMd6VB4iJG0JnXKD0oD_ddWI/edit" TargetMode="External"/><Relationship Id="rId39" Type="http://schemas.openxmlformats.org/officeDocument/2006/relationships/hyperlink" Target="https://docs.google.com/spreadsheets/d/1MR_GIl-2VU_wnZoWjdPbONwsUiGfFT__x1Bji7uWASk/edit" TargetMode="External"/><Relationship Id="rId38" Type="http://schemas.openxmlformats.org/officeDocument/2006/relationships/hyperlink" Target="https://docs.google.com/spreadsheets/d/1HpNDfjgWfF8qJLiZ4zjDMd6VB4iJG0JnXKD0oD_ddWI/edit" TargetMode="External"/><Relationship Id="rId20" Type="http://schemas.openxmlformats.org/officeDocument/2006/relationships/hyperlink" Target="https://docs.google.com/spreadsheets/d/1upm_FQV8PQCRr401ZEfRT0fJ0DIQoB0f4vhVReGmpHE/edit" TargetMode="External"/><Relationship Id="rId22" Type="http://schemas.openxmlformats.org/officeDocument/2006/relationships/hyperlink" Target="https://docs.google.com/spreadsheets/d/1SAtV71T7CSYQ-op2aHZFWLmAaFRBG1M7Xj0BJjneKY0/edit" TargetMode="External"/><Relationship Id="rId21" Type="http://schemas.openxmlformats.org/officeDocument/2006/relationships/hyperlink" Target="https://docs.google.com/spreadsheets/d/1-cqHBPxuv3vhWjSNDgErYX_S7hY2IxgXN3Im8hab25o/edit" TargetMode="External"/><Relationship Id="rId24" Type="http://schemas.openxmlformats.org/officeDocument/2006/relationships/hyperlink" Target="https://docs.google.com/spreadsheets/d/1SAtV71T7CSYQ-op2aHZFWLmAaFRBG1M7Xj0BJjneKY0/edit" TargetMode="External"/><Relationship Id="rId23" Type="http://schemas.openxmlformats.org/officeDocument/2006/relationships/hyperlink" Target="https://docs.google.com/spreadsheets/d/1SAtV71T7CSYQ-op2aHZFWLmAaFRBG1M7Xj0BJjneKY0/edit" TargetMode="External"/><Relationship Id="rId26" Type="http://schemas.openxmlformats.org/officeDocument/2006/relationships/hyperlink" Target="https://docs.google.com/spreadsheets/d/1R64Hjyi6DVPNJCsVn0OOdnNVbfMU6jVrOYKHbZA82qg/edit" TargetMode="External"/><Relationship Id="rId25" Type="http://schemas.openxmlformats.org/officeDocument/2006/relationships/hyperlink" Target="https://docs.google.com/spreadsheets/d/1SAtV71T7CSYQ-op2aHZFWLmAaFRBG1M7Xj0BJjneKY0/edit" TargetMode="External"/><Relationship Id="rId28" Type="http://schemas.openxmlformats.org/officeDocument/2006/relationships/hyperlink" Target="https://docs.google.com/spreadsheets/d/1qdnP28A6NX_9mxRWKJhZcdPJEBSdG2ngQMEhBgvQ4r8/edit" TargetMode="External"/><Relationship Id="rId27" Type="http://schemas.openxmlformats.org/officeDocument/2006/relationships/hyperlink" Target="https://docs.google.com/spreadsheets/d/1R64Hjyi6DVPNJCsVn0OOdnNVbfMU6jVrOYKHbZA82qg/edit" TargetMode="External"/><Relationship Id="rId29" Type="http://schemas.openxmlformats.org/officeDocument/2006/relationships/hyperlink" Target="https://docs.google.com/spreadsheets/d/1qdnP28A6NX_9mxRWKJhZcdPJEBSdG2ngQMEhBgvQ4r8/edit" TargetMode="External"/><Relationship Id="rId11" Type="http://schemas.openxmlformats.org/officeDocument/2006/relationships/hyperlink" Target="https://docs.google.com/spreadsheets/d/19mLdMQxT2hRKcykhdp6NoynnyiwJ-75Ds2qnfbaSf3k/edit" TargetMode="External"/><Relationship Id="rId10" Type="http://schemas.openxmlformats.org/officeDocument/2006/relationships/hyperlink" Target="https://docs.google.com/spreadsheets/d/19mLdMQxT2hRKcykhdp6NoynnyiwJ-75Ds2qnfbaSf3k/edit" TargetMode="External"/><Relationship Id="rId13" Type="http://schemas.openxmlformats.org/officeDocument/2006/relationships/hyperlink" Target="https://docs.google.com/spreadsheets/d/19mLdMQxT2hRKcykhdp6NoynnyiwJ-75Ds2qnfbaSf3k/edit" TargetMode="External"/><Relationship Id="rId12" Type="http://schemas.openxmlformats.org/officeDocument/2006/relationships/hyperlink" Target="https://docs.google.com/spreadsheets/d/19mLdMQxT2hRKcykhdp6NoynnyiwJ-75Ds2qnfbaSf3k/edit" TargetMode="External"/><Relationship Id="rId15" Type="http://schemas.openxmlformats.org/officeDocument/2006/relationships/hyperlink" Target="https://docs.google.com/spreadsheets/d/19mLdMQxT2hRKcykhdp6NoynnyiwJ-75Ds2qnfbaSf3k/edit" TargetMode="External"/><Relationship Id="rId14" Type="http://schemas.openxmlformats.org/officeDocument/2006/relationships/hyperlink" Target="https://docs.google.com/spreadsheets/d/19mLdMQxT2hRKcykhdp6NoynnyiwJ-75Ds2qnfbaSf3k/edit" TargetMode="External"/><Relationship Id="rId17" Type="http://schemas.openxmlformats.org/officeDocument/2006/relationships/hyperlink" Target="https://docs.google.com/spreadsheets/d/19mLdMQxT2hRKcykhdp6NoynnyiwJ-75Ds2qnfbaSf3k/edit" TargetMode="External"/><Relationship Id="rId16" Type="http://schemas.openxmlformats.org/officeDocument/2006/relationships/hyperlink" Target="https://docs.google.com/spreadsheets/d/19mLdMQxT2hRKcykhdp6NoynnyiwJ-75Ds2qnfbaSf3k/edit" TargetMode="External"/><Relationship Id="rId19" Type="http://schemas.openxmlformats.org/officeDocument/2006/relationships/hyperlink" Target="https://docs.google.com/spreadsheets/d/1iv_Uylf5XMYhYxcF9lTsxqwpUKdPRqusMS8P5s9B788/edit" TargetMode="External"/><Relationship Id="rId18" Type="http://schemas.openxmlformats.org/officeDocument/2006/relationships/hyperlink" Target="https://docs.google.com/spreadsheets/d/1R3aaMGqfaiQBbRiItC31HWKM0wb_yYxEyap9i4_9G48/edit" TargetMode="External"/><Relationship Id="rId84" Type="http://schemas.openxmlformats.org/officeDocument/2006/relationships/hyperlink" Target="https://docs.google.com/spreadsheets/d/1lG1ojHNGAMgZivgGwOy6PIiiqTJBIbQEaMFogGCYPaw/edit" TargetMode="External"/><Relationship Id="rId83" Type="http://schemas.openxmlformats.org/officeDocument/2006/relationships/hyperlink" Target="https://docs.google.com/spreadsheets/d/1lG1ojHNGAMgZivgGwOy6PIiiqTJBIbQEaMFogGCYPaw/edit" TargetMode="External"/><Relationship Id="rId86" Type="http://schemas.openxmlformats.org/officeDocument/2006/relationships/hyperlink" Target="https://docs.google.com/spreadsheets/d/1lG1ojHNGAMgZivgGwOy6PIiiqTJBIbQEaMFogGCYPaw/edit" TargetMode="External"/><Relationship Id="rId85" Type="http://schemas.openxmlformats.org/officeDocument/2006/relationships/hyperlink" Target="https://docs.google.com/spreadsheets/d/1lG1ojHNGAMgZivgGwOy6PIiiqTJBIbQEaMFogGCYPaw/edit" TargetMode="External"/><Relationship Id="rId88" Type="http://schemas.openxmlformats.org/officeDocument/2006/relationships/hyperlink" Target="https://docs.google.com/spreadsheets/d/1D-5JVjPyOCgWgSIE4x1tBoAGFXTCMLXSo5LEkandlJk/edit" TargetMode="External"/><Relationship Id="rId87" Type="http://schemas.openxmlformats.org/officeDocument/2006/relationships/hyperlink" Target="https://docs.google.com/spreadsheets/d/1lG1ojHNGAMgZivgGwOy6PIiiqTJBIbQEaMFogGCYPaw/edit" TargetMode="External"/><Relationship Id="rId89" Type="http://schemas.openxmlformats.org/officeDocument/2006/relationships/hyperlink" Target="https://docs.google.com/spreadsheets/d/1D-5JVjPyOCgWgSIE4x1tBoAGFXTCMLXSo5LEkandlJk/edit" TargetMode="External"/><Relationship Id="rId80" Type="http://schemas.openxmlformats.org/officeDocument/2006/relationships/hyperlink" Target="https://docs.google.com/spreadsheets/d/1lG1ojHNGAMgZivgGwOy6PIiiqTJBIbQEaMFogGCYPaw/edit" TargetMode="External"/><Relationship Id="rId82" Type="http://schemas.openxmlformats.org/officeDocument/2006/relationships/hyperlink" Target="https://docs.google.com/spreadsheets/d/1lG1ojHNGAMgZivgGwOy6PIiiqTJBIbQEaMFogGCYPaw/edit" TargetMode="External"/><Relationship Id="rId81" Type="http://schemas.openxmlformats.org/officeDocument/2006/relationships/hyperlink" Target="https://docs.google.com/spreadsheets/d/1lG1ojHNGAMgZivgGwOy6PIiiqTJBIbQEaMFogGCYPaw/edit" TargetMode="External"/><Relationship Id="rId73" Type="http://schemas.openxmlformats.org/officeDocument/2006/relationships/hyperlink" Target="https://docs.google.com/spreadsheets/d/1lG1ojHNGAMgZivgGwOy6PIiiqTJBIbQEaMFogGCYPaw/edit" TargetMode="External"/><Relationship Id="rId72" Type="http://schemas.openxmlformats.org/officeDocument/2006/relationships/hyperlink" Target="https://docs.google.com/spreadsheets/d/1lG1ojHNGAMgZivgGwOy6PIiiqTJBIbQEaMFogGCYPaw/edit" TargetMode="External"/><Relationship Id="rId75" Type="http://schemas.openxmlformats.org/officeDocument/2006/relationships/hyperlink" Target="https://docs.google.com/spreadsheets/d/1lG1ojHNGAMgZivgGwOy6PIiiqTJBIbQEaMFogGCYPaw/edit" TargetMode="External"/><Relationship Id="rId74" Type="http://schemas.openxmlformats.org/officeDocument/2006/relationships/hyperlink" Target="https://docs.google.com/spreadsheets/d/1lG1ojHNGAMgZivgGwOy6PIiiqTJBIbQEaMFogGCYPaw/edit" TargetMode="External"/><Relationship Id="rId77" Type="http://schemas.openxmlformats.org/officeDocument/2006/relationships/hyperlink" Target="https://docs.google.com/spreadsheets/d/1lG1ojHNGAMgZivgGwOy6PIiiqTJBIbQEaMFogGCYPaw/edit" TargetMode="External"/><Relationship Id="rId76" Type="http://schemas.openxmlformats.org/officeDocument/2006/relationships/hyperlink" Target="https://docs.google.com/spreadsheets/d/1lG1ojHNGAMgZivgGwOy6PIiiqTJBIbQEaMFogGCYPaw/edit" TargetMode="External"/><Relationship Id="rId79" Type="http://schemas.openxmlformats.org/officeDocument/2006/relationships/hyperlink" Target="https://docs.google.com/spreadsheets/d/1lG1ojHNGAMgZivgGwOy6PIiiqTJBIbQEaMFogGCYPaw/edit" TargetMode="External"/><Relationship Id="rId78" Type="http://schemas.openxmlformats.org/officeDocument/2006/relationships/hyperlink" Target="https://docs.google.com/spreadsheets/d/1lG1ojHNGAMgZivgGwOy6PIiiqTJBIbQEaMFogGCYPaw/edit" TargetMode="External"/><Relationship Id="rId71" Type="http://schemas.openxmlformats.org/officeDocument/2006/relationships/hyperlink" Target="https://docs.google.com/spreadsheets/d/1lG1ojHNGAMgZivgGwOy6PIiiqTJBIbQEaMFogGCYPaw/edit" TargetMode="External"/><Relationship Id="rId70" Type="http://schemas.openxmlformats.org/officeDocument/2006/relationships/hyperlink" Target="https://docs.google.com/spreadsheets/d/1lG1ojHNGAMgZivgGwOy6PIiiqTJBIbQEaMFogGCYPaw/edit" TargetMode="External"/><Relationship Id="rId62" Type="http://schemas.openxmlformats.org/officeDocument/2006/relationships/hyperlink" Target="https://docs.google.com/spreadsheets/d/1gxeQvIDxVj-pJ_6Qafql4ecOofMq5JEt05YI75ZoZgE/edit" TargetMode="External"/><Relationship Id="rId61" Type="http://schemas.openxmlformats.org/officeDocument/2006/relationships/hyperlink" Target="https://docs.google.com/spreadsheets/d/1gxeQvIDxVj-pJ_6Qafql4ecOofMq5JEt05YI75ZoZgE/edit" TargetMode="External"/><Relationship Id="rId64" Type="http://schemas.openxmlformats.org/officeDocument/2006/relationships/hyperlink" Target="https://docs.google.com/spreadsheets/d/1U2kQeBMB7WtdQfHuGi-iDBCqdq6k38p2RAbXtsVw8tY/edit" TargetMode="External"/><Relationship Id="rId63" Type="http://schemas.openxmlformats.org/officeDocument/2006/relationships/hyperlink" Target="https://docs.google.com/spreadsheets/d/1U2kQeBMB7WtdQfHuGi-iDBCqdq6k38p2RAbXtsVw8tY/edit" TargetMode="External"/><Relationship Id="rId66" Type="http://schemas.openxmlformats.org/officeDocument/2006/relationships/hyperlink" Target="https://docs.google.com/spreadsheets/d/1U2kQeBMB7WtdQfHuGi-iDBCqdq6k38p2RAbXtsVw8tY/edit" TargetMode="External"/><Relationship Id="rId65" Type="http://schemas.openxmlformats.org/officeDocument/2006/relationships/hyperlink" Target="https://docs.google.com/spreadsheets/d/1U2kQeBMB7WtdQfHuGi-iDBCqdq6k38p2RAbXtsVw8tY/edit" TargetMode="External"/><Relationship Id="rId68" Type="http://schemas.openxmlformats.org/officeDocument/2006/relationships/hyperlink" Target="https://docs.google.com/spreadsheets/d/1U2kQeBMB7WtdQfHuGi-iDBCqdq6k38p2RAbXtsVw8tY/edit" TargetMode="External"/><Relationship Id="rId67" Type="http://schemas.openxmlformats.org/officeDocument/2006/relationships/hyperlink" Target="https://docs.google.com/spreadsheets/d/1U2kQeBMB7WtdQfHuGi-iDBCqdq6k38p2RAbXtsVw8tY/edit" TargetMode="External"/><Relationship Id="rId60" Type="http://schemas.openxmlformats.org/officeDocument/2006/relationships/hyperlink" Target="https://docs.google.com/spreadsheets/d/1gxeQvIDxVj-pJ_6Qafql4ecOofMq5JEt05YI75ZoZgE/edit" TargetMode="External"/><Relationship Id="rId69" Type="http://schemas.openxmlformats.org/officeDocument/2006/relationships/hyperlink" Target="https://docs.google.com/spreadsheets/d/1lG1ojHNGAMgZivgGwOy6PIiiqTJBIbQEaMFogGCYPaw/edit" TargetMode="External"/><Relationship Id="rId51" Type="http://schemas.openxmlformats.org/officeDocument/2006/relationships/hyperlink" Target="https://docs.google.com/spreadsheets/d/1-DPQBAJiA8Ullm_rjeRURL4OnoTH-0KtgVrA0dsiEUE/edit" TargetMode="External"/><Relationship Id="rId50" Type="http://schemas.openxmlformats.org/officeDocument/2006/relationships/hyperlink" Target="https://docs.google.com/spreadsheets/d/1MR_GIl-2VU_wnZoWjdPbONwsUiGfFT__x1Bji7uWASk/edit" TargetMode="External"/><Relationship Id="rId53" Type="http://schemas.openxmlformats.org/officeDocument/2006/relationships/hyperlink" Target="https://docs.google.com/spreadsheets/d/1gxeQvIDxVj-pJ_6Qafql4ecOofMq5JEt05YI75ZoZgE/edit" TargetMode="External"/><Relationship Id="rId52" Type="http://schemas.openxmlformats.org/officeDocument/2006/relationships/hyperlink" Target="https://docs.google.com/spreadsheets/d/1-DPQBAJiA8Ullm_rjeRURL4OnoTH-0KtgVrA0dsiEUE/edit" TargetMode="External"/><Relationship Id="rId55" Type="http://schemas.openxmlformats.org/officeDocument/2006/relationships/hyperlink" Target="https://docs.google.com/spreadsheets/d/1gxeQvIDxVj-pJ_6Qafql4ecOofMq5JEt05YI75ZoZgE/edit" TargetMode="External"/><Relationship Id="rId54" Type="http://schemas.openxmlformats.org/officeDocument/2006/relationships/hyperlink" Target="https://docs.google.com/spreadsheets/d/1gxeQvIDxVj-pJ_6Qafql4ecOofMq5JEt05YI75ZoZgE/edit" TargetMode="External"/><Relationship Id="rId57" Type="http://schemas.openxmlformats.org/officeDocument/2006/relationships/hyperlink" Target="https://docs.google.com/spreadsheets/d/1gxeQvIDxVj-pJ_6Qafql4ecOofMq5JEt05YI75ZoZgE/edit" TargetMode="External"/><Relationship Id="rId56" Type="http://schemas.openxmlformats.org/officeDocument/2006/relationships/hyperlink" Target="https://docs.google.com/spreadsheets/d/1gxeQvIDxVj-pJ_6Qafql4ecOofMq5JEt05YI75ZoZgE/edit" TargetMode="External"/><Relationship Id="rId59" Type="http://schemas.openxmlformats.org/officeDocument/2006/relationships/hyperlink" Target="https://docs.google.com/spreadsheets/d/1gxeQvIDxVj-pJ_6Qafql4ecOofMq5JEt05YI75ZoZgE/edit" TargetMode="External"/><Relationship Id="rId58" Type="http://schemas.openxmlformats.org/officeDocument/2006/relationships/hyperlink" Target="https://docs.google.com/spreadsheets/d/1gxeQvIDxVj-pJ_6Qafql4ecOofMq5JEt05YI75ZoZgE/edit" TargetMode="External"/><Relationship Id="rId107" Type="http://schemas.openxmlformats.org/officeDocument/2006/relationships/hyperlink" Target="https://docs.google.com/spreadsheets/d/1s0SIOwoSAqFIssGCu0TNXOqjdBqr7POqcDouyVpzYCA/edit" TargetMode="External"/><Relationship Id="rId106" Type="http://schemas.openxmlformats.org/officeDocument/2006/relationships/hyperlink" Target="https://docs.google.com/spreadsheets/d/1q9ZB9VifL1OHJtysMY-ZTp3au_BKrThPmreuReMB7KY/edit" TargetMode="External"/><Relationship Id="rId105" Type="http://schemas.openxmlformats.org/officeDocument/2006/relationships/hyperlink" Target="https://docs.google.com/spreadsheets/d/1q9ZB9VifL1OHJtysMY-ZTp3au_BKrThPmreuReMB7KY/edit" TargetMode="External"/><Relationship Id="rId104" Type="http://schemas.openxmlformats.org/officeDocument/2006/relationships/hyperlink" Target="https://docs.google.com/spreadsheets/d/1q9ZB9VifL1OHJtysMY-ZTp3au_BKrThPmreuReMB7KY/edit" TargetMode="External"/><Relationship Id="rId109" Type="http://schemas.openxmlformats.org/officeDocument/2006/relationships/hyperlink" Target="https://docs.google.com/spreadsheets/d/1s0SIOwoSAqFIssGCu0TNXOqjdBqr7POqcDouyVpzYCA/edit" TargetMode="External"/><Relationship Id="rId108" Type="http://schemas.openxmlformats.org/officeDocument/2006/relationships/hyperlink" Target="https://docs.google.com/spreadsheets/d/1s0SIOwoSAqFIssGCu0TNXOqjdBqr7POqcDouyVpzYCA/edit" TargetMode="External"/><Relationship Id="rId103" Type="http://schemas.openxmlformats.org/officeDocument/2006/relationships/hyperlink" Target="https://docs.google.com/spreadsheets/d/1NvJrAoqbgqd4g1SIgE1URiZi2HvM2t1uOI6lYGD0bu4/edit" TargetMode="External"/><Relationship Id="rId102" Type="http://schemas.openxmlformats.org/officeDocument/2006/relationships/hyperlink" Target="https://docs.google.com/spreadsheets/d/1NvJrAoqbgqd4g1SIgE1URiZi2HvM2t1uOI6lYGD0bu4/edit" TargetMode="External"/><Relationship Id="rId101" Type="http://schemas.openxmlformats.org/officeDocument/2006/relationships/hyperlink" Target="https://docs.google.com/spreadsheets/d/1NvJrAoqbgqd4g1SIgE1URiZi2HvM2t1uOI6lYGD0bu4/edit" TargetMode="External"/><Relationship Id="rId100" Type="http://schemas.openxmlformats.org/officeDocument/2006/relationships/hyperlink" Target="https://docs.google.com/spreadsheets/d/1NK2sWdZ56nvwYGdljL9apqTpTEsgSfs7RGRBuSZSXGc/edit" TargetMode="External"/><Relationship Id="rId129" Type="http://schemas.openxmlformats.org/officeDocument/2006/relationships/hyperlink" Target="https://docs.google.com/spreadsheets/d/1RsbeZtwl-o_LGTnNcJERhhYORkDizNcmpp2_3gRohrE/edit" TargetMode="External"/><Relationship Id="rId128" Type="http://schemas.openxmlformats.org/officeDocument/2006/relationships/hyperlink" Target="https://docs.google.com/spreadsheets/d/1RsbeZtwl-o_LGTnNcJERhhYORkDizNcmpp2_3gRohrE/edit" TargetMode="External"/><Relationship Id="rId127" Type="http://schemas.openxmlformats.org/officeDocument/2006/relationships/hyperlink" Target="https://docs.google.com/spreadsheets/d/1RsbeZtwl-o_LGTnNcJERhhYORkDizNcmpp2_3gRohrE/edit" TargetMode="External"/><Relationship Id="rId126" Type="http://schemas.openxmlformats.org/officeDocument/2006/relationships/hyperlink" Target="https://docs.google.com/spreadsheets/d/1c75wVV0EoLxT4O3J2khKZCfY5lAUc_15ciPDuVK_ryE/edit" TargetMode="External"/><Relationship Id="rId121" Type="http://schemas.openxmlformats.org/officeDocument/2006/relationships/hyperlink" Target="https://docs.google.com/spreadsheets/d/19soMnxXX2fSzJaXFKd8QeCkWXPgVEAF2tpzAzTmAeOU/edit" TargetMode="External"/><Relationship Id="rId120" Type="http://schemas.openxmlformats.org/officeDocument/2006/relationships/hyperlink" Target="https://docs.google.com/spreadsheets/d/19soMnxXX2fSzJaXFKd8QeCkWXPgVEAF2tpzAzTmAeOU/edit" TargetMode="External"/><Relationship Id="rId125" Type="http://schemas.openxmlformats.org/officeDocument/2006/relationships/hyperlink" Target="https://docs.google.com/spreadsheets/d/1c75wVV0EoLxT4O3J2khKZCfY5lAUc_15ciPDuVK_ryE/edit" TargetMode="External"/><Relationship Id="rId124" Type="http://schemas.openxmlformats.org/officeDocument/2006/relationships/hyperlink" Target="https://docs.google.com/spreadsheets/d/199QF_5XnFmOjmj4wkei9HGcg58ODat4P24aJ9CLLj7w/edit" TargetMode="External"/><Relationship Id="rId123" Type="http://schemas.openxmlformats.org/officeDocument/2006/relationships/hyperlink" Target="https://docs.google.com/spreadsheets/d/1Zbm9la_d5FvExqrDKNjA89-a--LuiCnidrb5mrzHcx0/edit" TargetMode="External"/><Relationship Id="rId122" Type="http://schemas.openxmlformats.org/officeDocument/2006/relationships/hyperlink" Target="https://docs.google.com/spreadsheets/d/1GddSNOSIZ9YGAh3y2qA2Hm4IFTB1HbmCbZ-FyF6q0n8/edit" TargetMode="External"/><Relationship Id="rId95" Type="http://schemas.openxmlformats.org/officeDocument/2006/relationships/hyperlink" Target="https://docs.google.com/spreadsheets/d/1bT4qpf57MVAesA1E2n_qPrS_w_it84nU0eT3kVTUUsA/edit" TargetMode="External"/><Relationship Id="rId94" Type="http://schemas.openxmlformats.org/officeDocument/2006/relationships/hyperlink" Target="https://docs.google.com/spreadsheets/d/1bT4qpf57MVAesA1E2n_qPrS_w_it84nU0eT3kVTUUsA/edit" TargetMode="External"/><Relationship Id="rId97" Type="http://schemas.openxmlformats.org/officeDocument/2006/relationships/hyperlink" Target="https://docs.google.com/spreadsheets/d/1NK2sWdZ56nvwYGdljL9apqTpTEsgSfs7RGRBuSZSXGc/edit" TargetMode="External"/><Relationship Id="rId96" Type="http://schemas.openxmlformats.org/officeDocument/2006/relationships/hyperlink" Target="https://docs.google.com/spreadsheets/d/1NK2sWdZ56nvwYGdljL9apqTpTEsgSfs7RGRBuSZSXGc/edit" TargetMode="External"/><Relationship Id="rId99" Type="http://schemas.openxmlformats.org/officeDocument/2006/relationships/hyperlink" Target="https://docs.google.com/spreadsheets/d/1NK2sWdZ56nvwYGdljL9apqTpTEsgSfs7RGRBuSZSXGc/edit" TargetMode="External"/><Relationship Id="rId98" Type="http://schemas.openxmlformats.org/officeDocument/2006/relationships/hyperlink" Target="https://docs.google.com/spreadsheets/d/1NK2sWdZ56nvwYGdljL9apqTpTEsgSfs7RGRBuSZSXGc/edit" TargetMode="External"/><Relationship Id="rId91" Type="http://schemas.openxmlformats.org/officeDocument/2006/relationships/hyperlink" Target="https://docs.google.com/spreadsheets/d/1D-5JVjPyOCgWgSIE4x1tBoAGFXTCMLXSo5LEkandlJk/edit" TargetMode="External"/><Relationship Id="rId90" Type="http://schemas.openxmlformats.org/officeDocument/2006/relationships/hyperlink" Target="https://docs.google.com/spreadsheets/d/1D-5JVjPyOCgWgSIE4x1tBoAGFXTCMLXSo5LEkandlJk/edit" TargetMode="External"/><Relationship Id="rId93" Type="http://schemas.openxmlformats.org/officeDocument/2006/relationships/hyperlink" Target="https://docs.google.com/spreadsheets/d/1bT4qpf57MVAesA1E2n_qPrS_w_it84nU0eT3kVTUUsA/edit" TargetMode="External"/><Relationship Id="rId92" Type="http://schemas.openxmlformats.org/officeDocument/2006/relationships/hyperlink" Target="https://docs.google.com/spreadsheets/d/1bT4qpf57MVAesA1E2n_qPrS_w_it84nU0eT3kVTUUsA/edit" TargetMode="External"/><Relationship Id="rId118" Type="http://schemas.openxmlformats.org/officeDocument/2006/relationships/hyperlink" Target="https://docs.google.com/spreadsheets/d/1Z--4m810vKqo05mXwz2th2vMbbO1rn_Olts3q7oi994/edit" TargetMode="External"/><Relationship Id="rId117" Type="http://schemas.openxmlformats.org/officeDocument/2006/relationships/hyperlink" Target="https://docs.google.com/spreadsheets/d/1Z--4m810vKqo05mXwz2th2vMbbO1rn_Olts3q7oi994/edit" TargetMode="External"/><Relationship Id="rId116" Type="http://schemas.openxmlformats.org/officeDocument/2006/relationships/hyperlink" Target="https://docs.google.com/spreadsheets/d/1Z--4m810vKqo05mXwz2th2vMbbO1rn_Olts3q7oi994/edit" TargetMode="External"/><Relationship Id="rId115" Type="http://schemas.openxmlformats.org/officeDocument/2006/relationships/hyperlink" Target="https://docs.google.com/spreadsheets/d/1Z--4m810vKqo05mXwz2th2vMbbO1rn_Olts3q7oi994/edit" TargetMode="External"/><Relationship Id="rId119" Type="http://schemas.openxmlformats.org/officeDocument/2006/relationships/hyperlink" Target="https://docs.google.com/spreadsheets/d/19soMnxXX2fSzJaXFKd8QeCkWXPgVEAF2tpzAzTmAeOU/edit" TargetMode="External"/><Relationship Id="rId110" Type="http://schemas.openxmlformats.org/officeDocument/2006/relationships/hyperlink" Target="https://docs.google.com/spreadsheets/d/199QF_5XnFmOjmj4wkei9HGcg58ODat4P24aJ9CLLj7w/edit" TargetMode="External"/><Relationship Id="rId114" Type="http://schemas.openxmlformats.org/officeDocument/2006/relationships/hyperlink" Target="https://docs.google.com/spreadsheets/d/1lTxDGKa2YuxfvcfCdIOCE_s9HaAU0n7qp2_ObFy8-pQ/edit" TargetMode="External"/><Relationship Id="rId113" Type="http://schemas.openxmlformats.org/officeDocument/2006/relationships/hyperlink" Target="https://docs.google.com/spreadsheets/d/1lTxDGKa2YuxfvcfCdIOCE_s9HaAU0n7qp2_ObFy8-pQ/edit" TargetMode="External"/><Relationship Id="rId112" Type="http://schemas.openxmlformats.org/officeDocument/2006/relationships/hyperlink" Target="https://docs.google.com/spreadsheets/d/1lTxDGKa2YuxfvcfCdIOCE_s9HaAU0n7qp2_ObFy8-pQ/edit" TargetMode="External"/><Relationship Id="rId111" Type="http://schemas.openxmlformats.org/officeDocument/2006/relationships/hyperlink" Target="https://docs.google.com/spreadsheets/d/1lTxDGKa2YuxfvcfCdIOCE_s9HaAU0n7qp2_ObFy8-pQ/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spreadsheets/d/1E2OZ58qJKubXlCxrPlnFSafC3vilpCdZ052sLj2xiNg/edit" TargetMode="External"/><Relationship Id="rId2" Type="http://schemas.openxmlformats.org/officeDocument/2006/relationships/hyperlink" Target="https://docs.google.com/spreadsheets/d/1E2OZ58qJKubXlCxrPlnFSafC3vilpCdZ052sLj2xiNg/edit" TargetMode="External"/><Relationship Id="rId3" Type="http://schemas.openxmlformats.org/officeDocument/2006/relationships/hyperlink" Target="https://docs.google.com/spreadsheets/d/1E2OZ58qJKubXlCxrPlnFSafC3vilpCdZ052sLj2xiNg/edit" TargetMode="External"/><Relationship Id="rId4" Type="http://schemas.openxmlformats.org/officeDocument/2006/relationships/hyperlink" Target="https://docs.google.com/spreadsheets/d/1E2OZ58qJKubXlCxrPlnFSafC3vilpCdZ052sLj2xiNg/edit" TargetMode="External"/><Relationship Id="rId9" Type="http://schemas.openxmlformats.org/officeDocument/2006/relationships/hyperlink" Target="https://docs.google.com/spreadsheets/d/1RfE_49J_E7ywzmdgn0v5O-3lTDk9bpxbBvbtx18ZTZg/edit" TargetMode="External"/><Relationship Id="rId5" Type="http://schemas.openxmlformats.org/officeDocument/2006/relationships/hyperlink" Target="https://docs.google.com/spreadsheets/d/1E2OZ58qJKubXlCxrPlnFSafC3vilpCdZ052sLj2xiNg/edit" TargetMode="External"/><Relationship Id="rId6" Type="http://schemas.openxmlformats.org/officeDocument/2006/relationships/hyperlink" Target="https://docs.google.com/spreadsheets/d/1E2OZ58qJKubXlCxrPlnFSafC3vilpCdZ052sLj2xiNg/edit" TargetMode="External"/><Relationship Id="rId7" Type="http://schemas.openxmlformats.org/officeDocument/2006/relationships/hyperlink" Target="https://docs.google.com/spreadsheets/d/1E2OZ58qJKubXlCxrPlnFSafC3vilpCdZ052sLj2xiNg/edit" TargetMode="External"/><Relationship Id="rId8" Type="http://schemas.openxmlformats.org/officeDocument/2006/relationships/hyperlink" Target="https://docs.google.com/spreadsheets/d/1E2OZ58qJKubXlCxrPlnFSafC3vilpCdZ052sLj2xiNg/edit" TargetMode="External"/><Relationship Id="rId11" Type="http://schemas.openxmlformats.org/officeDocument/2006/relationships/hyperlink" Target="https://docs.google.com/spreadsheets/d/1RfE_49J_E7ywzmdgn0v5O-3lTDk9bpxbBvbtx18ZTZg/edit" TargetMode="External"/><Relationship Id="rId10" Type="http://schemas.openxmlformats.org/officeDocument/2006/relationships/hyperlink" Target="https://docs.google.com/spreadsheets/d/1RfE_49J_E7ywzmdgn0v5O-3lTDk9bpxbBvbtx18ZTZg/edit" TargetMode="External"/><Relationship Id="rId13" Type="http://schemas.openxmlformats.org/officeDocument/2006/relationships/hyperlink" Target="https://docs.google.com/spreadsheets/d/1RfE_49J_E7ywzmdgn0v5O-3lTDk9bpxbBvbtx18ZTZg/edit" TargetMode="External"/><Relationship Id="rId12" Type="http://schemas.openxmlformats.org/officeDocument/2006/relationships/hyperlink" Target="https://docs.google.com/spreadsheets/d/1RfE_49J_E7ywzmdgn0v5O-3lTDk9bpxbBvbtx18ZTZg/edit" TargetMode="External"/><Relationship Id="rId15" Type="http://schemas.openxmlformats.org/officeDocument/2006/relationships/hyperlink" Target="https://docs.google.com/spreadsheets/d/1RfE_49J_E7ywzmdgn0v5O-3lTDk9bpxbBvbtx18ZTZg/edit" TargetMode="External"/><Relationship Id="rId14" Type="http://schemas.openxmlformats.org/officeDocument/2006/relationships/hyperlink" Target="https://docs.google.com/spreadsheets/d/1RfE_49J_E7ywzmdgn0v5O-3lTDk9bpxbBvbtx18ZTZg/edit" TargetMode="External"/><Relationship Id="rId17" Type="http://schemas.openxmlformats.org/officeDocument/2006/relationships/hyperlink" Target="https://docs.google.com/spreadsheets/d/1l6PZEXsQCro3Z7HHq4ptxDmuRoZW63WAYCB6UJN6sKI/edit" TargetMode="External"/><Relationship Id="rId16" Type="http://schemas.openxmlformats.org/officeDocument/2006/relationships/hyperlink" Target="https://docs.google.com/spreadsheets/d/1RfE_49J_E7ywzmdgn0v5O-3lTDk9bpxbBvbtx18ZTZg/edit" TargetMode="External"/><Relationship Id="rId1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ebJ88pSqCnb07kYRC0h-9hFD9sYwNw-z0H8ZTidCoPs/edit" TargetMode="External"/><Relationship Id="rId2" Type="http://schemas.openxmlformats.org/officeDocument/2006/relationships/hyperlink" Target="https://docs.google.com/spreadsheets/d/1ebJ88pSqCnb07kYRC0h-9hFD9sYwNw-z0H8ZTidCoPs/edit" TargetMode="External"/><Relationship Id="rId3" Type="http://schemas.openxmlformats.org/officeDocument/2006/relationships/hyperlink" Target="https://docs.google.com/spreadsheets/d/1ebJ88pSqCnb07kYRC0h-9hFD9sYwNw-z0H8ZTidCoPs/edit" TargetMode="External"/><Relationship Id="rId4" Type="http://schemas.openxmlformats.org/officeDocument/2006/relationships/hyperlink" Target="https://docs.google.com/spreadsheets/d/1ebJ88pSqCnb07kYRC0h-9hFD9sYwNw-z0H8ZTidCoPs/edit" TargetMode="External"/><Relationship Id="rId9" Type="http://schemas.openxmlformats.org/officeDocument/2006/relationships/hyperlink" Target="https://docs.google.com/spreadsheets/d/19PPRhGWnzpk-zdi2HbSh17iM2bINQU45LVYTUHNjxBQ/edit" TargetMode="External"/><Relationship Id="rId143" Type="http://schemas.openxmlformats.org/officeDocument/2006/relationships/hyperlink" Target="https://docs.google.com/spreadsheets/d/1QEdYm-Yk8kaDG4jtueBiruQRgIKkGKw8riOf-oy68mA/edit" TargetMode="External"/><Relationship Id="rId142" Type="http://schemas.openxmlformats.org/officeDocument/2006/relationships/hyperlink" Target="https://docs.google.com/spreadsheets/d/1QEdYm-Yk8kaDG4jtueBiruQRgIKkGKw8riOf-oy68mA/edit" TargetMode="External"/><Relationship Id="rId141" Type="http://schemas.openxmlformats.org/officeDocument/2006/relationships/hyperlink" Target="https://docs.google.com/spreadsheets/d/1QEdYm-Yk8kaDG4jtueBiruQRgIKkGKw8riOf-oy68mA/edit" TargetMode="External"/><Relationship Id="rId140" Type="http://schemas.openxmlformats.org/officeDocument/2006/relationships/hyperlink" Target="https://docs.google.com/spreadsheets/d/1QEdYm-Yk8kaDG4jtueBiruQRgIKkGKw8riOf-oy68mA/edit" TargetMode="External"/><Relationship Id="rId5" Type="http://schemas.openxmlformats.org/officeDocument/2006/relationships/hyperlink" Target="https://docs.google.com/spreadsheets/d/19PPRhGWnzpk-zdi2HbSh17iM2bINQU45LVYTUHNjxBQ/edit" TargetMode="External"/><Relationship Id="rId6" Type="http://schemas.openxmlformats.org/officeDocument/2006/relationships/hyperlink" Target="https://docs.google.com/spreadsheets/d/19PPRhGWnzpk-zdi2HbSh17iM2bINQU45LVYTUHNjxBQ/edit" TargetMode="External"/><Relationship Id="rId7" Type="http://schemas.openxmlformats.org/officeDocument/2006/relationships/hyperlink" Target="https://docs.google.com/spreadsheets/d/19PPRhGWnzpk-zdi2HbSh17iM2bINQU45LVYTUHNjxBQ/edit" TargetMode="External"/><Relationship Id="rId8" Type="http://schemas.openxmlformats.org/officeDocument/2006/relationships/hyperlink" Target="https://docs.google.com/spreadsheets/d/19PPRhGWnzpk-zdi2HbSh17iM2bINQU45LVYTUHNjxBQ/edit" TargetMode="External"/><Relationship Id="rId144" Type="http://schemas.openxmlformats.org/officeDocument/2006/relationships/drawing" Target="../drawings/drawing26.xml"/><Relationship Id="rId139" Type="http://schemas.openxmlformats.org/officeDocument/2006/relationships/hyperlink" Target="https://docs.google.com/spreadsheets/d/1QEdYm-Yk8kaDG4jtueBiruQRgIKkGKw8riOf-oy68mA/edit" TargetMode="External"/><Relationship Id="rId138" Type="http://schemas.openxmlformats.org/officeDocument/2006/relationships/hyperlink" Target="https://docs.google.com/spreadsheets/d/1QEdYm-Yk8kaDG4jtueBiruQRgIKkGKw8riOf-oy68mA/edit" TargetMode="External"/><Relationship Id="rId137" Type="http://schemas.openxmlformats.org/officeDocument/2006/relationships/hyperlink" Target="https://docs.google.com/spreadsheets/d/1QEdYm-Yk8kaDG4jtueBiruQRgIKkGKw8riOf-oy68mA/edit" TargetMode="External"/><Relationship Id="rId132" Type="http://schemas.openxmlformats.org/officeDocument/2006/relationships/hyperlink" Target="https://docs.google.com/spreadsheets/d/1QEdYm-Yk8kaDG4jtueBiruQRgIKkGKw8riOf-oy68mA/edit" TargetMode="External"/><Relationship Id="rId131" Type="http://schemas.openxmlformats.org/officeDocument/2006/relationships/hyperlink" Target="https://docs.google.com/spreadsheets/d/1QEdYm-Yk8kaDG4jtueBiruQRgIKkGKw8riOf-oy68mA/edit" TargetMode="External"/><Relationship Id="rId130" Type="http://schemas.openxmlformats.org/officeDocument/2006/relationships/hyperlink" Target="https://docs.google.com/spreadsheets/d/1QEdYm-Yk8kaDG4jtueBiruQRgIKkGKw8riOf-oy68mA/edit" TargetMode="External"/><Relationship Id="rId136" Type="http://schemas.openxmlformats.org/officeDocument/2006/relationships/hyperlink" Target="https://docs.google.com/spreadsheets/d/1QEdYm-Yk8kaDG4jtueBiruQRgIKkGKw8riOf-oy68mA/edit" TargetMode="External"/><Relationship Id="rId135" Type="http://schemas.openxmlformats.org/officeDocument/2006/relationships/hyperlink" Target="https://docs.google.com/spreadsheets/d/1QEdYm-Yk8kaDG4jtueBiruQRgIKkGKw8riOf-oy68mA/edit" TargetMode="External"/><Relationship Id="rId134" Type="http://schemas.openxmlformats.org/officeDocument/2006/relationships/hyperlink" Target="https://docs.google.com/spreadsheets/d/1QEdYm-Yk8kaDG4jtueBiruQRgIKkGKw8riOf-oy68mA/edit" TargetMode="External"/><Relationship Id="rId133" Type="http://schemas.openxmlformats.org/officeDocument/2006/relationships/hyperlink" Target="https://docs.google.com/spreadsheets/d/1QEdYm-Yk8kaDG4jtueBiruQRgIKkGKw8riOf-oy68mA/edit" TargetMode="External"/><Relationship Id="rId40" Type="http://schemas.openxmlformats.org/officeDocument/2006/relationships/hyperlink" Target="https://docs.google.com/spreadsheets/d/1-pHzIJhCKy4m1o9T72VmxzmRyWayK9mF6u3YNK3dU-o/edit" TargetMode="External"/><Relationship Id="rId42" Type="http://schemas.openxmlformats.org/officeDocument/2006/relationships/hyperlink" Target="https://docs.google.com/spreadsheets/d/1-pHzIJhCKy4m1o9T72VmxzmRyWayK9mF6u3YNK3dU-o/edit" TargetMode="External"/><Relationship Id="rId41" Type="http://schemas.openxmlformats.org/officeDocument/2006/relationships/hyperlink" Target="https://docs.google.com/spreadsheets/d/1-pHzIJhCKy4m1o9T72VmxzmRyWayK9mF6u3YNK3dU-o/edit" TargetMode="External"/><Relationship Id="rId44" Type="http://schemas.openxmlformats.org/officeDocument/2006/relationships/hyperlink" Target="https://docs.google.com/spreadsheets/d/1-pHzIJhCKy4m1o9T72VmxzmRyWayK9mF6u3YNK3dU-o/edit" TargetMode="External"/><Relationship Id="rId43" Type="http://schemas.openxmlformats.org/officeDocument/2006/relationships/hyperlink" Target="https://docs.google.com/spreadsheets/d/1-pHzIJhCKy4m1o9T72VmxzmRyWayK9mF6u3YNK3dU-o/edit" TargetMode="External"/><Relationship Id="rId46" Type="http://schemas.openxmlformats.org/officeDocument/2006/relationships/hyperlink" Target="https://docs.google.com/spreadsheets/d/10Sxgm0pUMUx-kVhsBh-4p682nKGEVGRd4vaH8Rkih-0/edit" TargetMode="External"/><Relationship Id="rId45" Type="http://schemas.openxmlformats.org/officeDocument/2006/relationships/hyperlink" Target="https://docs.google.com/spreadsheets/d/1-pHzIJhCKy4m1o9T72VmxzmRyWayK9mF6u3YNK3dU-o/edit" TargetMode="External"/><Relationship Id="rId48" Type="http://schemas.openxmlformats.org/officeDocument/2006/relationships/hyperlink" Target="https://docs.google.com/spreadsheets/d/10Sxgm0pUMUx-kVhsBh-4p682nKGEVGRd4vaH8Rkih-0/edit" TargetMode="External"/><Relationship Id="rId47" Type="http://schemas.openxmlformats.org/officeDocument/2006/relationships/hyperlink" Target="https://docs.google.com/spreadsheets/d/10Sxgm0pUMUx-kVhsBh-4p682nKGEVGRd4vaH8Rkih-0/edit" TargetMode="External"/><Relationship Id="rId49" Type="http://schemas.openxmlformats.org/officeDocument/2006/relationships/hyperlink" Target="https://docs.google.com/spreadsheets/d/10Sxgm0pUMUx-kVhsBh-4p682nKGEVGRd4vaH8Rkih-0/edit" TargetMode="External"/><Relationship Id="rId31" Type="http://schemas.openxmlformats.org/officeDocument/2006/relationships/hyperlink" Target="https://docs.google.com/spreadsheets/d/1-pHzIJhCKy4m1o9T72VmxzmRyWayK9mF6u3YNK3dU-o/edit" TargetMode="External"/><Relationship Id="rId30" Type="http://schemas.openxmlformats.org/officeDocument/2006/relationships/hyperlink" Target="https://docs.google.com/spreadsheets/d/1-pHzIJhCKy4m1o9T72VmxzmRyWayK9mF6u3YNK3dU-o/edit" TargetMode="External"/><Relationship Id="rId33" Type="http://schemas.openxmlformats.org/officeDocument/2006/relationships/hyperlink" Target="https://docs.google.com/spreadsheets/d/1-pHzIJhCKy4m1o9T72VmxzmRyWayK9mF6u3YNK3dU-o/edit" TargetMode="External"/><Relationship Id="rId32" Type="http://schemas.openxmlformats.org/officeDocument/2006/relationships/hyperlink" Target="https://docs.google.com/spreadsheets/d/1-pHzIJhCKy4m1o9T72VmxzmRyWayK9mF6u3YNK3dU-o/edit" TargetMode="External"/><Relationship Id="rId35" Type="http://schemas.openxmlformats.org/officeDocument/2006/relationships/hyperlink" Target="https://docs.google.com/spreadsheets/d/1-pHzIJhCKy4m1o9T72VmxzmRyWayK9mF6u3YNK3dU-o/edit" TargetMode="External"/><Relationship Id="rId34" Type="http://schemas.openxmlformats.org/officeDocument/2006/relationships/hyperlink" Target="https://docs.google.com/spreadsheets/d/1-pHzIJhCKy4m1o9T72VmxzmRyWayK9mF6u3YNK3dU-o/edit" TargetMode="External"/><Relationship Id="rId37" Type="http://schemas.openxmlformats.org/officeDocument/2006/relationships/hyperlink" Target="https://docs.google.com/spreadsheets/d/1-pHzIJhCKy4m1o9T72VmxzmRyWayK9mF6u3YNK3dU-o/edit" TargetMode="External"/><Relationship Id="rId36" Type="http://schemas.openxmlformats.org/officeDocument/2006/relationships/hyperlink" Target="https://docs.google.com/spreadsheets/d/1-pHzIJhCKy4m1o9T72VmxzmRyWayK9mF6u3YNK3dU-o/edit" TargetMode="External"/><Relationship Id="rId39" Type="http://schemas.openxmlformats.org/officeDocument/2006/relationships/hyperlink" Target="https://docs.google.com/spreadsheets/d/1-pHzIJhCKy4m1o9T72VmxzmRyWayK9mF6u3YNK3dU-o/edit" TargetMode="External"/><Relationship Id="rId38" Type="http://schemas.openxmlformats.org/officeDocument/2006/relationships/hyperlink" Target="https://docs.google.com/spreadsheets/d/1-pHzIJhCKy4m1o9T72VmxzmRyWayK9mF6u3YNK3dU-o/edit" TargetMode="External"/><Relationship Id="rId20" Type="http://schemas.openxmlformats.org/officeDocument/2006/relationships/hyperlink" Target="https://docs.google.com/spreadsheets/d/1ebJ88pSqCnb07kYRC0h-9hFD9sYwNw-z0H8ZTidCoPs/edit" TargetMode="External"/><Relationship Id="rId22" Type="http://schemas.openxmlformats.org/officeDocument/2006/relationships/hyperlink" Target="https://docs.google.com/spreadsheets/d/1-pHzIJhCKy4m1o9T72VmxzmRyWayK9mF6u3YNK3dU-o/edit" TargetMode="External"/><Relationship Id="rId21" Type="http://schemas.openxmlformats.org/officeDocument/2006/relationships/hyperlink" Target="https://docs.google.com/spreadsheets/d/1-pHzIJhCKy4m1o9T72VmxzmRyWayK9mF6u3YNK3dU-o/edit" TargetMode="External"/><Relationship Id="rId24" Type="http://schemas.openxmlformats.org/officeDocument/2006/relationships/hyperlink" Target="https://docs.google.com/spreadsheets/d/1-pHzIJhCKy4m1o9T72VmxzmRyWayK9mF6u3YNK3dU-o/edit" TargetMode="External"/><Relationship Id="rId23" Type="http://schemas.openxmlformats.org/officeDocument/2006/relationships/hyperlink" Target="https://docs.google.com/spreadsheets/d/1-pHzIJhCKy4m1o9T72VmxzmRyWayK9mF6u3YNK3dU-o/edit" TargetMode="External"/><Relationship Id="rId26" Type="http://schemas.openxmlformats.org/officeDocument/2006/relationships/hyperlink" Target="https://docs.google.com/spreadsheets/d/1-pHzIJhCKy4m1o9T72VmxzmRyWayK9mF6u3YNK3dU-o/edit" TargetMode="External"/><Relationship Id="rId25" Type="http://schemas.openxmlformats.org/officeDocument/2006/relationships/hyperlink" Target="https://docs.google.com/spreadsheets/d/1-pHzIJhCKy4m1o9T72VmxzmRyWayK9mF6u3YNK3dU-o/edit" TargetMode="External"/><Relationship Id="rId28" Type="http://schemas.openxmlformats.org/officeDocument/2006/relationships/hyperlink" Target="https://docs.google.com/spreadsheets/d/1-pHzIJhCKy4m1o9T72VmxzmRyWayK9mF6u3YNK3dU-o/edit" TargetMode="External"/><Relationship Id="rId27" Type="http://schemas.openxmlformats.org/officeDocument/2006/relationships/hyperlink" Target="https://docs.google.com/spreadsheets/d/1-pHzIJhCKy4m1o9T72VmxzmRyWayK9mF6u3YNK3dU-o/edit" TargetMode="External"/><Relationship Id="rId29" Type="http://schemas.openxmlformats.org/officeDocument/2006/relationships/hyperlink" Target="https://docs.google.com/spreadsheets/d/1-pHzIJhCKy4m1o9T72VmxzmRyWayK9mF6u3YNK3dU-o/edit" TargetMode="External"/><Relationship Id="rId11" Type="http://schemas.openxmlformats.org/officeDocument/2006/relationships/hyperlink" Target="https://docs.google.com/spreadsheets/d/19PPRhGWnzpk-zdi2HbSh17iM2bINQU45LVYTUHNjxBQ/edit" TargetMode="External"/><Relationship Id="rId10" Type="http://schemas.openxmlformats.org/officeDocument/2006/relationships/hyperlink" Target="https://docs.google.com/spreadsheets/d/19PPRhGWnzpk-zdi2HbSh17iM2bINQU45LVYTUHNjxBQ/edit" TargetMode="External"/><Relationship Id="rId13" Type="http://schemas.openxmlformats.org/officeDocument/2006/relationships/hyperlink" Target="https://docs.google.com/spreadsheets/d/19PPRhGWnzpk-zdi2HbSh17iM2bINQU45LVYTUHNjxBQ/edit" TargetMode="External"/><Relationship Id="rId12" Type="http://schemas.openxmlformats.org/officeDocument/2006/relationships/hyperlink" Target="https://docs.google.com/spreadsheets/d/19PPRhGWnzpk-zdi2HbSh17iM2bINQU45LVYTUHNjxBQ/edit" TargetMode="External"/><Relationship Id="rId15" Type="http://schemas.openxmlformats.org/officeDocument/2006/relationships/hyperlink" Target="https://docs.google.com/spreadsheets/d/1ebJ88pSqCnb07kYRC0h-9hFD9sYwNw-z0H8ZTidCoPs/edit" TargetMode="External"/><Relationship Id="rId14" Type="http://schemas.openxmlformats.org/officeDocument/2006/relationships/hyperlink" Target="https://docs.google.com/spreadsheets/d/19PPRhGWnzpk-zdi2HbSh17iM2bINQU45LVYTUHNjxBQ/edit" TargetMode="External"/><Relationship Id="rId17" Type="http://schemas.openxmlformats.org/officeDocument/2006/relationships/hyperlink" Target="https://docs.google.com/spreadsheets/d/1ebJ88pSqCnb07kYRC0h-9hFD9sYwNw-z0H8ZTidCoPs/edit" TargetMode="External"/><Relationship Id="rId16" Type="http://schemas.openxmlformats.org/officeDocument/2006/relationships/hyperlink" Target="https://docs.google.com/spreadsheets/d/1ebJ88pSqCnb07kYRC0h-9hFD9sYwNw-z0H8ZTidCoPs/edit" TargetMode="External"/><Relationship Id="rId19" Type="http://schemas.openxmlformats.org/officeDocument/2006/relationships/hyperlink" Target="https://docs.google.com/spreadsheets/d/1ebJ88pSqCnb07kYRC0h-9hFD9sYwNw-z0H8ZTidCoPs/edit" TargetMode="External"/><Relationship Id="rId18" Type="http://schemas.openxmlformats.org/officeDocument/2006/relationships/hyperlink" Target="https://docs.google.com/spreadsheets/d/1ebJ88pSqCnb07kYRC0h-9hFD9sYwNw-z0H8ZTidCoPs/edit" TargetMode="External"/><Relationship Id="rId84" Type="http://schemas.openxmlformats.org/officeDocument/2006/relationships/hyperlink" Target="https://docs.google.com/spreadsheets/d/1QNImKsmZ_Coz0K8xe49g8INibUsZLL6zyGJlVVFQzr8/edit" TargetMode="External"/><Relationship Id="rId83" Type="http://schemas.openxmlformats.org/officeDocument/2006/relationships/hyperlink" Target="https://docs.google.com/spreadsheets/d/1QNImKsmZ_Coz0K8xe49g8INibUsZLL6zyGJlVVFQzr8/edit" TargetMode="External"/><Relationship Id="rId86" Type="http://schemas.openxmlformats.org/officeDocument/2006/relationships/hyperlink" Target="https://docs.google.com/spreadsheets/d/1QNImKsmZ_Coz0K8xe49g8INibUsZLL6zyGJlVVFQzr8/edit" TargetMode="External"/><Relationship Id="rId85" Type="http://schemas.openxmlformats.org/officeDocument/2006/relationships/hyperlink" Target="https://docs.google.com/spreadsheets/d/1QNImKsmZ_Coz0K8xe49g8INibUsZLL6zyGJlVVFQzr8/edit" TargetMode="External"/><Relationship Id="rId88" Type="http://schemas.openxmlformats.org/officeDocument/2006/relationships/hyperlink" Target="https://docs.google.com/spreadsheets/d/1QNImKsmZ_Coz0K8xe49g8INibUsZLL6zyGJlVVFQzr8/edit" TargetMode="External"/><Relationship Id="rId87" Type="http://schemas.openxmlformats.org/officeDocument/2006/relationships/hyperlink" Target="https://docs.google.com/spreadsheets/d/1QNImKsmZ_Coz0K8xe49g8INibUsZLL6zyGJlVVFQzr8/edit" TargetMode="External"/><Relationship Id="rId89" Type="http://schemas.openxmlformats.org/officeDocument/2006/relationships/hyperlink" Target="https://docs.google.com/spreadsheets/d/1QNImKsmZ_Coz0K8xe49g8INibUsZLL6zyGJlVVFQzr8/edit" TargetMode="External"/><Relationship Id="rId80" Type="http://schemas.openxmlformats.org/officeDocument/2006/relationships/hyperlink" Target="https://docs.google.com/spreadsheets/d/1QNImKsmZ_Coz0K8xe49g8INibUsZLL6zyGJlVVFQzr8/edit" TargetMode="External"/><Relationship Id="rId82" Type="http://schemas.openxmlformats.org/officeDocument/2006/relationships/hyperlink" Target="https://docs.google.com/spreadsheets/d/1QNImKsmZ_Coz0K8xe49g8INibUsZLL6zyGJlVVFQzr8/edit" TargetMode="External"/><Relationship Id="rId81" Type="http://schemas.openxmlformats.org/officeDocument/2006/relationships/hyperlink" Target="https://docs.google.com/spreadsheets/d/1QNImKsmZ_Coz0K8xe49g8INibUsZLL6zyGJlVVFQzr8/edit" TargetMode="External"/><Relationship Id="rId73" Type="http://schemas.openxmlformats.org/officeDocument/2006/relationships/hyperlink" Target="https://docs.google.com/spreadsheets/d/1vnRfv6B9AVNDvVp-0e8rM4zwucrLYZXUoLnm35rSRWQ/edit" TargetMode="External"/><Relationship Id="rId72" Type="http://schemas.openxmlformats.org/officeDocument/2006/relationships/hyperlink" Target="https://docs.google.com/spreadsheets/d/1vnRfv6B9AVNDvVp-0e8rM4zwucrLYZXUoLnm35rSRWQ/edit" TargetMode="External"/><Relationship Id="rId75" Type="http://schemas.openxmlformats.org/officeDocument/2006/relationships/hyperlink" Target="https://docs.google.com/spreadsheets/d/1QNImKsmZ_Coz0K8xe49g8INibUsZLL6zyGJlVVFQzr8/edit" TargetMode="External"/><Relationship Id="rId74" Type="http://schemas.openxmlformats.org/officeDocument/2006/relationships/hyperlink" Target="https://docs.google.com/spreadsheets/d/1vnRfv6B9AVNDvVp-0e8rM4zwucrLYZXUoLnm35rSRWQ/edit" TargetMode="External"/><Relationship Id="rId77" Type="http://schemas.openxmlformats.org/officeDocument/2006/relationships/hyperlink" Target="https://docs.google.com/spreadsheets/d/1QNImKsmZ_Coz0K8xe49g8INibUsZLL6zyGJlVVFQzr8/edit" TargetMode="External"/><Relationship Id="rId76" Type="http://schemas.openxmlformats.org/officeDocument/2006/relationships/hyperlink" Target="https://docs.google.com/spreadsheets/d/1QNImKsmZ_Coz0K8xe49g8INibUsZLL6zyGJlVVFQzr8/edit" TargetMode="External"/><Relationship Id="rId79" Type="http://schemas.openxmlformats.org/officeDocument/2006/relationships/hyperlink" Target="https://docs.google.com/spreadsheets/d/1QNImKsmZ_Coz0K8xe49g8INibUsZLL6zyGJlVVFQzr8/edit" TargetMode="External"/><Relationship Id="rId78" Type="http://schemas.openxmlformats.org/officeDocument/2006/relationships/hyperlink" Target="https://docs.google.com/spreadsheets/d/1QNImKsmZ_Coz0K8xe49g8INibUsZLL6zyGJlVVFQzr8/edit" TargetMode="External"/><Relationship Id="rId71" Type="http://schemas.openxmlformats.org/officeDocument/2006/relationships/hyperlink" Target="https://docs.google.com/spreadsheets/d/1vnRfv6B9AVNDvVp-0e8rM4zwucrLYZXUoLnm35rSRWQ/edit" TargetMode="External"/><Relationship Id="rId70" Type="http://schemas.openxmlformats.org/officeDocument/2006/relationships/hyperlink" Target="https://docs.google.com/spreadsheets/d/1vnRfv6B9AVNDvVp-0e8rM4zwucrLYZXUoLnm35rSRWQ/edit" TargetMode="External"/><Relationship Id="rId62" Type="http://schemas.openxmlformats.org/officeDocument/2006/relationships/hyperlink" Target="https://docs.google.com/spreadsheets/d/1vnRfv6B9AVNDvVp-0e8rM4zwucrLYZXUoLnm35rSRWQ/edit" TargetMode="External"/><Relationship Id="rId61" Type="http://schemas.openxmlformats.org/officeDocument/2006/relationships/hyperlink" Target="https://docs.google.com/spreadsheets/d/1vnRfv6B9AVNDvVp-0e8rM4zwucrLYZXUoLnm35rSRWQ/edit" TargetMode="External"/><Relationship Id="rId64" Type="http://schemas.openxmlformats.org/officeDocument/2006/relationships/hyperlink" Target="https://docs.google.com/spreadsheets/d/1vnRfv6B9AVNDvVp-0e8rM4zwucrLYZXUoLnm35rSRWQ/edit" TargetMode="External"/><Relationship Id="rId63" Type="http://schemas.openxmlformats.org/officeDocument/2006/relationships/hyperlink" Target="https://docs.google.com/spreadsheets/d/1vnRfv6B9AVNDvVp-0e8rM4zwucrLYZXUoLnm35rSRWQ/edit" TargetMode="External"/><Relationship Id="rId66" Type="http://schemas.openxmlformats.org/officeDocument/2006/relationships/hyperlink" Target="https://docs.google.com/spreadsheets/d/1vnRfv6B9AVNDvVp-0e8rM4zwucrLYZXUoLnm35rSRWQ/edit" TargetMode="External"/><Relationship Id="rId65" Type="http://schemas.openxmlformats.org/officeDocument/2006/relationships/hyperlink" Target="https://docs.google.com/spreadsheets/d/1vnRfv6B9AVNDvVp-0e8rM4zwucrLYZXUoLnm35rSRWQ/edit" TargetMode="External"/><Relationship Id="rId68" Type="http://schemas.openxmlformats.org/officeDocument/2006/relationships/hyperlink" Target="https://docs.google.com/spreadsheets/d/1vnRfv6B9AVNDvVp-0e8rM4zwucrLYZXUoLnm35rSRWQ/edit" TargetMode="External"/><Relationship Id="rId67" Type="http://schemas.openxmlformats.org/officeDocument/2006/relationships/hyperlink" Target="https://docs.google.com/spreadsheets/d/1vnRfv6B9AVNDvVp-0e8rM4zwucrLYZXUoLnm35rSRWQ/edit" TargetMode="External"/><Relationship Id="rId60" Type="http://schemas.openxmlformats.org/officeDocument/2006/relationships/hyperlink" Target="https://docs.google.com/spreadsheets/d/10Sxgm0pUMUx-kVhsBh-4p682nKGEVGRd4vaH8Rkih-0/edit" TargetMode="External"/><Relationship Id="rId69" Type="http://schemas.openxmlformats.org/officeDocument/2006/relationships/hyperlink" Target="https://docs.google.com/spreadsheets/d/1vnRfv6B9AVNDvVp-0e8rM4zwucrLYZXUoLnm35rSRWQ/edit" TargetMode="External"/><Relationship Id="rId51" Type="http://schemas.openxmlformats.org/officeDocument/2006/relationships/hyperlink" Target="https://docs.google.com/spreadsheets/d/10Sxgm0pUMUx-kVhsBh-4p682nKGEVGRd4vaH8Rkih-0/edit" TargetMode="External"/><Relationship Id="rId50" Type="http://schemas.openxmlformats.org/officeDocument/2006/relationships/hyperlink" Target="https://docs.google.com/spreadsheets/d/10Sxgm0pUMUx-kVhsBh-4p682nKGEVGRd4vaH8Rkih-0/edit" TargetMode="External"/><Relationship Id="rId53" Type="http://schemas.openxmlformats.org/officeDocument/2006/relationships/hyperlink" Target="https://docs.google.com/spreadsheets/d/10Sxgm0pUMUx-kVhsBh-4p682nKGEVGRd4vaH8Rkih-0/edit" TargetMode="External"/><Relationship Id="rId52" Type="http://schemas.openxmlformats.org/officeDocument/2006/relationships/hyperlink" Target="https://docs.google.com/spreadsheets/d/10Sxgm0pUMUx-kVhsBh-4p682nKGEVGRd4vaH8Rkih-0/edit" TargetMode="External"/><Relationship Id="rId55" Type="http://schemas.openxmlformats.org/officeDocument/2006/relationships/hyperlink" Target="https://docs.google.com/spreadsheets/d/10Sxgm0pUMUx-kVhsBh-4p682nKGEVGRd4vaH8Rkih-0/edit" TargetMode="External"/><Relationship Id="rId54" Type="http://schemas.openxmlformats.org/officeDocument/2006/relationships/hyperlink" Target="https://docs.google.com/spreadsheets/d/10Sxgm0pUMUx-kVhsBh-4p682nKGEVGRd4vaH8Rkih-0/edit" TargetMode="External"/><Relationship Id="rId57" Type="http://schemas.openxmlformats.org/officeDocument/2006/relationships/hyperlink" Target="https://docs.google.com/spreadsheets/d/10Sxgm0pUMUx-kVhsBh-4p682nKGEVGRd4vaH8Rkih-0/edit" TargetMode="External"/><Relationship Id="rId56" Type="http://schemas.openxmlformats.org/officeDocument/2006/relationships/hyperlink" Target="https://docs.google.com/spreadsheets/d/10Sxgm0pUMUx-kVhsBh-4p682nKGEVGRd4vaH8Rkih-0/edit" TargetMode="External"/><Relationship Id="rId59" Type="http://schemas.openxmlformats.org/officeDocument/2006/relationships/hyperlink" Target="https://docs.google.com/spreadsheets/d/10Sxgm0pUMUx-kVhsBh-4p682nKGEVGRd4vaH8Rkih-0/edit" TargetMode="External"/><Relationship Id="rId58" Type="http://schemas.openxmlformats.org/officeDocument/2006/relationships/hyperlink" Target="https://docs.google.com/spreadsheets/d/10Sxgm0pUMUx-kVhsBh-4p682nKGEVGRd4vaH8Rkih-0/edit" TargetMode="External"/><Relationship Id="rId107" Type="http://schemas.openxmlformats.org/officeDocument/2006/relationships/hyperlink" Target="https://docs.google.com/spreadsheets/d/1Nby4WVcJzaxCKbDhV1DpBXKwQJfH0Yv8xELroUxhO9w/edit" TargetMode="External"/><Relationship Id="rId106" Type="http://schemas.openxmlformats.org/officeDocument/2006/relationships/hyperlink" Target="https://docs.google.com/spreadsheets/d/1Nby4WVcJzaxCKbDhV1DpBXKwQJfH0Yv8xELroUxhO9w/edit" TargetMode="External"/><Relationship Id="rId105" Type="http://schemas.openxmlformats.org/officeDocument/2006/relationships/hyperlink" Target="https://docs.google.com/spreadsheets/d/1Nby4WVcJzaxCKbDhV1DpBXKwQJfH0Yv8xELroUxhO9w/edit" TargetMode="External"/><Relationship Id="rId104" Type="http://schemas.openxmlformats.org/officeDocument/2006/relationships/hyperlink" Target="https://docs.google.com/spreadsheets/d/1Nby4WVcJzaxCKbDhV1DpBXKwQJfH0Yv8xELroUxhO9w/edit" TargetMode="External"/><Relationship Id="rId109" Type="http://schemas.openxmlformats.org/officeDocument/2006/relationships/hyperlink" Target="https://docs.google.com/spreadsheets/d/1Nby4WVcJzaxCKbDhV1DpBXKwQJfH0Yv8xELroUxhO9w/edit" TargetMode="External"/><Relationship Id="rId108" Type="http://schemas.openxmlformats.org/officeDocument/2006/relationships/hyperlink" Target="https://docs.google.com/spreadsheets/d/1Nby4WVcJzaxCKbDhV1DpBXKwQJfH0Yv8xELroUxhO9w/edit" TargetMode="External"/><Relationship Id="rId103" Type="http://schemas.openxmlformats.org/officeDocument/2006/relationships/hyperlink" Target="https://docs.google.com/spreadsheets/d/1Nby4WVcJzaxCKbDhV1DpBXKwQJfH0Yv8xELroUxhO9w/edit" TargetMode="External"/><Relationship Id="rId102" Type="http://schemas.openxmlformats.org/officeDocument/2006/relationships/hyperlink" Target="https://docs.google.com/spreadsheets/d/1Nby4WVcJzaxCKbDhV1DpBXKwQJfH0Yv8xELroUxhO9w/edit" TargetMode="External"/><Relationship Id="rId101" Type="http://schemas.openxmlformats.org/officeDocument/2006/relationships/hyperlink" Target="https://docs.google.com/spreadsheets/d/1QNImKsmZ_Coz0K8xe49g8INibUsZLL6zyGJlVVFQzr8/edit" TargetMode="External"/><Relationship Id="rId100" Type="http://schemas.openxmlformats.org/officeDocument/2006/relationships/hyperlink" Target="https://docs.google.com/spreadsheets/d/1QNImKsmZ_Coz0K8xe49g8INibUsZLL6zyGJlVVFQzr8/edit" TargetMode="External"/><Relationship Id="rId129" Type="http://schemas.openxmlformats.org/officeDocument/2006/relationships/hyperlink" Target="https://docs.google.com/spreadsheets/d/1QEdYm-Yk8kaDG4jtueBiruQRgIKkGKw8riOf-oy68mA/edit" TargetMode="External"/><Relationship Id="rId128" Type="http://schemas.openxmlformats.org/officeDocument/2006/relationships/hyperlink" Target="https://docs.google.com/spreadsheets/d/1QEdYm-Yk8kaDG4jtueBiruQRgIKkGKw8riOf-oy68mA/edit" TargetMode="External"/><Relationship Id="rId127" Type="http://schemas.openxmlformats.org/officeDocument/2006/relationships/hyperlink" Target="https://docs.google.com/spreadsheets/d/1QEdYm-Yk8kaDG4jtueBiruQRgIKkGKw8riOf-oy68mA/edit" TargetMode="External"/><Relationship Id="rId126" Type="http://schemas.openxmlformats.org/officeDocument/2006/relationships/hyperlink" Target="https://docs.google.com/spreadsheets/d/1QEdYm-Yk8kaDG4jtueBiruQRgIKkGKw8riOf-oy68mA/edit" TargetMode="External"/><Relationship Id="rId121" Type="http://schemas.openxmlformats.org/officeDocument/2006/relationships/hyperlink" Target="https://docs.google.com/spreadsheets/d/1Nby4WVcJzaxCKbDhV1DpBXKwQJfH0Yv8xELroUxhO9w/edit" TargetMode="External"/><Relationship Id="rId120" Type="http://schemas.openxmlformats.org/officeDocument/2006/relationships/hyperlink" Target="https://docs.google.com/spreadsheets/d/1Nby4WVcJzaxCKbDhV1DpBXKwQJfH0Yv8xELroUxhO9w/edit" TargetMode="External"/><Relationship Id="rId125" Type="http://schemas.openxmlformats.org/officeDocument/2006/relationships/hyperlink" Target="https://docs.google.com/spreadsheets/d/1QEdYm-Yk8kaDG4jtueBiruQRgIKkGKw8riOf-oy68mA/edit" TargetMode="External"/><Relationship Id="rId124" Type="http://schemas.openxmlformats.org/officeDocument/2006/relationships/hyperlink" Target="https://docs.google.com/spreadsheets/d/1QEdYm-Yk8kaDG4jtueBiruQRgIKkGKw8riOf-oy68mA/edit" TargetMode="External"/><Relationship Id="rId123" Type="http://schemas.openxmlformats.org/officeDocument/2006/relationships/hyperlink" Target="https://docs.google.com/spreadsheets/d/1QEdYm-Yk8kaDG4jtueBiruQRgIKkGKw8riOf-oy68mA/edit" TargetMode="External"/><Relationship Id="rId122" Type="http://schemas.openxmlformats.org/officeDocument/2006/relationships/hyperlink" Target="https://docs.google.com/spreadsheets/d/1QEdYm-Yk8kaDG4jtueBiruQRgIKkGKw8riOf-oy68mA/edit" TargetMode="External"/><Relationship Id="rId95" Type="http://schemas.openxmlformats.org/officeDocument/2006/relationships/hyperlink" Target="https://docs.google.com/spreadsheets/d/1QNImKsmZ_Coz0K8xe49g8INibUsZLL6zyGJlVVFQzr8/edit" TargetMode="External"/><Relationship Id="rId94" Type="http://schemas.openxmlformats.org/officeDocument/2006/relationships/hyperlink" Target="https://docs.google.com/spreadsheets/d/1QNImKsmZ_Coz0K8xe49g8INibUsZLL6zyGJlVVFQzr8/edit" TargetMode="External"/><Relationship Id="rId97" Type="http://schemas.openxmlformats.org/officeDocument/2006/relationships/hyperlink" Target="https://docs.google.com/spreadsheets/d/1QNImKsmZ_Coz0K8xe49g8INibUsZLL6zyGJlVVFQzr8/edit" TargetMode="External"/><Relationship Id="rId96" Type="http://schemas.openxmlformats.org/officeDocument/2006/relationships/hyperlink" Target="https://docs.google.com/spreadsheets/d/1QNImKsmZ_Coz0K8xe49g8INibUsZLL6zyGJlVVFQzr8/edit" TargetMode="External"/><Relationship Id="rId99" Type="http://schemas.openxmlformats.org/officeDocument/2006/relationships/hyperlink" Target="https://docs.google.com/spreadsheets/d/1QNImKsmZ_Coz0K8xe49g8INibUsZLL6zyGJlVVFQzr8/edit" TargetMode="External"/><Relationship Id="rId98" Type="http://schemas.openxmlformats.org/officeDocument/2006/relationships/hyperlink" Target="https://docs.google.com/spreadsheets/d/1QNImKsmZ_Coz0K8xe49g8INibUsZLL6zyGJlVVFQzr8/edit" TargetMode="External"/><Relationship Id="rId91" Type="http://schemas.openxmlformats.org/officeDocument/2006/relationships/hyperlink" Target="https://docs.google.com/spreadsheets/d/1QNImKsmZ_Coz0K8xe49g8INibUsZLL6zyGJlVVFQzr8/edit" TargetMode="External"/><Relationship Id="rId90" Type="http://schemas.openxmlformats.org/officeDocument/2006/relationships/hyperlink" Target="https://docs.google.com/spreadsheets/d/1QNImKsmZ_Coz0K8xe49g8INibUsZLL6zyGJlVVFQzr8/edit" TargetMode="External"/><Relationship Id="rId93" Type="http://schemas.openxmlformats.org/officeDocument/2006/relationships/hyperlink" Target="https://docs.google.com/spreadsheets/d/1QNImKsmZ_Coz0K8xe49g8INibUsZLL6zyGJlVVFQzr8/edit" TargetMode="External"/><Relationship Id="rId92" Type="http://schemas.openxmlformats.org/officeDocument/2006/relationships/hyperlink" Target="https://docs.google.com/spreadsheets/d/1QNImKsmZ_Coz0K8xe49g8INibUsZLL6zyGJlVVFQzr8/edit" TargetMode="External"/><Relationship Id="rId118" Type="http://schemas.openxmlformats.org/officeDocument/2006/relationships/hyperlink" Target="https://docs.google.com/spreadsheets/d/1Nby4WVcJzaxCKbDhV1DpBXKwQJfH0Yv8xELroUxhO9w/edit" TargetMode="External"/><Relationship Id="rId117" Type="http://schemas.openxmlformats.org/officeDocument/2006/relationships/hyperlink" Target="https://docs.google.com/spreadsheets/d/1Nby4WVcJzaxCKbDhV1DpBXKwQJfH0Yv8xELroUxhO9w/edit" TargetMode="External"/><Relationship Id="rId116" Type="http://schemas.openxmlformats.org/officeDocument/2006/relationships/hyperlink" Target="https://docs.google.com/spreadsheets/d/1Nby4WVcJzaxCKbDhV1DpBXKwQJfH0Yv8xELroUxhO9w/edit" TargetMode="External"/><Relationship Id="rId115" Type="http://schemas.openxmlformats.org/officeDocument/2006/relationships/hyperlink" Target="https://docs.google.com/spreadsheets/d/1Nby4WVcJzaxCKbDhV1DpBXKwQJfH0Yv8xELroUxhO9w/edit" TargetMode="External"/><Relationship Id="rId119" Type="http://schemas.openxmlformats.org/officeDocument/2006/relationships/hyperlink" Target="https://docs.google.com/spreadsheets/d/1Nby4WVcJzaxCKbDhV1DpBXKwQJfH0Yv8xELroUxhO9w/edit" TargetMode="External"/><Relationship Id="rId110" Type="http://schemas.openxmlformats.org/officeDocument/2006/relationships/hyperlink" Target="https://docs.google.com/spreadsheets/d/1Nby4WVcJzaxCKbDhV1DpBXKwQJfH0Yv8xELroUxhO9w/edit" TargetMode="External"/><Relationship Id="rId114" Type="http://schemas.openxmlformats.org/officeDocument/2006/relationships/hyperlink" Target="https://docs.google.com/spreadsheets/d/1Nby4WVcJzaxCKbDhV1DpBXKwQJfH0Yv8xELroUxhO9w/edit" TargetMode="External"/><Relationship Id="rId113" Type="http://schemas.openxmlformats.org/officeDocument/2006/relationships/hyperlink" Target="https://docs.google.com/spreadsheets/d/1Nby4WVcJzaxCKbDhV1DpBXKwQJfH0Yv8xELroUxhO9w/edit" TargetMode="External"/><Relationship Id="rId112" Type="http://schemas.openxmlformats.org/officeDocument/2006/relationships/hyperlink" Target="https://docs.google.com/spreadsheets/d/1Nby4WVcJzaxCKbDhV1DpBXKwQJfH0Yv8xELroUxhO9w/edit" TargetMode="External"/><Relationship Id="rId111" Type="http://schemas.openxmlformats.org/officeDocument/2006/relationships/hyperlink" Target="https://docs.google.com/spreadsheets/d/1Nby4WVcJzaxCKbDhV1DpBXKwQJfH0Yv8xELroUxhO9w/edi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1.43"/>
    <col customWidth="1" min="2" max="2" width="51.14"/>
    <col customWidth="1" min="3" max="26" width="14.43"/>
  </cols>
  <sheetData>
    <row r="1" ht="15.75" customHeight="1">
      <c r="A1" s="1" t="s">
        <v>0</v>
      </c>
      <c r="B1" s="2"/>
      <c r="C1" s="2"/>
      <c r="D1" s="2"/>
      <c r="E1" s="2"/>
      <c r="F1" s="3"/>
    </row>
    <row r="2" ht="15.75" customHeight="1">
      <c r="A2" s="4"/>
      <c r="B2" s="4"/>
      <c r="C2" s="4"/>
      <c r="D2" s="4"/>
      <c r="E2" s="4"/>
      <c r="F2" s="4"/>
    </row>
    <row r="3" ht="15.75" customHeight="1">
      <c r="A3" s="5" t="s">
        <v>1</v>
      </c>
      <c r="B3" s="6" t="s">
        <v>2</v>
      </c>
      <c r="C3" s="4"/>
      <c r="D3" s="4"/>
      <c r="E3" s="4"/>
      <c r="F3" s="4"/>
    </row>
    <row r="4" ht="15.75" customHeight="1">
      <c r="A4" s="7" t="s">
        <v>3</v>
      </c>
      <c r="B4" s="8" t="s">
        <v>4</v>
      </c>
      <c r="C4" s="9"/>
      <c r="D4" s="9"/>
      <c r="E4" s="9"/>
      <c r="F4" s="9"/>
      <c r="G4" s="9"/>
      <c r="H4" s="9"/>
      <c r="I4" s="9"/>
      <c r="J4" s="9"/>
      <c r="K4" s="9"/>
      <c r="L4" s="9"/>
      <c r="M4" s="9"/>
      <c r="N4" s="9"/>
      <c r="O4" s="9"/>
      <c r="P4" s="9"/>
      <c r="Q4" s="9"/>
      <c r="R4" s="9"/>
      <c r="S4" s="9"/>
      <c r="T4" s="9"/>
      <c r="U4" s="9"/>
      <c r="V4" s="9"/>
      <c r="W4" s="9"/>
      <c r="X4" s="9"/>
      <c r="Y4" s="9"/>
      <c r="Z4" s="9"/>
    </row>
    <row r="5" ht="15.75" customHeight="1">
      <c r="A5" s="10"/>
      <c r="B5" s="4"/>
      <c r="C5" s="4"/>
      <c r="D5" s="4"/>
      <c r="E5" s="4"/>
      <c r="F5" s="4"/>
    </row>
    <row r="6" ht="15.75" customHeight="1">
      <c r="A6" s="10"/>
      <c r="B6" s="4"/>
      <c r="C6" s="4"/>
      <c r="D6" s="4"/>
      <c r="E6" s="4"/>
      <c r="F6" s="4"/>
    </row>
    <row r="7" ht="15.75" customHeight="1">
      <c r="A7" s="10"/>
      <c r="B7" s="4"/>
      <c r="C7" s="4"/>
      <c r="D7" s="4"/>
      <c r="E7" s="4"/>
      <c r="F7" s="4"/>
    </row>
    <row r="8" ht="15.75" customHeight="1">
      <c r="A8" s="10"/>
      <c r="B8" s="4"/>
      <c r="C8" s="4"/>
      <c r="D8" s="4"/>
      <c r="E8" s="4"/>
      <c r="F8" s="4"/>
    </row>
    <row r="9" ht="15.75" customHeight="1">
      <c r="A9" s="10"/>
      <c r="B9" s="4"/>
      <c r="C9" s="4"/>
      <c r="D9" s="4"/>
      <c r="E9" s="4"/>
      <c r="F9" s="4"/>
    </row>
    <row r="10" ht="15.75" customHeight="1">
      <c r="A10" s="10"/>
      <c r="B10" s="4"/>
      <c r="C10" s="4"/>
      <c r="D10" s="4"/>
      <c r="E10" s="4"/>
      <c r="F10" s="4"/>
    </row>
    <row r="11" ht="15.75" customHeight="1">
      <c r="A11" s="10"/>
      <c r="B11" s="6"/>
      <c r="C11" s="4"/>
      <c r="D11" s="4"/>
      <c r="E11" s="4"/>
      <c r="F11" s="4"/>
    </row>
    <row r="12" ht="15.75" customHeight="1">
      <c r="A12" s="10"/>
      <c r="B12" s="4"/>
      <c r="C12" s="4"/>
      <c r="D12" s="4"/>
      <c r="E12" s="4"/>
      <c r="F12" s="4"/>
    </row>
    <row r="13" ht="15.75" customHeight="1">
      <c r="A13" s="10"/>
      <c r="B13" s="4"/>
      <c r="C13" s="4"/>
      <c r="D13" s="4"/>
      <c r="E13" s="4"/>
      <c r="F13" s="4"/>
    </row>
    <row r="14" ht="15.75" customHeight="1">
      <c r="A14" s="10"/>
      <c r="B14" s="4"/>
      <c r="C14" s="4"/>
      <c r="D14" s="4"/>
      <c r="E14" s="4"/>
      <c r="F14" s="4"/>
    </row>
    <row r="15" ht="15.75" customHeight="1">
      <c r="A15" s="10"/>
      <c r="B15" s="4"/>
      <c r="C15" s="4"/>
      <c r="D15" s="4"/>
      <c r="E15" s="4"/>
      <c r="F15" s="4"/>
    </row>
    <row r="16" ht="15.75" customHeight="1">
      <c r="A16" s="10"/>
      <c r="B16" s="4"/>
      <c r="C16" s="4"/>
      <c r="D16" s="4"/>
      <c r="E16" s="4"/>
      <c r="F16" s="4"/>
    </row>
    <row r="17" ht="15.75" customHeight="1">
      <c r="A17" s="10"/>
      <c r="B17" s="4"/>
      <c r="C17" s="4"/>
      <c r="D17" s="4"/>
      <c r="E17" s="4"/>
      <c r="F17" s="4"/>
    </row>
    <row r="18" ht="15.75" customHeight="1">
      <c r="A18" s="10"/>
      <c r="B18" s="4"/>
      <c r="C18" s="4"/>
      <c r="D18" s="4"/>
      <c r="E18" s="4"/>
      <c r="F18" s="4"/>
    </row>
    <row r="19" ht="15.75" customHeight="1">
      <c r="A19" s="10"/>
      <c r="B19" s="4"/>
      <c r="C19" s="4"/>
      <c r="D19" s="4"/>
      <c r="E19" s="4"/>
      <c r="F19" s="4"/>
    </row>
    <row r="20" ht="15.75" customHeight="1">
      <c r="A20" s="10"/>
      <c r="B20" s="4"/>
      <c r="C20" s="4"/>
      <c r="D20" s="4"/>
      <c r="E20" s="4"/>
      <c r="F20" s="4"/>
    </row>
    <row r="21" ht="15.75" customHeight="1">
      <c r="A21" s="10"/>
      <c r="B21" s="4"/>
      <c r="C21" s="4"/>
      <c r="D21" s="4"/>
      <c r="E21" s="4"/>
      <c r="F21" s="4"/>
    </row>
    <row r="22" ht="15.75" customHeight="1">
      <c r="A22" s="10"/>
      <c r="B22" s="4"/>
      <c r="C22" s="4"/>
      <c r="D22" s="4"/>
      <c r="E22" s="4"/>
      <c r="F22" s="4"/>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c r="A221" s="11"/>
      <c r="B221" s="11"/>
    </row>
    <row r="222" ht="15.75" customHeight="1">
      <c r="A222" s="11"/>
      <c r="B222" s="11"/>
    </row>
    <row r="223" ht="15.75" customHeight="1">
      <c r="A223" s="11"/>
      <c r="B223" s="11"/>
    </row>
    <row r="224" ht="15.75" customHeight="1">
      <c r="A224" s="11"/>
      <c r="B224" s="11"/>
    </row>
    <row r="225" ht="15.75" customHeight="1">
      <c r="A225" s="11"/>
      <c r="B225" s="11"/>
    </row>
    <row r="226" ht="15.75" customHeight="1">
      <c r="A226" s="11"/>
      <c r="B226" s="11"/>
    </row>
    <row r="227" ht="15.75" customHeight="1">
      <c r="A227" s="11"/>
      <c r="B227" s="11"/>
    </row>
    <row r="228" ht="15.75" customHeight="1">
      <c r="A228" s="11"/>
      <c r="B228" s="11"/>
    </row>
    <row r="229" ht="15.75" customHeight="1">
      <c r="A229" s="11"/>
      <c r="B229" s="11"/>
    </row>
    <row r="230" ht="15.75" customHeight="1">
      <c r="A230" s="11"/>
      <c r="B230" s="11"/>
    </row>
    <row r="231" ht="15.75" customHeight="1">
      <c r="A231" s="11"/>
      <c r="B231" s="11"/>
    </row>
    <row r="232" ht="15.75" customHeight="1">
      <c r="A232" s="11"/>
      <c r="B232" s="11"/>
    </row>
    <row r="233" ht="15.75" customHeight="1">
      <c r="A233" s="11"/>
      <c r="B233" s="11"/>
    </row>
    <row r="234" ht="15.75" customHeight="1">
      <c r="A234" s="11"/>
      <c r="B234" s="11"/>
    </row>
    <row r="235" ht="15.75" customHeight="1">
      <c r="A235" s="11"/>
      <c r="B235" s="11"/>
    </row>
    <row r="236" ht="15.75" customHeight="1">
      <c r="A236" s="11"/>
      <c r="B236" s="11"/>
    </row>
    <row r="237" ht="15.75" customHeight="1">
      <c r="A237" s="11"/>
      <c r="B237" s="11"/>
    </row>
    <row r="238" ht="15.75" customHeight="1">
      <c r="A238" s="11"/>
      <c r="B238" s="11"/>
    </row>
    <row r="239" ht="15.75" customHeight="1">
      <c r="A239" s="11"/>
      <c r="B239" s="11"/>
    </row>
    <row r="240" ht="15.75" customHeight="1">
      <c r="A240" s="11"/>
      <c r="B240" s="11"/>
    </row>
    <row r="241" ht="15.75" customHeight="1">
      <c r="A241" s="11"/>
      <c r="B241" s="11"/>
    </row>
    <row r="242" ht="15.75" customHeight="1">
      <c r="A242" s="11"/>
      <c r="B242" s="11"/>
    </row>
    <row r="243" ht="15.75" customHeight="1">
      <c r="A243" s="11"/>
      <c r="B243" s="11"/>
    </row>
    <row r="244" ht="15.75" customHeight="1">
      <c r="A244" s="11"/>
      <c r="B244" s="11"/>
    </row>
    <row r="245" ht="15.75" customHeight="1">
      <c r="A245" s="11"/>
      <c r="B245" s="11"/>
    </row>
    <row r="246" ht="15.75" customHeight="1">
      <c r="A246" s="11"/>
      <c r="B246" s="11"/>
    </row>
    <row r="247" ht="15.75" customHeight="1">
      <c r="A247" s="11"/>
      <c r="B247" s="11"/>
    </row>
    <row r="248" ht="15.75" customHeight="1">
      <c r="A248" s="11"/>
      <c r="B248" s="11"/>
    </row>
    <row r="249" ht="15.75" customHeight="1">
      <c r="A249" s="11"/>
      <c r="B249" s="11"/>
    </row>
    <row r="250" ht="15.75" customHeight="1">
      <c r="A250" s="11"/>
      <c r="B250" s="11"/>
    </row>
    <row r="251" ht="15.75" customHeight="1">
      <c r="A251" s="11"/>
      <c r="B251" s="11"/>
    </row>
    <row r="252" ht="15.75" customHeight="1">
      <c r="A252" s="11"/>
      <c r="B252" s="11"/>
    </row>
    <row r="253" ht="15.75" customHeight="1">
      <c r="A253" s="11"/>
      <c r="B253" s="11"/>
    </row>
    <row r="254" ht="15.75" customHeight="1">
      <c r="A254" s="11"/>
      <c r="B254" s="11"/>
    </row>
    <row r="255" ht="15.75" customHeight="1">
      <c r="A255" s="11"/>
      <c r="B255" s="11"/>
    </row>
    <row r="256" ht="15.75" customHeight="1">
      <c r="A256" s="11"/>
      <c r="B256" s="11"/>
    </row>
    <row r="257" ht="15.75" customHeight="1">
      <c r="A257" s="11"/>
      <c r="B257" s="11"/>
    </row>
    <row r="258" ht="15.75" customHeight="1">
      <c r="A258" s="11"/>
      <c r="B258" s="11"/>
    </row>
    <row r="259" ht="15.75" customHeight="1">
      <c r="A259" s="11"/>
      <c r="B259" s="11"/>
    </row>
    <row r="260" ht="15.75" customHeight="1">
      <c r="A260" s="11"/>
      <c r="B260" s="11"/>
    </row>
    <row r="261" ht="15.75" customHeight="1">
      <c r="A261" s="11"/>
      <c r="B261" s="11"/>
    </row>
    <row r="262" ht="15.75" customHeight="1">
      <c r="A262" s="11"/>
      <c r="B262" s="11"/>
    </row>
    <row r="263" ht="15.75" customHeight="1">
      <c r="A263" s="11"/>
      <c r="B263" s="11"/>
    </row>
    <row r="264" ht="15.75" customHeight="1">
      <c r="A264" s="11"/>
      <c r="B264" s="11"/>
    </row>
    <row r="265" ht="15.75" customHeight="1">
      <c r="A265" s="11"/>
      <c r="B265" s="11"/>
    </row>
    <row r="266" ht="15.75" customHeight="1">
      <c r="A266" s="11"/>
      <c r="B266" s="11"/>
    </row>
    <row r="267" ht="15.75" customHeight="1">
      <c r="A267" s="11"/>
      <c r="B267" s="11"/>
    </row>
    <row r="268" ht="15.75" customHeight="1">
      <c r="A268" s="11"/>
      <c r="B268" s="11"/>
    </row>
    <row r="269" ht="15.75" customHeight="1">
      <c r="A269" s="11"/>
      <c r="B269" s="11"/>
    </row>
    <row r="270" ht="15.75" customHeight="1">
      <c r="A270" s="11"/>
      <c r="B270" s="11"/>
    </row>
    <row r="271" ht="15.75" customHeight="1">
      <c r="A271" s="11"/>
      <c r="B271" s="11"/>
    </row>
    <row r="272" ht="15.75" customHeight="1">
      <c r="A272" s="11"/>
      <c r="B272" s="11"/>
    </row>
    <row r="273" ht="15.75" customHeight="1">
      <c r="A273" s="11"/>
      <c r="B273" s="11"/>
    </row>
    <row r="274" ht="15.75" customHeight="1">
      <c r="A274" s="11"/>
      <c r="B274" s="11"/>
    </row>
    <row r="275" ht="15.75" customHeight="1">
      <c r="A275" s="11"/>
      <c r="B275" s="11"/>
    </row>
    <row r="276" ht="15.75" customHeight="1">
      <c r="A276" s="11"/>
      <c r="B276" s="11"/>
    </row>
    <row r="277" ht="15.75" customHeight="1">
      <c r="A277" s="11"/>
      <c r="B277" s="11"/>
    </row>
    <row r="278" ht="15.75" customHeight="1">
      <c r="A278" s="11"/>
      <c r="B278" s="11"/>
    </row>
    <row r="279" ht="15.75" customHeight="1">
      <c r="A279" s="11"/>
      <c r="B279" s="11"/>
    </row>
    <row r="280" ht="15.75" customHeight="1">
      <c r="A280" s="11"/>
      <c r="B280" s="11"/>
    </row>
    <row r="281" ht="15.75" customHeight="1">
      <c r="A281" s="11"/>
      <c r="B281" s="11"/>
    </row>
    <row r="282" ht="15.75" customHeight="1">
      <c r="A282" s="11"/>
      <c r="B282" s="11"/>
    </row>
    <row r="283" ht="15.75" customHeight="1">
      <c r="A283" s="11"/>
      <c r="B283" s="11"/>
    </row>
    <row r="284" ht="15.75" customHeight="1">
      <c r="A284" s="11"/>
      <c r="B284" s="11"/>
    </row>
    <row r="285" ht="15.75" customHeight="1">
      <c r="A285" s="11"/>
      <c r="B285" s="11"/>
    </row>
    <row r="286" ht="15.75" customHeight="1">
      <c r="A286" s="11"/>
      <c r="B286" s="11"/>
    </row>
    <row r="287" ht="15.75" customHeight="1">
      <c r="A287" s="11"/>
      <c r="B287" s="11"/>
    </row>
    <row r="288" ht="15.75" customHeight="1">
      <c r="A288" s="11"/>
      <c r="B288" s="11"/>
    </row>
    <row r="289" ht="15.75" customHeight="1">
      <c r="A289" s="11"/>
      <c r="B289" s="11"/>
    </row>
    <row r="290" ht="15.75" customHeight="1">
      <c r="A290" s="11"/>
      <c r="B290" s="11"/>
    </row>
    <row r="291" ht="15.75" customHeight="1">
      <c r="A291" s="11"/>
      <c r="B291" s="11"/>
    </row>
    <row r="292" ht="15.75" customHeight="1">
      <c r="A292" s="11"/>
      <c r="B292" s="11"/>
    </row>
    <row r="293" ht="15.75" customHeight="1">
      <c r="A293" s="11"/>
      <c r="B293" s="11"/>
    </row>
    <row r="294" ht="15.75" customHeight="1">
      <c r="A294" s="11"/>
      <c r="B294" s="11"/>
    </row>
    <row r="295" ht="15.75" customHeight="1">
      <c r="A295" s="11"/>
      <c r="B295" s="11"/>
    </row>
    <row r="296" ht="15.75" customHeight="1">
      <c r="A296" s="11"/>
      <c r="B296" s="11"/>
    </row>
    <row r="297" ht="15.75" customHeight="1">
      <c r="A297" s="11"/>
      <c r="B297" s="11"/>
    </row>
    <row r="298" ht="15.75" customHeight="1">
      <c r="A298" s="11"/>
      <c r="B298" s="11"/>
    </row>
    <row r="299" ht="15.75" customHeight="1">
      <c r="A299" s="11"/>
      <c r="B299" s="11"/>
    </row>
    <row r="300" ht="15.75" customHeight="1">
      <c r="A300" s="11"/>
      <c r="B300" s="11"/>
    </row>
    <row r="301" ht="15.75" customHeight="1">
      <c r="A301" s="11"/>
      <c r="B301" s="11"/>
    </row>
    <row r="302" ht="15.75" customHeight="1">
      <c r="A302" s="11"/>
      <c r="B302" s="11"/>
    </row>
    <row r="303" ht="15.75" customHeight="1">
      <c r="A303" s="11"/>
      <c r="B303" s="11"/>
    </row>
    <row r="304" ht="15.75" customHeight="1">
      <c r="A304" s="11"/>
      <c r="B304" s="11"/>
    </row>
    <row r="305" ht="15.75" customHeight="1">
      <c r="A305" s="11"/>
      <c r="B305" s="11"/>
    </row>
    <row r="306" ht="15.75" customHeight="1">
      <c r="A306" s="11"/>
      <c r="B306" s="11"/>
    </row>
    <row r="307" ht="15.75" customHeight="1">
      <c r="A307" s="11"/>
      <c r="B307" s="11"/>
    </row>
    <row r="308" ht="15.75" customHeight="1">
      <c r="A308" s="11"/>
      <c r="B308" s="11"/>
    </row>
    <row r="309" ht="15.75" customHeight="1">
      <c r="A309" s="11"/>
      <c r="B309" s="11"/>
    </row>
    <row r="310" ht="15.75" customHeight="1">
      <c r="A310" s="11"/>
      <c r="B310" s="11"/>
    </row>
    <row r="311" ht="15.75" customHeight="1">
      <c r="A311" s="11"/>
      <c r="B311" s="11"/>
    </row>
    <row r="312" ht="15.75" customHeight="1">
      <c r="A312" s="11"/>
      <c r="B312" s="11"/>
    </row>
    <row r="313" ht="15.75" customHeight="1">
      <c r="A313" s="11"/>
      <c r="B313" s="11"/>
    </row>
    <row r="314" ht="15.75" customHeight="1">
      <c r="A314" s="11"/>
      <c r="B314" s="11"/>
    </row>
    <row r="315" ht="15.75" customHeight="1">
      <c r="A315" s="11"/>
      <c r="B315" s="11"/>
    </row>
    <row r="316" ht="15.75" customHeight="1">
      <c r="A316" s="11"/>
      <c r="B316" s="11"/>
    </row>
    <row r="317" ht="15.75" customHeight="1">
      <c r="A317" s="11"/>
      <c r="B317" s="11"/>
    </row>
    <row r="318" ht="15.75" customHeight="1">
      <c r="A318" s="11"/>
      <c r="B318" s="11"/>
    </row>
    <row r="319" ht="15.75" customHeight="1">
      <c r="A319" s="11"/>
      <c r="B319" s="11"/>
    </row>
    <row r="320" ht="15.75" customHeight="1">
      <c r="A320" s="11"/>
      <c r="B320" s="11"/>
    </row>
    <row r="321" ht="15.75" customHeight="1">
      <c r="A321" s="11"/>
      <c r="B321" s="11"/>
    </row>
    <row r="322" ht="15.75" customHeight="1">
      <c r="A322" s="11"/>
      <c r="B322" s="11"/>
    </row>
    <row r="323" ht="15.75" customHeight="1">
      <c r="A323" s="11"/>
      <c r="B323" s="11"/>
    </row>
    <row r="324" ht="15.75" customHeight="1">
      <c r="A324" s="11"/>
      <c r="B324" s="11"/>
    </row>
    <row r="325" ht="15.75" customHeight="1">
      <c r="A325" s="11"/>
      <c r="B325" s="11"/>
    </row>
    <row r="326" ht="15.75" customHeight="1">
      <c r="A326" s="11"/>
      <c r="B326" s="11"/>
    </row>
    <row r="327" ht="15.75" customHeight="1">
      <c r="A327" s="11"/>
      <c r="B327" s="11"/>
    </row>
    <row r="328" ht="15.75" customHeight="1">
      <c r="A328" s="11"/>
      <c r="B328" s="11"/>
    </row>
    <row r="329" ht="15.75" customHeight="1">
      <c r="A329" s="11"/>
      <c r="B329" s="11"/>
    </row>
    <row r="330" ht="15.75" customHeight="1">
      <c r="A330" s="11"/>
      <c r="B330" s="11"/>
    </row>
    <row r="331" ht="15.75" customHeight="1">
      <c r="A331" s="11"/>
      <c r="B331" s="11"/>
    </row>
    <row r="332" ht="15.75" customHeight="1">
      <c r="A332" s="11"/>
      <c r="B332" s="11"/>
    </row>
    <row r="333" ht="15.75" customHeight="1">
      <c r="A333" s="11"/>
      <c r="B333" s="11"/>
    </row>
    <row r="334" ht="15.75" customHeight="1">
      <c r="A334" s="11"/>
      <c r="B334" s="11"/>
    </row>
    <row r="335" ht="15.75" customHeight="1">
      <c r="A335" s="11"/>
      <c r="B335" s="11"/>
    </row>
    <row r="336" ht="15.75" customHeight="1">
      <c r="A336" s="11"/>
      <c r="B336" s="11"/>
    </row>
    <row r="337" ht="15.75" customHeight="1">
      <c r="A337" s="11"/>
      <c r="B337" s="11"/>
    </row>
    <row r="338" ht="15.75" customHeight="1">
      <c r="A338" s="11"/>
      <c r="B338" s="11"/>
    </row>
    <row r="339" ht="15.75" customHeight="1">
      <c r="A339" s="11"/>
      <c r="B339" s="11"/>
    </row>
    <row r="340" ht="15.75" customHeight="1">
      <c r="A340" s="11"/>
      <c r="B340" s="11"/>
    </row>
    <row r="341" ht="15.75" customHeight="1">
      <c r="A341" s="11"/>
      <c r="B341" s="11"/>
    </row>
    <row r="342" ht="15.75" customHeight="1">
      <c r="A342" s="11"/>
      <c r="B342" s="11"/>
    </row>
    <row r="343" ht="15.75" customHeight="1">
      <c r="A343" s="11"/>
      <c r="B343" s="11"/>
    </row>
    <row r="344" ht="15.75" customHeight="1">
      <c r="A344" s="11"/>
      <c r="B344" s="11"/>
    </row>
    <row r="345" ht="15.75" customHeight="1">
      <c r="A345" s="11"/>
      <c r="B345" s="11"/>
    </row>
    <row r="346" ht="15.75" customHeight="1">
      <c r="A346" s="11"/>
      <c r="B346" s="11"/>
    </row>
    <row r="347" ht="15.75" customHeight="1">
      <c r="A347" s="11"/>
      <c r="B347" s="11"/>
    </row>
    <row r="348" ht="15.75" customHeight="1">
      <c r="A348" s="11"/>
      <c r="B348" s="11"/>
    </row>
    <row r="349" ht="15.75" customHeight="1">
      <c r="A349" s="11"/>
      <c r="B349" s="11"/>
    </row>
    <row r="350" ht="15.75" customHeight="1">
      <c r="A350" s="11"/>
      <c r="B350" s="11"/>
    </row>
    <row r="351" ht="15.75" customHeight="1">
      <c r="A351" s="11"/>
      <c r="B351" s="11"/>
    </row>
    <row r="352" ht="15.75" customHeight="1">
      <c r="A352" s="11"/>
      <c r="B352" s="11"/>
    </row>
    <row r="353" ht="15.75" customHeight="1">
      <c r="A353" s="11"/>
      <c r="B353" s="11"/>
    </row>
    <row r="354" ht="15.75" customHeight="1">
      <c r="A354" s="11"/>
      <c r="B354" s="11"/>
    </row>
    <row r="355" ht="15.75" customHeight="1">
      <c r="A355" s="11"/>
      <c r="B355" s="11"/>
    </row>
    <row r="356" ht="15.75" customHeight="1">
      <c r="A356" s="11"/>
      <c r="B356" s="11"/>
    </row>
    <row r="357" ht="15.75" customHeight="1">
      <c r="A357" s="11"/>
      <c r="B357" s="11"/>
    </row>
    <row r="358" ht="15.75" customHeight="1">
      <c r="A358" s="11"/>
      <c r="B358" s="11"/>
    </row>
    <row r="359" ht="15.75" customHeight="1">
      <c r="A359" s="11"/>
      <c r="B359" s="11"/>
    </row>
    <row r="360" ht="15.75" customHeight="1">
      <c r="A360" s="11"/>
      <c r="B360" s="11"/>
    </row>
    <row r="361" ht="15.75" customHeight="1">
      <c r="A361" s="11"/>
      <c r="B361" s="11"/>
    </row>
    <row r="362" ht="15.75" customHeight="1">
      <c r="A362" s="11"/>
      <c r="B362" s="11"/>
    </row>
    <row r="363" ht="15.75" customHeight="1">
      <c r="A363" s="11"/>
      <c r="B363" s="11"/>
    </row>
    <row r="364" ht="15.75" customHeight="1">
      <c r="A364" s="11"/>
      <c r="B364" s="11"/>
    </row>
    <row r="365" ht="15.75" customHeight="1">
      <c r="A365" s="11"/>
      <c r="B365" s="11"/>
    </row>
    <row r="366" ht="15.75" customHeight="1">
      <c r="A366" s="11"/>
      <c r="B366" s="11"/>
    </row>
    <row r="367" ht="15.75" customHeight="1">
      <c r="A367" s="11"/>
      <c r="B367" s="11"/>
    </row>
    <row r="368" ht="15.75" customHeight="1">
      <c r="A368" s="11"/>
      <c r="B368" s="11"/>
    </row>
    <row r="369" ht="15.75" customHeight="1">
      <c r="A369" s="11"/>
      <c r="B369" s="11"/>
    </row>
    <row r="370" ht="15.75" customHeight="1">
      <c r="A370" s="11"/>
      <c r="B370" s="11"/>
    </row>
    <row r="371" ht="15.75" customHeight="1">
      <c r="A371" s="11"/>
      <c r="B371" s="11"/>
    </row>
    <row r="372" ht="15.75" customHeight="1">
      <c r="A372" s="11"/>
      <c r="B372" s="11"/>
    </row>
    <row r="373" ht="15.75" customHeight="1">
      <c r="A373" s="11"/>
      <c r="B373" s="11"/>
    </row>
    <row r="374" ht="15.75" customHeight="1">
      <c r="A374" s="11"/>
      <c r="B374" s="11"/>
    </row>
    <row r="375" ht="15.75" customHeight="1">
      <c r="A375" s="11"/>
      <c r="B375" s="11"/>
    </row>
    <row r="376" ht="15.75" customHeight="1">
      <c r="A376" s="11"/>
      <c r="B376" s="11"/>
    </row>
    <row r="377" ht="15.75" customHeight="1">
      <c r="A377" s="11"/>
      <c r="B377" s="11"/>
    </row>
    <row r="378" ht="15.75" customHeight="1">
      <c r="A378" s="11"/>
      <c r="B378" s="11"/>
    </row>
    <row r="379" ht="15.75" customHeight="1">
      <c r="A379" s="11"/>
      <c r="B379" s="11"/>
    </row>
    <row r="380" ht="15.75" customHeight="1">
      <c r="A380" s="11"/>
      <c r="B380" s="11"/>
    </row>
    <row r="381" ht="15.75" customHeight="1">
      <c r="A381" s="11"/>
      <c r="B381" s="11"/>
    </row>
    <row r="382" ht="15.75" customHeight="1">
      <c r="A382" s="11"/>
      <c r="B382" s="11"/>
    </row>
    <row r="383" ht="15.75" customHeight="1">
      <c r="A383" s="11"/>
      <c r="B383" s="11"/>
    </row>
    <row r="384" ht="15.75" customHeight="1">
      <c r="A384" s="11"/>
      <c r="B384" s="11"/>
    </row>
    <row r="385" ht="15.75" customHeight="1">
      <c r="A385" s="11"/>
      <c r="B385" s="11"/>
    </row>
    <row r="386" ht="15.75" customHeight="1">
      <c r="A386" s="11"/>
      <c r="B386" s="11"/>
    </row>
    <row r="387" ht="15.75" customHeight="1">
      <c r="A387" s="11"/>
      <c r="B387" s="11"/>
    </row>
    <row r="388" ht="15.75" customHeight="1">
      <c r="A388" s="11"/>
      <c r="B388" s="11"/>
    </row>
    <row r="389" ht="15.75" customHeight="1">
      <c r="A389" s="11"/>
      <c r="B389" s="11"/>
    </row>
    <row r="390" ht="15.75" customHeight="1">
      <c r="A390" s="11"/>
      <c r="B390" s="11"/>
    </row>
    <row r="391" ht="15.75" customHeight="1">
      <c r="A391" s="11"/>
      <c r="B391" s="11"/>
    </row>
    <row r="392" ht="15.75" customHeight="1">
      <c r="A392" s="11"/>
      <c r="B392" s="11"/>
    </row>
    <row r="393" ht="15.75" customHeight="1">
      <c r="A393" s="11"/>
      <c r="B393" s="11"/>
    </row>
    <row r="394" ht="15.75" customHeight="1">
      <c r="A394" s="11"/>
      <c r="B394" s="11"/>
    </row>
    <row r="395" ht="15.75" customHeight="1">
      <c r="A395" s="11"/>
      <c r="B395" s="11"/>
    </row>
    <row r="396" ht="15.75" customHeight="1">
      <c r="A396" s="11"/>
      <c r="B396" s="11"/>
    </row>
    <row r="397" ht="15.75" customHeight="1">
      <c r="A397" s="11"/>
      <c r="B397" s="11"/>
    </row>
    <row r="398" ht="15.75" customHeight="1">
      <c r="A398" s="11"/>
      <c r="B398" s="11"/>
    </row>
    <row r="399" ht="15.75" customHeight="1">
      <c r="A399" s="11"/>
      <c r="B399" s="11"/>
    </row>
    <row r="400" ht="15.75" customHeight="1">
      <c r="A400" s="11"/>
      <c r="B400" s="11"/>
    </row>
    <row r="401" ht="15.75" customHeight="1">
      <c r="A401" s="11"/>
      <c r="B401" s="11"/>
    </row>
    <row r="402" ht="15.75" customHeight="1">
      <c r="A402" s="11"/>
      <c r="B402" s="11"/>
    </row>
    <row r="403" ht="15.75" customHeight="1">
      <c r="A403" s="11"/>
      <c r="B403" s="11"/>
    </row>
    <row r="404" ht="15.75" customHeight="1">
      <c r="A404" s="11"/>
      <c r="B404" s="11"/>
    </row>
    <row r="405" ht="15.75" customHeight="1">
      <c r="A405" s="11"/>
      <c r="B405" s="11"/>
    </row>
    <row r="406" ht="15.75" customHeight="1">
      <c r="A406" s="11"/>
      <c r="B406" s="11"/>
    </row>
    <row r="407" ht="15.75" customHeight="1">
      <c r="A407" s="11"/>
      <c r="B407" s="11"/>
    </row>
    <row r="408" ht="15.75" customHeight="1">
      <c r="A408" s="11"/>
      <c r="B408" s="11"/>
    </row>
    <row r="409" ht="15.75" customHeight="1">
      <c r="A409" s="11"/>
      <c r="B409" s="11"/>
    </row>
    <row r="410" ht="15.75" customHeight="1">
      <c r="A410" s="11"/>
      <c r="B410" s="11"/>
    </row>
    <row r="411" ht="15.75" customHeight="1">
      <c r="A411" s="11"/>
      <c r="B411" s="11"/>
    </row>
    <row r="412" ht="15.75" customHeight="1">
      <c r="A412" s="11"/>
      <c r="B412" s="11"/>
    </row>
    <row r="413" ht="15.75" customHeight="1">
      <c r="A413" s="11"/>
      <c r="B413" s="11"/>
    </row>
    <row r="414" ht="15.75" customHeight="1">
      <c r="A414" s="11"/>
      <c r="B414" s="11"/>
    </row>
    <row r="415" ht="15.75" customHeight="1">
      <c r="A415" s="11"/>
      <c r="B415" s="11"/>
    </row>
    <row r="416" ht="15.75" customHeight="1">
      <c r="A416" s="11"/>
      <c r="B416" s="11"/>
    </row>
    <row r="417" ht="15.75" customHeight="1">
      <c r="A417" s="11"/>
      <c r="B417" s="11"/>
    </row>
    <row r="418" ht="15.75" customHeight="1">
      <c r="A418" s="11"/>
      <c r="B418" s="11"/>
    </row>
    <row r="419" ht="15.75" customHeight="1">
      <c r="A419" s="11"/>
      <c r="B419" s="11"/>
    </row>
    <row r="420" ht="15.75" customHeight="1">
      <c r="A420" s="11"/>
      <c r="B420" s="11"/>
    </row>
    <row r="421" ht="15.75" customHeight="1">
      <c r="A421" s="11"/>
      <c r="B421" s="11"/>
    </row>
    <row r="422" ht="15.75" customHeight="1">
      <c r="A422" s="11"/>
      <c r="B422" s="11"/>
    </row>
    <row r="423" ht="15.75" customHeight="1">
      <c r="A423" s="11"/>
      <c r="B423" s="11"/>
    </row>
    <row r="424" ht="15.75" customHeight="1">
      <c r="A424" s="11"/>
      <c r="B424" s="11"/>
    </row>
    <row r="425" ht="15.75" customHeight="1">
      <c r="A425" s="11"/>
      <c r="B425" s="11"/>
    </row>
    <row r="426" ht="15.75" customHeight="1">
      <c r="A426" s="11"/>
      <c r="B426" s="11"/>
    </row>
    <row r="427" ht="15.75" customHeight="1">
      <c r="A427" s="11"/>
      <c r="B427" s="11"/>
    </row>
    <row r="428" ht="15.75" customHeight="1">
      <c r="A428" s="11"/>
      <c r="B428" s="11"/>
    </row>
    <row r="429" ht="15.75" customHeight="1">
      <c r="A429" s="11"/>
      <c r="B429" s="11"/>
    </row>
    <row r="430" ht="15.75" customHeight="1">
      <c r="A430" s="11"/>
      <c r="B430" s="11"/>
    </row>
    <row r="431" ht="15.75" customHeight="1">
      <c r="A431" s="11"/>
      <c r="B431" s="11"/>
    </row>
    <row r="432" ht="15.75" customHeight="1">
      <c r="A432" s="11"/>
      <c r="B432" s="11"/>
    </row>
    <row r="433" ht="15.75" customHeight="1">
      <c r="A433" s="11"/>
      <c r="B433" s="11"/>
    </row>
    <row r="434" ht="15.75" customHeight="1">
      <c r="A434" s="11"/>
      <c r="B434" s="11"/>
    </row>
    <row r="435" ht="15.75" customHeight="1">
      <c r="A435" s="11"/>
      <c r="B435" s="11"/>
    </row>
    <row r="436" ht="15.75" customHeight="1">
      <c r="A436" s="11"/>
      <c r="B436" s="11"/>
    </row>
    <row r="437" ht="15.75" customHeight="1">
      <c r="A437" s="11"/>
      <c r="B437" s="11"/>
    </row>
    <row r="438" ht="15.75" customHeight="1">
      <c r="A438" s="11"/>
      <c r="B438" s="11"/>
    </row>
    <row r="439" ht="15.75" customHeight="1">
      <c r="A439" s="11"/>
      <c r="B439" s="11"/>
    </row>
    <row r="440" ht="15.75" customHeight="1">
      <c r="A440" s="11"/>
      <c r="B440" s="11"/>
    </row>
    <row r="441" ht="15.75" customHeight="1">
      <c r="A441" s="11"/>
      <c r="B441" s="11"/>
    </row>
    <row r="442" ht="15.75" customHeight="1">
      <c r="A442" s="11"/>
      <c r="B442" s="11"/>
    </row>
    <row r="443" ht="15.75" customHeight="1">
      <c r="A443" s="11"/>
      <c r="B443" s="11"/>
    </row>
    <row r="444" ht="15.75" customHeight="1">
      <c r="A444" s="11"/>
      <c r="B444" s="11"/>
    </row>
    <row r="445" ht="15.75" customHeight="1">
      <c r="A445" s="11"/>
      <c r="B445" s="11"/>
    </row>
    <row r="446" ht="15.75" customHeight="1">
      <c r="A446" s="11"/>
      <c r="B446" s="11"/>
    </row>
    <row r="447" ht="15.75" customHeight="1">
      <c r="A447" s="11"/>
      <c r="B447" s="11"/>
    </row>
    <row r="448" ht="15.75" customHeight="1">
      <c r="A448" s="11"/>
      <c r="B448" s="11"/>
    </row>
    <row r="449" ht="15.75" customHeight="1">
      <c r="A449" s="11"/>
      <c r="B449" s="11"/>
    </row>
    <row r="450" ht="15.75" customHeight="1">
      <c r="A450" s="11"/>
      <c r="B450" s="11"/>
    </row>
    <row r="451" ht="15.75" customHeight="1">
      <c r="A451" s="11"/>
      <c r="B451" s="11"/>
    </row>
    <row r="452" ht="15.75" customHeight="1">
      <c r="A452" s="11"/>
      <c r="B452" s="11"/>
    </row>
    <row r="453" ht="15.75" customHeight="1">
      <c r="A453" s="11"/>
      <c r="B453" s="11"/>
    </row>
    <row r="454" ht="15.75" customHeight="1">
      <c r="A454" s="11"/>
      <c r="B454" s="11"/>
    </row>
    <row r="455" ht="15.75" customHeight="1">
      <c r="A455" s="11"/>
      <c r="B455" s="11"/>
    </row>
    <row r="456" ht="15.75" customHeight="1">
      <c r="A456" s="11"/>
      <c r="B456" s="11"/>
    </row>
    <row r="457" ht="15.75" customHeight="1">
      <c r="A457" s="11"/>
      <c r="B457" s="11"/>
    </row>
    <row r="458" ht="15.75" customHeight="1">
      <c r="A458" s="11"/>
      <c r="B458" s="11"/>
    </row>
    <row r="459" ht="15.75" customHeight="1">
      <c r="A459" s="11"/>
      <c r="B459" s="11"/>
    </row>
    <row r="460" ht="15.75" customHeight="1">
      <c r="A460" s="11"/>
      <c r="B460" s="11"/>
    </row>
    <row r="461" ht="15.75" customHeight="1">
      <c r="A461" s="11"/>
      <c r="B461" s="11"/>
    </row>
    <row r="462" ht="15.75" customHeight="1">
      <c r="A462" s="11"/>
      <c r="B462" s="11"/>
    </row>
    <row r="463" ht="15.75" customHeight="1">
      <c r="A463" s="11"/>
      <c r="B463" s="11"/>
    </row>
    <row r="464" ht="15.75" customHeight="1">
      <c r="A464" s="11"/>
      <c r="B464" s="11"/>
    </row>
    <row r="465" ht="15.75" customHeight="1">
      <c r="A465" s="11"/>
      <c r="B465" s="11"/>
    </row>
    <row r="466" ht="15.75" customHeight="1">
      <c r="A466" s="11"/>
      <c r="B466" s="11"/>
    </row>
    <row r="467" ht="15.75" customHeight="1">
      <c r="A467" s="11"/>
      <c r="B467" s="11"/>
    </row>
    <row r="468" ht="15.75" customHeight="1">
      <c r="A468" s="11"/>
      <c r="B468" s="11"/>
    </row>
    <row r="469" ht="15.75" customHeight="1">
      <c r="A469" s="11"/>
      <c r="B469" s="11"/>
    </row>
    <row r="470" ht="15.75" customHeight="1">
      <c r="A470" s="11"/>
      <c r="B470" s="11"/>
    </row>
    <row r="471" ht="15.75" customHeight="1">
      <c r="A471" s="11"/>
      <c r="B471" s="11"/>
    </row>
    <row r="472" ht="15.75" customHeight="1">
      <c r="A472" s="11"/>
      <c r="B472" s="11"/>
    </row>
    <row r="473" ht="15.75" customHeight="1">
      <c r="A473" s="11"/>
      <c r="B473" s="11"/>
    </row>
    <row r="474" ht="15.75" customHeight="1">
      <c r="A474" s="11"/>
      <c r="B474" s="11"/>
    </row>
    <row r="475" ht="15.75" customHeight="1">
      <c r="A475" s="11"/>
      <c r="B475" s="11"/>
    </row>
    <row r="476" ht="15.75" customHeight="1">
      <c r="A476" s="11"/>
      <c r="B476" s="11"/>
    </row>
    <row r="477" ht="15.75" customHeight="1">
      <c r="A477" s="11"/>
      <c r="B477" s="11"/>
    </row>
    <row r="478" ht="15.75" customHeight="1">
      <c r="A478" s="11"/>
      <c r="B478" s="11"/>
    </row>
    <row r="479" ht="15.75" customHeight="1">
      <c r="A479" s="11"/>
      <c r="B479" s="11"/>
    </row>
    <row r="480" ht="15.75" customHeight="1">
      <c r="A480" s="11"/>
      <c r="B480" s="11"/>
    </row>
    <row r="481" ht="15.75" customHeight="1">
      <c r="A481" s="11"/>
      <c r="B481" s="11"/>
    </row>
    <row r="482" ht="15.75" customHeight="1">
      <c r="A482" s="11"/>
      <c r="B482" s="11"/>
    </row>
    <row r="483" ht="15.75" customHeight="1">
      <c r="A483" s="11"/>
      <c r="B483" s="11"/>
    </row>
    <row r="484" ht="15.75" customHeight="1">
      <c r="A484" s="11"/>
      <c r="B484" s="11"/>
    </row>
    <row r="485" ht="15.75" customHeight="1">
      <c r="A485" s="11"/>
      <c r="B485" s="11"/>
    </row>
    <row r="486" ht="15.75" customHeight="1">
      <c r="A486" s="11"/>
      <c r="B486" s="11"/>
    </row>
    <row r="487" ht="15.75" customHeight="1">
      <c r="A487" s="11"/>
      <c r="B487" s="11"/>
    </row>
    <row r="488" ht="15.75" customHeight="1">
      <c r="A488" s="11"/>
      <c r="B488" s="11"/>
    </row>
    <row r="489" ht="15.75" customHeight="1">
      <c r="A489" s="11"/>
      <c r="B489" s="11"/>
    </row>
    <row r="490" ht="15.75" customHeight="1">
      <c r="A490" s="11"/>
      <c r="B490" s="11"/>
    </row>
    <row r="491" ht="15.75" customHeight="1">
      <c r="A491" s="11"/>
      <c r="B491" s="11"/>
    </row>
    <row r="492" ht="15.75" customHeight="1">
      <c r="A492" s="11"/>
      <c r="B492" s="11"/>
    </row>
    <row r="493" ht="15.75" customHeight="1">
      <c r="A493" s="11"/>
      <c r="B493" s="11"/>
    </row>
    <row r="494" ht="15.75" customHeight="1">
      <c r="A494" s="11"/>
      <c r="B494" s="11"/>
    </row>
    <row r="495" ht="15.75" customHeight="1">
      <c r="A495" s="11"/>
      <c r="B495" s="11"/>
    </row>
    <row r="496" ht="15.75" customHeight="1">
      <c r="A496" s="11"/>
      <c r="B496" s="11"/>
    </row>
    <row r="497" ht="15.75" customHeight="1">
      <c r="A497" s="11"/>
      <c r="B497" s="11"/>
    </row>
    <row r="498" ht="15.75" customHeight="1">
      <c r="A498" s="11"/>
      <c r="B498" s="11"/>
    </row>
    <row r="499" ht="15.75" customHeight="1">
      <c r="A499" s="11"/>
      <c r="B499" s="11"/>
    </row>
    <row r="500" ht="15.75" customHeight="1">
      <c r="A500" s="11"/>
      <c r="B500" s="11"/>
    </row>
    <row r="501" ht="15.75" customHeight="1">
      <c r="A501" s="11"/>
      <c r="B501" s="11"/>
    </row>
    <row r="502" ht="15.75" customHeight="1">
      <c r="A502" s="11"/>
      <c r="B502" s="11"/>
    </row>
    <row r="503" ht="15.75" customHeight="1">
      <c r="A503" s="11"/>
      <c r="B503" s="11"/>
    </row>
    <row r="504" ht="15.75" customHeight="1">
      <c r="A504" s="11"/>
      <c r="B504" s="11"/>
    </row>
    <row r="505" ht="15.75" customHeight="1">
      <c r="A505" s="11"/>
      <c r="B505" s="11"/>
    </row>
    <row r="506" ht="15.75" customHeight="1">
      <c r="A506" s="11"/>
      <c r="B506" s="11"/>
    </row>
    <row r="507" ht="15.75" customHeight="1">
      <c r="A507" s="11"/>
      <c r="B507" s="11"/>
    </row>
    <row r="508" ht="15.75" customHeight="1">
      <c r="A508" s="11"/>
      <c r="B508" s="11"/>
    </row>
    <row r="509" ht="15.75" customHeight="1">
      <c r="A509" s="11"/>
      <c r="B509" s="11"/>
    </row>
    <row r="510" ht="15.75" customHeight="1">
      <c r="A510" s="11"/>
      <c r="B510" s="11"/>
    </row>
    <row r="511" ht="15.75" customHeight="1">
      <c r="A511" s="11"/>
      <c r="B511" s="11"/>
    </row>
    <row r="512" ht="15.75" customHeight="1">
      <c r="A512" s="11"/>
      <c r="B512" s="11"/>
    </row>
    <row r="513" ht="15.75" customHeight="1">
      <c r="A513" s="11"/>
      <c r="B513" s="11"/>
    </row>
    <row r="514" ht="15.75" customHeight="1">
      <c r="A514" s="11"/>
      <c r="B514" s="11"/>
    </row>
    <row r="515" ht="15.75" customHeight="1">
      <c r="A515" s="11"/>
      <c r="B515" s="11"/>
    </row>
    <row r="516" ht="15.75" customHeight="1">
      <c r="A516" s="11"/>
      <c r="B516" s="11"/>
    </row>
    <row r="517" ht="15.75" customHeight="1">
      <c r="A517" s="11"/>
      <c r="B517" s="11"/>
    </row>
    <row r="518" ht="15.75" customHeight="1">
      <c r="A518" s="11"/>
      <c r="B518" s="11"/>
    </row>
    <row r="519" ht="15.75" customHeight="1">
      <c r="A519" s="11"/>
      <c r="B519" s="11"/>
    </row>
    <row r="520" ht="15.75" customHeight="1">
      <c r="A520" s="11"/>
      <c r="B520" s="11"/>
    </row>
    <row r="521" ht="15.75" customHeight="1">
      <c r="A521" s="11"/>
      <c r="B521" s="11"/>
    </row>
    <row r="522" ht="15.75" customHeight="1">
      <c r="A522" s="11"/>
      <c r="B522" s="11"/>
    </row>
    <row r="523" ht="15.75" customHeight="1">
      <c r="A523" s="11"/>
      <c r="B523" s="11"/>
    </row>
    <row r="524" ht="15.75" customHeight="1">
      <c r="A524" s="11"/>
      <c r="B524" s="11"/>
    </row>
    <row r="525" ht="15.75" customHeight="1">
      <c r="A525" s="11"/>
      <c r="B525" s="11"/>
    </row>
    <row r="526" ht="15.75" customHeight="1">
      <c r="A526" s="11"/>
      <c r="B526" s="11"/>
    </row>
    <row r="527" ht="15.75" customHeight="1">
      <c r="A527" s="11"/>
      <c r="B527" s="11"/>
    </row>
    <row r="528" ht="15.75" customHeight="1">
      <c r="A528" s="11"/>
      <c r="B528" s="11"/>
    </row>
    <row r="529" ht="15.75" customHeight="1">
      <c r="A529" s="11"/>
      <c r="B529" s="11"/>
    </row>
    <row r="530" ht="15.75" customHeight="1">
      <c r="A530" s="11"/>
      <c r="B530" s="11"/>
    </row>
    <row r="531" ht="15.75" customHeight="1">
      <c r="A531" s="11"/>
      <c r="B531" s="11"/>
    </row>
    <row r="532" ht="15.75" customHeight="1">
      <c r="A532" s="11"/>
      <c r="B532" s="11"/>
    </row>
    <row r="533" ht="15.75" customHeight="1">
      <c r="A533" s="11"/>
      <c r="B533" s="11"/>
    </row>
    <row r="534" ht="15.75" customHeight="1">
      <c r="A534" s="11"/>
      <c r="B534" s="11"/>
    </row>
    <row r="535" ht="15.75" customHeight="1">
      <c r="A535" s="11"/>
      <c r="B535" s="11"/>
    </row>
    <row r="536" ht="15.75" customHeight="1">
      <c r="A536" s="11"/>
      <c r="B536" s="11"/>
    </row>
    <row r="537" ht="15.75" customHeight="1">
      <c r="A537" s="11"/>
      <c r="B537" s="11"/>
    </row>
    <row r="538" ht="15.75" customHeight="1">
      <c r="A538" s="11"/>
      <c r="B538" s="11"/>
    </row>
    <row r="539" ht="15.75" customHeight="1">
      <c r="A539" s="11"/>
      <c r="B539" s="11"/>
    </row>
    <row r="540" ht="15.75" customHeight="1">
      <c r="A540" s="11"/>
      <c r="B540" s="11"/>
    </row>
    <row r="541" ht="15.75" customHeight="1">
      <c r="A541" s="11"/>
      <c r="B541" s="11"/>
    </row>
    <row r="542" ht="15.75" customHeight="1">
      <c r="A542" s="11"/>
      <c r="B542" s="11"/>
    </row>
    <row r="543" ht="15.75" customHeight="1">
      <c r="A543" s="11"/>
      <c r="B543" s="11"/>
    </row>
    <row r="544" ht="15.75" customHeight="1">
      <c r="A544" s="11"/>
      <c r="B544" s="11"/>
    </row>
    <row r="545" ht="15.75" customHeight="1">
      <c r="A545" s="11"/>
      <c r="B545" s="11"/>
    </row>
    <row r="546" ht="15.75" customHeight="1">
      <c r="A546" s="11"/>
      <c r="B546" s="11"/>
    </row>
    <row r="547" ht="15.75" customHeight="1">
      <c r="A547" s="11"/>
      <c r="B547" s="11"/>
    </row>
    <row r="548" ht="15.75" customHeight="1">
      <c r="A548" s="11"/>
      <c r="B548" s="11"/>
    </row>
    <row r="549" ht="15.75" customHeight="1">
      <c r="A549" s="11"/>
      <c r="B549" s="11"/>
    </row>
    <row r="550" ht="15.75" customHeight="1">
      <c r="A550" s="11"/>
      <c r="B550" s="11"/>
    </row>
    <row r="551" ht="15.75" customHeight="1">
      <c r="A551" s="11"/>
      <c r="B551" s="11"/>
    </row>
    <row r="552" ht="15.75" customHeight="1">
      <c r="A552" s="11"/>
      <c r="B552" s="11"/>
    </row>
    <row r="553" ht="15.75" customHeight="1">
      <c r="A553" s="11"/>
      <c r="B553" s="11"/>
    </row>
    <row r="554" ht="15.75" customHeight="1">
      <c r="A554" s="11"/>
      <c r="B554" s="11"/>
    </row>
    <row r="555" ht="15.75" customHeight="1">
      <c r="A555" s="11"/>
      <c r="B555" s="11"/>
    </row>
    <row r="556" ht="15.75" customHeight="1">
      <c r="A556" s="11"/>
      <c r="B556" s="11"/>
    </row>
    <row r="557" ht="15.75" customHeight="1">
      <c r="A557" s="11"/>
      <c r="B557" s="11"/>
    </row>
    <row r="558" ht="15.75" customHeight="1">
      <c r="A558" s="11"/>
      <c r="B558" s="11"/>
    </row>
    <row r="559" ht="15.75" customHeight="1">
      <c r="A559" s="11"/>
      <c r="B559" s="11"/>
    </row>
    <row r="560" ht="15.75" customHeight="1">
      <c r="A560" s="11"/>
      <c r="B560" s="11"/>
    </row>
    <row r="561" ht="15.75" customHeight="1">
      <c r="A561" s="11"/>
      <c r="B561" s="11"/>
    </row>
    <row r="562" ht="15.75" customHeight="1">
      <c r="A562" s="11"/>
      <c r="B562" s="11"/>
    </row>
    <row r="563" ht="15.75" customHeight="1">
      <c r="A563" s="11"/>
      <c r="B563" s="11"/>
    </row>
    <row r="564" ht="15.75" customHeight="1">
      <c r="A564" s="11"/>
      <c r="B564" s="11"/>
    </row>
    <row r="565" ht="15.75" customHeight="1">
      <c r="A565" s="11"/>
      <c r="B565" s="11"/>
    </row>
    <row r="566" ht="15.75" customHeight="1">
      <c r="A566" s="11"/>
      <c r="B566" s="11"/>
    </row>
    <row r="567" ht="15.75" customHeight="1">
      <c r="A567" s="11"/>
      <c r="B567" s="11"/>
    </row>
    <row r="568" ht="15.75" customHeight="1">
      <c r="A568" s="11"/>
      <c r="B568" s="11"/>
    </row>
    <row r="569" ht="15.75" customHeight="1">
      <c r="A569" s="11"/>
      <c r="B569" s="11"/>
    </row>
    <row r="570" ht="15.75" customHeight="1">
      <c r="A570" s="11"/>
      <c r="B570" s="11"/>
    </row>
    <row r="571" ht="15.75" customHeight="1">
      <c r="A571" s="11"/>
      <c r="B571" s="11"/>
    </row>
    <row r="572" ht="15.75" customHeight="1">
      <c r="A572" s="11"/>
      <c r="B572" s="11"/>
    </row>
    <row r="573" ht="15.75" customHeight="1">
      <c r="A573" s="11"/>
      <c r="B573" s="11"/>
    </row>
    <row r="574" ht="15.75" customHeight="1">
      <c r="A574" s="11"/>
      <c r="B574" s="11"/>
    </row>
    <row r="575" ht="15.75" customHeight="1">
      <c r="A575" s="11"/>
      <c r="B575" s="11"/>
    </row>
    <row r="576" ht="15.75" customHeight="1">
      <c r="A576" s="11"/>
      <c r="B576" s="11"/>
    </row>
    <row r="577" ht="15.75" customHeight="1">
      <c r="A577" s="11"/>
      <c r="B577" s="11"/>
    </row>
    <row r="578" ht="15.75" customHeight="1">
      <c r="A578" s="11"/>
      <c r="B578" s="11"/>
    </row>
    <row r="579" ht="15.75" customHeight="1">
      <c r="A579" s="11"/>
      <c r="B579" s="11"/>
    </row>
    <row r="580" ht="15.75" customHeight="1">
      <c r="A580" s="11"/>
      <c r="B580" s="11"/>
    </row>
    <row r="581" ht="15.75" customHeight="1">
      <c r="A581" s="11"/>
      <c r="B581" s="11"/>
    </row>
    <row r="582" ht="15.75" customHeight="1">
      <c r="A582" s="11"/>
      <c r="B582" s="11"/>
    </row>
    <row r="583" ht="15.75" customHeight="1">
      <c r="A583" s="11"/>
      <c r="B583" s="11"/>
    </row>
    <row r="584" ht="15.75" customHeight="1">
      <c r="A584" s="11"/>
      <c r="B584" s="11"/>
    </row>
    <row r="585" ht="15.75" customHeight="1">
      <c r="A585" s="11"/>
      <c r="B585" s="11"/>
    </row>
    <row r="586" ht="15.75" customHeight="1">
      <c r="A586" s="11"/>
      <c r="B586" s="11"/>
    </row>
    <row r="587" ht="15.75" customHeight="1">
      <c r="A587" s="11"/>
      <c r="B587" s="11"/>
    </row>
    <row r="588" ht="15.75" customHeight="1">
      <c r="A588" s="11"/>
      <c r="B588" s="11"/>
    </row>
    <row r="589" ht="15.75" customHeight="1">
      <c r="A589" s="11"/>
      <c r="B589" s="11"/>
    </row>
    <row r="590" ht="15.75" customHeight="1">
      <c r="A590" s="11"/>
      <c r="B590" s="11"/>
    </row>
    <row r="591" ht="15.75" customHeight="1">
      <c r="A591" s="11"/>
      <c r="B591" s="11"/>
    </row>
    <row r="592" ht="15.75" customHeight="1">
      <c r="A592" s="11"/>
      <c r="B592" s="11"/>
    </row>
    <row r="593" ht="15.75" customHeight="1">
      <c r="A593" s="11"/>
      <c r="B593" s="11"/>
    </row>
    <row r="594" ht="15.75" customHeight="1">
      <c r="A594" s="11"/>
      <c r="B594" s="11"/>
    </row>
    <row r="595" ht="15.75" customHeight="1">
      <c r="A595" s="11"/>
      <c r="B595" s="11"/>
    </row>
    <row r="596" ht="15.75" customHeight="1">
      <c r="A596" s="11"/>
      <c r="B596" s="11"/>
    </row>
    <row r="597" ht="15.75" customHeight="1">
      <c r="A597" s="11"/>
      <c r="B597" s="11"/>
    </row>
    <row r="598" ht="15.75" customHeight="1">
      <c r="A598" s="11"/>
      <c r="B598" s="11"/>
    </row>
    <row r="599" ht="15.75" customHeight="1">
      <c r="A599" s="11"/>
      <c r="B599" s="11"/>
    </row>
    <row r="600" ht="15.75" customHeight="1">
      <c r="A600" s="11"/>
      <c r="B600" s="11"/>
    </row>
    <row r="601" ht="15.75" customHeight="1">
      <c r="A601" s="11"/>
      <c r="B601" s="11"/>
    </row>
    <row r="602" ht="15.75" customHeight="1">
      <c r="A602" s="11"/>
      <c r="B602" s="11"/>
    </row>
    <row r="603" ht="15.75" customHeight="1">
      <c r="A603" s="11"/>
      <c r="B603" s="11"/>
    </row>
    <row r="604" ht="15.75" customHeight="1">
      <c r="A604" s="11"/>
      <c r="B604" s="11"/>
    </row>
    <row r="605" ht="15.75" customHeight="1">
      <c r="A605" s="11"/>
      <c r="B605" s="11"/>
    </row>
    <row r="606" ht="15.75" customHeight="1">
      <c r="A606" s="11"/>
      <c r="B606" s="11"/>
    </row>
    <row r="607" ht="15.75" customHeight="1">
      <c r="A607" s="11"/>
      <c r="B607" s="11"/>
    </row>
    <row r="608" ht="15.75" customHeight="1">
      <c r="A608" s="11"/>
      <c r="B608" s="11"/>
    </row>
    <row r="609" ht="15.75" customHeight="1">
      <c r="A609" s="11"/>
      <c r="B609" s="11"/>
    </row>
    <row r="610" ht="15.75" customHeight="1">
      <c r="A610" s="11"/>
      <c r="B610" s="11"/>
    </row>
    <row r="611" ht="15.75" customHeight="1">
      <c r="A611" s="11"/>
      <c r="B611" s="11"/>
    </row>
    <row r="612" ht="15.75" customHeight="1">
      <c r="A612" s="11"/>
      <c r="B612" s="11"/>
    </row>
    <row r="613" ht="15.75" customHeight="1">
      <c r="A613" s="11"/>
      <c r="B613" s="11"/>
    </row>
    <row r="614" ht="15.75" customHeight="1">
      <c r="A614" s="11"/>
      <c r="B614" s="11"/>
    </row>
    <row r="615" ht="15.75" customHeight="1">
      <c r="A615" s="11"/>
      <c r="B615" s="11"/>
    </row>
    <row r="616" ht="15.75" customHeight="1">
      <c r="A616" s="11"/>
      <c r="B616" s="11"/>
    </row>
    <row r="617" ht="15.75" customHeight="1">
      <c r="A617" s="11"/>
      <c r="B617" s="11"/>
    </row>
    <row r="618" ht="15.75" customHeight="1">
      <c r="A618" s="11"/>
      <c r="B618" s="11"/>
    </row>
    <row r="619" ht="15.75" customHeight="1">
      <c r="A619" s="11"/>
      <c r="B619" s="11"/>
    </row>
    <row r="620" ht="15.75" customHeight="1">
      <c r="A620" s="11"/>
      <c r="B620" s="11"/>
    </row>
    <row r="621" ht="15.75" customHeight="1">
      <c r="A621" s="11"/>
      <c r="B621" s="11"/>
    </row>
    <row r="622" ht="15.75" customHeight="1">
      <c r="A622" s="11"/>
      <c r="B622" s="11"/>
    </row>
    <row r="623" ht="15.75" customHeight="1">
      <c r="A623" s="11"/>
      <c r="B623" s="11"/>
    </row>
    <row r="624" ht="15.75" customHeight="1">
      <c r="A624" s="11"/>
      <c r="B624" s="11"/>
    </row>
    <row r="625" ht="15.75" customHeight="1">
      <c r="A625" s="11"/>
      <c r="B625" s="11"/>
    </row>
    <row r="626" ht="15.75" customHeight="1">
      <c r="A626" s="11"/>
      <c r="B626" s="11"/>
    </row>
    <row r="627" ht="15.75" customHeight="1">
      <c r="A627" s="11"/>
      <c r="B627" s="11"/>
    </row>
    <row r="628" ht="15.75" customHeight="1">
      <c r="A628" s="11"/>
      <c r="B628" s="11"/>
    </row>
    <row r="629" ht="15.75" customHeight="1">
      <c r="A629" s="11"/>
      <c r="B629" s="11"/>
    </row>
    <row r="630" ht="15.75" customHeight="1">
      <c r="A630" s="11"/>
      <c r="B630" s="11"/>
    </row>
    <row r="631" ht="15.75" customHeight="1">
      <c r="A631" s="11"/>
      <c r="B631" s="11"/>
    </row>
    <row r="632" ht="15.75" customHeight="1">
      <c r="A632" s="11"/>
      <c r="B632" s="11"/>
    </row>
    <row r="633" ht="15.75" customHeight="1">
      <c r="A633" s="11"/>
      <c r="B633" s="11"/>
    </row>
    <row r="634" ht="15.75" customHeight="1">
      <c r="A634" s="11"/>
      <c r="B634" s="11"/>
    </row>
    <row r="635" ht="15.75" customHeight="1">
      <c r="A635" s="11"/>
      <c r="B635" s="11"/>
    </row>
    <row r="636" ht="15.75" customHeight="1">
      <c r="A636" s="11"/>
      <c r="B636" s="11"/>
    </row>
    <row r="637" ht="15.75" customHeight="1">
      <c r="A637" s="11"/>
      <c r="B637" s="11"/>
    </row>
    <row r="638" ht="15.75" customHeight="1">
      <c r="A638" s="11"/>
      <c r="B638" s="11"/>
    </row>
    <row r="639" ht="15.75" customHeight="1">
      <c r="A639" s="11"/>
      <c r="B639" s="11"/>
    </row>
    <row r="640" ht="15.75" customHeight="1">
      <c r="A640" s="11"/>
      <c r="B640" s="11"/>
    </row>
    <row r="641" ht="15.75" customHeight="1">
      <c r="A641" s="11"/>
      <c r="B641" s="11"/>
    </row>
    <row r="642" ht="15.75" customHeight="1">
      <c r="A642" s="11"/>
      <c r="B642" s="11"/>
    </row>
    <row r="643" ht="15.75" customHeight="1">
      <c r="A643" s="11"/>
      <c r="B643" s="11"/>
    </row>
    <row r="644" ht="15.75" customHeight="1">
      <c r="A644" s="11"/>
      <c r="B644" s="11"/>
    </row>
    <row r="645" ht="15.75" customHeight="1">
      <c r="A645" s="11"/>
      <c r="B645" s="11"/>
    </row>
    <row r="646" ht="15.75" customHeight="1">
      <c r="A646" s="11"/>
      <c r="B646" s="11"/>
    </row>
    <row r="647" ht="15.75" customHeight="1">
      <c r="A647" s="11"/>
      <c r="B647" s="11"/>
    </row>
    <row r="648" ht="15.75" customHeight="1">
      <c r="A648" s="11"/>
      <c r="B648" s="11"/>
    </row>
    <row r="649" ht="15.75" customHeight="1">
      <c r="A649" s="11"/>
      <c r="B649" s="11"/>
    </row>
    <row r="650" ht="15.75" customHeight="1">
      <c r="A650" s="11"/>
      <c r="B650" s="11"/>
    </row>
    <row r="651" ht="15.75" customHeight="1">
      <c r="A651" s="11"/>
      <c r="B651" s="11"/>
    </row>
    <row r="652" ht="15.75" customHeight="1">
      <c r="A652" s="11"/>
      <c r="B652" s="11"/>
    </row>
    <row r="653" ht="15.75" customHeight="1">
      <c r="A653" s="11"/>
      <c r="B653" s="11"/>
    </row>
    <row r="654" ht="15.75" customHeight="1">
      <c r="A654" s="11"/>
      <c r="B654" s="11"/>
    </row>
    <row r="655" ht="15.75" customHeight="1">
      <c r="A655" s="11"/>
      <c r="B655" s="11"/>
    </row>
    <row r="656" ht="15.75" customHeight="1">
      <c r="A656" s="11"/>
      <c r="B656" s="11"/>
    </row>
    <row r="657" ht="15.75" customHeight="1">
      <c r="A657" s="11"/>
      <c r="B657" s="11"/>
    </row>
    <row r="658" ht="15.75" customHeight="1">
      <c r="A658" s="11"/>
      <c r="B658" s="11"/>
    </row>
    <row r="659" ht="15.75" customHeight="1">
      <c r="A659" s="11"/>
      <c r="B659" s="11"/>
    </row>
    <row r="660" ht="15.75" customHeight="1">
      <c r="A660" s="11"/>
      <c r="B660" s="11"/>
    </row>
    <row r="661" ht="15.75" customHeight="1">
      <c r="A661" s="11"/>
      <c r="B661" s="11"/>
    </row>
    <row r="662" ht="15.75" customHeight="1">
      <c r="A662" s="11"/>
      <c r="B662" s="11"/>
    </row>
    <row r="663" ht="15.75" customHeight="1">
      <c r="A663" s="11"/>
      <c r="B663" s="11"/>
    </row>
    <row r="664" ht="15.75" customHeight="1">
      <c r="A664" s="11"/>
      <c r="B664" s="11"/>
    </row>
    <row r="665" ht="15.75" customHeight="1">
      <c r="A665" s="11"/>
      <c r="B665" s="11"/>
    </row>
    <row r="666" ht="15.75" customHeight="1">
      <c r="A666" s="11"/>
      <c r="B666" s="11"/>
    </row>
    <row r="667" ht="15.75" customHeight="1">
      <c r="A667" s="11"/>
      <c r="B667" s="11"/>
    </row>
    <row r="668" ht="15.75" customHeight="1">
      <c r="A668" s="11"/>
      <c r="B668" s="11"/>
    </row>
    <row r="669" ht="15.75" customHeight="1">
      <c r="A669" s="11"/>
      <c r="B669" s="11"/>
    </row>
    <row r="670" ht="15.75" customHeight="1">
      <c r="A670" s="11"/>
      <c r="B670" s="11"/>
    </row>
    <row r="671" ht="15.75" customHeight="1">
      <c r="A671" s="11"/>
      <c r="B671" s="11"/>
    </row>
    <row r="672" ht="15.75" customHeight="1">
      <c r="A672" s="11"/>
      <c r="B672" s="11"/>
    </row>
    <row r="673" ht="15.75" customHeight="1">
      <c r="A673" s="11"/>
      <c r="B673" s="11"/>
    </row>
    <row r="674" ht="15.75" customHeight="1">
      <c r="A674" s="11"/>
      <c r="B674" s="11"/>
    </row>
    <row r="675" ht="15.75" customHeight="1">
      <c r="A675" s="11"/>
      <c r="B675" s="11"/>
    </row>
    <row r="676" ht="15.75" customHeight="1">
      <c r="A676" s="11"/>
      <c r="B676" s="11"/>
    </row>
    <row r="677" ht="15.75" customHeight="1">
      <c r="A677" s="11"/>
      <c r="B677" s="11"/>
    </row>
    <row r="678" ht="15.75" customHeight="1">
      <c r="A678" s="11"/>
      <c r="B678" s="11"/>
    </row>
    <row r="679" ht="15.75" customHeight="1">
      <c r="A679" s="11"/>
      <c r="B679" s="11"/>
    </row>
    <row r="680" ht="15.75" customHeight="1">
      <c r="A680" s="11"/>
      <c r="B680" s="11"/>
    </row>
    <row r="681" ht="15.75" customHeight="1">
      <c r="A681" s="11"/>
      <c r="B681" s="11"/>
    </row>
    <row r="682" ht="15.75" customHeight="1">
      <c r="A682" s="11"/>
      <c r="B682" s="11"/>
    </row>
    <row r="683" ht="15.75" customHeight="1">
      <c r="A683" s="11"/>
      <c r="B683" s="11"/>
    </row>
    <row r="684" ht="15.75" customHeight="1">
      <c r="A684" s="11"/>
      <c r="B684" s="11"/>
    </row>
    <row r="685" ht="15.75" customHeight="1">
      <c r="A685" s="11"/>
      <c r="B685" s="11"/>
    </row>
    <row r="686" ht="15.75" customHeight="1">
      <c r="A686" s="11"/>
      <c r="B686" s="11"/>
    </row>
    <row r="687" ht="15.75" customHeight="1">
      <c r="A687" s="11"/>
      <c r="B687" s="11"/>
    </row>
    <row r="688" ht="15.75" customHeight="1">
      <c r="A688" s="11"/>
      <c r="B688" s="11"/>
    </row>
    <row r="689" ht="15.75" customHeight="1">
      <c r="A689" s="11"/>
      <c r="B689" s="11"/>
    </row>
    <row r="690" ht="15.75" customHeight="1">
      <c r="A690" s="11"/>
      <c r="B690" s="11"/>
    </row>
    <row r="691" ht="15.75" customHeight="1">
      <c r="A691" s="11"/>
      <c r="B691" s="11"/>
    </row>
    <row r="692" ht="15.75" customHeight="1">
      <c r="A692" s="11"/>
      <c r="B692" s="11"/>
    </row>
    <row r="693" ht="15.75" customHeight="1">
      <c r="A693" s="11"/>
      <c r="B693" s="11"/>
    </row>
    <row r="694" ht="15.75" customHeight="1">
      <c r="A694" s="11"/>
      <c r="B694" s="11"/>
    </row>
    <row r="695" ht="15.75" customHeight="1">
      <c r="A695" s="11"/>
      <c r="B695" s="11"/>
    </row>
    <row r="696" ht="15.75" customHeight="1">
      <c r="A696" s="11"/>
      <c r="B696" s="11"/>
    </row>
    <row r="697" ht="15.75" customHeight="1">
      <c r="A697" s="11"/>
      <c r="B697" s="11"/>
    </row>
    <row r="698" ht="15.75" customHeight="1">
      <c r="A698" s="11"/>
      <c r="B698" s="11"/>
    </row>
    <row r="699" ht="15.75" customHeight="1">
      <c r="A699" s="11"/>
      <c r="B699" s="11"/>
    </row>
    <row r="700" ht="15.75" customHeight="1">
      <c r="A700" s="11"/>
      <c r="B700" s="11"/>
    </row>
    <row r="701" ht="15.75" customHeight="1">
      <c r="A701" s="11"/>
      <c r="B701" s="11"/>
    </row>
    <row r="702" ht="15.75" customHeight="1">
      <c r="A702" s="11"/>
      <c r="B702" s="11"/>
    </row>
    <row r="703" ht="15.75" customHeight="1">
      <c r="A703" s="11"/>
      <c r="B703" s="11"/>
    </row>
    <row r="704" ht="15.75" customHeight="1">
      <c r="A704" s="11"/>
      <c r="B704" s="11"/>
    </row>
    <row r="705" ht="15.75" customHeight="1">
      <c r="A705" s="11"/>
      <c r="B705" s="11"/>
    </row>
    <row r="706" ht="15.75" customHeight="1">
      <c r="A706" s="11"/>
      <c r="B706" s="11"/>
    </row>
    <row r="707" ht="15.75" customHeight="1">
      <c r="A707" s="11"/>
      <c r="B707" s="11"/>
    </row>
    <row r="708" ht="15.75" customHeight="1">
      <c r="A708" s="11"/>
      <c r="B708" s="11"/>
    </row>
    <row r="709" ht="15.75" customHeight="1">
      <c r="A709" s="11"/>
      <c r="B709" s="11"/>
    </row>
    <row r="710" ht="15.75" customHeight="1">
      <c r="A710" s="11"/>
      <c r="B710" s="11"/>
    </row>
    <row r="711" ht="15.75" customHeight="1">
      <c r="A711" s="11"/>
      <c r="B711" s="11"/>
    </row>
    <row r="712" ht="15.75" customHeight="1">
      <c r="A712" s="11"/>
      <c r="B712" s="11"/>
    </row>
    <row r="713" ht="15.75" customHeight="1">
      <c r="A713" s="11"/>
      <c r="B713" s="11"/>
    </row>
    <row r="714" ht="15.75" customHeight="1">
      <c r="A714" s="11"/>
      <c r="B714" s="11"/>
    </row>
    <row r="715" ht="15.75" customHeight="1">
      <c r="A715" s="11"/>
      <c r="B715" s="11"/>
    </row>
    <row r="716" ht="15.75" customHeight="1">
      <c r="A716" s="11"/>
      <c r="B716" s="11"/>
    </row>
    <row r="717" ht="15.75" customHeight="1">
      <c r="A717" s="11"/>
      <c r="B717" s="11"/>
    </row>
    <row r="718" ht="15.75" customHeight="1">
      <c r="A718" s="11"/>
      <c r="B718" s="11"/>
    </row>
    <row r="719" ht="15.75" customHeight="1">
      <c r="A719" s="11"/>
      <c r="B719" s="11"/>
    </row>
    <row r="720" ht="15.75" customHeight="1">
      <c r="A720" s="11"/>
      <c r="B720" s="11"/>
    </row>
    <row r="721" ht="15.75" customHeight="1">
      <c r="A721" s="11"/>
      <c r="B721" s="11"/>
    </row>
    <row r="722" ht="15.75" customHeight="1">
      <c r="A722" s="11"/>
      <c r="B722" s="11"/>
    </row>
    <row r="723" ht="15.75" customHeight="1">
      <c r="A723" s="11"/>
      <c r="B723" s="11"/>
    </row>
    <row r="724" ht="15.75" customHeight="1">
      <c r="A724" s="11"/>
      <c r="B724" s="11"/>
    </row>
    <row r="725" ht="15.75" customHeight="1">
      <c r="A725" s="11"/>
      <c r="B725" s="11"/>
    </row>
    <row r="726" ht="15.75" customHeight="1">
      <c r="A726" s="11"/>
      <c r="B726" s="11"/>
    </row>
    <row r="727" ht="15.75" customHeight="1">
      <c r="A727" s="11"/>
      <c r="B727" s="11"/>
    </row>
    <row r="728" ht="15.75" customHeight="1">
      <c r="A728" s="11"/>
      <c r="B728" s="11"/>
    </row>
    <row r="729" ht="15.75" customHeight="1">
      <c r="A729" s="11"/>
      <c r="B729" s="11"/>
    </row>
    <row r="730" ht="15.75" customHeight="1">
      <c r="A730" s="11"/>
      <c r="B730" s="11"/>
    </row>
    <row r="731" ht="15.75" customHeight="1">
      <c r="A731" s="11"/>
      <c r="B731" s="11"/>
    </row>
    <row r="732" ht="15.75" customHeight="1">
      <c r="A732" s="11"/>
      <c r="B732" s="11"/>
    </row>
    <row r="733" ht="15.75" customHeight="1">
      <c r="A733" s="11"/>
      <c r="B733" s="11"/>
    </row>
    <row r="734" ht="15.75" customHeight="1">
      <c r="A734" s="11"/>
      <c r="B734" s="11"/>
    </row>
    <row r="735" ht="15.75" customHeight="1">
      <c r="A735" s="11"/>
      <c r="B735" s="11"/>
    </row>
    <row r="736" ht="15.75" customHeight="1">
      <c r="A736" s="11"/>
      <c r="B736" s="11"/>
    </row>
    <row r="737" ht="15.75" customHeight="1">
      <c r="A737" s="11"/>
      <c r="B737" s="11"/>
    </row>
    <row r="738" ht="15.75" customHeight="1">
      <c r="A738" s="11"/>
      <c r="B738" s="11"/>
    </row>
    <row r="739" ht="15.75" customHeight="1">
      <c r="A739" s="11"/>
      <c r="B739" s="11"/>
    </row>
    <row r="740" ht="15.75" customHeight="1">
      <c r="A740" s="11"/>
      <c r="B740" s="11"/>
    </row>
    <row r="741" ht="15.75" customHeight="1">
      <c r="A741" s="11"/>
      <c r="B741" s="11"/>
    </row>
    <row r="742" ht="15.75" customHeight="1">
      <c r="A742" s="11"/>
      <c r="B742" s="11"/>
    </row>
    <row r="743" ht="15.75" customHeight="1">
      <c r="A743" s="11"/>
      <c r="B743" s="11"/>
    </row>
    <row r="744" ht="15.75" customHeight="1">
      <c r="A744" s="11"/>
      <c r="B744" s="11"/>
    </row>
    <row r="745" ht="15.75" customHeight="1">
      <c r="A745" s="11"/>
      <c r="B745" s="11"/>
    </row>
    <row r="746" ht="15.75" customHeight="1">
      <c r="A746" s="11"/>
      <c r="B746" s="11"/>
    </row>
    <row r="747" ht="15.75" customHeight="1">
      <c r="A747" s="11"/>
      <c r="B747" s="11"/>
    </row>
    <row r="748" ht="15.75" customHeight="1">
      <c r="A748" s="11"/>
      <c r="B748" s="11"/>
    </row>
    <row r="749" ht="15.75" customHeight="1">
      <c r="A749" s="11"/>
      <c r="B749" s="11"/>
    </row>
    <row r="750" ht="15.75" customHeight="1">
      <c r="A750" s="11"/>
      <c r="B750" s="11"/>
    </row>
    <row r="751" ht="15.75" customHeight="1">
      <c r="A751" s="11"/>
      <c r="B751" s="11"/>
    </row>
    <row r="752" ht="15.75" customHeight="1">
      <c r="A752" s="11"/>
      <c r="B752" s="11"/>
    </row>
    <row r="753" ht="15.75" customHeight="1">
      <c r="A753" s="11"/>
      <c r="B753" s="11"/>
    </row>
    <row r="754" ht="15.75" customHeight="1">
      <c r="A754" s="11"/>
      <c r="B754" s="11"/>
    </row>
    <row r="755" ht="15.75" customHeight="1">
      <c r="A755" s="11"/>
      <c r="B755" s="11"/>
    </row>
    <row r="756" ht="15.75" customHeight="1">
      <c r="A756" s="11"/>
      <c r="B756" s="11"/>
    </row>
    <row r="757" ht="15.75" customHeight="1">
      <c r="A757" s="11"/>
      <c r="B757" s="11"/>
    </row>
    <row r="758" ht="15.75" customHeight="1">
      <c r="A758" s="11"/>
      <c r="B758" s="11"/>
    </row>
    <row r="759" ht="15.75" customHeight="1">
      <c r="A759" s="11"/>
      <c r="B759" s="11"/>
    </row>
    <row r="760" ht="15.75" customHeight="1">
      <c r="A760" s="11"/>
      <c r="B760" s="11"/>
    </row>
    <row r="761" ht="15.75" customHeight="1">
      <c r="A761" s="11"/>
      <c r="B761" s="11"/>
    </row>
    <row r="762" ht="15.75" customHeight="1">
      <c r="A762" s="11"/>
      <c r="B762" s="11"/>
    </row>
    <row r="763" ht="15.75" customHeight="1">
      <c r="A763" s="11"/>
      <c r="B763" s="11"/>
    </row>
    <row r="764" ht="15.75" customHeight="1">
      <c r="A764" s="11"/>
      <c r="B764" s="11"/>
    </row>
    <row r="765" ht="15.75" customHeight="1">
      <c r="A765" s="11"/>
      <c r="B765" s="11"/>
    </row>
    <row r="766" ht="15.75" customHeight="1">
      <c r="A766" s="11"/>
      <c r="B766" s="11"/>
    </row>
    <row r="767" ht="15.75" customHeight="1">
      <c r="A767" s="11"/>
      <c r="B767" s="11"/>
    </row>
    <row r="768" ht="15.75" customHeight="1">
      <c r="A768" s="11"/>
      <c r="B768" s="11"/>
    </row>
    <row r="769" ht="15.75" customHeight="1">
      <c r="A769" s="11"/>
      <c r="B769" s="11"/>
    </row>
    <row r="770" ht="15.75" customHeight="1">
      <c r="A770" s="11"/>
      <c r="B770" s="11"/>
    </row>
    <row r="771" ht="15.75" customHeight="1">
      <c r="A771" s="11"/>
      <c r="B771" s="11"/>
    </row>
    <row r="772" ht="15.75" customHeight="1">
      <c r="A772" s="11"/>
      <c r="B772" s="11"/>
    </row>
    <row r="773" ht="15.75" customHeight="1">
      <c r="A773" s="11"/>
      <c r="B773" s="11"/>
    </row>
    <row r="774" ht="15.75" customHeight="1">
      <c r="A774" s="11"/>
      <c r="B774" s="11"/>
    </row>
    <row r="775" ht="15.75" customHeight="1">
      <c r="A775" s="11"/>
      <c r="B775" s="11"/>
    </row>
    <row r="776" ht="15.75" customHeight="1">
      <c r="A776" s="11"/>
      <c r="B776" s="11"/>
    </row>
    <row r="777" ht="15.75" customHeight="1">
      <c r="A777" s="11"/>
      <c r="B777" s="11"/>
    </row>
    <row r="778" ht="15.75" customHeight="1">
      <c r="A778" s="11"/>
      <c r="B778" s="11"/>
    </row>
    <row r="779" ht="15.75" customHeight="1">
      <c r="A779" s="11"/>
      <c r="B779" s="11"/>
    </row>
    <row r="780" ht="15.75" customHeight="1">
      <c r="A780" s="11"/>
      <c r="B780" s="11"/>
    </row>
    <row r="781" ht="15.75" customHeight="1">
      <c r="A781" s="11"/>
      <c r="B781" s="11"/>
    </row>
    <row r="782" ht="15.75" customHeight="1">
      <c r="A782" s="11"/>
      <c r="B782" s="11"/>
    </row>
    <row r="783" ht="15.75" customHeight="1">
      <c r="A783" s="11"/>
      <c r="B783" s="11"/>
    </row>
    <row r="784" ht="15.75" customHeight="1">
      <c r="A784" s="11"/>
      <c r="B784" s="11"/>
    </row>
    <row r="785" ht="15.75" customHeight="1">
      <c r="A785" s="11"/>
      <c r="B785" s="11"/>
    </row>
    <row r="786" ht="15.75" customHeight="1">
      <c r="A786" s="11"/>
      <c r="B786" s="11"/>
    </row>
    <row r="787" ht="15.75" customHeight="1">
      <c r="A787" s="11"/>
      <c r="B787" s="11"/>
    </row>
    <row r="788" ht="15.75" customHeight="1">
      <c r="A788" s="11"/>
      <c r="B788" s="11"/>
    </row>
    <row r="789" ht="15.75" customHeight="1">
      <c r="A789" s="11"/>
      <c r="B789" s="11"/>
    </row>
    <row r="790" ht="15.75" customHeight="1">
      <c r="A790" s="11"/>
      <c r="B790" s="11"/>
    </row>
    <row r="791" ht="15.75" customHeight="1">
      <c r="A791" s="11"/>
      <c r="B791" s="11"/>
    </row>
    <row r="792" ht="15.75" customHeight="1">
      <c r="A792" s="11"/>
      <c r="B792" s="11"/>
    </row>
    <row r="793" ht="15.75" customHeight="1">
      <c r="A793" s="11"/>
      <c r="B793" s="11"/>
    </row>
    <row r="794" ht="15.75" customHeight="1">
      <c r="A794" s="11"/>
      <c r="B794" s="11"/>
    </row>
    <row r="795" ht="15.75" customHeight="1">
      <c r="A795" s="11"/>
      <c r="B795" s="11"/>
    </row>
    <row r="796" ht="15.75" customHeight="1">
      <c r="A796" s="11"/>
      <c r="B796" s="11"/>
    </row>
    <row r="797" ht="15.75" customHeight="1">
      <c r="A797" s="11"/>
      <c r="B797" s="11"/>
    </row>
    <row r="798" ht="15.75" customHeight="1">
      <c r="A798" s="11"/>
      <c r="B798" s="11"/>
    </row>
    <row r="799" ht="15.75" customHeight="1">
      <c r="A799" s="11"/>
      <c r="B799" s="11"/>
    </row>
    <row r="800" ht="15.75" customHeight="1">
      <c r="A800" s="11"/>
      <c r="B800" s="11"/>
    </row>
    <row r="801" ht="15.75" customHeight="1">
      <c r="A801" s="11"/>
      <c r="B801" s="11"/>
    </row>
    <row r="802" ht="15.75" customHeight="1">
      <c r="A802" s="11"/>
      <c r="B802" s="11"/>
    </row>
    <row r="803" ht="15.75" customHeight="1">
      <c r="A803" s="11"/>
      <c r="B803" s="11"/>
    </row>
    <row r="804" ht="15.75" customHeight="1">
      <c r="A804" s="11"/>
      <c r="B804" s="11"/>
    </row>
    <row r="805" ht="15.75" customHeight="1">
      <c r="A805" s="11"/>
      <c r="B805" s="11"/>
    </row>
    <row r="806" ht="15.75" customHeight="1">
      <c r="A806" s="11"/>
      <c r="B806" s="11"/>
    </row>
    <row r="807" ht="15.75" customHeight="1">
      <c r="A807" s="11"/>
      <c r="B807" s="11"/>
    </row>
    <row r="808" ht="15.75" customHeight="1">
      <c r="A808" s="11"/>
      <c r="B808" s="11"/>
    </row>
    <row r="809" ht="15.75" customHeight="1">
      <c r="A809" s="11"/>
      <c r="B809" s="11"/>
    </row>
    <row r="810" ht="15.75" customHeight="1">
      <c r="A810" s="11"/>
      <c r="B810" s="11"/>
    </row>
    <row r="811" ht="15.75" customHeight="1">
      <c r="A811" s="11"/>
      <c r="B811" s="11"/>
    </row>
    <row r="812" ht="15.75" customHeight="1">
      <c r="A812" s="11"/>
      <c r="B812" s="11"/>
    </row>
    <row r="813" ht="15.75" customHeight="1">
      <c r="A813" s="11"/>
      <c r="B813" s="11"/>
    </row>
    <row r="814" ht="15.75" customHeight="1">
      <c r="A814" s="11"/>
      <c r="B814" s="11"/>
    </row>
    <row r="815" ht="15.75" customHeight="1">
      <c r="A815" s="11"/>
      <c r="B815" s="11"/>
    </row>
    <row r="816" ht="15.75" customHeight="1">
      <c r="A816" s="11"/>
      <c r="B816" s="11"/>
    </row>
    <row r="817" ht="15.75" customHeight="1">
      <c r="A817" s="11"/>
      <c r="B817" s="11"/>
    </row>
    <row r="818" ht="15.75" customHeight="1">
      <c r="A818" s="11"/>
      <c r="B818" s="11"/>
    </row>
    <row r="819" ht="15.75" customHeight="1">
      <c r="A819" s="11"/>
      <c r="B819" s="11"/>
    </row>
    <row r="820" ht="15.75" customHeight="1">
      <c r="A820" s="11"/>
      <c r="B820" s="11"/>
    </row>
    <row r="821" ht="15.75" customHeight="1">
      <c r="A821" s="11"/>
      <c r="B821" s="11"/>
    </row>
    <row r="822" ht="15.75" customHeight="1">
      <c r="A822" s="11"/>
      <c r="B822" s="11"/>
    </row>
    <row r="823" ht="15.75" customHeight="1">
      <c r="A823" s="11"/>
      <c r="B823" s="11"/>
    </row>
    <row r="824" ht="15.75" customHeight="1">
      <c r="A824" s="11"/>
      <c r="B824" s="11"/>
    </row>
    <row r="825" ht="15.75" customHeight="1">
      <c r="A825" s="11"/>
      <c r="B825" s="11"/>
    </row>
    <row r="826" ht="15.75" customHeight="1">
      <c r="A826" s="11"/>
      <c r="B826" s="11"/>
    </row>
    <row r="827" ht="15.75" customHeight="1">
      <c r="A827" s="11"/>
      <c r="B827" s="11"/>
    </row>
    <row r="828" ht="15.75" customHeight="1">
      <c r="A828" s="11"/>
      <c r="B828" s="11"/>
    </row>
    <row r="829" ht="15.75" customHeight="1">
      <c r="A829" s="11"/>
      <c r="B829" s="11"/>
    </row>
    <row r="830" ht="15.75" customHeight="1">
      <c r="A830" s="11"/>
      <c r="B830" s="11"/>
    </row>
    <row r="831" ht="15.75" customHeight="1">
      <c r="A831" s="11"/>
      <c r="B831" s="11"/>
    </row>
    <row r="832" ht="15.75" customHeight="1">
      <c r="A832" s="11"/>
      <c r="B832" s="11"/>
    </row>
    <row r="833" ht="15.75" customHeight="1">
      <c r="A833" s="11"/>
      <c r="B833" s="11"/>
    </row>
    <row r="834" ht="15.75" customHeight="1">
      <c r="A834" s="11"/>
      <c r="B834" s="11"/>
    </row>
    <row r="835" ht="15.75" customHeight="1">
      <c r="A835" s="11"/>
      <c r="B835" s="11"/>
    </row>
    <row r="836" ht="15.75" customHeight="1">
      <c r="A836" s="11"/>
      <c r="B836" s="11"/>
    </row>
    <row r="837" ht="15.75" customHeight="1">
      <c r="A837" s="11"/>
      <c r="B837" s="11"/>
    </row>
    <row r="838" ht="15.75" customHeight="1">
      <c r="A838" s="11"/>
      <c r="B838" s="11"/>
    </row>
    <row r="839" ht="15.75" customHeight="1">
      <c r="A839" s="11"/>
      <c r="B839" s="11"/>
    </row>
    <row r="840" ht="15.75" customHeight="1">
      <c r="A840" s="11"/>
      <c r="B840" s="11"/>
    </row>
    <row r="841" ht="15.75" customHeight="1">
      <c r="A841" s="11"/>
      <c r="B841" s="11"/>
    </row>
    <row r="842" ht="15.75" customHeight="1">
      <c r="A842" s="11"/>
      <c r="B842" s="11"/>
    </row>
    <row r="843" ht="15.75" customHeight="1">
      <c r="A843" s="11"/>
      <c r="B843" s="11"/>
    </row>
    <row r="844" ht="15.75" customHeight="1">
      <c r="A844" s="11"/>
      <c r="B844" s="11"/>
    </row>
    <row r="845" ht="15.75" customHeight="1">
      <c r="A845" s="11"/>
      <c r="B845" s="11"/>
    </row>
    <row r="846" ht="15.75" customHeight="1">
      <c r="A846" s="11"/>
      <c r="B846" s="11"/>
    </row>
    <row r="847" ht="15.75" customHeight="1">
      <c r="A847" s="11"/>
      <c r="B847" s="11"/>
    </row>
    <row r="848" ht="15.75" customHeight="1">
      <c r="A848" s="11"/>
      <c r="B848" s="11"/>
    </row>
    <row r="849" ht="15.75" customHeight="1">
      <c r="A849" s="11"/>
      <c r="B849" s="11"/>
    </row>
    <row r="850" ht="15.75" customHeight="1">
      <c r="A850" s="11"/>
      <c r="B850" s="11"/>
    </row>
    <row r="851" ht="15.75" customHeight="1">
      <c r="A851" s="11"/>
      <c r="B851" s="11"/>
    </row>
    <row r="852" ht="15.75" customHeight="1">
      <c r="A852" s="11"/>
      <c r="B852" s="11"/>
    </row>
    <row r="853" ht="15.75" customHeight="1">
      <c r="A853" s="11"/>
      <c r="B853" s="11"/>
    </row>
    <row r="854" ht="15.75" customHeight="1">
      <c r="A854" s="11"/>
      <c r="B854" s="11"/>
    </row>
    <row r="855" ht="15.75" customHeight="1">
      <c r="A855" s="11"/>
      <c r="B855" s="11"/>
    </row>
    <row r="856" ht="15.75" customHeight="1">
      <c r="A856" s="11"/>
      <c r="B856" s="11"/>
    </row>
    <row r="857" ht="15.75" customHeight="1">
      <c r="A857" s="11"/>
      <c r="B857" s="11"/>
    </row>
    <row r="858" ht="15.75" customHeight="1">
      <c r="A858" s="11"/>
      <c r="B858" s="11"/>
    </row>
    <row r="859" ht="15.75" customHeight="1">
      <c r="A859" s="11"/>
      <c r="B859" s="11"/>
    </row>
    <row r="860" ht="15.75" customHeight="1">
      <c r="A860" s="11"/>
      <c r="B860" s="11"/>
    </row>
    <row r="861" ht="15.75" customHeight="1">
      <c r="A861" s="11"/>
      <c r="B861" s="11"/>
    </row>
    <row r="862" ht="15.75" customHeight="1">
      <c r="A862" s="11"/>
      <c r="B862" s="11"/>
    </row>
    <row r="863" ht="15.75" customHeight="1">
      <c r="A863" s="11"/>
      <c r="B863" s="11"/>
    </row>
    <row r="864" ht="15.75" customHeight="1">
      <c r="A864" s="11"/>
      <c r="B864" s="11"/>
    </row>
    <row r="865" ht="15.75" customHeight="1">
      <c r="A865" s="11"/>
      <c r="B865" s="11"/>
    </row>
    <row r="866" ht="15.75" customHeight="1">
      <c r="A866" s="11"/>
      <c r="B866" s="11"/>
    </row>
    <row r="867" ht="15.75" customHeight="1">
      <c r="A867" s="11"/>
      <c r="B867" s="11"/>
    </row>
    <row r="868" ht="15.75" customHeight="1">
      <c r="A868" s="11"/>
      <c r="B868" s="11"/>
    </row>
    <row r="869" ht="15.75" customHeight="1">
      <c r="A869" s="11"/>
      <c r="B869" s="11"/>
    </row>
    <row r="870" ht="15.75" customHeight="1">
      <c r="A870" s="11"/>
      <c r="B870" s="11"/>
    </row>
    <row r="871" ht="15.75" customHeight="1">
      <c r="A871" s="11"/>
      <c r="B871" s="11"/>
    </row>
    <row r="872" ht="15.75" customHeight="1">
      <c r="A872" s="11"/>
      <c r="B872" s="11"/>
    </row>
    <row r="873" ht="15.75" customHeight="1">
      <c r="A873" s="11"/>
      <c r="B873" s="11"/>
    </row>
    <row r="874" ht="15.75" customHeight="1">
      <c r="A874" s="11"/>
      <c r="B874" s="11"/>
    </row>
    <row r="875" ht="15.75" customHeight="1">
      <c r="A875" s="11"/>
      <c r="B875" s="11"/>
    </row>
    <row r="876" ht="15.75" customHeight="1">
      <c r="A876" s="11"/>
      <c r="B876" s="11"/>
    </row>
    <row r="877" ht="15.75" customHeight="1">
      <c r="A877" s="11"/>
      <c r="B877" s="11"/>
    </row>
    <row r="878" ht="15.75" customHeight="1">
      <c r="A878" s="11"/>
      <c r="B878" s="11"/>
    </row>
    <row r="879" ht="15.75" customHeight="1">
      <c r="A879" s="11"/>
      <c r="B879" s="11"/>
    </row>
    <row r="880" ht="15.75" customHeight="1">
      <c r="A880" s="11"/>
      <c r="B880" s="11"/>
    </row>
    <row r="881" ht="15.75" customHeight="1">
      <c r="A881" s="11"/>
      <c r="B881" s="11"/>
    </row>
    <row r="882" ht="15.75" customHeight="1">
      <c r="A882" s="11"/>
      <c r="B882" s="11"/>
    </row>
    <row r="883" ht="15.75" customHeight="1">
      <c r="A883" s="11"/>
      <c r="B883" s="11"/>
    </row>
    <row r="884" ht="15.75" customHeight="1">
      <c r="A884" s="11"/>
      <c r="B884" s="11"/>
    </row>
    <row r="885" ht="15.75" customHeight="1">
      <c r="A885" s="11"/>
      <c r="B885" s="11"/>
    </row>
    <row r="886" ht="15.75" customHeight="1">
      <c r="A886" s="11"/>
      <c r="B886" s="11"/>
    </row>
    <row r="887" ht="15.75" customHeight="1">
      <c r="A887" s="11"/>
      <c r="B887" s="11"/>
    </row>
    <row r="888" ht="15.75" customHeight="1">
      <c r="A888" s="11"/>
      <c r="B888" s="11"/>
    </row>
    <row r="889" ht="15.75" customHeight="1">
      <c r="A889" s="11"/>
      <c r="B889" s="11"/>
    </row>
    <row r="890" ht="15.75" customHeight="1">
      <c r="A890" s="11"/>
      <c r="B890" s="11"/>
    </row>
    <row r="891" ht="15.75" customHeight="1">
      <c r="A891" s="11"/>
      <c r="B891" s="11"/>
    </row>
    <row r="892" ht="15.75" customHeight="1">
      <c r="A892" s="11"/>
      <c r="B892" s="11"/>
    </row>
    <row r="893" ht="15.75" customHeight="1">
      <c r="A893" s="11"/>
      <c r="B893" s="11"/>
    </row>
    <row r="894" ht="15.75" customHeight="1">
      <c r="A894" s="11"/>
      <c r="B894" s="11"/>
    </row>
    <row r="895" ht="15.75" customHeight="1">
      <c r="A895" s="11"/>
      <c r="B895" s="11"/>
    </row>
    <row r="896" ht="15.75" customHeight="1">
      <c r="A896" s="11"/>
      <c r="B896" s="11"/>
    </row>
    <row r="897" ht="15.75" customHeight="1">
      <c r="A897" s="11"/>
      <c r="B897" s="11"/>
    </row>
    <row r="898" ht="15.75" customHeight="1">
      <c r="A898" s="11"/>
      <c r="B898" s="11"/>
    </row>
    <row r="899" ht="15.75" customHeight="1">
      <c r="A899" s="11"/>
      <c r="B899" s="11"/>
    </row>
    <row r="900" ht="15.75" customHeight="1">
      <c r="A900" s="11"/>
      <c r="B900" s="11"/>
    </row>
    <row r="901" ht="15.75" customHeight="1">
      <c r="A901" s="11"/>
      <c r="B901" s="11"/>
    </row>
    <row r="902" ht="15.75" customHeight="1">
      <c r="A902" s="11"/>
      <c r="B902" s="11"/>
    </row>
    <row r="903" ht="15.75" customHeight="1">
      <c r="A903" s="11"/>
      <c r="B903" s="11"/>
    </row>
    <row r="904" ht="15.75" customHeight="1">
      <c r="A904" s="11"/>
      <c r="B904" s="11"/>
    </row>
    <row r="905" ht="15.75" customHeight="1">
      <c r="A905" s="11"/>
      <c r="B905" s="11"/>
    </row>
    <row r="906" ht="15.75" customHeight="1">
      <c r="A906" s="11"/>
      <c r="B906" s="11"/>
    </row>
    <row r="907" ht="15.75" customHeight="1">
      <c r="A907" s="11"/>
      <c r="B907" s="11"/>
    </row>
    <row r="908" ht="15.75" customHeight="1">
      <c r="A908" s="11"/>
      <c r="B908" s="11"/>
    </row>
    <row r="909" ht="15.75" customHeight="1">
      <c r="A909" s="11"/>
      <c r="B909" s="11"/>
    </row>
    <row r="910" ht="15.75" customHeight="1">
      <c r="A910" s="11"/>
      <c r="B910" s="11"/>
    </row>
    <row r="911" ht="15.75" customHeight="1">
      <c r="A911" s="11"/>
      <c r="B911" s="11"/>
    </row>
    <row r="912" ht="15.75" customHeight="1">
      <c r="A912" s="11"/>
      <c r="B912" s="11"/>
    </row>
    <row r="913" ht="15.75" customHeight="1">
      <c r="A913" s="11"/>
      <c r="B913" s="11"/>
    </row>
    <row r="914" ht="15.75" customHeight="1">
      <c r="A914" s="11"/>
      <c r="B914" s="11"/>
    </row>
    <row r="915" ht="15.75" customHeight="1">
      <c r="A915" s="11"/>
      <c r="B915" s="11"/>
    </row>
    <row r="916" ht="15.75" customHeight="1">
      <c r="A916" s="11"/>
      <c r="B916" s="11"/>
    </row>
    <row r="917" ht="15.75" customHeight="1">
      <c r="A917" s="11"/>
      <c r="B917" s="11"/>
    </row>
    <row r="918" ht="15.75" customHeight="1">
      <c r="A918" s="11"/>
      <c r="B918" s="11"/>
    </row>
    <row r="919" ht="15.75" customHeight="1">
      <c r="A919" s="11"/>
      <c r="B919" s="11"/>
    </row>
    <row r="920" ht="15.75" customHeight="1">
      <c r="A920" s="11"/>
      <c r="B920" s="11"/>
    </row>
    <row r="921" ht="15.75" customHeight="1">
      <c r="A921" s="11"/>
      <c r="B921" s="11"/>
    </row>
    <row r="922" ht="15.75" customHeight="1">
      <c r="A922" s="11"/>
      <c r="B922" s="11"/>
    </row>
    <row r="923" ht="15.75" customHeight="1">
      <c r="A923" s="11"/>
      <c r="B923" s="11"/>
    </row>
    <row r="924" ht="15.75" customHeight="1">
      <c r="A924" s="11"/>
      <c r="B924" s="11"/>
    </row>
    <row r="925" ht="15.75" customHeight="1">
      <c r="A925" s="11"/>
      <c r="B925" s="11"/>
    </row>
    <row r="926" ht="15.75" customHeight="1">
      <c r="A926" s="11"/>
      <c r="B926" s="11"/>
    </row>
    <row r="927" ht="15.75" customHeight="1">
      <c r="A927" s="11"/>
      <c r="B927" s="11"/>
    </row>
    <row r="928" ht="15.75" customHeight="1">
      <c r="A928" s="11"/>
      <c r="B928" s="11"/>
    </row>
    <row r="929" ht="15.75" customHeight="1">
      <c r="A929" s="11"/>
      <c r="B929" s="11"/>
    </row>
    <row r="930" ht="15.75" customHeight="1">
      <c r="A930" s="11"/>
      <c r="B930" s="11"/>
    </row>
    <row r="931" ht="15.75" customHeight="1">
      <c r="A931" s="11"/>
      <c r="B931" s="11"/>
    </row>
    <row r="932" ht="15.75" customHeight="1">
      <c r="A932" s="11"/>
      <c r="B932" s="11"/>
    </row>
    <row r="933" ht="15.75" customHeight="1">
      <c r="A933" s="11"/>
      <c r="B933" s="11"/>
    </row>
    <row r="934" ht="15.75" customHeight="1">
      <c r="A934" s="11"/>
      <c r="B934" s="11"/>
    </row>
    <row r="935" ht="15.75" customHeight="1">
      <c r="A935" s="11"/>
      <c r="B935" s="11"/>
    </row>
    <row r="936" ht="15.75" customHeight="1">
      <c r="A936" s="11"/>
      <c r="B936" s="11"/>
    </row>
    <row r="937" ht="15.75" customHeight="1">
      <c r="A937" s="11"/>
      <c r="B937" s="11"/>
    </row>
    <row r="938" ht="15.75" customHeight="1">
      <c r="A938" s="11"/>
      <c r="B938" s="11"/>
    </row>
    <row r="939" ht="15.75" customHeight="1">
      <c r="A939" s="11"/>
      <c r="B939" s="11"/>
    </row>
    <row r="940" ht="15.75" customHeight="1">
      <c r="A940" s="11"/>
      <c r="B940" s="11"/>
    </row>
    <row r="941" ht="15.75" customHeight="1">
      <c r="A941" s="11"/>
      <c r="B941" s="11"/>
    </row>
    <row r="942" ht="15.75" customHeight="1">
      <c r="A942" s="11"/>
      <c r="B942" s="11"/>
    </row>
    <row r="943" ht="15.75" customHeight="1">
      <c r="A943" s="11"/>
      <c r="B943" s="11"/>
    </row>
    <row r="944" ht="15.75" customHeight="1">
      <c r="A944" s="11"/>
      <c r="B944" s="11"/>
    </row>
    <row r="945" ht="15.75" customHeight="1">
      <c r="A945" s="11"/>
      <c r="B945" s="11"/>
    </row>
    <row r="946" ht="15.75" customHeight="1">
      <c r="A946" s="11"/>
      <c r="B946" s="11"/>
    </row>
    <row r="947" ht="15.75" customHeight="1">
      <c r="A947" s="11"/>
      <c r="B947" s="11"/>
    </row>
    <row r="948" ht="15.75" customHeight="1">
      <c r="A948" s="11"/>
      <c r="B948" s="11"/>
    </row>
    <row r="949" ht="15.75" customHeight="1">
      <c r="A949" s="11"/>
      <c r="B949" s="11"/>
    </row>
    <row r="950" ht="15.75" customHeight="1">
      <c r="A950" s="11"/>
      <c r="B950" s="11"/>
    </row>
    <row r="951" ht="15.75" customHeight="1">
      <c r="A951" s="11"/>
      <c r="B951" s="11"/>
    </row>
    <row r="952" ht="15.75" customHeight="1">
      <c r="A952" s="11"/>
      <c r="B952" s="11"/>
    </row>
    <row r="953" ht="15.75" customHeight="1">
      <c r="A953" s="11"/>
      <c r="B953" s="11"/>
    </row>
    <row r="954" ht="15.75" customHeight="1">
      <c r="A954" s="11"/>
      <c r="B954" s="11"/>
    </row>
    <row r="955" ht="15.75" customHeight="1">
      <c r="A955" s="11"/>
      <c r="B955" s="11"/>
    </row>
    <row r="956" ht="15.75" customHeight="1">
      <c r="A956" s="11"/>
      <c r="B956" s="11"/>
    </row>
    <row r="957" ht="15.75" customHeight="1">
      <c r="A957" s="11"/>
      <c r="B957" s="11"/>
    </row>
    <row r="958" ht="15.75" customHeight="1">
      <c r="A958" s="11"/>
      <c r="B958" s="11"/>
    </row>
    <row r="959" ht="15.75" customHeight="1">
      <c r="A959" s="11"/>
      <c r="B959" s="11"/>
    </row>
    <row r="960" ht="15.75" customHeight="1">
      <c r="A960" s="11"/>
      <c r="B960" s="11"/>
    </row>
    <row r="961" ht="15.75" customHeight="1">
      <c r="A961" s="11"/>
      <c r="B961" s="11"/>
    </row>
    <row r="962" ht="15.75" customHeight="1">
      <c r="A962" s="11"/>
      <c r="B962" s="11"/>
    </row>
    <row r="963" ht="15.75" customHeight="1">
      <c r="A963" s="11"/>
      <c r="B963" s="11"/>
    </row>
    <row r="964" ht="15.75" customHeight="1">
      <c r="A964" s="11"/>
      <c r="B964" s="11"/>
    </row>
    <row r="965" ht="15.75" customHeight="1">
      <c r="A965" s="11"/>
      <c r="B965" s="11"/>
    </row>
    <row r="966" ht="15.75" customHeight="1">
      <c r="A966" s="11"/>
      <c r="B966" s="11"/>
    </row>
    <row r="967" ht="15.75" customHeight="1">
      <c r="A967" s="11"/>
      <c r="B967" s="11"/>
    </row>
    <row r="968" ht="15.75" customHeight="1">
      <c r="A968" s="11"/>
      <c r="B968" s="11"/>
    </row>
    <row r="969" ht="15.75" customHeight="1">
      <c r="A969" s="11"/>
      <c r="B969" s="11"/>
    </row>
    <row r="970" ht="15.75" customHeight="1">
      <c r="A970" s="11"/>
      <c r="B970" s="11"/>
    </row>
    <row r="971" ht="15.75" customHeight="1">
      <c r="A971" s="11"/>
      <c r="B971" s="11"/>
    </row>
    <row r="972" ht="15.75" customHeight="1">
      <c r="A972" s="11"/>
      <c r="B972" s="11"/>
    </row>
    <row r="973" ht="15.75" customHeight="1">
      <c r="A973" s="11"/>
      <c r="B973" s="11"/>
    </row>
    <row r="974" ht="15.75" customHeight="1">
      <c r="A974" s="11"/>
      <c r="B974" s="11"/>
    </row>
    <row r="975" ht="15.75" customHeight="1">
      <c r="A975" s="11"/>
      <c r="B975" s="11"/>
    </row>
    <row r="976" ht="15.75" customHeight="1">
      <c r="A976" s="11"/>
      <c r="B976" s="11"/>
    </row>
    <row r="977" ht="15.75" customHeight="1">
      <c r="A977" s="11"/>
      <c r="B977" s="11"/>
    </row>
    <row r="978" ht="15.75" customHeight="1">
      <c r="A978" s="11"/>
      <c r="B978" s="11"/>
    </row>
    <row r="979" ht="15.75" customHeight="1">
      <c r="A979" s="11"/>
      <c r="B979" s="11"/>
    </row>
    <row r="980" ht="15.75" customHeight="1">
      <c r="A980" s="11"/>
      <c r="B980" s="11"/>
    </row>
    <row r="981" ht="15.75" customHeight="1">
      <c r="A981" s="11"/>
      <c r="B981" s="11"/>
    </row>
    <row r="982" ht="15.75" customHeight="1">
      <c r="A982" s="11"/>
      <c r="B982" s="11"/>
    </row>
    <row r="983" ht="15.75" customHeight="1">
      <c r="A983" s="11"/>
      <c r="B983" s="11"/>
    </row>
    <row r="984" ht="15.75" customHeight="1">
      <c r="A984" s="11"/>
      <c r="B984" s="11"/>
    </row>
    <row r="985" ht="15.75" customHeight="1">
      <c r="A985" s="11"/>
      <c r="B985" s="11"/>
    </row>
    <row r="986" ht="15.75" customHeight="1">
      <c r="A986" s="11"/>
      <c r="B986" s="11"/>
    </row>
    <row r="987" ht="15.75" customHeight="1">
      <c r="A987" s="11"/>
      <c r="B987" s="11"/>
    </row>
    <row r="988" ht="15.75" customHeight="1">
      <c r="A988" s="11"/>
      <c r="B988" s="11"/>
    </row>
    <row r="989" ht="15.75" customHeight="1">
      <c r="A989" s="11"/>
      <c r="B989" s="11"/>
    </row>
    <row r="990" ht="15.75" customHeight="1">
      <c r="A990" s="11"/>
      <c r="B990" s="11"/>
    </row>
    <row r="991" ht="15.75" customHeight="1">
      <c r="A991" s="11"/>
      <c r="B991" s="11"/>
    </row>
    <row r="992" ht="15.75" customHeight="1">
      <c r="A992" s="11"/>
      <c r="B992" s="11"/>
    </row>
    <row r="993" ht="15.75" customHeight="1">
      <c r="A993" s="11"/>
      <c r="B993" s="11"/>
    </row>
    <row r="994" ht="15.75" customHeight="1">
      <c r="A994" s="11"/>
      <c r="B994" s="11"/>
    </row>
    <row r="995" ht="15.75" customHeight="1">
      <c r="A995" s="11"/>
      <c r="B995" s="11"/>
    </row>
    <row r="996" ht="15.75" customHeight="1">
      <c r="A996" s="11"/>
      <c r="B996" s="11"/>
    </row>
    <row r="997" ht="15.75" customHeight="1">
      <c r="A997" s="11"/>
      <c r="B997" s="11"/>
    </row>
    <row r="998" ht="15.75" customHeight="1">
      <c r="A998" s="11"/>
      <c r="B998" s="11"/>
    </row>
    <row r="999" ht="15.75" customHeight="1">
      <c r="A999" s="11"/>
      <c r="B999" s="11"/>
    </row>
    <row r="1000" ht="15.75" customHeight="1">
      <c r="A1000" s="11"/>
      <c r="B1000" s="11"/>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3.86"/>
    <col customWidth="1" min="3" max="3" width="51.86"/>
    <col customWidth="1" min="4" max="4" width="13.43"/>
    <col customWidth="1" min="5" max="5" width="18.57"/>
    <col customWidth="1" min="6" max="6" width="24.29"/>
    <col customWidth="1" min="7" max="7" width="115.57"/>
    <col customWidth="1" min="8" max="8" width="26.29"/>
    <col customWidth="1" min="9" max="12" width="18.0"/>
    <col customWidth="1" min="13" max="32" width="14.43"/>
  </cols>
  <sheetData>
    <row r="1" ht="1.5" customHeight="1">
      <c r="A1" s="12"/>
      <c r="B1" s="12"/>
      <c r="C1" s="13"/>
      <c r="D1" s="14"/>
      <c r="E1" s="14"/>
      <c r="F1" s="14"/>
      <c r="G1" s="14"/>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6"/>
      <c r="B2" s="16"/>
      <c r="C2" s="17"/>
      <c r="D2" s="17"/>
      <c r="E2" s="17"/>
      <c r="F2" s="17"/>
      <c r="G2" s="17"/>
      <c r="H2" s="17"/>
      <c r="I2" s="17"/>
      <c r="J2" s="16"/>
      <c r="K2" s="16"/>
      <c r="L2" s="16"/>
      <c r="M2" s="18"/>
      <c r="N2" s="18"/>
      <c r="O2" s="18"/>
      <c r="P2" s="18"/>
      <c r="Q2" s="18"/>
      <c r="R2" s="18"/>
      <c r="S2" s="18"/>
      <c r="T2" s="18"/>
      <c r="U2" s="18"/>
      <c r="V2" s="18"/>
      <c r="W2" s="18"/>
      <c r="X2" s="18"/>
      <c r="Y2" s="18"/>
      <c r="Z2" s="18"/>
      <c r="AA2" s="18"/>
      <c r="AB2" s="18"/>
      <c r="AC2" s="18"/>
      <c r="AD2" s="18"/>
      <c r="AE2" s="18"/>
      <c r="AF2" s="18"/>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0"/>
      <c r="C4" s="21"/>
      <c r="D4" s="20"/>
      <c r="E4" s="20"/>
      <c r="F4" s="20"/>
      <c r="G4" s="20"/>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3" t="s">
        <v>8</v>
      </c>
      <c r="D5" s="24" t="s">
        <v>9</v>
      </c>
      <c r="E5" s="24" t="s">
        <v>10</v>
      </c>
      <c r="F5" s="24" t="s">
        <v>11</v>
      </c>
      <c r="G5" s="24" t="s">
        <v>12</v>
      </c>
      <c r="H5" s="24" t="s">
        <v>13</v>
      </c>
      <c r="I5" s="25" t="s">
        <v>14</v>
      </c>
      <c r="J5" s="25" t="s">
        <v>15</v>
      </c>
      <c r="K5" s="25" t="s">
        <v>16</v>
      </c>
      <c r="L5" s="22" t="s">
        <v>17</v>
      </c>
      <c r="M5" s="15"/>
      <c r="N5" s="15"/>
      <c r="O5" s="15"/>
      <c r="P5" s="15"/>
      <c r="Q5" s="15"/>
      <c r="R5" s="15"/>
      <c r="S5" s="15"/>
      <c r="T5" s="15"/>
      <c r="U5" s="15"/>
      <c r="V5" s="15"/>
      <c r="W5" s="15"/>
      <c r="X5" s="15"/>
      <c r="Y5" s="15"/>
      <c r="Z5" s="15"/>
      <c r="AA5" s="15"/>
      <c r="AB5" s="15"/>
      <c r="AC5" s="15"/>
      <c r="AD5" s="15"/>
      <c r="AE5" s="15"/>
      <c r="AF5" s="15"/>
    </row>
    <row r="6" ht="15.75" customHeight="1">
      <c r="A6" s="15"/>
      <c r="B6" s="26"/>
      <c r="C6" s="27"/>
      <c r="D6" s="8"/>
      <c r="E6" s="28"/>
      <c r="F6" s="8"/>
      <c r="G6" s="29"/>
      <c r="H6" s="30"/>
      <c r="I6" s="31"/>
      <c r="J6" s="9"/>
      <c r="K6" s="11"/>
      <c r="L6" s="11"/>
      <c r="M6" s="15"/>
      <c r="N6" s="15"/>
      <c r="O6" s="15"/>
      <c r="P6" s="15"/>
      <c r="Q6" s="15"/>
      <c r="R6" s="15"/>
      <c r="S6" s="15"/>
      <c r="T6" s="15"/>
      <c r="U6" s="15"/>
      <c r="V6" s="15"/>
      <c r="W6" s="15"/>
      <c r="X6" s="15"/>
      <c r="Y6" s="15"/>
      <c r="Z6" s="15"/>
      <c r="AA6" s="15"/>
      <c r="AB6" s="15"/>
      <c r="AC6" s="15"/>
      <c r="AD6" s="15"/>
      <c r="AE6" s="15"/>
      <c r="AF6" s="15"/>
    </row>
    <row r="7" ht="15.75" customHeight="1">
      <c r="A7" s="32" t="s">
        <v>5</v>
      </c>
      <c r="B7" s="26" t="s">
        <v>18</v>
      </c>
      <c r="C7" s="33" t="s">
        <v>19</v>
      </c>
      <c r="D7" s="8" t="s">
        <v>20</v>
      </c>
      <c r="E7" s="28" t="s">
        <v>21</v>
      </c>
      <c r="F7" s="8" t="s">
        <v>22</v>
      </c>
      <c r="G7" s="34" t="s">
        <v>23</v>
      </c>
      <c r="H7" s="35" t="s">
        <v>22</v>
      </c>
      <c r="I7" s="36"/>
      <c r="L7" s="11"/>
      <c r="M7" s="15"/>
      <c r="N7" s="15"/>
      <c r="O7" s="15"/>
      <c r="P7" s="15"/>
      <c r="Q7" s="15"/>
      <c r="R7" s="15"/>
      <c r="S7" s="15"/>
      <c r="T7" s="15"/>
      <c r="U7" s="15"/>
      <c r="V7" s="15"/>
      <c r="W7" s="15"/>
      <c r="X7" s="15"/>
      <c r="Y7" s="15"/>
      <c r="Z7" s="15"/>
      <c r="AA7" s="15"/>
      <c r="AB7" s="15"/>
      <c r="AC7" s="15"/>
      <c r="AD7" s="15"/>
      <c r="AE7" s="15"/>
      <c r="AF7" s="15"/>
    </row>
    <row r="8" ht="15.75" customHeight="1">
      <c r="A8" s="32" t="s">
        <v>5</v>
      </c>
      <c r="B8" s="26" t="s">
        <v>5</v>
      </c>
      <c r="C8" s="33" t="s">
        <v>5</v>
      </c>
      <c r="D8" s="8" t="s">
        <v>5</v>
      </c>
      <c r="E8" s="8" t="s">
        <v>21</v>
      </c>
      <c r="F8" s="8"/>
      <c r="G8" s="29"/>
      <c r="H8" s="36"/>
      <c r="L8" s="11"/>
      <c r="M8" s="15"/>
      <c r="N8" s="15"/>
      <c r="O8" s="15"/>
      <c r="P8" s="15"/>
      <c r="Q8" s="15"/>
      <c r="R8" s="15"/>
      <c r="S8" s="15"/>
      <c r="T8" s="15"/>
      <c r="U8" s="15"/>
      <c r="V8" s="15"/>
      <c r="W8" s="15"/>
      <c r="X8" s="15"/>
      <c r="Y8" s="15"/>
      <c r="Z8" s="15"/>
      <c r="AA8" s="15"/>
      <c r="AB8" s="15"/>
      <c r="AC8" s="15"/>
      <c r="AD8" s="15"/>
      <c r="AE8" s="15"/>
      <c r="AF8" s="15"/>
    </row>
    <row r="9" ht="15.75" customHeight="1">
      <c r="A9" s="32" t="s">
        <v>5</v>
      </c>
      <c r="B9" s="26" t="s">
        <v>5</v>
      </c>
      <c r="C9" s="33" t="s">
        <v>5</v>
      </c>
      <c r="D9" s="8" t="s">
        <v>5</v>
      </c>
      <c r="E9" s="8" t="s">
        <v>24</v>
      </c>
      <c r="F9" s="31"/>
      <c r="G9" s="29"/>
      <c r="H9" s="31"/>
      <c r="I9" s="9"/>
      <c r="J9" s="9"/>
      <c r="K9" s="11"/>
      <c r="L9" s="11"/>
      <c r="M9" s="15"/>
      <c r="N9" s="15"/>
      <c r="O9" s="15"/>
      <c r="P9" s="15"/>
      <c r="Q9" s="15"/>
      <c r="R9" s="15"/>
      <c r="S9" s="15"/>
      <c r="T9" s="15"/>
      <c r="U9" s="15"/>
      <c r="V9" s="15"/>
      <c r="W9" s="15"/>
      <c r="X9" s="15"/>
      <c r="Y9" s="15"/>
      <c r="Z9" s="15"/>
      <c r="AA9" s="15"/>
      <c r="AB9" s="15"/>
      <c r="AC9" s="15"/>
      <c r="AD9" s="15"/>
      <c r="AE9" s="15"/>
      <c r="AF9" s="15"/>
    </row>
    <row r="10" ht="15.75" customHeight="1">
      <c r="A10" s="32" t="s">
        <v>5</v>
      </c>
      <c r="B10" s="26" t="s">
        <v>5</v>
      </c>
      <c r="C10" s="33" t="s">
        <v>5</v>
      </c>
      <c r="D10" s="8" t="s">
        <v>5</v>
      </c>
      <c r="E10" s="28" t="s">
        <v>24</v>
      </c>
      <c r="F10" s="8" t="s">
        <v>25</v>
      </c>
      <c r="G10" s="34" t="s">
        <v>26</v>
      </c>
      <c r="H10" s="8" t="s">
        <v>25</v>
      </c>
      <c r="I10" s="9"/>
      <c r="J10" s="9"/>
      <c r="K10" s="11"/>
      <c r="L10" s="11"/>
      <c r="M10" s="15"/>
      <c r="N10" s="15"/>
      <c r="O10" s="15"/>
      <c r="P10" s="15"/>
      <c r="Q10" s="15"/>
      <c r="R10" s="15"/>
      <c r="S10" s="15"/>
      <c r="T10" s="15"/>
      <c r="U10" s="15"/>
      <c r="V10" s="15"/>
      <c r="W10" s="15"/>
      <c r="X10" s="15"/>
      <c r="Y10" s="15"/>
      <c r="Z10" s="15"/>
      <c r="AA10" s="15"/>
      <c r="AB10" s="15"/>
      <c r="AC10" s="15"/>
      <c r="AD10" s="15"/>
      <c r="AE10" s="15"/>
      <c r="AF10" s="15"/>
    </row>
    <row r="11" ht="15.75" customHeight="1">
      <c r="A11" s="32" t="s">
        <v>5</v>
      </c>
      <c r="B11" s="26" t="s">
        <v>27</v>
      </c>
      <c r="C11" s="33" t="s">
        <v>5</v>
      </c>
      <c r="D11" s="8" t="s">
        <v>20</v>
      </c>
      <c r="E11" s="28" t="s">
        <v>24</v>
      </c>
      <c r="F11" s="8" t="s">
        <v>28</v>
      </c>
      <c r="G11" s="34" t="s">
        <v>29</v>
      </c>
      <c r="H11" s="8" t="s">
        <v>28</v>
      </c>
      <c r="I11" s="9"/>
      <c r="J11" s="9"/>
      <c r="K11" s="11"/>
      <c r="L11" s="11"/>
      <c r="M11" s="15"/>
      <c r="N11" s="15"/>
      <c r="O11" s="15"/>
      <c r="P11" s="15"/>
      <c r="Q11" s="15"/>
      <c r="R11" s="15"/>
      <c r="S11" s="15"/>
      <c r="T11" s="15"/>
      <c r="U11" s="15"/>
      <c r="V11" s="15"/>
      <c r="W11" s="15"/>
      <c r="X11" s="15"/>
      <c r="Y11" s="15"/>
      <c r="Z11" s="15"/>
      <c r="AA11" s="15"/>
      <c r="AB11" s="15"/>
      <c r="AC11" s="15"/>
      <c r="AD11" s="15"/>
      <c r="AE11" s="15"/>
      <c r="AF11" s="15"/>
    </row>
    <row r="12" ht="15.75" customHeight="1">
      <c r="A12" s="15"/>
      <c r="B12" s="26"/>
      <c r="C12" s="27"/>
      <c r="D12" s="8"/>
      <c r="E12" s="28"/>
      <c r="F12" s="8"/>
      <c r="G12" s="29"/>
      <c r="H12" s="31"/>
      <c r="I12" s="9"/>
      <c r="J12" s="9"/>
      <c r="K12" s="11"/>
      <c r="L12" s="11"/>
      <c r="M12" s="15"/>
      <c r="N12" s="15"/>
      <c r="O12" s="15"/>
      <c r="P12" s="15"/>
      <c r="Q12" s="15"/>
      <c r="R12" s="15"/>
      <c r="S12" s="15"/>
      <c r="T12" s="15"/>
      <c r="U12" s="15"/>
      <c r="V12" s="15"/>
      <c r="W12" s="15"/>
      <c r="X12" s="15"/>
      <c r="Y12" s="15"/>
      <c r="Z12" s="15"/>
      <c r="AA12" s="15"/>
      <c r="AB12" s="15"/>
      <c r="AC12" s="15"/>
      <c r="AD12" s="15"/>
      <c r="AE12" s="15"/>
      <c r="AF12" s="15"/>
    </row>
    <row r="13" ht="15.75" customHeight="1">
      <c r="A13" s="32" t="s">
        <v>5</v>
      </c>
      <c r="B13" s="26" t="s">
        <v>30</v>
      </c>
      <c r="C13" s="33" t="s">
        <v>31</v>
      </c>
      <c r="D13" s="8" t="s">
        <v>20</v>
      </c>
      <c r="E13" s="8" t="s">
        <v>24</v>
      </c>
      <c r="F13" s="8" t="s">
        <v>31</v>
      </c>
      <c r="G13" s="34" t="s">
        <v>32</v>
      </c>
      <c r="H13" s="35" t="s">
        <v>31</v>
      </c>
      <c r="L13" s="11"/>
      <c r="M13" s="15"/>
      <c r="N13" s="15"/>
      <c r="O13" s="15"/>
      <c r="P13" s="15"/>
      <c r="Q13" s="15"/>
      <c r="R13" s="15"/>
      <c r="S13" s="15"/>
      <c r="T13" s="15"/>
      <c r="U13" s="15"/>
      <c r="V13" s="15"/>
      <c r="W13" s="15"/>
      <c r="X13" s="15"/>
      <c r="Y13" s="15"/>
      <c r="Z13" s="15"/>
      <c r="AA13" s="15"/>
      <c r="AB13" s="15"/>
      <c r="AC13" s="15"/>
      <c r="AD13" s="15"/>
      <c r="AE13" s="15"/>
      <c r="AF13" s="15"/>
    </row>
    <row r="14" ht="15.75" customHeight="1">
      <c r="A14" s="15"/>
      <c r="B14" s="26"/>
      <c r="C14" s="27"/>
      <c r="D14" s="8"/>
      <c r="E14" s="37"/>
      <c r="F14" s="30"/>
      <c r="G14" s="29"/>
      <c r="H14" s="30"/>
      <c r="I14" s="31"/>
      <c r="J14" s="9"/>
      <c r="K14" s="11"/>
      <c r="L14" s="11"/>
      <c r="M14" s="15"/>
      <c r="N14" s="15"/>
      <c r="O14" s="15"/>
      <c r="P14" s="15"/>
      <c r="Q14" s="15"/>
      <c r="R14" s="15"/>
      <c r="S14" s="15"/>
      <c r="T14" s="15"/>
      <c r="U14" s="15"/>
      <c r="V14" s="15"/>
      <c r="W14" s="15"/>
      <c r="X14" s="15"/>
      <c r="Y14" s="15"/>
      <c r="Z14" s="15"/>
      <c r="AA14" s="15"/>
      <c r="AB14" s="15"/>
      <c r="AC14" s="15"/>
      <c r="AD14" s="15"/>
      <c r="AE14" s="15"/>
      <c r="AF14" s="15"/>
    </row>
    <row r="15" ht="15.75" customHeight="1">
      <c r="A15" s="15"/>
      <c r="B15" s="26"/>
      <c r="C15" s="27"/>
      <c r="D15" s="8"/>
      <c r="E15" s="28"/>
      <c r="F15" s="28"/>
      <c r="G15" s="29"/>
      <c r="H15" s="38"/>
      <c r="I15" s="31"/>
      <c r="J15" s="9"/>
      <c r="K15" s="11"/>
      <c r="L15" s="11"/>
      <c r="M15" s="15"/>
      <c r="N15" s="15"/>
      <c r="O15" s="15"/>
      <c r="P15" s="15"/>
      <c r="Q15" s="15"/>
      <c r="R15" s="15"/>
      <c r="S15" s="15"/>
      <c r="T15" s="15"/>
      <c r="U15" s="15"/>
      <c r="V15" s="15"/>
      <c r="W15" s="15"/>
      <c r="X15" s="15"/>
      <c r="Y15" s="15"/>
      <c r="Z15" s="15"/>
      <c r="AA15" s="15"/>
      <c r="AB15" s="15"/>
      <c r="AC15" s="15"/>
      <c r="AD15" s="15"/>
      <c r="AE15" s="15"/>
      <c r="AF15" s="15"/>
    </row>
    <row r="16" ht="15.75" customHeight="1">
      <c r="A16" s="15"/>
      <c r="B16" s="26"/>
      <c r="C16" s="27"/>
      <c r="D16" s="8"/>
      <c r="E16" s="8"/>
      <c r="F16" s="8"/>
      <c r="G16" s="29"/>
      <c r="H16" s="31"/>
      <c r="I16" s="9"/>
      <c r="J16" s="9"/>
      <c r="K16" s="11"/>
      <c r="L16" s="11"/>
      <c r="M16" s="15"/>
      <c r="N16" s="15"/>
      <c r="O16" s="15"/>
      <c r="P16" s="15"/>
      <c r="Q16" s="15"/>
      <c r="R16" s="15"/>
      <c r="S16" s="15"/>
      <c r="T16" s="15"/>
      <c r="U16" s="15"/>
      <c r="V16" s="15"/>
      <c r="W16" s="15"/>
      <c r="X16" s="15"/>
      <c r="Y16" s="15"/>
      <c r="Z16" s="15"/>
      <c r="AA16" s="15"/>
      <c r="AB16" s="15"/>
      <c r="AC16" s="15"/>
      <c r="AD16" s="15"/>
      <c r="AE16" s="15"/>
      <c r="AF16" s="15"/>
    </row>
    <row r="17" ht="15.75" customHeight="1">
      <c r="A17" s="15"/>
      <c r="B17" s="26"/>
      <c r="C17" s="27"/>
      <c r="D17" s="8"/>
      <c r="E17" s="8"/>
      <c r="F17" s="8"/>
      <c r="G17" s="29"/>
      <c r="H17" s="31"/>
      <c r="I17" s="9"/>
      <c r="J17" s="9"/>
      <c r="K17" s="11"/>
      <c r="L17" s="11"/>
      <c r="M17" s="15"/>
      <c r="N17" s="15"/>
      <c r="O17" s="15"/>
      <c r="P17" s="15"/>
      <c r="Q17" s="15"/>
      <c r="R17" s="15"/>
      <c r="S17" s="15"/>
      <c r="T17" s="15"/>
      <c r="U17" s="15"/>
      <c r="V17" s="15"/>
      <c r="W17" s="15"/>
      <c r="X17" s="15"/>
      <c r="Y17" s="15"/>
      <c r="Z17" s="15"/>
      <c r="AA17" s="15"/>
      <c r="AB17" s="15"/>
      <c r="AC17" s="15"/>
      <c r="AD17" s="15"/>
      <c r="AE17" s="15"/>
      <c r="AF17" s="15"/>
    </row>
    <row r="18" ht="15.75" customHeight="1">
      <c r="A18" s="32" t="s">
        <v>5</v>
      </c>
      <c r="B18" s="26" t="s">
        <v>33</v>
      </c>
      <c r="C18" s="33" t="s">
        <v>34</v>
      </c>
      <c r="D18" s="8" t="s">
        <v>20</v>
      </c>
      <c r="E18" s="28" t="s">
        <v>24</v>
      </c>
      <c r="F18" s="8" t="s">
        <v>28</v>
      </c>
      <c r="G18" s="31"/>
      <c r="L18" s="11"/>
      <c r="M18" s="15"/>
      <c r="N18" s="15"/>
      <c r="O18" s="15"/>
      <c r="P18" s="15"/>
      <c r="Q18" s="15"/>
      <c r="R18" s="15"/>
      <c r="S18" s="15"/>
      <c r="T18" s="15"/>
      <c r="U18" s="15"/>
      <c r="V18" s="15"/>
      <c r="W18" s="15"/>
      <c r="X18" s="15"/>
      <c r="Y18" s="15"/>
      <c r="Z18" s="15"/>
      <c r="AA18" s="15"/>
      <c r="AB18" s="15"/>
      <c r="AC18" s="15"/>
      <c r="AD18" s="15"/>
      <c r="AE18" s="15"/>
      <c r="AF18" s="15"/>
    </row>
    <row r="19" ht="15.75" customHeight="1">
      <c r="A19" s="15"/>
      <c r="B19" s="26"/>
      <c r="C19" s="27"/>
      <c r="D19" s="8"/>
      <c r="E19" s="31"/>
      <c r="F19" s="31"/>
      <c r="G19" s="29"/>
      <c r="H19" s="31"/>
      <c r="I19" s="9"/>
      <c r="J19" s="9"/>
      <c r="K19" s="11"/>
      <c r="L19" s="11"/>
      <c r="M19" s="15"/>
      <c r="N19" s="15"/>
      <c r="O19" s="15"/>
      <c r="P19" s="15"/>
      <c r="Q19" s="15"/>
      <c r="R19" s="15"/>
      <c r="S19" s="15"/>
      <c r="T19" s="15"/>
      <c r="U19" s="15"/>
      <c r="V19" s="15"/>
      <c r="W19" s="15"/>
      <c r="X19" s="15"/>
      <c r="Y19" s="15"/>
      <c r="Z19" s="15"/>
      <c r="AA19" s="15"/>
      <c r="AB19" s="15"/>
      <c r="AC19" s="15"/>
      <c r="AD19" s="15"/>
      <c r="AE19" s="15"/>
      <c r="AF19" s="15"/>
    </row>
    <row r="20" ht="15.75" customHeight="1">
      <c r="A20" s="32" t="s">
        <v>5</v>
      </c>
      <c r="B20" s="26" t="s">
        <v>35</v>
      </c>
      <c r="C20" s="33" t="s">
        <v>5</v>
      </c>
      <c r="D20" s="8" t="s">
        <v>20</v>
      </c>
      <c r="E20" s="8" t="s">
        <v>24</v>
      </c>
      <c r="F20" s="8" t="s">
        <v>36</v>
      </c>
      <c r="G20" s="34" t="s">
        <v>37</v>
      </c>
      <c r="H20" s="8" t="s">
        <v>36</v>
      </c>
      <c r="I20" s="9"/>
      <c r="J20" s="9"/>
      <c r="K20" s="11"/>
      <c r="L20" s="11"/>
      <c r="M20" s="15"/>
      <c r="N20" s="15"/>
      <c r="O20" s="15"/>
      <c r="P20" s="15"/>
      <c r="Q20" s="15"/>
      <c r="R20" s="15"/>
      <c r="S20" s="15"/>
      <c r="T20" s="15"/>
      <c r="U20" s="15"/>
      <c r="V20" s="15"/>
      <c r="W20" s="15"/>
      <c r="X20" s="15"/>
      <c r="Y20" s="15"/>
      <c r="Z20" s="15"/>
      <c r="AA20" s="15"/>
      <c r="AB20" s="15"/>
      <c r="AC20" s="15"/>
      <c r="AD20" s="15"/>
      <c r="AE20" s="15"/>
      <c r="AF20" s="15"/>
    </row>
    <row r="21" ht="15.75" customHeight="1">
      <c r="A21" s="15"/>
      <c r="B21" s="26"/>
      <c r="C21" s="27"/>
      <c r="D21" s="8"/>
      <c r="E21" s="8"/>
      <c r="F21" s="31"/>
      <c r="G21" s="29"/>
      <c r="H21" s="31"/>
      <c r="I21" s="9"/>
      <c r="J21" s="9"/>
      <c r="K21" s="11"/>
      <c r="L21" s="11"/>
      <c r="M21" s="15"/>
      <c r="N21" s="15"/>
      <c r="O21" s="15"/>
      <c r="P21" s="15"/>
      <c r="Q21" s="15"/>
      <c r="R21" s="15"/>
      <c r="S21" s="15"/>
      <c r="T21" s="15"/>
      <c r="U21" s="15"/>
      <c r="V21" s="15"/>
      <c r="W21" s="15"/>
      <c r="X21" s="15"/>
      <c r="Y21" s="15"/>
      <c r="Z21" s="15"/>
      <c r="AA21" s="15"/>
      <c r="AB21" s="15"/>
      <c r="AC21" s="15"/>
      <c r="AD21" s="15"/>
      <c r="AE21" s="15"/>
      <c r="AF21" s="15"/>
    </row>
    <row r="22" ht="15.75" customHeight="1">
      <c r="A22" s="32" t="s">
        <v>5</v>
      </c>
      <c r="B22" s="26" t="s">
        <v>38</v>
      </c>
      <c r="C22" s="33" t="s">
        <v>5</v>
      </c>
      <c r="D22" s="8" t="s">
        <v>20</v>
      </c>
      <c r="E22" s="28" t="s">
        <v>24</v>
      </c>
      <c r="F22" s="8" t="s">
        <v>36</v>
      </c>
      <c r="G22" s="34" t="s">
        <v>39</v>
      </c>
      <c r="H22" s="36"/>
      <c r="I22" s="36"/>
      <c r="L22" s="11"/>
      <c r="M22" s="15"/>
      <c r="N22" s="15"/>
      <c r="O22" s="15"/>
      <c r="P22" s="15"/>
      <c r="Q22" s="15"/>
      <c r="R22" s="15"/>
      <c r="S22" s="15"/>
      <c r="T22" s="15"/>
      <c r="U22" s="15"/>
      <c r="V22" s="15"/>
      <c r="W22" s="15"/>
      <c r="X22" s="15"/>
      <c r="Y22" s="15"/>
      <c r="Z22" s="15"/>
      <c r="AA22" s="15"/>
      <c r="AB22" s="15"/>
      <c r="AC22" s="15"/>
      <c r="AD22" s="15"/>
      <c r="AE22" s="15"/>
      <c r="AF22" s="15"/>
    </row>
    <row r="23" ht="15.75" customHeight="1">
      <c r="A23" s="15"/>
      <c r="B23" s="26"/>
      <c r="C23" s="27"/>
      <c r="D23" s="8"/>
      <c r="E23" s="37"/>
      <c r="F23" s="30"/>
      <c r="G23" s="29"/>
      <c r="H23" s="30"/>
      <c r="I23" s="31"/>
      <c r="J23" s="9"/>
      <c r="K23" s="11"/>
      <c r="L23" s="11"/>
      <c r="M23" s="15"/>
      <c r="N23" s="15"/>
      <c r="O23" s="15"/>
      <c r="P23" s="15"/>
      <c r="Q23" s="15"/>
      <c r="R23" s="15"/>
      <c r="S23" s="15"/>
      <c r="T23" s="15"/>
      <c r="U23" s="15"/>
      <c r="V23" s="15"/>
      <c r="W23" s="15"/>
      <c r="X23" s="15"/>
      <c r="Y23" s="15"/>
      <c r="Z23" s="15"/>
      <c r="AA23" s="15"/>
      <c r="AB23" s="15"/>
      <c r="AC23" s="15"/>
      <c r="AD23" s="15"/>
      <c r="AE23" s="15"/>
      <c r="AF23" s="15"/>
    </row>
    <row r="24" ht="15.75" customHeight="1">
      <c r="A24" s="15"/>
      <c r="B24" s="26"/>
      <c r="C24" s="27"/>
      <c r="D24" s="8"/>
      <c r="E24" s="37"/>
      <c r="F24" s="37"/>
      <c r="G24" s="29"/>
      <c r="H24" s="30"/>
      <c r="I24" s="9"/>
      <c r="J24" s="9"/>
      <c r="K24" s="11"/>
      <c r="L24" s="11"/>
      <c r="M24" s="15"/>
      <c r="N24" s="15"/>
      <c r="O24" s="15"/>
      <c r="P24" s="15"/>
      <c r="Q24" s="15"/>
      <c r="R24" s="15"/>
      <c r="S24" s="15"/>
      <c r="T24" s="15"/>
      <c r="U24" s="15"/>
      <c r="V24" s="15"/>
      <c r="W24" s="15"/>
      <c r="X24" s="15"/>
      <c r="Y24" s="15"/>
      <c r="Z24" s="15"/>
      <c r="AA24" s="15"/>
      <c r="AB24" s="15"/>
      <c r="AC24" s="15"/>
      <c r="AD24" s="15"/>
      <c r="AE24" s="15"/>
      <c r="AF24" s="15"/>
    </row>
    <row r="25" ht="15.75" customHeight="1">
      <c r="A25" s="32" t="s">
        <v>5</v>
      </c>
      <c r="B25" s="26" t="s">
        <v>40</v>
      </c>
      <c r="C25" s="39" t="s">
        <v>5</v>
      </c>
      <c r="D25" s="8" t="s">
        <v>20</v>
      </c>
      <c r="E25" s="8" t="s">
        <v>21</v>
      </c>
      <c r="F25" s="8" t="s">
        <v>22</v>
      </c>
      <c r="G25" s="34" t="s">
        <v>41</v>
      </c>
      <c r="H25" s="8" t="s">
        <v>22</v>
      </c>
      <c r="I25" s="9"/>
      <c r="J25" s="9"/>
      <c r="K25" s="11"/>
      <c r="L25" s="11"/>
      <c r="M25" s="15"/>
      <c r="N25" s="15"/>
      <c r="O25" s="15"/>
      <c r="P25" s="15"/>
      <c r="Q25" s="15"/>
      <c r="R25" s="15"/>
      <c r="S25" s="15"/>
      <c r="T25" s="15"/>
      <c r="U25" s="15"/>
      <c r="V25" s="15"/>
      <c r="W25" s="15"/>
      <c r="X25" s="15"/>
      <c r="Y25" s="15"/>
      <c r="Z25" s="15"/>
      <c r="AA25" s="15"/>
      <c r="AB25" s="15"/>
      <c r="AC25" s="15"/>
      <c r="AD25" s="15"/>
      <c r="AE25" s="15"/>
      <c r="AF25" s="15"/>
    </row>
    <row r="26" ht="15.75" customHeight="1">
      <c r="A26" s="32" t="s">
        <v>5</v>
      </c>
      <c r="B26" s="26" t="s">
        <v>5</v>
      </c>
      <c r="C26" s="39" t="s">
        <v>5</v>
      </c>
      <c r="D26" s="8" t="s">
        <v>42</v>
      </c>
      <c r="E26" s="8" t="s">
        <v>43</v>
      </c>
      <c r="F26" s="31"/>
      <c r="G26" s="29"/>
      <c r="H26" s="31"/>
      <c r="I26" s="9"/>
      <c r="J26" s="9"/>
      <c r="K26" s="11"/>
      <c r="L26" s="11"/>
      <c r="M26" s="15"/>
      <c r="N26" s="15"/>
      <c r="O26" s="15"/>
      <c r="P26" s="15"/>
      <c r="Q26" s="15"/>
      <c r="R26" s="15"/>
      <c r="S26" s="15"/>
      <c r="T26" s="15"/>
      <c r="U26" s="15"/>
      <c r="V26" s="15"/>
      <c r="W26" s="15"/>
      <c r="X26" s="15"/>
      <c r="Y26" s="15"/>
      <c r="Z26" s="15"/>
      <c r="AA26" s="15"/>
      <c r="AB26" s="15"/>
      <c r="AC26" s="15"/>
      <c r="AD26" s="15"/>
      <c r="AE26" s="15"/>
      <c r="AF26" s="15"/>
    </row>
    <row r="27" ht="15.75" customHeight="1">
      <c r="A27" s="15"/>
      <c r="B27" s="26"/>
      <c r="C27" s="39"/>
      <c r="D27" s="8"/>
      <c r="E27" s="8"/>
      <c r="F27" s="8"/>
      <c r="G27" s="29"/>
      <c r="H27" s="8"/>
      <c r="I27" s="9"/>
      <c r="J27" s="9"/>
      <c r="K27" s="11"/>
      <c r="L27" s="11"/>
      <c r="M27" s="15"/>
      <c r="N27" s="15"/>
      <c r="O27" s="15"/>
      <c r="P27" s="15"/>
      <c r="Q27" s="15"/>
      <c r="R27" s="15"/>
      <c r="S27" s="15"/>
      <c r="T27" s="15"/>
      <c r="U27" s="15"/>
      <c r="V27" s="15"/>
      <c r="W27" s="15"/>
      <c r="X27" s="15"/>
      <c r="Y27" s="15"/>
      <c r="Z27" s="15"/>
      <c r="AA27" s="15"/>
      <c r="AB27" s="15"/>
      <c r="AC27" s="15"/>
      <c r="AD27" s="15"/>
      <c r="AE27" s="15"/>
      <c r="AF27" s="15"/>
    </row>
    <row r="28" ht="15.75" customHeight="1">
      <c r="A28" s="15"/>
      <c r="B28" s="40"/>
      <c r="C28" s="41"/>
      <c r="D28" s="31"/>
      <c r="E28" s="8"/>
      <c r="F28" s="8"/>
      <c r="G28" s="29"/>
      <c r="H28" s="8"/>
      <c r="I28" s="9"/>
      <c r="J28" s="9"/>
      <c r="K28" s="11"/>
      <c r="L28" s="11"/>
      <c r="M28" s="15"/>
      <c r="N28" s="15"/>
      <c r="O28" s="15"/>
      <c r="P28" s="15"/>
      <c r="Q28" s="15"/>
      <c r="R28" s="15"/>
      <c r="S28" s="15"/>
      <c r="T28" s="15"/>
      <c r="U28" s="15"/>
      <c r="V28" s="15"/>
      <c r="W28" s="15"/>
      <c r="X28" s="15"/>
      <c r="Y28" s="15"/>
      <c r="Z28" s="15"/>
      <c r="AA28" s="15"/>
      <c r="AB28" s="15"/>
      <c r="AC28" s="15"/>
      <c r="AD28" s="15"/>
      <c r="AE28" s="15"/>
      <c r="AF28" s="15"/>
    </row>
    <row r="29" ht="15.75" customHeight="1">
      <c r="A29" s="32" t="s">
        <v>5</v>
      </c>
      <c r="B29" s="26" t="s">
        <v>44</v>
      </c>
      <c r="C29" s="39" t="s">
        <v>24</v>
      </c>
      <c r="D29" s="8" t="s">
        <v>20</v>
      </c>
      <c r="E29" s="8" t="s">
        <v>24</v>
      </c>
      <c r="F29" s="8" t="s">
        <v>28</v>
      </c>
      <c r="G29" s="34" t="s">
        <v>45</v>
      </c>
      <c r="H29" s="8" t="s">
        <v>28</v>
      </c>
      <c r="I29" s="9"/>
      <c r="J29" s="9"/>
      <c r="K29" s="11"/>
      <c r="L29" s="11"/>
      <c r="M29" s="15"/>
      <c r="N29" s="15"/>
      <c r="O29" s="15"/>
      <c r="P29" s="15"/>
      <c r="Q29" s="15"/>
      <c r="R29" s="15"/>
      <c r="S29" s="15"/>
      <c r="T29" s="15"/>
      <c r="U29" s="15"/>
      <c r="V29" s="15"/>
      <c r="W29" s="15"/>
      <c r="X29" s="15"/>
      <c r="Y29" s="15"/>
      <c r="Z29" s="15"/>
      <c r="AA29" s="15"/>
      <c r="AB29" s="15"/>
      <c r="AC29" s="15"/>
      <c r="AD29" s="15"/>
      <c r="AE29" s="15"/>
      <c r="AF29" s="15"/>
    </row>
    <row r="30" ht="15.75" customHeight="1">
      <c r="A30" s="15"/>
      <c r="B30" s="40"/>
      <c r="C30" s="41"/>
      <c r="D30" s="31"/>
      <c r="E30" s="37"/>
      <c r="F30" s="31"/>
      <c r="G30" s="29"/>
      <c r="H30" s="31"/>
      <c r="I30" s="31"/>
      <c r="J30" s="9"/>
      <c r="K30" s="11"/>
      <c r="L30" s="11"/>
      <c r="M30" s="15"/>
      <c r="N30" s="15"/>
      <c r="O30" s="15"/>
      <c r="P30" s="15"/>
      <c r="Q30" s="15"/>
      <c r="R30" s="15"/>
      <c r="S30" s="15"/>
      <c r="T30" s="15"/>
      <c r="U30" s="15"/>
      <c r="V30" s="15"/>
      <c r="W30" s="15"/>
      <c r="X30" s="15"/>
      <c r="Y30" s="15"/>
      <c r="Z30" s="15"/>
      <c r="AA30" s="15"/>
      <c r="AB30" s="15"/>
      <c r="AC30" s="15"/>
      <c r="AD30" s="15"/>
      <c r="AE30" s="15"/>
      <c r="AF30" s="15"/>
    </row>
    <row r="31" ht="15.75" customHeight="1">
      <c r="A31" s="32" t="s">
        <v>5</v>
      </c>
      <c r="B31" s="26" t="s">
        <v>46</v>
      </c>
      <c r="C31" s="39" t="s">
        <v>5</v>
      </c>
      <c r="D31" s="8" t="s">
        <v>20</v>
      </c>
      <c r="E31" s="28" t="s">
        <v>24</v>
      </c>
      <c r="F31" s="38" t="s">
        <v>25</v>
      </c>
      <c r="G31" s="34" t="s">
        <v>47</v>
      </c>
      <c r="H31" s="38" t="s">
        <v>25</v>
      </c>
      <c r="I31" s="31"/>
      <c r="J31" s="9"/>
      <c r="K31" s="11"/>
      <c r="L31" s="11"/>
      <c r="M31" s="15"/>
      <c r="N31" s="15"/>
      <c r="O31" s="15"/>
      <c r="P31" s="15"/>
      <c r="Q31" s="15"/>
      <c r="R31" s="15"/>
      <c r="S31" s="15"/>
      <c r="T31" s="15"/>
      <c r="U31" s="15"/>
      <c r="V31" s="15"/>
      <c r="W31" s="15"/>
      <c r="X31" s="15"/>
      <c r="Y31" s="15"/>
      <c r="Z31" s="15"/>
      <c r="AA31" s="15"/>
      <c r="AB31" s="15"/>
      <c r="AC31" s="15"/>
      <c r="AD31" s="15"/>
      <c r="AE31" s="15"/>
      <c r="AF31" s="15"/>
    </row>
    <row r="32" ht="15.75" customHeight="1">
      <c r="A32" s="32" t="s">
        <v>5</v>
      </c>
      <c r="B32" s="26" t="s">
        <v>48</v>
      </c>
      <c r="C32" s="39" t="s">
        <v>5</v>
      </c>
      <c r="D32" s="8" t="s">
        <v>20</v>
      </c>
      <c r="E32" s="28" t="s">
        <v>24</v>
      </c>
      <c r="F32" s="28" t="s">
        <v>25</v>
      </c>
      <c r="G32" s="34" t="s">
        <v>49</v>
      </c>
      <c r="H32" s="38" t="s">
        <v>25</v>
      </c>
      <c r="I32" s="9"/>
      <c r="J32" s="9"/>
      <c r="K32" s="11"/>
      <c r="L32" s="11"/>
      <c r="M32" s="15"/>
      <c r="N32" s="15"/>
      <c r="O32" s="15"/>
      <c r="P32" s="15"/>
      <c r="Q32" s="15"/>
      <c r="R32" s="15"/>
      <c r="S32" s="15"/>
      <c r="T32" s="15"/>
      <c r="U32" s="15"/>
      <c r="V32" s="15"/>
      <c r="W32" s="15"/>
      <c r="X32" s="15"/>
      <c r="Y32" s="15"/>
      <c r="Z32" s="15"/>
      <c r="AA32" s="15"/>
      <c r="AB32" s="15"/>
      <c r="AC32" s="15"/>
      <c r="AD32" s="15"/>
      <c r="AE32" s="15"/>
      <c r="AF32" s="15"/>
    </row>
    <row r="33" ht="15.75" customHeight="1">
      <c r="A33" s="32" t="s">
        <v>5</v>
      </c>
      <c r="B33" s="26" t="s">
        <v>50</v>
      </c>
      <c r="C33" s="39" t="s">
        <v>5</v>
      </c>
      <c r="D33" s="8" t="s">
        <v>20</v>
      </c>
      <c r="E33" s="8" t="s">
        <v>21</v>
      </c>
      <c r="F33" s="8" t="s">
        <v>51</v>
      </c>
      <c r="G33" s="34" t="s">
        <v>52</v>
      </c>
      <c r="H33" s="8" t="s">
        <v>51</v>
      </c>
      <c r="I33" s="9"/>
      <c r="J33" s="9"/>
      <c r="K33" s="11"/>
      <c r="L33" s="11"/>
      <c r="M33" s="15"/>
      <c r="N33" s="15"/>
      <c r="O33" s="15"/>
      <c r="P33" s="15"/>
      <c r="Q33" s="15"/>
      <c r="R33" s="15"/>
      <c r="S33" s="15"/>
      <c r="T33" s="15"/>
      <c r="U33" s="15"/>
      <c r="V33" s="15"/>
      <c r="W33" s="15"/>
      <c r="X33" s="15"/>
      <c r="Y33" s="15"/>
      <c r="Z33" s="15"/>
      <c r="AA33" s="15"/>
      <c r="AB33" s="15"/>
      <c r="AC33" s="15"/>
      <c r="AD33" s="15"/>
      <c r="AE33" s="15"/>
      <c r="AF33" s="15"/>
    </row>
    <row r="34" ht="15.75" customHeight="1">
      <c r="A34" s="32" t="s">
        <v>5</v>
      </c>
      <c r="B34" s="26" t="s">
        <v>5</v>
      </c>
      <c r="C34" s="39" t="s">
        <v>5</v>
      </c>
      <c r="D34" s="8" t="s">
        <v>5</v>
      </c>
      <c r="E34" s="8" t="s">
        <v>43</v>
      </c>
      <c r="F34" s="8" t="s">
        <v>53</v>
      </c>
      <c r="G34" s="34" t="s">
        <v>54</v>
      </c>
      <c r="H34" s="8" t="s">
        <v>53</v>
      </c>
      <c r="I34" s="9"/>
      <c r="J34" s="9"/>
      <c r="K34" s="11"/>
      <c r="L34" s="11"/>
      <c r="M34" s="15"/>
      <c r="N34" s="15"/>
      <c r="O34" s="15"/>
      <c r="P34" s="15"/>
      <c r="Q34" s="15"/>
      <c r="R34" s="15"/>
      <c r="S34" s="15"/>
      <c r="T34" s="15"/>
      <c r="U34" s="15"/>
      <c r="V34" s="15"/>
      <c r="W34" s="15"/>
      <c r="X34" s="15"/>
      <c r="Y34" s="15"/>
      <c r="Z34" s="15"/>
      <c r="AA34" s="15"/>
      <c r="AB34" s="15"/>
      <c r="AC34" s="15"/>
      <c r="AD34" s="15"/>
      <c r="AE34" s="15"/>
      <c r="AF34" s="15"/>
    </row>
    <row r="35" ht="15.75" customHeight="1">
      <c r="A35" s="15"/>
      <c r="B35" s="40"/>
      <c r="C35" s="41"/>
      <c r="D35" s="31"/>
      <c r="E35" s="31"/>
      <c r="F35" s="31"/>
      <c r="G35" s="29"/>
      <c r="H35" s="31"/>
      <c r="I35" s="9"/>
      <c r="J35" s="9"/>
      <c r="K35" s="11"/>
      <c r="L35" s="11"/>
      <c r="M35" s="15"/>
      <c r="N35" s="15"/>
      <c r="O35" s="15"/>
      <c r="P35" s="15"/>
      <c r="Q35" s="15"/>
      <c r="R35" s="15"/>
      <c r="S35" s="15"/>
      <c r="T35" s="15"/>
      <c r="U35" s="15"/>
      <c r="V35" s="15"/>
      <c r="W35" s="15"/>
      <c r="X35" s="15"/>
      <c r="Y35" s="15"/>
      <c r="Z35" s="15"/>
      <c r="AA35" s="15"/>
      <c r="AB35" s="15"/>
      <c r="AC35" s="15"/>
      <c r="AD35" s="15"/>
      <c r="AE35" s="15"/>
      <c r="AF35" s="15"/>
    </row>
    <row r="36" ht="15.75" customHeight="1">
      <c r="A36" s="32" t="s">
        <v>5</v>
      </c>
      <c r="B36" s="26" t="s">
        <v>55</v>
      </c>
      <c r="C36" s="39" t="s">
        <v>56</v>
      </c>
      <c r="D36" s="8" t="s">
        <v>20</v>
      </c>
      <c r="E36" s="8" t="s">
        <v>24</v>
      </c>
      <c r="F36" s="8" t="s">
        <v>57</v>
      </c>
      <c r="G36" s="34" t="s">
        <v>58</v>
      </c>
      <c r="H36" s="8"/>
      <c r="I36" s="9"/>
      <c r="J36" s="9"/>
      <c r="K36" s="11"/>
      <c r="L36" s="11"/>
      <c r="M36" s="15"/>
      <c r="N36" s="15"/>
      <c r="O36" s="15"/>
      <c r="P36" s="15"/>
      <c r="Q36" s="15"/>
      <c r="R36" s="15"/>
      <c r="S36" s="15"/>
      <c r="T36" s="15"/>
      <c r="U36" s="15"/>
      <c r="V36" s="15"/>
      <c r="W36" s="15"/>
      <c r="X36" s="15"/>
      <c r="Y36" s="15"/>
      <c r="Z36" s="15"/>
      <c r="AA36" s="15"/>
      <c r="AB36" s="15"/>
      <c r="AC36" s="15"/>
      <c r="AD36" s="15"/>
      <c r="AE36" s="15"/>
      <c r="AF36" s="15"/>
    </row>
    <row r="37" ht="15.75" customHeight="1">
      <c r="A37" s="32" t="s">
        <v>5</v>
      </c>
      <c r="B37" s="26" t="s">
        <v>5</v>
      </c>
      <c r="C37" s="39" t="s">
        <v>5</v>
      </c>
      <c r="D37" s="8" t="s">
        <v>5</v>
      </c>
      <c r="E37" s="28" t="s">
        <v>24</v>
      </c>
      <c r="F37" s="31"/>
      <c r="G37" s="29"/>
      <c r="H37" s="31"/>
      <c r="I37" s="31"/>
      <c r="J37" s="9"/>
      <c r="K37" s="11"/>
      <c r="L37" s="11"/>
      <c r="M37" s="15"/>
      <c r="N37" s="15"/>
      <c r="O37" s="15"/>
      <c r="P37" s="15"/>
      <c r="Q37" s="15"/>
      <c r="R37" s="15"/>
      <c r="S37" s="15"/>
      <c r="T37" s="15"/>
      <c r="U37" s="15"/>
      <c r="V37" s="15"/>
      <c r="W37" s="15"/>
      <c r="X37" s="15"/>
      <c r="Y37" s="15"/>
      <c r="Z37" s="15"/>
      <c r="AA37" s="15"/>
      <c r="AB37" s="15"/>
      <c r="AC37" s="15"/>
      <c r="AD37" s="15"/>
      <c r="AE37" s="15"/>
      <c r="AF37" s="15"/>
    </row>
    <row r="38" ht="15.75" customHeight="1">
      <c r="A38" s="32" t="s">
        <v>5</v>
      </c>
      <c r="B38" s="26" t="s">
        <v>59</v>
      </c>
      <c r="C38" s="39" t="s">
        <v>60</v>
      </c>
      <c r="D38" s="8" t="s">
        <v>20</v>
      </c>
      <c r="E38" s="8" t="s">
        <v>24</v>
      </c>
      <c r="F38" s="8" t="s">
        <v>57</v>
      </c>
      <c r="G38" s="34" t="s">
        <v>61</v>
      </c>
      <c r="H38" s="8" t="s">
        <v>57</v>
      </c>
      <c r="I38" s="9"/>
      <c r="J38" s="9"/>
      <c r="K38" s="11"/>
      <c r="L38" s="11"/>
      <c r="M38" s="15"/>
      <c r="N38" s="15"/>
      <c r="O38" s="15"/>
      <c r="P38" s="15"/>
      <c r="Q38" s="15"/>
      <c r="R38" s="15"/>
      <c r="S38" s="15"/>
      <c r="T38" s="15"/>
      <c r="U38" s="15"/>
      <c r="V38" s="15"/>
      <c r="W38" s="15"/>
      <c r="X38" s="15"/>
      <c r="Y38" s="15"/>
      <c r="Z38" s="15"/>
      <c r="AA38" s="15"/>
      <c r="AB38" s="15"/>
      <c r="AC38" s="15"/>
      <c r="AD38" s="15"/>
      <c r="AE38" s="15"/>
      <c r="AF38" s="15"/>
    </row>
    <row r="39" ht="15.75" customHeight="1">
      <c r="A39" s="15"/>
      <c r="B39" s="40"/>
      <c r="C39" s="41"/>
      <c r="D39" s="31"/>
      <c r="E39" s="31"/>
      <c r="F39" s="31"/>
      <c r="G39" s="29"/>
      <c r="H39" s="31"/>
      <c r="I39" s="9"/>
      <c r="J39" s="9"/>
      <c r="K39" s="11"/>
      <c r="L39" s="11"/>
      <c r="M39" s="15"/>
      <c r="N39" s="15"/>
      <c r="O39" s="15"/>
      <c r="P39" s="15"/>
      <c r="Q39" s="15"/>
      <c r="R39" s="15"/>
      <c r="S39" s="15"/>
      <c r="T39" s="15"/>
      <c r="U39" s="15"/>
      <c r="V39" s="15"/>
      <c r="W39" s="15"/>
      <c r="X39" s="15"/>
      <c r="Y39" s="15"/>
      <c r="Z39" s="15"/>
      <c r="AA39" s="15"/>
      <c r="AB39" s="15"/>
      <c r="AC39" s="15"/>
      <c r="AD39" s="15"/>
      <c r="AE39" s="15"/>
      <c r="AF39" s="15"/>
    </row>
    <row r="40" ht="15.75" customHeight="1">
      <c r="A40" s="32" t="s">
        <v>5</v>
      </c>
      <c r="B40" s="26" t="s">
        <v>62</v>
      </c>
      <c r="C40" s="39" t="s">
        <v>63</v>
      </c>
      <c r="D40" s="8" t="s">
        <v>20</v>
      </c>
      <c r="E40" s="28" t="s">
        <v>24</v>
      </c>
      <c r="F40" s="8" t="s">
        <v>64</v>
      </c>
      <c r="G40" s="34" t="s">
        <v>65</v>
      </c>
      <c r="H40" s="8" t="s">
        <v>64</v>
      </c>
      <c r="I40" s="31"/>
      <c r="J40" s="9"/>
      <c r="K40" s="11"/>
      <c r="L40" s="11"/>
      <c r="M40" s="15"/>
      <c r="N40" s="15"/>
      <c r="O40" s="15"/>
      <c r="P40" s="15"/>
      <c r="Q40" s="15"/>
      <c r="R40" s="15"/>
      <c r="S40" s="15"/>
      <c r="T40" s="15"/>
      <c r="U40" s="15"/>
      <c r="V40" s="15"/>
      <c r="W40" s="15"/>
      <c r="X40" s="15"/>
      <c r="Y40" s="15"/>
      <c r="Z40" s="15"/>
      <c r="AA40" s="15"/>
      <c r="AB40" s="15"/>
      <c r="AC40" s="15"/>
      <c r="AD40" s="15"/>
      <c r="AE40" s="15"/>
      <c r="AF40" s="15"/>
    </row>
    <row r="41" ht="15.75" customHeight="1">
      <c r="A41" s="15"/>
      <c r="B41" s="40"/>
      <c r="C41" s="39"/>
      <c r="D41" s="8"/>
      <c r="E41" s="37"/>
      <c r="F41" s="30"/>
      <c r="G41" s="29"/>
      <c r="H41" s="36"/>
      <c r="L41" s="11"/>
      <c r="M41" s="15"/>
      <c r="N41" s="15"/>
      <c r="O41" s="15"/>
      <c r="P41" s="15"/>
      <c r="Q41" s="15"/>
      <c r="R41" s="15"/>
      <c r="S41" s="15"/>
      <c r="T41" s="15"/>
      <c r="U41" s="15"/>
      <c r="V41" s="15"/>
      <c r="W41" s="15"/>
      <c r="X41" s="15"/>
      <c r="Y41" s="15"/>
      <c r="Z41" s="15"/>
      <c r="AA41" s="15"/>
      <c r="AB41" s="15"/>
      <c r="AC41" s="15"/>
      <c r="AD41" s="15"/>
      <c r="AE41" s="15"/>
      <c r="AF41" s="15"/>
    </row>
    <row r="42" ht="15.75" customHeight="1">
      <c r="A42" s="32" t="s">
        <v>5</v>
      </c>
      <c r="B42" s="26" t="s">
        <v>66</v>
      </c>
      <c r="C42" s="39" t="s">
        <v>67</v>
      </c>
      <c r="D42" s="8" t="s">
        <v>20</v>
      </c>
      <c r="E42" s="28" t="s">
        <v>24</v>
      </c>
      <c r="F42" s="28" t="s">
        <v>68</v>
      </c>
      <c r="G42" s="34" t="s">
        <v>69</v>
      </c>
      <c r="H42" s="38" t="s">
        <v>68</v>
      </c>
      <c r="I42" s="9"/>
      <c r="J42" s="9"/>
      <c r="K42" s="11"/>
      <c r="L42" s="11"/>
      <c r="M42" s="15"/>
      <c r="N42" s="15"/>
      <c r="O42" s="15"/>
      <c r="P42" s="15"/>
      <c r="Q42" s="15"/>
      <c r="R42" s="15"/>
      <c r="S42" s="15"/>
      <c r="T42" s="15"/>
      <c r="U42" s="15"/>
      <c r="V42" s="15"/>
      <c r="W42" s="15"/>
      <c r="X42" s="15"/>
      <c r="Y42" s="15"/>
      <c r="Z42" s="15"/>
      <c r="AA42" s="15"/>
      <c r="AB42" s="15"/>
      <c r="AC42" s="15"/>
      <c r="AD42" s="15"/>
      <c r="AE42" s="15"/>
      <c r="AF42" s="15"/>
    </row>
    <row r="43" ht="15.75" customHeight="1">
      <c r="A43" s="15"/>
      <c r="B43" s="26" t="s">
        <v>70</v>
      </c>
      <c r="C43" s="39" t="s">
        <v>71</v>
      </c>
      <c r="D43" s="8" t="s">
        <v>20</v>
      </c>
      <c r="E43" s="8" t="s">
        <v>72</v>
      </c>
      <c r="F43" s="8" t="s">
        <v>73</v>
      </c>
      <c r="G43" s="29"/>
      <c r="H43" s="36"/>
      <c r="L43" s="11"/>
      <c r="M43" s="15"/>
      <c r="N43" s="15"/>
      <c r="O43" s="15"/>
      <c r="P43" s="15"/>
      <c r="Q43" s="15"/>
      <c r="R43" s="15"/>
      <c r="S43" s="15"/>
      <c r="T43" s="15"/>
      <c r="U43" s="15"/>
      <c r="V43" s="15"/>
      <c r="W43" s="15"/>
      <c r="X43" s="15"/>
      <c r="Y43" s="15"/>
      <c r="Z43" s="15"/>
      <c r="AA43" s="15"/>
      <c r="AB43" s="15"/>
      <c r="AC43" s="15"/>
      <c r="AD43" s="15"/>
      <c r="AE43" s="15"/>
      <c r="AF43" s="15"/>
    </row>
    <row r="44" ht="15.75" customHeight="1">
      <c r="A44" s="15"/>
      <c r="B44" s="40"/>
      <c r="C44" s="41"/>
      <c r="D44" s="31"/>
      <c r="E44" s="8" t="s">
        <v>21</v>
      </c>
      <c r="F44" s="8" t="s">
        <v>74</v>
      </c>
      <c r="G44" s="29" t="str">
        <f>HYPERLINK("https://docs.google.com/spreadsheets/d/1O1rHrxPpGJKumXpXB8lG4OAB0CeMLlo2gbvXng58kqc/edit#gid=1676712209", "https://docs.google.com/spreadsheets/d/1O1rHrxPpGJKumXpXB8lG4OAB0CeMLlo2gbvXng58kqc/edit#gid=1676712209")</f>
        <v>https://docs.google.com/spreadsheets/d/1O1rHrxPpGJKumXpXB8lG4OAB0CeMLlo2gbvXng58kqc/edit#gid=1676712209</v>
      </c>
      <c r="H44" s="35" t="s">
        <v>74</v>
      </c>
      <c r="L44" s="11"/>
      <c r="M44" s="15"/>
      <c r="N44" s="15"/>
      <c r="O44" s="15"/>
      <c r="P44" s="15"/>
      <c r="Q44" s="15"/>
      <c r="R44" s="15"/>
      <c r="S44" s="15"/>
      <c r="T44" s="15"/>
      <c r="U44" s="15"/>
      <c r="V44" s="15"/>
      <c r="W44" s="15"/>
      <c r="X44" s="15"/>
      <c r="Y44" s="15"/>
      <c r="Z44" s="15"/>
      <c r="AA44" s="15"/>
      <c r="AB44" s="15"/>
      <c r="AC44" s="15"/>
      <c r="AD44" s="15"/>
      <c r="AE44" s="15"/>
      <c r="AF44" s="15"/>
    </row>
    <row r="45" ht="15.75" customHeight="1">
      <c r="A45" s="15"/>
      <c r="B45" s="26"/>
      <c r="C45" s="39"/>
      <c r="D45" s="8"/>
      <c r="E45" s="8" t="s">
        <v>72</v>
      </c>
      <c r="F45" s="8" t="s">
        <v>75</v>
      </c>
      <c r="G45" s="29" t="str">
        <f>HYPERLINK("https://docs.google.com/spreadsheets/d/1O1rHrxPpGJKumXpXB8lG4OAB0CeMLlo2gbvXng58kqc/edit#gid=303697142", "https://docs.google.com/spreadsheets/d/1O1rHrxPpGJKumXpXB8lG4OAB0CeMLlo2gbvXng58kqc/edit#gid=303697142")</f>
        <v>https://docs.google.com/spreadsheets/d/1O1rHrxPpGJKumXpXB8lG4OAB0CeMLlo2gbvXng58kqc/edit#gid=303697142</v>
      </c>
      <c r="H45" s="35" t="s">
        <v>75</v>
      </c>
      <c r="L45" s="11"/>
      <c r="M45" s="15"/>
      <c r="N45" s="15"/>
      <c r="O45" s="15"/>
      <c r="P45" s="15"/>
      <c r="Q45" s="15"/>
      <c r="R45" s="15"/>
      <c r="S45" s="15"/>
      <c r="T45" s="15"/>
      <c r="U45" s="15"/>
      <c r="V45" s="15"/>
      <c r="W45" s="15"/>
      <c r="X45" s="15"/>
      <c r="Y45" s="15"/>
      <c r="Z45" s="15"/>
      <c r="AA45" s="15"/>
      <c r="AB45" s="15"/>
      <c r="AC45" s="15"/>
      <c r="AD45" s="15"/>
      <c r="AE45" s="15"/>
      <c r="AF45" s="15"/>
    </row>
    <row r="46" ht="15.75" customHeight="1">
      <c r="A46" s="15"/>
      <c r="B46" s="40"/>
      <c r="C46" s="41"/>
      <c r="D46" s="31"/>
      <c r="E46" s="8" t="s">
        <v>72</v>
      </c>
      <c r="F46" s="8" t="s">
        <v>76</v>
      </c>
      <c r="G46" s="29" t="str">
        <f>HYPERLINK("https://docs.google.com/spreadsheets/d/1O1rHrxPpGJKumXpXB8lG4OAB0CeMLlo2gbvXng58kqc/edit#gid=1853579865", "https://docs.google.com/spreadsheets/d/1O1rHrxPpGJKumXpXB8lG4OAB0CeMLlo2gbvXng58kqc/edit#gid=1853579865")</f>
        <v>https://docs.google.com/spreadsheets/d/1O1rHrxPpGJKumXpXB8lG4OAB0CeMLlo2gbvXng58kqc/edit#gid=1853579865</v>
      </c>
      <c r="H46" s="8" t="s">
        <v>76</v>
      </c>
      <c r="I46" s="9"/>
      <c r="J46" s="9"/>
      <c r="K46" s="11"/>
      <c r="L46" s="11"/>
      <c r="M46" s="15"/>
      <c r="N46" s="15"/>
      <c r="O46" s="15"/>
      <c r="P46" s="15"/>
      <c r="Q46" s="15"/>
      <c r="R46" s="15"/>
      <c r="S46" s="15"/>
      <c r="T46" s="15"/>
      <c r="U46" s="15"/>
      <c r="V46" s="15"/>
      <c r="W46" s="15"/>
      <c r="X46" s="15"/>
      <c r="Y46" s="15"/>
      <c r="Z46" s="15"/>
      <c r="AA46" s="15"/>
      <c r="AB46" s="15"/>
      <c r="AC46" s="15"/>
      <c r="AD46" s="15"/>
      <c r="AE46" s="15"/>
      <c r="AF46" s="15"/>
    </row>
    <row r="47" ht="15.75" customHeight="1">
      <c r="A47" s="15"/>
      <c r="B47" s="40"/>
      <c r="C47" s="41"/>
      <c r="D47" s="31"/>
      <c r="E47" s="8" t="s">
        <v>43</v>
      </c>
      <c r="F47" s="8" t="s">
        <v>77</v>
      </c>
      <c r="G47" s="29" t="str">
        <f>HYPERLINK("https://docs.google.com/spreadsheets/d/1O1rHrxPpGJKumXpXB8lG4OAB0CeMLlo2gbvXng58kqc/edit#gid=1551850844", "https://docs.google.com/spreadsheets/d/1O1rHrxPpGJKumXpXB8lG4OAB0CeMLlo2gbvXng58kqc/edit#gid=1551850844")</f>
        <v>https://docs.google.com/spreadsheets/d/1O1rHrxPpGJKumXpXB8lG4OAB0CeMLlo2gbvXng58kqc/edit#gid=1551850844</v>
      </c>
      <c r="H47" s="8" t="s">
        <v>78</v>
      </c>
      <c r="I47" s="9"/>
      <c r="J47" s="9"/>
      <c r="K47" s="11"/>
      <c r="L47" s="11"/>
      <c r="M47" s="15"/>
      <c r="N47" s="15"/>
      <c r="O47" s="15"/>
      <c r="P47" s="15"/>
      <c r="Q47" s="15"/>
      <c r="R47" s="15"/>
      <c r="S47" s="15"/>
      <c r="T47" s="15"/>
      <c r="U47" s="15"/>
      <c r="V47" s="15"/>
      <c r="W47" s="15"/>
      <c r="X47" s="15"/>
      <c r="Y47" s="15"/>
      <c r="Z47" s="15"/>
      <c r="AA47" s="15"/>
      <c r="AB47" s="15"/>
      <c r="AC47" s="15"/>
      <c r="AD47" s="15"/>
      <c r="AE47" s="15"/>
      <c r="AF47" s="15"/>
    </row>
    <row r="48" ht="15.75" customHeight="1">
      <c r="A48" s="15"/>
      <c r="B48" s="40"/>
      <c r="C48" s="41"/>
      <c r="D48" s="31"/>
      <c r="E48" s="8" t="s">
        <v>43</v>
      </c>
      <c r="F48" s="8" t="s">
        <v>79</v>
      </c>
      <c r="G48" s="29" t="str">
        <f>HYPERLINK("https://docs.google.com/spreadsheets/d/1O1rHrxPpGJKumXpXB8lG4OAB0CeMLlo2gbvXng58kqc/edit#gid=853414122", "https://docs.google.com/spreadsheets/d/1O1rHrxPpGJKumXpXB8lG4OAB0CeMLlo2gbvXng58kqc/edit#gid=853414122")</f>
        <v>https://docs.google.com/spreadsheets/d/1O1rHrxPpGJKumXpXB8lG4OAB0CeMLlo2gbvXng58kqc/edit#gid=853414122</v>
      </c>
      <c r="H48" s="8" t="s">
        <v>79</v>
      </c>
      <c r="I48" s="9"/>
      <c r="J48" s="9"/>
      <c r="K48" s="11"/>
      <c r="L48" s="11"/>
      <c r="M48" s="15"/>
      <c r="N48" s="15"/>
      <c r="O48" s="15"/>
      <c r="P48" s="15"/>
      <c r="Q48" s="15"/>
      <c r="R48" s="15"/>
      <c r="S48" s="15"/>
      <c r="T48" s="15"/>
      <c r="U48" s="15"/>
      <c r="V48" s="15"/>
      <c r="W48" s="15"/>
      <c r="X48" s="15"/>
      <c r="Y48" s="15"/>
      <c r="Z48" s="15"/>
      <c r="AA48" s="15"/>
      <c r="AB48" s="15"/>
      <c r="AC48" s="15"/>
      <c r="AD48" s="15"/>
      <c r="AE48" s="15"/>
      <c r="AF48" s="15"/>
    </row>
    <row r="49" ht="15.75" customHeight="1">
      <c r="A49" s="15"/>
      <c r="B49" s="40"/>
      <c r="C49" s="41"/>
      <c r="D49" s="31"/>
      <c r="E49" s="8" t="s">
        <v>72</v>
      </c>
      <c r="F49" s="8" t="s">
        <v>75</v>
      </c>
      <c r="G49" s="29" t="str">
        <f>HYPERLINK("https://docs.google.com/spreadsheets/d/1O1rHrxPpGJKumXpXB8lG4OAB0CeMLlo2gbvXng58kqc/edit#gid=1865527173", "https://docs.google.com/spreadsheets/d/1O1rHrxPpGJKumXpXB8lG4OAB0CeMLlo2gbvXng58kqc/edit#gid=1865527173")</f>
        <v>https://docs.google.com/spreadsheets/d/1O1rHrxPpGJKumXpXB8lG4OAB0CeMLlo2gbvXng58kqc/edit#gid=1865527173</v>
      </c>
      <c r="H49" s="8" t="s">
        <v>80</v>
      </c>
      <c r="I49" s="9"/>
      <c r="J49" s="9"/>
      <c r="K49" s="11"/>
      <c r="L49" s="11"/>
      <c r="M49" s="15"/>
      <c r="N49" s="15"/>
      <c r="O49" s="15"/>
      <c r="P49" s="15"/>
      <c r="Q49" s="15"/>
      <c r="R49" s="15"/>
      <c r="S49" s="15"/>
      <c r="T49" s="15"/>
      <c r="U49" s="15"/>
      <c r="V49" s="15"/>
      <c r="W49" s="15"/>
      <c r="X49" s="15"/>
      <c r="Y49" s="15"/>
      <c r="Z49" s="15"/>
      <c r="AA49" s="15"/>
      <c r="AB49" s="15"/>
      <c r="AC49" s="15"/>
      <c r="AD49" s="15"/>
      <c r="AE49" s="15"/>
      <c r="AF49" s="15"/>
    </row>
    <row r="50" ht="15.75" customHeight="1">
      <c r="A50" s="15"/>
      <c r="B50" s="40"/>
      <c r="C50" s="41"/>
      <c r="D50" s="31"/>
      <c r="E50" s="8" t="s">
        <v>72</v>
      </c>
      <c r="F50" s="8" t="s">
        <v>81</v>
      </c>
      <c r="G50" s="29" t="str">
        <f>HYPERLINK("https://docs.google.com/spreadsheets/d/1O1rHrxPpGJKumXpXB8lG4OAB0CeMLlo2gbvXng58kqc/edit#gid=957803918", "https://docs.google.com/spreadsheets/d/1O1rHrxPpGJKumXpXB8lG4OAB0CeMLlo2gbvXng58kqc/edit#gid=957803918")</f>
        <v>https://docs.google.com/spreadsheets/d/1O1rHrxPpGJKumXpXB8lG4OAB0CeMLlo2gbvXng58kqc/edit#gid=957803918</v>
      </c>
      <c r="H50" s="8" t="s">
        <v>81</v>
      </c>
      <c r="I50" s="9"/>
      <c r="J50" s="9"/>
      <c r="K50" s="11"/>
      <c r="L50" s="11"/>
      <c r="M50" s="15"/>
      <c r="N50" s="15"/>
      <c r="O50" s="15"/>
      <c r="P50" s="15"/>
      <c r="Q50" s="15"/>
      <c r="R50" s="15"/>
      <c r="S50" s="15"/>
      <c r="T50" s="15"/>
      <c r="U50" s="15"/>
      <c r="V50" s="15"/>
      <c r="W50" s="15"/>
      <c r="X50" s="15"/>
      <c r="Y50" s="15"/>
      <c r="Z50" s="15"/>
      <c r="AA50" s="15"/>
      <c r="AB50" s="15"/>
      <c r="AC50" s="15"/>
      <c r="AD50" s="15"/>
      <c r="AE50" s="15"/>
      <c r="AF50" s="15"/>
    </row>
    <row r="51" ht="15.75" customHeight="1">
      <c r="A51" s="15"/>
      <c r="B51" s="40"/>
      <c r="C51" s="41"/>
      <c r="D51" s="31"/>
      <c r="E51" s="28" t="s">
        <v>43</v>
      </c>
      <c r="F51" s="8" t="s">
        <v>53</v>
      </c>
      <c r="G51" s="29" t="str">
        <f>HYPERLINK("https://docs.google.com/spreadsheets/d/1O1rHrxPpGJKumXpXB8lG4OAB0CeMLlo2gbvXng58kqc/edit#gid=280414313", "https://docs.google.com/spreadsheets/d/1O1rHrxPpGJKumXpXB8lG4OAB0CeMLlo2gbvXng58kqc/edit#gid=280414313")</f>
        <v>https://docs.google.com/spreadsheets/d/1O1rHrxPpGJKumXpXB8lG4OAB0CeMLlo2gbvXng58kqc/edit#gid=280414313</v>
      </c>
      <c r="H51" s="8" t="s">
        <v>53</v>
      </c>
      <c r="I51" s="31"/>
      <c r="J51" s="9"/>
      <c r="K51" s="11"/>
      <c r="L51" s="11"/>
      <c r="M51" s="15"/>
      <c r="N51" s="15"/>
      <c r="O51" s="15"/>
      <c r="P51" s="15"/>
      <c r="Q51" s="15"/>
      <c r="R51" s="15"/>
      <c r="S51" s="15"/>
      <c r="T51" s="15"/>
      <c r="U51" s="15"/>
      <c r="V51" s="15"/>
      <c r="W51" s="15"/>
      <c r="X51" s="15"/>
      <c r="Y51" s="15"/>
      <c r="Z51" s="15"/>
      <c r="AA51" s="15"/>
      <c r="AB51" s="15"/>
      <c r="AC51" s="15"/>
      <c r="AD51" s="15"/>
      <c r="AE51" s="15"/>
      <c r="AF51" s="15"/>
    </row>
    <row r="52" ht="15.75" customHeight="1">
      <c r="A52" s="15"/>
      <c r="B52" s="40"/>
      <c r="C52" s="41"/>
      <c r="D52" s="31"/>
      <c r="E52" s="28" t="s">
        <v>43</v>
      </c>
      <c r="F52" s="38" t="s">
        <v>77</v>
      </c>
      <c r="G52" s="29" t="str">
        <f>HYPERLINK("https://docs.google.com/spreadsheets/d/1O1rHrxPpGJKumXpXB8lG4OAB0CeMLlo2gbvXng58kqc/edit#gid=681241744", "https://docs.google.com/spreadsheets/d/1O1rHrxPpGJKumXpXB8lG4OAB0CeMLlo2gbvXng58kqc/edit#gid=681241744")</f>
        <v>https://docs.google.com/spreadsheets/d/1O1rHrxPpGJKumXpXB8lG4OAB0CeMLlo2gbvXng58kqc/edit#gid=681241744</v>
      </c>
      <c r="H52" s="38" t="s">
        <v>82</v>
      </c>
      <c r="I52" s="31"/>
      <c r="J52" s="9"/>
      <c r="K52" s="11"/>
      <c r="L52" s="11"/>
      <c r="M52" s="15"/>
      <c r="N52" s="15"/>
      <c r="O52" s="15"/>
      <c r="P52" s="15"/>
      <c r="Q52" s="15"/>
      <c r="R52" s="15"/>
      <c r="S52" s="15"/>
      <c r="T52" s="15"/>
      <c r="U52" s="15"/>
      <c r="V52" s="15"/>
      <c r="W52" s="15"/>
      <c r="X52" s="15"/>
      <c r="Y52" s="15"/>
      <c r="Z52" s="15"/>
      <c r="AA52" s="15"/>
      <c r="AB52" s="15"/>
      <c r="AC52" s="15"/>
      <c r="AD52" s="15"/>
      <c r="AE52" s="15"/>
      <c r="AF52" s="15"/>
    </row>
    <row r="53" ht="15.75" customHeight="1">
      <c r="A53" s="15"/>
      <c r="B53" s="40"/>
      <c r="C53" s="41"/>
      <c r="D53" s="31"/>
      <c r="E53" s="28" t="s">
        <v>43</v>
      </c>
      <c r="F53" s="28" t="s">
        <v>79</v>
      </c>
      <c r="G53" s="29" t="str">
        <f>HYPERLINK("https://docs.google.com/spreadsheets/d/1O1rHrxPpGJKumXpXB8lG4OAB0CeMLlo2gbvXng58kqc/edit#gid=1500281008", "https://docs.google.com/spreadsheets/d/1O1rHrxPpGJKumXpXB8lG4OAB0CeMLlo2gbvXng58kqc/edit#gid=1500281008")</f>
        <v>https://docs.google.com/spreadsheets/d/1O1rHrxPpGJKumXpXB8lG4OAB0CeMLlo2gbvXng58kqc/edit#gid=1500281008</v>
      </c>
      <c r="H53" s="38" t="s">
        <v>83</v>
      </c>
      <c r="I53" s="9"/>
      <c r="J53" s="9"/>
      <c r="K53" s="11"/>
      <c r="L53" s="11"/>
      <c r="M53" s="15"/>
      <c r="N53" s="15"/>
      <c r="O53" s="15"/>
      <c r="P53" s="15"/>
      <c r="Q53" s="15"/>
      <c r="R53" s="15"/>
      <c r="S53" s="15"/>
      <c r="T53" s="15"/>
      <c r="U53" s="15"/>
      <c r="V53" s="15"/>
      <c r="W53" s="15"/>
      <c r="X53" s="15"/>
      <c r="Y53" s="15"/>
      <c r="Z53" s="15"/>
      <c r="AA53" s="15"/>
      <c r="AB53" s="15"/>
      <c r="AC53" s="15"/>
      <c r="AD53" s="15"/>
      <c r="AE53" s="15"/>
      <c r="AF53" s="15"/>
    </row>
    <row r="54" ht="15.75" customHeight="1">
      <c r="A54" s="15"/>
      <c r="B54" s="40"/>
      <c r="C54" s="41"/>
      <c r="D54" s="31"/>
      <c r="E54" s="31"/>
      <c r="F54" s="31"/>
      <c r="G54" s="29"/>
      <c r="H54" s="31"/>
      <c r="I54" s="9"/>
      <c r="J54" s="9"/>
      <c r="K54" s="11"/>
      <c r="L54" s="11"/>
      <c r="M54" s="15"/>
      <c r="N54" s="15"/>
      <c r="O54" s="15"/>
      <c r="P54" s="15"/>
      <c r="Q54" s="15"/>
      <c r="R54" s="15"/>
      <c r="S54" s="15"/>
      <c r="T54" s="15"/>
      <c r="U54" s="15"/>
      <c r="V54" s="15"/>
      <c r="W54" s="15"/>
      <c r="X54" s="15"/>
      <c r="Y54" s="15"/>
      <c r="Z54" s="15"/>
      <c r="AA54" s="15"/>
      <c r="AB54" s="15"/>
      <c r="AC54" s="15"/>
      <c r="AD54" s="15"/>
      <c r="AE54" s="15"/>
      <c r="AF54" s="15"/>
    </row>
    <row r="55" ht="15.75" customHeight="1">
      <c r="A55" s="15"/>
      <c r="B55" s="26" t="s">
        <v>84</v>
      </c>
      <c r="C55" s="39" t="s">
        <v>85</v>
      </c>
      <c r="D55" s="8" t="s">
        <v>20</v>
      </c>
      <c r="E55" s="8" t="s">
        <v>86</v>
      </c>
      <c r="F55" s="8" t="s">
        <v>87</v>
      </c>
      <c r="G55" s="29"/>
      <c r="H55" s="36"/>
      <c r="L55" s="11"/>
      <c r="M55" s="15"/>
      <c r="N55" s="15"/>
      <c r="O55" s="15"/>
      <c r="P55" s="15"/>
      <c r="Q55" s="15"/>
      <c r="R55" s="15"/>
      <c r="S55" s="15"/>
      <c r="T55" s="15"/>
      <c r="U55" s="15"/>
      <c r="V55" s="15"/>
      <c r="W55" s="15"/>
      <c r="X55" s="15"/>
      <c r="Y55" s="15"/>
      <c r="Z55" s="15"/>
      <c r="AA55" s="15"/>
      <c r="AB55" s="15"/>
      <c r="AC55" s="15"/>
      <c r="AD55" s="15"/>
      <c r="AE55" s="15"/>
      <c r="AF55" s="15"/>
    </row>
    <row r="56" ht="15.75" customHeight="1">
      <c r="A56" s="15"/>
      <c r="B56" s="40"/>
      <c r="C56" s="41"/>
      <c r="D56" s="31"/>
      <c r="E56" s="8" t="s">
        <v>88</v>
      </c>
      <c r="F56" s="8" t="s">
        <v>89</v>
      </c>
      <c r="G56" s="29"/>
      <c r="H56" s="36"/>
      <c r="L56" s="11"/>
      <c r="M56" s="15"/>
      <c r="N56" s="15"/>
      <c r="O56" s="15"/>
      <c r="P56" s="15"/>
      <c r="Q56" s="15"/>
      <c r="R56" s="15"/>
      <c r="S56" s="15"/>
      <c r="T56" s="15"/>
      <c r="U56" s="15"/>
      <c r="V56" s="15"/>
      <c r="W56" s="15"/>
      <c r="X56" s="15"/>
      <c r="Y56" s="15"/>
      <c r="Z56" s="15"/>
      <c r="AA56" s="15"/>
      <c r="AB56" s="15"/>
      <c r="AC56" s="15"/>
      <c r="AD56" s="15"/>
      <c r="AE56" s="15"/>
      <c r="AF56" s="15"/>
    </row>
    <row r="57" ht="15.75" customHeight="1">
      <c r="A57" s="15"/>
      <c r="B57" s="40"/>
      <c r="C57" s="41"/>
      <c r="D57" s="31"/>
      <c r="E57" s="8" t="s">
        <v>21</v>
      </c>
      <c r="F57" s="8" t="s">
        <v>51</v>
      </c>
      <c r="G57" s="29" t="str">
        <f>HYPERLINK("https://docs.google.com/spreadsheets/d/1j2kJhOCYLXIJv40glMdIQWeQBXiqZQ_-Gh5HUrohswo/edit#gid=1401024245", "https://docs.google.com/spreadsheets/d/1j2kJhOCYLXIJv40glMdIQWeQBXiqZQ_-Gh5HUrohswo/edit#gid=1401024245")</f>
        <v>https://docs.google.com/spreadsheets/d/1j2kJhOCYLXIJv40glMdIQWeQBXiqZQ_-Gh5HUrohswo/edit#gid=1401024245</v>
      </c>
      <c r="H57" s="8" t="s">
        <v>51</v>
      </c>
      <c r="I57" s="9"/>
      <c r="J57" s="9"/>
      <c r="K57" s="11"/>
      <c r="L57" s="11"/>
      <c r="M57" s="15"/>
      <c r="N57" s="15"/>
      <c r="O57" s="15"/>
      <c r="P57" s="15"/>
      <c r="Q57" s="15"/>
      <c r="R57" s="15"/>
      <c r="S57" s="15"/>
      <c r="T57" s="15"/>
      <c r="U57" s="15"/>
      <c r="V57" s="15"/>
      <c r="W57" s="15"/>
      <c r="X57" s="15"/>
      <c r="Y57" s="15"/>
      <c r="Z57" s="15"/>
      <c r="AA57" s="15"/>
      <c r="AB57" s="15"/>
      <c r="AC57" s="15"/>
      <c r="AD57" s="15"/>
      <c r="AE57" s="15"/>
      <c r="AF57" s="15"/>
    </row>
    <row r="58" ht="15.75" customHeight="1">
      <c r="A58" s="15"/>
      <c r="B58" s="40"/>
      <c r="C58" s="41"/>
      <c r="D58" s="31"/>
      <c r="E58" s="8" t="s">
        <v>86</v>
      </c>
      <c r="F58" s="8" t="s">
        <v>90</v>
      </c>
      <c r="G58" s="29" t="str">
        <f>HYPERLINK("https://docs.google.com/spreadsheets/d/1j2kJhOCYLXIJv40glMdIQWeQBXiqZQ_-Gh5HUrohswo/edit#gid=296462161", "https://docs.google.com/spreadsheets/d/1j2kJhOCYLXIJv40glMdIQWeQBXiqZQ_-Gh5HUrohswo/edit#gid=296462161")</f>
        <v>https://docs.google.com/spreadsheets/d/1j2kJhOCYLXIJv40glMdIQWeQBXiqZQ_-Gh5HUrohswo/edit#gid=296462161</v>
      </c>
      <c r="H58" s="8" t="s">
        <v>90</v>
      </c>
      <c r="I58" s="9"/>
      <c r="J58" s="9"/>
      <c r="K58" s="11"/>
      <c r="L58" s="11"/>
      <c r="M58" s="15"/>
      <c r="N58" s="15"/>
      <c r="O58" s="15"/>
      <c r="P58" s="15"/>
      <c r="Q58" s="15"/>
      <c r="R58" s="15"/>
      <c r="S58" s="15"/>
      <c r="T58" s="15"/>
      <c r="U58" s="15"/>
      <c r="V58" s="15"/>
      <c r="W58" s="15"/>
      <c r="X58" s="15"/>
      <c r="Y58" s="15"/>
      <c r="Z58" s="15"/>
      <c r="AA58" s="15"/>
      <c r="AB58" s="15"/>
      <c r="AC58" s="15"/>
      <c r="AD58" s="15"/>
      <c r="AE58" s="15"/>
      <c r="AF58" s="15"/>
    </row>
    <row r="59" ht="15.75" customHeight="1">
      <c r="A59" s="15"/>
      <c r="B59" s="40"/>
      <c r="C59" s="41"/>
      <c r="D59" s="31"/>
      <c r="E59" s="28" t="s">
        <v>86</v>
      </c>
      <c r="F59" s="8" t="s">
        <v>91</v>
      </c>
      <c r="G59" s="29" t="str">
        <f>HYPERLINK("https://docs.google.com/spreadsheets/d/1j2kJhOCYLXIJv40glMdIQWeQBXiqZQ_-Gh5HUrohswo/edit#gid=1557518644", "https://docs.google.com/spreadsheets/d/1j2kJhOCYLXIJv40glMdIQWeQBXiqZQ_-Gh5HUrohswo/edit#gid=1557518644")</f>
        <v>https://docs.google.com/spreadsheets/d/1j2kJhOCYLXIJv40glMdIQWeQBXiqZQ_-Gh5HUrohswo/edit#gid=1557518644</v>
      </c>
      <c r="H59" s="8" t="s">
        <v>91</v>
      </c>
      <c r="I59" s="31"/>
      <c r="J59" s="9"/>
      <c r="K59" s="11"/>
      <c r="L59" s="11"/>
      <c r="M59" s="15"/>
      <c r="N59" s="15"/>
      <c r="O59" s="15"/>
      <c r="P59" s="15"/>
      <c r="Q59" s="15"/>
      <c r="R59" s="15"/>
      <c r="S59" s="15"/>
      <c r="T59" s="15"/>
      <c r="U59" s="15"/>
      <c r="V59" s="15"/>
      <c r="W59" s="15"/>
      <c r="X59" s="15"/>
      <c r="Y59" s="15"/>
      <c r="Z59" s="15"/>
      <c r="AA59" s="15"/>
      <c r="AB59" s="15"/>
      <c r="AC59" s="15"/>
      <c r="AD59" s="15"/>
      <c r="AE59" s="15"/>
      <c r="AF59" s="15"/>
    </row>
    <row r="60" ht="15.75" customHeight="1">
      <c r="A60" s="15"/>
      <c r="B60" s="40"/>
      <c r="C60" s="41"/>
      <c r="D60" s="31"/>
      <c r="E60" s="28" t="s">
        <v>86</v>
      </c>
      <c r="F60" s="38" t="s">
        <v>92</v>
      </c>
      <c r="G60" s="29" t="str">
        <f>HYPERLINK("https://docs.google.com/spreadsheets/d/1j2kJhOCYLXIJv40glMdIQWeQBXiqZQ_-Gh5HUrohswo/edit#gid=430484739", "https://docs.google.com/spreadsheets/d/1j2kJhOCYLXIJv40glMdIQWeQBXiqZQ_-Gh5HUrohswo/edit#gid=430484739")</f>
        <v>https://docs.google.com/spreadsheets/d/1j2kJhOCYLXIJv40glMdIQWeQBXiqZQ_-Gh5HUrohswo/edit#gid=430484739</v>
      </c>
      <c r="H60" s="38" t="s">
        <v>92</v>
      </c>
      <c r="I60" s="31"/>
      <c r="J60" s="9"/>
      <c r="K60" s="11"/>
      <c r="L60" s="11"/>
      <c r="M60" s="15"/>
      <c r="N60" s="15"/>
      <c r="O60" s="15"/>
      <c r="P60" s="15"/>
      <c r="Q60" s="15"/>
      <c r="R60" s="15"/>
      <c r="S60" s="15"/>
      <c r="T60" s="15"/>
      <c r="U60" s="15"/>
      <c r="V60" s="15"/>
      <c r="W60" s="15"/>
      <c r="X60" s="15"/>
      <c r="Y60" s="15"/>
      <c r="Z60" s="15"/>
      <c r="AA60" s="15"/>
      <c r="AB60" s="15"/>
      <c r="AC60" s="15"/>
      <c r="AD60" s="15"/>
      <c r="AE60" s="15"/>
      <c r="AF60" s="15"/>
    </row>
    <row r="61" ht="15.75" customHeight="1">
      <c r="A61" s="15"/>
      <c r="B61" s="40"/>
      <c r="C61" s="41"/>
      <c r="D61" s="31"/>
      <c r="E61" s="28" t="s">
        <v>86</v>
      </c>
      <c r="F61" s="28" t="s">
        <v>93</v>
      </c>
      <c r="G61" s="29" t="str">
        <f>HYPERLINK("https://docs.google.com/spreadsheets/d/1j2kJhOCYLXIJv40glMdIQWeQBXiqZQ_-Gh5HUrohswo/edit#gid=1706236976", "https://docs.google.com/spreadsheets/d/1j2kJhOCYLXIJv40glMdIQWeQBXiqZQ_-Gh5HUrohswo/edit#gid=1706236976")</f>
        <v>https://docs.google.com/spreadsheets/d/1j2kJhOCYLXIJv40glMdIQWeQBXiqZQ_-Gh5HUrohswo/edit#gid=1706236976</v>
      </c>
      <c r="H61" s="38" t="s">
        <v>93</v>
      </c>
      <c r="I61" s="9"/>
      <c r="J61" s="9"/>
      <c r="K61" s="11"/>
      <c r="L61" s="11"/>
      <c r="M61" s="15"/>
      <c r="N61" s="15"/>
      <c r="O61" s="15"/>
      <c r="P61" s="15"/>
      <c r="Q61" s="15"/>
      <c r="R61" s="15"/>
      <c r="S61" s="15"/>
      <c r="T61" s="15"/>
      <c r="U61" s="15"/>
      <c r="V61" s="15"/>
      <c r="W61" s="15"/>
      <c r="X61" s="15"/>
      <c r="Y61" s="15"/>
      <c r="Z61" s="15"/>
      <c r="AA61" s="15"/>
      <c r="AB61" s="15"/>
      <c r="AC61" s="15"/>
      <c r="AD61" s="15"/>
      <c r="AE61" s="15"/>
      <c r="AF61" s="15"/>
    </row>
    <row r="62" ht="15.75" customHeight="1">
      <c r="A62" s="15"/>
      <c r="B62" s="40"/>
      <c r="C62" s="41"/>
      <c r="D62" s="31"/>
      <c r="E62" s="8" t="s">
        <v>86</v>
      </c>
      <c r="F62" s="8" t="s">
        <v>94</v>
      </c>
      <c r="G62" s="29" t="str">
        <f>HYPERLINK("https://docs.google.com/spreadsheets/d/1j2kJhOCYLXIJv40glMdIQWeQBXiqZQ_-Gh5HUrohswo/edit#gid=542763596", "https://docs.google.com/spreadsheets/d/1j2kJhOCYLXIJv40glMdIQWeQBXiqZQ_-Gh5HUrohswo/edit#gid=542763596")</f>
        <v>https://docs.google.com/spreadsheets/d/1j2kJhOCYLXIJv40glMdIQWeQBXiqZQ_-Gh5HUrohswo/edit#gid=542763596</v>
      </c>
      <c r="H62" s="8" t="s">
        <v>94</v>
      </c>
      <c r="I62" s="9"/>
      <c r="J62" s="9"/>
      <c r="K62" s="11"/>
      <c r="L62" s="11"/>
      <c r="M62" s="15"/>
      <c r="N62" s="15"/>
      <c r="O62" s="15"/>
      <c r="P62" s="15"/>
      <c r="Q62" s="15"/>
      <c r="R62" s="15"/>
      <c r="S62" s="15"/>
      <c r="T62" s="15"/>
      <c r="U62" s="15"/>
      <c r="V62" s="15"/>
      <c r="W62" s="15"/>
      <c r="X62" s="15"/>
      <c r="Y62" s="15"/>
      <c r="Z62" s="15"/>
      <c r="AA62" s="15"/>
      <c r="AB62" s="15"/>
      <c r="AC62" s="15"/>
      <c r="AD62" s="15"/>
      <c r="AE62" s="15"/>
      <c r="AF62" s="15"/>
    </row>
    <row r="63" ht="15.75" customHeight="1">
      <c r="A63" s="15"/>
      <c r="B63" s="40"/>
      <c r="C63" s="41"/>
      <c r="D63" s="31"/>
      <c r="E63" s="8" t="s">
        <v>88</v>
      </c>
      <c r="F63" s="8" t="s">
        <v>95</v>
      </c>
      <c r="G63" s="29" t="str">
        <f>HYPERLINK("https://docs.google.com/spreadsheets/d/1j2kJhOCYLXIJv40glMdIQWeQBXiqZQ_-Gh5HUrohswo/edit#gid=44552634", "https://docs.google.com/spreadsheets/d/1j2kJhOCYLXIJv40glMdIQWeQBXiqZQ_-Gh5HUrohswo/edit#gid=44552634")</f>
        <v>https://docs.google.com/spreadsheets/d/1j2kJhOCYLXIJv40glMdIQWeQBXiqZQ_-Gh5HUrohswo/edit#gid=44552634</v>
      </c>
      <c r="H63" s="8" t="s">
        <v>95</v>
      </c>
      <c r="I63" s="9"/>
      <c r="J63" s="9"/>
      <c r="K63" s="11"/>
      <c r="L63" s="11"/>
      <c r="M63" s="15"/>
      <c r="N63" s="15"/>
      <c r="O63" s="15"/>
      <c r="P63" s="15"/>
      <c r="Q63" s="15"/>
      <c r="R63" s="15"/>
      <c r="S63" s="15"/>
      <c r="T63" s="15"/>
      <c r="U63" s="15"/>
      <c r="V63" s="15"/>
      <c r="W63" s="15"/>
      <c r="X63" s="15"/>
      <c r="Y63" s="15"/>
      <c r="Z63" s="15"/>
      <c r="AA63" s="15"/>
      <c r="AB63" s="15"/>
      <c r="AC63" s="15"/>
      <c r="AD63" s="15"/>
      <c r="AE63" s="15"/>
      <c r="AF63" s="15"/>
    </row>
    <row r="64" ht="15.75" customHeight="1">
      <c r="A64" s="15"/>
      <c r="B64" s="40"/>
      <c r="C64" s="41"/>
      <c r="D64" s="31"/>
      <c r="E64" s="8" t="s">
        <v>88</v>
      </c>
      <c r="F64" s="8" t="s">
        <v>96</v>
      </c>
      <c r="G64" s="29" t="str">
        <f>HYPERLINK("https://docs.google.com/spreadsheets/d/1j2kJhOCYLXIJv40glMdIQWeQBXiqZQ_-Gh5HUrohswo/edit#gid=82647632", "https://docs.google.com/spreadsheets/d/1j2kJhOCYLXIJv40glMdIQWeQBXiqZQ_-Gh5HUrohswo/edit#gid=82647632")</f>
        <v>https://docs.google.com/spreadsheets/d/1j2kJhOCYLXIJv40glMdIQWeQBXiqZQ_-Gh5HUrohswo/edit#gid=82647632</v>
      </c>
      <c r="H64" s="8" t="s">
        <v>96</v>
      </c>
      <c r="I64" s="9"/>
      <c r="J64" s="9"/>
      <c r="K64" s="11"/>
      <c r="L64" s="11"/>
      <c r="M64" s="15"/>
      <c r="N64" s="15"/>
      <c r="O64" s="15"/>
      <c r="P64" s="15"/>
      <c r="Q64" s="15"/>
      <c r="R64" s="15"/>
      <c r="S64" s="15"/>
      <c r="T64" s="15"/>
      <c r="U64" s="15"/>
      <c r="V64" s="15"/>
      <c r="W64" s="15"/>
      <c r="X64" s="15"/>
      <c r="Y64" s="15"/>
      <c r="Z64" s="15"/>
      <c r="AA64" s="15"/>
      <c r="AB64" s="15"/>
      <c r="AC64" s="15"/>
      <c r="AD64" s="15"/>
      <c r="AE64" s="15"/>
      <c r="AF64" s="15"/>
    </row>
    <row r="65" ht="15.75" customHeight="1">
      <c r="A65" s="15"/>
      <c r="B65" s="40"/>
      <c r="C65" s="41"/>
      <c r="D65" s="31"/>
      <c r="E65" s="8" t="s">
        <v>86</v>
      </c>
      <c r="F65" s="8" t="s">
        <v>97</v>
      </c>
      <c r="G65" s="29" t="str">
        <f>HYPERLINK("https://docs.google.com/spreadsheets/d/1j2kJhOCYLXIJv40glMdIQWeQBXiqZQ_-Gh5HUrohswo/edit#gid=1782912227", "https://docs.google.com/spreadsheets/d/1j2kJhOCYLXIJv40glMdIQWeQBXiqZQ_-Gh5HUrohswo/edit#gid=1782912227")</f>
        <v>https://docs.google.com/spreadsheets/d/1j2kJhOCYLXIJv40glMdIQWeQBXiqZQ_-Gh5HUrohswo/edit#gid=1782912227</v>
      </c>
      <c r="H65" s="8" t="s">
        <v>97</v>
      </c>
      <c r="I65" s="9"/>
      <c r="J65" s="9"/>
      <c r="K65" s="11"/>
      <c r="L65" s="11"/>
      <c r="M65" s="15"/>
      <c r="N65" s="15"/>
      <c r="O65" s="15"/>
      <c r="P65" s="15"/>
      <c r="Q65" s="15"/>
      <c r="R65" s="15"/>
      <c r="S65" s="15"/>
      <c r="T65" s="15"/>
      <c r="U65" s="15"/>
      <c r="V65" s="15"/>
      <c r="W65" s="15"/>
      <c r="X65" s="15"/>
      <c r="Y65" s="15"/>
      <c r="Z65" s="15"/>
      <c r="AA65" s="15"/>
      <c r="AB65" s="15"/>
      <c r="AC65" s="15"/>
      <c r="AD65" s="15"/>
      <c r="AE65" s="15"/>
      <c r="AF65" s="15"/>
    </row>
    <row r="66" ht="15.75" customHeight="1">
      <c r="A66" s="15"/>
      <c r="B66" s="40"/>
      <c r="C66" s="41"/>
      <c r="D66" s="31"/>
      <c r="E66" s="31"/>
      <c r="F66" s="31"/>
      <c r="G66" s="29"/>
      <c r="H66" s="31"/>
      <c r="I66" s="9"/>
      <c r="J66" s="9"/>
      <c r="K66" s="11"/>
      <c r="L66" s="11"/>
      <c r="M66" s="15"/>
      <c r="N66" s="15"/>
      <c r="O66" s="15"/>
      <c r="P66" s="15"/>
      <c r="Q66" s="15"/>
      <c r="R66" s="15"/>
      <c r="S66" s="15"/>
      <c r="T66" s="15"/>
      <c r="U66" s="15"/>
      <c r="V66" s="15"/>
      <c r="W66" s="15"/>
      <c r="X66" s="15"/>
      <c r="Y66" s="15"/>
      <c r="Z66" s="15"/>
      <c r="AA66" s="15"/>
      <c r="AB66" s="15"/>
      <c r="AC66" s="15"/>
      <c r="AD66" s="15"/>
      <c r="AE66" s="15"/>
      <c r="AF66" s="15"/>
    </row>
    <row r="67" ht="15.75" customHeight="1">
      <c r="A67" s="15"/>
      <c r="B67" s="40"/>
      <c r="C67" s="41"/>
      <c r="D67" s="31"/>
      <c r="E67" s="37"/>
      <c r="F67" s="30"/>
      <c r="G67" s="29"/>
      <c r="H67" s="30"/>
      <c r="I67" s="9"/>
      <c r="J67" s="9"/>
      <c r="K67" s="11"/>
      <c r="L67" s="11"/>
      <c r="M67" s="15"/>
      <c r="N67" s="15"/>
      <c r="O67" s="15"/>
      <c r="P67" s="15"/>
      <c r="Q67" s="15"/>
      <c r="R67" s="15"/>
      <c r="S67" s="15"/>
      <c r="T67" s="15"/>
      <c r="U67" s="15"/>
      <c r="V67" s="15"/>
      <c r="W67" s="15"/>
      <c r="X67" s="15"/>
      <c r="Y67" s="15"/>
      <c r="Z67" s="15"/>
      <c r="AA67" s="15"/>
      <c r="AB67" s="15"/>
      <c r="AC67" s="15"/>
      <c r="AD67" s="15"/>
      <c r="AE67" s="15"/>
      <c r="AF67" s="15"/>
    </row>
    <row r="68" ht="15.75" customHeight="1">
      <c r="A68" s="15"/>
      <c r="B68" s="26" t="s">
        <v>98</v>
      </c>
      <c r="C68" s="41"/>
      <c r="D68" s="31"/>
      <c r="E68" s="37"/>
      <c r="F68" s="37"/>
      <c r="G68" s="29"/>
      <c r="H68" s="30"/>
      <c r="I68" s="9"/>
      <c r="J68" s="9"/>
      <c r="K68" s="11"/>
      <c r="L68" s="11"/>
      <c r="M68" s="15"/>
      <c r="N68" s="15"/>
      <c r="O68" s="15"/>
      <c r="P68" s="15"/>
      <c r="Q68" s="15"/>
      <c r="R68" s="15"/>
      <c r="S68" s="15"/>
      <c r="T68" s="15"/>
      <c r="U68" s="15"/>
      <c r="V68" s="15"/>
      <c r="W68" s="15"/>
      <c r="X68" s="15"/>
      <c r="Y68" s="15"/>
      <c r="Z68" s="15"/>
      <c r="AA68" s="15"/>
      <c r="AB68" s="15"/>
      <c r="AC68" s="15"/>
      <c r="AD68" s="15"/>
      <c r="AE68" s="15"/>
      <c r="AF68" s="15"/>
    </row>
    <row r="69" ht="15.75" customHeight="1">
      <c r="A69" s="15"/>
      <c r="B69" s="40"/>
      <c r="C69" s="41"/>
      <c r="D69" s="31"/>
      <c r="E69" s="31"/>
      <c r="F69" s="31"/>
      <c r="G69" s="29"/>
      <c r="H69" s="31"/>
      <c r="I69" s="9"/>
      <c r="J69" s="9"/>
      <c r="K69" s="11"/>
      <c r="L69" s="11"/>
      <c r="M69" s="15"/>
      <c r="N69" s="15"/>
      <c r="O69" s="15"/>
      <c r="P69" s="15"/>
      <c r="Q69" s="15"/>
      <c r="R69" s="15"/>
      <c r="S69" s="15"/>
      <c r="T69" s="15"/>
      <c r="U69" s="15"/>
      <c r="V69" s="15"/>
      <c r="W69" s="15"/>
      <c r="X69" s="15"/>
      <c r="Y69" s="15"/>
      <c r="Z69" s="15"/>
      <c r="AA69" s="15"/>
      <c r="AB69" s="15"/>
      <c r="AC69" s="15"/>
      <c r="AD69" s="15"/>
      <c r="AE69" s="15"/>
      <c r="AF69" s="15"/>
    </row>
    <row r="70" ht="15.75" customHeight="1">
      <c r="A70" s="15"/>
      <c r="B70" s="40"/>
      <c r="C70" s="41"/>
      <c r="D70" s="31"/>
      <c r="E70" s="31"/>
      <c r="F70" s="31"/>
      <c r="G70" s="29"/>
      <c r="H70" s="31"/>
      <c r="I70" s="9"/>
      <c r="J70" s="9"/>
      <c r="K70" s="11"/>
      <c r="L70" s="11"/>
      <c r="M70" s="15"/>
      <c r="N70" s="15"/>
      <c r="O70" s="15"/>
      <c r="P70" s="15"/>
      <c r="Q70" s="15"/>
      <c r="R70" s="15"/>
      <c r="S70" s="15"/>
      <c r="T70" s="15"/>
      <c r="U70" s="15"/>
      <c r="V70" s="15"/>
      <c r="W70" s="15"/>
      <c r="X70" s="15"/>
      <c r="Y70" s="15"/>
      <c r="Z70" s="15"/>
      <c r="AA70" s="15"/>
      <c r="AB70" s="15"/>
      <c r="AC70" s="15"/>
      <c r="AD70" s="15"/>
      <c r="AE70" s="15"/>
      <c r="AF70" s="15"/>
    </row>
    <row r="71" ht="15.75" customHeight="1">
      <c r="A71" s="15"/>
      <c r="B71" s="40"/>
      <c r="C71" s="41"/>
      <c r="D71" s="31"/>
      <c r="E71" s="31"/>
      <c r="F71" s="31"/>
      <c r="G71" s="29"/>
      <c r="H71" s="31"/>
      <c r="I71" s="9"/>
      <c r="J71" s="9"/>
      <c r="K71" s="11"/>
      <c r="L71" s="11"/>
      <c r="M71" s="15"/>
      <c r="N71" s="15"/>
      <c r="O71" s="15"/>
      <c r="P71" s="15"/>
      <c r="Q71" s="15"/>
      <c r="R71" s="15"/>
      <c r="S71" s="15"/>
      <c r="T71" s="15"/>
      <c r="U71" s="15"/>
      <c r="V71" s="15"/>
      <c r="W71" s="15"/>
      <c r="X71" s="15"/>
      <c r="Y71" s="15"/>
      <c r="Z71" s="15"/>
      <c r="AA71" s="15"/>
      <c r="AB71" s="15"/>
      <c r="AC71" s="15"/>
      <c r="AD71" s="15"/>
      <c r="AE71" s="15"/>
      <c r="AF71" s="15"/>
    </row>
    <row r="72" ht="15.75" customHeight="1">
      <c r="A72" s="15"/>
      <c r="B72" s="40"/>
      <c r="C72" s="41"/>
      <c r="D72" s="31"/>
      <c r="E72" s="31"/>
      <c r="F72" s="31"/>
      <c r="G72" s="29"/>
      <c r="H72" s="31"/>
      <c r="I72" s="9"/>
      <c r="J72" s="9"/>
      <c r="K72" s="11"/>
      <c r="L72" s="11"/>
      <c r="M72" s="15"/>
      <c r="N72" s="15"/>
      <c r="O72" s="15"/>
      <c r="P72" s="15"/>
      <c r="Q72" s="15"/>
      <c r="R72" s="15"/>
      <c r="S72" s="15"/>
      <c r="T72" s="15"/>
      <c r="U72" s="15"/>
      <c r="V72" s="15"/>
      <c r="W72" s="15"/>
      <c r="X72" s="15"/>
      <c r="Y72" s="15"/>
      <c r="Z72" s="15"/>
      <c r="AA72" s="15"/>
      <c r="AB72" s="15"/>
      <c r="AC72" s="15"/>
      <c r="AD72" s="15"/>
      <c r="AE72" s="15"/>
      <c r="AF72" s="15"/>
    </row>
    <row r="73" ht="15.75" customHeight="1">
      <c r="A73" s="15"/>
      <c r="B73" s="40"/>
      <c r="C73" s="41"/>
      <c r="D73" s="31"/>
      <c r="E73" s="37"/>
      <c r="F73" s="31"/>
      <c r="G73" s="29"/>
      <c r="H73" s="31"/>
      <c r="I73" s="31"/>
      <c r="J73" s="9"/>
      <c r="K73" s="11"/>
      <c r="L73" s="11"/>
      <c r="M73" s="15"/>
      <c r="N73" s="15"/>
      <c r="O73" s="15"/>
      <c r="P73" s="15"/>
      <c r="Q73" s="15"/>
      <c r="R73" s="15"/>
      <c r="S73" s="15"/>
      <c r="T73" s="15"/>
      <c r="U73" s="15"/>
      <c r="V73" s="15"/>
      <c r="W73" s="15"/>
      <c r="X73" s="15"/>
      <c r="Y73" s="15"/>
      <c r="Z73" s="15"/>
      <c r="AA73" s="15"/>
      <c r="AB73" s="15"/>
      <c r="AC73" s="15"/>
      <c r="AD73" s="15"/>
      <c r="AE73" s="15"/>
      <c r="AF73" s="15"/>
    </row>
    <row r="74" ht="15.75" customHeight="1">
      <c r="A74" s="15"/>
      <c r="B74" s="26" t="s">
        <v>99</v>
      </c>
      <c r="C74" s="39" t="s">
        <v>100</v>
      </c>
      <c r="D74" s="8" t="s">
        <v>20</v>
      </c>
      <c r="E74" s="28" t="s">
        <v>21</v>
      </c>
      <c r="F74" s="38" t="s">
        <v>51</v>
      </c>
      <c r="G74" s="29" t="str">
        <f>HYPERLINK("https://docs.google.com/spreadsheets/d/13HX3wnb-os6Tx04MA9zop4-BmFtzsaxkvGwQApqXSl8/edit#gid=1204329480", "https://docs.google.com/spreadsheets/d/13HX3wnb-os6Tx04MA9zop4-BmFtzsaxkvGwQApqXSl8/edit#gid=1204329480")</f>
        <v>https://docs.google.com/spreadsheets/d/13HX3wnb-os6Tx04MA9zop4-BmFtzsaxkvGwQApqXSl8/edit#gid=1204329480</v>
      </c>
      <c r="H74" s="38" t="s">
        <v>51</v>
      </c>
      <c r="I74" s="31"/>
      <c r="J74" s="9"/>
      <c r="K74" s="11"/>
      <c r="L74" s="11"/>
      <c r="M74" s="15"/>
      <c r="N74" s="15"/>
      <c r="O74" s="15"/>
      <c r="P74" s="15"/>
      <c r="Q74" s="15"/>
      <c r="R74" s="15"/>
      <c r="S74" s="15"/>
      <c r="T74" s="15"/>
      <c r="U74" s="15"/>
      <c r="V74" s="15"/>
      <c r="W74" s="15"/>
      <c r="X74" s="15"/>
      <c r="Y74" s="15"/>
      <c r="Z74" s="15"/>
      <c r="AA74" s="15"/>
      <c r="AB74" s="15"/>
      <c r="AC74" s="15"/>
      <c r="AD74" s="15"/>
      <c r="AE74" s="15"/>
      <c r="AF74" s="15"/>
    </row>
    <row r="75" ht="15.75" customHeight="1">
      <c r="A75" s="15"/>
      <c r="B75" s="40"/>
      <c r="C75" s="41"/>
      <c r="D75" s="31"/>
      <c r="E75" s="28" t="s">
        <v>24</v>
      </c>
      <c r="F75" s="38" t="s">
        <v>25</v>
      </c>
      <c r="G75" s="29" t="str">
        <f>HYPERLINK("https://docs.google.com/spreadsheets/d/13HX3wnb-os6Tx04MA9zop4-BmFtzsaxkvGwQApqXSl8/edit#gid=345061644", "https://docs.google.com/spreadsheets/d/13HX3wnb-os6Tx04MA9zop4-BmFtzsaxkvGwQApqXSl8/edit#gid=345061644")</f>
        <v>https://docs.google.com/spreadsheets/d/13HX3wnb-os6Tx04MA9zop4-BmFtzsaxkvGwQApqXSl8/edit#gid=345061644</v>
      </c>
      <c r="H75" s="38" t="s">
        <v>25</v>
      </c>
      <c r="I75" s="31"/>
      <c r="J75" s="9"/>
      <c r="K75" s="11"/>
      <c r="L75" s="11"/>
      <c r="M75" s="15"/>
      <c r="N75" s="15"/>
      <c r="O75" s="15"/>
      <c r="P75" s="15"/>
      <c r="Q75" s="15"/>
      <c r="R75" s="15"/>
      <c r="S75" s="15"/>
      <c r="T75" s="15"/>
      <c r="U75" s="15"/>
      <c r="V75" s="15"/>
      <c r="W75" s="15"/>
      <c r="X75" s="15"/>
      <c r="Y75" s="15"/>
      <c r="Z75" s="15"/>
      <c r="AA75" s="15"/>
      <c r="AB75" s="15"/>
      <c r="AC75" s="15"/>
      <c r="AD75" s="15"/>
      <c r="AE75" s="15"/>
      <c r="AF75" s="15"/>
    </row>
    <row r="76" ht="15.75" customHeight="1">
      <c r="A76" s="15"/>
      <c r="B76" s="40"/>
      <c r="C76" s="41"/>
      <c r="D76" s="31"/>
      <c r="E76" s="28" t="s">
        <v>24</v>
      </c>
      <c r="F76" s="28" t="s">
        <v>101</v>
      </c>
      <c r="G76" s="42" t="str">
        <f>HYPERLINK("https://docs.google.com/spreadsheets/d/13HX3wnb-os6Tx04MA9zop4-BmFtzsaxkvGwQApqXSl8/edit#gid=1896932716", "https://docs.google.com/spreadsheets/d/13HX3wnb-os6Tx04MA9zop4-BmFtzsaxkvGwQApqXSl8/edit#gid=1896932716")</f>
        <v>https://docs.google.com/spreadsheets/d/13HX3wnb-os6Tx04MA9zop4-BmFtzsaxkvGwQApqXSl8/edit#gid=1896932716</v>
      </c>
      <c r="H76" s="38" t="s">
        <v>101</v>
      </c>
      <c r="I76" s="9"/>
      <c r="J76" s="9"/>
      <c r="K76" s="11"/>
      <c r="L76" s="11"/>
      <c r="M76" s="15"/>
      <c r="N76" s="15"/>
      <c r="O76" s="15"/>
      <c r="P76" s="15"/>
      <c r="Q76" s="15"/>
      <c r="R76" s="15"/>
      <c r="S76" s="15"/>
      <c r="T76" s="15"/>
      <c r="U76" s="15"/>
      <c r="V76" s="15"/>
      <c r="W76" s="15"/>
      <c r="X76" s="15"/>
      <c r="Y76" s="15"/>
      <c r="Z76" s="15"/>
      <c r="AA76" s="15"/>
      <c r="AB76" s="15"/>
      <c r="AC76" s="15"/>
      <c r="AD76" s="15"/>
      <c r="AE76" s="15"/>
      <c r="AF76" s="15"/>
    </row>
    <row r="77" ht="15.75" customHeight="1">
      <c r="A77" s="15"/>
      <c r="B77" s="40"/>
      <c r="C77" s="41"/>
      <c r="D77" s="31"/>
      <c r="E77" s="9"/>
      <c r="F77" s="9"/>
      <c r="G77" s="42"/>
      <c r="H77" s="9"/>
      <c r="I77" s="9"/>
      <c r="J77" s="9"/>
      <c r="K77" s="11"/>
      <c r="L77" s="11"/>
      <c r="M77" s="15"/>
      <c r="N77" s="15"/>
      <c r="O77" s="15"/>
      <c r="P77" s="15"/>
      <c r="Q77" s="15"/>
      <c r="R77" s="15"/>
      <c r="S77" s="15"/>
      <c r="T77" s="15"/>
      <c r="U77" s="15"/>
      <c r="V77" s="15"/>
      <c r="W77" s="15"/>
      <c r="X77" s="15"/>
      <c r="Y77" s="15"/>
      <c r="Z77" s="15"/>
      <c r="AA77" s="15"/>
      <c r="AB77" s="15"/>
      <c r="AC77" s="15"/>
      <c r="AD77" s="15"/>
      <c r="AE77" s="15"/>
      <c r="AF77" s="15"/>
    </row>
    <row r="78" ht="15.75" customHeight="1">
      <c r="A78" s="15"/>
      <c r="B78" s="40"/>
      <c r="C78" s="41"/>
      <c r="D78" s="31"/>
      <c r="E78" s="9"/>
      <c r="F78" s="9"/>
      <c r="G78" s="42"/>
      <c r="H78" s="9"/>
      <c r="I78" s="9"/>
      <c r="J78" s="9"/>
      <c r="K78" s="11"/>
      <c r="L78" s="11"/>
      <c r="M78" s="15"/>
      <c r="N78" s="15"/>
      <c r="O78" s="15"/>
      <c r="P78" s="15"/>
      <c r="Q78" s="15"/>
      <c r="R78" s="15"/>
      <c r="S78" s="15"/>
      <c r="T78" s="15"/>
      <c r="U78" s="15"/>
      <c r="V78" s="15"/>
      <c r="W78" s="15"/>
      <c r="X78" s="15"/>
      <c r="Y78" s="15"/>
      <c r="Z78" s="15"/>
      <c r="AA78" s="15"/>
      <c r="AB78" s="15"/>
      <c r="AC78" s="15"/>
      <c r="AD78" s="15"/>
      <c r="AE78" s="15"/>
      <c r="AF78" s="15"/>
    </row>
    <row r="79" ht="15.75" customHeight="1">
      <c r="A79" s="15"/>
      <c r="B79" s="43"/>
      <c r="C79" s="44"/>
      <c r="D79" s="9"/>
      <c r="E79" s="45"/>
      <c r="F79" s="9"/>
      <c r="G79" s="9"/>
      <c r="H79" s="9"/>
      <c r="I79" s="9"/>
      <c r="J79" s="9"/>
      <c r="K79" s="11"/>
      <c r="L79" s="11"/>
      <c r="M79" s="15"/>
      <c r="N79" s="15"/>
      <c r="O79" s="15"/>
      <c r="P79" s="15"/>
      <c r="Q79" s="15"/>
      <c r="R79" s="15"/>
      <c r="S79" s="15"/>
      <c r="T79" s="15"/>
      <c r="U79" s="15"/>
      <c r="V79" s="15"/>
      <c r="W79" s="15"/>
      <c r="X79" s="15"/>
      <c r="Y79" s="15"/>
      <c r="Z79" s="15"/>
      <c r="AA79" s="15"/>
      <c r="AB79" s="15"/>
      <c r="AC79" s="15"/>
      <c r="AD79" s="15"/>
      <c r="AE79" s="15"/>
      <c r="AF79" s="15"/>
    </row>
    <row r="80" ht="15.75" customHeight="1">
      <c r="A80" s="15"/>
      <c r="B80" s="43"/>
      <c r="C80" s="46"/>
      <c r="D80" s="9"/>
      <c r="E80" s="9"/>
      <c r="F80" s="9"/>
      <c r="G80" s="9"/>
      <c r="H80" s="9"/>
      <c r="I80" s="9"/>
      <c r="J80" s="9"/>
      <c r="K80" s="11"/>
      <c r="L80" s="11"/>
      <c r="M80" s="15"/>
      <c r="N80" s="15"/>
      <c r="O80" s="15"/>
      <c r="P80" s="15"/>
      <c r="Q80" s="15"/>
      <c r="R80" s="15"/>
      <c r="S80" s="15"/>
      <c r="T80" s="15"/>
      <c r="U80" s="15"/>
      <c r="V80" s="15"/>
      <c r="W80" s="15"/>
      <c r="X80" s="15"/>
      <c r="Y80" s="15"/>
      <c r="Z80" s="15"/>
      <c r="AA80" s="15"/>
      <c r="AB80" s="15"/>
      <c r="AC80" s="15"/>
      <c r="AD80" s="15"/>
      <c r="AE80" s="15"/>
      <c r="AF80" s="15"/>
    </row>
    <row r="81" ht="15.75" customHeight="1">
      <c r="A81" s="15"/>
      <c r="B81" s="43"/>
      <c r="C81" s="46"/>
      <c r="D81" s="9"/>
      <c r="E81" s="9"/>
      <c r="F81" s="9"/>
      <c r="G81" s="9"/>
      <c r="H81" s="9"/>
      <c r="I81" s="9"/>
      <c r="J81" s="9"/>
      <c r="K81" s="11"/>
      <c r="L81" s="11"/>
      <c r="M81" s="15"/>
      <c r="N81" s="15"/>
      <c r="O81" s="15"/>
      <c r="P81" s="15"/>
      <c r="Q81" s="15"/>
      <c r="R81" s="15"/>
      <c r="S81" s="15"/>
      <c r="T81" s="15"/>
      <c r="U81" s="15"/>
      <c r="V81" s="15"/>
      <c r="W81" s="15"/>
      <c r="X81" s="15"/>
      <c r="Y81" s="15"/>
      <c r="Z81" s="15"/>
      <c r="AA81" s="15"/>
      <c r="AB81" s="15"/>
      <c r="AC81" s="15"/>
      <c r="AD81" s="15"/>
      <c r="AE81" s="15"/>
      <c r="AF81" s="15"/>
    </row>
    <row r="82" ht="15.75" customHeight="1">
      <c r="A82" s="15"/>
      <c r="B82" s="26" t="s">
        <v>102</v>
      </c>
      <c r="C82" s="47" t="s">
        <v>103</v>
      </c>
      <c r="D82" s="8" t="s">
        <v>20</v>
      </c>
      <c r="E82" s="8" t="s">
        <v>21</v>
      </c>
      <c r="F82" s="8" t="s">
        <v>51</v>
      </c>
      <c r="G82" s="48" t="str">
        <f>HYPERLINK("https://docs.google.com/spreadsheets/d/1MWW_Qya-W_GLsflC85mV3VePPumIyJb0Mi-JrkChTHU/edit#gid=1807336322", "https://docs.google.com/spreadsheets/d/1MWW_Qya-W_GLsflC85mV3VePPumIyJb0Mi-JrkChTHU/edit#gid=1807336322")</f>
        <v>https://docs.google.com/spreadsheets/d/1MWW_Qya-W_GLsflC85mV3VePPumIyJb0Mi-JrkChTHU/edit#gid=1807336322</v>
      </c>
      <c r="H82" s="8" t="s">
        <v>51</v>
      </c>
      <c r="I82" s="9"/>
      <c r="J82" s="9"/>
      <c r="K82" s="11"/>
      <c r="L82" s="11"/>
      <c r="M82" s="15"/>
      <c r="N82" s="15"/>
      <c r="O82" s="15"/>
      <c r="P82" s="15"/>
      <c r="Q82" s="15"/>
      <c r="R82" s="15"/>
      <c r="S82" s="15"/>
      <c r="T82" s="15"/>
      <c r="U82" s="15"/>
      <c r="V82" s="15"/>
      <c r="W82" s="15"/>
      <c r="X82" s="15"/>
      <c r="Y82" s="15"/>
      <c r="Z82" s="15"/>
      <c r="AA82" s="15"/>
      <c r="AB82" s="15"/>
      <c r="AC82" s="15"/>
      <c r="AD82" s="15"/>
      <c r="AE82" s="15"/>
      <c r="AF82" s="15"/>
    </row>
    <row r="83" ht="15.75" customHeight="1">
      <c r="A83" s="15"/>
      <c r="B83" s="43"/>
      <c r="C83" s="44"/>
      <c r="D83" s="9"/>
      <c r="E83" s="28" t="s">
        <v>104</v>
      </c>
      <c r="F83" s="8" t="s">
        <v>105</v>
      </c>
      <c r="G83" s="48" t="str">
        <f>HYPERLINK("https://docs.google.com/spreadsheets/d/1MWW_Qya-W_GLsflC85mV3VePPumIyJb0Mi-JrkChTHU/edit#gid=1957307125", "https://docs.google.com/spreadsheets/d/1MWW_Qya-W_GLsflC85mV3VePPumIyJb0Mi-JrkChTHU/edit#gid=1957307125")</f>
        <v>https://docs.google.com/spreadsheets/d/1MWW_Qya-W_GLsflC85mV3VePPumIyJb0Mi-JrkChTHU/edit#gid=1957307125</v>
      </c>
      <c r="H83" s="8" t="s">
        <v>105</v>
      </c>
      <c r="I83" s="9"/>
      <c r="J83" s="9"/>
      <c r="K83" s="11"/>
      <c r="L83" s="11"/>
      <c r="M83" s="15"/>
      <c r="N83" s="15"/>
      <c r="O83" s="15"/>
      <c r="P83" s="15"/>
      <c r="Q83" s="15"/>
      <c r="R83" s="15"/>
      <c r="S83" s="15"/>
      <c r="T83" s="15"/>
      <c r="U83" s="15"/>
      <c r="V83" s="15"/>
      <c r="W83" s="15"/>
      <c r="X83" s="15"/>
      <c r="Y83" s="15"/>
      <c r="Z83" s="15"/>
      <c r="AA83" s="15"/>
      <c r="AB83" s="15"/>
      <c r="AC83" s="15"/>
      <c r="AD83" s="15"/>
      <c r="AE83" s="15"/>
      <c r="AF83" s="15"/>
    </row>
    <row r="84" ht="15.75" customHeight="1">
      <c r="A84" s="15"/>
      <c r="B84" s="43"/>
      <c r="C84" s="49"/>
      <c r="D84" s="50"/>
      <c r="E84" s="8" t="s">
        <v>104</v>
      </c>
      <c r="F84" s="8" t="s">
        <v>106</v>
      </c>
      <c r="G84" s="42" t="str">
        <f>HYPERLINK("https://docs.google.com/spreadsheets/d/1MWW_Qya-W_GLsflC85mV3VePPumIyJb0Mi-JrkChTHU/edit#gid=1318135653", "https://docs.google.com/spreadsheets/d/1MWW_Qya-W_GLsflC85mV3VePPumIyJb0Mi-JrkChTHU/edit#gid=1318135653")</f>
        <v>https://docs.google.com/spreadsheets/d/1MWW_Qya-W_GLsflC85mV3VePPumIyJb0Mi-JrkChTHU/edit#gid=1318135653</v>
      </c>
      <c r="H84" s="8" t="s">
        <v>106</v>
      </c>
      <c r="I84" s="9"/>
      <c r="J84" s="9"/>
      <c r="K84" s="11"/>
      <c r="L84" s="11"/>
      <c r="M84" s="15"/>
      <c r="N84" s="15"/>
      <c r="O84" s="15"/>
      <c r="P84" s="15"/>
      <c r="Q84" s="15"/>
      <c r="R84" s="15"/>
      <c r="S84" s="15"/>
      <c r="T84" s="15"/>
      <c r="U84" s="15"/>
      <c r="V84" s="15"/>
      <c r="W84" s="15"/>
      <c r="X84" s="15"/>
      <c r="Y84" s="15"/>
      <c r="Z84" s="15"/>
      <c r="AA84" s="15"/>
      <c r="AB84" s="15"/>
      <c r="AC84" s="15"/>
      <c r="AD84" s="15"/>
      <c r="AE84" s="15"/>
      <c r="AF84" s="15"/>
    </row>
    <row r="85" ht="15.75" customHeight="1">
      <c r="A85" s="15"/>
      <c r="B85" s="43"/>
      <c r="C85" s="49"/>
      <c r="D85" s="50"/>
      <c r="E85" s="45"/>
      <c r="F85" s="45"/>
      <c r="G85" s="42"/>
      <c r="H85" s="51"/>
      <c r="I85" s="9"/>
      <c r="J85" s="9"/>
      <c r="K85" s="11"/>
      <c r="L85" s="11"/>
      <c r="M85" s="15"/>
      <c r="N85" s="15"/>
      <c r="O85" s="15"/>
      <c r="P85" s="15"/>
      <c r="Q85" s="15"/>
      <c r="R85" s="15"/>
      <c r="S85" s="15"/>
      <c r="T85" s="15"/>
      <c r="U85" s="15"/>
      <c r="V85" s="15"/>
      <c r="W85" s="15"/>
      <c r="X85" s="15"/>
      <c r="Y85" s="15"/>
      <c r="Z85" s="15"/>
      <c r="AA85" s="15"/>
      <c r="AB85" s="15"/>
      <c r="AC85" s="15"/>
      <c r="AD85" s="15"/>
      <c r="AE85" s="15"/>
      <c r="AF85" s="15"/>
    </row>
    <row r="86" ht="15.75" customHeight="1">
      <c r="A86" s="15"/>
      <c r="B86" s="43"/>
      <c r="C86" s="49"/>
      <c r="D86" s="50"/>
      <c r="E86" s="9"/>
      <c r="F86" s="9"/>
      <c r="G86" s="42"/>
      <c r="H86" s="9"/>
      <c r="I86" s="9"/>
      <c r="J86" s="9"/>
      <c r="K86" s="11"/>
      <c r="L86" s="11"/>
      <c r="M86" s="15"/>
      <c r="N86" s="15"/>
      <c r="O86" s="15"/>
      <c r="P86" s="15"/>
      <c r="Q86" s="15"/>
      <c r="R86" s="15"/>
      <c r="S86" s="15"/>
      <c r="T86" s="15"/>
      <c r="U86" s="15"/>
      <c r="V86" s="15"/>
      <c r="W86" s="15"/>
      <c r="X86" s="15"/>
      <c r="Y86" s="15"/>
      <c r="Z86" s="15"/>
      <c r="AA86" s="15"/>
      <c r="AB86" s="15"/>
      <c r="AC86" s="15"/>
      <c r="AD86" s="15"/>
      <c r="AE86" s="15"/>
      <c r="AF86" s="15"/>
    </row>
    <row r="87" ht="15.75" customHeight="1">
      <c r="A87" s="15"/>
      <c r="B87" s="26" t="s">
        <v>107</v>
      </c>
      <c r="C87" s="52" t="s">
        <v>108</v>
      </c>
      <c r="D87" s="53" t="s">
        <v>20</v>
      </c>
      <c r="E87" s="8" t="s">
        <v>21</v>
      </c>
      <c r="F87" s="8" t="s">
        <v>22</v>
      </c>
      <c r="G87" s="42" t="str">
        <f>HYPERLINK("https://docs.google.com/spreadsheets/d/1iUcaPh-q-unE0Qa23RdZbbnyB4zgZ3YnHnadzM_SE90/edit#gid=565985470", "https://docs.google.com/spreadsheets/d/1iUcaPh-q-unE0Qa23RdZbbnyB4zgZ3YnHnadzM_SE90/edit#gid=565985470")</f>
        <v>https://docs.google.com/spreadsheets/d/1iUcaPh-q-unE0Qa23RdZbbnyB4zgZ3YnHnadzM_SE90/edit#gid=565985470</v>
      </c>
      <c r="H87" s="8" t="s">
        <v>22</v>
      </c>
      <c r="I87" s="9"/>
      <c r="J87" s="9"/>
      <c r="K87" s="11"/>
      <c r="L87" s="11"/>
      <c r="M87" s="15"/>
      <c r="N87" s="15"/>
      <c r="O87" s="15"/>
      <c r="P87" s="15"/>
      <c r="Q87" s="15"/>
      <c r="R87" s="15"/>
      <c r="S87" s="15"/>
      <c r="T87" s="15"/>
      <c r="U87" s="15"/>
      <c r="V87" s="15"/>
      <c r="W87" s="15"/>
      <c r="X87" s="15"/>
      <c r="Y87" s="15"/>
      <c r="Z87" s="15"/>
      <c r="AA87" s="15"/>
      <c r="AB87" s="15"/>
      <c r="AC87" s="15"/>
      <c r="AD87" s="15"/>
      <c r="AE87" s="15"/>
      <c r="AF87" s="15"/>
    </row>
    <row r="88" ht="15.75" customHeight="1">
      <c r="A88" s="15"/>
      <c r="B88" s="43"/>
      <c r="C88" s="49"/>
      <c r="D88" s="50"/>
      <c r="E88" s="8" t="s">
        <v>43</v>
      </c>
      <c r="F88" s="8" t="s">
        <v>109</v>
      </c>
      <c r="G88" s="42" t="str">
        <f>HYPERLINK("https://docs.google.com/spreadsheets/d/1iUcaPh-q-unE0Qa23RdZbbnyB4zgZ3YnHnadzM_SE90/edit#gid=549062749", "https://docs.google.com/spreadsheets/d/1iUcaPh-q-unE0Qa23RdZbbnyB4zgZ3YnHnadzM_SE90/edit#gid=549062749")</f>
        <v>https://docs.google.com/spreadsheets/d/1iUcaPh-q-unE0Qa23RdZbbnyB4zgZ3YnHnadzM_SE90/edit#gid=549062749</v>
      </c>
      <c r="H88" s="8" t="s">
        <v>109</v>
      </c>
      <c r="I88" s="9"/>
      <c r="J88" s="9"/>
      <c r="K88" s="11"/>
      <c r="L88" s="11"/>
      <c r="M88" s="15"/>
      <c r="N88" s="15"/>
      <c r="O88" s="15"/>
      <c r="P88" s="15"/>
      <c r="Q88" s="15"/>
      <c r="R88" s="15"/>
      <c r="S88" s="15"/>
      <c r="T88" s="15"/>
      <c r="U88" s="15"/>
      <c r="V88" s="15"/>
      <c r="W88" s="15"/>
      <c r="X88" s="15"/>
      <c r="Y88" s="15"/>
      <c r="Z88" s="15"/>
      <c r="AA88" s="15"/>
      <c r="AB88" s="15"/>
      <c r="AC88" s="15"/>
      <c r="AD88" s="15"/>
      <c r="AE88" s="15"/>
      <c r="AF88" s="15"/>
    </row>
    <row r="89" ht="15.75" customHeight="1">
      <c r="A89" s="15"/>
      <c r="B89" s="43"/>
      <c r="C89" s="49"/>
      <c r="D89" s="50"/>
      <c r="E89" s="8" t="s">
        <v>21</v>
      </c>
      <c r="F89" s="8" t="s">
        <v>110</v>
      </c>
      <c r="G89" s="42" t="str">
        <f>HYPERLINK("https://docs.google.com/spreadsheets/d/1iUcaPh-q-unE0Qa23RdZbbnyB4zgZ3YnHnadzM_SE90/edit#gid=15153202", "https://docs.google.com/spreadsheets/d/1iUcaPh-q-unE0Qa23RdZbbnyB4zgZ3YnHnadzM_SE90/edit#gid=15153202")</f>
        <v>https://docs.google.com/spreadsheets/d/1iUcaPh-q-unE0Qa23RdZbbnyB4zgZ3YnHnadzM_SE90/edit#gid=15153202</v>
      </c>
      <c r="H89" s="8" t="s">
        <v>110</v>
      </c>
      <c r="I89" s="9"/>
      <c r="J89" s="9"/>
      <c r="K89" s="11"/>
      <c r="L89" s="11"/>
      <c r="M89" s="15"/>
      <c r="N89" s="15"/>
      <c r="O89" s="15"/>
      <c r="P89" s="15"/>
      <c r="Q89" s="15"/>
      <c r="R89" s="15"/>
      <c r="S89" s="15"/>
      <c r="T89" s="15"/>
      <c r="U89" s="15"/>
      <c r="V89" s="15"/>
      <c r="W89" s="15"/>
      <c r="X89" s="15"/>
      <c r="Y89" s="15"/>
      <c r="Z89" s="15"/>
      <c r="AA89" s="15"/>
      <c r="AB89" s="15"/>
      <c r="AC89" s="15"/>
      <c r="AD89" s="15"/>
      <c r="AE89" s="15"/>
      <c r="AF89" s="15"/>
    </row>
    <row r="90" ht="15.75" customHeight="1">
      <c r="A90" s="15"/>
      <c r="B90" s="43"/>
      <c r="C90" s="49"/>
      <c r="D90" s="50"/>
      <c r="E90" s="8" t="s">
        <v>43</v>
      </c>
      <c r="F90" s="8" t="s">
        <v>111</v>
      </c>
      <c r="G90" s="42" t="str">
        <f>HYPERLINK("https://docs.google.com/spreadsheets/d/1iUcaPh-q-unE0Qa23RdZbbnyB4zgZ3YnHnadzM_SE90/edit#gid=1156451726", "https://docs.google.com/spreadsheets/d/1iUcaPh-q-unE0Qa23RdZbbnyB4zgZ3YnHnadzM_SE90/edit#gid=1156451726")</f>
        <v>https://docs.google.com/spreadsheets/d/1iUcaPh-q-unE0Qa23RdZbbnyB4zgZ3YnHnadzM_SE90/edit#gid=1156451726</v>
      </c>
      <c r="H90" s="8" t="s">
        <v>111</v>
      </c>
      <c r="I90" s="9"/>
      <c r="J90" s="9"/>
      <c r="K90" s="11"/>
      <c r="L90" s="11"/>
      <c r="M90" s="15"/>
      <c r="N90" s="15"/>
      <c r="O90" s="15"/>
      <c r="P90" s="15"/>
      <c r="Q90" s="15"/>
      <c r="R90" s="15"/>
      <c r="S90" s="15"/>
      <c r="T90" s="15"/>
      <c r="U90" s="15"/>
      <c r="V90" s="15"/>
      <c r="W90" s="15"/>
      <c r="X90" s="15"/>
      <c r="Y90" s="15"/>
      <c r="Z90" s="15"/>
      <c r="AA90" s="15"/>
      <c r="AB90" s="15"/>
      <c r="AC90" s="15"/>
      <c r="AD90" s="15"/>
      <c r="AE90" s="15"/>
      <c r="AF90" s="15"/>
    </row>
    <row r="91" ht="15.75" customHeight="1">
      <c r="A91" s="15"/>
      <c r="B91" s="43"/>
      <c r="C91" s="49"/>
      <c r="D91" s="50"/>
      <c r="E91" s="8" t="s">
        <v>43</v>
      </c>
      <c r="F91" s="8" t="s">
        <v>112</v>
      </c>
      <c r="G91" s="42" t="str">
        <f>HYPERLINK("https://docs.google.com/spreadsheets/d/1iUcaPh-q-unE0Qa23RdZbbnyB4zgZ3YnHnadzM_SE90/edit#gid=2026393224", "https://docs.google.com/spreadsheets/d/1iUcaPh-q-unE0Qa23RdZbbnyB4zgZ3YnHnadzM_SE90/edit#gid=2026393224")</f>
        <v>https://docs.google.com/spreadsheets/d/1iUcaPh-q-unE0Qa23RdZbbnyB4zgZ3YnHnadzM_SE90/edit#gid=2026393224</v>
      </c>
      <c r="H91" s="8" t="s">
        <v>112</v>
      </c>
      <c r="I91" s="9"/>
      <c r="J91" s="9"/>
      <c r="K91" s="11"/>
      <c r="L91" s="11"/>
      <c r="M91" s="15"/>
      <c r="N91" s="15"/>
      <c r="O91" s="15"/>
      <c r="P91" s="15"/>
      <c r="Q91" s="15"/>
      <c r="R91" s="15"/>
      <c r="S91" s="15"/>
      <c r="T91" s="15"/>
      <c r="U91" s="15"/>
      <c r="V91" s="15"/>
      <c r="W91" s="15"/>
      <c r="X91" s="15"/>
      <c r="Y91" s="15"/>
      <c r="Z91" s="15"/>
      <c r="AA91" s="15"/>
      <c r="AB91" s="15"/>
      <c r="AC91" s="15"/>
      <c r="AD91" s="15"/>
      <c r="AE91" s="15"/>
      <c r="AF91" s="15"/>
    </row>
    <row r="92" ht="15.75" customHeight="1">
      <c r="A92" s="15"/>
      <c r="B92" s="43"/>
      <c r="C92" s="49"/>
      <c r="D92" s="50"/>
      <c r="E92" s="28" t="s">
        <v>43</v>
      </c>
      <c r="F92" s="8" t="s">
        <v>113</v>
      </c>
      <c r="G92" s="42" t="str">
        <f>HYPERLINK("https://docs.google.com/spreadsheets/d/1iUcaPh-q-unE0Qa23RdZbbnyB4zgZ3YnHnadzM_SE90/edit#gid=192596026", "https://docs.google.com/spreadsheets/d/1iUcaPh-q-unE0Qa23RdZbbnyB4zgZ3YnHnadzM_SE90/edit#gid=192596026")</f>
        <v>https://docs.google.com/spreadsheets/d/1iUcaPh-q-unE0Qa23RdZbbnyB4zgZ3YnHnadzM_SE90/edit#gid=192596026</v>
      </c>
      <c r="H92" s="8" t="s">
        <v>113</v>
      </c>
      <c r="I92" s="9"/>
      <c r="J92" s="9"/>
      <c r="K92" s="11"/>
      <c r="L92" s="11"/>
      <c r="M92" s="15"/>
      <c r="N92" s="15"/>
      <c r="O92" s="15"/>
      <c r="P92" s="15"/>
      <c r="Q92" s="15"/>
      <c r="R92" s="15"/>
      <c r="S92" s="15"/>
      <c r="T92" s="15"/>
      <c r="U92" s="15"/>
      <c r="V92" s="15"/>
      <c r="W92" s="15"/>
      <c r="X92" s="15"/>
      <c r="Y92" s="15"/>
      <c r="Z92" s="15"/>
      <c r="AA92" s="15"/>
      <c r="AB92" s="15"/>
      <c r="AC92" s="15"/>
      <c r="AD92" s="15"/>
      <c r="AE92" s="15"/>
      <c r="AF92" s="15"/>
    </row>
    <row r="93" ht="15.75" customHeight="1">
      <c r="A93" s="15"/>
      <c r="B93" s="43"/>
      <c r="C93" s="49"/>
      <c r="D93" s="50"/>
      <c r="E93" s="45"/>
      <c r="F93" s="51"/>
      <c r="G93" s="42"/>
      <c r="H93" s="51"/>
      <c r="I93" s="9"/>
      <c r="J93" s="9"/>
      <c r="K93" s="11"/>
      <c r="L93" s="11"/>
      <c r="M93" s="15"/>
      <c r="N93" s="15"/>
      <c r="O93" s="15"/>
      <c r="P93" s="15"/>
      <c r="Q93" s="15"/>
      <c r="R93" s="15"/>
      <c r="S93" s="15"/>
      <c r="T93" s="15"/>
      <c r="U93" s="15"/>
      <c r="V93" s="15"/>
      <c r="W93" s="15"/>
      <c r="X93" s="15"/>
      <c r="Y93" s="15"/>
      <c r="Z93" s="15"/>
      <c r="AA93" s="15"/>
      <c r="AB93" s="15"/>
      <c r="AC93" s="15"/>
      <c r="AD93" s="15"/>
      <c r="AE93" s="15"/>
      <c r="AF93" s="15"/>
    </row>
    <row r="94" ht="15.75" customHeight="1">
      <c r="A94" s="15"/>
      <c r="B94" s="26" t="s">
        <v>114</v>
      </c>
      <c r="C94" s="52" t="s">
        <v>115</v>
      </c>
      <c r="D94" s="53" t="s">
        <v>20</v>
      </c>
      <c r="E94" s="28" t="s">
        <v>43</v>
      </c>
      <c r="F94" s="28" t="s">
        <v>113</v>
      </c>
      <c r="G94" s="42" t="str">
        <f>HYPERLINK("https://docs.google.com/spreadsheets/d/1g1zCzHPyxULrmY81liw8buk5zl0PhndafuPT89fZEWk/edit#gid=1979982077", "https://docs.google.com/spreadsheets/d/1g1zCzHPyxULrmY81liw8buk5zl0PhndafuPT89fZEWk/edit#gid=1979982077")</f>
        <v>https://docs.google.com/spreadsheets/d/1g1zCzHPyxULrmY81liw8buk5zl0PhndafuPT89fZEWk/edit#gid=1979982077</v>
      </c>
      <c r="H94" s="38" t="s">
        <v>113</v>
      </c>
      <c r="I94" s="9"/>
      <c r="J94" s="9"/>
      <c r="K94" s="11"/>
      <c r="L94" s="11"/>
      <c r="M94" s="15"/>
      <c r="N94" s="15"/>
      <c r="O94" s="15"/>
      <c r="P94" s="15"/>
      <c r="Q94" s="15"/>
      <c r="R94" s="15"/>
      <c r="S94" s="15"/>
      <c r="T94" s="15"/>
      <c r="U94" s="15"/>
      <c r="V94" s="15"/>
      <c r="W94" s="15"/>
      <c r="X94" s="15"/>
      <c r="Y94" s="15"/>
      <c r="Z94" s="15"/>
      <c r="AA94" s="15"/>
      <c r="AB94" s="15"/>
      <c r="AC94" s="15"/>
      <c r="AD94" s="15"/>
      <c r="AE94" s="15"/>
      <c r="AF94" s="15"/>
    </row>
    <row r="95" ht="15.75" customHeight="1">
      <c r="A95" s="15"/>
      <c r="B95" s="43"/>
      <c r="C95" s="49"/>
      <c r="D95" s="50"/>
      <c r="E95" s="9"/>
      <c r="F95" s="9"/>
      <c r="G95" s="42"/>
      <c r="H95" s="9"/>
      <c r="I95" s="9"/>
      <c r="J95" s="9"/>
      <c r="K95" s="11"/>
      <c r="L95" s="11"/>
      <c r="M95" s="15"/>
      <c r="N95" s="15"/>
      <c r="O95" s="15"/>
      <c r="P95" s="15"/>
      <c r="Q95" s="15"/>
      <c r="R95" s="15"/>
      <c r="S95" s="15"/>
      <c r="T95" s="15"/>
      <c r="U95" s="15"/>
      <c r="V95" s="15"/>
      <c r="W95" s="15"/>
      <c r="X95" s="15"/>
      <c r="Y95" s="15"/>
      <c r="Z95" s="15"/>
      <c r="AA95" s="15"/>
      <c r="AB95" s="15"/>
      <c r="AC95" s="15"/>
      <c r="AD95" s="15"/>
      <c r="AE95" s="15"/>
      <c r="AF95" s="15"/>
    </row>
    <row r="96" ht="15.75" customHeight="1">
      <c r="A96" s="15"/>
      <c r="B96" s="43"/>
      <c r="C96" s="49"/>
      <c r="D96" s="50"/>
      <c r="E96" s="9"/>
      <c r="F96" s="9"/>
      <c r="G96" s="42"/>
      <c r="H96" s="9"/>
      <c r="I96" s="9"/>
      <c r="J96" s="9"/>
      <c r="K96" s="11"/>
      <c r="L96" s="11"/>
      <c r="M96" s="15"/>
      <c r="N96" s="15"/>
      <c r="O96" s="15"/>
      <c r="P96" s="15"/>
      <c r="Q96" s="15"/>
      <c r="R96" s="15"/>
      <c r="S96" s="15"/>
      <c r="T96" s="15"/>
      <c r="U96" s="15"/>
      <c r="V96" s="15"/>
      <c r="W96" s="15"/>
      <c r="X96" s="15"/>
      <c r="Y96" s="15"/>
      <c r="Z96" s="15"/>
      <c r="AA96" s="15"/>
      <c r="AB96" s="15"/>
      <c r="AC96" s="15"/>
      <c r="AD96" s="15"/>
      <c r="AE96" s="15"/>
      <c r="AF96" s="15"/>
    </row>
    <row r="97" ht="15.75" customHeight="1">
      <c r="A97" s="15"/>
      <c r="B97" s="43"/>
      <c r="C97" s="49"/>
      <c r="D97" s="50"/>
      <c r="E97" s="9"/>
      <c r="F97" s="9"/>
      <c r="G97" s="42"/>
      <c r="H97" s="9"/>
      <c r="I97" s="9"/>
      <c r="J97" s="9"/>
      <c r="K97" s="11"/>
      <c r="L97" s="11"/>
      <c r="M97" s="15"/>
      <c r="N97" s="15"/>
      <c r="O97" s="15"/>
      <c r="P97" s="15"/>
      <c r="Q97" s="15"/>
      <c r="R97" s="15"/>
      <c r="S97" s="15"/>
      <c r="T97" s="15"/>
      <c r="U97" s="15"/>
      <c r="V97" s="15"/>
      <c r="W97" s="15"/>
      <c r="X97" s="15"/>
      <c r="Y97" s="15"/>
      <c r="Z97" s="15"/>
      <c r="AA97" s="15"/>
      <c r="AB97" s="15"/>
      <c r="AC97" s="15"/>
      <c r="AD97" s="15"/>
      <c r="AE97" s="15"/>
      <c r="AF97" s="15"/>
    </row>
    <row r="98" ht="15.75" customHeight="1">
      <c r="A98" s="15"/>
      <c r="B98" s="43"/>
      <c r="C98" s="49"/>
      <c r="D98" s="50"/>
      <c r="E98" s="9"/>
      <c r="F98" s="9"/>
      <c r="G98" s="42"/>
      <c r="H98" s="9"/>
      <c r="I98" s="9"/>
      <c r="J98" s="9"/>
      <c r="K98" s="11"/>
      <c r="L98" s="11"/>
      <c r="M98" s="15"/>
      <c r="N98" s="15"/>
      <c r="O98" s="15"/>
      <c r="P98" s="15"/>
      <c r="Q98" s="15"/>
      <c r="R98" s="15"/>
      <c r="S98" s="15"/>
      <c r="T98" s="15"/>
      <c r="U98" s="15"/>
      <c r="V98" s="15"/>
      <c r="W98" s="15"/>
      <c r="X98" s="15"/>
      <c r="Y98" s="15"/>
      <c r="Z98" s="15"/>
      <c r="AA98" s="15"/>
      <c r="AB98" s="15"/>
      <c r="AC98" s="15"/>
      <c r="AD98" s="15"/>
      <c r="AE98" s="15"/>
      <c r="AF98" s="15"/>
    </row>
    <row r="99" ht="15.75" customHeight="1">
      <c r="A99" s="15"/>
      <c r="B99" s="43"/>
      <c r="C99" s="49"/>
      <c r="D99" s="50"/>
      <c r="E99" s="9"/>
      <c r="F99" s="9"/>
      <c r="G99" s="42"/>
      <c r="H99" s="9"/>
      <c r="I99" s="9"/>
      <c r="J99" s="9"/>
      <c r="K99" s="11"/>
      <c r="L99" s="11"/>
      <c r="M99" s="15"/>
      <c r="N99" s="15"/>
      <c r="O99" s="15"/>
      <c r="P99" s="15"/>
      <c r="Q99" s="15"/>
      <c r="R99" s="15"/>
      <c r="S99" s="15"/>
      <c r="T99" s="15"/>
      <c r="U99" s="15"/>
      <c r="V99" s="15"/>
      <c r="W99" s="15"/>
      <c r="X99" s="15"/>
      <c r="Y99" s="15"/>
      <c r="Z99" s="15"/>
      <c r="AA99" s="15"/>
      <c r="AB99" s="15"/>
      <c r="AC99" s="15"/>
      <c r="AD99" s="15"/>
      <c r="AE99" s="15"/>
      <c r="AF99" s="15"/>
    </row>
    <row r="100" ht="15.75" customHeight="1">
      <c r="A100" s="15"/>
      <c r="B100" s="43"/>
      <c r="C100" s="49"/>
      <c r="D100" s="53" t="s">
        <v>20</v>
      </c>
      <c r="E100" s="28" t="s">
        <v>116</v>
      </c>
      <c r="F100" s="8" t="s">
        <v>117</v>
      </c>
      <c r="G100" s="42" t="str">
        <f>HYPERLINK("https://docs.google.com/spreadsheets/d/1g1zCzHPyxULrmY81liw8buk5zl0PhndafuPT89fZEWk/edit#gid=1820758787", "https://docs.google.com/spreadsheets/d/1g1zCzHPyxULrmY81liw8buk5zl0PhndafuPT89fZEWk/edit#gid=1820758787")</f>
        <v>https://docs.google.com/spreadsheets/d/1g1zCzHPyxULrmY81liw8buk5zl0PhndafuPT89fZEWk/edit#gid=1820758787</v>
      </c>
      <c r="H100" s="8" t="s">
        <v>117</v>
      </c>
      <c r="I100" s="9"/>
      <c r="J100" s="9"/>
      <c r="K100" s="11"/>
      <c r="L100" s="11"/>
      <c r="M100" s="15"/>
      <c r="N100" s="15"/>
      <c r="O100" s="15"/>
      <c r="P100" s="15"/>
      <c r="Q100" s="15"/>
      <c r="R100" s="15"/>
      <c r="S100" s="15"/>
      <c r="T100" s="15"/>
      <c r="U100" s="15"/>
      <c r="V100" s="15"/>
      <c r="W100" s="15"/>
      <c r="X100" s="15"/>
      <c r="Y100" s="15"/>
      <c r="Z100" s="15"/>
      <c r="AA100" s="15"/>
      <c r="AB100" s="15"/>
      <c r="AC100" s="15"/>
      <c r="AD100" s="15"/>
      <c r="AE100" s="15"/>
      <c r="AF100" s="15"/>
    </row>
    <row r="101" ht="15.75" customHeight="1">
      <c r="A101" s="15"/>
      <c r="B101" s="43"/>
      <c r="C101" s="49"/>
      <c r="D101" s="50"/>
      <c r="E101" s="45"/>
      <c r="F101" s="51"/>
      <c r="G101" s="42"/>
      <c r="H101" s="51"/>
      <c r="I101" s="9"/>
      <c r="J101" s="9"/>
      <c r="K101" s="11"/>
      <c r="L101" s="11"/>
      <c r="M101" s="15"/>
      <c r="N101" s="15"/>
      <c r="O101" s="15"/>
      <c r="P101" s="15"/>
      <c r="Q101" s="15"/>
      <c r="R101" s="15"/>
      <c r="S101" s="15"/>
      <c r="T101" s="15"/>
      <c r="U101" s="15"/>
      <c r="V101" s="15"/>
      <c r="W101" s="15"/>
      <c r="X101" s="15"/>
      <c r="Y101" s="15"/>
      <c r="Z101" s="15"/>
      <c r="AA101" s="15"/>
      <c r="AB101" s="15"/>
      <c r="AC101" s="15"/>
      <c r="AD101" s="15"/>
      <c r="AE101" s="15"/>
      <c r="AF101" s="15"/>
    </row>
    <row r="102" ht="15.75" customHeight="1">
      <c r="A102" s="15"/>
      <c r="B102" s="43"/>
      <c r="C102" s="49"/>
      <c r="D102" s="50"/>
      <c r="E102" s="37"/>
      <c r="F102" s="37"/>
      <c r="G102" s="29"/>
      <c r="H102" s="30"/>
      <c r="I102" s="9"/>
      <c r="J102" s="9"/>
      <c r="K102" s="11"/>
      <c r="L102" s="11"/>
      <c r="M102" s="15"/>
      <c r="N102" s="15"/>
      <c r="O102" s="15"/>
      <c r="P102" s="15"/>
      <c r="Q102" s="15"/>
      <c r="R102" s="15"/>
      <c r="S102" s="15"/>
      <c r="T102" s="15"/>
      <c r="U102" s="15"/>
      <c r="V102" s="15"/>
      <c r="W102" s="15"/>
      <c r="X102" s="15"/>
      <c r="Y102" s="15"/>
      <c r="Z102" s="15"/>
      <c r="AA102" s="15"/>
      <c r="AB102" s="15"/>
      <c r="AC102" s="15"/>
      <c r="AD102" s="15"/>
      <c r="AE102" s="15"/>
      <c r="AF102" s="15"/>
    </row>
    <row r="103" ht="15.75" customHeight="1">
      <c r="A103" s="15"/>
      <c r="B103" s="43"/>
      <c r="C103" s="49"/>
      <c r="D103" s="50"/>
      <c r="E103" s="31"/>
      <c r="F103" s="31"/>
      <c r="G103" s="29"/>
      <c r="H103" s="31"/>
      <c r="I103" s="9"/>
      <c r="J103" s="9"/>
      <c r="K103" s="11"/>
      <c r="L103" s="11"/>
      <c r="M103" s="15"/>
      <c r="N103" s="15"/>
      <c r="O103" s="15"/>
      <c r="P103" s="15"/>
      <c r="Q103" s="15"/>
      <c r="R103" s="15"/>
      <c r="S103" s="15"/>
      <c r="T103" s="15"/>
      <c r="U103" s="15"/>
      <c r="V103" s="15"/>
      <c r="W103" s="15"/>
      <c r="X103" s="15"/>
      <c r="Y103" s="15"/>
      <c r="Z103" s="15"/>
      <c r="AA103" s="15"/>
      <c r="AB103" s="15"/>
      <c r="AC103" s="15"/>
      <c r="AD103" s="15"/>
      <c r="AE103" s="15"/>
      <c r="AF103" s="15"/>
    </row>
    <row r="104" ht="15.75" customHeight="1">
      <c r="A104" s="15"/>
      <c r="B104" s="26" t="s">
        <v>118</v>
      </c>
      <c r="C104" s="52" t="s">
        <v>119</v>
      </c>
      <c r="D104" s="53" t="s">
        <v>20</v>
      </c>
      <c r="E104" s="8" t="s">
        <v>21</v>
      </c>
      <c r="F104" s="8" t="s">
        <v>51</v>
      </c>
      <c r="G104" s="29" t="str">
        <f>HYPERLINK("https://docs.google.com/spreadsheets/d/1jLVux0sB1lQfYSDQ28LCYDeFkYt_AhyC85uTsYFdZ_4/edit#gid=1094061458", "https://docs.google.com/spreadsheets/d/1jLVux0sB1lQfYSDQ28LCYDeFkYt_AhyC85uTsYFdZ_4/edit#gid=1094061458")</f>
        <v>https://docs.google.com/spreadsheets/d/1jLVux0sB1lQfYSDQ28LCYDeFkYt_AhyC85uTsYFdZ_4/edit#gid=1094061458</v>
      </c>
      <c r="H104" s="8" t="s">
        <v>51</v>
      </c>
      <c r="I104" s="9"/>
      <c r="J104" s="9"/>
      <c r="K104" s="11"/>
      <c r="L104" s="11"/>
      <c r="M104" s="15"/>
      <c r="N104" s="15"/>
      <c r="O104" s="15"/>
      <c r="P104" s="15"/>
      <c r="Q104" s="15"/>
      <c r="R104" s="15"/>
      <c r="S104" s="15"/>
      <c r="T104" s="15"/>
      <c r="U104" s="15"/>
      <c r="V104" s="15"/>
      <c r="W104" s="15"/>
      <c r="X104" s="15"/>
      <c r="Y104" s="15"/>
      <c r="Z104" s="15"/>
      <c r="AA104" s="15"/>
      <c r="AB104" s="15"/>
      <c r="AC104" s="15"/>
      <c r="AD104" s="15"/>
      <c r="AE104" s="15"/>
      <c r="AF104" s="15"/>
    </row>
    <row r="105" ht="15.75" customHeight="1">
      <c r="A105" s="15"/>
      <c r="B105" s="40"/>
      <c r="C105" s="41"/>
      <c r="D105" s="31"/>
      <c r="E105" s="8" t="s">
        <v>88</v>
      </c>
      <c r="F105" s="8" t="s">
        <v>120</v>
      </c>
      <c r="G105" s="29" t="str">
        <f>HYPERLINK("https://docs.google.com/spreadsheets/d/1jLVux0sB1lQfYSDQ28LCYDeFkYt_AhyC85uTsYFdZ_4/edit#gid=10591049", "https://docs.google.com/spreadsheets/d/1jLVux0sB1lQfYSDQ28LCYDeFkYt_AhyC85uTsYFdZ_4/edit#gid=10591049")</f>
        <v>https://docs.google.com/spreadsheets/d/1jLVux0sB1lQfYSDQ28LCYDeFkYt_AhyC85uTsYFdZ_4/edit#gid=10591049</v>
      </c>
      <c r="H105" s="8" t="s">
        <v>120</v>
      </c>
      <c r="I105" s="9"/>
      <c r="J105" s="9"/>
      <c r="K105" s="11"/>
      <c r="L105" s="11"/>
      <c r="M105" s="15"/>
      <c r="N105" s="15"/>
      <c r="O105" s="15"/>
      <c r="P105" s="15"/>
      <c r="Q105" s="15"/>
      <c r="R105" s="15"/>
      <c r="S105" s="15"/>
      <c r="T105" s="15"/>
      <c r="U105" s="15"/>
      <c r="V105" s="15"/>
      <c r="W105" s="15"/>
      <c r="X105" s="15"/>
      <c r="Y105" s="15"/>
      <c r="Z105" s="15"/>
      <c r="AA105" s="15"/>
      <c r="AB105" s="15"/>
      <c r="AC105" s="15"/>
      <c r="AD105" s="15"/>
      <c r="AE105" s="15"/>
      <c r="AF105" s="15"/>
    </row>
    <row r="106" ht="15.75" customHeight="1">
      <c r="A106" s="15"/>
      <c r="B106" s="40"/>
      <c r="C106" s="41"/>
      <c r="D106" s="31"/>
      <c r="E106" s="8" t="s">
        <v>88</v>
      </c>
      <c r="F106" s="8" t="s">
        <v>121</v>
      </c>
      <c r="G106" s="29" t="str">
        <f>HYPERLINK("https://docs.google.com/spreadsheets/d/1jLVux0sB1lQfYSDQ28LCYDeFkYt_AhyC85uTsYFdZ_4/edit#gid=648772156", "https://docs.google.com/spreadsheets/d/1jLVux0sB1lQfYSDQ28LCYDeFkYt_AhyC85uTsYFdZ_4/edit#gid=648772156")</f>
        <v>https://docs.google.com/spreadsheets/d/1jLVux0sB1lQfYSDQ28LCYDeFkYt_AhyC85uTsYFdZ_4/edit#gid=648772156</v>
      </c>
      <c r="H106" s="8" t="s">
        <v>121</v>
      </c>
      <c r="I106" s="9"/>
      <c r="J106" s="9"/>
      <c r="K106" s="11"/>
      <c r="L106" s="11"/>
      <c r="M106" s="15"/>
      <c r="N106" s="15"/>
      <c r="O106" s="15"/>
      <c r="P106" s="15"/>
      <c r="Q106" s="15"/>
      <c r="R106" s="15"/>
      <c r="S106" s="15"/>
      <c r="T106" s="15"/>
      <c r="U106" s="15"/>
      <c r="V106" s="15"/>
      <c r="W106" s="15"/>
      <c r="X106" s="15"/>
      <c r="Y106" s="15"/>
      <c r="Z106" s="15"/>
      <c r="AA106" s="15"/>
      <c r="AB106" s="15"/>
      <c r="AC106" s="15"/>
      <c r="AD106" s="15"/>
      <c r="AE106" s="15"/>
      <c r="AF106" s="15"/>
    </row>
    <row r="107" ht="15.75" customHeight="1">
      <c r="A107" s="15"/>
      <c r="B107" s="40"/>
      <c r="C107" s="41"/>
      <c r="D107" s="31"/>
      <c r="E107" s="8" t="s">
        <v>88</v>
      </c>
      <c r="F107" s="8" t="s">
        <v>122</v>
      </c>
      <c r="G107" s="29" t="str">
        <f>HYPERLINK("https://docs.google.com/spreadsheets/d/1jLVux0sB1lQfYSDQ28LCYDeFkYt_AhyC85uTsYFdZ_4/edit#gid=847392282", "https://docs.google.com/spreadsheets/d/1jLVux0sB1lQfYSDQ28LCYDeFkYt_AhyC85uTsYFdZ_4/edit#gid=847392282")</f>
        <v>https://docs.google.com/spreadsheets/d/1jLVux0sB1lQfYSDQ28LCYDeFkYt_AhyC85uTsYFdZ_4/edit#gid=847392282</v>
      </c>
      <c r="H107" s="8" t="s">
        <v>122</v>
      </c>
      <c r="I107" s="9"/>
      <c r="J107" s="9"/>
      <c r="K107" s="11"/>
      <c r="L107" s="11"/>
      <c r="M107" s="15"/>
      <c r="N107" s="15"/>
      <c r="O107" s="15"/>
      <c r="P107" s="15"/>
      <c r="Q107" s="15"/>
      <c r="R107" s="15"/>
      <c r="S107" s="15"/>
      <c r="T107" s="15"/>
      <c r="U107" s="15"/>
      <c r="V107" s="15"/>
      <c r="W107" s="15"/>
      <c r="X107" s="15"/>
      <c r="Y107" s="15"/>
      <c r="Z107" s="15"/>
      <c r="AA107" s="15"/>
      <c r="AB107" s="15"/>
      <c r="AC107" s="15"/>
      <c r="AD107" s="15"/>
      <c r="AE107" s="15"/>
      <c r="AF107" s="15"/>
    </row>
    <row r="108" ht="15.75" customHeight="1">
      <c r="A108" s="15"/>
      <c r="B108" s="40"/>
      <c r="C108" s="41"/>
      <c r="D108" s="31"/>
      <c r="E108" s="37"/>
      <c r="F108" s="31"/>
      <c r="G108" s="29"/>
      <c r="H108" s="31"/>
      <c r="I108" s="9"/>
      <c r="J108" s="9"/>
      <c r="K108" s="11"/>
      <c r="L108" s="11"/>
      <c r="M108" s="15"/>
      <c r="N108" s="15"/>
      <c r="O108" s="15"/>
      <c r="P108" s="15"/>
      <c r="Q108" s="15"/>
      <c r="R108" s="15"/>
      <c r="S108" s="15"/>
      <c r="T108" s="15"/>
      <c r="U108" s="15"/>
      <c r="V108" s="15"/>
      <c r="W108" s="15"/>
      <c r="X108" s="15"/>
      <c r="Y108" s="15"/>
      <c r="Z108" s="15"/>
      <c r="AA108" s="15"/>
      <c r="AB108" s="15"/>
      <c r="AC108" s="15"/>
      <c r="AD108" s="15"/>
      <c r="AE108" s="15"/>
      <c r="AF108" s="15"/>
    </row>
    <row r="109" ht="15.75" customHeight="1">
      <c r="A109" s="15"/>
      <c r="B109" s="26" t="s">
        <v>123</v>
      </c>
      <c r="C109" s="39" t="s">
        <v>124</v>
      </c>
      <c r="D109" s="8" t="s">
        <v>20</v>
      </c>
      <c r="E109" s="28" t="s">
        <v>21</v>
      </c>
      <c r="F109" s="38" t="s">
        <v>51</v>
      </c>
      <c r="G109" s="29" t="str">
        <f>HYPERLINK("https://docs.google.com/spreadsheets/d/1ec_mTTqH-Ekcod2xhv8PJLrzcGGx9bMudX0tVozV7L8/edit#gid=618097755", "https://docs.google.com/spreadsheets/d/1ec_mTTqH-Ekcod2xhv8PJLrzcGGx9bMudX0tVozV7L8/edit#gid=618097755")</f>
        <v>https://docs.google.com/spreadsheets/d/1ec_mTTqH-Ekcod2xhv8PJLrzcGGx9bMudX0tVozV7L8/edit#gid=618097755</v>
      </c>
      <c r="H109" s="38" t="s">
        <v>51</v>
      </c>
      <c r="I109" s="9"/>
      <c r="J109" s="9"/>
      <c r="K109" s="11"/>
      <c r="L109" s="11"/>
      <c r="M109" s="15"/>
      <c r="N109" s="15"/>
      <c r="O109" s="15"/>
      <c r="P109" s="15"/>
      <c r="Q109" s="15"/>
      <c r="R109" s="15"/>
      <c r="S109" s="15"/>
      <c r="T109" s="15"/>
      <c r="U109" s="15"/>
      <c r="V109" s="15"/>
      <c r="W109" s="15"/>
      <c r="X109" s="15"/>
      <c r="Y109" s="15"/>
      <c r="Z109" s="15"/>
      <c r="AA109" s="15"/>
      <c r="AB109" s="15"/>
      <c r="AC109" s="15"/>
      <c r="AD109" s="15"/>
      <c r="AE109" s="15"/>
      <c r="AF109" s="15"/>
    </row>
    <row r="110" ht="15.75" customHeight="1">
      <c r="A110" s="15"/>
      <c r="B110" s="40"/>
      <c r="C110" s="41"/>
      <c r="D110" s="31"/>
      <c r="E110" s="28" t="s">
        <v>88</v>
      </c>
      <c r="F110" s="28" t="s">
        <v>125</v>
      </c>
      <c r="G110" s="29" t="str">
        <f>HYPERLINK("https://docs.google.com/spreadsheets/d/1ec_mTTqH-Ekcod2xhv8PJLrzcGGx9bMudX0tVozV7L8/edit#gid=1313602286", "https://docs.google.com/spreadsheets/d/1ec_mTTqH-Ekcod2xhv8PJLrzcGGx9bMudX0tVozV7L8/edit#gid=1313602286")</f>
        <v>https://docs.google.com/spreadsheets/d/1ec_mTTqH-Ekcod2xhv8PJLrzcGGx9bMudX0tVozV7L8/edit#gid=1313602286</v>
      </c>
      <c r="H110" s="38" t="s">
        <v>125</v>
      </c>
      <c r="I110" s="31"/>
      <c r="J110" s="9"/>
      <c r="K110" s="11"/>
      <c r="L110" s="11"/>
      <c r="M110" s="15"/>
      <c r="N110" s="15"/>
      <c r="O110" s="15"/>
      <c r="P110" s="15"/>
      <c r="Q110" s="15"/>
      <c r="R110" s="15"/>
      <c r="S110" s="15"/>
      <c r="T110" s="15"/>
      <c r="U110" s="15"/>
      <c r="V110" s="15"/>
      <c r="W110" s="15"/>
      <c r="X110" s="15"/>
      <c r="Y110" s="15"/>
      <c r="Z110" s="15"/>
      <c r="AA110" s="15"/>
      <c r="AB110" s="15"/>
      <c r="AC110" s="15"/>
      <c r="AD110" s="15"/>
      <c r="AE110" s="15"/>
      <c r="AF110" s="15"/>
    </row>
    <row r="111" ht="15.75" customHeight="1">
      <c r="A111" s="15"/>
      <c r="B111" s="40"/>
      <c r="C111" s="41"/>
      <c r="D111" s="31"/>
      <c r="E111" s="8" t="s">
        <v>88</v>
      </c>
      <c r="F111" s="8" t="s">
        <v>126</v>
      </c>
      <c r="G111" s="29" t="str">
        <f>HYPERLINK("https://docs.google.com/spreadsheets/d/1ec_mTTqH-Ekcod2xhv8PJLrzcGGx9bMudX0tVozV7L8/edit#gid=1063912958", "https://docs.google.com/spreadsheets/d/1ec_mTTqH-Ekcod2xhv8PJLrzcGGx9bMudX0tVozV7L8/edit#gid=1063912958")</f>
        <v>https://docs.google.com/spreadsheets/d/1ec_mTTqH-Ekcod2xhv8PJLrzcGGx9bMudX0tVozV7L8/edit#gid=1063912958</v>
      </c>
      <c r="H111" s="8" t="s">
        <v>126</v>
      </c>
      <c r="I111" s="31"/>
      <c r="J111" s="9"/>
      <c r="K111" s="11"/>
      <c r="L111" s="11"/>
      <c r="M111" s="15"/>
      <c r="N111" s="15"/>
      <c r="O111" s="15"/>
      <c r="P111" s="15"/>
      <c r="Q111" s="15"/>
      <c r="R111" s="15"/>
      <c r="S111" s="15"/>
      <c r="T111" s="15"/>
      <c r="U111" s="15"/>
      <c r="V111" s="15"/>
      <c r="W111" s="15"/>
      <c r="X111" s="15"/>
      <c r="Y111" s="15"/>
      <c r="Z111" s="15"/>
      <c r="AA111" s="15"/>
      <c r="AB111" s="15"/>
      <c r="AC111" s="15"/>
      <c r="AD111" s="15"/>
      <c r="AE111" s="15"/>
      <c r="AF111" s="15"/>
    </row>
    <row r="112" ht="15.75" customHeight="1">
      <c r="A112" s="15"/>
      <c r="B112" s="40"/>
      <c r="C112" s="54"/>
      <c r="D112" s="55"/>
      <c r="E112" s="8" t="s">
        <v>88</v>
      </c>
      <c r="F112" s="8" t="s">
        <v>96</v>
      </c>
      <c r="G112" s="29" t="str">
        <f>HYPERLINK("https://docs.google.com/spreadsheets/d/1ec_mTTqH-Ekcod2xhv8PJLrzcGGx9bMudX0tVozV7L8/edit#gid=922075484", "https://docs.google.com/spreadsheets/d/1ec_mTTqH-Ekcod2xhv8PJLrzcGGx9bMudX0tVozV7L8/edit#gid=922075484")</f>
        <v>https://docs.google.com/spreadsheets/d/1ec_mTTqH-Ekcod2xhv8PJLrzcGGx9bMudX0tVozV7L8/edit#gid=922075484</v>
      </c>
      <c r="H112" s="8" t="s">
        <v>96</v>
      </c>
      <c r="I112" s="9"/>
      <c r="J112" s="9"/>
      <c r="K112" s="11"/>
      <c r="L112" s="11"/>
      <c r="M112" s="15"/>
      <c r="N112" s="15"/>
      <c r="O112" s="15"/>
      <c r="P112" s="15"/>
      <c r="Q112" s="15"/>
      <c r="R112" s="15"/>
      <c r="S112" s="15"/>
      <c r="T112" s="15"/>
      <c r="U112" s="15"/>
      <c r="V112" s="15"/>
      <c r="W112" s="15"/>
      <c r="X112" s="15"/>
      <c r="Y112" s="15"/>
      <c r="Z112" s="15"/>
      <c r="AA112" s="15"/>
      <c r="AB112" s="15"/>
      <c r="AC112" s="15"/>
      <c r="AD112" s="15"/>
      <c r="AE112" s="15"/>
      <c r="AF112" s="15"/>
    </row>
    <row r="113" ht="15.75" customHeight="1">
      <c r="A113" s="15"/>
      <c r="B113" s="40"/>
      <c r="C113" s="54"/>
      <c r="D113" s="55"/>
      <c r="E113" s="31"/>
      <c r="F113" s="31"/>
      <c r="G113" s="29"/>
      <c r="H113" s="31"/>
      <c r="I113" s="9"/>
      <c r="J113" s="9"/>
      <c r="K113" s="11"/>
      <c r="L113" s="11"/>
      <c r="M113" s="15"/>
      <c r="N113" s="15"/>
      <c r="O113" s="15"/>
      <c r="P113" s="15"/>
      <c r="Q113" s="15"/>
      <c r="R113" s="15"/>
      <c r="S113" s="15"/>
      <c r="T113" s="15"/>
      <c r="U113" s="15"/>
      <c r="V113" s="15"/>
      <c r="W113" s="15"/>
      <c r="X113" s="15"/>
      <c r="Y113" s="15"/>
      <c r="Z113" s="15"/>
      <c r="AA113" s="15"/>
      <c r="AB113" s="15"/>
      <c r="AC113" s="15"/>
      <c r="AD113" s="15"/>
      <c r="AE113" s="15"/>
      <c r="AF113" s="15"/>
    </row>
    <row r="114" ht="15.75" customHeight="1">
      <c r="A114" s="15"/>
      <c r="B114" s="26" t="s">
        <v>127</v>
      </c>
      <c r="C114" s="52" t="s">
        <v>128</v>
      </c>
      <c r="D114" s="53" t="s">
        <v>20</v>
      </c>
      <c r="E114" s="8" t="s">
        <v>21</v>
      </c>
      <c r="F114" s="8" t="s">
        <v>51</v>
      </c>
      <c r="G114" s="29" t="str">
        <f>HYPERLINK("https://docs.google.com/spreadsheets/d/106vf3LqWEzVYz6fuW6HiX83OI8AppbB4mZDlRWM1V58/edit#gid=2066134334", "https://docs.google.com/spreadsheets/d/106vf3LqWEzVYz6fuW6HiX83OI8AppbB4mZDlRWM1V58/edit#gid=2066134334")</f>
        <v>https://docs.google.com/spreadsheets/d/106vf3LqWEzVYz6fuW6HiX83OI8AppbB4mZDlRWM1V58/edit#gid=2066134334</v>
      </c>
      <c r="H114" s="8" t="s">
        <v>51</v>
      </c>
      <c r="I114" s="9"/>
      <c r="J114" s="9"/>
      <c r="K114" s="11"/>
      <c r="L114" s="11"/>
      <c r="M114" s="15"/>
      <c r="N114" s="15"/>
      <c r="O114" s="15"/>
      <c r="P114" s="15"/>
      <c r="Q114" s="15"/>
      <c r="R114" s="15"/>
      <c r="S114" s="15"/>
      <c r="T114" s="15"/>
      <c r="U114" s="15"/>
      <c r="V114" s="15"/>
      <c r="W114" s="15"/>
      <c r="X114" s="15"/>
      <c r="Y114" s="15"/>
      <c r="Z114" s="15"/>
      <c r="AA114" s="15"/>
      <c r="AB114" s="15"/>
      <c r="AC114" s="15"/>
      <c r="AD114" s="15"/>
      <c r="AE114" s="15"/>
      <c r="AF114" s="15"/>
    </row>
    <row r="115" ht="15.75" customHeight="1">
      <c r="A115" s="15"/>
      <c r="B115" s="40"/>
      <c r="C115" s="54"/>
      <c r="D115" s="55"/>
      <c r="E115" s="28" t="s">
        <v>88</v>
      </c>
      <c r="F115" s="38" t="s">
        <v>129</v>
      </c>
      <c r="G115" s="29" t="str">
        <f>HYPERLINK("https://docs.google.com/spreadsheets/d/106vf3LqWEzVYz6fuW6HiX83OI8AppbB4mZDlRWM1V58/edit#gid=1514451880", "https://docs.google.com/spreadsheets/d/106vf3LqWEzVYz6fuW6HiX83OI8AppbB4mZDlRWM1V58/edit#gid=1514451880")</f>
        <v>https://docs.google.com/spreadsheets/d/106vf3LqWEzVYz6fuW6HiX83OI8AppbB4mZDlRWM1V58/edit#gid=1514451880</v>
      </c>
      <c r="H115" s="35" t="s">
        <v>129</v>
      </c>
      <c r="L115" s="11"/>
      <c r="M115" s="15"/>
      <c r="N115" s="15"/>
      <c r="O115" s="15"/>
      <c r="P115" s="15"/>
      <c r="Q115" s="15"/>
      <c r="R115" s="15"/>
      <c r="S115" s="15"/>
      <c r="T115" s="15"/>
      <c r="U115" s="15"/>
      <c r="V115" s="15"/>
      <c r="W115" s="15"/>
      <c r="X115" s="15"/>
      <c r="Y115" s="15"/>
      <c r="Z115" s="15"/>
      <c r="AA115" s="15"/>
      <c r="AB115" s="15"/>
      <c r="AC115" s="15"/>
      <c r="AD115" s="15"/>
      <c r="AE115" s="15"/>
      <c r="AF115" s="15"/>
    </row>
    <row r="116" ht="15.75" customHeight="1">
      <c r="A116" s="15"/>
      <c r="B116" s="40"/>
      <c r="C116" s="54"/>
      <c r="D116" s="55"/>
      <c r="E116" s="37"/>
      <c r="F116" s="37"/>
      <c r="G116" s="29"/>
      <c r="H116" s="30"/>
      <c r="I116" s="9"/>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26" t="s">
        <v>130</v>
      </c>
      <c r="C117" s="52" t="s">
        <v>131</v>
      </c>
      <c r="D117" s="53" t="s">
        <v>20</v>
      </c>
      <c r="E117" s="8" t="s">
        <v>43</v>
      </c>
      <c r="F117" s="8" t="s">
        <v>132</v>
      </c>
      <c r="G117" s="29" t="str">
        <f>HYPERLINK("https://docs.google.com/spreadsheets/d/1JXRJXw5AqtlTZUUNh4eKbjCaXw7kG5AfehY7K76l2Kw/edit#gid=457183147", "https://docs.google.com/spreadsheets/d/1JXRJXw5AqtlTZUUNh4eKbjCaXw7kG5AfehY7K76l2Kw/edit#gid=457183147")</f>
        <v>https://docs.google.com/spreadsheets/d/1JXRJXw5AqtlTZUUNh4eKbjCaXw7kG5AfehY7K76l2Kw/edit#gid=457183147</v>
      </c>
      <c r="H117" s="8" t="s">
        <v>132</v>
      </c>
      <c r="I117" s="31"/>
      <c r="J117" s="9"/>
      <c r="K117" s="11"/>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40"/>
      <c r="C118" s="54"/>
      <c r="D118" s="55"/>
      <c r="E118" s="8" t="s">
        <v>43</v>
      </c>
      <c r="F118" s="8" t="s">
        <v>133</v>
      </c>
      <c r="G118" s="29" t="str">
        <f>HYPERLINK("https://docs.google.com/spreadsheets/d/1JXRJXw5AqtlTZUUNh4eKbjCaXw7kG5AfehY7K76l2Kw/edit#gid=1855705090", "https://docs.google.com/spreadsheets/d/1JXRJXw5AqtlTZUUNh4eKbjCaXw7kG5AfehY7K76l2Kw/edit#gid=1855705090")</f>
        <v>https://docs.google.com/spreadsheets/d/1JXRJXw5AqtlTZUUNh4eKbjCaXw7kG5AfehY7K76l2Kw/edit#gid=1855705090</v>
      </c>
      <c r="H118" s="8" t="s">
        <v>133</v>
      </c>
      <c r="I118" s="31"/>
      <c r="J118" s="9"/>
      <c r="K118" s="11"/>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40"/>
      <c r="C119" s="54"/>
      <c r="D119" s="55"/>
      <c r="E119" s="31"/>
      <c r="F119" s="31"/>
      <c r="G119" s="29"/>
      <c r="H119" s="31"/>
      <c r="I119" s="9"/>
      <c r="J119" s="9"/>
      <c r="K119" s="11"/>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40"/>
      <c r="C120" s="54"/>
      <c r="D120" s="55"/>
      <c r="E120" s="31"/>
      <c r="F120" s="31"/>
      <c r="G120" s="29"/>
      <c r="H120" s="31"/>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40"/>
      <c r="C121" s="54"/>
      <c r="D121" s="55"/>
      <c r="E121" s="31"/>
      <c r="F121" s="31"/>
      <c r="G121" s="29"/>
      <c r="H121" s="31"/>
      <c r="I121" s="9"/>
      <c r="J121" s="9"/>
      <c r="K121" s="11"/>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26" t="s">
        <v>134</v>
      </c>
      <c r="C122" s="52" t="s">
        <v>135</v>
      </c>
      <c r="D122" s="53" t="s">
        <v>20</v>
      </c>
      <c r="E122" s="28" t="s">
        <v>21</v>
      </c>
      <c r="F122" s="8" t="s">
        <v>51</v>
      </c>
      <c r="G122" s="29" t="str">
        <f>HYPERLINK("https://docs.google.com/spreadsheets/d/1o7m3xlkdzq1PeB9K9aK3wKjiBjB_ljrAHzt20-IDQ0g/edit#gid=896266124", "https://docs.google.com/spreadsheets/d/1o7m3xlkdzq1PeB9K9aK3wKjiBjB_ljrAHzt20-IDQ0g/edit#gid=896266124")</f>
        <v>https://docs.google.com/spreadsheets/d/1o7m3xlkdzq1PeB9K9aK3wKjiBjB_ljrAHzt20-IDQ0g/edit#gid=896266124</v>
      </c>
      <c r="H122" s="8" t="s">
        <v>51</v>
      </c>
      <c r="I122" s="9"/>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40"/>
      <c r="C123" s="54"/>
      <c r="D123" s="55"/>
      <c r="E123" s="37"/>
      <c r="F123" s="37"/>
      <c r="G123" s="29"/>
      <c r="H123" s="30"/>
      <c r="I123" s="9"/>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26" t="s">
        <v>136</v>
      </c>
      <c r="C124" s="52" t="s">
        <v>115</v>
      </c>
      <c r="D124" s="53" t="s">
        <v>42</v>
      </c>
      <c r="E124" s="8" t="s">
        <v>72</v>
      </c>
      <c r="F124" s="8" t="s">
        <v>137</v>
      </c>
      <c r="G124" s="29"/>
      <c r="H124" s="36"/>
      <c r="I124" s="36"/>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40"/>
      <c r="C125" s="54"/>
      <c r="D125" s="55"/>
      <c r="E125" s="31"/>
      <c r="F125" s="31"/>
      <c r="G125" s="29"/>
      <c r="H125" s="31"/>
      <c r="I125" s="31"/>
      <c r="J125" s="9"/>
      <c r="K125" s="11"/>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26"/>
      <c r="C126" s="39"/>
      <c r="D126" s="8"/>
      <c r="E126" s="8"/>
      <c r="F126" s="8"/>
      <c r="G126" s="29"/>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15"/>
      <c r="B127" s="26" t="s">
        <v>138</v>
      </c>
      <c r="C127" s="39" t="s">
        <v>115</v>
      </c>
      <c r="D127" s="8" t="s">
        <v>20</v>
      </c>
      <c r="E127" s="8" t="s">
        <v>139</v>
      </c>
      <c r="F127" s="8" t="s">
        <v>140</v>
      </c>
      <c r="G127" s="29" t="str">
        <f>HYPERLINK("https://docs.google.com/spreadsheets/d/1mJJeW4djpJoAz6Zvh4eFULCximQfc7cIJGlneZ00YRg/edit#gid=654014057", "https://docs.google.com/spreadsheets/d/1mJJeW4djpJoAz6Zvh4eFULCximQfc7cIJGlneZ00YRg/edit#gid=654014057")</f>
        <v>https://docs.google.com/spreadsheets/d/1mJJeW4djpJoAz6Zvh4eFULCximQfc7cIJGlneZ00YRg/edit#gid=654014057</v>
      </c>
      <c r="H127" s="35" t="s">
        <v>141</v>
      </c>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15"/>
      <c r="B128" s="40"/>
      <c r="C128" s="41"/>
      <c r="D128" s="31"/>
      <c r="E128" s="37"/>
      <c r="F128" s="31"/>
      <c r="G128" s="29"/>
      <c r="H128" s="31"/>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15"/>
      <c r="B129" s="26" t="s">
        <v>142</v>
      </c>
      <c r="C129" s="39" t="s">
        <v>115</v>
      </c>
      <c r="D129" s="8" t="s">
        <v>20</v>
      </c>
      <c r="E129" s="28" t="s">
        <v>21</v>
      </c>
      <c r="F129" s="38" t="s">
        <v>51</v>
      </c>
      <c r="G129" s="29" t="str">
        <f>HYPERLINK("https://docs.google.com/spreadsheets/d/1tsjHk1RXONNMitsQMOSgeEsRCHMDlQTox5cHIX68CWw/edit#gid=536206853", "https://docs.google.com/spreadsheets/d/1tsjHk1RXONNMitsQMOSgeEsRCHMDlQTox5cHIX68CWw/edit#gid=536206853")</f>
        <v>https://docs.google.com/spreadsheets/d/1tsjHk1RXONNMitsQMOSgeEsRCHMDlQTox5cHIX68CWw/edit#gid=536206853</v>
      </c>
      <c r="H129" s="38" t="s">
        <v>51</v>
      </c>
      <c r="I129" s="9"/>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15"/>
      <c r="B130" s="40"/>
      <c r="C130" s="41"/>
      <c r="D130" s="31"/>
      <c r="E130" s="28" t="s">
        <v>88</v>
      </c>
      <c r="F130" s="28" t="s">
        <v>125</v>
      </c>
      <c r="G130" s="29" t="str">
        <f>HYPERLINK("https://docs.google.com/spreadsheets/d/1tsjHk1RXONNMitsQMOSgeEsRCHMDlQTox5cHIX68CWw/edit#gid=1372761343", "https://docs.google.com/spreadsheets/d/1tsjHk1RXONNMitsQMOSgeEsRCHMDlQTox5cHIX68CWw/edit#gid=1372761343")</f>
        <v>https://docs.google.com/spreadsheets/d/1tsjHk1RXONNMitsQMOSgeEsRCHMDlQTox5cHIX68CWw/edit#gid=1372761343</v>
      </c>
      <c r="H130" s="38" t="s">
        <v>125</v>
      </c>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15"/>
      <c r="B131" s="40"/>
      <c r="C131" s="41"/>
      <c r="D131" s="31"/>
      <c r="E131" s="8" t="s">
        <v>88</v>
      </c>
      <c r="F131" s="8" t="s">
        <v>143</v>
      </c>
      <c r="G131" s="29" t="str">
        <f>HYPERLINK("https://docs.google.com/spreadsheets/d/1tsjHk1RXONNMitsQMOSgeEsRCHMDlQTox5cHIX68CWw/edit#gid=208653934", "https://docs.google.com/spreadsheets/d/1tsjHk1RXONNMitsQMOSgeEsRCHMDlQTox5cHIX68CWw/edit#gid=208653934")</f>
        <v>https://docs.google.com/spreadsheets/d/1tsjHk1RXONNMitsQMOSgeEsRCHMDlQTox5cHIX68CWw/edit#gid=208653934</v>
      </c>
      <c r="H131" s="35" t="s">
        <v>143</v>
      </c>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15"/>
      <c r="B132" s="40"/>
      <c r="C132" s="54"/>
      <c r="D132" s="55"/>
      <c r="E132" s="31"/>
      <c r="F132" s="31"/>
      <c r="G132" s="29"/>
      <c r="H132" s="31"/>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15"/>
      <c r="B133" s="26" t="s">
        <v>144</v>
      </c>
      <c r="C133" s="52" t="s">
        <v>115</v>
      </c>
      <c r="D133" s="53" t="s">
        <v>20</v>
      </c>
      <c r="E133" s="8" t="s">
        <v>145</v>
      </c>
      <c r="F133" s="8" t="s">
        <v>146</v>
      </c>
      <c r="G133" s="29" t="str">
        <f>HYPERLINK("https://docs.google.com/spreadsheets/d/17tIJnJBfdcETbfbtJZ0NdwFLvXmFzt-8uxI28ul1vCw/edit#gid=1141165746", "https://docs.google.com/spreadsheets/d/17tIJnJBfdcETbfbtJZ0NdwFLvXmFzt-8uxI28ul1vCw/edit#gid=1141165746")</f>
        <v>https://docs.google.com/spreadsheets/d/17tIJnJBfdcETbfbtJZ0NdwFLvXmFzt-8uxI28ul1vCw/edit#gid=1141165746</v>
      </c>
      <c r="H133" s="8" t="s">
        <v>146</v>
      </c>
      <c r="I133" s="9"/>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15"/>
      <c r="B134" s="40"/>
      <c r="C134" s="54"/>
      <c r="D134" s="55"/>
      <c r="E134" s="8" t="s">
        <v>147</v>
      </c>
      <c r="F134" s="8" t="s">
        <v>148</v>
      </c>
      <c r="G134" s="29" t="str">
        <f>HYPERLINK("https://docs.google.com/spreadsheets/d/17tIJnJBfdcETbfbtJZ0NdwFLvXmFzt-8uxI28ul1vCw/edit#gid=346169992", "https://docs.google.com/spreadsheets/d/17tIJnJBfdcETbfbtJZ0NdwFLvXmFzt-8uxI28ul1vCw/edit#gid=346169992")</f>
        <v>https://docs.google.com/spreadsheets/d/17tIJnJBfdcETbfbtJZ0NdwFLvXmFzt-8uxI28ul1vCw/edit#gid=346169992</v>
      </c>
      <c r="H134" s="36"/>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15"/>
      <c r="B135" s="40"/>
      <c r="C135" s="54"/>
      <c r="D135" s="55"/>
      <c r="E135" s="28" t="s">
        <v>149</v>
      </c>
      <c r="F135" s="8" t="s">
        <v>150</v>
      </c>
      <c r="G135" s="29" t="str">
        <f>HYPERLINK("https://docs.google.com/spreadsheets/d/17tIJnJBfdcETbfbtJZ0NdwFLvXmFzt-8uxI28ul1vCw/edit#gid=1831151713", "https://docs.google.com/spreadsheets/d/17tIJnJBfdcETbfbtJZ0NdwFLvXmFzt-8uxI28ul1vCw/edit#gid=1831151713")</f>
        <v>https://docs.google.com/spreadsheets/d/17tIJnJBfdcETbfbtJZ0NdwFLvXmFzt-8uxI28ul1vCw/edit#gid=1831151713</v>
      </c>
      <c r="H135" s="8" t="s">
        <v>150</v>
      </c>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15"/>
      <c r="B136" s="40"/>
      <c r="C136" s="54"/>
      <c r="D136" s="55"/>
      <c r="E136" s="37"/>
      <c r="F136" s="30"/>
      <c r="G136" s="29"/>
      <c r="H136" s="30"/>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15"/>
      <c r="B137" s="26" t="s">
        <v>151</v>
      </c>
      <c r="C137" s="52" t="s">
        <v>115</v>
      </c>
      <c r="D137" s="53" t="s">
        <v>20</v>
      </c>
      <c r="E137" s="28" t="s">
        <v>149</v>
      </c>
      <c r="F137" s="28" t="s">
        <v>150</v>
      </c>
      <c r="G137" s="29" t="str">
        <f>HYPERLINK("https://docs.google.com/spreadsheets/d/1ddR7zFN4etOwTgpJ0PVPBKt9PI3-3bFLHpQM8hvxF6g/edit#gid=629777511", "https://docs.google.com/spreadsheets/d/1ddR7zFN4etOwTgpJ0PVPBKt9PI3-3bFLHpQM8hvxF6g/edit#gid=629777511")</f>
        <v>https://docs.google.com/spreadsheets/d/1ddR7zFN4etOwTgpJ0PVPBKt9PI3-3bFLHpQM8hvxF6g/edit#gid=629777511</v>
      </c>
      <c r="H137" s="38" t="s">
        <v>150</v>
      </c>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15"/>
      <c r="B138" s="40"/>
      <c r="C138" s="54"/>
      <c r="D138" s="55"/>
      <c r="E138" s="31"/>
      <c r="F138" s="31"/>
      <c r="G138" s="29"/>
      <c r="H138" s="31"/>
      <c r="I138" s="31"/>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15"/>
      <c r="B139" s="40"/>
      <c r="C139" s="54"/>
      <c r="D139" s="55"/>
      <c r="E139" s="31"/>
      <c r="F139" s="31"/>
      <c r="G139" s="29"/>
      <c r="H139" s="31"/>
      <c r="I139" s="31"/>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15"/>
      <c r="B140" s="56" t="s">
        <v>152</v>
      </c>
      <c r="C140" s="57" t="s">
        <v>153</v>
      </c>
      <c r="D140" s="53" t="s">
        <v>20</v>
      </c>
      <c r="E140" s="8" t="s">
        <v>88</v>
      </c>
      <c r="F140" s="8" t="s">
        <v>154</v>
      </c>
      <c r="G140" s="29" t="str">
        <f>HYPERLINK("https://docs.google.com/spreadsheets/d/18E_Ung8bhLrMQCuAWUYmlKp5yegGxRDbuft90snN2d0/edit#gid=1464460", "https://docs.google.com/spreadsheets/d/18E_Ung8bhLrMQCuAWUYmlKp5yegGxRDbuft90snN2d0/edit#gid=1464460")</f>
        <v>https://docs.google.com/spreadsheets/d/18E_Ung8bhLrMQCuAWUYmlKp5yegGxRDbuft90snN2d0/edit#gid=1464460</v>
      </c>
      <c r="H140" s="8" t="s">
        <v>154</v>
      </c>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15"/>
      <c r="B141" s="40"/>
      <c r="C141" s="54"/>
      <c r="D141" s="55"/>
      <c r="E141" s="8" t="s">
        <v>149</v>
      </c>
      <c r="F141" s="8" t="s">
        <v>150</v>
      </c>
      <c r="G141" s="29"/>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15"/>
      <c r="B142" s="40"/>
      <c r="C142" s="54"/>
      <c r="D142" s="55"/>
      <c r="E142" s="31"/>
      <c r="F142" s="31"/>
      <c r="G142" s="29"/>
      <c r="H142" s="31"/>
      <c r="I142" s="9"/>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15"/>
      <c r="B143" s="26" t="s">
        <v>155</v>
      </c>
      <c r="C143" s="52" t="s">
        <v>156</v>
      </c>
      <c r="D143" s="53" t="s">
        <v>20</v>
      </c>
      <c r="E143" s="28" t="s">
        <v>157</v>
      </c>
      <c r="F143" s="8" t="s">
        <v>158</v>
      </c>
      <c r="G143" s="29" t="str">
        <f>HYPERLINK("https://docs.google.com/spreadsheets/d/1HVhkou04Zp36yZO5z_falzrGvbLLaxnIkNiLzGynKis/edit#gid=1101405518", "https://docs.google.com/spreadsheets/d/1HVhkou04Zp36yZO5z_falzrGvbLLaxnIkNiLzGynKis/edit#gid=1101405518")</f>
        <v>https://docs.google.com/spreadsheets/d/1HVhkou04Zp36yZO5z_falzrGvbLLaxnIkNiLzGynKis/edit#gid=1101405518</v>
      </c>
      <c r="H143" s="8" t="s">
        <v>158</v>
      </c>
      <c r="I143" s="9"/>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15"/>
      <c r="B144" s="40"/>
      <c r="C144" s="54"/>
      <c r="D144" s="55"/>
      <c r="E144" s="28"/>
      <c r="F144" s="38"/>
      <c r="G144" s="29"/>
      <c r="H144" s="38"/>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15"/>
      <c r="B145" s="40"/>
      <c r="C145" s="54"/>
      <c r="D145" s="55"/>
      <c r="E145" s="37"/>
      <c r="F145" s="37"/>
      <c r="G145" s="29"/>
      <c r="H145" s="30"/>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15"/>
      <c r="B146" s="26" t="s">
        <v>159</v>
      </c>
      <c r="C146" s="52" t="s">
        <v>89</v>
      </c>
      <c r="D146" s="53" t="s">
        <v>20</v>
      </c>
      <c r="E146" s="8" t="s">
        <v>157</v>
      </c>
      <c r="F146" s="8" t="s">
        <v>89</v>
      </c>
      <c r="G146" s="29" t="str">
        <f>HYPERLINK("https://docs.google.com/spreadsheets/d/1f0snZbG21M3br1ZA0EhtQ9P_5_tiPT_YnZqB4IYUjx8/edit#gid=3762372", "https://docs.google.com/spreadsheets/d/1f0snZbG21M3br1ZA0EhtQ9P_5_tiPT_YnZqB4IYUjx8/edit#gid=3762372")</f>
        <v>https://docs.google.com/spreadsheets/d/1f0snZbG21M3br1ZA0EhtQ9P_5_tiPT_YnZqB4IYUjx8/edit#gid=3762372</v>
      </c>
      <c r="H146" s="8" t="s">
        <v>89</v>
      </c>
      <c r="I146" s="31"/>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15"/>
      <c r="B147" s="40"/>
      <c r="C147" s="54"/>
      <c r="D147" s="55"/>
      <c r="E147" s="31"/>
      <c r="F147" s="31"/>
      <c r="G147" s="29"/>
      <c r="H147" s="31"/>
      <c r="I147" s="31"/>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15"/>
      <c r="B148" s="40"/>
      <c r="C148" s="54"/>
      <c r="D148" s="55"/>
      <c r="E148" s="31"/>
      <c r="F148" s="31"/>
      <c r="G148" s="29"/>
      <c r="H148" s="31"/>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15"/>
      <c r="B149" s="26" t="s">
        <v>160</v>
      </c>
      <c r="C149" s="52" t="s">
        <v>161</v>
      </c>
      <c r="D149" s="53" t="s">
        <v>20</v>
      </c>
      <c r="E149" s="8" t="s">
        <v>157</v>
      </c>
      <c r="F149" s="8" t="s">
        <v>161</v>
      </c>
      <c r="G149" s="29"/>
      <c r="H149" s="36"/>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15"/>
      <c r="B150" s="40"/>
      <c r="C150" s="54"/>
      <c r="D150" s="55"/>
      <c r="E150" s="8"/>
      <c r="F150" s="8"/>
      <c r="G150" s="29"/>
      <c r="H150" s="36"/>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15"/>
      <c r="B151" s="40"/>
      <c r="C151" s="54"/>
      <c r="D151" s="55"/>
      <c r="E151" s="37"/>
      <c r="F151" s="31"/>
      <c r="G151" s="29"/>
      <c r="H151" s="31"/>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15"/>
      <c r="B152" s="26" t="s">
        <v>162</v>
      </c>
      <c r="C152" s="52" t="s">
        <v>163</v>
      </c>
      <c r="D152" s="53" t="s">
        <v>20</v>
      </c>
      <c r="E152" s="28" t="s">
        <v>157</v>
      </c>
      <c r="F152" s="38" t="s">
        <v>157</v>
      </c>
      <c r="G152" s="29" t="str">
        <f>HYPERLINK("https://docs.google.com/spreadsheets/d/1XQAi0NXi_dvuCVgb8iOMnixfWSBCPHNHw1M7hgD1zy0/edit#gid=22257606", "https://docs.google.com/spreadsheets/d/1XQAi0NXi_dvuCVgb8iOMnixfWSBCPHNHw1M7hgD1zy0/edit#gid=22257606")</f>
        <v>https://docs.google.com/spreadsheets/d/1XQAi0NXi_dvuCVgb8iOMnixfWSBCPHNHw1M7hgD1zy0/edit#gid=22257606</v>
      </c>
      <c r="H152" s="38" t="s">
        <v>157</v>
      </c>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15"/>
      <c r="B153" s="40"/>
      <c r="C153" s="54"/>
      <c r="D153" s="55"/>
      <c r="E153" s="37"/>
      <c r="F153" s="37"/>
      <c r="G153" s="29"/>
      <c r="H153" s="30"/>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15"/>
      <c r="B154" s="40"/>
      <c r="C154" s="54"/>
      <c r="D154" s="55"/>
      <c r="E154" s="31"/>
      <c r="F154" s="31"/>
      <c r="G154" s="29"/>
      <c r="H154" s="31"/>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15"/>
      <c r="B155" s="26" t="s">
        <v>164</v>
      </c>
      <c r="C155" s="52" t="s">
        <v>165</v>
      </c>
      <c r="D155" s="53" t="s">
        <v>20</v>
      </c>
      <c r="E155" s="8" t="s">
        <v>157</v>
      </c>
      <c r="F155" s="8" t="s">
        <v>158</v>
      </c>
      <c r="G155" s="29" t="str">
        <f>HYPERLINK("https://docs.google.com/spreadsheets/d/1XOCYLJyIxibP_c3ATD8tI33-aYXjJdbGQYvMgKPC7KU/edit#gid=77977975", "https://docs.google.com/spreadsheets/d/1XOCYLJyIxibP_c3ATD8tI33-aYXjJdbGQYvMgKPC7KU/edit#gid=77977975")</f>
        <v>https://docs.google.com/spreadsheets/d/1XOCYLJyIxibP_c3ATD8tI33-aYXjJdbGQYvMgKPC7KU/edit#gid=77977975</v>
      </c>
      <c r="H155" s="8" t="s">
        <v>158</v>
      </c>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15"/>
      <c r="B156" s="40"/>
      <c r="C156" s="54"/>
      <c r="D156" s="55"/>
      <c r="E156" s="31"/>
      <c r="F156" s="31"/>
      <c r="G156" s="29"/>
      <c r="H156" s="31"/>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15"/>
      <c r="B157" s="26" t="s">
        <v>166</v>
      </c>
      <c r="C157" s="52" t="s">
        <v>167</v>
      </c>
      <c r="D157" s="53" t="s">
        <v>20</v>
      </c>
      <c r="E157" s="8" t="s">
        <v>157</v>
      </c>
      <c r="F157" s="8" t="s">
        <v>161</v>
      </c>
      <c r="G157" s="29" t="str">
        <f>HYPERLINK("https://docs.google.com/spreadsheets/d/1feBgzygGt-WPSdkoV0REjn8ptCz9QIX_OLQf_3gRx8U/edit#gid=815320810", "https://docs.google.com/spreadsheets/d/1feBgzygGt-WPSdkoV0REjn8ptCz9QIX_OLQf_3gRx8U/edit#gid=815320810")</f>
        <v>https://docs.google.com/spreadsheets/d/1feBgzygGt-WPSdkoV0REjn8ptCz9QIX_OLQf_3gRx8U/edit#gid=815320810</v>
      </c>
      <c r="H157" s="8" t="s">
        <v>161</v>
      </c>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15"/>
      <c r="B158" s="40"/>
      <c r="C158" s="54"/>
      <c r="D158" s="55"/>
      <c r="E158" s="8" t="s">
        <v>157</v>
      </c>
      <c r="F158" s="8" t="s">
        <v>158</v>
      </c>
      <c r="G158" s="29" t="str">
        <f>HYPERLINK("https://docs.google.com/spreadsheets/d/1feBgzygGt-WPSdkoV0REjn8ptCz9QIX_OLQf_3gRx8U/edit#gid=1383628918", "https://docs.google.com/spreadsheets/d/1feBgzygGt-WPSdkoV0REjn8ptCz9QIX_OLQf_3gRx8U/edit#gid=1383628918")</f>
        <v>https://docs.google.com/spreadsheets/d/1feBgzygGt-WPSdkoV0REjn8ptCz9QIX_OLQf_3gRx8U/edit#gid=1383628918</v>
      </c>
      <c r="H158" s="8" t="s">
        <v>158</v>
      </c>
      <c r="I158" s="9"/>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15"/>
      <c r="B159" s="40"/>
      <c r="C159" s="54"/>
      <c r="D159" s="53" t="s">
        <v>20</v>
      </c>
      <c r="E159" s="37"/>
      <c r="F159" s="31"/>
      <c r="G159" s="29"/>
      <c r="H159" s="31"/>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15"/>
      <c r="B160" s="40"/>
      <c r="C160" s="54"/>
      <c r="D160" s="55"/>
      <c r="E160" s="37"/>
      <c r="F160" s="30"/>
      <c r="G160" s="29"/>
      <c r="H160" s="30"/>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15"/>
      <c r="B161" s="40"/>
      <c r="C161" s="54"/>
      <c r="D161" s="55"/>
      <c r="E161" s="37"/>
      <c r="F161" s="37"/>
      <c r="G161" s="29"/>
      <c r="H161" s="30"/>
      <c r="I161" s="31"/>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15"/>
      <c r="B162" s="26" t="s">
        <v>168</v>
      </c>
      <c r="C162" s="54"/>
      <c r="D162" s="53" t="s">
        <v>20</v>
      </c>
      <c r="E162" s="8" t="s">
        <v>21</v>
      </c>
      <c r="F162" s="8" t="s">
        <v>169</v>
      </c>
      <c r="G162" s="29" t="str">
        <f>HYPERLINK("https://docs.google.com/spreadsheets/d/1WfyHagBSL9RCiTdIseJOZH8p6KkKtuOUsGbzlMCPino/edit#gid=165864753", "https://docs.google.com/spreadsheets/d/1WfyHagBSL9RCiTdIseJOZH8p6KkKtuOUsGbzlMCPino/edit#gid=165864753")</f>
        <v>https://docs.google.com/spreadsheets/d/1WfyHagBSL9RCiTdIseJOZH8p6KkKtuOUsGbzlMCPino/edit#gid=165864753</v>
      </c>
      <c r="H162" s="8" t="s">
        <v>169</v>
      </c>
      <c r="I162" s="31"/>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15"/>
      <c r="B163" s="40"/>
      <c r="C163" s="54"/>
      <c r="D163" s="55"/>
      <c r="E163" s="31"/>
      <c r="F163" s="31"/>
      <c r="G163" s="29"/>
      <c r="H163" s="31"/>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15"/>
      <c r="B164" s="40"/>
      <c r="C164" s="41"/>
      <c r="D164" s="31"/>
      <c r="E164" s="31"/>
      <c r="F164" s="31"/>
      <c r="G164" s="29"/>
      <c r="H164" s="31"/>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15"/>
      <c r="B165" s="40"/>
      <c r="C165" s="41"/>
      <c r="D165" s="31"/>
      <c r="E165" s="31"/>
      <c r="F165" s="31"/>
      <c r="G165" s="29"/>
      <c r="H165" s="31"/>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15"/>
      <c r="B166" s="26"/>
      <c r="C166" s="39"/>
      <c r="D166" s="8"/>
      <c r="E166" s="8"/>
      <c r="F166" s="8"/>
      <c r="G166" s="29"/>
      <c r="H166" s="8"/>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15"/>
      <c r="B167" s="26" t="s">
        <v>170</v>
      </c>
      <c r="C167" s="26" t="s">
        <v>171</v>
      </c>
      <c r="D167" s="8" t="s">
        <v>20</v>
      </c>
      <c r="E167" s="8" t="s">
        <v>21</v>
      </c>
      <c r="F167" s="8" t="s">
        <v>51</v>
      </c>
      <c r="G167" s="29" t="str">
        <f>HYPERLINK("https://docs.google.com/spreadsheets/d/15-fTQMw-9Zu5cRxdvoirbDm7uEXc7Yc8sshgHgVwVW0/edit#gid=318552219", "https://docs.google.com/spreadsheets/d/15-fTQMw-9Zu5cRxdvoirbDm7uEXc7Yc8sshgHgVwVW0/edit#gid=318552219")</f>
        <v>https://docs.google.com/spreadsheets/d/15-fTQMw-9Zu5cRxdvoirbDm7uEXc7Yc8sshgHgVwVW0/edit#gid=318552219</v>
      </c>
      <c r="H167" s="8" t="s">
        <v>51</v>
      </c>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15"/>
      <c r="B168" s="26"/>
      <c r="C168" s="41"/>
      <c r="D168" s="31"/>
      <c r="E168" s="28" t="s">
        <v>172</v>
      </c>
      <c r="F168" s="8" t="s">
        <v>173</v>
      </c>
      <c r="G168" s="29" t="str">
        <f>HYPERLINK("https://docs.google.com/spreadsheets/d/15-fTQMw-9Zu5cRxdvoirbDm7uEXc7Yc8sshgHgVwVW0/edit#gid=1864530959", "https://docs.google.com/spreadsheets/d/15-fTQMw-9Zu5cRxdvoirbDm7uEXc7Yc8sshgHgVwVW0/edit#gid=1864530959")</f>
        <v>https://docs.google.com/spreadsheets/d/15-fTQMw-9Zu5cRxdvoirbDm7uEXc7Yc8sshgHgVwVW0/edit#gid=1864530959</v>
      </c>
      <c r="H168" s="8" t="s">
        <v>173</v>
      </c>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15"/>
      <c r="B169" s="26"/>
      <c r="C169" s="41"/>
      <c r="D169" s="31"/>
      <c r="E169" s="28" t="s">
        <v>172</v>
      </c>
      <c r="F169" s="38" t="s">
        <v>174</v>
      </c>
      <c r="G169" s="29" t="str">
        <f>HYPERLINK("https://docs.google.com/spreadsheets/d/15-fTQMw-9Zu5cRxdvoirbDm7uEXc7Yc8sshgHgVwVW0/edit#gid=1895481574", "https://docs.google.com/spreadsheets/d/15-fTQMw-9Zu5cRxdvoirbDm7uEXc7Yc8sshgHgVwVW0/edit#gid=1895481574")</f>
        <v>https://docs.google.com/spreadsheets/d/15-fTQMw-9Zu5cRxdvoirbDm7uEXc7Yc8sshgHgVwVW0/edit#gid=1895481574</v>
      </c>
      <c r="H169" s="38" t="s">
        <v>174</v>
      </c>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15"/>
      <c r="B170" s="26"/>
      <c r="C170" s="41"/>
      <c r="D170" s="31"/>
      <c r="E170" s="28" t="s">
        <v>88</v>
      </c>
      <c r="F170" s="28" t="s">
        <v>95</v>
      </c>
      <c r="G170" s="29" t="str">
        <f>HYPERLINK("https://docs.google.com/spreadsheets/d/15-fTQMw-9Zu5cRxdvoirbDm7uEXc7Yc8sshgHgVwVW0/edit#gid=420292577", "https://docs.google.com/spreadsheets/d/15-fTQMw-9Zu5cRxdvoirbDm7uEXc7Yc8sshgHgVwVW0/edit#gid=420292577")</f>
        <v>https://docs.google.com/spreadsheets/d/15-fTQMw-9Zu5cRxdvoirbDm7uEXc7Yc8sshgHgVwVW0/edit#gid=420292577</v>
      </c>
      <c r="H170" s="38" t="s">
        <v>95</v>
      </c>
      <c r="I170" s="31"/>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15"/>
      <c r="B171" s="26"/>
      <c r="C171" s="41"/>
      <c r="D171" s="31"/>
      <c r="E171" s="8" t="s">
        <v>88</v>
      </c>
      <c r="F171" s="8" t="s">
        <v>96</v>
      </c>
      <c r="G171" s="29" t="str">
        <f>HYPERLINK("https://docs.google.com/spreadsheets/d/15-fTQMw-9Zu5cRxdvoirbDm7uEXc7Yc8sshgHgVwVW0/edit#gid=1305624365", "https://docs.google.com/spreadsheets/d/15-fTQMw-9Zu5cRxdvoirbDm7uEXc7Yc8sshgHgVwVW0/edit#gid=1305624365")</f>
        <v>https://docs.google.com/spreadsheets/d/15-fTQMw-9Zu5cRxdvoirbDm7uEXc7Yc8sshgHgVwVW0/edit#gid=1305624365</v>
      </c>
      <c r="H171" s="8" t="s">
        <v>96</v>
      </c>
      <c r="I171" s="31"/>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15"/>
      <c r="B172" s="40"/>
      <c r="C172" s="54"/>
      <c r="D172" s="55"/>
      <c r="E172" s="8" t="s">
        <v>86</v>
      </c>
      <c r="F172" s="8" t="s">
        <v>90</v>
      </c>
      <c r="G172" s="29" t="str">
        <f>HYPERLINK("https://docs.google.com/spreadsheets/d/15-fTQMw-9Zu5cRxdvoirbDm7uEXc7Yc8sshgHgVwVW0/edit#gid=1069877471", "https://docs.google.com/spreadsheets/d/15-fTQMw-9Zu5cRxdvoirbDm7uEXc7Yc8sshgHgVwVW0/edit#gid=1069877471")</f>
        <v>https://docs.google.com/spreadsheets/d/15-fTQMw-9Zu5cRxdvoirbDm7uEXc7Yc8sshgHgVwVW0/edit#gid=1069877471</v>
      </c>
      <c r="H172" s="8" t="s">
        <v>90</v>
      </c>
      <c r="I172" s="9"/>
      <c r="J172" s="9"/>
      <c r="K172" s="11"/>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15"/>
      <c r="B173" s="40"/>
      <c r="C173" s="54"/>
      <c r="D173" s="55"/>
      <c r="E173" s="8" t="s">
        <v>86</v>
      </c>
      <c r="F173" s="8" t="s">
        <v>92</v>
      </c>
      <c r="G173" s="29" t="str">
        <f>HYPERLINK("https://docs.google.com/spreadsheets/d/15-fTQMw-9Zu5cRxdvoirbDm7uEXc7Yc8sshgHgVwVW0/edit#gid=715888178", "https://docs.google.com/spreadsheets/d/15-fTQMw-9Zu5cRxdvoirbDm7uEXc7Yc8sshgHgVwVW0/edit#gid=715888178")</f>
        <v>https://docs.google.com/spreadsheets/d/15-fTQMw-9Zu5cRxdvoirbDm7uEXc7Yc8sshgHgVwVW0/edit#gid=715888178</v>
      </c>
      <c r="H173" s="8" t="s">
        <v>92</v>
      </c>
      <c r="I173" s="9"/>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15"/>
      <c r="B174" s="40"/>
      <c r="C174" s="54"/>
      <c r="D174" s="55"/>
      <c r="E174" s="8" t="s">
        <v>86</v>
      </c>
      <c r="F174" s="8" t="s">
        <v>175</v>
      </c>
      <c r="G174" s="29" t="str">
        <f>HYPERLINK("https://docs.google.com/spreadsheets/d/15-fTQMw-9Zu5cRxdvoirbDm7uEXc7Yc8sshgHgVwVW0/edit#gid=674083931", "https://docs.google.com/spreadsheets/d/15-fTQMw-9Zu5cRxdvoirbDm7uEXc7Yc8sshgHgVwVW0/edit#gid=674083931")</f>
        <v>https://docs.google.com/spreadsheets/d/15-fTQMw-9Zu5cRxdvoirbDm7uEXc7Yc8sshgHgVwVW0/edit#gid=674083931</v>
      </c>
      <c r="H174" s="8" t="s">
        <v>175</v>
      </c>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15"/>
      <c r="B175" s="40"/>
      <c r="C175" s="54"/>
      <c r="D175" s="55"/>
      <c r="E175" s="28" t="s">
        <v>86</v>
      </c>
      <c r="F175" s="38" t="s">
        <v>94</v>
      </c>
      <c r="G175" s="29" t="str">
        <f>HYPERLINK("https://docs.google.com/spreadsheets/d/15-fTQMw-9Zu5cRxdvoirbDm7uEXc7Yc8sshgHgVwVW0/edit#gid=451733300", "https://docs.google.com/spreadsheets/d/15-fTQMw-9Zu5cRxdvoirbDm7uEXc7Yc8sshgHgVwVW0/edit#gid=451733300")</f>
        <v>https://docs.google.com/spreadsheets/d/15-fTQMw-9Zu5cRxdvoirbDm7uEXc7Yc8sshgHgVwVW0/edit#gid=451733300</v>
      </c>
      <c r="H175" s="38" t="s">
        <v>94</v>
      </c>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B176" s="40"/>
      <c r="C176" s="54"/>
      <c r="D176" s="55"/>
      <c r="E176" s="28" t="s">
        <v>88</v>
      </c>
      <c r="F176" s="38" t="s">
        <v>95</v>
      </c>
      <c r="G176" s="29" t="str">
        <f>HYPERLINK("https://docs.google.com/spreadsheets/d/15-fTQMw-9Zu5cRxdvoirbDm7uEXc7Yc8sshgHgVwVW0/edit#gid=573127955", "https://docs.google.com/spreadsheets/d/15-fTQMw-9Zu5cRxdvoirbDm7uEXc7Yc8sshgHgVwVW0/edit#gid=573127955")</f>
        <v>https://docs.google.com/spreadsheets/d/15-fTQMw-9Zu5cRxdvoirbDm7uEXc7Yc8sshgHgVwVW0/edit#gid=573127955</v>
      </c>
      <c r="H176" s="38" t="s">
        <v>176</v>
      </c>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15"/>
      <c r="B177" s="40"/>
      <c r="C177" s="54"/>
      <c r="D177" s="55"/>
      <c r="E177" s="28" t="s">
        <v>88</v>
      </c>
      <c r="F177" s="28" t="s">
        <v>96</v>
      </c>
      <c r="G177" s="29" t="str">
        <f>HYPERLINK("https://docs.google.com/spreadsheets/d/15-fTQMw-9Zu5cRxdvoirbDm7uEXc7Yc8sshgHgVwVW0/edit#gid=1698958793", "https://docs.google.com/spreadsheets/d/15-fTQMw-9Zu5cRxdvoirbDm7uEXc7Yc8sshgHgVwVW0/edit#gid=1698958793")</f>
        <v>https://docs.google.com/spreadsheets/d/15-fTQMw-9Zu5cRxdvoirbDm7uEXc7Yc8sshgHgVwVW0/edit#gid=1698958793</v>
      </c>
      <c r="H177" s="38" t="s">
        <v>177</v>
      </c>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B178" s="40"/>
      <c r="C178" s="54"/>
      <c r="D178" s="55"/>
      <c r="E178" s="8" t="s">
        <v>178</v>
      </c>
      <c r="F178" s="8" t="s">
        <v>179</v>
      </c>
      <c r="G178" s="29" t="str">
        <f>HYPERLINK("https://docs.google.com/spreadsheets/d/15-fTQMw-9Zu5cRxdvoirbDm7uEXc7Yc8sshgHgVwVW0/edit#gid=1883117737", "https://docs.google.com/spreadsheets/d/15-fTQMw-9Zu5cRxdvoirbDm7uEXc7Yc8sshgHgVwVW0/edit#gid=1883117737")</f>
        <v>https://docs.google.com/spreadsheets/d/15-fTQMw-9Zu5cRxdvoirbDm7uEXc7Yc8sshgHgVwVW0/edit#gid=1883117737</v>
      </c>
      <c r="H178" s="8" t="s">
        <v>179</v>
      </c>
      <c r="I178" s="31"/>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15"/>
      <c r="B179" s="40"/>
      <c r="C179" s="54"/>
      <c r="D179" s="55"/>
      <c r="E179" s="8" t="s">
        <v>178</v>
      </c>
      <c r="F179" s="8" t="s">
        <v>180</v>
      </c>
      <c r="G179" s="29" t="str">
        <f>HYPERLINK("https://docs.google.com/spreadsheets/d/15-fTQMw-9Zu5cRxdvoirbDm7uEXc7Yc8sshgHgVwVW0/edit#gid=797089198", "https://docs.google.com/spreadsheets/d/15-fTQMw-9Zu5cRxdvoirbDm7uEXc7Yc8sshgHgVwVW0/edit#gid=797089198")</f>
        <v>https://docs.google.com/spreadsheets/d/15-fTQMw-9Zu5cRxdvoirbDm7uEXc7Yc8sshgHgVwVW0/edit#gid=797089198</v>
      </c>
      <c r="H179" s="8" t="s">
        <v>180</v>
      </c>
      <c r="I179" s="31"/>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15"/>
      <c r="B180" s="40"/>
      <c r="C180" s="54"/>
      <c r="D180" s="55"/>
      <c r="E180" s="8" t="s">
        <v>178</v>
      </c>
      <c r="F180" s="8" t="s">
        <v>181</v>
      </c>
      <c r="G180" s="29" t="str">
        <f>HYPERLINK("https://docs.google.com/spreadsheets/d/15-fTQMw-9Zu5cRxdvoirbDm7uEXc7Yc8sshgHgVwVW0/edit#gid=1566712106", "https://docs.google.com/spreadsheets/d/15-fTQMw-9Zu5cRxdvoirbDm7uEXc7Yc8sshgHgVwVW0/edit#gid=1566712106")</f>
        <v>https://docs.google.com/spreadsheets/d/15-fTQMw-9Zu5cRxdvoirbDm7uEXc7Yc8sshgHgVwVW0/edit#gid=1566712106</v>
      </c>
      <c r="H180" s="8" t="s">
        <v>181</v>
      </c>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15"/>
      <c r="B181" s="40"/>
      <c r="C181" s="54"/>
      <c r="D181" s="55"/>
      <c r="E181" s="8" t="s">
        <v>178</v>
      </c>
      <c r="F181" s="8" t="s">
        <v>182</v>
      </c>
      <c r="G181" s="29" t="str">
        <f>HYPERLINK("https://docs.google.com/spreadsheets/d/15-fTQMw-9Zu5cRxdvoirbDm7uEXc7Yc8sshgHgVwVW0/edit#gid=878950227", "https://docs.google.com/spreadsheets/d/15-fTQMw-9Zu5cRxdvoirbDm7uEXc7Yc8sshgHgVwVW0/edit#gid=878950227")</f>
        <v>https://docs.google.com/spreadsheets/d/15-fTQMw-9Zu5cRxdvoirbDm7uEXc7Yc8sshgHgVwVW0/edit#gid=878950227</v>
      </c>
      <c r="H181" s="8" t="s">
        <v>182</v>
      </c>
      <c r="I181" s="9"/>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15"/>
      <c r="B182" s="40"/>
      <c r="C182" s="54"/>
      <c r="D182" s="55"/>
      <c r="E182" s="31"/>
      <c r="F182" s="31"/>
      <c r="G182" s="29"/>
      <c r="H182" s="31"/>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15"/>
      <c r="B183" s="40"/>
      <c r="C183" s="54"/>
      <c r="D183" s="55"/>
      <c r="E183" s="37"/>
      <c r="F183" s="31"/>
      <c r="G183" s="29"/>
      <c r="H183" s="31"/>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15"/>
      <c r="B184" s="26" t="s">
        <v>183</v>
      </c>
      <c r="C184" s="52" t="s">
        <v>184</v>
      </c>
      <c r="D184" s="53" t="s">
        <v>20</v>
      </c>
      <c r="E184" s="28" t="s">
        <v>21</v>
      </c>
      <c r="F184" s="38" t="s">
        <v>51</v>
      </c>
      <c r="G184" s="29" t="str">
        <f>HYPERLINK("https://docs.google.com/spreadsheets/d/15ATidEVEwt-08WBC73Yaqkz4mw38v91eMW_E2mwtFAk/edit#gid=1236820257", "https://docs.google.com/spreadsheets/d/15ATidEVEwt-08WBC73Yaqkz4mw38v91eMW_E2mwtFAk/edit#gid=1236820257")</f>
        <v>https://docs.google.com/spreadsheets/d/15ATidEVEwt-08WBC73Yaqkz4mw38v91eMW_E2mwtFAk/edit#gid=1236820257</v>
      </c>
      <c r="H184" s="38" t="s">
        <v>51</v>
      </c>
      <c r="I184" s="9"/>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15"/>
      <c r="B185" s="40"/>
      <c r="C185" s="54"/>
      <c r="D185" s="55"/>
      <c r="E185" s="28" t="s">
        <v>172</v>
      </c>
      <c r="F185" s="28" t="s">
        <v>173</v>
      </c>
      <c r="G185" s="29" t="str">
        <f>HYPERLINK("https://docs.google.com/spreadsheets/d/15ATidEVEwt-08WBC73Yaqkz4mw38v91eMW_E2mwtFAk/edit#gid=1577022070", "https://docs.google.com/spreadsheets/d/15ATidEVEwt-08WBC73Yaqkz4mw38v91eMW_E2mwtFAk/edit#gid=1577022070")</f>
        <v>https://docs.google.com/spreadsheets/d/15ATidEVEwt-08WBC73Yaqkz4mw38v91eMW_E2mwtFAk/edit#gid=1577022070</v>
      </c>
      <c r="H185" s="38" t="s">
        <v>173</v>
      </c>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15"/>
      <c r="B186" s="40"/>
      <c r="C186" s="54"/>
      <c r="D186" s="55"/>
      <c r="E186" s="8" t="s">
        <v>172</v>
      </c>
      <c r="F186" s="8" t="s">
        <v>174</v>
      </c>
      <c r="G186" s="29" t="str">
        <f>HYPERLINK("https://docs.google.com/spreadsheets/d/15ATidEVEwt-08WBC73Yaqkz4mw38v91eMW_E2mwtFAk/edit#gid=1504224539", "https://docs.google.com/spreadsheets/d/15ATidEVEwt-08WBC73Yaqkz4mw38v91eMW_E2mwtFAk/edit#gid=1504224539")</f>
        <v>https://docs.google.com/spreadsheets/d/15ATidEVEwt-08WBC73Yaqkz4mw38v91eMW_E2mwtFAk/edit#gid=1504224539</v>
      </c>
      <c r="H186" s="8" t="s">
        <v>174</v>
      </c>
      <c r="I186" s="31"/>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15"/>
      <c r="B187" s="40"/>
      <c r="C187" s="54"/>
      <c r="D187" s="55"/>
      <c r="E187" s="8" t="s">
        <v>172</v>
      </c>
      <c r="F187" s="8" t="s">
        <v>185</v>
      </c>
      <c r="G187" s="29" t="str">
        <f>HYPERLINK("https://docs.google.com/spreadsheets/d/15ATidEVEwt-08WBC73Yaqkz4mw38v91eMW_E2mwtFAk/edit#gid=742945174", "https://docs.google.com/spreadsheets/d/15ATidEVEwt-08WBC73Yaqkz4mw38v91eMW_E2mwtFAk/edit#gid=742945174")</f>
        <v>https://docs.google.com/spreadsheets/d/15ATidEVEwt-08WBC73Yaqkz4mw38v91eMW_E2mwtFAk/edit#gid=742945174</v>
      </c>
      <c r="H187" s="8" t="s">
        <v>185</v>
      </c>
      <c r="I187" s="31"/>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15"/>
      <c r="B188" s="40"/>
      <c r="C188" s="54"/>
      <c r="D188" s="55"/>
      <c r="E188" s="8" t="s">
        <v>86</v>
      </c>
      <c r="F188" s="8" t="s">
        <v>90</v>
      </c>
      <c r="G188" s="29" t="str">
        <f>HYPERLINK("https://docs.google.com/spreadsheets/d/15ATidEVEwt-08WBC73Yaqkz4mw38v91eMW_E2mwtFAk/edit#gid=950570327", "https://docs.google.com/spreadsheets/d/15ATidEVEwt-08WBC73Yaqkz4mw38v91eMW_E2mwtFAk/edit#gid=950570327")</f>
        <v>https://docs.google.com/spreadsheets/d/15ATidEVEwt-08WBC73Yaqkz4mw38v91eMW_E2mwtFAk/edit#gid=950570327</v>
      </c>
      <c r="H188" s="8" t="s">
        <v>90</v>
      </c>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15"/>
      <c r="B189" s="40"/>
      <c r="C189" s="54"/>
      <c r="D189" s="55"/>
      <c r="E189" s="8" t="s">
        <v>86</v>
      </c>
      <c r="F189" s="8" t="s">
        <v>92</v>
      </c>
      <c r="G189" s="29" t="str">
        <f>HYPERLINK("https://docs.google.com/spreadsheets/d/15ATidEVEwt-08WBC73Yaqkz4mw38v91eMW_E2mwtFAk/edit#gid=570739954", "https://docs.google.com/spreadsheets/d/15ATidEVEwt-08WBC73Yaqkz4mw38v91eMW_E2mwtFAk/edit#gid=570739954")</f>
        <v>https://docs.google.com/spreadsheets/d/15ATidEVEwt-08WBC73Yaqkz4mw38v91eMW_E2mwtFAk/edit#gid=570739954</v>
      </c>
      <c r="H189" s="8" t="s">
        <v>92</v>
      </c>
      <c r="I189" s="9"/>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15"/>
      <c r="B190" s="40"/>
      <c r="C190" s="54"/>
      <c r="D190" s="55"/>
      <c r="E190" s="8" t="s">
        <v>86</v>
      </c>
      <c r="F190" s="8" t="s">
        <v>175</v>
      </c>
      <c r="G190" s="29" t="str">
        <f>HYPERLINK("https://docs.google.com/spreadsheets/d/15ATidEVEwt-08WBC73Yaqkz4mw38v91eMW_E2mwtFAk/edit#gid=314375995", "https://docs.google.com/spreadsheets/d/15ATidEVEwt-08WBC73Yaqkz4mw38v91eMW_E2mwtFAk/edit#gid=314375995")</f>
        <v>https://docs.google.com/spreadsheets/d/15ATidEVEwt-08WBC73Yaqkz4mw38v91eMW_E2mwtFAk/edit#gid=314375995</v>
      </c>
      <c r="H190" s="8" t="s">
        <v>175</v>
      </c>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B191" s="40"/>
      <c r="C191" s="54"/>
      <c r="D191" s="55"/>
      <c r="E191" s="28" t="s">
        <v>88</v>
      </c>
      <c r="F191" s="8" t="s">
        <v>95</v>
      </c>
      <c r="G191" s="29" t="str">
        <f>HYPERLINK("https://docs.google.com/spreadsheets/d/15ATidEVEwt-08WBC73Yaqkz4mw38v91eMW_E2mwtFAk/edit#gid=1818068770", "https://docs.google.com/spreadsheets/d/15ATidEVEwt-08WBC73Yaqkz4mw38v91eMW_E2mwtFAk/edit#gid=1818068770")</f>
        <v>https://docs.google.com/spreadsheets/d/15ATidEVEwt-08WBC73Yaqkz4mw38v91eMW_E2mwtFAk/edit#gid=1818068770</v>
      </c>
      <c r="H191" s="8" t="s">
        <v>95</v>
      </c>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B192" s="40"/>
      <c r="C192" s="54"/>
      <c r="D192" s="55"/>
      <c r="E192" s="28" t="s">
        <v>88</v>
      </c>
      <c r="F192" s="38" t="s">
        <v>96</v>
      </c>
      <c r="G192" s="29" t="str">
        <f>HYPERLINK("https://docs.google.com/spreadsheets/d/15ATidEVEwt-08WBC73Yaqkz4mw38v91eMW_E2mwtFAk/edit#gid=561924952", "https://docs.google.com/spreadsheets/d/15ATidEVEwt-08WBC73Yaqkz4mw38v91eMW_E2mwtFAk/edit#gid=561924952")</f>
        <v>https://docs.google.com/spreadsheets/d/15ATidEVEwt-08WBC73Yaqkz4mw38v91eMW_E2mwtFAk/edit#gid=561924952</v>
      </c>
      <c r="H192" s="38" t="s">
        <v>96</v>
      </c>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15"/>
      <c r="B193" s="40"/>
      <c r="C193" s="54"/>
      <c r="D193" s="55"/>
      <c r="E193" s="28" t="s">
        <v>178</v>
      </c>
      <c r="F193" s="28" t="s">
        <v>179</v>
      </c>
      <c r="G193" s="29" t="str">
        <f>HYPERLINK("https://docs.google.com/spreadsheets/d/15ATidEVEwt-08WBC73Yaqkz4mw38v91eMW_E2mwtFAk/edit#gid=1374164349", "https://docs.google.com/spreadsheets/d/15ATidEVEwt-08WBC73Yaqkz4mw38v91eMW_E2mwtFAk/edit#gid=1374164349")</f>
        <v>https://docs.google.com/spreadsheets/d/15ATidEVEwt-08WBC73Yaqkz4mw38v91eMW_E2mwtFAk/edit#gid=1374164349</v>
      </c>
      <c r="H193" s="38" t="s">
        <v>179</v>
      </c>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15"/>
      <c r="B194" s="40"/>
      <c r="C194" s="54"/>
      <c r="D194" s="55"/>
      <c r="E194" s="8" t="s">
        <v>178</v>
      </c>
      <c r="F194" s="8" t="s">
        <v>180</v>
      </c>
      <c r="G194" s="29" t="str">
        <f>HYPERLINK("https://docs.google.com/spreadsheets/d/15ATidEVEwt-08WBC73Yaqkz4mw38v91eMW_E2mwtFAk/edit#gid=289621079", "https://docs.google.com/spreadsheets/d/15ATidEVEwt-08WBC73Yaqkz4mw38v91eMW_E2mwtFAk/edit#gid=289621079")</f>
        <v>https://docs.google.com/spreadsheets/d/15ATidEVEwt-08WBC73Yaqkz4mw38v91eMW_E2mwtFAk/edit#gid=289621079</v>
      </c>
      <c r="H194" s="8" t="s">
        <v>180</v>
      </c>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15"/>
      <c r="B195" s="40"/>
      <c r="C195" s="54"/>
      <c r="D195" s="55"/>
      <c r="E195" s="31"/>
      <c r="F195" s="31"/>
      <c r="G195" s="29"/>
      <c r="H195" s="31"/>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15"/>
      <c r="B196" s="40"/>
      <c r="C196" s="54"/>
      <c r="D196" s="55"/>
      <c r="E196" s="31"/>
      <c r="F196" s="31"/>
      <c r="G196" s="29"/>
      <c r="H196" s="31"/>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15"/>
      <c r="B197" s="40"/>
      <c r="C197" s="54"/>
      <c r="D197" s="55"/>
      <c r="E197" s="31"/>
      <c r="F197" s="31"/>
      <c r="G197" s="29"/>
      <c r="H197" s="31"/>
      <c r="I197" s="9"/>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15"/>
      <c r="B198" s="26" t="s">
        <v>186</v>
      </c>
      <c r="C198" s="52" t="s">
        <v>187</v>
      </c>
      <c r="D198" s="53" t="s">
        <v>20</v>
      </c>
      <c r="E198" s="8" t="s">
        <v>21</v>
      </c>
      <c r="F198" s="8" t="s">
        <v>51</v>
      </c>
      <c r="G198" s="29" t="str">
        <f>HYPERLINK("https://docs.google.com/spreadsheets/d/12Pv1QyKEdi9ZRDtHEYLYlIIT99aLVGvnsr69YTJ6yVU/edit#gid=1533814512", "https://docs.google.com/spreadsheets/d/12Pv1QyKEdi9ZRDtHEYLYlIIT99aLVGvnsr69YTJ6yVU/edit#gid=1533814512")</f>
        <v>https://docs.google.com/spreadsheets/d/12Pv1QyKEdi9ZRDtHEYLYlIIT99aLVGvnsr69YTJ6yVU/edit#gid=1533814512</v>
      </c>
      <c r="H198" s="8" t="s">
        <v>51</v>
      </c>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15"/>
      <c r="B199" s="40"/>
      <c r="C199" s="54"/>
      <c r="D199" s="55"/>
      <c r="E199" s="8" t="s">
        <v>172</v>
      </c>
      <c r="F199" s="8" t="s">
        <v>173</v>
      </c>
      <c r="G199" s="29" t="str">
        <f>HYPERLINK("https://docs.google.com/spreadsheets/d/12Pv1QyKEdi9ZRDtHEYLYlIIT99aLVGvnsr69YTJ6yVU/edit#gid=1119604374", "https://docs.google.com/spreadsheets/d/12Pv1QyKEdi9ZRDtHEYLYlIIT99aLVGvnsr69YTJ6yVU/edit#gid=1119604374")</f>
        <v>https://docs.google.com/spreadsheets/d/12Pv1QyKEdi9ZRDtHEYLYlIIT99aLVGvnsr69YTJ6yVU/edit#gid=1119604374</v>
      </c>
      <c r="H199" s="8" t="s">
        <v>173</v>
      </c>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15"/>
      <c r="B200" s="40"/>
      <c r="C200" s="54"/>
      <c r="D200" s="55"/>
      <c r="E200" s="28" t="s">
        <v>172</v>
      </c>
      <c r="F200" s="8" t="s">
        <v>174</v>
      </c>
      <c r="G200" s="29" t="str">
        <f>HYPERLINK("https://docs.google.com/spreadsheets/d/12Pv1QyKEdi9ZRDtHEYLYlIIT99aLVGvnsr69YTJ6yVU/edit#gid=1192315065", "https://docs.google.com/spreadsheets/d/12Pv1QyKEdi9ZRDtHEYLYlIIT99aLVGvnsr69YTJ6yVU/edit#gid=1192315065")</f>
        <v>https://docs.google.com/spreadsheets/d/12Pv1QyKEdi9ZRDtHEYLYlIIT99aLVGvnsr69YTJ6yVU/edit#gid=1192315065</v>
      </c>
      <c r="H200" s="8" t="s">
        <v>174</v>
      </c>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B201" s="40"/>
      <c r="C201" s="54"/>
      <c r="D201" s="55"/>
      <c r="E201" s="28" t="s">
        <v>86</v>
      </c>
      <c r="F201" s="38" t="s">
        <v>90</v>
      </c>
      <c r="G201" s="29" t="str">
        <f>HYPERLINK("https://docs.google.com/spreadsheets/d/12Pv1QyKEdi9ZRDtHEYLYlIIT99aLVGvnsr69YTJ6yVU/edit#gid=850287529", "https://docs.google.com/spreadsheets/d/12Pv1QyKEdi9ZRDtHEYLYlIIT99aLVGvnsr69YTJ6yVU/edit#gid=850287529")</f>
        <v>https://docs.google.com/spreadsheets/d/12Pv1QyKEdi9ZRDtHEYLYlIIT99aLVGvnsr69YTJ6yVU/edit#gid=850287529</v>
      </c>
      <c r="H201" s="38" t="s">
        <v>90</v>
      </c>
      <c r="I201" s="31"/>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15"/>
      <c r="B202" s="40"/>
      <c r="C202" s="54"/>
      <c r="D202" s="55"/>
      <c r="E202" s="28" t="s">
        <v>86</v>
      </c>
      <c r="F202" s="28" t="s">
        <v>92</v>
      </c>
      <c r="G202" s="29" t="str">
        <f>HYPERLINK("https://docs.google.com/spreadsheets/d/12Pv1QyKEdi9ZRDtHEYLYlIIT99aLVGvnsr69YTJ6yVU/edit#gid=527362828", "https://docs.google.com/spreadsheets/d/12Pv1QyKEdi9ZRDtHEYLYlIIT99aLVGvnsr69YTJ6yVU/edit#gid=527362828")</f>
        <v>https://docs.google.com/spreadsheets/d/12Pv1QyKEdi9ZRDtHEYLYlIIT99aLVGvnsr69YTJ6yVU/edit#gid=527362828</v>
      </c>
      <c r="H202" s="38" t="s">
        <v>92</v>
      </c>
      <c r="I202" s="31"/>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B203" s="40"/>
      <c r="C203" s="54"/>
      <c r="D203" s="55"/>
      <c r="E203" s="8" t="s">
        <v>86</v>
      </c>
      <c r="F203" s="58" t="s">
        <v>175</v>
      </c>
      <c r="G203" s="29" t="str">
        <f>HYPERLINK("https://docs.google.com/spreadsheets/d/12Pv1QyKEdi9ZRDtHEYLYlIIT99aLVGvnsr69YTJ6yVU/edit#gid=290822818", "https://docs.google.com/spreadsheets/d/12Pv1QyKEdi9ZRDtHEYLYlIIT99aLVGvnsr69YTJ6yVU/edit#gid=290822818")</f>
        <v>https://docs.google.com/spreadsheets/d/12Pv1QyKEdi9ZRDtHEYLYlIIT99aLVGvnsr69YTJ6yVU/edit#gid=290822818</v>
      </c>
      <c r="H203" s="58" t="s">
        <v>175</v>
      </c>
      <c r="I203" s="9"/>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15"/>
      <c r="B204" s="40"/>
      <c r="C204" s="54"/>
      <c r="D204" s="55"/>
      <c r="E204" s="8" t="s">
        <v>86</v>
      </c>
      <c r="F204" s="8" t="s">
        <v>94</v>
      </c>
      <c r="G204" s="29" t="str">
        <f>HYPERLINK("https://docs.google.com/spreadsheets/d/12Pv1QyKEdi9ZRDtHEYLYlIIT99aLVGvnsr69YTJ6yVU/edit#gid=1473815856", "https://docs.google.com/spreadsheets/d/12Pv1QyKEdi9ZRDtHEYLYlIIT99aLVGvnsr69YTJ6yVU/edit#gid=1473815856")</f>
        <v>https://docs.google.com/spreadsheets/d/12Pv1QyKEdi9ZRDtHEYLYlIIT99aLVGvnsr69YTJ6yVU/edit#gid=1473815856</v>
      </c>
      <c r="H204" s="8" t="s">
        <v>94</v>
      </c>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B205" s="40"/>
      <c r="C205" s="41"/>
      <c r="D205" s="31"/>
      <c r="E205" s="8" t="s">
        <v>88</v>
      </c>
      <c r="F205" s="8" t="s">
        <v>95</v>
      </c>
      <c r="G205" s="29" t="str">
        <f>HYPERLINK("https://docs.google.com/spreadsheets/d/12Pv1QyKEdi9ZRDtHEYLYlIIT99aLVGvnsr69YTJ6yVU/edit#gid=899315859", "https://docs.google.com/spreadsheets/d/12Pv1QyKEdi9ZRDtHEYLYlIIT99aLVGvnsr69YTJ6yVU/edit#gid=899315859")</f>
        <v>https://docs.google.com/spreadsheets/d/12Pv1QyKEdi9ZRDtHEYLYlIIT99aLVGvnsr69YTJ6yVU/edit#gid=899315859</v>
      </c>
      <c r="H205" s="8" t="s">
        <v>95</v>
      </c>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40"/>
      <c r="C206" s="41"/>
      <c r="D206" s="31"/>
      <c r="E206" s="8" t="s">
        <v>88</v>
      </c>
      <c r="F206" s="8" t="s">
        <v>96</v>
      </c>
      <c r="G206" s="29" t="str">
        <f>HYPERLINK("https://docs.google.com/spreadsheets/d/12Pv1QyKEdi9ZRDtHEYLYlIIT99aLVGvnsr69YTJ6yVU/edit#gid=858441604", "https://docs.google.com/spreadsheets/d/12Pv1QyKEdi9ZRDtHEYLYlIIT99aLVGvnsr69YTJ6yVU/edit#gid=858441604")</f>
        <v>https://docs.google.com/spreadsheets/d/12Pv1QyKEdi9ZRDtHEYLYlIIT99aLVGvnsr69YTJ6yVU/edit#gid=858441604</v>
      </c>
      <c r="H206" s="8" t="s">
        <v>96</v>
      </c>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40"/>
      <c r="C207" s="41"/>
      <c r="D207" s="31"/>
      <c r="E207" s="8" t="s">
        <v>178</v>
      </c>
      <c r="F207" s="8" t="s">
        <v>179</v>
      </c>
      <c r="G207" s="29" t="str">
        <f>HYPERLINK("https://docs.google.com/spreadsheets/d/12Pv1QyKEdi9ZRDtHEYLYlIIT99aLVGvnsr69YTJ6yVU/edit#gid=915230531", "https://docs.google.com/spreadsheets/d/12Pv1QyKEdi9ZRDtHEYLYlIIT99aLVGvnsr69YTJ6yVU/edit#gid=915230531")</f>
        <v>https://docs.google.com/spreadsheets/d/12Pv1QyKEdi9ZRDtHEYLYlIIT99aLVGvnsr69YTJ6yVU/edit#gid=915230531</v>
      </c>
      <c r="H207" s="8" t="s">
        <v>179</v>
      </c>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B208" s="40"/>
      <c r="C208" s="41"/>
      <c r="D208" s="31"/>
      <c r="E208" s="8" t="s">
        <v>178</v>
      </c>
      <c r="F208" s="8" t="s">
        <v>180</v>
      </c>
      <c r="G208" s="29" t="str">
        <f>HYPERLINK("https://docs.google.com/spreadsheets/d/12Pv1QyKEdi9ZRDtHEYLYlIIT99aLVGvnsr69YTJ6yVU/edit#gid=479114178", "https://docs.google.com/spreadsheets/d/12Pv1QyKEdi9ZRDtHEYLYlIIT99aLVGvnsr69YTJ6yVU/edit#gid=479114178")</f>
        <v>https://docs.google.com/spreadsheets/d/12Pv1QyKEdi9ZRDtHEYLYlIIT99aLVGvnsr69YTJ6yVU/edit#gid=479114178</v>
      </c>
      <c r="H208" s="8" t="s">
        <v>180</v>
      </c>
      <c r="I208" s="31"/>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B209" s="40"/>
      <c r="C209" s="41"/>
      <c r="D209" s="31"/>
      <c r="E209" s="28" t="s">
        <v>178</v>
      </c>
      <c r="F209" s="8" t="s">
        <v>181</v>
      </c>
      <c r="G209" s="29" t="str">
        <f>HYPERLINK("https://docs.google.com/spreadsheets/d/12Pv1QyKEdi9ZRDtHEYLYlIIT99aLVGvnsr69YTJ6yVU/edit#gid=2057845399", "https://docs.google.com/spreadsheets/d/12Pv1QyKEdi9ZRDtHEYLYlIIT99aLVGvnsr69YTJ6yVU/edit#gid=2057845399")</f>
        <v>https://docs.google.com/spreadsheets/d/12Pv1QyKEdi9ZRDtHEYLYlIIT99aLVGvnsr69YTJ6yVU/edit#gid=2057845399</v>
      </c>
      <c r="H209" s="8" t="s">
        <v>181</v>
      </c>
      <c r="I209" s="31"/>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B210" s="40"/>
      <c r="C210" s="41"/>
      <c r="D210" s="31"/>
      <c r="E210" s="28" t="s">
        <v>178</v>
      </c>
      <c r="F210" s="38" t="s">
        <v>182</v>
      </c>
      <c r="G210" s="29" t="str">
        <f>HYPERLINK("https://docs.google.com/spreadsheets/d/12Pv1QyKEdi9ZRDtHEYLYlIIT99aLVGvnsr69YTJ6yVU/edit#gid=509460610", "https://docs.google.com/spreadsheets/d/12Pv1QyKEdi9ZRDtHEYLYlIIT99aLVGvnsr69YTJ6yVU/edit#gid=509460610")</f>
        <v>https://docs.google.com/spreadsheets/d/12Pv1QyKEdi9ZRDtHEYLYlIIT99aLVGvnsr69YTJ6yVU/edit#gid=509460610</v>
      </c>
      <c r="H210" s="38" t="s">
        <v>182</v>
      </c>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B211" s="40"/>
      <c r="C211" s="41"/>
      <c r="D211" s="31"/>
      <c r="E211" s="37"/>
      <c r="F211" s="37"/>
      <c r="G211" s="29"/>
      <c r="H211" s="30"/>
      <c r="I211" s="9"/>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B212" s="40"/>
      <c r="C212" s="41"/>
      <c r="D212" s="31"/>
      <c r="E212" s="31"/>
      <c r="F212" s="59"/>
      <c r="G212" s="29"/>
      <c r="H212" s="59"/>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B213" s="40"/>
      <c r="C213" s="54"/>
      <c r="D213" s="55"/>
      <c r="E213" s="31"/>
      <c r="F213" s="31"/>
      <c r="G213" s="29"/>
      <c r="H213" s="31"/>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B214" s="26" t="s">
        <v>188</v>
      </c>
      <c r="C214" s="52" t="s">
        <v>189</v>
      </c>
      <c r="D214" s="53" t="s">
        <v>20</v>
      </c>
      <c r="E214" s="8" t="s">
        <v>21</v>
      </c>
      <c r="F214" s="8" t="s">
        <v>51</v>
      </c>
      <c r="G214" s="29" t="str">
        <f>HYPERLINK("https://docs.google.com/spreadsheets/d/10rXxAxdim73paQw0fwVSou6wsIsOmz7Hc2eRj0A-Npc/edit#gid=634357640", "https://docs.google.com/spreadsheets/d/10rXxAxdim73paQw0fwVSou6wsIsOmz7Hc2eRj0A-Npc/edit#gid=634357640")</f>
        <v>https://docs.google.com/spreadsheets/d/10rXxAxdim73paQw0fwVSou6wsIsOmz7Hc2eRj0A-Npc/edit#gid=634357640</v>
      </c>
      <c r="H214" s="8" t="s">
        <v>51</v>
      </c>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B215" s="40"/>
      <c r="C215" s="54"/>
      <c r="D215" s="55"/>
      <c r="E215" s="8" t="s">
        <v>172</v>
      </c>
      <c r="F215" s="8" t="s">
        <v>173</v>
      </c>
      <c r="G215" s="29" t="str">
        <f>HYPERLINK("https://docs.google.com/spreadsheets/d/10rXxAxdim73paQw0fwVSou6wsIsOmz7Hc2eRj0A-Npc/edit#gid=768214651", "https://docs.google.com/spreadsheets/d/10rXxAxdim73paQw0fwVSou6wsIsOmz7Hc2eRj0A-Npc/edit#gid=768214651")</f>
        <v>https://docs.google.com/spreadsheets/d/10rXxAxdim73paQw0fwVSou6wsIsOmz7Hc2eRj0A-Npc/edit#gid=768214651</v>
      </c>
      <c r="H215" s="8" t="s">
        <v>173</v>
      </c>
      <c r="I215" s="31"/>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B216" s="40"/>
      <c r="C216" s="54"/>
      <c r="D216" s="55"/>
      <c r="E216" s="8" t="s">
        <v>172</v>
      </c>
      <c r="F216" s="8" t="s">
        <v>174</v>
      </c>
      <c r="G216" s="29" t="str">
        <f>HYPERLINK("https://docs.google.com/spreadsheets/d/10rXxAxdim73paQw0fwVSou6wsIsOmz7Hc2eRj0A-Npc/edit#gid=517873883", "https://docs.google.com/spreadsheets/d/10rXxAxdim73paQw0fwVSou6wsIsOmz7Hc2eRj0A-Npc/edit#gid=517873883")</f>
        <v>https://docs.google.com/spreadsheets/d/10rXxAxdim73paQw0fwVSou6wsIsOmz7Hc2eRj0A-Npc/edit#gid=517873883</v>
      </c>
      <c r="H216" s="8" t="s">
        <v>174</v>
      </c>
      <c r="I216" s="31"/>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40"/>
      <c r="C217" s="54"/>
      <c r="D217" s="55"/>
      <c r="E217" s="28" t="s">
        <v>86</v>
      </c>
      <c r="F217" s="8" t="s">
        <v>90</v>
      </c>
      <c r="G217" s="29" t="str">
        <f>HYPERLINK("https://docs.google.com/spreadsheets/d/10rXxAxdim73paQw0fwVSou6wsIsOmz7Hc2eRj0A-Npc/edit#gid=1294594748", "https://docs.google.com/spreadsheets/d/10rXxAxdim73paQw0fwVSou6wsIsOmz7Hc2eRj0A-Npc/edit#gid=1294594748")</f>
        <v>https://docs.google.com/spreadsheets/d/10rXxAxdim73paQw0fwVSou6wsIsOmz7Hc2eRj0A-Npc/edit#gid=1294594748</v>
      </c>
      <c r="H217" s="8" t="s">
        <v>90</v>
      </c>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40"/>
      <c r="C218" s="54"/>
      <c r="D218" s="55"/>
      <c r="E218" s="28" t="s">
        <v>86</v>
      </c>
      <c r="F218" s="38" t="s">
        <v>92</v>
      </c>
      <c r="G218" s="29" t="str">
        <f>HYPERLINK("https://docs.google.com/spreadsheets/d/10rXxAxdim73paQw0fwVSou6wsIsOmz7Hc2eRj0A-Npc/edit#gid=878306630", "https://docs.google.com/spreadsheets/d/10rXxAxdim73paQw0fwVSou6wsIsOmz7Hc2eRj0A-Npc/edit#gid=878306630")</f>
        <v>https://docs.google.com/spreadsheets/d/10rXxAxdim73paQw0fwVSou6wsIsOmz7Hc2eRj0A-Npc/edit#gid=878306630</v>
      </c>
      <c r="H218" s="38" t="s">
        <v>92</v>
      </c>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40"/>
      <c r="C219" s="54"/>
      <c r="D219" s="55"/>
      <c r="E219" s="28" t="s">
        <v>86</v>
      </c>
      <c r="F219" s="28" t="s">
        <v>175</v>
      </c>
      <c r="G219" s="29" t="str">
        <f>HYPERLINK("https://docs.google.com/spreadsheets/d/10rXxAxdim73paQw0fwVSou6wsIsOmz7Hc2eRj0A-Npc/edit#gid=1002913816", "https://docs.google.com/spreadsheets/d/10rXxAxdim73paQw0fwVSou6wsIsOmz7Hc2eRj0A-Npc/edit#gid=1002913816")</f>
        <v>https://docs.google.com/spreadsheets/d/10rXxAxdim73paQw0fwVSou6wsIsOmz7Hc2eRj0A-Npc/edit#gid=1002913816</v>
      </c>
      <c r="H219" s="38" t="s">
        <v>175</v>
      </c>
      <c r="I219" s="9"/>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B220" s="40"/>
      <c r="C220" s="54"/>
      <c r="D220" s="55"/>
      <c r="E220" s="8" t="s">
        <v>86</v>
      </c>
      <c r="F220" s="58" t="s">
        <v>94</v>
      </c>
      <c r="G220" s="29" t="str">
        <f>HYPERLINK("https://docs.google.com/spreadsheets/d/10rXxAxdim73paQw0fwVSou6wsIsOmz7Hc2eRj0A-Npc/edit#gid=1326158163", "https://docs.google.com/spreadsheets/d/10rXxAxdim73paQw0fwVSou6wsIsOmz7Hc2eRj0A-Npc/edit#gid=1326158163")</f>
        <v>https://docs.google.com/spreadsheets/d/10rXxAxdim73paQw0fwVSou6wsIsOmz7Hc2eRj0A-Npc/edit#gid=1326158163</v>
      </c>
      <c r="H220" s="58" t="s">
        <v>94</v>
      </c>
      <c r="I220" s="9"/>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B221" s="40"/>
      <c r="C221" s="41"/>
      <c r="D221" s="31"/>
      <c r="E221" s="28" t="s">
        <v>88</v>
      </c>
      <c r="F221" s="8" t="s">
        <v>95</v>
      </c>
      <c r="G221" s="60" t="str">
        <f>HYPERLINK("https://docs.google.com/spreadsheets/d/10rXxAxdim73paQw0fwVSou6wsIsOmz7Hc2eRj0A-Npc/edit#gid=988318492", "https://docs.google.com/spreadsheets/d/10rXxAxdim73paQw0fwVSou6wsIsOmz7Hc2eRj0A-Npc/edit#gid=988318492")</f>
        <v>https://docs.google.com/spreadsheets/d/10rXxAxdim73paQw0fwVSou6wsIsOmz7Hc2eRj0A-Npc/edit#gid=988318492</v>
      </c>
      <c r="H221" s="8" t="s">
        <v>95</v>
      </c>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B222" s="26"/>
      <c r="C222" s="54"/>
      <c r="D222" s="55"/>
      <c r="E222" s="8" t="s">
        <v>88</v>
      </c>
      <c r="F222" s="8" t="s">
        <v>96</v>
      </c>
      <c r="G222" s="34" t="str">
        <f>HYPERLINK("https://docs.google.com/spreadsheets/d/10rXxAxdim73paQw0fwVSou6wsIsOmz7Hc2eRj0A-Npc/edit#gid=1493690700", "https://docs.google.com/spreadsheets/d/10rXxAxdim73paQw0fwVSou6wsIsOmz7Hc2eRj0A-Npc/edit#gid=1493690700")</f>
        <v>https://docs.google.com/spreadsheets/d/10rXxAxdim73paQw0fwVSou6wsIsOmz7Hc2eRj0A-Npc/edit#gid=1493690700</v>
      </c>
      <c r="H222" s="8" t="s">
        <v>96</v>
      </c>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B223" s="26"/>
      <c r="C223" s="54"/>
      <c r="D223" s="55"/>
      <c r="E223" s="8" t="s">
        <v>178</v>
      </c>
      <c r="F223" s="8" t="s">
        <v>179</v>
      </c>
      <c r="G223" s="34" t="str">
        <f>HYPERLINK("https://docs.google.com/spreadsheets/d/10rXxAxdim73paQw0fwVSou6wsIsOmz7Hc2eRj0A-Npc/edit#gid=914796056", "https://docs.google.com/spreadsheets/d/10rXxAxdim73paQw0fwVSou6wsIsOmz7Hc2eRj0A-Npc/edit#gid=914796056")</f>
        <v>https://docs.google.com/spreadsheets/d/10rXxAxdim73paQw0fwVSou6wsIsOmz7Hc2eRj0A-Npc/edit#gid=914796056</v>
      </c>
      <c r="H223" s="8" t="s">
        <v>179</v>
      </c>
      <c r="I223" s="9"/>
      <c r="J223" s="9"/>
      <c r="K223" s="6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B224" s="26"/>
      <c r="C224" s="54"/>
      <c r="D224" s="55"/>
      <c r="E224" s="8" t="s">
        <v>178</v>
      </c>
      <c r="F224" s="8" t="s">
        <v>180</v>
      </c>
      <c r="G224" s="34" t="str">
        <f>HYPERLINK("https://docs.google.com/spreadsheets/d/10rXxAxdim73paQw0fwVSou6wsIsOmz7Hc2eRj0A-Npc/edit#gid=673170004", "https://docs.google.com/spreadsheets/d/10rXxAxdim73paQw0fwVSou6wsIsOmz7Hc2eRj0A-Npc/edit#gid=673170004")</f>
        <v>https://docs.google.com/spreadsheets/d/10rXxAxdim73paQw0fwVSou6wsIsOmz7Hc2eRj0A-Npc/edit#gid=673170004</v>
      </c>
      <c r="H224" s="8" t="s">
        <v>180</v>
      </c>
      <c r="I224" s="31"/>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B225" s="26"/>
      <c r="C225" s="54"/>
      <c r="D225" s="55"/>
      <c r="E225" s="28" t="s">
        <v>178</v>
      </c>
      <c r="F225" s="8" t="s">
        <v>181</v>
      </c>
      <c r="G225" s="34" t="str">
        <f>HYPERLINK("https://docs.google.com/spreadsheets/d/10rXxAxdim73paQw0fwVSou6wsIsOmz7Hc2eRj0A-Npc/edit#gid=1163096971", "https://docs.google.com/spreadsheets/d/10rXxAxdim73paQw0fwVSou6wsIsOmz7Hc2eRj0A-Npc/edit#gid=1163096971")</f>
        <v>https://docs.google.com/spreadsheets/d/10rXxAxdim73paQw0fwVSou6wsIsOmz7Hc2eRj0A-Npc/edit#gid=1163096971</v>
      </c>
      <c r="H225" s="8" t="s">
        <v>181</v>
      </c>
      <c r="I225" s="9"/>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B226" s="26"/>
      <c r="C226" s="54"/>
      <c r="D226" s="55"/>
      <c r="E226" s="28" t="s">
        <v>178</v>
      </c>
      <c r="F226" s="38" t="s">
        <v>182</v>
      </c>
      <c r="G226" s="34" t="str">
        <f>HYPERLINK("https://docs.google.com/spreadsheets/d/10rXxAxdim73paQw0fwVSou6wsIsOmz7Hc2eRj0A-Npc/edit#gid=465559120", "https://docs.google.com/spreadsheets/d/10rXxAxdim73paQw0fwVSou6wsIsOmz7Hc2eRj0A-Npc/edit#gid=465559120")</f>
        <v>https://docs.google.com/spreadsheets/d/10rXxAxdim73paQw0fwVSou6wsIsOmz7Hc2eRj0A-Npc/edit#gid=465559120</v>
      </c>
      <c r="H226" s="38" t="s">
        <v>182</v>
      </c>
      <c r="I226" s="31"/>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B227" s="26"/>
      <c r="C227" s="54"/>
      <c r="D227" s="55"/>
      <c r="E227" s="37"/>
      <c r="F227" s="37"/>
      <c r="G227" s="34"/>
      <c r="H227" s="30"/>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B228" s="26"/>
      <c r="C228" s="54"/>
      <c r="D228" s="55"/>
      <c r="E228" s="31"/>
      <c r="F228" s="31"/>
      <c r="G228" s="34"/>
      <c r="H228" s="31"/>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B229" s="26"/>
      <c r="C229" s="54"/>
      <c r="D229" s="55"/>
      <c r="E229" s="31"/>
      <c r="F229" s="62"/>
      <c r="G229" s="34"/>
      <c r="H229" s="62"/>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26" t="s">
        <v>190</v>
      </c>
      <c r="C230" s="52" t="s">
        <v>191</v>
      </c>
      <c r="D230" s="53" t="s">
        <v>20</v>
      </c>
      <c r="E230" s="8" t="s">
        <v>21</v>
      </c>
      <c r="F230" s="8" t="s">
        <v>51</v>
      </c>
      <c r="G230" s="34" t="str">
        <f>HYPERLINK("https://docs.google.com/spreadsheets/d/1M0edpr6yMoDyvpinFNC9U7N1F05o61YesnqHrSna28c/edit#gid=1910805910", "https://docs.google.com/spreadsheets/d/1M0edpr6yMoDyvpinFNC9U7N1F05o61YesnqHrSna28c/edit#gid=1910805910")</f>
        <v>https://docs.google.com/spreadsheets/d/1M0edpr6yMoDyvpinFNC9U7N1F05o61YesnqHrSna28c/edit#gid=1910805910</v>
      </c>
      <c r="H230" s="8" t="s">
        <v>51</v>
      </c>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26"/>
      <c r="C231" s="41"/>
      <c r="D231" s="31"/>
      <c r="E231" s="8" t="s">
        <v>172</v>
      </c>
      <c r="F231" s="8" t="s">
        <v>173</v>
      </c>
      <c r="G231" s="34" t="str">
        <f>HYPERLINK("https://docs.google.com/spreadsheets/d/1M0edpr6yMoDyvpinFNC9U7N1F05o61YesnqHrSna28c/edit#gid=2091383723", "https://docs.google.com/spreadsheets/d/1M0edpr6yMoDyvpinFNC9U7N1F05o61YesnqHrSna28c/edit#gid=2091383723")</f>
        <v>https://docs.google.com/spreadsheets/d/1M0edpr6yMoDyvpinFNC9U7N1F05o61YesnqHrSna28c/edit#gid=2091383723</v>
      </c>
      <c r="H231" s="8" t="s">
        <v>173</v>
      </c>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B232" s="26"/>
      <c r="C232" s="41"/>
      <c r="D232" s="31"/>
      <c r="E232" s="8" t="s">
        <v>172</v>
      </c>
      <c r="F232" s="8" t="s">
        <v>174</v>
      </c>
      <c r="G232" s="34" t="str">
        <f>HYPERLINK("https://docs.google.com/spreadsheets/d/1M0edpr6yMoDyvpinFNC9U7N1F05o61YesnqHrSna28c/edit#gid=324604709", "https://docs.google.com/spreadsheets/d/1M0edpr6yMoDyvpinFNC9U7N1F05o61YesnqHrSna28c/edit#gid=324604709")</f>
        <v>https://docs.google.com/spreadsheets/d/1M0edpr6yMoDyvpinFNC9U7N1F05o61YesnqHrSna28c/edit#gid=324604709</v>
      </c>
      <c r="H232" s="8" t="s">
        <v>174</v>
      </c>
      <c r="I232" s="9"/>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B233" s="26"/>
      <c r="C233" s="41"/>
      <c r="D233" s="31"/>
      <c r="E233" s="8" t="s">
        <v>86</v>
      </c>
      <c r="F233" s="8" t="s">
        <v>90</v>
      </c>
      <c r="G233" s="34" t="str">
        <f>HYPERLINK("https://docs.google.com/spreadsheets/d/1M0edpr6yMoDyvpinFNC9U7N1F05o61YesnqHrSna28c/edit#gid=1442368181", "https://docs.google.com/spreadsheets/d/1M0edpr6yMoDyvpinFNC9U7N1F05o61YesnqHrSna28c/edit#gid=1442368181")</f>
        <v>https://docs.google.com/spreadsheets/d/1M0edpr6yMoDyvpinFNC9U7N1F05o61YesnqHrSna28c/edit#gid=1442368181</v>
      </c>
      <c r="H233" s="8" t="s">
        <v>90</v>
      </c>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B234" s="26"/>
      <c r="C234" s="41"/>
      <c r="D234" s="31"/>
      <c r="E234" s="28" t="s">
        <v>86</v>
      </c>
      <c r="F234" s="8" t="s">
        <v>92</v>
      </c>
      <c r="G234" s="34" t="str">
        <f>HYPERLINK("https://docs.google.com/spreadsheets/d/1M0edpr6yMoDyvpinFNC9U7N1F05o61YesnqHrSna28c/edit#gid=1645688006", "https://docs.google.com/spreadsheets/d/1M0edpr6yMoDyvpinFNC9U7N1F05o61YesnqHrSna28c/edit#gid=1645688006")</f>
        <v>https://docs.google.com/spreadsheets/d/1M0edpr6yMoDyvpinFNC9U7N1F05o61YesnqHrSna28c/edit#gid=1645688006</v>
      </c>
      <c r="H234" s="8" t="s">
        <v>92</v>
      </c>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B235" s="26"/>
      <c r="C235" s="41"/>
      <c r="D235" s="31"/>
      <c r="E235" s="28" t="s">
        <v>86</v>
      </c>
      <c r="F235" s="38" t="s">
        <v>175</v>
      </c>
      <c r="G235" s="34" t="str">
        <f>HYPERLINK("https://docs.google.com/spreadsheets/d/1M0edpr6yMoDyvpinFNC9U7N1F05o61YesnqHrSna28c/edit#gid=1428605569", "https://docs.google.com/spreadsheets/d/1M0edpr6yMoDyvpinFNC9U7N1F05o61YesnqHrSna28c/edit#gid=1428605569")</f>
        <v>https://docs.google.com/spreadsheets/d/1M0edpr6yMoDyvpinFNC9U7N1F05o61YesnqHrSna28c/edit#gid=1428605569</v>
      </c>
      <c r="H235" s="38" t="s">
        <v>175</v>
      </c>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B236" s="26"/>
      <c r="C236" s="41"/>
      <c r="D236" s="31"/>
      <c r="E236" s="28" t="s">
        <v>86</v>
      </c>
      <c r="F236" s="28" t="s">
        <v>94</v>
      </c>
      <c r="G236" s="34" t="str">
        <f>HYPERLINK("https://docs.google.com/spreadsheets/d/1M0edpr6yMoDyvpinFNC9U7N1F05o61YesnqHrSna28c/edit#gid=1419291089", "https://docs.google.com/spreadsheets/d/1M0edpr6yMoDyvpinFNC9U7N1F05o61YesnqHrSna28c/edit#gid=1419291089")</f>
        <v>https://docs.google.com/spreadsheets/d/1M0edpr6yMoDyvpinFNC9U7N1F05o61YesnqHrSna28c/edit#gid=1419291089</v>
      </c>
      <c r="H236" s="38" t="s">
        <v>94</v>
      </c>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B237" s="26"/>
      <c r="C237" s="41"/>
      <c r="D237" s="31"/>
      <c r="E237" s="8" t="s">
        <v>88</v>
      </c>
      <c r="F237" s="8" t="s">
        <v>95</v>
      </c>
      <c r="G237" s="34" t="str">
        <f>HYPERLINK("https://docs.google.com/spreadsheets/d/1M0edpr6yMoDyvpinFNC9U7N1F05o61YesnqHrSna28c/edit#gid=1053722462", "https://docs.google.com/spreadsheets/d/1M0edpr6yMoDyvpinFNC9U7N1F05o61YesnqHrSna28c/edit#gid=1053722462")</f>
        <v>https://docs.google.com/spreadsheets/d/1M0edpr6yMoDyvpinFNC9U7N1F05o61YesnqHrSna28c/edit#gid=1053722462</v>
      </c>
      <c r="H237" s="8" t="s">
        <v>95</v>
      </c>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B238" s="26"/>
      <c r="C238" s="41"/>
      <c r="D238" s="31"/>
      <c r="E238" s="8" t="s">
        <v>88</v>
      </c>
      <c r="F238" s="62" t="s">
        <v>96</v>
      </c>
      <c r="G238" s="34" t="str">
        <f>HYPERLINK("https://docs.google.com/spreadsheets/d/1M0edpr6yMoDyvpinFNC9U7N1F05o61YesnqHrSna28c/edit#gid=2087856865", "https://docs.google.com/spreadsheets/d/1M0edpr6yMoDyvpinFNC9U7N1F05o61YesnqHrSna28c/edit#gid=2087856865")</f>
        <v>https://docs.google.com/spreadsheets/d/1M0edpr6yMoDyvpinFNC9U7N1F05o61YesnqHrSna28c/edit#gid=2087856865</v>
      </c>
      <c r="H238" s="62" t="s">
        <v>96</v>
      </c>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B239" s="26"/>
      <c r="C239" s="41"/>
      <c r="D239" s="31"/>
      <c r="E239" s="8" t="s">
        <v>178</v>
      </c>
      <c r="F239" s="8" t="s">
        <v>179</v>
      </c>
      <c r="G239" s="34" t="str">
        <f>HYPERLINK("https://docs.google.com/spreadsheets/d/1M0edpr6yMoDyvpinFNC9U7N1F05o61YesnqHrSna28c/edit#gid=1557093212", "https://docs.google.com/spreadsheets/d/1M0edpr6yMoDyvpinFNC9U7N1F05o61YesnqHrSna28c/edit#gid=1557093212")</f>
        <v>https://docs.google.com/spreadsheets/d/1M0edpr6yMoDyvpinFNC9U7N1F05o61YesnqHrSna28c/edit#gid=1557093212</v>
      </c>
      <c r="H239" s="8" t="s">
        <v>179</v>
      </c>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B240" s="26"/>
      <c r="C240" s="41"/>
      <c r="D240" s="31"/>
      <c r="E240" s="8" t="s">
        <v>178</v>
      </c>
      <c r="F240" s="8" t="s">
        <v>180</v>
      </c>
      <c r="G240" s="34" t="str">
        <f>HYPERLINK("https://docs.google.com/spreadsheets/d/1M0edpr6yMoDyvpinFNC9U7N1F05o61YesnqHrSna28c/edit#gid=1940553010", "https://docs.google.com/spreadsheets/d/1M0edpr6yMoDyvpinFNC9U7N1F05o61YesnqHrSna28c/edit#gid=1940553010")</f>
        <v>https://docs.google.com/spreadsheets/d/1M0edpr6yMoDyvpinFNC9U7N1F05o61YesnqHrSna28c/edit#gid=1940553010</v>
      </c>
      <c r="H240" s="8" t="s">
        <v>180</v>
      </c>
      <c r="I240" s="9"/>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B241" s="26"/>
      <c r="C241" s="41"/>
      <c r="D241" s="31"/>
      <c r="E241" s="8" t="s">
        <v>178</v>
      </c>
      <c r="F241" s="8" t="s">
        <v>181</v>
      </c>
      <c r="G241" s="34" t="str">
        <f>HYPERLINK("https://docs.google.com/spreadsheets/d/1M0edpr6yMoDyvpinFNC9U7N1F05o61YesnqHrSna28c/edit#gid=1858962461", "https://docs.google.com/spreadsheets/d/1M0edpr6yMoDyvpinFNC9U7N1F05o61YesnqHrSna28c/edit#gid=1858962461")</f>
        <v>https://docs.google.com/spreadsheets/d/1M0edpr6yMoDyvpinFNC9U7N1F05o61YesnqHrSna28c/edit#gid=1858962461</v>
      </c>
      <c r="H241" s="36"/>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B242" s="26"/>
      <c r="C242" s="41"/>
      <c r="D242" s="31"/>
      <c r="E242" s="28" t="s">
        <v>178</v>
      </c>
      <c r="F242" s="8" t="s">
        <v>182</v>
      </c>
      <c r="G242" s="34" t="str">
        <f>HYPERLINK("https://docs.google.com/spreadsheets/d/1M0edpr6yMoDyvpinFNC9U7N1F05o61YesnqHrSna28c/edit#gid=2053309803", "https://docs.google.com/spreadsheets/d/1M0edpr6yMoDyvpinFNC9U7N1F05o61YesnqHrSna28c/edit#gid=2053309803")</f>
        <v>https://docs.google.com/spreadsheets/d/1M0edpr6yMoDyvpinFNC9U7N1F05o61YesnqHrSna28c/edit#gid=2053309803</v>
      </c>
      <c r="H242" s="8" t="s">
        <v>182</v>
      </c>
      <c r="I242" s="9"/>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26"/>
      <c r="C243" s="41"/>
      <c r="D243" s="31"/>
      <c r="E243" s="37"/>
      <c r="F243" s="30"/>
      <c r="G243" s="34"/>
      <c r="H243" s="30"/>
      <c r="I243" s="9"/>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26"/>
      <c r="C244" s="41"/>
      <c r="D244" s="31"/>
      <c r="E244" s="37"/>
      <c r="F244" s="37"/>
      <c r="G244" s="34"/>
      <c r="H244" s="30"/>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B245" s="26"/>
      <c r="C245" s="41"/>
      <c r="D245" s="31"/>
      <c r="E245" s="31"/>
      <c r="F245" s="31"/>
      <c r="G245" s="34"/>
      <c r="H245" s="31"/>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B246" s="26" t="s">
        <v>192</v>
      </c>
      <c r="C246" s="39" t="s">
        <v>193</v>
      </c>
      <c r="D246" s="8" t="s">
        <v>20</v>
      </c>
      <c r="E246" s="8" t="s">
        <v>88</v>
      </c>
      <c r="F246" s="62" t="s">
        <v>89</v>
      </c>
      <c r="G246" s="34"/>
      <c r="H246" s="36"/>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B247" s="26"/>
      <c r="C247" s="39"/>
      <c r="D247" s="31"/>
      <c r="E247" s="8" t="s">
        <v>172</v>
      </c>
      <c r="F247" s="8" t="s">
        <v>194</v>
      </c>
      <c r="G247" s="34" t="str">
        <f>HYPERLINK("https://docs.google.com/spreadsheets/d/136elKttnCMXuOt2Wi0PzRzA70dRX1fgpJ2BH2sPFcyc/edit#gid=264690281", "https://docs.google.com/spreadsheets/d/136elKttnCMXuOt2Wi0PzRzA70dRX1fgpJ2BH2sPFcyc/edit#gid=264690281")</f>
        <v>https://docs.google.com/spreadsheets/d/136elKttnCMXuOt2Wi0PzRzA70dRX1fgpJ2BH2sPFcyc/edit#gid=264690281</v>
      </c>
      <c r="H247" s="8" t="s">
        <v>194</v>
      </c>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B248" s="26"/>
      <c r="C248" s="39"/>
      <c r="D248" s="31"/>
      <c r="E248" s="8" t="s">
        <v>172</v>
      </c>
      <c r="F248" s="8" t="s">
        <v>195</v>
      </c>
      <c r="G248" s="34" t="str">
        <f>HYPERLINK("https://docs.google.com/spreadsheets/d/136elKttnCMXuOt2Wi0PzRzA70dRX1fgpJ2BH2sPFcyc/edit#gid=1657145979", "https://docs.google.com/spreadsheets/d/136elKttnCMXuOt2Wi0PzRzA70dRX1fgpJ2BH2sPFcyc/edit#gid=1657145979")</f>
        <v>https://docs.google.com/spreadsheets/d/136elKttnCMXuOt2Wi0PzRzA70dRX1fgpJ2BH2sPFcyc/edit#gid=1657145979</v>
      </c>
      <c r="H248" s="8" t="s">
        <v>195</v>
      </c>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B249" s="26"/>
      <c r="C249" s="39"/>
      <c r="D249" s="31"/>
      <c r="E249" s="8" t="s">
        <v>21</v>
      </c>
      <c r="F249" s="8" t="s">
        <v>51</v>
      </c>
      <c r="G249" s="34" t="str">
        <f>HYPERLINK("https://docs.google.com/spreadsheets/d/136elKttnCMXuOt2Wi0PzRzA70dRX1fgpJ2BH2sPFcyc/edit#gid=687014517", "https://docs.google.com/spreadsheets/d/136elKttnCMXuOt2Wi0PzRzA70dRX1fgpJ2BH2sPFcyc/edit#gid=687014517")</f>
        <v>https://docs.google.com/spreadsheets/d/136elKttnCMXuOt2Wi0PzRzA70dRX1fgpJ2BH2sPFcyc/edit#gid=687014517</v>
      </c>
      <c r="H249" s="8" t="s">
        <v>51</v>
      </c>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B250" s="26"/>
      <c r="C250" s="39"/>
      <c r="D250" s="31"/>
      <c r="E250" s="8" t="s">
        <v>157</v>
      </c>
      <c r="F250" s="8" t="s">
        <v>161</v>
      </c>
      <c r="G250" s="34" t="str">
        <f>HYPERLINK("https://docs.google.com/spreadsheets/d/136elKttnCMXuOt2Wi0PzRzA70dRX1fgpJ2BH2sPFcyc/edit#gid=1848675328", "https://docs.google.com/spreadsheets/d/136elKttnCMXuOt2Wi0PzRzA70dRX1fgpJ2BH2sPFcyc/edit#gid=1848675328")</f>
        <v>https://docs.google.com/spreadsheets/d/136elKttnCMXuOt2Wi0PzRzA70dRX1fgpJ2BH2sPFcyc/edit#gid=1848675328</v>
      </c>
      <c r="H250" s="8" t="s">
        <v>161</v>
      </c>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B251" s="26"/>
      <c r="C251" s="39"/>
      <c r="D251" s="31"/>
      <c r="E251" s="28" t="s">
        <v>157</v>
      </c>
      <c r="F251" s="8" t="s">
        <v>158</v>
      </c>
      <c r="G251" s="34" t="str">
        <f>HYPERLINK("https://docs.google.com/spreadsheets/d/136elKttnCMXuOt2Wi0PzRzA70dRX1fgpJ2BH2sPFcyc/edit#gid=469443143", "https://docs.google.com/spreadsheets/d/136elKttnCMXuOt2Wi0PzRzA70dRX1fgpJ2BH2sPFcyc/edit#gid=469443143")</f>
        <v>https://docs.google.com/spreadsheets/d/136elKttnCMXuOt2Wi0PzRzA70dRX1fgpJ2BH2sPFcyc/edit#gid=469443143</v>
      </c>
      <c r="H251" s="8" t="s">
        <v>158</v>
      </c>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B252" s="26"/>
      <c r="C252" s="39"/>
      <c r="D252" s="31"/>
      <c r="E252" s="28" t="s">
        <v>157</v>
      </c>
      <c r="F252" s="38" t="s">
        <v>196</v>
      </c>
      <c r="G252" s="34" t="str">
        <f>HYPERLINK("https://docs.google.com/spreadsheets/d/136elKttnCMXuOt2Wi0PzRzA70dRX1fgpJ2BH2sPFcyc/edit#gid=740703283", "https://docs.google.com/spreadsheets/d/136elKttnCMXuOt2Wi0PzRzA70dRX1fgpJ2BH2sPFcyc/edit#gid=740703283")</f>
        <v>https://docs.google.com/spreadsheets/d/136elKttnCMXuOt2Wi0PzRzA70dRX1fgpJ2BH2sPFcyc/edit#gid=740703283</v>
      </c>
      <c r="H252" s="35" t="s">
        <v>196</v>
      </c>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B253" s="26"/>
      <c r="C253" s="39"/>
      <c r="D253" s="31"/>
      <c r="E253" s="37"/>
      <c r="F253" s="37"/>
      <c r="G253" s="34"/>
      <c r="H253" s="30"/>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B254" s="26" t="s">
        <v>197</v>
      </c>
      <c r="C254" s="39" t="s">
        <v>198</v>
      </c>
      <c r="D254" s="8" t="s">
        <v>20</v>
      </c>
      <c r="E254" s="8" t="s">
        <v>157</v>
      </c>
      <c r="F254" s="8" t="s">
        <v>161</v>
      </c>
      <c r="G254" s="34" t="str">
        <f>HYPERLINK("https://docs.google.com/spreadsheets/d/17gqjRDHGrAy4ag9bbeA2_EI4nu-VXzVx1_9GT5DAp1A/edit#gid=299512355", "https://docs.google.com/spreadsheets/d/17gqjRDHGrAy4ag9bbeA2_EI4nu-VXzVx1_9GT5DAp1A/edit#gid=299512355")</f>
        <v>https://docs.google.com/spreadsheets/d/17gqjRDHGrAy4ag9bbeA2_EI4nu-VXzVx1_9GT5DAp1A/edit#gid=299512355</v>
      </c>
      <c r="H254" s="8" t="s">
        <v>161</v>
      </c>
      <c r="I254" s="9"/>
      <c r="J254" s="11"/>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B255" s="26"/>
      <c r="C255" s="39"/>
      <c r="D255" s="31"/>
      <c r="E255" s="8" t="s">
        <v>157</v>
      </c>
      <c r="F255" s="62" t="s">
        <v>158</v>
      </c>
      <c r="G255" s="34" t="str">
        <f>HYPERLINK("https://docs.google.com/spreadsheets/d/17gqjRDHGrAy4ag9bbeA2_EI4nu-VXzVx1_9GT5DAp1A/edit#gid=829605676", "https://docs.google.com/spreadsheets/d/17gqjRDHGrAy4ag9bbeA2_EI4nu-VXzVx1_9GT5DAp1A/edit#gid=829605676")</f>
        <v>https://docs.google.com/spreadsheets/d/17gqjRDHGrAy4ag9bbeA2_EI4nu-VXzVx1_9GT5DAp1A/edit#gid=829605676</v>
      </c>
      <c r="H255" s="62" t="s">
        <v>158</v>
      </c>
      <c r="I255" s="9"/>
      <c r="J255" s="11"/>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B256" s="26"/>
      <c r="C256" s="44"/>
      <c r="D256" s="9"/>
      <c r="E256" s="28" t="s">
        <v>157</v>
      </c>
      <c r="F256" s="8" t="s">
        <v>199</v>
      </c>
      <c r="G256" s="48" t="str">
        <f>HYPERLINK("https://docs.google.com/spreadsheets/d/17gqjRDHGrAy4ag9bbeA2_EI4nu-VXzVx1_9GT5DAp1A/edit#gid=1748981678", "https://docs.google.com/spreadsheets/d/17gqjRDHGrAy4ag9bbeA2_EI4nu-VXzVx1_9GT5DAp1A/edit#gid=1748981678")</f>
        <v>https://docs.google.com/spreadsheets/d/17gqjRDHGrAy4ag9bbeA2_EI4nu-VXzVx1_9GT5DAp1A/edit#gid=1748981678</v>
      </c>
      <c r="H256" s="8" t="s">
        <v>199</v>
      </c>
      <c r="I256" s="9"/>
      <c r="J256" s="11"/>
      <c r="K256" s="11"/>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63"/>
      <c r="C257" s="64"/>
      <c r="I257" s="11"/>
      <c r="J257" s="11"/>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26" t="s">
        <v>200</v>
      </c>
      <c r="C258" s="64"/>
      <c r="D258" s="35" t="s">
        <v>20</v>
      </c>
      <c r="E258" s="65" t="s">
        <v>178</v>
      </c>
      <c r="F258" s="35" t="s">
        <v>201</v>
      </c>
      <c r="I258" s="11"/>
      <c r="J258" s="11"/>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B259" s="63"/>
      <c r="C259" s="64"/>
      <c r="E259" s="8" t="s">
        <v>178</v>
      </c>
      <c r="F259" s="8" t="s">
        <v>202</v>
      </c>
      <c r="I259" s="11"/>
      <c r="J259" s="11"/>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B260" s="26"/>
      <c r="C260" s="64"/>
      <c r="E260" s="8" t="s">
        <v>21</v>
      </c>
      <c r="F260" s="8" t="s">
        <v>51</v>
      </c>
      <c r="I260" s="11"/>
      <c r="J260" s="11"/>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B261" s="63"/>
      <c r="C261" s="41"/>
      <c r="D261" s="31"/>
      <c r="E261" s="8" t="s">
        <v>172</v>
      </c>
      <c r="F261" s="8" t="s">
        <v>203</v>
      </c>
      <c r="G261" s="34"/>
      <c r="H261" s="9"/>
      <c r="I261" s="11"/>
      <c r="J261" s="11"/>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B262" s="26"/>
      <c r="C262" s="41"/>
      <c r="D262" s="31"/>
      <c r="E262" s="32" t="s">
        <v>172</v>
      </c>
      <c r="F262" s="32" t="s">
        <v>204</v>
      </c>
      <c r="G262" s="34"/>
      <c r="H262" s="31"/>
      <c r="I262" s="11"/>
      <c r="J262" s="11"/>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B263" s="26"/>
      <c r="C263" s="41"/>
      <c r="D263" s="31"/>
      <c r="E263" s="32" t="s">
        <v>178</v>
      </c>
      <c r="F263" s="32" t="s">
        <v>205</v>
      </c>
      <c r="G263" s="34"/>
      <c r="H263" s="31"/>
      <c r="I263" s="11"/>
      <c r="J263" s="11"/>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B264" s="63"/>
      <c r="C264" s="41"/>
      <c r="D264" s="31"/>
      <c r="E264" s="32" t="s">
        <v>178</v>
      </c>
      <c r="F264" s="32" t="s">
        <v>206</v>
      </c>
      <c r="G264" s="34"/>
      <c r="H264" s="31"/>
      <c r="I264" s="11"/>
      <c r="J264" s="11"/>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B265" s="26"/>
      <c r="C265" s="41"/>
      <c r="D265" s="31"/>
      <c r="E265" s="32" t="s">
        <v>178</v>
      </c>
      <c r="F265" s="32" t="s">
        <v>207</v>
      </c>
      <c r="G265" s="34"/>
      <c r="H265" s="30"/>
      <c r="I265" s="11"/>
      <c r="J265" s="11"/>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B266" s="26"/>
      <c r="C266" s="39"/>
      <c r="D266" s="8"/>
      <c r="E266" s="32" t="s">
        <v>172</v>
      </c>
      <c r="F266" s="32" t="s">
        <v>203</v>
      </c>
      <c r="G266" s="34"/>
      <c r="H266" s="35"/>
      <c r="I266" s="11"/>
      <c r="J266" s="11"/>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B267" s="26"/>
      <c r="C267" s="39"/>
      <c r="D267" s="8"/>
      <c r="E267" s="32" t="s">
        <v>172</v>
      </c>
      <c r="F267" s="32" t="s">
        <v>204</v>
      </c>
      <c r="G267" s="34"/>
      <c r="H267" s="35"/>
      <c r="I267" s="11"/>
      <c r="J267" s="11"/>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B268" s="26"/>
      <c r="C268" s="39"/>
      <c r="D268" s="8"/>
      <c r="E268" s="32" t="s">
        <v>178</v>
      </c>
      <c r="F268" s="32" t="s">
        <v>205</v>
      </c>
      <c r="G268" s="34"/>
      <c r="H268" s="35"/>
      <c r="I268" s="11"/>
      <c r="J268" s="11"/>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B269" s="26"/>
      <c r="C269" s="39"/>
      <c r="D269" s="8"/>
      <c r="E269" s="32" t="s">
        <v>178</v>
      </c>
      <c r="F269" s="32" t="s">
        <v>206</v>
      </c>
      <c r="G269" s="34"/>
      <c r="H269" s="62"/>
      <c r="I269" s="11"/>
      <c r="J269" s="11"/>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B270" s="32"/>
      <c r="C270" s="66"/>
      <c r="D270" s="32"/>
      <c r="E270" s="32" t="s">
        <v>178</v>
      </c>
      <c r="F270" s="32" t="s">
        <v>207</v>
      </c>
      <c r="G270" s="35"/>
      <c r="H270" s="35"/>
      <c r="I270" s="11"/>
      <c r="J270" s="11"/>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B271" s="32"/>
      <c r="C271" s="66"/>
      <c r="D271" s="32"/>
      <c r="E271" s="32" t="s">
        <v>178</v>
      </c>
      <c r="F271" s="32" t="s">
        <v>208</v>
      </c>
      <c r="G271" s="35"/>
      <c r="H271" s="35"/>
      <c r="I271" s="11"/>
      <c r="J271" s="11"/>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67"/>
      <c r="C272" s="68"/>
      <c r="D272" s="31"/>
      <c r="E272" s="32" t="s">
        <v>178</v>
      </c>
      <c r="F272" s="32" t="s">
        <v>182</v>
      </c>
      <c r="G272" s="69"/>
      <c r="H272" s="31"/>
      <c r="I272" s="11"/>
      <c r="J272" s="11"/>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67"/>
      <c r="C273" s="68"/>
      <c r="D273" s="31"/>
      <c r="E273" s="32" t="s">
        <v>178</v>
      </c>
      <c r="F273" s="32" t="s">
        <v>180</v>
      </c>
      <c r="G273" s="31"/>
      <c r="H273" s="31"/>
      <c r="I273" s="11"/>
      <c r="J273" s="11"/>
      <c r="K273" s="11"/>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B274" s="67"/>
      <c r="C274" s="68"/>
      <c r="D274" s="31"/>
      <c r="E274" s="32" t="s">
        <v>178</v>
      </c>
      <c r="F274" s="32" t="s">
        <v>209</v>
      </c>
      <c r="G274" s="31"/>
      <c r="H274" s="31"/>
      <c r="I274" s="11"/>
      <c r="J274" s="11"/>
      <c r="K274" s="11"/>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B275" s="15"/>
      <c r="C275" s="21"/>
      <c r="D275" s="15"/>
      <c r="E275" s="32" t="s">
        <v>178</v>
      </c>
      <c r="F275" s="32" t="s">
        <v>210</v>
      </c>
      <c r="G275" s="15"/>
      <c r="H275" s="15"/>
      <c r="I275" s="11"/>
      <c r="J275" s="11"/>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B276" s="15"/>
      <c r="C276" s="21"/>
      <c r="D276" s="15"/>
      <c r="E276" s="32" t="s">
        <v>157</v>
      </c>
      <c r="F276" s="32" t="s">
        <v>161</v>
      </c>
      <c r="G276" s="15"/>
      <c r="H276" s="15"/>
      <c r="I276" s="11"/>
      <c r="J276" s="11"/>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B277" s="15"/>
      <c r="C277" s="21"/>
      <c r="D277" s="15"/>
      <c r="E277" s="32" t="s">
        <v>157</v>
      </c>
      <c r="F277" s="32" t="s">
        <v>158</v>
      </c>
      <c r="G277" s="15"/>
      <c r="H277" s="15"/>
      <c r="I277" s="11"/>
      <c r="J277" s="11"/>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B278" s="15"/>
      <c r="C278" s="21"/>
      <c r="D278" s="15"/>
      <c r="E278" s="32" t="s">
        <v>157</v>
      </c>
      <c r="F278" s="32" t="s">
        <v>196</v>
      </c>
      <c r="G278" s="15"/>
      <c r="H278" s="15"/>
      <c r="I278" s="11"/>
      <c r="J278" s="11"/>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B279" s="15"/>
      <c r="C279" s="21"/>
      <c r="D279" s="15"/>
      <c r="E279" s="32" t="s">
        <v>172</v>
      </c>
      <c r="F279" s="32" t="s">
        <v>203</v>
      </c>
      <c r="G279" s="15"/>
      <c r="H279" s="15"/>
      <c r="I279" s="11"/>
      <c r="J279" s="11"/>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B280" s="15"/>
      <c r="C280" s="21"/>
      <c r="D280" s="15"/>
      <c r="E280" s="32" t="s">
        <v>172</v>
      </c>
      <c r="F280" s="32" t="s">
        <v>204</v>
      </c>
      <c r="G280" s="15"/>
      <c r="H280" s="15"/>
      <c r="I280" s="11"/>
      <c r="J280" s="11"/>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B281" s="15"/>
      <c r="C281" s="21"/>
      <c r="D281" s="15"/>
      <c r="E281" s="32" t="s">
        <v>178</v>
      </c>
      <c r="F281" s="32" t="s">
        <v>207</v>
      </c>
      <c r="G281" s="15"/>
      <c r="H281" s="15"/>
      <c r="I281" s="11"/>
      <c r="J281" s="11"/>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B282" s="15"/>
      <c r="C282" s="21"/>
      <c r="D282" s="15"/>
      <c r="E282" s="32" t="s">
        <v>178</v>
      </c>
      <c r="F282" s="32" t="s">
        <v>208</v>
      </c>
      <c r="G282" s="15"/>
      <c r="H282" s="15"/>
      <c r="I282" s="11"/>
      <c r="J282" s="11"/>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B283" s="15"/>
      <c r="C283" s="21"/>
      <c r="D283" s="15"/>
      <c r="E283" s="32" t="s">
        <v>178</v>
      </c>
      <c r="F283" s="32" t="s">
        <v>182</v>
      </c>
      <c r="G283" s="15"/>
      <c r="H283" s="15"/>
      <c r="I283" s="11"/>
      <c r="J283" s="11"/>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B284" s="15"/>
      <c r="C284" s="21"/>
      <c r="D284" s="15"/>
      <c r="E284" s="32" t="s">
        <v>178</v>
      </c>
      <c r="F284" s="32" t="s">
        <v>180</v>
      </c>
      <c r="G284" s="15"/>
      <c r="H284" s="15"/>
      <c r="I284" s="11"/>
      <c r="J284" s="11"/>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15"/>
      <c r="C285" s="21"/>
      <c r="D285" s="15"/>
      <c r="E285" s="32" t="s">
        <v>178</v>
      </c>
      <c r="F285" s="32" t="s">
        <v>209</v>
      </c>
      <c r="G285" s="15"/>
      <c r="H285" s="15"/>
      <c r="I285" s="11"/>
      <c r="J285" s="11"/>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15"/>
      <c r="C286" s="21"/>
      <c r="D286" s="15"/>
      <c r="E286" s="32" t="s">
        <v>178</v>
      </c>
      <c r="F286" s="32" t="s">
        <v>210</v>
      </c>
      <c r="G286" s="15"/>
      <c r="H286" s="15"/>
      <c r="I286" s="11"/>
      <c r="J286" s="11"/>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B287" s="15"/>
      <c r="C287" s="21"/>
      <c r="D287" s="15"/>
      <c r="E287" s="32" t="s">
        <v>86</v>
      </c>
      <c r="F287" s="32" t="s">
        <v>90</v>
      </c>
      <c r="G287" s="15"/>
      <c r="H287" s="15"/>
      <c r="I287" s="11"/>
      <c r="J287" s="11"/>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B288" s="15"/>
      <c r="C288" s="21"/>
      <c r="D288" s="15"/>
      <c r="E288" s="32" t="s">
        <v>86</v>
      </c>
      <c r="F288" s="32" t="s">
        <v>91</v>
      </c>
      <c r="G288" s="15"/>
      <c r="H288" s="15"/>
      <c r="I288" s="11"/>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B289" s="15"/>
      <c r="C289" s="21"/>
      <c r="D289" s="15"/>
      <c r="E289" s="32" t="s">
        <v>88</v>
      </c>
      <c r="F289" s="32" t="s">
        <v>95</v>
      </c>
      <c r="G289" s="15"/>
      <c r="H289" s="15"/>
      <c r="I289" s="11"/>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B290" s="15"/>
      <c r="C290" s="21"/>
      <c r="D290" s="15"/>
      <c r="E290" s="32" t="s">
        <v>88</v>
      </c>
      <c r="F290" s="32" t="s">
        <v>96</v>
      </c>
      <c r="G290" s="15"/>
      <c r="H290" s="15"/>
      <c r="I290" s="11"/>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B291" s="15"/>
      <c r="C291" s="21"/>
      <c r="D291" s="15"/>
      <c r="E291" s="15"/>
      <c r="F291" s="15"/>
      <c r="G291" s="15"/>
      <c r="H291" s="15"/>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B292" s="15"/>
      <c r="C292" s="21"/>
      <c r="D292" s="15"/>
      <c r="E292" s="15"/>
      <c r="F292" s="15"/>
      <c r="G292" s="15"/>
      <c r="H292" s="15"/>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B293" s="32" t="s">
        <v>211</v>
      </c>
      <c r="C293" s="21"/>
      <c r="D293" s="15"/>
      <c r="E293" s="32" t="s">
        <v>178</v>
      </c>
      <c r="F293" s="32" t="s">
        <v>201</v>
      </c>
      <c r="G293" s="70" t="str">
        <f>HYPERLINK("https://docs.google.com/spreadsheets/d/1_gw0nl-znbjhfbpoy8cIbIJhsc7h67lFjLO0xIGr-k0/edit#gid=828055175", "https://docs.google.com/spreadsheets/d/1_gw0nl-znbjhfbpoy8cIbIJhsc7h67lFjLO0xIGr-k0/edit#gid=828055175")</f>
        <v>https://docs.google.com/spreadsheets/d/1_gw0nl-znbjhfbpoy8cIbIJhsc7h67lFjLO0xIGr-k0/edit#gid=828055175</v>
      </c>
      <c r="H293" s="32" t="s">
        <v>201</v>
      </c>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B294" s="15"/>
      <c r="C294" s="21"/>
      <c r="D294" s="15"/>
      <c r="E294" s="32" t="s">
        <v>178</v>
      </c>
      <c r="F294" s="32" t="s">
        <v>202</v>
      </c>
      <c r="G294" s="70" t="str">
        <f>HYPERLINK("https://docs.google.com/spreadsheets/d/1_gw0nl-znbjhfbpoy8cIbIJhsc7h67lFjLO0xIGr-k0/edit#gid=1764459907", "https://docs.google.com/spreadsheets/d/1_gw0nl-znbjhfbpoy8cIbIJhsc7h67lFjLO0xIGr-k0/edit#gid=1764459907")</f>
        <v>https://docs.google.com/spreadsheets/d/1_gw0nl-znbjhfbpoy8cIbIJhsc7h67lFjLO0xIGr-k0/edit#gid=1764459907</v>
      </c>
      <c r="H294" s="32" t="s">
        <v>202</v>
      </c>
      <c r="I294" s="11"/>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B295" s="15"/>
      <c r="C295" s="21"/>
      <c r="D295" s="15"/>
      <c r="E295" s="32" t="s">
        <v>21</v>
      </c>
      <c r="F295" s="32" t="s">
        <v>51</v>
      </c>
      <c r="G295" s="70" t="str">
        <f>HYPERLINK("https://docs.google.com/spreadsheets/d/1_gw0nl-znbjhfbpoy8cIbIJhsc7h67lFjLO0xIGr-k0/edit#gid=2086015396", "https://docs.google.com/spreadsheets/d/1_gw0nl-znbjhfbpoy8cIbIJhsc7h67lFjLO0xIGr-k0/edit#gid=2086015396")</f>
        <v>https://docs.google.com/spreadsheets/d/1_gw0nl-znbjhfbpoy8cIbIJhsc7h67lFjLO0xIGr-k0/edit#gid=2086015396</v>
      </c>
      <c r="H295" s="32" t="s">
        <v>51</v>
      </c>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B296" s="15"/>
      <c r="C296" s="21"/>
      <c r="D296" s="15"/>
      <c r="E296" s="32" t="s">
        <v>172</v>
      </c>
      <c r="F296" s="32" t="s">
        <v>203</v>
      </c>
      <c r="G296" s="70" t="str">
        <f>HYPERLINK("https://docs.google.com/spreadsheets/d/1_gw0nl-znbjhfbpoy8cIbIJhsc7h67lFjLO0xIGr-k0/edit#gid=375766071", "https://docs.google.com/spreadsheets/d/1_gw0nl-znbjhfbpoy8cIbIJhsc7h67lFjLO0xIGr-k0/edit#gid=375766071")</f>
        <v>https://docs.google.com/spreadsheets/d/1_gw0nl-znbjhfbpoy8cIbIJhsc7h67lFjLO0xIGr-k0/edit#gid=375766071</v>
      </c>
      <c r="H296" s="32" t="s">
        <v>203</v>
      </c>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B297" s="15"/>
      <c r="C297" s="21"/>
      <c r="D297" s="15"/>
      <c r="E297" s="32" t="s">
        <v>172</v>
      </c>
      <c r="F297" s="32" t="s">
        <v>204</v>
      </c>
      <c r="G297" s="70" t="str">
        <f>HYPERLINK("https://docs.google.com/spreadsheets/d/1_gw0nl-znbjhfbpoy8cIbIJhsc7h67lFjLO0xIGr-k0/edit#gid=740809945", "https://docs.google.com/spreadsheets/d/1_gw0nl-znbjhfbpoy8cIbIJhsc7h67lFjLO0xIGr-k0/edit#gid=740809945")</f>
        <v>https://docs.google.com/spreadsheets/d/1_gw0nl-znbjhfbpoy8cIbIJhsc7h67lFjLO0xIGr-k0/edit#gid=740809945</v>
      </c>
      <c r="H297" s="32" t="s">
        <v>204</v>
      </c>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B298" s="15"/>
      <c r="C298" s="21"/>
      <c r="D298" s="15"/>
      <c r="E298" s="32" t="s">
        <v>178</v>
      </c>
      <c r="F298" s="32" t="s">
        <v>205</v>
      </c>
      <c r="G298" s="70" t="str">
        <f>HYPERLINK("https://docs.google.com/spreadsheets/d/1_gw0nl-znbjhfbpoy8cIbIJhsc7h67lFjLO0xIGr-k0/edit#gid=52374699", "https://docs.google.com/spreadsheets/d/1_gw0nl-znbjhfbpoy8cIbIJhsc7h67lFjLO0xIGr-k0/edit#gid=52374699")</f>
        <v>https://docs.google.com/spreadsheets/d/1_gw0nl-znbjhfbpoy8cIbIJhsc7h67lFjLO0xIGr-k0/edit#gid=52374699</v>
      </c>
      <c r="H298" s="32" t="s">
        <v>205</v>
      </c>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15"/>
      <c r="C299" s="21"/>
      <c r="D299" s="15"/>
      <c r="E299" s="32" t="s">
        <v>178</v>
      </c>
      <c r="F299" s="32" t="s">
        <v>206</v>
      </c>
      <c r="G299" s="15"/>
      <c r="H299" s="36"/>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15"/>
      <c r="C300" s="21"/>
      <c r="D300" s="15"/>
      <c r="E300" s="32" t="s">
        <v>178</v>
      </c>
      <c r="F300" s="32" t="s">
        <v>207</v>
      </c>
      <c r="G300" s="70" t="str">
        <f>HYPERLINK("https://docs.google.com/spreadsheets/d/1_gw0nl-znbjhfbpoy8cIbIJhsc7h67lFjLO0xIGr-k0/edit#gid=1494696299", "https://docs.google.com/spreadsheets/d/1_gw0nl-znbjhfbpoy8cIbIJhsc7h67lFjLO0xIGr-k0/edit#gid=1494696299")</f>
        <v>https://docs.google.com/spreadsheets/d/1_gw0nl-znbjhfbpoy8cIbIJhsc7h67lFjLO0xIGr-k0/edit#gid=1494696299</v>
      </c>
      <c r="H300" s="32" t="s">
        <v>207</v>
      </c>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B301" s="15"/>
      <c r="C301" s="21"/>
      <c r="D301" s="15"/>
      <c r="E301" s="32" t="s">
        <v>178</v>
      </c>
      <c r="F301" s="32" t="s">
        <v>209</v>
      </c>
      <c r="G301" s="70" t="str">
        <f>HYPERLINK("https://docs.google.com/spreadsheets/d/1_gw0nl-znbjhfbpoy8cIbIJhsc7h67lFjLO0xIGr-k0/edit#gid=180466347", "https://docs.google.com/spreadsheets/d/1_gw0nl-znbjhfbpoy8cIbIJhsc7h67lFjLO0xIGr-k0/edit#gid=180466347")</f>
        <v>https://docs.google.com/spreadsheets/d/1_gw0nl-znbjhfbpoy8cIbIJhsc7h67lFjLO0xIGr-k0/edit#gid=180466347</v>
      </c>
      <c r="H301" s="32" t="s">
        <v>209</v>
      </c>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B302" s="15"/>
      <c r="C302" s="21"/>
      <c r="D302" s="15"/>
      <c r="E302" s="32" t="s">
        <v>178</v>
      </c>
      <c r="F302" s="32" t="s">
        <v>210</v>
      </c>
      <c r="G302" s="70" t="str">
        <f>HYPERLINK("https://docs.google.com/spreadsheets/d/1_gw0nl-znbjhfbpoy8cIbIJhsc7h67lFjLO0xIGr-k0/edit#gid=1747329805", "https://docs.google.com/spreadsheets/d/1_gw0nl-znbjhfbpoy8cIbIJhsc7h67lFjLO0xIGr-k0/edit#gid=1747329805")</f>
        <v>https://docs.google.com/spreadsheets/d/1_gw0nl-znbjhfbpoy8cIbIJhsc7h67lFjLO0xIGr-k0/edit#gid=1747329805</v>
      </c>
      <c r="H302" s="32" t="s">
        <v>210</v>
      </c>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B303" s="32" t="s">
        <v>212</v>
      </c>
      <c r="C303" s="21"/>
      <c r="D303" s="32" t="s">
        <v>20</v>
      </c>
      <c r="E303" s="32" t="s">
        <v>21</v>
      </c>
      <c r="F303" s="32" t="s">
        <v>51</v>
      </c>
      <c r="G303" s="70" t="str">
        <f>HYPERLINK("https://docs.google.com/spreadsheets/d/1pSp3JGBNKphf7L311Nu-I_ki1NrvyoGfk_PSpNgcjsk/edit#gid=74957152", "https://docs.google.com/spreadsheets/d/1pSp3JGBNKphf7L311Nu-I_ki1NrvyoGfk_PSpNgcjsk/edit#gid=74957152")</f>
        <v>https://docs.google.com/spreadsheets/d/1pSp3JGBNKphf7L311Nu-I_ki1NrvyoGfk_PSpNgcjsk/edit#gid=74957152</v>
      </c>
      <c r="H303" s="32" t="s">
        <v>51</v>
      </c>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B304" s="15"/>
      <c r="C304" s="21"/>
      <c r="D304" s="15"/>
      <c r="E304" s="32" t="s">
        <v>43</v>
      </c>
      <c r="F304" s="32" t="s">
        <v>213</v>
      </c>
      <c r="G304" s="70" t="str">
        <f>HYPERLINK("https://docs.google.com/spreadsheets/d/1pSp3JGBNKphf7L311Nu-I_ki1NrvyoGfk_PSpNgcjsk/edit#gid=1187065240", "https://docs.google.com/spreadsheets/d/1pSp3JGBNKphf7L311Nu-I_ki1NrvyoGfk_PSpNgcjsk/edit#gid=1187065240")</f>
        <v>https://docs.google.com/spreadsheets/d/1pSp3JGBNKphf7L311Nu-I_ki1NrvyoGfk_PSpNgcjsk/edit#gid=1187065240</v>
      </c>
      <c r="H304" s="32" t="s">
        <v>213</v>
      </c>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B305" s="15"/>
      <c r="C305" s="21"/>
      <c r="D305" s="15"/>
      <c r="E305" s="15"/>
      <c r="F305" s="15"/>
      <c r="G305" s="15"/>
      <c r="H305" s="1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B306" s="32" t="s">
        <v>214</v>
      </c>
      <c r="C306" s="71" t="s">
        <v>215</v>
      </c>
      <c r="D306" s="32" t="s">
        <v>20</v>
      </c>
      <c r="E306" s="32" t="s">
        <v>88</v>
      </c>
      <c r="F306" s="32" t="s">
        <v>216</v>
      </c>
      <c r="G306" s="70" t="str">
        <f>HYPERLINK("https://docs.google.com/spreadsheets/d/1N2WFP3UKLWNoIgsVZKHLNsFeTJO38VvE_by5eMNsDlg/edit#gid=1273907383", "https://docs.google.com/spreadsheets/d/1N2WFP3UKLWNoIgsVZKHLNsFeTJO38VvE_by5eMNsDlg/edit#gid=1273907383")</f>
        <v>https://docs.google.com/spreadsheets/d/1N2WFP3UKLWNoIgsVZKHLNsFeTJO38VvE_by5eMNsDlg/edit#gid=1273907383</v>
      </c>
      <c r="H306" s="32" t="s">
        <v>216</v>
      </c>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B307" s="32"/>
      <c r="C307" s="71"/>
      <c r="D307" s="32"/>
      <c r="E307" s="32" t="s">
        <v>88</v>
      </c>
      <c r="F307" s="32" t="s">
        <v>217</v>
      </c>
      <c r="G307" s="70" t="str">
        <f>HYPERLINK("https://docs.google.com/spreadsheets/d/1N2WFP3UKLWNoIgsVZKHLNsFeTJO38VvE_by5eMNsDlg/edit#gid=2095843864", "https://docs.google.com/spreadsheets/d/1N2WFP3UKLWNoIgsVZKHLNsFeTJO38VvE_by5eMNsDlg/edit#gid=2095843864")</f>
        <v>https://docs.google.com/spreadsheets/d/1N2WFP3UKLWNoIgsVZKHLNsFeTJO38VvE_by5eMNsDlg/edit#gid=2095843864</v>
      </c>
      <c r="H307" s="32" t="s">
        <v>217</v>
      </c>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B308" s="32"/>
      <c r="C308" s="71"/>
      <c r="D308" s="32"/>
      <c r="E308" s="32" t="s">
        <v>88</v>
      </c>
      <c r="F308" s="32" t="s">
        <v>218</v>
      </c>
      <c r="G308" s="70" t="str">
        <f>HYPERLINK("https://docs.google.com/spreadsheets/d/1N2WFP3UKLWNoIgsVZKHLNsFeTJO38VvE_by5eMNsDlg/edit#gid=1486197815", "https://docs.google.com/spreadsheets/d/1N2WFP3UKLWNoIgsVZKHLNsFeTJO38VvE_by5eMNsDlg/edit#gid=1486197815")</f>
        <v>https://docs.google.com/spreadsheets/d/1N2WFP3UKLWNoIgsVZKHLNsFeTJO38VvE_by5eMNsDlg/edit#gid=1486197815</v>
      </c>
      <c r="H308" s="32" t="s">
        <v>218</v>
      </c>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B309" s="15"/>
      <c r="C309" s="21"/>
      <c r="D309" s="15"/>
      <c r="E309" s="32" t="s">
        <v>21</v>
      </c>
      <c r="F309" s="32" t="s">
        <v>51</v>
      </c>
      <c r="G309" s="70" t="str">
        <f>HYPERLINK("https://docs.google.com/spreadsheets/d/1N2WFP3UKLWNoIgsVZKHLNsFeTJO38VvE_by5eMNsDlg/edit#gid=111311559", "https://docs.google.com/spreadsheets/d/1N2WFP3UKLWNoIgsVZKHLNsFeTJO38VvE_by5eMNsDlg/edit#gid=111311559")</f>
        <v>https://docs.google.com/spreadsheets/d/1N2WFP3UKLWNoIgsVZKHLNsFeTJO38VvE_by5eMNsDlg/edit#gid=111311559</v>
      </c>
      <c r="H309" s="32" t="s">
        <v>51</v>
      </c>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B310" s="15"/>
      <c r="C310" s="21"/>
      <c r="D310" s="15"/>
      <c r="E310" s="32" t="s">
        <v>88</v>
      </c>
      <c r="F310" s="32" t="s">
        <v>96</v>
      </c>
      <c r="G310" s="70" t="str">
        <f>HYPERLINK("https://docs.google.com/spreadsheets/d/1N2WFP3UKLWNoIgsVZKHLNsFeTJO38VvE_by5eMNsDlg/edit#gid=740199990", "https://docs.google.com/spreadsheets/d/1N2WFP3UKLWNoIgsVZKHLNsFeTJO38VvE_by5eMNsDlg/edit#gid=740199990")</f>
        <v>https://docs.google.com/spreadsheets/d/1N2WFP3UKLWNoIgsVZKHLNsFeTJO38VvE_by5eMNsDlg/edit#gid=740199990</v>
      </c>
      <c r="H310" s="32" t="s">
        <v>96</v>
      </c>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B311" s="15"/>
      <c r="C311" s="21"/>
      <c r="D311" s="15"/>
      <c r="E311" s="32" t="s">
        <v>88</v>
      </c>
      <c r="F311" s="32" t="s">
        <v>122</v>
      </c>
      <c r="G311" s="70" t="str">
        <f>HYPERLINK("https://docs.google.com/spreadsheets/d/1N2WFP3UKLWNoIgsVZKHLNsFeTJO38VvE_by5eMNsDlg/edit#gid=1910487244", "https://docs.google.com/spreadsheets/d/1N2WFP3UKLWNoIgsVZKHLNsFeTJO38VvE_by5eMNsDlg/edit#gid=1910487244")</f>
        <v>https://docs.google.com/spreadsheets/d/1N2WFP3UKLWNoIgsVZKHLNsFeTJO38VvE_by5eMNsDlg/edit#gid=1910487244</v>
      </c>
      <c r="H311" s="32" t="s">
        <v>122</v>
      </c>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B312" s="15"/>
      <c r="C312" s="21"/>
      <c r="D312" s="15"/>
      <c r="E312" s="15"/>
      <c r="F312" s="15"/>
      <c r="G312" s="15"/>
      <c r="H312" s="15"/>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29.25" customHeight="1">
      <c r="A313" s="15"/>
      <c r="B313" s="32" t="s">
        <v>219</v>
      </c>
      <c r="C313" s="66" t="s">
        <v>220</v>
      </c>
      <c r="D313" s="32" t="s">
        <v>20</v>
      </c>
      <c r="E313" s="32" t="s">
        <v>88</v>
      </c>
      <c r="F313" s="32" t="s">
        <v>221</v>
      </c>
      <c r="G313" s="70" t="str">
        <f>HYPERLINK("https://docs.google.com/spreadsheets/d/1hW3dWdilpBfnFCHMWoDXrNJcuLJNP3GkgTnxqzZqdT0/edit#gid=1985786148", "https://docs.google.com/spreadsheets/d/1hW3dWdilpBfnFCHMWoDXrNJcuLJNP3GkgTnxqzZqdT0/edit#gid=1985786148")</f>
        <v>https://docs.google.com/spreadsheets/d/1hW3dWdilpBfnFCHMWoDXrNJcuLJNP3GkgTnxqzZqdT0/edit#gid=1985786148</v>
      </c>
      <c r="H313" s="32" t="s">
        <v>221</v>
      </c>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32"/>
      <c r="C314" s="66"/>
      <c r="D314" s="32"/>
      <c r="E314" s="32" t="s">
        <v>149</v>
      </c>
      <c r="F314" s="32" t="s">
        <v>150</v>
      </c>
      <c r="G314" s="15"/>
      <c r="H314" s="36"/>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15"/>
      <c r="C315" s="21"/>
      <c r="D315" s="15"/>
      <c r="E315" s="32" t="s">
        <v>21</v>
      </c>
      <c r="F315" s="32" t="s">
        <v>51</v>
      </c>
      <c r="G315" s="70" t="str">
        <f>HYPERLINK("https://docs.google.com/spreadsheets/d/1hW3dWdilpBfnFCHMWoDXrNJcuLJNP3GkgTnxqzZqdT0/edit#gid=2105070961", "https://docs.google.com/spreadsheets/d/1hW3dWdilpBfnFCHMWoDXrNJcuLJNP3GkgTnxqzZqdT0/edit#gid=2105070961")</f>
        <v>https://docs.google.com/spreadsheets/d/1hW3dWdilpBfnFCHMWoDXrNJcuLJNP3GkgTnxqzZqdT0/edit#gid=2105070961</v>
      </c>
      <c r="H315" s="32" t="s">
        <v>51</v>
      </c>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B316" s="15"/>
      <c r="C316" s="21"/>
      <c r="D316" s="15"/>
      <c r="E316" s="32" t="s">
        <v>88</v>
      </c>
      <c r="F316" s="32" t="s">
        <v>95</v>
      </c>
      <c r="G316" s="70" t="str">
        <f>HYPERLINK("https://docs.google.com/spreadsheets/d/1hW3dWdilpBfnFCHMWoDXrNJcuLJNP3GkgTnxqzZqdT0/edit#gid=1125640183", "https://docs.google.com/spreadsheets/d/1hW3dWdilpBfnFCHMWoDXrNJcuLJNP3GkgTnxqzZqdT0/edit#gid=1125640183")</f>
        <v>https://docs.google.com/spreadsheets/d/1hW3dWdilpBfnFCHMWoDXrNJcuLJNP3GkgTnxqzZqdT0/edit#gid=1125640183</v>
      </c>
      <c r="H316" s="32" t="s">
        <v>95</v>
      </c>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B317" s="15"/>
      <c r="C317" s="21"/>
      <c r="D317" s="15"/>
      <c r="E317" s="32" t="s">
        <v>88</v>
      </c>
      <c r="F317" s="32" t="s">
        <v>122</v>
      </c>
      <c r="G317" s="70" t="str">
        <f>HYPERLINK("https://docs.google.com/spreadsheets/d/1hW3dWdilpBfnFCHMWoDXrNJcuLJNP3GkgTnxqzZqdT0/edit#gid=253986209", "https://docs.google.com/spreadsheets/d/1hW3dWdilpBfnFCHMWoDXrNJcuLJNP3GkgTnxqzZqdT0/edit#gid=253986209")</f>
        <v>https://docs.google.com/spreadsheets/d/1hW3dWdilpBfnFCHMWoDXrNJcuLJNP3GkgTnxqzZqdT0/edit#gid=253986209</v>
      </c>
      <c r="H317" s="32" t="s">
        <v>122</v>
      </c>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B318" s="15"/>
      <c r="C318" s="21"/>
      <c r="D318" s="15"/>
      <c r="E318" s="32" t="s">
        <v>88</v>
      </c>
      <c r="F318" s="32" t="s">
        <v>96</v>
      </c>
      <c r="G318" s="70" t="str">
        <f>HYPERLINK("https://docs.google.com/spreadsheets/d/1hW3dWdilpBfnFCHMWoDXrNJcuLJNP3GkgTnxqzZqdT0/edit#gid=1936508948", "https://docs.google.com/spreadsheets/d/1hW3dWdilpBfnFCHMWoDXrNJcuLJNP3GkgTnxqzZqdT0/edit#gid=1936508948")</f>
        <v>https://docs.google.com/spreadsheets/d/1hW3dWdilpBfnFCHMWoDXrNJcuLJNP3GkgTnxqzZqdT0/edit#gid=1936508948</v>
      </c>
      <c r="H318" s="32" t="s">
        <v>96</v>
      </c>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B319" s="15"/>
      <c r="C319" s="21"/>
      <c r="D319" s="15"/>
      <c r="E319" s="15"/>
      <c r="F319" s="15"/>
      <c r="G319" s="15"/>
      <c r="H319" s="15"/>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B320" s="15"/>
      <c r="C320" s="21"/>
      <c r="D320" s="15"/>
      <c r="E320" s="15"/>
      <c r="F320" s="15"/>
      <c r="G320" s="15"/>
      <c r="H320" s="15"/>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B321" s="15"/>
      <c r="C321" s="21"/>
      <c r="D321" s="15"/>
      <c r="E321" s="15"/>
      <c r="F321" s="15"/>
      <c r="G321" s="15"/>
      <c r="H321" s="1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B322" s="15"/>
      <c r="C322" s="21"/>
      <c r="D322" s="15"/>
      <c r="E322" s="15"/>
      <c r="F322" s="15"/>
      <c r="G322" s="15"/>
      <c r="H322" s="1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B323" s="15"/>
      <c r="C323" s="21"/>
      <c r="D323" s="15"/>
      <c r="E323" s="15"/>
      <c r="F323" s="15"/>
      <c r="G323" s="15"/>
      <c r="H323" s="1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B324" s="15"/>
      <c r="C324" s="72">
        <f>today()</f>
        <v>44026</v>
      </c>
      <c r="D324" s="15"/>
      <c r="E324" s="15"/>
      <c r="F324" s="15"/>
      <c r="G324" s="15"/>
      <c r="H324" s="15"/>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B325" s="15"/>
      <c r="C325" s="21"/>
      <c r="D325" s="15"/>
      <c r="E325" s="15"/>
      <c r="F325" s="15"/>
      <c r="G325" s="15"/>
      <c r="H325" s="1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B326" s="32"/>
      <c r="C326" s="66"/>
      <c r="D326" s="32"/>
      <c r="E326" s="32"/>
      <c r="F326" s="32"/>
      <c r="G326" s="15"/>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B327" s="15"/>
      <c r="C327" s="21"/>
      <c r="D327" s="15"/>
      <c r="E327" s="32"/>
      <c r="F327" s="32"/>
      <c r="G327" s="15"/>
      <c r="H327" s="36"/>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B328" s="15"/>
      <c r="C328" s="21"/>
      <c r="D328" s="15"/>
      <c r="E328" s="15"/>
      <c r="F328" s="15"/>
      <c r="G328" s="15"/>
      <c r="H328" s="15"/>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B329" s="15"/>
      <c r="C329" s="21"/>
      <c r="D329" s="15"/>
      <c r="E329" s="15"/>
      <c r="F329" s="15"/>
      <c r="G329" s="15"/>
      <c r="H329" s="15"/>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32" t="s">
        <v>222</v>
      </c>
      <c r="C330" s="66" t="s">
        <v>223</v>
      </c>
      <c r="D330" s="32" t="s">
        <v>20</v>
      </c>
      <c r="E330" s="32" t="s">
        <v>21</v>
      </c>
      <c r="F330" s="32" t="s">
        <v>51</v>
      </c>
      <c r="G330" s="70" t="str">
        <f>HYPERLINK("https://docs.google.com/spreadsheets/d/1sk3q3Sz5WTOQFWm4XQPjgFjlix6ORZsOnEtzgVzpvf0/edit#gid=1256730637", "https://docs.google.com/spreadsheets/d/1sk3q3Sz5WTOQFWm4XQPjgFjlix6ORZsOnEtzgVzpvf0/edit#gid=1256730637")</f>
        <v>https://docs.google.com/spreadsheets/d/1sk3q3Sz5WTOQFWm4XQPjgFjlix6ORZsOnEtzgVzpvf0/edit#gid=1256730637</v>
      </c>
      <c r="H330" s="32" t="s">
        <v>51</v>
      </c>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15"/>
      <c r="C331" s="21"/>
      <c r="D331" s="15"/>
      <c r="E331" s="32" t="s">
        <v>43</v>
      </c>
      <c r="F331" s="32" t="s">
        <v>53</v>
      </c>
      <c r="G331" s="70" t="str">
        <f>HYPERLINK("https://docs.google.com/spreadsheets/d/1sk3q3Sz5WTOQFWm4XQPjgFjlix6ORZsOnEtzgVzpvf0/edit#gid=503520708", "https://docs.google.com/spreadsheets/d/1sk3q3Sz5WTOQFWm4XQPjgFjlix6ORZsOnEtzgVzpvf0/edit#gid=503520708")</f>
        <v>https://docs.google.com/spreadsheets/d/1sk3q3Sz5WTOQFWm4XQPjgFjlix6ORZsOnEtzgVzpvf0/edit#gid=503520708</v>
      </c>
      <c r="H331" s="35" t="s">
        <v>53</v>
      </c>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B332" s="15"/>
      <c r="C332" s="21"/>
      <c r="D332" s="15"/>
      <c r="E332" s="32" t="s">
        <v>43</v>
      </c>
      <c r="F332" s="32" t="s">
        <v>79</v>
      </c>
      <c r="G332" s="70" t="str">
        <f>HYPERLINK("https://docs.google.com/spreadsheets/d/1sk3q3Sz5WTOQFWm4XQPjgFjlix6ORZsOnEtzgVzpvf0/edit#gid=1609137566", "https://docs.google.com/spreadsheets/d/1sk3q3Sz5WTOQFWm4XQPjgFjlix6ORZsOnEtzgVzpvf0/edit#gid=1609137566")</f>
        <v>https://docs.google.com/spreadsheets/d/1sk3q3Sz5WTOQFWm4XQPjgFjlix6ORZsOnEtzgVzpvf0/edit#gid=1609137566</v>
      </c>
      <c r="H332" s="32" t="s">
        <v>79</v>
      </c>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B333" s="15"/>
      <c r="C333" s="21"/>
      <c r="D333" s="15"/>
      <c r="E333" s="32" t="s">
        <v>88</v>
      </c>
      <c r="F333" s="32" t="s">
        <v>95</v>
      </c>
      <c r="G333" s="70" t="str">
        <f>HYPERLINK("https://docs.google.com/spreadsheets/d/1sk3q3Sz5WTOQFWm4XQPjgFjlix6ORZsOnEtzgVzpvf0/edit#gid=1550342252", "https://docs.google.com/spreadsheets/d/1sk3q3Sz5WTOQFWm4XQPjgFjlix6ORZsOnEtzgVzpvf0/edit#gid=1550342252")</f>
        <v>https://docs.google.com/spreadsheets/d/1sk3q3Sz5WTOQFWm4XQPjgFjlix6ORZsOnEtzgVzpvf0/edit#gid=1550342252</v>
      </c>
      <c r="H333" s="32" t="s">
        <v>95</v>
      </c>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B334" s="15"/>
      <c r="C334" s="21"/>
      <c r="D334" s="15"/>
      <c r="E334" s="32" t="s">
        <v>88</v>
      </c>
      <c r="F334" s="32" t="s">
        <v>122</v>
      </c>
      <c r="G334" s="70" t="str">
        <f>HYPERLINK("https://docs.google.com/spreadsheets/d/1sk3q3Sz5WTOQFWm4XQPjgFjlix6ORZsOnEtzgVzpvf0/edit#gid=1342424547", "https://docs.google.com/spreadsheets/d/1sk3q3Sz5WTOQFWm4XQPjgFjlix6ORZsOnEtzgVzpvf0/edit#gid=1342424547")</f>
        <v>https://docs.google.com/spreadsheets/d/1sk3q3Sz5WTOQFWm4XQPjgFjlix6ORZsOnEtzgVzpvf0/edit#gid=1342424547</v>
      </c>
      <c r="H334" s="32" t="s">
        <v>122</v>
      </c>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B335" s="15"/>
      <c r="C335" s="21"/>
      <c r="D335" s="15"/>
      <c r="E335" s="32" t="s">
        <v>88</v>
      </c>
      <c r="F335" s="32" t="s">
        <v>96</v>
      </c>
      <c r="G335" s="70" t="str">
        <f>HYPERLINK("https://docs.google.com/spreadsheets/d/1sk3q3Sz5WTOQFWm4XQPjgFjlix6ORZsOnEtzgVzpvf0/edit#gid=1839909698", "https://docs.google.com/spreadsheets/d/1sk3q3Sz5WTOQFWm4XQPjgFjlix6ORZsOnEtzgVzpvf0/edit#gid=1839909698")</f>
        <v>https://docs.google.com/spreadsheets/d/1sk3q3Sz5WTOQFWm4XQPjgFjlix6ORZsOnEtzgVzpvf0/edit#gid=1839909698</v>
      </c>
      <c r="H335" s="32" t="s">
        <v>96</v>
      </c>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B336" s="15"/>
      <c r="C336" s="21"/>
      <c r="D336" s="15"/>
      <c r="E336" s="15"/>
      <c r="F336" s="15"/>
      <c r="G336" s="15"/>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B337" s="15"/>
      <c r="C337" s="21"/>
      <c r="D337" s="15"/>
      <c r="E337" s="15"/>
      <c r="F337" s="15"/>
      <c r="G337" s="15"/>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B338" s="32" t="s">
        <v>224</v>
      </c>
      <c r="C338" s="66" t="s">
        <v>225</v>
      </c>
      <c r="D338" s="32" t="s">
        <v>20</v>
      </c>
      <c r="E338" s="32" t="s">
        <v>21</v>
      </c>
      <c r="F338" s="32" t="s">
        <v>51</v>
      </c>
      <c r="G338" s="70" t="str">
        <f>HYPERLINK("https://docs.google.com/spreadsheets/d/1ko41TDyUB6Iwr_Gaydtaf_U3DdtF3DOhuFyafj0PaXY/edit#gid=1334217324", "https://docs.google.com/spreadsheets/d/1ko41TDyUB6Iwr_Gaydtaf_U3DdtF3DOhuFyafj0PaXY/edit#gid=1334217324")</f>
        <v>https://docs.google.com/spreadsheets/d/1ko41TDyUB6Iwr_Gaydtaf_U3DdtF3DOhuFyafj0PaXY/edit#gid=1334217324</v>
      </c>
      <c r="H338" s="32" t="s">
        <v>51</v>
      </c>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B339" s="15"/>
      <c r="C339" s="21"/>
      <c r="D339" s="15"/>
      <c r="E339" s="32" t="s">
        <v>43</v>
      </c>
      <c r="F339" s="32" t="s">
        <v>53</v>
      </c>
      <c r="G339" s="70" t="str">
        <f>HYPERLINK("https://docs.google.com/spreadsheets/d/1ko41TDyUB6Iwr_Gaydtaf_U3DdtF3DOhuFyafj0PaXY/edit#gid=603873978", "https://docs.google.com/spreadsheets/d/1ko41TDyUB6Iwr_Gaydtaf_U3DdtF3DOhuFyafj0PaXY/edit#gid=603873978")</f>
        <v>https://docs.google.com/spreadsheets/d/1ko41TDyUB6Iwr_Gaydtaf_U3DdtF3DOhuFyafj0PaXY/edit#gid=603873978</v>
      </c>
      <c r="H339" s="32" t="s">
        <v>53</v>
      </c>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B340" s="15"/>
      <c r="C340" s="21"/>
      <c r="D340" s="15"/>
      <c r="E340" s="15"/>
      <c r="F340" s="15"/>
      <c r="G340" s="15"/>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B341" s="32" t="s">
        <v>226</v>
      </c>
      <c r="C341" s="66" t="s">
        <v>227</v>
      </c>
      <c r="D341" s="32" t="s">
        <v>20</v>
      </c>
      <c r="E341" s="32" t="s">
        <v>21</v>
      </c>
      <c r="F341" s="32" t="s">
        <v>51</v>
      </c>
      <c r="G341" s="70" t="str">
        <f>HYPERLINK("https://docs.google.com/spreadsheets/d/1Bn-XFYPdPPNMsgbePFqzxqs8G09Qr5oTLfYlmsPXz2s/edit#gid=1290518126", "https://docs.google.com/spreadsheets/d/1Bn-XFYPdPPNMsgbePFqzxqs8G09Qr5oTLfYlmsPXz2s/edit#gid=1290518126")</f>
        <v>https://docs.google.com/spreadsheets/d/1Bn-XFYPdPPNMsgbePFqzxqs8G09Qr5oTLfYlmsPXz2s/edit#gid=1290518126</v>
      </c>
      <c r="H341" s="32" t="s">
        <v>51</v>
      </c>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B342" s="15"/>
      <c r="C342" s="21"/>
      <c r="D342" s="15"/>
      <c r="E342" s="32" t="s">
        <v>43</v>
      </c>
      <c r="F342" s="32" t="s">
        <v>53</v>
      </c>
      <c r="G342" s="70" t="str">
        <f>HYPERLINK("https://docs.google.com/spreadsheets/d/1yaAeZ2KfaP1PbJbk1zlNHfcfgY9I0-5ZSk9rl6Mrln8/edit#gid=1680388364", "https://docs.google.com/spreadsheets/d/1yaAeZ2KfaP1PbJbk1zlNHfcfgY9I0-5ZSk9rl6Mrln8/edit#gid=1680388364")</f>
        <v>https://docs.google.com/spreadsheets/d/1yaAeZ2KfaP1PbJbk1zlNHfcfgY9I0-5ZSk9rl6Mrln8/edit#gid=1680388364</v>
      </c>
      <c r="H342" s="32" t="s">
        <v>53</v>
      </c>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B343" s="15"/>
      <c r="C343" s="21"/>
      <c r="D343" s="15"/>
      <c r="E343" s="32" t="s">
        <v>43</v>
      </c>
      <c r="F343" s="32" t="s">
        <v>53</v>
      </c>
      <c r="G343" s="70" t="str">
        <f>HYPERLINK("https://docs.google.com/spreadsheets/d/1Bn-XFYPdPPNMsgbePFqzxqs8G09Qr5oTLfYlmsPXz2s/edit#gid=732323328", "https://docs.google.com/spreadsheets/d/1Bn-XFYPdPPNMsgbePFqzxqs8G09Qr5oTLfYlmsPXz2s/edit#gid=732323328")</f>
        <v>https://docs.google.com/spreadsheets/d/1Bn-XFYPdPPNMsgbePFqzxqs8G09Qr5oTLfYlmsPXz2s/edit#gid=732323328</v>
      </c>
      <c r="H343" s="32" t="s">
        <v>53</v>
      </c>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B344" s="15"/>
      <c r="C344" s="21"/>
      <c r="D344" s="15"/>
      <c r="E344" s="32" t="s">
        <v>178</v>
      </c>
      <c r="F344" s="32" t="s">
        <v>228</v>
      </c>
      <c r="G344" s="70" t="str">
        <f>HYPERLINK("https://docs.google.com/spreadsheets/d/1Bn-XFYPdPPNMsgbePFqzxqs8G09Qr5oTLfYlmsPXz2s/edit#gid=1675194263", "https://docs.google.com/spreadsheets/d/1Bn-XFYPdPPNMsgbePFqzxqs8G09Qr5oTLfYlmsPXz2s/edit#gid=1675194263")</f>
        <v>https://docs.google.com/spreadsheets/d/1Bn-XFYPdPPNMsgbePFqzxqs8G09Qr5oTLfYlmsPXz2s/edit#gid=1675194263</v>
      </c>
      <c r="H344" s="32" t="s">
        <v>228</v>
      </c>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B345" s="15"/>
      <c r="C345" s="21"/>
      <c r="D345" s="15"/>
      <c r="E345" s="15"/>
      <c r="F345" s="15"/>
      <c r="G345" s="15"/>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B346" s="15"/>
      <c r="C346" s="21"/>
      <c r="D346" s="15"/>
      <c r="E346" s="15"/>
      <c r="F346" s="15"/>
      <c r="G346" s="15"/>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B347" s="15"/>
      <c r="C347" s="21"/>
      <c r="D347" s="15"/>
      <c r="E347" s="15"/>
      <c r="F347" s="15"/>
      <c r="G347" s="15"/>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B348" s="15"/>
      <c r="C348" s="21"/>
      <c r="D348" s="15"/>
      <c r="E348" s="15"/>
      <c r="F348" s="15"/>
      <c r="G348" s="15"/>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32"/>
      <c r="C349" s="66"/>
      <c r="D349" s="32"/>
      <c r="E349" s="32"/>
      <c r="F349" s="32"/>
      <c r="G349" s="15"/>
      <c r="H349" s="36"/>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15"/>
      <c r="C350" s="21"/>
      <c r="D350" s="15"/>
      <c r="E350" s="32"/>
      <c r="F350" s="32"/>
      <c r="G350" s="15"/>
      <c r="H350" s="36"/>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B351" s="15"/>
      <c r="C351" s="21"/>
      <c r="D351" s="15"/>
      <c r="E351" s="32"/>
      <c r="F351" s="32"/>
      <c r="G351" s="15"/>
      <c r="H351" s="36"/>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B352" s="15"/>
      <c r="C352" s="21"/>
      <c r="D352" s="15"/>
      <c r="E352" s="15"/>
      <c r="F352" s="15"/>
      <c r="G352" s="15"/>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D353" s="32"/>
      <c r="E353" s="32"/>
      <c r="F353" s="32"/>
      <c r="G353" s="15"/>
      <c r="H353" s="36"/>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B354" s="15"/>
      <c r="C354" s="21"/>
      <c r="D354" s="15"/>
      <c r="E354" s="15"/>
      <c r="F354" s="15"/>
      <c r="G354" s="15"/>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B355" s="32" t="s">
        <v>229</v>
      </c>
      <c r="C355" s="66" t="s">
        <v>230</v>
      </c>
      <c r="D355" s="32" t="s">
        <v>20</v>
      </c>
      <c r="E355" s="32" t="s">
        <v>88</v>
      </c>
      <c r="F355" s="32" t="s">
        <v>231</v>
      </c>
      <c r="G355" s="70" t="str">
        <f>HYPERLINK("https://docs.google.com/spreadsheets/d/1ZiJr6Mq5Kz2XskQ79hHdWOFOA6U7BVwyN2IgQ4iY6w4/edit#gid=1610020771", "https://docs.google.com/spreadsheets/d/1ZiJr6Mq5Kz2XskQ79hHdWOFOA6U7BVwyN2IgQ4iY6w4/edit#gid=1610020771")</f>
        <v>https://docs.google.com/spreadsheets/d/1ZiJr6Mq5Kz2XskQ79hHdWOFOA6U7BVwyN2IgQ4iY6w4/edit#gid=1610020771</v>
      </c>
      <c r="H355" s="35" t="s">
        <v>231</v>
      </c>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B356" s="15"/>
      <c r="C356" s="21"/>
      <c r="D356" s="15"/>
      <c r="E356" s="15"/>
      <c r="F356" s="15"/>
      <c r="G356" s="15"/>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B357" s="32" t="s">
        <v>232</v>
      </c>
      <c r="C357" s="66" t="s">
        <v>230</v>
      </c>
      <c r="D357" s="32" t="s">
        <v>20</v>
      </c>
      <c r="E357" s="32" t="s">
        <v>88</v>
      </c>
      <c r="F357" s="32" t="s">
        <v>231</v>
      </c>
      <c r="G357" s="70" t="str">
        <f>HYPERLINK("https://docs.google.com/spreadsheets/d/1WiYo-D-jbBg3x8kc2fSVCaGas81mBGTBLiWLtxZtK6I/edit#gid=971437495", "https://docs.google.com/spreadsheets/d/1WiYo-D-jbBg3x8kc2fSVCaGas81mBGTBLiWLtxZtK6I/edit#gid=971437495")</f>
        <v>https://docs.google.com/spreadsheets/d/1WiYo-D-jbBg3x8kc2fSVCaGas81mBGTBLiWLtxZtK6I/edit#gid=971437495</v>
      </c>
      <c r="H357" s="32" t="s">
        <v>231</v>
      </c>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B358" s="32" t="s">
        <v>233</v>
      </c>
      <c r="C358" s="66" t="s">
        <v>230</v>
      </c>
      <c r="D358" s="32" t="s">
        <v>20</v>
      </c>
      <c r="E358" s="32" t="s">
        <v>88</v>
      </c>
      <c r="F358" s="32" t="s">
        <v>231</v>
      </c>
      <c r="G358" s="70" t="str">
        <f>HYPERLINK("https://docs.google.com/spreadsheets/d/1wUqZZtBRTKbdGo8o_xhr64xBn44ePG12jlMA2WjaRbU/edit#gid=2066741027", "https://docs.google.com/spreadsheets/d/1wUqZZtBRTKbdGo8o_xhr64xBn44ePG12jlMA2WjaRbU/edit#gid=2066741027")</f>
        <v>https://docs.google.com/spreadsheets/d/1wUqZZtBRTKbdGo8o_xhr64xBn44ePG12jlMA2WjaRbU/edit#gid=2066741027</v>
      </c>
      <c r="H358" s="32" t="s">
        <v>231</v>
      </c>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B359" s="15"/>
      <c r="C359" s="21"/>
      <c r="D359" s="15"/>
      <c r="E359" s="15"/>
      <c r="F359" s="15"/>
      <c r="G359" s="15"/>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B360" s="15"/>
      <c r="C360" s="21"/>
      <c r="D360" s="15"/>
      <c r="E360" s="15"/>
      <c r="F360" s="15"/>
      <c r="G360" s="15"/>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B361" s="32" t="s">
        <v>234</v>
      </c>
      <c r="C361" s="66" t="s">
        <v>235</v>
      </c>
      <c r="D361" s="32" t="s">
        <v>20</v>
      </c>
      <c r="E361" s="32" t="s">
        <v>21</v>
      </c>
      <c r="F361" s="32" t="s">
        <v>236</v>
      </c>
      <c r="G361" s="70" t="str">
        <f>HYPERLINK("https://docs.google.com/spreadsheets/d/19N0EUCyEsShNZhoj1MdkJpMD51Xg2J_nKM3FhRXeoJQ/edit#gid=487838070", "https://docs.google.com/spreadsheets/d/19N0EUCyEsShNZhoj1MdkJpMD51Xg2J_nKM3FhRXeoJQ/edit#gid=487838070")</f>
        <v>https://docs.google.com/spreadsheets/d/19N0EUCyEsShNZhoj1MdkJpMD51Xg2J_nKM3FhRXeoJQ/edit#gid=487838070</v>
      </c>
      <c r="H361" s="32" t="s">
        <v>236</v>
      </c>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15"/>
      <c r="C362" s="21"/>
      <c r="D362" s="15"/>
      <c r="E362" s="15"/>
      <c r="F362" s="15"/>
      <c r="G362" s="15"/>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32" t="s">
        <v>237</v>
      </c>
      <c r="C363" s="66" t="s">
        <v>238</v>
      </c>
      <c r="D363" s="32" t="s">
        <v>20</v>
      </c>
      <c r="E363" s="32" t="s">
        <v>88</v>
      </c>
      <c r="F363" s="32" t="s">
        <v>239</v>
      </c>
      <c r="G363" s="70" t="str">
        <f>HYPERLINK("https://docs.google.com/spreadsheets/d/1u4gmSCJk1Iq9vjDPO8v31U6ngMe4D7_onZradvRhrSc/edit#gid=825711788", "https://docs.google.com/spreadsheets/d/1u4gmSCJk1Iq9vjDPO8v31U6ngMe4D7_onZradvRhrSc/edit#gid=825711788")</f>
        <v>https://docs.google.com/spreadsheets/d/1u4gmSCJk1Iq9vjDPO8v31U6ngMe4D7_onZradvRhrSc/edit#gid=825711788</v>
      </c>
      <c r="H363" s="32" t="s">
        <v>239</v>
      </c>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B364" s="15"/>
      <c r="C364" s="21"/>
      <c r="D364" s="15"/>
      <c r="E364" s="15"/>
      <c r="F364" s="15"/>
      <c r="G364" s="15"/>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B365" s="32" t="s">
        <v>240</v>
      </c>
      <c r="C365" s="66" t="s">
        <v>241</v>
      </c>
      <c r="D365" s="32" t="s">
        <v>20</v>
      </c>
      <c r="E365" s="32" t="s">
        <v>21</v>
      </c>
      <c r="F365" s="32" t="s">
        <v>236</v>
      </c>
      <c r="G365" s="70" t="str">
        <f>HYPERLINK("https://docs.google.com/spreadsheets/d/1_5sv_RoVWCdbeLJQ44Pgdt8QDSCHT_TflP754ynKo-k/edit#gid=1995324068", "https://docs.google.com/spreadsheets/d/1_5sv_RoVWCdbeLJQ44Pgdt8QDSCHT_TflP754ynKo-k/edit#gid=1995324068")</f>
        <v>https://docs.google.com/spreadsheets/d/1_5sv_RoVWCdbeLJQ44Pgdt8QDSCHT_TflP754ynKo-k/edit#gid=1995324068</v>
      </c>
      <c r="H365" s="32" t="s">
        <v>236</v>
      </c>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B366" s="15"/>
      <c r="C366" s="21"/>
      <c r="D366" s="15"/>
      <c r="E366" s="15"/>
      <c r="F366" s="15"/>
      <c r="G366" s="15"/>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B367" s="32" t="s">
        <v>242</v>
      </c>
      <c r="C367" s="66" t="s">
        <v>243</v>
      </c>
      <c r="D367" s="32" t="s">
        <v>20</v>
      </c>
      <c r="E367" s="32" t="s">
        <v>88</v>
      </c>
      <c r="F367" s="32" t="s">
        <v>239</v>
      </c>
      <c r="G367" s="70" t="str">
        <f>HYPERLINK("https://docs.google.com/spreadsheets/d/1pxPfB17qZ42w_cYlUyE-QULA2KO9AwFq_nXwiLiZgLc/edit#gid=1417897996", "https://docs.google.com/spreadsheets/d/1pxPfB17qZ42w_cYlUyE-QULA2KO9AwFq_nXwiLiZgLc/edit#gid=1417897996")</f>
        <v>https://docs.google.com/spreadsheets/d/1pxPfB17qZ42w_cYlUyE-QULA2KO9AwFq_nXwiLiZgLc/edit#gid=1417897996</v>
      </c>
      <c r="H367" s="32" t="s">
        <v>239</v>
      </c>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B368" s="15"/>
      <c r="C368" s="21"/>
      <c r="D368" s="15"/>
      <c r="E368" s="32" t="s">
        <v>147</v>
      </c>
      <c r="F368" s="32" t="s">
        <v>148</v>
      </c>
      <c r="G368" s="15"/>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B369" s="15"/>
      <c r="C369" s="21"/>
      <c r="D369" s="15"/>
      <c r="E369" s="32" t="s">
        <v>21</v>
      </c>
      <c r="F369" s="32" t="s">
        <v>244</v>
      </c>
      <c r="G369" s="70" t="str">
        <f>HYPERLINK("https://docs.google.com/spreadsheets/d/1pxPfB17qZ42w_cYlUyE-QULA2KO9AwFq_nXwiLiZgLc/edit#gid=204086065", "https://docs.google.com/spreadsheets/d/1pxPfB17qZ42w_cYlUyE-QULA2KO9AwFq_nXwiLiZgLc/edit#gid=204086065")</f>
        <v>https://docs.google.com/spreadsheets/d/1pxPfB17qZ42w_cYlUyE-QULA2KO9AwFq_nXwiLiZgLc/edit#gid=204086065</v>
      </c>
      <c r="H369" s="35" t="s">
        <v>244</v>
      </c>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B370" s="15"/>
      <c r="C370" s="21"/>
      <c r="D370" s="15"/>
      <c r="E370" s="32" t="s">
        <v>21</v>
      </c>
      <c r="F370" s="32" t="s">
        <v>22</v>
      </c>
      <c r="G370" s="70" t="str">
        <f>HYPERLINK("https://docs.google.com/spreadsheets/d/1pxPfB17qZ42w_cYlUyE-QULA2KO9AwFq_nXwiLiZgLc/edit#gid=1128851405", "https://docs.google.com/spreadsheets/d/1pxPfB17qZ42w_cYlUyE-QULA2KO9AwFq_nXwiLiZgLc/edit#gid=1128851405")</f>
        <v>https://docs.google.com/spreadsheets/d/1pxPfB17qZ42w_cYlUyE-QULA2KO9AwFq_nXwiLiZgLc/edit#gid=1128851405</v>
      </c>
      <c r="H370" s="35" t="s">
        <v>22</v>
      </c>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B371" s="15"/>
      <c r="C371" s="21"/>
      <c r="D371" s="15"/>
      <c r="E371" s="32" t="s">
        <v>43</v>
      </c>
      <c r="F371" s="32" t="s">
        <v>109</v>
      </c>
      <c r="G371" s="70" t="str">
        <f>HYPERLINK("https://docs.google.com/spreadsheets/d/1pxPfB17qZ42w_cYlUyE-QULA2KO9AwFq_nXwiLiZgLc/edit#gid=952188879", "https://docs.google.com/spreadsheets/d/1pxPfB17qZ42w_cYlUyE-QULA2KO9AwFq_nXwiLiZgLc/edit#gid=952188879")</f>
        <v>https://docs.google.com/spreadsheets/d/1pxPfB17qZ42w_cYlUyE-QULA2KO9AwFq_nXwiLiZgLc/edit#gid=952188879</v>
      </c>
      <c r="H371" s="35" t="s">
        <v>109</v>
      </c>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B372" s="15"/>
      <c r="C372" s="21"/>
      <c r="D372" s="15"/>
      <c r="E372" s="32" t="s">
        <v>21</v>
      </c>
      <c r="F372" s="32" t="s">
        <v>110</v>
      </c>
      <c r="G372" s="70" t="str">
        <f>HYPERLINK("https://docs.google.com/spreadsheets/d/1pxPfB17qZ42w_cYlUyE-QULA2KO9AwFq_nXwiLiZgLc/edit#gid=1868403334", "https://docs.google.com/spreadsheets/d/1pxPfB17qZ42w_cYlUyE-QULA2KO9AwFq_nXwiLiZgLc/edit#gid=1868403334")</f>
        <v>https://docs.google.com/spreadsheets/d/1pxPfB17qZ42w_cYlUyE-QULA2KO9AwFq_nXwiLiZgLc/edit#gid=1868403334</v>
      </c>
      <c r="H372" s="35" t="s">
        <v>110</v>
      </c>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B373" s="15"/>
      <c r="C373" s="21"/>
      <c r="D373" s="15"/>
      <c r="E373" s="32" t="s">
        <v>88</v>
      </c>
      <c r="F373" s="32" t="s">
        <v>95</v>
      </c>
      <c r="G373" s="70" t="str">
        <f>HYPERLINK("https://docs.google.com/spreadsheets/d/1pxPfB17qZ42w_cYlUyE-QULA2KO9AwFq_nXwiLiZgLc/edit#gid=751657760", "https://docs.google.com/spreadsheets/d/1pxPfB17qZ42w_cYlUyE-QULA2KO9AwFq_nXwiLiZgLc/edit#gid=751657760")</f>
        <v>https://docs.google.com/spreadsheets/d/1pxPfB17qZ42w_cYlUyE-QULA2KO9AwFq_nXwiLiZgLc/edit#gid=751657760</v>
      </c>
      <c r="H373" s="35" t="s">
        <v>95</v>
      </c>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B374" s="15"/>
      <c r="C374" s="21"/>
      <c r="D374" s="15"/>
      <c r="E374" s="32" t="s">
        <v>88</v>
      </c>
      <c r="F374" s="32" t="s">
        <v>245</v>
      </c>
      <c r="G374" s="70" t="str">
        <f>HYPERLINK("https://docs.google.com/spreadsheets/d/1pxPfB17qZ42w_cYlUyE-QULA2KO9AwFq_nXwiLiZgLc/edit#gid=621939143", "https://docs.google.com/spreadsheets/d/1pxPfB17qZ42w_cYlUyE-QULA2KO9AwFq_nXwiLiZgLc/edit#gid=621939143")</f>
        <v>https://docs.google.com/spreadsheets/d/1pxPfB17qZ42w_cYlUyE-QULA2KO9AwFq_nXwiLiZgLc/edit#gid=621939143</v>
      </c>
      <c r="H374" s="35" t="s">
        <v>245</v>
      </c>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B375" s="15"/>
      <c r="C375" s="21"/>
      <c r="D375" s="15"/>
      <c r="E375" s="32" t="s">
        <v>88</v>
      </c>
      <c r="F375" s="32" t="s">
        <v>120</v>
      </c>
      <c r="G375" s="70" t="str">
        <f>HYPERLINK("https://docs.google.com/spreadsheets/d/1pxPfB17qZ42w_cYlUyE-QULA2KO9AwFq_nXwiLiZgLc/edit#gid=1506351066", "https://docs.google.com/spreadsheets/d/1pxPfB17qZ42w_cYlUyE-QULA2KO9AwFq_nXwiLiZgLc/edit#gid=1506351066")</f>
        <v>https://docs.google.com/spreadsheets/d/1pxPfB17qZ42w_cYlUyE-QULA2KO9AwFq_nXwiLiZgLc/edit#gid=1506351066</v>
      </c>
      <c r="H375" s="35" t="s">
        <v>120</v>
      </c>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15"/>
      <c r="C376" s="21"/>
      <c r="D376" s="15"/>
      <c r="E376" s="32" t="s">
        <v>88</v>
      </c>
      <c r="F376" s="32" t="s">
        <v>246</v>
      </c>
      <c r="G376" s="70" t="str">
        <f>HYPERLINK("https://docs.google.com/spreadsheets/d/1pxPfB17qZ42w_cYlUyE-QULA2KO9AwFq_nXwiLiZgLc/edit#gid=792199011", "https://docs.google.com/spreadsheets/d/1pxPfB17qZ42w_cYlUyE-QULA2KO9AwFq_nXwiLiZgLc/edit#gid=792199011")</f>
        <v>https://docs.google.com/spreadsheets/d/1pxPfB17qZ42w_cYlUyE-QULA2KO9AwFq_nXwiLiZgLc/edit#gid=792199011</v>
      </c>
      <c r="H376" s="35" t="s">
        <v>246</v>
      </c>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15"/>
      <c r="C377" s="21"/>
      <c r="D377" s="15"/>
      <c r="E377" s="32" t="s">
        <v>88</v>
      </c>
      <c r="F377" s="32" t="s">
        <v>247</v>
      </c>
      <c r="G377" s="15"/>
      <c r="H377" s="36"/>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B378" s="15"/>
      <c r="C378" s="21"/>
      <c r="D378" s="15"/>
      <c r="E378" s="32" t="s">
        <v>43</v>
      </c>
      <c r="F378" s="32" t="s">
        <v>132</v>
      </c>
      <c r="G378" s="70" t="str">
        <f>HYPERLINK("https://docs.google.com/spreadsheets/d/1pxPfB17qZ42w_cYlUyE-QULA2KO9AwFq_nXwiLiZgLc/edit#gid=1608911684", "https://docs.google.com/spreadsheets/d/1pxPfB17qZ42w_cYlUyE-QULA2KO9AwFq_nXwiLiZgLc/edit#gid=1608911684")</f>
        <v>https://docs.google.com/spreadsheets/d/1pxPfB17qZ42w_cYlUyE-QULA2KO9AwFq_nXwiLiZgLc/edit#gid=1608911684</v>
      </c>
      <c r="H378" s="32" t="s">
        <v>132</v>
      </c>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B379" s="15"/>
      <c r="C379" s="21"/>
      <c r="D379" s="15"/>
      <c r="E379" s="32" t="s">
        <v>43</v>
      </c>
      <c r="F379" s="32" t="s">
        <v>248</v>
      </c>
      <c r="G379" s="70" t="str">
        <f>HYPERLINK("https://docs.google.com/spreadsheets/d/1pxPfB17qZ42w_cYlUyE-QULA2KO9AwFq_nXwiLiZgLc/edit#gid=193103097", "https://docs.google.com/spreadsheets/d/1pxPfB17qZ42w_cYlUyE-QULA2KO9AwFq_nXwiLiZgLc/edit#gid=193103097")</f>
        <v>https://docs.google.com/spreadsheets/d/1pxPfB17qZ42w_cYlUyE-QULA2KO9AwFq_nXwiLiZgLc/edit#gid=193103097</v>
      </c>
      <c r="H379" s="32" t="s">
        <v>248</v>
      </c>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B380" s="15"/>
      <c r="C380" s="21"/>
      <c r="D380" s="15"/>
      <c r="E380" s="32" t="s">
        <v>21</v>
      </c>
      <c r="F380" s="32" t="s">
        <v>249</v>
      </c>
      <c r="G380" s="70" t="str">
        <f>HYPERLINK("https://docs.google.com/spreadsheets/d/1pxPfB17qZ42w_cYlUyE-QULA2KO9AwFq_nXwiLiZgLc/edit#gid=477732288", "https://docs.google.com/spreadsheets/d/1pxPfB17qZ42w_cYlUyE-QULA2KO9AwFq_nXwiLiZgLc/edit#gid=477732288")</f>
        <v>https://docs.google.com/spreadsheets/d/1pxPfB17qZ42w_cYlUyE-QULA2KO9AwFq_nXwiLiZgLc/edit#gid=477732288</v>
      </c>
      <c r="H380" s="35" t="s">
        <v>249</v>
      </c>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B381" s="15"/>
      <c r="C381" s="21"/>
      <c r="D381" s="15"/>
      <c r="E381" s="32" t="s">
        <v>43</v>
      </c>
      <c r="F381" s="32" t="s">
        <v>53</v>
      </c>
      <c r="G381" s="70" t="str">
        <f>HYPERLINK("https://docs.google.com/spreadsheets/d/1pxPfB17qZ42w_cYlUyE-QULA2KO9AwFq_nXwiLiZgLc/edit#gid=56186425", "https://docs.google.com/spreadsheets/d/1pxPfB17qZ42w_cYlUyE-QULA2KO9AwFq_nXwiLiZgLc/edit#gid=56186425")</f>
        <v>https://docs.google.com/spreadsheets/d/1pxPfB17qZ42w_cYlUyE-QULA2KO9AwFq_nXwiLiZgLc/edit#gid=56186425</v>
      </c>
      <c r="H381" s="35" t="s">
        <v>53</v>
      </c>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B382" s="15"/>
      <c r="C382" s="21"/>
      <c r="D382" s="15"/>
      <c r="E382" s="32" t="s">
        <v>88</v>
      </c>
      <c r="F382" s="32" t="s">
        <v>96</v>
      </c>
      <c r="G382" s="70" t="str">
        <f>HYPERLINK("https://docs.google.com/spreadsheets/d/1pxPfB17qZ42w_cYlUyE-QULA2KO9AwFq_nXwiLiZgLc/edit#gid=1755542321", "https://docs.google.com/spreadsheets/d/1pxPfB17qZ42w_cYlUyE-QULA2KO9AwFq_nXwiLiZgLc/edit#gid=1755542321")</f>
        <v>https://docs.google.com/spreadsheets/d/1pxPfB17qZ42w_cYlUyE-QULA2KO9AwFq_nXwiLiZgLc/edit#gid=1755542321</v>
      </c>
      <c r="H382" s="35" t="s">
        <v>177</v>
      </c>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B383" s="15"/>
      <c r="C383" s="21"/>
      <c r="D383" s="15"/>
      <c r="E383" s="32" t="s">
        <v>104</v>
      </c>
      <c r="F383" s="32" t="s">
        <v>250</v>
      </c>
      <c r="G383" s="70" t="str">
        <f>HYPERLINK("https://docs.google.com/spreadsheets/d/1pxPfB17qZ42w_cYlUyE-QULA2KO9AwFq_nXwiLiZgLc/edit#gid=2016570839", "https://docs.google.com/spreadsheets/d/1pxPfB17qZ42w_cYlUyE-QULA2KO9AwFq_nXwiLiZgLc/edit#gid=2016570839")</f>
        <v>https://docs.google.com/spreadsheets/d/1pxPfB17qZ42w_cYlUyE-QULA2KO9AwFq_nXwiLiZgLc/edit#gid=2016570839</v>
      </c>
      <c r="H383" s="32" t="s">
        <v>250</v>
      </c>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B384" s="15"/>
      <c r="C384" s="21"/>
      <c r="D384" s="15"/>
      <c r="E384" s="15"/>
      <c r="F384" s="15"/>
      <c r="G384" s="15"/>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B385" s="15"/>
      <c r="C385" s="21"/>
      <c r="D385" s="15"/>
      <c r="E385" s="15"/>
      <c r="F385" s="15"/>
      <c r="G385" s="15"/>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B386" s="15"/>
      <c r="C386" s="21"/>
      <c r="D386" s="15"/>
      <c r="E386" s="15"/>
      <c r="F386" s="15"/>
      <c r="G386" s="15"/>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B387" s="15"/>
      <c r="C387" s="21"/>
      <c r="D387" s="15"/>
      <c r="E387" s="15"/>
      <c r="F387" s="15"/>
      <c r="G387" s="15"/>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B388" s="15"/>
      <c r="C388" s="21"/>
      <c r="D388" s="15"/>
      <c r="E388" s="15"/>
      <c r="F388" s="15"/>
      <c r="G388" s="15"/>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B389" s="15"/>
      <c r="C389" s="21"/>
      <c r="D389" s="15"/>
      <c r="E389" s="15"/>
      <c r="F389" s="15"/>
      <c r="G389" s="15"/>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B390" s="32" t="s">
        <v>251</v>
      </c>
      <c r="C390" s="66" t="s">
        <v>252</v>
      </c>
      <c r="D390" s="32" t="s">
        <v>20</v>
      </c>
      <c r="E390" s="32" t="s">
        <v>88</v>
      </c>
      <c r="F390" s="32" t="s">
        <v>239</v>
      </c>
      <c r="G390" s="70" t="str">
        <f>HYPERLINK("https://docs.google.com/spreadsheets/d/1N4KR75CZCL2VxN63GoxruubYZjdjjLS4zJyCvghNYU8/edit#gid=924597739", "https://docs.google.com/spreadsheets/d/1N4KR75CZCL2VxN63GoxruubYZjdjjLS4zJyCvghNYU8/edit#gid=924597739")</f>
        <v>https://docs.google.com/spreadsheets/d/1N4KR75CZCL2VxN63GoxruubYZjdjjLS4zJyCvghNYU8/edit#gid=924597739</v>
      </c>
      <c r="H390" s="36"/>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15"/>
      <c r="C391" s="21"/>
      <c r="D391" s="15"/>
      <c r="E391" s="32" t="s">
        <v>147</v>
      </c>
      <c r="F391" s="32" t="s">
        <v>148</v>
      </c>
      <c r="G391" s="15"/>
      <c r="H391" s="36"/>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15"/>
      <c r="C392" s="21"/>
      <c r="D392" s="15"/>
      <c r="E392" s="32" t="s">
        <v>21</v>
      </c>
      <c r="F392" s="32" t="s">
        <v>244</v>
      </c>
      <c r="G392" s="70" t="str">
        <f>HYPERLINK("https://docs.google.com/spreadsheets/d/1N4KR75CZCL2VxN63GoxruubYZjdjjLS4zJyCvghNYU8/edit#gid=3239450", "https://docs.google.com/spreadsheets/d/1N4KR75CZCL2VxN63GoxruubYZjdjjLS4zJyCvghNYU8/edit#gid=3239450")</f>
        <v>https://docs.google.com/spreadsheets/d/1N4KR75CZCL2VxN63GoxruubYZjdjjLS4zJyCvghNYU8/edit#gid=3239450</v>
      </c>
      <c r="H392" s="32" t="s">
        <v>244</v>
      </c>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B393" s="15"/>
      <c r="C393" s="21"/>
      <c r="D393" s="15"/>
      <c r="E393" s="32" t="s">
        <v>21</v>
      </c>
      <c r="F393" s="32" t="s">
        <v>22</v>
      </c>
      <c r="G393" s="70" t="str">
        <f>HYPERLINK("https://docs.google.com/spreadsheets/d/1N4KR75CZCL2VxN63GoxruubYZjdjjLS4zJyCvghNYU8/edit#gid=1115110409", "https://docs.google.com/spreadsheets/d/1N4KR75CZCL2VxN63GoxruubYZjdjjLS4zJyCvghNYU8/edit#gid=1115110409")</f>
        <v>https://docs.google.com/spreadsheets/d/1N4KR75CZCL2VxN63GoxruubYZjdjjLS4zJyCvghNYU8/edit#gid=1115110409</v>
      </c>
      <c r="H393" s="32" t="s">
        <v>22</v>
      </c>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B394" s="15"/>
      <c r="C394" s="21"/>
      <c r="D394" s="15"/>
      <c r="E394" s="32" t="s">
        <v>43</v>
      </c>
      <c r="F394" s="32" t="s">
        <v>79</v>
      </c>
      <c r="G394" s="70" t="str">
        <f>HYPERLINK("https://docs.google.com/spreadsheets/d/1N4KR75CZCL2VxN63GoxruubYZjdjjLS4zJyCvghNYU8/edit#gid=1865976383", "https://docs.google.com/spreadsheets/d/1N4KR75CZCL2VxN63GoxruubYZjdjjLS4zJyCvghNYU8/edit#gid=1865976383")</f>
        <v>https://docs.google.com/spreadsheets/d/1N4KR75CZCL2VxN63GoxruubYZjdjjLS4zJyCvghNYU8/edit#gid=1865976383</v>
      </c>
      <c r="H394" s="32" t="s">
        <v>79</v>
      </c>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B395" s="15"/>
      <c r="C395" s="21"/>
      <c r="D395" s="15"/>
      <c r="E395" s="32" t="s">
        <v>43</v>
      </c>
      <c r="F395" s="32" t="s">
        <v>109</v>
      </c>
      <c r="G395" s="70" t="str">
        <f>HYPERLINK("https://docs.google.com/spreadsheets/d/1N4KR75CZCL2VxN63GoxruubYZjdjjLS4zJyCvghNYU8/edit#gid=852312967", "https://docs.google.com/spreadsheets/d/1N4KR75CZCL2VxN63GoxruubYZjdjjLS4zJyCvghNYU8/edit#gid=852312967")</f>
        <v>https://docs.google.com/spreadsheets/d/1N4KR75CZCL2VxN63GoxruubYZjdjjLS4zJyCvghNYU8/edit#gid=852312967</v>
      </c>
      <c r="H395" s="32" t="s">
        <v>109</v>
      </c>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B396" s="15"/>
      <c r="C396" s="21"/>
      <c r="D396" s="15"/>
      <c r="E396" s="32" t="s">
        <v>21</v>
      </c>
      <c r="F396" s="32" t="s">
        <v>110</v>
      </c>
      <c r="G396" s="70" t="str">
        <f>HYPERLINK("https://docs.google.com/spreadsheets/d/1N4KR75CZCL2VxN63GoxruubYZjdjjLS4zJyCvghNYU8/edit#gid=397177260", "https://docs.google.com/spreadsheets/d/1N4KR75CZCL2VxN63GoxruubYZjdjjLS4zJyCvghNYU8/edit#gid=397177260")</f>
        <v>https://docs.google.com/spreadsheets/d/1N4KR75CZCL2VxN63GoxruubYZjdjjLS4zJyCvghNYU8/edit#gid=397177260</v>
      </c>
      <c r="H396" s="35" t="s">
        <v>110</v>
      </c>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B397" s="15"/>
      <c r="C397" s="21"/>
      <c r="D397" s="15"/>
      <c r="E397" s="32" t="s">
        <v>88</v>
      </c>
      <c r="F397" s="32" t="s">
        <v>95</v>
      </c>
      <c r="G397" s="70" t="str">
        <f>HYPERLINK("https://docs.google.com/spreadsheets/d/1N4KR75CZCL2VxN63GoxruubYZjdjjLS4zJyCvghNYU8/edit#gid=787273457", "https://docs.google.com/spreadsheets/d/1N4KR75CZCL2VxN63GoxruubYZjdjjLS4zJyCvghNYU8/edit#gid=787273457")</f>
        <v>https://docs.google.com/spreadsheets/d/1N4KR75CZCL2VxN63GoxruubYZjdjjLS4zJyCvghNYU8/edit#gid=787273457</v>
      </c>
      <c r="H397" s="32" t="s">
        <v>95</v>
      </c>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B398" s="15"/>
      <c r="C398" s="21"/>
      <c r="D398" s="15"/>
      <c r="E398" s="32" t="s">
        <v>88</v>
      </c>
      <c r="F398" s="32" t="s">
        <v>96</v>
      </c>
      <c r="G398" s="70" t="str">
        <f>HYPERLINK("https://docs.google.com/spreadsheets/d/1GTC__FCDW7qo3P2KpFwIV6zSaaDbfHhtl49JJDJDIbE/edit#gid=1213883787", "https://docs.google.com/spreadsheets/d/1GTC__FCDW7qo3P2KpFwIV6zSaaDbfHhtl49JJDJDIbE/edit#gid=1213883787")</f>
        <v>https://docs.google.com/spreadsheets/d/1GTC__FCDW7qo3P2KpFwIV6zSaaDbfHhtl49JJDJDIbE/edit#gid=1213883787</v>
      </c>
      <c r="H398" s="35" t="s">
        <v>96</v>
      </c>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B399" s="15"/>
      <c r="C399" s="21"/>
      <c r="D399" s="15"/>
      <c r="E399" s="15"/>
      <c r="F399" s="15"/>
      <c r="G399" s="15"/>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B400" s="15"/>
      <c r="C400" s="21"/>
      <c r="D400" s="15"/>
      <c r="E400" s="15"/>
      <c r="F400" s="15"/>
      <c r="G400" s="15"/>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B401" s="15"/>
      <c r="C401" s="21"/>
      <c r="D401" s="15"/>
      <c r="E401" s="15"/>
      <c r="F401" s="15"/>
      <c r="G401" s="15"/>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B402" s="32" t="s">
        <v>253</v>
      </c>
      <c r="C402" s="66" t="s">
        <v>254</v>
      </c>
      <c r="D402" s="32" t="s">
        <v>20</v>
      </c>
      <c r="E402" s="32" t="s">
        <v>88</v>
      </c>
      <c r="F402" s="32" t="s">
        <v>239</v>
      </c>
      <c r="G402" s="70" t="str">
        <f>HYPERLINK("https://docs.google.com/spreadsheets/d/1pDQTSuIQ7-ifdgGk-Ag0Ov1CaqddgemUYkB-6ch5wiU/edit#gid=1982903787", "https://docs.google.com/spreadsheets/d/1pDQTSuIQ7-ifdgGk-Ag0Ov1CaqddgemUYkB-6ch5wiU/edit#gid=1982903787")</f>
        <v>https://docs.google.com/spreadsheets/d/1pDQTSuIQ7-ifdgGk-Ag0Ov1CaqddgemUYkB-6ch5wiU/edit#gid=1982903787</v>
      </c>
      <c r="H402" s="35" t="s">
        <v>239</v>
      </c>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B403" s="15"/>
      <c r="D403" s="15"/>
      <c r="E403" s="32" t="s">
        <v>147</v>
      </c>
      <c r="F403" s="32" t="s">
        <v>148</v>
      </c>
      <c r="G403" s="15"/>
      <c r="H403" s="36"/>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B404" s="15"/>
      <c r="D404" s="15"/>
      <c r="E404" s="32" t="s">
        <v>21</v>
      </c>
      <c r="F404" s="32" t="s">
        <v>244</v>
      </c>
      <c r="G404" s="70" t="str">
        <f>HYPERLINK("https://docs.google.com/spreadsheets/d/1pDQTSuIQ7-ifdgGk-Ag0Ov1CaqddgemUYkB-6ch5wiU/edit#gid=2147226645", "https://docs.google.com/spreadsheets/d/1pDQTSuIQ7-ifdgGk-Ag0Ov1CaqddgemUYkB-6ch5wiU/edit#gid=2147226645")</f>
        <v>https://docs.google.com/spreadsheets/d/1pDQTSuIQ7-ifdgGk-Ag0Ov1CaqddgemUYkB-6ch5wiU/edit#gid=2147226645</v>
      </c>
      <c r="H404" s="32" t="s">
        <v>244</v>
      </c>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B405" s="15"/>
      <c r="D405" s="15"/>
      <c r="E405" s="32" t="s">
        <v>21</v>
      </c>
      <c r="F405" s="32" t="s">
        <v>51</v>
      </c>
      <c r="G405" s="70" t="str">
        <f>HYPERLINK("https://docs.google.com/spreadsheets/d/1pDQTSuIQ7-ifdgGk-Ag0Ov1CaqddgemUYkB-6ch5wiU/edit#gid=1948187023", "https://docs.google.com/spreadsheets/d/1pDQTSuIQ7-ifdgGk-Ag0Ov1CaqddgemUYkB-6ch5wiU/edit#gid=1948187023")</f>
        <v>https://docs.google.com/spreadsheets/d/1pDQTSuIQ7-ifdgGk-Ag0Ov1CaqddgemUYkB-6ch5wiU/edit#gid=1948187023</v>
      </c>
      <c r="H405" s="32" t="s">
        <v>51</v>
      </c>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B406" s="15"/>
      <c r="D406" s="15"/>
      <c r="E406" s="32" t="s">
        <v>88</v>
      </c>
      <c r="F406" s="32" t="s">
        <v>95</v>
      </c>
      <c r="G406" s="70" t="str">
        <f>HYPERLINK("https://docs.google.com/spreadsheets/d/1pDQTSuIQ7-ifdgGk-Ag0Ov1CaqddgemUYkB-6ch5wiU/edit#gid=208805876", "https://docs.google.com/spreadsheets/d/1pDQTSuIQ7-ifdgGk-Ag0Ov1CaqddgemUYkB-6ch5wiU/edit#gid=208805876")</f>
        <v>https://docs.google.com/spreadsheets/d/1pDQTSuIQ7-ifdgGk-Ag0Ov1CaqddgemUYkB-6ch5wiU/edit#gid=208805876</v>
      </c>
      <c r="H406" s="32" t="s">
        <v>95</v>
      </c>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15"/>
      <c r="D407" s="15"/>
      <c r="E407" s="32" t="s">
        <v>88</v>
      </c>
      <c r="F407" s="32" t="s">
        <v>120</v>
      </c>
      <c r="G407" s="70" t="str">
        <f>HYPERLINK("https://docs.google.com/spreadsheets/d/1pDQTSuIQ7-ifdgGk-Ag0Ov1CaqddgemUYkB-6ch5wiU/edit#gid=1299404049", "https://docs.google.com/spreadsheets/d/1pDQTSuIQ7-ifdgGk-Ag0Ov1CaqddgemUYkB-6ch5wiU/edit#gid=1299404049")</f>
        <v>https://docs.google.com/spreadsheets/d/1pDQTSuIQ7-ifdgGk-Ag0Ov1CaqddgemUYkB-6ch5wiU/edit#gid=1299404049</v>
      </c>
      <c r="H407" s="32" t="s">
        <v>120</v>
      </c>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15"/>
      <c r="D408" s="15"/>
      <c r="E408" s="32" t="s">
        <v>88</v>
      </c>
      <c r="F408" s="32" t="s">
        <v>246</v>
      </c>
      <c r="G408" s="70" t="str">
        <f>HYPERLINK("https://docs.google.com/spreadsheets/d/1pDQTSuIQ7-ifdgGk-Ag0Ov1CaqddgemUYkB-6ch5wiU/edit#gid=1377406307", "https://docs.google.com/spreadsheets/d/1pDQTSuIQ7-ifdgGk-Ag0Ov1CaqddgemUYkB-6ch5wiU/edit#gid=1377406307")</f>
        <v>https://docs.google.com/spreadsheets/d/1pDQTSuIQ7-ifdgGk-Ag0Ov1CaqddgemUYkB-6ch5wiU/edit#gid=1377406307</v>
      </c>
      <c r="H408" s="32" t="s">
        <v>246</v>
      </c>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B409" s="15"/>
      <c r="D409" s="15"/>
      <c r="E409" s="32" t="s">
        <v>88</v>
      </c>
      <c r="F409" s="32" t="s">
        <v>247</v>
      </c>
      <c r="G409" s="15"/>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B410" s="15"/>
      <c r="D410" s="15"/>
      <c r="E410" s="32" t="s">
        <v>88</v>
      </c>
      <c r="F410" s="32" t="s">
        <v>96</v>
      </c>
      <c r="G410" s="70" t="str">
        <f>HYPERLINK("https://docs.google.com/spreadsheets/d/1pDQTSuIQ7-ifdgGk-Ag0Ov1CaqddgemUYkB-6ch5wiU/edit#gid=1831144308", "https://docs.google.com/spreadsheets/d/1pDQTSuIQ7-ifdgGk-Ag0Ov1CaqddgemUYkB-6ch5wiU/edit#gid=1831144308")</f>
        <v>https://docs.google.com/spreadsheets/d/1pDQTSuIQ7-ifdgGk-Ag0Ov1CaqddgemUYkB-6ch5wiU/edit#gid=1831144308</v>
      </c>
      <c r="H410" s="32" t="s">
        <v>96</v>
      </c>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B411" s="15"/>
      <c r="D411" s="15"/>
      <c r="E411" s="32" t="s">
        <v>104</v>
      </c>
      <c r="F411" s="32" t="s">
        <v>250</v>
      </c>
      <c r="G411" s="70" t="str">
        <f>HYPERLINK("https://docs.google.com/spreadsheets/d/1pDQTSuIQ7-ifdgGk-Ag0Ov1CaqddgemUYkB-6ch5wiU/edit#gid=646996541", "https://docs.google.com/spreadsheets/d/1pDQTSuIQ7-ifdgGk-Ag0Ov1CaqddgemUYkB-6ch5wiU/edit#gid=646996541")</f>
        <v>https://docs.google.com/spreadsheets/d/1pDQTSuIQ7-ifdgGk-Ag0Ov1CaqddgemUYkB-6ch5wiU/edit#gid=646996541</v>
      </c>
      <c r="H411" s="32" t="s">
        <v>250</v>
      </c>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B412" s="15"/>
      <c r="C412" s="21"/>
      <c r="D412" s="15"/>
      <c r="E412" s="32" t="s">
        <v>43</v>
      </c>
      <c r="F412" s="32" t="s">
        <v>53</v>
      </c>
      <c r="G412" s="70" t="str">
        <f>HYPERLINK("https://docs.google.com/spreadsheets/d/1pDQTSuIQ7-ifdgGk-Ag0Ov1CaqddgemUYkB-6ch5wiU/edit#gid=1700580897", "https://docs.google.com/spreadsheets/d/1pDQTSuIQ7-ifdgGk-Ag0Ov1CaqddgemUYkB-6ch5wiU/edit#gid=1700580897")</f>
        <v>https://docs.google.com/spreadsheets/d/1pDQTSuIQ7-ifdgGk-Ag0Ov1CaqddgemUYkB-6ch5wiU/edit#gid=1700580897</v>
      </c>
      <c r="H412" s="32" t="s">
        <v>53</v>
      </c>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B413" s="15"/>
      <c r="C413" s="21"/>
      <c r="D413" s="15"/>
      <c r="E413" s="15"/>
      <c r="F413" s="15"/>
      <c r="G413" s="15"/>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B414" s="15"/>
      <c r="C414" s="21"/>
      <c r="D414" s="15"/>
      <c r="E414" s="15"/>
      <c r="F414" s="15"/>
      <c r="G414" s="15"/>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B415" s="32" t="s">
        <v>255</v>
      </c>
      <c r="C415" s="66" t="s">
        <v>256</v>
      </c>
      <c r="D415" s="32" t="s">
        <v>20</v>
      </c>
      <c r="E415" s="32" t="s">
        <v>88</v>
      </c>
      <c r="F415" s="32" t="s">
        <v>257</v>
      </c>
      <c r="G415" s="70" t="str">
        <f>HYPERLINK("https://docs.google.com/spreadsheets/d/1UYYxRWYNBSk7tLbOQhGiqKRiGUJRnQ2elJYljNIWaTw/edit#gid=919386780", "https://docs.google.com/spreadsheets/d/1UYYxRWYNBSk7tLbOQhGiqKRiGUJRnQ2elJYljNIWaTw/edit#gid=919386780")</f>
        <v>https://docs.google.com/spreadsheets/d/1UYYxRWYNBSk7tLbOQhGiqKRiGUJRnQ2elJYljNIWaTw/edit#gid=919386780</v>
      </c>
      <c r="H415" s="36"/>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B416" s="15"/>
      <c r="C416" s="21"/>
      <c r="D416" s="15"/>
      <c r="E416" s="15"/>
      <c r="F416" s="15"/>
      <c r="G416" s="15"/>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B417" s="32" t="s">
        <v>258</v>
      </c>
      <c r="C417" s="66" t="s">
        <v>259</v>
      </c>
      <c r="D417" s="32" t="s">
        <v>20</v>
      </c>
      <c r="E417" s="32" t="s">
        <v>88</v>
      </c>
      <c r="F417" s="32" t="s">
        <v>257</v>
      </c>
      <c r="G417" s="70" t="str">
        <f>HYPERLINK("https://docs.google.com/spreadsheets/d/1RjV9b5FEmAbga6cR8u240SFv4xvcHLXq5E0uJUoAn9Q/edit#gid=1830359420", "https://docs.google.com/spreadsheets/d/1RjV9b5FEmAbga6cR8u240SFv4xvcHLXq5E0uJUoAn9Q/edit#gid=1830359420")</f>
        <v>https://docs.google.com/spreadsheets/d/1RjV9b5FEmAbga6cR8u240SFv4xvcHLXq5E0uJUoAn9Q/edit#gid=1830359420</v>
      </c>
      <c r="H417" s="32" t="s">
        <v>257</v>
      </c>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B418" s="15"/>
      <c r="D418" s="15"/>
      <c r="E418" s="32" t="s">
        <v>88</v>
      </c>
      <c r="F418" s="32" t="s">
        <v>239</v>
      </c>
      <c r="G418" s="70" t="str">
        <f>HYPERLINK("https://docs.google.com/spreadsheets/d/1RjV9b5FEmAbga6cR8u240SFv4xvcHLXq5E0uJUoAn9Q/edit#gid=508349371", "https://docs.google.com/spreadsheets/d/1RjV9b5FEmAbga6cR8u240SFv4xvcHLXq5E0uJUoAn9Q/edit#gid=508349371")</f>
        <v>https://docs.google.com/spreadsheets/d/1RjV9b5FEmAbga6cR8u240SFv4xvcHLXq5E0uJUoAn9Q/edit#gid=508349371</v>
      </c>
      <c r="H418" s="32" t="s">
        <v>239</v>
      </c>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B419" s="15"/>
      <c r="D419" s="15"/>
      <c r="E419" s="32" t="s">
        <v>147</v>
      </c>
      <c r="F419" s="32" t="s">
        <v>148</v>
      </c>
      <c r="G419" s="15"/>
      <c r="H419" s="36"/>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B420" s="15"/>
      <c r="D420" s="15"/>
      <c r="E420" s="32" t="s">
        <v>21</v>
      </c>
      <c r="F420" s="32" t="s">
        <v>244</v>
      </c>
      <c r="G420" s="70" t="str">
        <f>HYPERLINK("https://docs.google.com/spreadsheets/d/1RjV9b5FEmAbga6cR8u240SFv4xvcHLXq5E0uJUoAn9Q/edit#gid=450906875", "https://docs.google.com/spreadsheets/d/1RjV9b5FEmAbga6cR8u240SFv4xvcHLXq5E0uJUoAn9Q/edit#gid=450906875")</f>
        <v>https://docs.google.com/spreadsheets/d/1RjV9b5FEmAbga6cR8u240SFv4xvcHLXq5E0uJUoAn9Q/edit#gid=450906875</v>
      </c>
      <c r="H420" s="32" t="s">
        <v>244</v>
      </c>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B421" s="15"/>
      <c r="D421" s="15"/>
      <c r="E421" s="32" t="s">
        <v>21</v>
      </c>
      <c r="F421" s="32" t="s">
        <v>51</v>
      </c>
      <c r="G421" s="70" t="str">
        <f>HYPERLINK("https://docs.google.com/spreadsheets/d/1RjV9b5FEmAbga6cR8u240SFv4xvcHLXq5E0uJUoAn9Q/edit#gid=1434884522", "https://docs.google.com/spreadsheets/d/1RjV9b5FEmAbga6cR8u240SFv4xvcHLXq5E0uJUoAn9Q/edit#gid=1434884522")</f>
        <v>https://docs.google.com/spreadsheets/d/1RjV9b5FEmAbga6cR8u240SFv4xvcHLXq5E0uJUoAn9Q/edit#gid=1434884522</v>
      </c>
      <c r="H421" s="32" t="s">
        <v>51</v>
      </c>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B422" s="15"/>
      <c r="D422" s="15"/>
      <c r="E422" s="32" t="s">
        <v>88</v>
      </c>
      <c r="F422" s="32" t="s">
        <v>95</v>
      </c>
      <c r="G422" s="70" t="str">
        <f>HYPERLINK("https://docs.google.com/spreadsheets/d/1RjV9b5FEmAbga6cR8u240SFv4xvcHLXq5E0uJUoAn9Q/edit#gid=224773400", "https://docs.google.com/spreadsheets/d/1RjV9b5FEmAbga6cR8u240SFv4xvcHLXq5E0uJUoAn9Q/edit#gid=224773400")</f>
        <v>https://docs.google.com/spreadsheets/d/1RjV9b5FEmAbga6cR8u240SFv4xvcHLXq5E0uJUoAn9Q/edit#gid=224773400</v>
      </c>
      <c r="H422" s="35" t="s">
        <v>95</v>
      </c>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B423" s="15"/>
      <c r="D423" s="15"/>
      <c r="E423" s="32" t="s">
        <v>88</v>
      </c>
      <c r="F423" s="32" t="s">
        <v>120</v>
      </c>
      <c r="G423" s="70" t="str">
        <f>HYPERLINK("https://docs.google.com/spreadsheets/d/1RjV9b5FEmAbga6cR8u240SFv4xvcHLXq5E0uJUoAn9Q/edit#gid=1537717536", "https://docs.google.com/spreadsheets/d/1RjV9b5FEmAbga6cR8u240SFv4xvcHLXq5E0uJUoAn9Q/edit#gid=1537717536")</f>
        <v>https://docs.google.com/spreadsheets/d/1RjV9b5FEmAbga6cR8u240SFv4xvcHLXq5E0uJUoAn9Q/edit#gid=1537717536</v>
      </c>
      <c r="H423" s="35" t="s">
        <v>120</v>
      </c>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B424" s="15"/>
      <c r="D424" s="15"/>
      <c r="E424" s="32" t="s">
        <v>88</v>
      </c>
      <c r="F424" s="32" t="s">
        <v>246</v>
      </c>
      <c r="G424" s="70" t="str">
        <f>HYPERLINK("https://docs.google.com/spreadsheets/d/1RjV9b5FEmAbga6cR8u240SFv4xvcHLXq5E0uJUoAn9Q/edit#gid=445093918", "https://docs.google.com/spreadsheets/d/1RjV9b5FEmAbga6cR8u240SFv4xvcHLXq5E0uJUoAn9Q/edit#gid=445093918")</f>
        <v>https://docs.google.com/spreadsheets/d/1RjV9b5FEmAbga6cR8u240SFv4xvcHLXq5E0uJUoAn9Q/edit#gid=445093918</v>
      </c>
      <c r="H424" s="35" t="s">
        <v>246</v>
      </c>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15"/>
      <c r="D425" s="15"/>
      <c r="E425" s="32" t="s">
        <v>88</v>
      </c>
      <c r="F425" s="32" t="s">
        <v>247</v>
      </c>
      <c r="G425" s="15"/>
      <c r="H425" s="36"/>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15"/>
      <c r="C426" s="21"/>
      <c r="D426" s="15"/>
      <c r="E426" s="32" t="s">
        <v>88</v>
      </c>
      <c r="F426" s="32" t="s">
        <v>96</v>
      </c>
      <c r="G426" s="70" t="str">
        <f>HYPERLINK("https://docs.google.com/spreadsheets/d/1RjV9b5FEmAbga6cR8u240SFv4xvcHLXq5E0uJUoAn9Q/edit#gid=1747276180", "https://docs.google.com/spreadsheets/d/1RjV9b5FEmAbga6cR8u240SFv4xvcHLXq5E0uJUoAn9Q/edit#gid=1747276180")</f>
        <v>https://docs.google.com/spreadsheets/d/1RjV9b5FEmAbga6cR8u240SFv4xvcHLXq5E0uJUoAn9Q/edit#gid=1747276180</v>
      </c>
      <c r="H426" s="32" t="s">
        <v>96</v>
      </c>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B427" s="15"/>
      <c r="C427" s="21"/>
      <c r="D427" s="15"/>
      <c r="E427" s="32" t="s">
        <v>43</v>
      </c>
      <c r="F427" s="32" t="s">
        <v>53</v>
      </c>
      <c r="G427" s="70" t="str">
        <f>HYPERLINK("https://docs.google.com/spreadsheets/d/1RjV9b5FEmAbga6cR8u240SFv4xvcHLXq5E0uJUoAn9Q/edit#gid=520290520", "https://docs.google.com/spreadsheets/d/1RjV9b5FEmAbga6cR8u240SFv4xvcHLXq5E0uJUoAn9Q/edit#gid=520290520")</f>
        <v>https://docs.google.com/spreadsheets/d/1RjV9b5FEmAbga6cR8u240SFv4xvcHLXq5E0uJUoAn9Q/edit#gid=520290520</v>
      </c>
      <c r="H427" s="32" t="s">
        <v>53</v>
      </c>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B428" s="15"/>
      <c r="C428" s="21"/>
      <c r="D428" s="15"/>
      <c r="E428" s="32" t="s">
        <v>104</v>
      </c>
      <c r="F428" s="32" t="s">
        <v>250</v>
      </c>
      <c r="G428" s="70" t="str">
        <f>HYPERLINK("https://docs.google.com/spreadsheets/d/1RjV9b5FEmAbga6cR8u240SFv4xvcHLXq5E0uJUoAn9Q/edit#gid=768588728", "https://docs.google.com/spreadsheets/d/1RjV9b5FEmAbga6cR8u240SFv4xvcHLXq5E0uJUoAn9Q/edit#gid=768588728")</f>
        <v>https://docs.google.com/spreadsheets/d/1RjV9b5FEmAbga6cR8u240SFv4xvcHLXq5E0uJUoAn9Q/edit#gid=768588728</v>
      </c>
      <c r="H428" s="32" t="s">
        <v>250</v>
      </c>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B429" s="15"/>
      <c r="C429" s="21"/>
      <c r="D429" s="15"/>
      <c r="E429" s="15"/>
      <c r="F429" s="15"/>
      <c r="G429" s="15"/>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B430" s="32" t="s">
        <v>260</v>
      </c>
      <c r="C430" s="66" t="s">
        <v>261</v>
      </c>
      <c r="D430" s="32" t="s">
        <v>20</v>
      </c>
      <c r="E430" s="32" t="s">
        <v>88</v>
      </c>
      <c r="F430" s="32" t="s">
        <v>262</v>
      </c>
      <c r="G430" s="70" t="str">
        <f>HYPERLINK("https://docs.google.com/spreadsheets/d/1-DRnRXDgabfZPE25isX5XI2Lgk1dzp7YKokgZtg8Uos/edit#gid=982794821", "https://docs.google.com/spreadsheets/d/1-DRnRXDgabfZPE25isX5XI2Lgk1dzp7YKokgZtg8Uos/edit#gid=982794821")</f>
        <v>https://docs.google.com/spreadsheets/d/1-DRnRXDgabfZPE25isX5XI2Lgk1dzp7YKokgZtg8Uos/edit#gid=982794821</v>
      </c>
      <c r="H430" s="32" t="s">
        <v>262</v>
      </c>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B431" s="15"/>
      <c r="C431" s="21"/>
      <c r="D431" s="15"/>
      <c r="E431" s="15"/>
      <c r="F431" s="15"/>
      <c r="G431" s="15"/>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B432" s="32" t="s">
        <v>263</v>
      </c>
      <c r="C432" s="66" t="s">
        <v>264</v>
      </c>
      <c r="D432" s="32" t="s">
        <v>20</v>
      </c>
      <c r="E432" s="32" t="s">
        <v>88</v>
      </c>
      <c r="F432" s="32" t="s">
        <v>262</v>
      </c>
      <c r="G432" s="70" t="str">
        <f>HYPERLINK("https://docs.google.com/spreadsheets/d/18Az_cMKwcGd3fWCClsuBZs01gDuHogv8uKecUe6eYR0/edit#gid=105794570", "https://docs.google.com/spreadsheets/d/18Az_cMKwcGd3fWCClsuBZs01gDuHogv8uKecUe6eYR0/edit#gid=105794570")</f>
        <v>https://docs.google.com/spreadsheets/d/18Az_cMKwcGd3fWCClsuBZs01gDuHogv8uKecUe6eYR0/edit#gid=105794570</v>
      </c>
      <c r="H432" s="32" t="s">
        <v>262</v>
      </c>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B433" s="15"/>
      <c r="D433" s="15"/>
      <c r="E433" s="32" t="s">
        <v>147</v>
      </c>
      <c r="F433" s="32" t="s">
        <v>148</v>
      </c>
      <c r="G433" s="15"/>
      <c r="H433" s="36"/>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B434" s="15"/>
      <c r="D434" s="15"/>
      <c r="E434" s="32" t="s">
        <v>21</v>
      </c>
      <c r="F434" s="32" t="s">
        <v>51</v>
      </c>
      <c r="G434" s="70" t="str">
        <f>HYPERLINK("https://docs.google.com/spreadsheets/d/18Az_cMKwcGd3fWCClsuBZs01gDuHogv8uKecUe6eYR0/edit#gid=118724833", "https://docs.google.com/spreadsheets/d/18Az_cMKwcGd3fWCClsuBZs01gDuHogv8uKecUe6eYR0/edit#gid=118724833")</f>
        <v>https://docs.google.com/spreadsheets/d/18Az_cMKwcGd3fWCClsuBZs01gDuHogv8uKecUe6eYR0/edit#gid=118724833</v>
      </c>
      <c r="H434" s="32" t="s">
        <v>51</v>
      </c>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15"/>
      <c r="B435" s="15"/>
      <c r="D435" s="15"/>
      <c r="E435" s="15"/>
      <c r="F435" s="15"/>
      <c r="G435" s="15"/>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B436" s="15"/>
      <c r="D436" s="15"/>
      <c r="E436" s="15"/>
      <c r="F436" s="15"/>
      <c r="G436" s="15"/>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B437" s="15"/>
      <c r="D437" s="15"/>
      <c r="E437" s="15"/>
      <c r="F437" s="15"/>
      <c r="G437" s="15"/>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B438" s="15"/>
      <c r="D438" s="15"/>
      <c r="E438" s="15"/>
      <c r="F438" s="15"/>
      <c r="G438" s="15"/>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B439" s="15"/>
      <c r="D439" s="15"/>
      <c r="E439" s="15"/>
      <c r="F439" s="15"/>
      <c r="G439" s="15"/>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B440" s="15"/>
      <c r="C440" s="21"/>
      <c r="D440" s="15"/>
      <c r="E440" s="15"/>
      <c r="F440" s="15"/>
      <c r="G440" s="15"/>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B441" s="15"/>
      <c r="C441" s="21"/>
      <c r="D441" s="15"/>
      <c r="E441" s="15"/>
      <c r="F441" s="15"/>
      <c r="G441" s="15"/>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B442" s="32" t="s">
        <v>265</v>
      </c>
      <c r="C442" s="21"/>
      <c r="D442" s="32" t="s">
        <v>20</v>
      </c>
      <c r="E442" s="32" t="s">
        <v>21</v>
      </c>
      <c r="F442" s="32" t="s">
        <v>51</v>
      </c>
      <c r="G442" s="70" t="str">
        <f>HYPERLINK("https://docs.google.com/spreadsheets/d/11fE_v5FjvBa5CbOtemIRZ6TFirFMkDU9nb5mJ_Sl9K0/edit#gid=397376894", "https://docs.google.com/spreadsheets/d/11fE_v5FjvBa5CbOtemIRZ6TFirFMkDU9nb5mJ_Sl9K0/edit#gid=397376894")</f>
        <v>https://docs.google.com/spreadsheets/d/11fE_v5FjvBa5CbOtemIRZ6TFirFMkDU9nb5mJ_Sl9K0/edit#gid=397376894</v>
      </c>
      <c r="H442" s="32" t="s">
        <v>51</v>
      </c>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B443" s="15"/>
      <c r="C443" s="21"/>
      <c r="D443" s="15"/>
      <c r="E443" s="32" t="s">
        <v>172</v>
      </c>
      <c r="F443" s="32" t="s">
        <v>173</v>
      </c>
      <c r="G443" s="70" t="str">
        <f>HYPERLINK("https://docs.google.com/spreadsheets/d/11fE_v5FjvBa5CbOtemIRZ6TFirFMkDU9nb5mJ_Sl9K0/edit#gid=1795281995", "https://docs.google.com/spreadsheets/d/11fE_v5FjvBa5CbOtemIRZ6TFirFMkDU9nb5mJ_Sl9K0/edit#gid=1795281995")</f>
        <v>https://docs.google.com/spreadsheets/d/11fE_v5FjvBa5CbOtemIRZ6TFirFMkDU9nb5mJ_Sl9K0/edit#gid=1795281995</v>
      </c>
      <c r="H443" s="32" t="s">
        <v>173</v>
      </c>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B444" s="15"/>
      <c r="C444" s="21"/>
      <c r="D444" s="15"/>
      <c r="E444" s="32" t="s">
        <v>172</v>
      </c>
      <c r="F444" s="32" t="s">
        <v>174</v>
      </c>
      <c r="G444" s="70" t="str">
        <f>HYPERLINK("https://docs.google.com/spreadsheets/d/11fE_v5FjvBa5CbOtemIRZ6TFirFMkDU9nb5mJ_Sl9K0/edit#gid=559686513", "https://docs.google.com/spreadsheets/d/11fE_v5FjvBa5CbOtemIRZ6TFirFMkDU9nb5mJ_Sl9K0/edit#gid=559686513")</f>
        <v>https://docs.google.com/spreadsheets/d/11fE_v5FjvBa5CbOtemIRZ6TFirFMkDU9nb5mJ_Sl9K0/edit#gid=559686513</v>
      </c>
      <c r="H444" s="32" t="s">
        <v>174</v>
      </c>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B445" s="15"/>
      <c r="C445" s="21"/>
      <c r="D445" s="15"/>
      <c r="E445" s="32" t="s">
        <v>86</v>
      </c>
      <c r="F445" s="32" t="s">
        <v>90</v>
      </c>
      <c r="G445" s="70" t="str">
        <f>HYPERLINK("https://docs.google.com/spreadsheets/d/11fE_v5FjvBa5CbOtemIRZ6TFirFMkDU9nb5mJ_Sl9K0/edit#gid=270604841", "https://docs.google.com/spreadsheets/d/11fE_v5FjvBa5CbOtemIRZ6TFirFMkDU9nb5mJ_Sl9K0/edit#gid=270604841")</f>
        <v>https://docs.google.com/spreadsheets/d/11fE_v5FjvBa5CbOtemIRZ6TFirFMkDU9nb5mJ_Sl9K0/edit#gid=270604841</v>
      </c>
      <c r="H445" s="32" t="s">
        <v>90</v>
      </c>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B446" s="15"/>
      <c r="C446" s="21"/>
      <c r="D446" s="15"/>
      <c r="E446" s="32" t="s">
        <v>86</v>
      </c>
      <c r="F446" s="32" t="s">
        <v>92</v>
      </c>
      <c r="G446" s="70" t="str">
        <f>HYPERLINK("https://docs.google.com/spreadsheets/d/11fE_v5FjvBa5CbOtemIRZ6TFirFMkDU9nb5mJ_Sl9K0/edit#gid=1773682342", "https://docs.google.com/spreadsheets/d/11fE_v5FjvBa5CbOtemIRZ6TFirFMkDU9nb5mJ_Sl9K0/edit#gid=1773682342")</f>
        <v>https://docs.google.com/spreadsheets/d/11fE_v5FjvBa5CbOtemIRZ6TFirFMkDU9nb5mJ_Sl9K0/edit#gid=1773682342</v>
      </c>
      <c r="H446" s="32" t="s">
        <v>92</v>
      </c>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15"/>
      <c r="C447" s="21"/>
      <c r="D447" s="15"/>
      <c r="E447" s="32" t="s">
        <v>86</v>
      </c>
      <c r="F447" s="32" t="s">
        <v>175</v>
      </c>
      <c r="G447" s="70" t="str">
        <f>HYPERLINK("https://docs.google.com/spreadsheets/d/11fE_v5FjvBa5CbOtemIRZ6TFirFMkDU9nb5mJ_Sl9K0/edit#gid=1423386164", "https://docs.google.com/spreadsheets/d/11fE_v5FjvBa5CbOtemIRZ6TFirFMkDU9nb5mJ_Sl9K0/edit#gid=1423386164")</f>
        <v>https://docs.google.com/spreadsheets/d/11fE_v5FjvBa5CbOtemIRZ6TFirFMkDU9nb5mJ_Sl9K0/edit#gid=1423386164</v>
      </c>
      <c r="H447" s="32" t="s">
        <v>175</v>
      </c>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15"/>
      <c r="C448" s="21"/>
      <c r="D448" s="15"/>
      <c r="E448" s="32" t="s">
        <v>86</v>
      </c>
      <c r="F448" s="32" t="s">
        <v>94</v>
      </c>
      <c r="G448" s="70" t="str">
        <f>HYPERLINK("https://docs.google.com/spreadsheets/d/11fE_v5FjvBa5CbOtemIRZ6TFirFMkDU9nb5mJ_Sl9K0/edit#gid=612140601", "https://docs.google.com/spreadsheets/d/11fE_v5FjvBa5CbOtemIRZ6TFirFMkDU9nb5mJ_Sl9K0/edit#gid=612140601")</f>
        <v>https://docs.google.com/spreadsheets/d/11fE_v5FjvBa5CbOtemIRZ6TFirFMkDU9nb5mJ_Sl9K0/edit#gid=612140601</v>
      </c>
      <c r="H448" s="32" t="s">
        <v>94</v>
      </c>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15"/>
      <c r="C449" s="21"/>
      <c r="D449" s="15"/>
      <c r="E449" s="32" t="s">
        <v>88</v>
      </c>
      <c r="F449" s="32" t="s">
        <v>95</v>
      </c>
      <c r="G449" s="70" t="str">
        <f>HYPERLINK("https://docs.google.com/spreadsheets/d/11fE_v5FjvBa5CbOtemIRZ6TFirFMkDU9nb5mJ_Sl9K0/edit#gid=2053033161", "https://docs.google.com/spreadsheets/d/11fE_v5FjvBa5CbOtemIRZ6TFirFMkDU9nb5mJ_Sl9K0/edit#gid=2053033161")</f>
        <v>https://docs.google.com/spreadsheets/d/11fE_v5FjvBa5CbOtemIRZ6TFirFMkDU9nb5mJ_Sl9K0/edit#gid=2053033161</v>
      </c>
      <c r="H449" s="32" t="s">
        <v>95</v>
      </c>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B450" s="15"/>
      <c r="C450" s="21"/>
      <c r="D450" s="15"/>
      <c r="E450" s="32" t="s">
        <v>88</v>
      </c>
      <c r="F450" s="32" t="s">
        <v>96</v>
      </c>
      <c r="G450" s="70" t="str">
        <f>HYPERLINK("https://docs.google.com/spreadsheets/d/11fE_v5FjvBa5CbOtemIRZ6TFirFMkDU9nb5mJ_Sl9K0/edit#gid=1675712116", "https://docs.google.com/spreadsheets/d/11fE_v5FjvBa5CbOtemIRZ6TFirFMkDU9nb5mJ_Sl9K0/edit#gid=1675712116")</f>
        <v>https://docs.google.com/spreadsheets/d/11fE_v5FjvBa5CbOtemIRZ6TFirFMkDU9nb5mJ_Sl9K0/edit#gid=1675712116</v>
      </c>
      <c r="H450" s="32" t="s">
        <v>96</v>
      </c>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B451" s="15"/>
      <c r="C451" s="21"/>
      <c r="D451" s="15"/>
      <c r="E451" s="32" t="s">
        <v>178</v>
      </c>
      <c r="F451" s="32" t="s">
        <v>179</v>
      </c>
      <c r="G451" s="70" t="str">
        <f>HYPERLINK("https://docs.google.com/spreadsheets/d/11fE_v5FjvBa5CbOtemIRZ6TFirFMkDU9nb5mJ_Sl9K0/edit#gid=950407567", "https://docs.google.com/spreadsheets/d/11fE_v5FjvBa5CbOtemIRZ6TFirFMkDU9nb5mJ_Sl9K0/edit#gid=950407567")</f>
        <v>https://docs.google.com/spreadsheets/d/11fE_v5FjvBa5CbOtemIRZ6TFirFMkDU9nb5mJ_Sl9K0/edit#gid=950407567</v>
      </c>
      <c r="H451" s="32" t="s">
        <v>179</v>
      </c>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B452" s="15"/>
      <c r="C452" s="21"/>
      <c r="D452" s="15"/>
      <c r="E452" s="32" t="s">
        <v>178</v>
      </c>
      <c r="F452" s="32" t="s">
        <v>180</v>
      </c>
      <c r="G452" s="70" t="str">
        <f>HYPERLINK("https://docs.google.com/spreadsheets/d/11fE_v5FjvBa5CbOtemIRZ6TFirFMkDU9nb5mJ_Sl9K0/edit#gid=652164740", "https://docs.google.com/spreadsheets/d/11fE_v5FjvBa5CbOtemIRZ6TFirFMkDU9nb5mJ_Sl9K0/edit#gid=652164740")</f>
        <v>https://docs.google.com/spreadsheets/d/11fE_v5FjvBa5CbOtemIRZ6TFirFMkDU9nb5mJ_Sl9K0/edit#gid=652164740</v>
      </c>
      <c r="H452" s="32" t="s">
        <v>180</v>
      </c>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B453" s="15"/>
      <c r="C453" s="21"/>
      <c r="D453" s="15"/>
      <c r="E453" s="32" t="s">
        <v>178</v>
      </c>
      <c r="F453" s="32" t="s">
        <v>181</v>
      </c>
      <c r="G453" s="70" t="str">
        <f>HYPERLINK("https://docs.google.com/spreadsheets/d/11fE_v5FjvBa5CbOtemIRZ6TFirFMkDU9nb5mJ_Sl9K0/edit#gid=732419558", "https://docs.google.com/spreadsheets/d/11fE_v5FjvBa5CbOtemIRZ6TFirFMkDU9nb5mJ_Sl9K0/edit#gid=732419558")</f>
        <v>https://docs.google.com/spreadsheets/d/11fE_v5FjvBa5CbOtemIRZ6TFirFMkDU9nb5mJ_Sl9K0/edit#gid=732419558</v>
      </c>
      <c r="H453" s="32" t="s">
        <v>181</v>
      </c>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B454" s="15"/>
      <c r="C454" s="21"/>
      <c r="D454" s="15"/>
      <c r="E454" s="32" t="s">
        <v>178</v>
      </c>
      <c r="F454" s="32" t="s">
        <v>208</v>
      </c>
      <c r="G454" s="70" t="str">
        <f>HYPERLINK("https://docs.google.com/spreadsheets/d/11fE_v5FjvBa5CbOtemIRZ6TFirFMkDU9nb5mJ_Sl9K0/edit#gid=744147512", "https://docs.google.com/spreadsheets/d/11fE_v5FjvBa5CbOtemIRZ6TFirFMkDU9nb5mJ_Sl9K0/edit#gid=744147512")</f>
        <v>https://docs.google.com/spreadsheets/d/11fE_v5FjvBa5CbOtemIRZ6TFirFMkDU9nb5mJ_Sl9K0/edit#gid=744147512</v>
      </c>
      <c r="H454" s="32" t="s">
        <v>208</v>
      </c>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B455" s="15"/>
      <c r="C455" s="21"/>
      <c r="D455" s="15"/>
      <c r="E455" s="32" t="s">
        <v>178</v>
      </c>
      <c r="F455" s="32" t="s">
        <v>182</v>
      </c>
      <c r="G455" s="70" t="str">
        <f>HYPERLINK("https://docs.google.com/spreadsheets/d/11fE_v5FjvBa5CbOtemIRZ6TFirFMkDU9nb5mJ_Sl9K0/edit#gid=807856231", "https://docs.google.com/spreadsheets/d/11fE_v5FjvBa5CbOtemIRZ6TFirFMkDU9nb5mJ_Sl9K0/edit#gid=807856231")</f>
        <v>https://docs.google.com/spreadsheets/d/11fE_v5FjvBa5CbOtemIRZ6TFirFMkDU9nb5mJ_Sl9K0/edit#gid=807856231</v>
      </c>
      <c r="H455" s="32" t="s">
        <v>182</v>
      </c>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B456" s="15"/>
      <c r="C456" s="21"/>
      <c r="D456" s="15"/>
      <c r="E456" s="15"/>
      <c r="F456" s="15"/>
      <c r="G456" s="15"/>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B457" s="15"/>
      <c r="C457" s="21"/>
      <c r="D457" s="15"/>
      <c r="E457" s="15"/>
      <c r="F457" s="15"/>
      <c r="G457" s="15"/>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B458" s="32" t="s">
        <v>266</v>
      </c>
      <c r="C458" s="21"/>
      <c r="D458" s="32" t="s">
        <v>20</v>
      </c>
      <c r="E458" s="32" t="s">
        <v>21</v>
      </c>
      <c r="F458" s="32" t="s">
        <v>51</v>
      </c>
      <c r="G458" s="70" t="str">
        <f>HYPERLINK("https://docs.google.com/spreadsheets/d/1i4r3S9t2lSvRZ2Dgjejxn0GEsgjyVEtD5telJHpO7nI/edit#gid=666175951", "https://docs.google.com/spreadsheets/d/1i4r3S9t2lSvRZ2Dgjejxn0GEsgjyVEtD5telJHpO7nI/edit#gid=666175951")</f>
        <v>https://docs.google.com/spreadsheets/d/1i4r3S9t2lSvRZ2Dgjejxn0GEsgjyVEtD5telJHpO7nI/edit#gid=666175951</v>
      </c>
      <c r="H458" s="32" t="s">
        <v>51</v>
      </c>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B459" s="15"/>
      <c r="C459" s="21"/>
      <c r="D459" s="15"/>
      <c r="E459" s="32" t="s">
        <v>172</v>
      </c>
      <c r="F459" s="32" t="s">
        <v>173</v>
      </c>
      <c r="G459" s="70" t="str">
        <f>HYPERLINK("https://docs.google.com/spreadsheets/d/1i4r3S9t2lSvRZ2Dgjejxn0GEsgjyVEtD5telJHpO7nI/edit#gid=1633209112", "https://docs.google.com/spreadsheets/d/1i4r3S9t2lSvRZ2Dgjejxn0GEsgjyVEtD5telJHpO7nI/edit#gid=1633209112")</f>
        <v>https://docs.google.com/spreadsheets/d/1i4r3S9t2lSvRZ2Dgjejxn0GEsgjyVEtD5telJHpO7nI/edit#gid=1633209112</v>
      </c>
      <c r="H459" s="32" t="s">
        <v>173</v>
      </c>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B460" s="15"/>
      <c r="C460" s="21"/>
      <c r="D460" s="15"/>
      <c r="E460" s="32" t="s">
        <v>172</v>
      </c>
      <c r="F460" s="32" t="s">
        <v>174</v>
      </c>
      <c r="G460" s="70" t="str">
        <f>HYPERLINK("https://docs.google.com/spreadsheets/d/1i4r3S9t2lSvRZ2Dgjejxn0GEsgjyVEtD5telJHpO7nI/edit#gid=1194508026", "https://docs.google.com/spreadsheets/d/1i4r3S9t2lSvRZ2Dgjejxn0GEsgjyVEtD5telJHpO7nI/edit#gid=1194508026")</f>
        <v>https://docs.google.com/spreadsheets/d/1i4r3S9t2lSvRZ2Dgjejxn0GEsgjyVEtD5telJHpO7nI/edit#gid=1194508026</v>
      </c>
      <c r="H460" s="32" t="s">
        <v>174</v>
      </c>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B461" s="15"/>
      <c r="C461" s="21"/>
      <c r="D461" s="15"/>
      <c r="E461" s="32" t="s">
        <v>86</v>
      </c>
      <c r="F461" s="32" t="s">
        <v>90</v>
      </c>
      <c r="G461" s="70" t="str">
        <f>HYPERLINK("https://docs.google.com/spreadsheets/d/1i4r3S9t2lSvRZ2Dgjejxn0GEsgjyVEtD5telJHpO7nI/edit#gid=1817594692", "https://docs.google.com/spreadsheets/d/1i4r3S9t2lSvRZ2Dgjejxn0GEsgjyVEtD5telJHpO7nI/edit#gid=1817594692")</f>
        <v>https://docs.google.com/spreadsheets/d/1i4r3S9t2lSvRZ2Dgjejxn0GEsgjyVEtD5telJHpO7nI/edit#gid=1817594692</v>
      </c>
      <c r="H461" s="32" t="s">
        <v>90</v>
      </c>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B462" s="15"/>
      <c r="C462" s="21"/>
      <c r="D462" s="15"/>
      <c r="E462" s="32" t="s">
        <v>86</v>
      </c>
      <c r="F462" s="32" t="s">
        <v>92</v>
      </c>
      <c r="G462" s="70" t="str">
        <f>HYPERLINK("https://docs.google.com/spreadsheets/d/1i4r3S9t2lSvRZ2Dgjejxn0GEsgjyVEtD5telJHpO7nI/edit#gid=2086126552", "https://docs.google.com/spreadsheets/d/1i4r3S9t2lSvRZ2Dgjejxn0GEsgjyVEtD5telJHpO7nI/edit#gid=2086126552")</f>
        <v>https://docs.google.com/spreadsheets/d/1i4r3S9t2lSvRZ2Dgjejxn0GEsgjyVEtD5telJHpO7nI/edit#gid=2086126552</v>
      </c>
      <c r="H462" s="32" t="s">
        <v>92</v>
      </c>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B463" s="15"/>
      <c r="C463" s="21"/>
      <c r="D463" s="15"/>
      <c r="E463" s="32" t="s">
        <v>86</v>
      </c>
      <c r="F463" s="32" t="s">
        <v>175</v>
      </c>
      <c r="G463" s="70" t="str">
        <f>HYPERLINK("https://docs.google.com/spreadsheets/d/1i4r3S9t2lSvRZ2Dgjejxn0GEsgjyVEtD5telJHpO7nI/edit#gid=1199270549", "https://docs.google.com/spreadsheets/d/1i4r3S9t2lSvRZ2Dgjejxn0GEsgjyVEtD5telJHpO7nI/edit#gid=1199270549")</f>
        <v>https://docs.google.com/spreadsheets/d/1i4r3S9t2lSvRZ2Dgjejxn0GEsgjyVEtD5telJHpO7nI/edit#gid=1199270549</v>
      </c>
      <c r="H463" s="32" t="s">
        <v>175</v>
      </c>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B464" s="15"/>
      <c r="C464" s="21"/>
      <c r="D464" s="15"/>
      <c r="E464" s="32" t="s">
        <v>86</v>
      </c>
      <c r="F464" s="32" t="s">
        <v>94</v>
      </c>
      <c r="G464" s="70" t="str">
        <f>HYPERLINK("https://docs.google.com/spreadsheets/d/1i4r3S9t2lSvRZ2Dgjejxn0GEsgjyVEtD5telJHpO7nI/edit#gid=1304995185", "https://docs.google.com/spreadsheets/d/1i4r3S9t2lSvRZ2Dgjejxn0GEsgjyVEtD5telJHpO7nI/edit#gid=1304995185")</f>
        <v>https://docs.google.com/spreadsheets/d/1i4r3S9t2lSvRZ2Dgjejxn0GEsgjyVEtD5telJHpO7nI/edit#gid=1304995185</v>
      </c>
      <c r="H464" s="32" t="s">
        <v>94</v>
      </c>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B465" s="15"/>
      <c r="C465" s="21"/>
      <c r="D465" s="15"/>
      <c r="E465" s="32" t="s">
        <v>88</v>
      </c>
      <c r="F465" s="32" t="s">
        <v>95</v>
      </c>
      <c r="G465" s="70" t="str">
        <f>HYPERLINK("https://docs.google.com/spreadsheets/d/1i4r3S9t2lSvRZ2Dgjejxn0GEsgjyVEtD5telJHpO7nI/edit#gid=1000329778", "https://docs.google.com/spreadsheets/d/1i4r3S9t2lSvRZ2Dgjejxn0GEsgjyVEtD5telJHpO7nI/edit#gid=1000329778")</f>
        <v>https://docs.google.com/spreadsheets/d/1i4r3S9t2lSvRZ2Dgjejxn0GEsgjyVEtD5telJHpO7nI/edit#gid=1000329778</v>
      </c>
      <c r="H465" s="32" t="s">
        <v>95</v>
      </c>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B466" s="15"/>
      <c r="C466" s="21"/>
      <c r="D466" s="15"/>
      <c r="E466" s="32" t="s">
        <v>88</v>
      </c>
      <c r="F466" s="32" t="s">
        <v>96</v>
      </c>
      <c r="G466" s="70" t="str">
        <f>HYPERLINK("https://docs.google.com/spreadsheets/d/1i4r3S9t2lSvRZ2Dgjejxn0GEsgjyVEtD5telJHpO7nI/edit#gid=1208263266", "https://docs.google.com/spreadsheets/d/1i4r3S9t2lSvRZ2Dgjejxn0GEsgjyVEtD5telJHpO7nI/edit#gid=1208263266")</f>
        <v>https://docs.google.com/spreadsheets/d/1i4r3S9t2lSvRZ2Dgjejxn0GEsgjyVEtD5telJHpO7nI/edit#gid=1208263266</v>
      </c>
      <c r="H466" s="32" t="s">
        <v>96</v>
      </c>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B467" s="15"/>
      <c r="C467" s="21"/>
      <c r="D467" s="15"/>
      <c r="E467" s="32" t="s">
        <v>178</v>
      </c>
      <c r="F467" s="32" t="s">
        <v>179</v>
      </c>
      <c r="G467" s="70" t="str">
        <f>HYPERLINK("https://docs.google.com/spreadsheets/d/1i4r3S9t2lSvRZ2Dgjejxn0GEsgjyVEtD5telJHpO7nI/edit#gid=920241279", "https://docs.google.com/spreadsheets/d/1i4r3S9t2lSvRZ2Dgjejxn0GEsgjyVEtD5telJHpO7nI/edit#gid=920241279")</f>
        <v>https://docs.google.com/spreadsheets/d/1i4r3S9t2lSvRZ2Dgjejxn0GEsgjyVEtD5telJHpO7nI/edit#gid=920241279</v>
      </c>
      <c r="H467" s="32" t="s">
        <v>179</v>
      </c>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B468" s="15"/>
      <c r="C468" s="21"/>
      <c r="D468" s="15"/>
      <c r="E468" s="32" t="s">
        <v>178</v>
      </c>
      <c r="F468" s="32" t="s">
        <v>180</v>
      </c>
      <c r="G468" s="70" t="str">
        <f>HYPERLINK("https://docs.google.com/spreadsheets/d/1i4r3S9t2lSvRZ2Dgjejxn0GEsgjyVEtD5telJHpO7nI/edit#gid=162222025", "https://docs.google.com/spreadsheets/d/1i4r3S9t2lSvRZ2Dgjejxn0GEsgjyVEtD5telJHpO7nI/edit#gid=162222025")</f>
        <v>https://docs.google.com/spreadsheets/d/1i4r3S9t2lSvRZ2Dgjejxn0GEsgjyVEtD5telJHpO7nI/edit#gid=162222025</v>
      </c>
      <c r="H468" s="32" t="s">
        <v>180</v>
      </c>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B469" s="15"/>
      <c r="C469" s="21"/>
      <c r="D469" s="15"/>
      <c r="E469" s="32" t="s">
        <v>178</v>
      </c>
      <c r="F469" s="32" t="s">
        <v>181</v>
      </c>
      <c r="G469" s="70" t="str">
        <f>HYPERLINK("https://docs.google.com/spreadsheets/d/1i4r3S9t2lSvRZ2Dgjejxn0GEsgjyVEtD5telJHpO7nI/edit#gid=1206913461", "https://docs.google.com/spreadsheets/d/1i4r3S9t2lSvRZ2Dgjejxn0GEsgjyVEtD5telJHpO7nI/edit#gid=1206913461")</f>
        <v>https://docs.google.com/spreadsheets/d/1i4r3S9t2lSvRZ2Dgjejxn0GEsgjyVEtD5telJHpO7nI/edit#gid=1206913461</v>
      </c>
      <c r="H469" s="32" t="s">
        <v>181</v>
      </c>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B470" s="15"/>
      <c r="C470" s="21"/>
      <c r="D470" s="15"/>
      <c r="E470" s="32" t="s">
        <v>178</v>
      </c>
      <c r="F470" s="32" t="s">
        <v>208</v>
      </c>
      <c r="G470" s="70" t="str">
        <f>HYPERLINK("https://docs.google.com/spreadsheets/d/1i4r3S9t2lSvRZ2Dgjejxn0GEsgjyVEtD5telJHpO7nI/edit#gid=346554194", "https://docs.google.com/spreadsheets/d/1i4r3S9t2lSvRZ2Dgjejxn0GEsgjyVEtD5telJHpO7nI/edit#gid=346554194")</f>
        <v>https://docs.google.com/spreadsheets/d/1i4r3S9t2lSvRZ2Dgjejxn0GEsgjyVEtD5telJHpO7nI/edit#gid=346554194</v>
      </c>
      <c r="H470" s="32" t="s">
        <v>208</v>
      </c>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B471" s="15"/>
      <c r="C471" s="21"/>
      <c r="D471" s="15"/>
      <c r="E471" s="32" t="s">
        <v>178</v>
      </c>
      <c r="F471" s="32" t="s">
        <v>182</v>
      </c>
      <c r="G471" s="70" t="str">
        <f>HYPERLINK("https://docs.google.com/spreadsheets/d/1i4r3S9t2lSvRZ2Dgjejxn0GEsgjyVEtD5telJHpO7nI/edit#gid=1585465334", "https://docs.google.com/spreadsheets/d/1i4r3S9t2lSvRZ2Dgjejxn0GEsgjyVEtD5telJHpO7nI/edit#gid=1585465334")</f>
        <v>https://docs.google.com/spreadsheets/d/1i4r3S9t2lSvRZ2Dgjejxn0GEsgjyVEtD5telJHpO7nI/edit#gid=1585465334</v>
      </c>
      <c r="H471" s="32" t="s">
        <v>182</v>
      </c>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B472" s="15"/>
      <c r="C472" s="21"/>
      <c r="D472" s="15"/>
      <c r="E472" s="15"/>
      <c r="F472" s="15"/>
      <c r="G472" s="15"/>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B473" s="15"/>
      <c r="C473" s="21"/>
      <c r="D473" s="15"/>
      <c r="E473" s="15"/>
      <c r="F473" s="15"/>
      <c r="G473" s="15"/>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B474" s="15"/>
      <c r="C474" s="21"/>
      <c r="D474" s="15"/>
      <c r="E474" s="15"/>
      <c r="F474" s="15"/>
      <c r="G474" s="15"/>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B475" s="32" t="s">
        <v>267</v>
      </c>
      <c r="C475" s="73" t="s">
        <v>268</v>
      </c>
      <c r="D475" s="32" t="s">
        <v>20</v>
      </c>
      <c r="E475" s="32" t="s">
        <v>21</v>
      </c>
      <c r="F475" s="32" t="s">
        <v>51</v>
      </c>
      <c r="G475" s="70" t="str">
        <f>HYPERLINK("https://docs.google.com/spreadsheets/d/1vLvJaqqv9csFIrzUDkcFsNyKsPUi2IMB9M8xtdvRZ6I/edit#gid=1831491111", "https://docs.google.com/spreadsheets/d/1vLvJaqqv9csFIrzUDkcFsNyKsPUi2IMB9M8xtdvRZ6I/edit#gid=1831491111")</f>
        <v>https://docs.google.com/spreadsheets/d/1vLvJaqqv9csFIrzUDkcFsNyKsPUi2IMB9M8xtdvRZ6I/edit#gid=1831491111</v>
      </c>
      <c r="H475" s="32" t="s">
        <v>51</v>
      </c>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15"/>
      <c r="C476" s="21"/>
      <c r="D476" s="15"/>
      <c r="E476" s="32" t="s">
        <v>172</v>
      </c>
      <c r="F476" s="32" t="s">
        <v>173</v>
      </c>
      <c r="G476" s="70" t="str">
        <f>HYPERLINK("https://docs.google.com/spreadsheets/d/1vLvJaqqv9csFIrzUDkcFsNyKsPUi2IMB9M8xtdvRZ6I/edit#gid=346013661", "https://docs.google.com/spreadsheets/d/1vLvJaqqv9csFIrzUDkcFsNyKsPUi2IMB9M8xtdvRZ6I/edit#gid=346013661")</f>
        <v>https://docs.google.com/spreadsheets/d/1vLvJaqqv9csFIrzUDkcFsNyKsPUi2IMB9M8xtdvRZ6I/edit#gid=346013661</v>
      </c>
      <c r="H476" s="32" t="s">
        <v>173</v>
      </c>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15"/>
      <c r="C477" s="21"/>
      <c r="D477" s="15"/>
      <c r="E477" s="32" t="s">
        <v>172</v>
      </c>
      <c r="F477" s="32" t="s">
        <v>174</v>
      </c>
      <c r="G477" s="70" t="str">
        <f>HYPERLINK("https://docs.google.com/spreadsheets/d/1vLvJaqqv9csFIrzUDkcFsNyKsPUi2IMB9M8xtdvRZ6I/edit#gid=1820434879", "https://docs.google.com/spreadsheets/d/1vLvJaqqv9csFIrzUDkcFsNyKsPUi2IMB9M8xtdvRZ6I/edit#gid=1820434879")</f>
        <v>https://docs.google.com/spreadsheets/d/1vLvJaqqv9csFIrzUDkcFsNyKsPUi2IMB9M8xtdvRZ6I/edit#gid=1820434879</v>
      </c>
      <c r="H477" s="32" t="s">
        <v>174</v>
      </c>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B478" s="15"/>
      <c r="C478" s="21"/>
      <c r="D478" s="15"/>
      <c r="E478" s="32" t="s">
        <v>172</v>
      </c>
      <c r="F478" s="32" t="s">
        <v>173</v>
      </c>
      <c r="G478" s="70" t="str">
        <f>HYPERLINK("https://docs.google.com/spreadsheets/d/1vLvJaqqv9csFIrzUDkcFsNyKsPUi2IMB9M8xtdvRZ6I/edit#gid=1127696728", "https://docs.google.com/spreadsheets/d/1vLvJaqqv9csFIrzUDkcFsNyKsPUi2IMB9M8xtdvRZ6I/edit#gid=1127696728")</f>
        <v>https://docs.google.com/spreadsheets/d/1vLvJaqqv9csFIrzUDkcFsNyKsPUi2IMB9M8xtdvRZ6I/edit#gid=1127696728</v>
      </c>
      <c r="H478" s="32" t="s">
        <v>269</v>
      </c>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B479" s="15"/>
      <c r="C479" s="21"/>
      <c r="D479" s="15"/>
      <c r="E479" s="32" t="s">
        <v>172</v>
      </c>
      <c r="F479" s="32" t="s">
        <v>174</v>
      </c>
      <c r="G479" s="70" t="str">
        <f>HYPERLINK("https://docs.google.com/spreadsheets/d/1vLvJaqqv9csFIrzUDkcFsNyKsPUi2IMB9M8xtdvRZ6I/edit#gid=1785324388", "https://docs.google.com/spreadsheets/d/1vLvJaqqv9csFIrzUDkcFsNyKsPUi2IMB9M8xtdvRZ6I/edit#gid=1785324388")</f>
        <v>https://docs.google.com/spreadsheets/d/1vLvJaqqv9csFIrzUDkcFsNyKsPUi2IMB9M8xtdvRZ6I/edit#gid=1785324388</v>
      </c>
      <c r="H479" s="32" t="s">
        <v>270</v>
      </c>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B480" s="15"/>
      <c r="C480" s="21"/>
      <c r="D480" s="15"/>
      <c r="E480" s="32" t="s">
        <v>172</v>
      </c>
      <c r="F480" s="32" t="s">
        <v>271</v>
      </c>
      <c r="G480" s="70" t="str">
        <f>HYPERLINK("https://docs.google.com/spreadsheets/d/1vLvJaqqv9csFIrzUDkcFsNyKsPUi2IMB9M8xtdvRZ6I/edit#gid=257248333", "https://docs.google.com/spreadsheets/d/1vLvJaqqv9csFIrzUDkcFsNyKsPUi2IMB9M8xtdvRZ6I/edit#gid=257248333")</f>
        <v>https://docs.google.com/spreadsheets/d/1vLvJaqqv9csFIrzUDkcFsNyKsPUi2IMB9M8xtdvRZ6I/edit#gid=257248333</v>
      </c>
      <c r="H480" s="32" t="s">
        <v>271</v>
      </c>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B481" s="15"/>
      <c r="C481" s="21"/>
      <c r="D481" s="15"/>
      <c r="E481" s="32" t="s">
        <v>172</v>
      </c>
      <c r="F481" s="32" t="s">
        <v>185</v>
      </c>
      <c r="G481" s="70" t="str">
        <f>HYPERLINK("https://docs.google.com/spreadsheets/d/1vLvJaqqv9csFIrzUDkcFsNyKsPUi2IMB9M8xtdvRZ6I/edit#gid=1224406605", "https://docs.google.com/spreadsheets/d/1vLvJaqqv9csFIrzUDkcFsNyKsPUi2IMB9M8xtdvRZ6I/edit#gid=1224406605")</f>
        <v>https://docs.google.com/spreadsheets/d/1vLvJaqqv9csFIrzUDkcFsNyKsPUi2IMB9M8xtdvRZ6I/edit#gid=1224406605</v>
      </c>
      <c r="H481" s="32" t="s">
        <v>185</v>
      </c>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B482" s="15"/>
      <c r="C482" s="21"/>
      <c r="D482" s="15"/>
      <c r="E482" s="32" t="s">
        <v>172</v>
      </c>
      <c r="F482" s="32" t="s">
        <v>271</v>
      </c>
      <c r="G482" s="70" t="str">
        <f>HYPERLINK("https://docs.google.com/spreadsheets/d/1vLvJaqqv9csFIrzUDkcFsNyKsPUi2IMB9M8xtdvRZ6I/edit#gid=1971263218", "https://docs.google.com/spreadsheets/d/1vLvJaqqv9csFIrzUDkcFsNyKsPUi2IMB9M8xtdvRZ6I/edit#gid=1971263218")</f>
        <v>https://docs.google.com/spreadsheets/d/1vLvJaqqv9csFIrzUDkcFsNyKsPUi2IMB9M8xtdvRZ6I/edit#gid=1971263218</v>
      </c>
      <c r="H482" s="32" t="s">
        <v>272</v>
      </c>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B483" s="15"/>
      <c r="C483" s="21"/>
      <c r="D483" s="15"/>
      <c r="E483" s="32" t="s">
        <v>172</v>
      </c>
      <c r="F483" s="32" t="s">
        <v>185</v>
      </c>
      <c r="G483" s="70" t="str">
        <f>HYPERLINK("https://docs.google.com/spreadsheets/d/1vLvJaqqv9csFIrzUDkcFsNyKsPUi2IMB9M8xtdvRZ6I/edit#gid=159549325", "https://docs.google.com/spreadsheets/d/1vLvJaqqv9csFIrzUDkcFsNyKsPUi2IMB9M8xtdvRZ6I/edit#gid=159549325")</f>
        <v>https://docs.google.com/spreadsheets/d/1vLvJaqqv9csFIrzUDkcFsNyKsPUi2IMB9M8xtdvRZ6I/edit#gid=159549325</v>
      </c>
      <c r="H483" s="32" t="s">
        <v>273</v>
      </c>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B484" s="15"/>
      <c r="C484" s="21"/>
      <c r="D484" s="15"/>
      <c r="E484" s="32" t="s">
        <v>172</v>
      </c>
      <c r="F484" s="32" t="s">
        <v>271</v>
      </c>
      <c r="G484" s="70" t="str">
        <f>HYPERLINK("https://docs.google.com/spreadsheets/d/1vLvJaqqv9csFIrzUDkcFsNyKsPUi2IMB9M8xtdvRZ6I/edit#gid=1531441803", "https://docs.google.com/spreadsheets/d/1vLvJaqqv9csFIrzUDkcFsNyKsPUi2IMB9M8xtdvRZ6I/edit#gid=1531441803")</f>
        <v>https://docs.google.com/spreadsheets/d/1vLvJaqqv9csFIrzUDkcFsNyKsPUi2IMB9M8xtdvRZ6I/edit#gid=1531441803</v>
      </c>
      <c r="H484" s="32" t="s">
        <v>274</v>
      </c>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B485" s="15"/>
      <c r="C485" s="21"/>
      <c r="D485" s="15"/>
      <c r="E485" s="32" t="s">
        <v>172</v>
      </c>
      <c r="F485" s="32" t="s">
        <v>185</v>
      </c>
      <c r="G485" s="70" t="str">
        <f>HYPERLINK("https://docs.google.com/spreadsheets/d/1vLvJaqqv9csFIrzUDkcFsNyKsPUi2IMB9M8xtdvRZ6I/edit#gid=459513163", "https://docs.google.com/spreadsheets/d/1vLvJaqqv9csFIrzUDkcFsNyKsPUi2IMB9M8xtdvRZ6I/edit#gid=459513163")</f>
        <v>https://docs.google.com/spreadsheets/d/1vLvJaqqv9csFIrzUDkcFsNyKsPUi2IMB9M8xtdvRZ6I/edit#gid=459513163</v>
      </c>
      <c r="H485" s="32" t="s">
        <v>275</v>
      </c>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B486" s="15"/>
      <c r="C486" s="21"/>
      <c r="D486" s="15"/>
      <c r="E486" s="32" t="s">
        <v>172</v>
      </c>
      <c r="F486" s="32" t="s">
        <v>271</v>
      </c>
      <c r="G486" s="70" t="str">
        <f>HYPERLINK("https://docs.google.com/spreadsheets/d/1vLvJaqqv9csFIrzUDkcFsNyKsPUi2IMB9M8xtdvRZ6I/edit#gid=2099150984", "https://docs.google.com/spreadsheets/d/1vLvJaqqv9csFIrzUDkcFsNyKsPUi2IMB9M8xtdvRZ6I/edit#gid=2099150984")</f>
        <v>https://docs.google.com/spreadsheets/d/1vLvJaqqv9csFIrzUDkcFsNyKsPUi2IMB9M8xtdvRZ6I/edit#gid=2099150984</v>
      </c>
      <c r="H486" s="32" t="s">
        <v>276</v>
      </c>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B487" s="15"/>
      <c r="C487" s="21"/>
      <c r="D487" s="15"/>
      <c r="E487" s="32" t="s">
        <v>172</v>
      </c>
      <c r="F487" s="32" t="s">
        <v>185</v>
      </c>
      <c r="G487" s="70" t="str">
        <f>HYPERLINK("https://docs.google.com/spreadsheets/d/1vLvJaqqv9csFIrzUDkcFsNyKsPUi2IMB9M8xtdvRZ6I/edit#gid=1553235456", "https://docs.google.com/spreadsheets/d/1vLvJaqqv9csFIrzUDkcFsNyKsPUi2IMB9M8xtdvRZ6I/edit#gid=1553235456")</f>
        <v>https://docs.google.com/spreadsheets/d/1vLvJaqqv9csFIrzUDkcFsNyKsPUi2IMB9M8xtdvRZ6I/edit#gid=1553235456</v>
      </c>
      <c r="H487" s="32" t="s">
        <v>277</v>
      </c>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B488" s="15"/>
      <c r="C488" s="21"/>
      <c r="D488" s="15"/>
      <c r="E488" s="32" t="s">
        <v>172</v>
      </c>
      <c r="F488" s="32" t="s">
        <v>271</v>
      </c>
      <c r="G488" s="70" t="str">
        <f>HYPERLINK("https://docs.google.com/spreadsheets/d/1vLvJaqqv9csFIrzUDkcFsNyKsPUi2IMB9M8xtdvRZ6I/edit#gid=1720342666", "https://docs.google.com/spreadsheets/d/1vLvJaqqv9csFIrzUDkcFsNyKsPUi2IMB9M8xtdvRZ6I/edit#gid=1720342666")</f>
        <v>https://docs.google.com/spreadsheets/d/1vLvJaqqv9csFIrzUDkcFsNyKsPUi2IMB9M8xtdvRZ6I/edit#gid=1720342666</v>
      </c>
      <c r="H488" s="32" t="s">
        <v>278</v>
      </c>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B489" s="15"/>
      <c r="C489" s="21"/>
      <c r="D489" s="15"/>
      <c r="E489" s="32" t="s">
        <v>172</v>
      </c>
      <c r="F489" s="32" t="s">
        <v>185</v>
      </c>
      <c r="G489" s="70" t="str">
        <f>HYPERLINK("https://docs.google.com/spreadsheets/d/1vLvJaqqv9csFIrzUDkcFsNyKsPUi2IMB9M8xtdvRZ6I/edit#gid=1977491468", "https://docs.google.com/spreadsheets/d/1vLvJaqqv9csFIrzUDkcFsNyKsPUi2IMB9M8xtdvRZ6I/edit#gid=1977491468")</f>
        <v>https://docs.google.com/spreadsheets/d/1vLvJaqqv9csFIrzUDkcFsNyKsPUi2IMB9M8xtdvRZ6I/edit#gid=1977491468</v>
      </c>
      <c r="H489" s="32" t="s">
        <v>279</v>
      </c>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B490" s="15"/>
      <c r="C490" s="21"/>
      <c r="D490" s="15"/>
      <c r="E490" s="32" t="s">
        <v>172</v>
      </c>
      <c r="F490" s="32" t="s">
        <v>271</v>
      </c>
      <c r="G490" s="70" t="str">
        <f>HYPERLINK("https://docs.google.com/spreadsheets/d/1vLvJaqqv9csFIrzUDkcFsNyKsPUi2IMB9M8xtdvRZ6I/edit#gid=1802581830", "https://docs.google.com/spreadsheets/d/1vLvJaqqv9csFIrzUDkcFsNyKsPUi2IMB9M8xtdvRZ6I/edit#gid=1802581830")</f>
        <v>https://docs.google.com/spreadsheets/d/1vLvJaqqv9csFIrzUDkcFsNyKsPUi2IMB9M8xtdvRZ6I/edit#gid=1802581830</v>
      </c>
      <c r="H490" s="32" t="s">
        <v>280</v>
      </c>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B491" s="15"/>
      <c r="C491" s="21"/>
      <c r="D491" s="15"/>
      <c r="E491" s="32" t="s">
        <v>172</v>
      </c>
      <c r="F491" s="32" t="s">
        <v>185</v>
      </c>
      <c r="G491" s="70" t="str">
        <f>HYPERLINK("https://docs.google.com/spreadsheets/d/1vLvJaqqv9csFIrzUDkcFsNyKsPUi2IMB9M8xtdvRZ6I/edit#gid=1342271763", "https://docs.google.com/spreadsheets/d/1vLvJaqqv9csFIrzUDkcFsNyKsPUi2IMB9M8xtdvRZ6I/edit#gid=1342271763")</f>
        <v>https://docs.google.com/spreadsheets/d/1vLvJaqqv9csFIrzUDkcFsNyKsPUi2IMB9M8xtdvRZ6I/edit#gid=1342271763</v>
      </c>
      <c r="H491" s="32" t="s">
        <v>281</v>
      </c>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B492" s="15"/>
      <c r="C492" s="21"/>
      <c r="D492" s="15"/>
      <c r="E492" s="32" t="s">
        <v>172</v>
      </c>
      <c r="F492" s="32" t="s">
        <v>271</v>
      </c>
      <c r="G492" s="70" t="str">
        <f>HYPERLINK("https://docs.google.com/spreadsheets/d/1vLvJaqqv9csFIrzUDkcFsNyKsPUi2IMB9M8xtdvRZ6I/edit#gid=690564125", "https://docs.google.com/spreadsheets/d/1vLvJaqqv9csFIrzUDkcFsNyKsPUi2IMB9M8xtdvRZ6I/edit#gid=690564125")</f>
        <v>https://docs.google.com/spreadsheets/d/1vLvJaqqv9csFIrzUDkcFsNyKsPUi2IMB9M8xtdvRZ6I/edit#gid=690564125</v>
      </c>
      <c r="H492" s="32" t="s">
        <v>282</v>
      </c>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B493" s="15"/>
      <c r="C493" s="21"/>
      <c r="D493" s="15"/>
      <c r="E493" s="32" t="s">
        <v>172</v>
      </c>
      <c r="F493" s="32" t="s">
        <v>185</v>
      </c>
      <c r="G493" s="70" t="str">
        <f>HYPERLINK("https://docs.google.com/spreadsheets/d/1vLvJaqqv9csFIrzUDkcFsNyKsPUi2IMB9M8xtdvRZ6I/edit#gid=1294009040", "https://docs.google.com/spreadsheets/d/1vLvJaqqv9csFIrzUDkcFsNyKsPUi2IMB9M8xtdvRZ6I/edit#gid=1294009040")</f>
        <v>https://docs.google.com/spreadsheets/d/1vLvJaqqv9csFIrzUDkcFsNyKsPUi2IMB9M8xtdvRZ6I/edit#gid=1294009040</v>
      </c>
      <c r="H493" s="32" t="s">
        <v>283</v>
      </c>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B494" s="15"/>
      <c r="C494" s="21"/>
      <c r="D494" s="15"/>
      <c r="E494" s="32" t="s">
        <v>86</v>
      </c>
      <c r="F494" s="32" t="s">
        <v>90</v>
      </c>
      <c r="G494" s="70" t="str">
        <f>HYPERLINK("https://docs.google.com/spreadsheets/d/1vLvJaqqv9csFIrzUDkcFsNyKsPUi2IMB9M8xtdvRZ6I/edit#gid=1684020227", "https://docs.google.com/spreadsheets/d/1vLvJaqqv9csFIrzUDkcFsNyKsPUi2IMB9M8xtdvRZ6I/edit#gid=1684020227")</f>
        <v>https://docs.google.com/spreadsheets/d/1vLvJaqqv9csFIrzUDkcFsNyKsPUi2IMB9M8xtdvRZ6I/edit#gid=1684020227</v>
      </c>
      <c r="H494" s="32" t="s">
        <v>90</v>
      </c>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B495" s="15"/>
      <c r="C495" s="21"/>
      <c r="D495" s="15"/>
      <c r="E495" s="32" t="s">
        <v>86</v>
      </c>
      <c r="F495" s="32" t="s">
        <v>92</v>
      </c>
      <c r="G495" s="70" t="str">
        <f>HYPERLINK("https://docs.google.com/spreadsheets/d/1vLvJaqqv9csFIrzUDkcFsNyKsPUi2IMB9M8xtdvRZ6I/edit#gid=2032957766", "https://docs.google.com/spreadsheets/d/1vLvJaqqv9csFIrzUDkcFsNyKsPUi2IMB9M8xtdvRZ6I/edit#gid=2032957766")</f>
        <v>https://docs.google.com/spreadsheets/d/1vLvJaqqv9csFIrzUDkcFsNyKsPUi2IMB9M8xtdvRZ6I/edit#gid=2032957766</v>
      </c>
      <c r="H495" s="32" t="s">
        <v>92</v>
      </c>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B496" s="15"/>
      <c r="C496" s="21"/>
      <c r="D496" s="15"/>
      <c r="E496" s="32" t="s">
        <v>86</v>
      </c>
      <c r="F496" s="32" t="s">
        <v>175</v>
      </c>
      <c r="G496" s="70" t="str">
        <f>HYPERLINK("https://docs.google.com/spreadsheets/d/1vLvJaqqv9csFIrzUDkcFsNyKsPUi2IMB9M8xtdvRZ6I/edit#gid=1167067324", "https://docs.google.com/spreadsheets/d/1vLvJaqqv9csFIrzUDkcFsNyKsPUi2IMB9M8xtdvRZ6I/edit#gid=1167067324")</f>
        <v>https://docs.google.com/spreadsheets/d/1vLvJaqqv9csFIrzUDkcFsNyKsPUi2IMB9M8xtdvRZ6I/edit#gid=1167067324</v>
      </c>
      <c r="H496" s="32" t="s">
        <v>175</v>
      </c>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B497" s="15"/>
      <c r="C497" s="21"/>
      <c r="D497" s="15"/>
      <c r="E497" s="32" t="s">
        <v>86</v>
      </c>
      <c r="F497" s="32" t="s">
        <v>94</v>
      </c>
      <c r="G497" s="70" t="str">
        <f>HYPERLINK("https://docs.google.com/spreadsheets/d/1vLvJaqqv9csFIrzUDkcFsNyKsPUi2IMB9M8xtdvRZ6I/edit#gid=724661177", "https://docs.google.com/spreadsheets/d/1vLvJaqqv9csFIrzUDkcFsNyKsPUi2IMB9M8xtdvRZ6I/edit#gid=724661177")</f>
        <v>https://docs.google.com/spreadsheets/d/1vLvJaqqv9csFIrzUDkcFsNyKsPUi2IMB9M8xtdvRZ6I/edit#gid=724661177</v>
      </c>
      <c r="H497" s="32" t="s">
        <v>94</v>
      </c>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B498" s="15"/>
      <c r="C498" s="21"/>
      <c r="D498" s="15"/>
      <c r="E498" s="32" t="s">
        <v>88</v>
      </c>
      <c r="F498" s="32" t="s">
        <v>95</v>
      </c>
      <c r="G498" s="70" t="str">
        <f>HYPERLINK("https://docs.google.com/spreadsheets/d/1vLvJaqqv9csFIrzUDkcFsNyKsPUi2IMB9M8xtdvRZ6I/edit#gid=1363989142", "https://docs.google.com/spreadsheets/d/1vLvJaqqv9csFIrzUDkcFsNyKsPUi2IMB9M8xtdvRZ6I/edit#gid=1363989142")</f>
        <v>https://docs.google.com/spreadsheets/d/1vLvJaqqv9csFIrzUDkcFsNyKsPUi2IMB9M8xtdvRZ6I/edit#gid=1363989142</v>
      </c>
      <c r="H498" s="32" t="s">
        <v>95</v>
      </c>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B499" s="15"/>
      <c r="C499" s="21"/>
      <c r="D499" s="15"/>
      <c r="E499" s="32" t="s">
        <v>88</v>
      </c>
      <c r="F499" s="32" t="s">
        <v>96</v>
      </c>
      <c r="G499" s="70" t="str">
        <f>HYPERLINK("https://docs.google.com/spreadsheets/d/1vLvJaqqv9csFIrzUDkcFsNyKsPUi2IMB9M8xtdvRZ6I/edit#gid=231138136", "https://docs.google.com/spreadsheets/d/1vLvJaqqv9csFIrzUDkcFsNyKsPUi2IMB9M8xtdvRZ6I/edit#gid=231138136")</f>
        <v>https://docs.google.com/spreadsheets/d/1vLvJaqqv9csFIrzUDkcFsNyKsPUi2IMB9M8xtdvRZ6I/edit#gid=231138136</v>
      </c>
      <c r="H499" s="32" t="s">
        <v>96</v>
      </c>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B500" s="15"/>
      <c r="C500" s="21"/>
      <c r="D500" s="15"/>
      <c r="E500" s="32" t="s">
        <v>178</v>
      </c>
      <c r="F500" s="32" t="s">
        <v>179</v>
      </c>
      <c r="G500" s="70" t="str">
        <f>HYPERLINK("https://docs.google.com/spreadsheets/d/1vLvJaqqv9csFIrzUDkcFsNyKsPUi2IMB9M8xtdvRZ6I/edit#gid=301541361", "https://docs.google.com/spreadsheets/d/1vLvJaqqv9csFIrzUDkcFsNyKsPUi2IMB9M8xtdvRZ6I/edit#gid=301541361")</f>
        <v>https://docs.google.com/spreadsheets/d/1vLvJaqqv9csFIrzUDkcFsNyKsPUi2IMB9M8xtdvRZ6I/edit#gid=301541361</v>
      </c>
      <c r="H500" s="32" t="s">
        <v>179</v>
      </c>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B501" s="15"/>
      <c r="C501" s="21"/>
      <c r="D501" s="15"/>
      <c r="E501" s="32" t="s">
        <v>178</v>
      </c>
      <c r="F501" s="32" t="s">
        <v>180</v>
      </c>
      <c r="G501" s="70" t="str">
        <f>HYPERLINK("https://docs.google.com/spreadsheets/d/1vLvJaqqv9csFIrzUDkcFsNyKsPUi2IMB9M8xtdvRZ6I/edit#gid=853784531", "https://docs.google.com/spreadsheets/d/1vLvJaqqv9csFIrzUDkcFsNyKsPUi2IMB9M8xtdvRZ6I/edit#gid=853784531")</f>
        <v>https://docs.google.com/spreadsheets/d/1vLvJaqqv9csFIrzUDkcFsNyKsPUi2IMB9M8xtdvRZ6I/edit#gid=853784531</v>
      </c>
      <c r="H501" s="32" t="s">
        <v>180</v>
      </c>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B502" s="15"/>
      <c r="C502" s="21"/>
      <c r="D502" s="15"/>
      <c r="E502" s="32" t="s">
        <v>178</v>
      </c>
      <c r="F502" s="32" t="s">
        <v>181</v>
      </c>
      <c r="G502" s="70" t="str">
        <f>HYPERLINK("https://docs.google.com/spreadsheets/d/1vLvJaqqv9csFIrzUDkcFsNyKsPUi2IMB9M8xtdvRZ6I/edit#gid=1326703695", "https://docs.google.com/spreadsheets/d/1vLvJaqqv9csFIrzUDkcFsNyKsPUi2IMB9M8xtdvRZ6I/edit#gid=1326703695")</f>
        <v>https://docs.google.com/spreadsheets/d/1vLvJaqqv9csFIrzUDkcFsNyKsPUi2IMB9M8xtdvRZ6I/edit#gid=1326703695</v>
      </c>
      <c r="H502" s="32" t="s">
        <v>181</v>
      </c>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B503" s="15"/>
      <c r="C503" s="21"/>
      <c r="D503" s="15"/>
      <c r="E503" s="32" t="s">
        <v>178</v>
      </c>
      <c r="F503" s="32" t="s">
        <v>208</v>
      </c>
      <c r="G503" s="74" t="str">
        <f>HYPERLINK("https://docs.google.com/spreadsheets/d/1vLvJaqqv9csFIrzUDkcFsNyKsPUi2IMB9M8xtdvRZ6I/edit#gid=997420305", "https://docs.google.com/spreadsheets/d/1vLvJaqqv9csFIrzUDkcFsNyKsPUi2IMB9M8xtdvRZ6I/edit#gid=997420305")</f>
        <v>https://docs.google.com/spreadsheets/d/1vLvJaqqv9csFIrzUDkcFsNyKsPUi2IMB9M8xtdvRZ6I/edit#gid=997420305</v>
      </c>
      <c r="H503" s="35" t="s">
        <v>208</v>
      </c>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15"/>
      <c r="C504" s="21"/>
      <c r="D504" s="15"/>
      <c r="E504" s="32" t="s">
        <v>178</v>
      </c>
      <c r="F504" s="32" t="s">
        <v>182</v>
      </c>
      <c r="G504" s="70" t="str">
        <f>HYPERLINK("https://docs.google.com/spreadsheets/d/1vLvJaqqv9csFIrzUDkcFsNyKsPUi2IMB9M8xtdvRZ6I/edit#gid=1627813222", "https://docs.google.com/spreadsheets/d/1vLvJaqqv9csFIrzUDkcFsNyKsPUi2IMB9M8xtdvRZ6I/edit#gid=1627813222")</f>
        <v>https://docs.google.com/spreadsheets/d/1vLvJaqqv9csFIrzUDkcFsNyKsPUi2IMB9M8xtdvRZ6I/edit#gid=1627813222</v>
      </c>
      <c r="H504" s="32" t="s">
        <v>182</v>
      </c>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15"/>
      <c r="C505" s="21"/>
      <c r="D505" s="15"/>
      <c r="E505" s="15"/>
      <c r="F505" s="15"/>
      <c r="G505" s="15"/>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15"/>
      <c r="C506" s="21"/>
      <c r="D506" s="15"/>
      <c r="E506" s="15"/>
      <c r="F506" s="15"/>
      <c r="G506" s="15"/>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B507" s="32" t="s">
        <v>284</v>
      </c>
      <c r="C507" s="21"/>
      <c r="D507" s="32" t="s">
        <v>20</v>
      </c>
      <c r="E507" s="32" t="s">
        <v>88</v>
      </c>
      <c r="F507" s="32" t="s">
        <v>285</v>
      </c>
      <c r="G507" s="70" t="str">
        <f>HYPERLINK("https://docs.google.com/spreadsheets/d/1r2hkqUHysMwcGYdueU8PebBBEGCTDQFLp-nYaN6_EPs/edit#gid=1279894801", "https://docs.google.com/spreadsheets/d/1r2hkqUHysMwcGYdueU8PebBBEGCTDQFLp-nYaN6_EPs/edit#gid=1279894801")</f>
        <v>https://docs.google.com/spreadsheets/d/1r2hkqUHysMwcGYdueU8PebBBEGCTDQFLp-nYaN6_EPs/edit#gid=1279894801</v>
      </c>
      <c r="H507" s="35" t="s">
        <v>285</v>
      </c>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15"/>
      <c r="C508" s="21"/>
      <c r="D508" s="15"/>
      <c r="E508" s="32"/>
      <c r="F508" s="32"/>
      <c r="G508" s="15"/>
      <c r="H508" s="32"/>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B509" s="15"/>
      <c r="C509" s="21"/>
      <c r="D509" s="15"/>
      <c r="E509" s="15"/>
      <c r="F509" s="15"/>
      <c r="G509" s="15"/>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B510" s="32" t="s">
        <v>286</v>
      </c>
      <c r="C510" s="73" t="s">
        <v>287</v>
      </c>
      <c r="D510" s="32" t="s">
        <v>20</v>
      </c>
      <c r="E510" s="32" t="s">
        <v>21</v>
      </c>
      <c r="F510" s="32" t="s">
        <v>51</v>
      </c>
      <c r="G510" s="70" t="str">
        <f>HYPERLINK("https://docs.google.com/spreadsheets/d/14SPxRyYBYKmcK7goDUlHtRL5awBu7lXjbhUJ_BMqSvU/edit#gid=74611138", "https://docs.google.com/spreadsheets/d/14SPxRyYBYKmcK7goDUlHtRL5awBu7lXjbhUJ_BMqSvU/edit#gid=74611138")</f>
        <v>https://docs.google.com/spreadsheets/d/14SPxRyYBYKmcK7goDUlHtRL5awBu7lXjbhUJ_BMqSvU/edit#gid=74611138</v>
      </c>
      <c r="H510" s="32" t="s">
        <v>51</v>
      </c>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B511" s="15"/>
      <c r="C511" s="21"/>
      <c r="D511" s="15"/>
      <c r="E511" s="32" t="s">
        <v>172</v>
      </c>
      <c r="F511" s="32" t="s">
        <v>173</v>
      </c>
      <c r="G511" s="70" t="str">
        <f>HYPERLINK("https://docs.google.com/spreadsheets/d/14SPxRyYBYKmcK7goDUlHtRL5awBu7lXjbhUJ_BMqSvU/edit#gid=944473855", "https://docs.google.com/spreadsheets/d/14SPxRyYBYKmcK7goDUlHtRL5awBu7lXjbhUJ_BMqSvU/edit#gid=944473855")</f>
        <v>https://docs.google.com/spreadsheets/d/14SPxRyYBYKmcK7goDUlHtRL5awBu7lXjbhUJ_BMqSvU/edit#gid=944473855</v>
      </c>
      <c r="H511" s="32" t="s">
        <v>173</v>
      </c>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B512" s="15"/>
      <c r="C512" s="21"/>
      <c r="D512" s="15"/>
      <c r="E512" s="32" t="s">
        <v>172</v>
      </c>
      <c r="F512" s="32" t="s">
        <v>174</v>
      </c>
      <c r="G512" s="70" t="str">
        <f>HYPERLINK("https://docs.google.com/spreadsheets/d/14SPxRyYBYKmcK7goDUlHtRL5awBu7lXjbhUJ_BMqSvU/edit#gid=864265724", "https://docs.google.com/spreadsheets/d/14SPxRyYBYKmcK7goDUlHtRL5awBu7lXjbhUJ_BMqSvU/edit#gid=864265724")</f>
        <v>https://docs.google.com/spreadsheets/d/14SPxRyYBYKmcK7goDUlHtRL5awBu7lXjbhUJ_BMqSvU/edit#gid=864265724</v>
      </c>
      <c r="H512" s="32" t="s">
        <v>174</v>
      </c>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B513" s="15"/>
      <c r="C513" s="21"/>
      <c r="D513" s="15"/>
      <c r="E513" s="32" t="s">
        <v>172</v>
      </c>
      <c r="F513" s="32" t="s">
        <v>173</v>
      </c>
      <c r="G513" s="70" t="str">
        <f>HYPERLINK("https://docs.google.com/spreadsheets/d/14SPxRyYBYKmcK7goDUlHtRL5awBu7lXjbhUJ_BMqSvU/edit#gid=14984887", "https://docs.google.com/spreadsheets/d/14SPxRyYBYKmcK7goDUlHtRL5awBu7lXjbhUJ_BMqSvU/edit#gid=14984887")</f>
        <v>https://docs.google.com/spreadsheets/d/14SPxRyYBYKmcK7goDUlHtRL5awBu7lXjbhUJ_BMqSvU/edit#gid=14984887</v>
      </c>
      <c r="H513" s="32" t="s">
        <v>269</v>
      </c>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B514" s="15"/>
      <c r="C514" s="21"/>
      <c r="D514" s="15"/>
      <c r="E514" s="32" t="s">
        <v>172</v>
      </c>
      <c r="F514" s="32" t="s">
        <v>174</v>
      </c>
      <c r="G514" s="70" t="str">
        <f>HYPERLINK("https://docs.google.com/spreadsheets/d/14SPxRyYBYKmcK7goDUlHtRL5awBu7lXjbhUJ_BMqSvU/edit#gid=394375907", "https://docs.google.com/spreadsheets/d/14SPxRyYBYKmcK7goDUlHtRL5awBu7lXjbhUJ_BMqSvU/edit#gid=394375907")</f>
        <v>https://docs.google.com/spreadsheets/d/14SPxRyYBYKmcK7goDUlHtRL5awBu7lXjbhUJ_BMqSvU/edit#gid=394375907</v>
      </c>
      <c r="H514" s="32" t="s">
        <v>270</v>
      </c>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B515" s="15"/>
      <c r="C515" s="21"/>
      <c r="D515" s="15"/>
      <c r="E515" s="32" t="s">
        <v>172</v>
      </c>
      <c r="F515" s="32" t="s">
        <v>271</v>
      </c>
      <c r="G515" s="70" t="str">
        <f>HYPERLINK("https://docs.google.com/spreadsheets/d/14SPxRyYBYKmcK7goDUlHtRL5awBu7lXjbhUJ_BMqSvU/edit#gid=1709479284", "https://docs.google.com/spreadsheets/d/14SPxRyYBYKmcK7goDUlHtRL5awBu7lXjbhUJ_BMqSvU/edit#gid=1709479284")</f>
        <v>https://docs.google.com/spreadsheets/d/14SPxRyYBYKmcK7goDUlHtRL5awBu7lXjbhUJ_BMqSvU/edit#gid=1709479284</v>
      </c>
      <c r="H515" s="32" t="s">
        <v>271</v>
      </c>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B516" s="15"/>
      <c r="C516" s="21"/>
      <c r="D516" s="15"/>
      <c r="E516" s="32" t="s">
        <v>172</v>
      </c>
      <c r="F516" s="32" t="s">
        <v>185</v>
      </c>
      <c r="G516" s="70" t="str">
        <f>HYPERLINK("https://docs.google.com/spreadsheets/d/14SPxRyYBYKmcK7goDUlHtRL5awBu7lXjbhUJ_BMqSvU/edit#gid=650437239", "https://docs.google.com/spreadsheets/d/14SPxRyYBYKmcK7goDUlHtRL5awBu7lXjbhUJ_BMqSvU/edit#gid=650437239")</f>
        <v>https://docs.google.com/spreadsheets/d/14SPxRyYBYKmcK7goDUlHtRL5awBu7lXjbhUJ_BMqSvU/edit#gid=650437239</v>
      </c>
      <c r="H516" s="32" t="s">
        <v>185</v>
      </c>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B517" s="15"/>
      <c r="C517" s="21"/>
      <c r="D517" s="15"/>
      <c r="E517" s="32" t="s">
        <v>172</v>
      </c>
      <c r="F517" s="32" t="s">
        <v>271</v>
      </c>
      <c r="G517" s="70" t="str">
        <f>HYPERLINK("https://docs.google.com/spreadsheets/d/14SPxRyYBYKmcK7goDUlHtRL5awBu7lXjbhUJ_BMqSvU/edit#gid=1119576210", "https://docs.google.com/spreadsheets/d/14SPxRyYBYKmcK7goDUlHtRL5awBu7lXjbhUJ_BMqSvU/edit#gid=1119576210")</f>
        <v>https://docs.google.com/spreadsheets/d/14SPxRyYBYKmcK7goDUlHtRL5awBu7lXjbhUJ_BMqSvU/edit#gid=1119576210</v>
      </c>
      <c r="H517" s="32" t="s">
        <v>272</v>
      </c>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B518" s="15"/>
      <c r="C518" s="21"/>
      <c r="D518" s="15"/>
      <c r="E518" s="32" t="s">
        <v>172</v>
      </c>
      <c r="F518" s="32" t="s">
        <v>185</v>
      </c>
      <c r="G518" s="70" t="str">
        <f>HYPERLINK("https://docs.google.com/spreadsheets/d/14SPxRyYBYKmcK7goDUlHtRL5awBu7lXjbhUJ_BMqSvU/edit#gid=980005816", "https://docs.google.com/spreadsheets/d/14SPxRyYBYKmcK7goDUlHtRL5awBu7lXjbhUJ_BMqSvU/edit#gid=980005816")</f>
        <v>https://docs.google.com/spreadsheets/d/14SPxRyYBYKmcK7goDUlHtRL5awBu7lXjbhUJ_BMqSvU/edit#gid=980005816</v>
      </c>
      <c r="H518" s="32" t="s">
        <v>273</v>
      </c>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15"/>
      <c r="C519" s="21"/>
      <c r="D519" s="15"/>
      <c r="E519" s="32" t="s">
        <v>172</v>
      </c>
      <c r="F519" s="32" t="s">
        <v>271</v>
      </c>
      <c r="G519" s="70" t="str">
        <f>HYPERLINK("https://docs.google.com/spreadsheets/d/14SPxRyYBYKmcK7goDUlHtRL5awBu7lXjbhUJ_BMqSvU/edit#gid=950114394", "https://docs.google.com/spreadsheets/d/14SPxRyYBYKmcK7goDUlHtRL5awBu7lXjbhUJ_BMqSvU/edit#gid=950114394")</f>
        <v>https://docs.google.com/spreadsheets/d/14SPxRyYBYKmcK7goDUlHtRL5awBu7lXjbhUJ_BMqSvU/edit#gid=950114394</v>
      </c>
      <c r="H519" s="32" t="s">
        <v>274</v>
      </c>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15"/>
      <c r="C520" s="21"/>
      <c r="D520" s="15"/>
      <c r="E520" s="32" t="s">
        <v>172</v>
      </c>
      <c r="F520" s="32" t="s">
        <v>185</v>
      </c>
      <c r="G520" s="70" t="str">
        <f>HYPERLINK("https://docs.google.com/spreadsheets/d/14SPxRyYBYKmcK7goDUlHtRL5awBu7lXjbhUJ_BMqSvU/edit#gid=968431513", "https://docs.google.com/spreadsheets/d/14SPxRyYBYKmcK7goDUlHtRL5awBu7lXjbhUJ_BMqSvU/edit#gid=968431513")</f>
        <v>https://docs.google.com/spreadsheets/d/14SPxRyYBYKmcK7goDUlHtRL5awBu7lXjbhUJ_BMqSvU/edit#gid=968431513</v>
      </c>
      <c r="H520" s="32" t="s">
        <v>275</v>
      </c>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15"/>
      <c r="C521" s="21"/>
      <c r="D521" s="15"/>
      <c r="E521" s="32" t="s">
        <v>172</v>
      </c>
      <c r="F521" s="32" t="s">
        <v>271</v>
      </c>
      <c r="G521" s="70" t="str">
        <f>HYPERLINK("https://docs.google.com/spreadsheets/d/14SPxRyYBYKmcK7goDUlHtRL5awBu7lXjbhUJ_BMqSvU/edit#gid=174685627", "https://docs.google.com/spreadsheets/d/14SPxRyYBYKmcK7goDUlHtRL5awBu7lXjbhUJ_BMqSvU/edit#gid=174685627")</f>
        <v>https://docs.google.com/spreadsheets/d/14SPxRyYBYKmcK7goDUlHtRL5awBu7lXjbhUJ_BMqSvU/edit#gid=174685627</v>
      </c>
      <c r="H521" s="32" t="s">
        <v>276</v>
      </c>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15"/>
      <c r="C522" s="21"/>
      <c r="D522" s="15"/>
      <c r="E522" s="32" t="s">
        <v>172</v>
      </c>
      <c r="F522" s="32" t="s">
        <v>185</v>
      </c>
      <c r="G522" s="70" t="str">
        <f>HYPERLINK("https://docs.google.com/spreadsheets/d/14SPxRyYBYKmcK7goDUlHtRL5awBu7lXjbhUJ_BMqSvU/edit#gid=1251799443", "https://docs.google.com/spreadsheets/d/14SPxRyYBYKmcK7goDUlHtRL5awBu7lXjbhUJ_BMqSvU/edit#gid=1251799443")</f>
        <v>https://docs.google.com/spreadsheets/d/14SPxRyYBYKmcK7goDUlHtRL5awBu7lXjbhUJ_BMqSvU/edit#gid=1251799443</v>
      </c>
      <c r="H522" s="32" t="s">
        <v>277</v>
      </c>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15"/>
      <c r="C523" s="21"/>
      <c r="D523" s="15"/>
      <c r="E523" s="32" t="s">
        <v>172</v>
      </c>
      <c r="F523" s="32" t="s">
        <v>271</v>
      </c>
      <c r="G523" s="70" t="str">
        <f>HYPERLINK("https://docs.google.com/spreadsheets/d/14SPxRyYBYKmcK7goDUlHtRL5awBu7lXjbhUJ_BMqSvU/edit#gid=22146645", "https://docs.google.com/spreadsheets/d/14SPxRyYBYKmcK7goDUlHtRL5awBu7lXjbhUJ_BMqSvU/edit#gid=22146645")</f>
        <v>https://docs.google.com/spreadsheets/d/14SPxRyYBYKmcK7goDUlHtRL5awBu7lXjbhUJ_BMqSvU/edit#gid=22146645</v>
      </c>
      <c r="H523" s="32" t="s">
        <v>278</v>
      </c>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15"/>
      <c r="C524" s="21"/>
      <c r="D524" s="15"/>
      <c r="E524" s="32" t="s">
        <v>172</v>
      </c>
      <c r="F524" s="32" t="s">
        <v>185</v>
      </c>
      <c r="G524" s="70" t="str">
        <f>HYPERLINK("https://docs.google.com/spreadsheets/d/14SPxRyYBYKmcK7goDUlHtRL5awBu7lXjbhUJ_BMqSvU/edit#gid=465158857", "https://docs.google.com/spreadsheets/d/14SPxRyYBYKmcK7goDUlHtRL5awBu7lXjbhUJ_BMqSvU/edit#gid=465158857")</f>
        <v>https://docs.google.com/spreadsheets/d/14SPxRyYBYKmcK7goDUlHtRL5awBu7lXjbhUJ_BMqSvU/edit#gid=465158857</v>
      </c>
      <c r="H524" s="32" t="s">
        <v>279</v>
      </c>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15"/>
      <c r="C525" s="21"/>
      <c r="D525" s="15"/>
      <c r="E525" s="32" t="s">
        <v>172</v>
      </c>
      <c r="F525" s="32" t="s">
        <v>271</v>
      </c>
      <c r="G525" s="70" t="str">
        <f>HYPERLINK("https://docs.google.com/spreadsheets/d/14SPxRyYBYKmcK7goDUlHtRL5awBu7lXjbhUJ_BMqSvU/edit#gid=93867091", "https://docs.google.com/spreadsheets/d/14SPxRyYBYKmcK7goDUlHtRL5awBu7lXjbhUJ_BMqSvU/edit#gid=93867091")</f>
        <v>https://docs.google.com/spreadsheets/d/14SPxRyYBYKmcK7goDUlHtRL5awBu7lXjbhUJ_BMqSvU/edit#gid=93867091</v>
      </c>
      <c r="H525" s="32" t="s">
        <v>280</v>
      </c>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15"/>
      <c r="C526" s="21"/>
      <c r="D526" s="15"/>
      <c r="E526" s="32" t="s">
        <v>172</v>
      </c>
      <c r="F526" s="32" t="s">
        <v>185</v>
      </c>
      <c r="G526" s="70" t="str">
        <f>HYPERLINK("https://docs.google.com/spreadsheets/d/14SPxRyYBYKmcK7goDUlHtRL5awBu7lXjbhUJ_BMqSvU/edit#gid=1791839101", "https://docs.google.com/spreadsheets/d/14SPxRyYBYKmcK7goDUlHtRL5awBu7lXjbhUJ_BMqSvU/edit#gid=1791839101")</f>
        <v>https://docs.google.com/spreadsheets/d/14SPxRyYBYKmcK7goDUlHtRL5awBu7lXjbhUJ_BMqSvU/edit#gid=1791839101</v>
      </c>
      <c r="H526" s="32" t="s">
        <v>281</v>
      </c>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15"/>
      <c r="C527" s="21"/>
      <c r="D527" s="15"/>
      <c r="E527" s="32" t="s">
        <v>172</v>
      </c>
      <c r="F527" s="32" t="s">
        <v>271</v>
      </c>
      <c r="G527" s="70" t="str">
        <f>HYPERLINK("https://docs.google.com/spreadsheets/d/14SPxRyYBYKmcK7goDUlHtRL5awBu7lXjbhUJ_BMqSvU/edit#gid=471011107", "https://docs.google.com/spreadsheets/d/14SPxRyYBYKmcK7goDUlHtRL5awBu7lXjbhUJ_BMqSvU/edit#gid=471011107")</f>
        <v>https://docs.google.com/spreadsheets/d/14SPxRyYBYKmcK7goDUlHtRL5awBu7lXjbhUJ_BMqSvU/edit#gid=471011107</v>
      </c>
      <c r="H527" s="32" t="s">
        <v>282</v>
      </c>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15"/>
      <c r="C528" s="21"/>
      <c r="D528" s="15"/>
      <c r="E528" s="32" t="s">
        <v>172</v>
      </c>
      <c r="F528" s="32" t="s">
        <v>185</v>
      </c>
      <c r="G528" s="70" t="str">
        <f>HYPERLINK("https://docs.google.com/spreadsheets/d/14SPxRyYBYKmcK7goDUlHtRL5awBu7lXjbhUJ_BMqSvU/edit#gid=377979237", "https://docs.google.com/spreadsheets/d/14SPxRyYBYKmcK7goDUlHtRL5awBu7lXjbhUJ_BMqSvU/edit#gid=377979237")</f>
        <v>https://docs.google.com/spreadsheets/d/14SPxRyYBYKmcK7goDUlHtRL5awBu7lXjbhUJ_BMqSvU/edit#gid=377979237</v>
      </c>
      <c r="H528" s="32" t="s">
        <v>283</v>
      </c>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15"/>
      <c r="C529" s="21"/>
      <c r="D529" s="15"/>
      <c r="E529" s="32" t="s">
        <v>86</v>
      </c>
      <c r="F529" s="32" t="s">
        <v>90</v>
      </c>
      <c r="G529" s="70" t="str">
        <f>HYPERLINK("https://docs.google.com/spreadsheets/d/14SPxRyYBYKmcK7goDUlHtRL5awBu7lXjbhUJ_BMqSvU/edit#gid=1233033704", "https://docs.google.com/spreadsheets/d/14SPxRyYBYKmcK7goDUlHtRL5awBu7lXjbhUJ_BMqSvU/edit#gid=1233033704")</f>
        <v>https://docs.google.com/spreadsheets/d/14SPxRyYBYKmcK7goDUlHtRL5awBu7lXjbhUJ_BMqSvU/edit#gid=1233033704</v>
      </c>
      <c r="H529" s="32" t="s">
        <v>90</v>
      </c>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15"/>
      <c r="C530" s="21"/>
      <c r="D530" s="15"/>
      <c r="E530" s="32" t="s">
        <v>86</v>
      </c>
      <c r="F530" s="32" t="s">
        <v>92</v>
      </c>
      <c r="G530" s="70" t="str">
        <f>HYPERLINK("https://docs.google.com/spreadsheets/d/14SPxRyYBYKmcK7goDUlHtRL5awBu7lXjbhUJ_BMqSvU/edit#gid=1257053974", "https://docs.google.com/spreadsheets/d/14SPxRyYBYKmcK7goDUlHtRL5awBu7lXjbhUJ_BMqSvU/edit#gid=1257053974")</f>
        <v>https://docs.google.com/spreadsheets/d/14SPxRyYBYKmcK7goDUlHtRL5awBu7lXjbhUJ_BMqSvU/edit#gid=1257053974</v>
      </c>
      <c r="H530" s="32" t="s">
        <v>92</v>
      </c>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15"/>
      <c r="C531" s="21"/>
      <c r="D531" s="15"/>
      <c r="E531" s="32" t="s">
        <v>86</v>
      </c>
      <c r="F531" s="32" t="s">
        <v>175</v>
      </c>
      <c r="G531" s="70" t="str">
        <f>HYPERLINK("https://docs.google.com/spreadsheets/d/14SPxRyYBYKmcK7goDUlHtRL5awBu7lXjbhUJ_BMqSvU/edit#gid=589671293", "https://docs.google.com/spreadsheets/d/14SPxRyYBYKmcK7goDUlHtRL5awBu7lXjbhUJ_BMqSvU/edit#gid=589671293")</f>
        <v>https://docs.google.com/spreadsheets/d/14SPxRyYBYKmcK7goDUlHtRL5awBu7lXjbhUJ_BMqSvU/edit#gid=589671293</v>
      </c>
      <c r="H531" s="32" t="s">
        <v>175</v>
      </c>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15"/>
      <c r="C532" s="21"/>
      <c r="D532" s="15"/>
      <c r="E532" s="32" t="s">
        <v>86</v>
      </c>
      <c r="F532" s="32" t="s">
        <v>94</v>
      </c>
      <c r="G532" s="70" t="str">
        <f>HYPERLINK("https://docs.google.com/spreadsheets/d/14SPxRyYBYKmcK7goDUlHtRL5awBu7lXjbhUJ_BMqSvU/edit#gid=1239409993", "https://docs.google.com/spreadsheets/d/14SPxRyYBYKmcK7goDUlHtRL5awBu7lXjbhUJ_BMqSvU/edit#gid=1239409993")</f>
        <v>https://docs.google.com/spreadsheets/d/14SPxRyYBYKmcK7goDUlHtRL5awBu7lXjbhUJ_BMqSvU/edit#gid=1239409993</v>
      </c>
      <c r="H532" s="32" t="s">
        <v>94</v>
      </c>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15"/>
      <c r="C533" s="21"/>
      <c r="D533" s="15"/>
      <c r="E533" s="32" t="s">
        <v>88</v>
      </c>
      <c r="F533" s="32" t="s">
        <v>95</v>
      </c>
      <c r="G533" s="70" t="str">
        <f>HYPERLINK("https://docs.google.com/spreadsheets/d/14SPxRyYBYKmcK7goDUlHtRL5awBu7lXjbhUJ_BMqSvU/edit#gid=1069296819", "https://docs.google.com/spreadsheets/d/14SPxRyYBYKmcK7goDUlHtRL5awBu7lXjbhUJ_BMqSvU/edit#gid=1069296819")</f>
        <v>https://docs.google.com/spreadsheets/d/14SPxRyYBYKmcK7goDUlHtRL5awBu7lXjbhUJ_BMqSvU/edit#gid=1069296819</v>
      </c>
      <c r="H533" s="32" t="s">
        <v>95</v>
      </c>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15"/>
      <c r="C534" s="21"/>
      <c r="D534" s="15"/>
      <c r="E534" s="32" t="s">
        <v>88</v>
      </c>
      <c r="F534" s="32" t="s">
        <v>96</v>
      </c>
      <c r="G534" s="70" t="str">
        <f>HYPERLINK("https://docs.google.com/spreadsheets/d/14SPxRyYBYKmcK7goDUlHtRL5awBu7lXjbhUJ_BMqSvU/edit#gid=1803719317", "https://docs.google.com/spreadsheets/d/14SPxRyYBYKmcK7goDUlHtRL5awBu7lXjbhUJ_BMqSvU/edit#gid=1803719317")</f>
        <v>https://docs.google.com/spreadsheets/d/14SPxRyYBYKmcK7goDUlHtRL5awBu7lXjbhUJ_BMqSvU/edit#gid=1803719317</v>
      </c>
      <c r="H534" s="32" t="s">
        <v>96</v>
      </c>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15"/>
      <c r="C535" s="21"/>
      <c r="D535" s="15"/>
      <c r="E535" s="32" t="s">
        <v>178</v>
      </c>
      <c r="F535" s="32" t="s">
        <v>179</v>
      </c>
      <c r="G535" s="70" t="str">
        <f>HYPERLINK("https://docs.google.com/spreadsheets/d/14SPxRyYBYKmcK7goDUlHtRL5awBu7lXjbhUJ_BMqSvU/edit#gid=1276903180", "https://docs.google.com/spreadsheets/d/14SPxRyYBYKmcK7goDUlHtRL5awBu7lXjbhUJ_BMqSvU/edit#gid=1276903180")</f>
        <v>https://docs.google.com/spreadsheets/d/14SPxRyYBYKmcK7goDUlHtRL5awBu7lXjbhUJ_BMqSvU/edit#gid=1276903180</v>
      </c>
      <c r="H535" s="32" t="s">
        <v>179</v>
      </c>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15"/>
      <c r="C536" s="21"/>
      <c r="D536" s="15"/>
      <c r="E536" s="32" t="s">
        <v>178</v>
      </c>
      <c r="F536" s="32" t="s">
        <v>180</v>
      </c>
      <c r="G536" s="70" t="str">
        <f>HYPERLINK("https://docs.google.com/spreadsheets/d/14SPxRyYBYKmcK7goDUlHtRL5awBu7lXjbhUJ_BMqSvU/edit#gid=1224173146", "https://docs.google.com/spreadsheets/d/14SPxRyYBYKmcK7goDUlHtRL5awBu7lXjbhUJ_BMqSvU/edit#gid=1224173146")</f>
        <v>https://docs.google.com/spreadsheets/d/14SPxRyYBYKmcK7goDUlHtRL5awBu7lXjbhUJ_BMqSvU/edit#gid=1224173146</v>
      </c>
      <c r="H536" s="32" t="s">
        <v>180</v>
      </c>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15"/>
      <c r="C537" s="21"/>
      <c r="D537" s="15"/>
      <c r="E537" s="32" t="s">
        <v>178</v>
      </c>
      <c r="F537" s="32" t="s">
        <v>181</v>
      </c>
      <c r="G537" s="70" t="str">
        <f>HYPERLINK("https://docs.google.com/spreadsheets/d/14SPxRyYBYKmcK7goDUlHtRL5awBu7lXjbhUJ_BMqSvU/edit#gid=1244088560", "https://docs.google.com/spreadsheets/d/14SPxRyYBYKmcK7goDUlHtRL5awBu7lXjbhUJ_BMqSvU/edit#gid=1244088560")</f>
        <v>https://docs.google.com/spreadsheets/d/14SPxRyYBYKmcK7goDUlHtRL5awBu7lXjbhUJ_BMqSvU/edit#gid=1244088560</v>
      </c>
      <c r="H537" s="32" t="s">
        <v>181</v>
      </c>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15"/>
      <c r="C538" s="21"/>
      <c r="D538" s="15"/>
      <c r="E538" s="32" t="s">
        <v>178</v>
      </c>
      <c r="F538" s="32" t="s">
        <v>208</v>
      </c>
      <c r="G538" s="70" t="str">
        <f>HYPERLINK("https://docs.google.com/spreadsheets/d/14SPxRyYBYKmcK7goDUlHtRL5awBu7lXjbhUJ_BMqSvU/edit#gid=1686386201", "https://docs.google.com/spreadsheets/d/14SPxRyYBYKmcK7goDUlHtRL5awBu7lXjbhUJ_BMqSvU/edit#gid=1686386201")</f>
        <v>https://docs.google.com/spreadsheets/d/14SPxRyYBYKmcK7goDUlHtRL5awBu7lXjbhUJ_BMqSvU/edit#gid=1686386201</v>
      </c>
      <c r="H538" s="32" t="s">
        <v>208</v>
      </c>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15"/>
      <c r="C539" s="21"/>
      <c r="D539" s="15"/>
      <c r="E539" s="32" t="s">
        <v>178</v>
      </c>
      <c r="F539" s="32" t="s">
        <v>182</v>
      </c>
      <c r="G539" s="70" t="str">
        <f>HYPERLINK("https://docs.google.com/spreadsheets/d/14SPxRyYBYKmcK7goDUlHtRL5awBu7lXjbhUJ_BMqSvU/edit#gid=1663227507", "https://docs.google.com/spreadsheets/d/14SPxRyYBYKmcK7goDUlHtRL5awBu7lXjbhUJ_BMqSvU/edit#gid=1663227507")</f>
        <v>https://docs.google.com/spreadsheets/d/14SPxRyYBYKmcK7goDUlHtRL5awBu7lXjbhUJ_BMqSvU/edit#gid=1663227507</v>
      </c>
      <c r="H539" s="32" t="s">
        <v>182</v>
      </c>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15"/>
      <c r="C540" s="21"/>
      <c r="D540" s="15"/>
      <c r="E540" s="15"/>
      <c r="F540" s="15"/>
      <c r="G540" s="15"/>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15"/>
      <c r="C541" s="21"/>
      <c r="D541" s="15"/>
      <c r="E541" s="15"/>
      <c r="F541" s="15"/>
      <c r="G541" s="15"/>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32" t="s">
        <v>288</v>
      </c>
      <c r="C542" s="73" t="s">
        <v>289</v>
      </c>
      <c r="D542" s="32" t="s">
        <v>20</v>
      </c>
      <c r="E542" s="32" t="s">
        <v>21</v>
      </c>
      <c r="F542" s="32" t="s">
        <v>51</v>
      </c>
      <c r="G542" s="70" t="str">
        <f>HYPERLINK("https://docs.google.com/spreadsheets/d/1SUDFpAK2rLI61fsfsL6mt74nsEWkN2p5q8SYiGXSh_U/edit#gid=1106757441", "https://docs.google.com/spreadsheets/d/1SUDFpAK2rLI61fsfsL6mt74nsEWkN2p5q8SYiGXSh_U/edit#gid=1106757441")</f>
        <v>https://docs.google.com/spreadsheets/d/1SUDFpAK2rLI61fsfsL6mt74nsEWkN2p5q8SYiGXSh_U/edit#gid=1106757441</v>
      </c>
      <c r="H542" s="32" t="s">
        <v>51</v>
      </c>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15"/>
      <c r="C543" s="21"/>
      <c r="D543" s="15"/>
      <c r="E543" s="32" t="s">
        <v>172</v>
      </c>
      <c r="F543" s="32" t="s">
        <v>173</v>
      </c>
      <c r="G543" s="70" t="str">
        <f>HYPERLINK("https://docs.google.com/spreadsheets/d/1SUDFpAK2rLI61fsfsL6mt74nsEWkN2p5q8SYiGXSh_U/edit#gid=207719868", "https://docs.google.com/spreadsheets/d/1SUDFpAK2rLI61fsfsL6mt74nsEWkN2p5q8SYiGXSh_U/edit#gid=207719868")</f>
        <v>https://docs.google.com/spreadsheets/d/1SUDFpAK2rLI61fsfsL6mt74nsEWkN2p5q8SYiGXSh_U/edit#gid=207719868</v>
      </c>
      <c r="H543" s="32" t="s">
        <v>173</v>
      </c>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15"/>
      <c r="C544" s="21"/>
      <c r="D544" s="15"/>
      <c r="E544" s="32" t="s">
        <v>172</v>
      </c>
      <c r="F544" s="32" t="s">
        <v>174</v>
      </c>
      <c r="G544" s="70" t="str">
        <f>HYPERLINK("https://docs.google.com/spreadsheets/d/1SUDFpAK2rLI61fsfsL6mt74nsEWkN2p5q8SYiGXSh_U/edit#gid=811941064", "https://docs.google.com/spreadsheets/d/1SUDFpAK2rLI61fsfsL6mt74nsEWkN2p5q8SYiGXSh_U/edit#gid=811941064")</f>
        <v>https://docs.google.com/spreadsheets/d/1SUDFpAK2rLI61fsfsL6mt74nsEWkN2p5q8SYiGXSh_U/edit#gid=811941064</v>
      </c>
      <c r="H544" s="32" t="s">
        <v>174</v>
      </c>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15"/>
      <c r="C545" s="21"/>
      <c r="D545" s="15"/>
      <c r="E545" s="32" t="s">
        <v>172</v>
      </c>
      <c r="F545" s="32" t="s">
        <v>173</v>
      </c>
      <c r="G545" s="70" t="str">
        <f>HYPERLINK("https://docs.google.com/spreadsheets/d/1SUDFpAK2rLI61fsfsL6mt74nsEWkN2p5q8SYiGXSh_U/edit#gid=2077362919", "https://docs.google.com/spreadsheets/d/1SUDFpAK2rLI61fsfsL6mt74nsEWkN2p5q8SYiGXSh_U/edit#gid=2077362919")</f>
        <v>https://docs.google.com/spreadsheets/d/1SUDFpAK2rLI61fsfsL6mt74nsEWkN2p5q8SYiGXSh_U/edit#gid=2077362919</v>
      </c>
      <c r="H545" s="32" t="s">
        <v>269</v>
      </c>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15"/>
      <c r="C546" s="21"/>
      <c r="D546" s="15"/>
      <c r="E546" s="32" t="s">
        <v>172</v>
      </c>
      <c r="F546" s="32" t="s">
        <v>174</v>
      </c>
      <c r="G546" s="70" t="str">
        <f>HYPERLINK("https://docs.google.com/spreadsheets/d/1SUDFpAK2rLI61fsfsL6mt74nsEWkN2p5q8SYiGXSh_U/edit#gid=1083180335", "https://docs.google.com/spreadsheets/d/1SUDFpAK2rLI61fsfsL6mt74nsEWkN2p5q8SYiGXSh_U/edit#gid=1083180335")</f>
        <v>https://docs.google.com/spreadsheets/d/1SUDFpAK2rLI61fsfsL6mt74nsEWkN2p5q8SYiGXSh_U/edit#gid=1083180335</v>
      </c>
      <c r="H546" s="32" t="s">
        <v>270</v>
      </c>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15"/>
      <c r="C547" s="21"/>
      <c r="D547" s="15"/>
      <c r="E547" s="32" t="s">
        <v>172</v>
      </c>
      <c r="F547" s="32" t="s">
        <v>271</v>
      </c>
      <c r="G547" s="70" t="str">
        <f>HYPERLINK("https://docs.google.com/spreadsheets/d/1SUDFpAK2rLI61fsfsL6mt74nsEWkN2p5q8SYiGXSh_U/edit#gid=475816370", "https://docs.google.com/spreadsheets/d/1SUDFpAK2rLI61fsfsL6mt74nsEWkN2p5q8SYiGXSh_U/edit#gid=475816370")</f>
        <v>https://docs.google.com/spreadsheets/d/1SUDFpAK2rLI61fsfsL6mt74nsEWkN2p5q8SYiGXSh_U/edit#gid=475816370</v>
      </c>
      <c r="H547" s="32" t="s">
        <v>271</v>
      </c>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15"/>
      <c r="C548" s="21"/>
      <c r="D548" s="15"/>
      <c r="E548" s="32" t="s">
        <v>172</v>
      </c>
      <c r="F548" s="32" t="s">
        <v>185</v>
      </c>
      <c r="G548" s="70" t="str">
        <f>HYPERLINK("https://docs.google.com/spreadsheets/d/1SUDFpAK2rLI61fsfsL6mt74nsEWkN2p5q8SYiGXSh_U/edit#gid=1011979653", "https://docs.google.com/spreadsheets/d/1SUDFpAK2rLI61fsfsL6mt74nsEWkN2p5q8SYiGXSh_U/edit#gid=1011979653")</f>
        <v>https://docs.google.com/spreadsheets/d/1SUDFpAK2rLI61fsfsL6mt74nsEWkN2p5q8SYiGXSh_U/edit#gid=1011979653</v>
      </c>
      <c r="H548" s="32" t="s">
        <v>185</v>
      </c>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15"/>
      <c r="C549" s="21"/>
      <c r="D549" s="15"/>
      <c r="E549" s="32" t="s">
        <v>172</v>
      </c>
      <c r="F549" s="32" t="s">
        <v>271</v>
      </c>
      <c r="G549" s="70" t="str">
        <f>HYPERLINK("https://docs.google.com/spreadsheets/d/1SUDFpAK2rLI61fsfsL6mt74nsEWkN2p5q8SYiGXSh_U/edit#gid=1849681046", "https://docs.google.com/spreadsheets/d/1SUDFpAK2rLI61fsfsL6mt74nsEWkN2p5q8SYiGXSh_U/edit#gid=1849681046")</f>
        <v>https://docs.google.com/spreadsheets/d/1SUDFpAK2rLI61fsfsL6mt74nsEWkN2p5q8SYiGXSh_U/edit#gid=1849681046</v>
      </c>
      <c r="H549" s="32" t="s">
        <v>272</v>
      </c>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15"/>
      <c r="C550" s="21"/>
      <c r="D550" s="15"/>
      <c r="E550" s="32" t="s">
        <v>172</v>
      </c>
      <c r="F550" s="32" t="s">
        <v>185</v>
      </c>
      <c r="G550" s="70" t="str">
        <f>HYPERLINK("https://docs.google.com/spreadsheets/d/1SUDFpAK2rLI61fsfsL6mt74nsEWkN2p5q8SYiGXSh_U/edit#gid=871008484", "https://docs.google.com/spreadsheets/d/1SUDFpAK2rLI61fsfsL6mt74nsEWkN2p5q8SYiGXSh_U/edit#gid=871008484")</f>
        <v>https://docs.google.com/spreadsheets/d/1SUDFpAK2rLI61fsfsL6mt74nsEWkN2p5q8SYiGXSh_U/edit#gid=871008484</v>
      </c>
      <c r="H550" s="32" t="s">
        <v>273</v>
      </c>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15"/>
      <c r="C551" s="21"/>
      <c r="D551" s="15"/>
      <c r="E551" s="32" t="s">
        <v>172</v>
      </c>
      <c r="F551" s="32" t="s">
        <v>271</v>
      </c>
      <c r="G551" s="70" t="str">
        <f>HYPERLINK("https://docs.google.com/spreadsheets/d/1SUDFpAK2rLI61fsfsL6mt74nsEWkN2p5q8SYiGXSh_U/edit#gid=2034794370", "https://docs.google.com/spreadsheets/d/1SUDFpAK2rLI61fsfsL6mt74nsEWkN2p5q8SYiGXSh_U/edit#gid=2034794370")</f>
        <v>https://docs.google.com/spreadsheets/d/1SUDFpAK2rLI61fsfsL6mt74nsEWkN2p5q8SYiGXSh_U/edit#gid=2034794370</v>
      </c>
      <c r="H551" s="35" t="s">
        <v>274</v>
      </c>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15"/>
      <c r="C552" s="21"/>
      <c r="D552" s="15"/>
      <c r="E552" s="32" t="s">
        <v>172</v>
      </c>
      <c r="F552" s="32" t="s">
        <v>185</v>
      </c>
      <c r="G552" s="70" t="str">
        <f>HYPERLINK("https://docs.google.com/spreadsheets/d/1SUDFpAK2rLI61fsfsL6mt74nsEWkN2p5q8SYiGXSh_U/edit#gid=301175885", "https://docs.google.com/spreadsheets/d/1SUDFpAK2rLI61fsfsL6mt74nsEWkN2p5q8SYiGXSh_U/edit#gid=301175885")</f>
        <v>https://docs.google.com/spreadsheets/d/1SUDFpAK2rLI61fsfsL6mt74nsEWkN2p5q8SYiGXSh_U/edit#gid=301175885</v>
      </c>
      <c r="H552" s="35" t="s">
        <v>275</v>
      </c>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15"/>
      <c r="C553" s="21"/>
      <c r="D553" s="15"/>
      <c r="E553" s="32" t="s">
        <v>172</v>
      </c>
      <c r="F553" s="32" t="s">
        <v>271</v>
      </c>
      <c r="G553" s="70" t="str">
        <f>HYPERLINK("https://docs.google.com/spreadsheets/d/1SUDFpAK2rLI61fsfsL6mt74nsEWkN2p5q8SYiGXSh_U/edit#gid=998133190", "https://docs.google.com/spreadsheets/d/1SUDFpAK2rLI61fsfsL6mt74nsEWkN2p5q8SYiGXSh_U/edit#gid=998133190")</f>
        <v>https://docs.google.com/spreadsheets/d/1SUDFpAK2rLI61fsfsL6mt74nsEWkN2p5q8SYiGXSh_U/edit#gid=998133190</v>
      </c>
      <c r="H553" s="32" t="s">
        <v>276</v>
      </c>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15"/>
      <c r="C554" s="21"/>
      <c r="D554" s="15"/>
      <c r="E554" s="32" t="s">
        <v>172</v>
      </c>
      <c r="F554" s="32" t="s">
        <v>185</v>
      </c>
      <c r="G554" s="70" t="str">
        <f>HYPERLINK("https://docs.google.com/spreadsheets/d/1SUDFpAK2rLI61fsfsL6mt74nsEWkN2p5q8SYiGXSh_U/edit#gid=1210378862", "https://docs.google.com/spreadsheets/d/1SUDFpAK2rLI61fsfsL6mt74nsEWkN2p5q8SYiGXSh_U/edit#gid=1210378862")</f>
        <v>https://docs.google.com/spreadsheets/d/1SUDFpAK2rLI61fsfsL6mt74nsEWkN2p5q8SYiGXSh_U/edit#gid=1210378862</v>
      </c>
      <c r="H554" s="32" t="s">
        <v>277</v>
      </c>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15"/>
      <c r="C555" s="21"/>
      <c r="D555" s="15"/>
      <c r="E555" s="32" t="s">
        <v>172</v>
      </c>
      <c r="F555" s="32" t="s">
        <v>271</v>
      </c>
      <c r="G555" s="70" t="str">
        <f>HYPERLINK("https://docs.google.com/spreadsheets/d/1SUDFpAK2rLI61fsfsL6mt74nsEWkN2p5q8SYiGXSh_U/edit#gid=835120460", "https://docs.google.com/spreadsheets/d/1SUDFpAK2rLI61fsfsL6mt74nsEWkN2p5q8SYiGXSh_U/edit#gid=835120460")</f>
        <v>https://docs.google.com/spreadsheets/d/1SUDFpAK2rLI61fsfsL6mt74nsEWkN2p5q8SYiGXSh_U/edit#gid=835120460</v>
      </c>
      <c r="H555" s="32" t="s">
        <v>278</v>
      </c>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15"/>
      <c r="C556" s="21"/>
      <c r="D556" s="15"/>
      <c r="E556" s="32" t="s">
        <v>172</v>
      </c>
      <c r="F556" s="32" t="s">
        <v>185</v>
      </c>
      <c r="G556" s="70" t="str">
        <f>HYPERLINK("https://docs.google.com/spreadsheets/d/1SUDFpAK2rLI61fsfsL6mt74nsEWkN2p5q8SYiGXSh_U/edit#gid=1657371701", "https://docs.google.com/spreadsheets/d/1SUDFpAK2rLI61fsfsL6mt74nsEWkN2p5q8SYiGXSh_U/edit#gid=1657371701")</f>
        <v>https://docs.google.com/spreadsheets/d/1SUDFpAK2rLI61fsfsL6mt74nsEWkN2p5q8SYiGXSh_U/edit#gid=1657371701</v>
      </c>
      <c r="H556" s="32" t="s">
        <v>279</v>
      </c>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15"/>
      <c r="C557" s="21"/>
      <c r="D557" s="15"/>
      <c r="E557" s="32" t="s">
        <v>172</v>
      </c>
      <c r="F557" s="32" t="s">
        <v>271</v>
      </c>
      <c r="G557" s="70" t="str">
        <f>HYPERLINK("https://docs.google.com/spreadsheets/d/1SUDFpAK2rLI61fsfsL6mt74nsEWkN2p5q8SYiGXSh_U/edit#gid=1657784420", "https://docs.google.com/spreadsheets/d/1SUDFpAK2rLI61fsfsL6mt74nsEWkN2p5q8SYiGXSh_U/edit#gid=1657784420")</f>
        <v>https://docs.google.com/spreadsheets/d/1SUDFpAK2rLI61fsfsL6mt74nsEWkN2p5q8SYiGXSh_U/edit#gid=1657784420</v>
      </c>
      <c r="H557" s="32" t="s">
        <v>280</v>
      </c>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15"/>
      <c r="C558" s="21"/>
      <c r="D558" s="15"/>
      <c r="E558" s="32" t="s">
        <v>172</v>
      </c>
      <c r="F558" s="32" t="s">
        <v>185</v>
      </c>
      <c r="G558" s="70" t="str">
        <f>HYPERLINK("https://docs.google.com/spreadsheets/d/1SUDFpAK2rLI61fsfsL6mt74nsEWkN2p5q8SYiGXSh_U/edit#gid=99923427", "https://docs.google.com/spreadsheets/d/1SUDFpAK2rLI61fsfsL6mt74nsEWkN2p5q8SYiGXSh_U/edit#gid=99923427")</f>
        <v>https://docs.google.com/spreadsheets/d/1SUDFpAK2rLI61fsfsL6mt74nsEWkN2p5q8SYiGXSh_U/edit#gid=99923427</v>
      </c>
      <c r="H558" s="32" t="s">
        <v>281</v>
      </c>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15"/>
      <c r="C559" s="21"/>
      <c r="D559" s="15"/>
      <c r="E559" s="32" t="s">
        <v>172</v>
      </c>
      <c r="F559" s="32" t="s">
        <v>271</v>
      </c>
      <c r="G559" s="70" t="str">
        <f>HYPERLINK("https://docs.google.com/spreadsheets/d/1SUDFpAK2rLI61fsfsL6mt74nsEWkN2p5q8SYiGXSh_U/edit#gid=1156248984", "https://docs.google.com/spreadsheets/d/1SUDFpAK2rLI61fsfsL6mt74nsEWkN2p5q8SYiGXSh_U/edit#gid=1156248984")</f>
        <v>https://docs.google.com/spreadsheets/d/1SUDFpAK2rLI61fsfsL6mt74nsEWkN2p5q8SYiGXSh_U/edit#gid=1156248984</v>
      </c>
      <c r="H559" s="32" t="s">
        <v>282</v>
      </c>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15"/>
      <c r="C560" s="21"/>
      <c r="D560" s="15"/>
      <c r="E560" s="32" t="s">
        <v>172</v>
      </c>
      <c r="F560" s="32" t="s">
        <v>185</v>
      </c>
      <c r="G560" s="70" t="str">
        <f>HYPERLINK("https://docs.google.com/spreadsheets/d/1SUDFpAK2rLI61fsfsL6mt74nsEWkN2p5q8SYiGXSh_U/edit#gid=1201334324", "https://docs.google.com/spreadsheets/d/1SUDFpAK2rLI61fsfsL6mt74nsEWkN2p5q8SYiGXSh_U/edit#gid=1201334324")</f>
        <v>https://docs.google.com/spreadsheets/d/1SUDFpAK2rLI61fsfsL6mt74nsEWkN2p5q8SYiGXSh_U/edit#gid=1201334324</v>
      </c>
      <c r="H560" s="32" t="s">
        <v>283</v>
      </c>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15"/>
      <c r="C561" s="21"/>
      <c r="D561" s="15"/>
      <c r="E561" s="32" t="s">
        <v>86</v>
      </c>
      <c r="F561" s="32" t="s">
        <v>90</v>
      </c>
      <c r="G561" s="70" t="str">
        <f>HYPERLINK("https://docs.google.com/spreadsheets/d/1SUDFpAK2rLI61fsfsL6mt74nsEWkN2p5q8SYiGXSh_U/edit#gid=1935112743", "https://docs.google.com/spreadsheets/d/1SUDFpAK2rLI61fsfsL6mt74nsEWkN2p5q8SYiGXSh_U/edit#gid=1935112743")</f>
        <v>https://docs.google.com/spreadsheets/d/1SUDFpAK2rLI61fsfsL6mt74nsEWkN2p5q8SYiGXSh_U/edit#gid=1935112743</v>
      </c>
      <c r="H561" s="32" t="s">
        <v>90</v>
      </c>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15"/>
      <c r="C562" s="21"/>
      <c r="D562" s="15"/>
      <c r="E562" s="32" t="s">
        <v>86</v>
      </c>
      <c r="F562" s="32" t="s">
        <v>92</v>
      </c>
      <c r="G562" s="70" t="str">
        <f>HYPERLINK("https://docs.google.com/spreadsheets/d/1SUDFpAK2rLI61fsfsL6mt74nsEWkN2p5q8SYiGXSh_U/edit#gid=1852352468", "https://docs.google.com/spreadsheets/d/1SUDFpAK2rLI61fsfsL6mt74nsEWkN2p5q8SYiGXSh_U/edit#gid=1852352468")</f>
        <v>https://docs.google.com/spreadsheets/d/1SUDFpAK2rLI61fsfsL6mt74nsEWkN2p5q8SYiGXSh_U/edit#gid=1852352468</v>
      </c>
      <c r="H562" s="32" t="s">
        <v>92</v>
      </c>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15"/>
      <c r="C563" s="21"/>
      <c r="D563" s="15"/>
      <c r="E563" s="32" t="s">
        <v>86</v>
      </c>
      <c r="F563" s="32" t="s">
        <v>175</v>
      </c>
      <c r="G563" s="70" t="str">
        <f>HYPERLINK("https://docs.google.com/spreadsheets/d/1SUDFpAK2rLI61fsfsL6mt74nsEWkN2p5q8SYiGXSh_U/edit#gid=265841414", "https://docs.google.com/spreadsheets/d/1SUDFpAK2rLI61fsfsL6mt74nsEWkN2p5q8SYiGXSh_U/edit#gid=265841414")</f>
        <v>https://docs.google.com/spreadsheets/d/1SUDFpAK2rLI61fsfsL6mt74nsEWkN2p5q8SYiGXSh_U/edit#gid=265841414</v>
      </c>
      <c r="H563" s="32" t="s">
        <v>175</v>
      </c>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15"/>
      <c r="C564" s="21"/>
      <c r="D564" s="15"/>
      <c r="E564" s="32" t="s">
        <v>86</v>
      </c>
      <c r="F564" s="32" t="s">
        <v>94</v>
      </c>
      <c r="G564" s="70" t="str">
        <f>HYPERLINK("https://docs.google.com/spreadsheets/d/1SUDFpAK2rLI61fsfsL6mt74nsEWkN2p5q8SYiGXSh_U/edit#gid=1128844561", "https://docs.google.com/spreadsheets/d/1SUDFpAK2rLI61fsfsL6mt74nsEWkN2p5q8SYiGXSh_U/edit#gid=1128844561")</f>
        <v>https://docs.google.com/spreadsheets/d/1SUDFpAK2rLI61fsfsL6mt74nsEWkN2p5q8SYiGXSh_U/edit#gid=1128844561</v>
      </c>
      <c r="H564" s="32" t="s">
        <v>94</v>
      </c>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15"/>
      <c r="C565" s="21"/>
      <c r="D565" s="15"/>
      <c r="E565" s="32" t="s">
        <v>88</v>
      </c>
      <c r="F565" s="32" t="s">
        <v>95</v>
      </c>
      <c r="G565" s="70" t="str">
        <f>HYPERLINK("https://docs.google.com/spreadsheets/d/1SUDFpAK2rLI61fsfsL6mt74nsEWkN2p5q8SYiGXSh_U/edit#gid=1519439751", "https://docs.google.com/spreadsheets/d/1SUDFpAK2rLI61fsfsL6mt74nsEWkN2p5q8SYiGXSh_U/edit#gid=1519439751")</f>
        <v>https://docs.google.com/spreadsheets/d/1SUDFpAK2rLI61fsfsL6mt74nsEWkN2p5q8SYiGXSh_U/edit#gid=1519439751</v>
      </c>
      <c r="H565" s="32" t="s">
        <v>95</v>
      </c>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32"/>
      <c r="C566" s="21"/>
      <c r="D566" s="15"/>
      <c r="E566" s="32" t="s">
        <v>88</v>
      </c>
      <c r="F566" s="32" t="s">
        <v>96</v>
      </c>
      <c r="G566" s="70" t="str">
        <f>HYPERLINK("https://docs.google.com/spreadsheets/d/1SUDFpAK2rLI61fsfsL6mt74nsEWkN2p5q8SYiGXSh_U/edit#gid=1426378424", "https://docs.google.com/spreadsheets/d/1SUDFpAK2rLI61fsfsL6mt74nsEWkN2p5q8SYiGXSh_U/edit#gid=1426378424")</f>
        <v>https://docs.google.com/spreadsheets/d/1SUDFpAK2rLI61fsfsL6mt74nsEWkN2p5q8SYiGXSh_U/edit#gid=1426378424</v>
      </c>
      <c r="H566" s="32" t="s">
        <v>96</v>
      </c>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32"/>
      <c r="C567" s="21"/>
      <c r="D567" s="15"/>
      <c r="E567" s="32" t="s">
        <v>178</v>
      </c>
      <c r="F567" s="32" t="s">
        <v>179</v>
      </c>
      <c r="G567" s="70" t="str">
        <f>HYPERLINK("https://docs.google.com/spreadsheets/d/1SUDFpAK2rLI61fsfsL6mt74nsEWkN2p5q8SYiGXSh_U/edit#gid=1615792015", "https://docs.google.com/spreadsheets/d/1SUDFpAK2rLI61fsfsL6mt74nsEWkN2p5q8SYiGXSh_U/edit#gid=1615792015")</f>
        <v>https://docs.google.com/spreadsheets/d/1SUDFpAK2rLI61fsfsL6mt74nsEWkN2p5q8SYiGXSh_U/edit#gid=1615792015</v>
      </c>
      <c r="H567" s="32" t="s">
        <v>179</v>
      </c>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32"/>
      <c r="C568" s="21"/>
      <c r="D568" s="15"/>
      <c r="E568" s="32" t="s">
        <v>178</v>
      </c>
      <c r="F568" s="32" t="s">
        <v>180</v>
      </c>
      <c r="G568" s="70" t="str">
        <f>HYPERLINK("https://docs.google.com/spreadsheets/d/1SUDFpAK2rLI61fsfsL6mt74nsEWkN2p5q8SYiGXSh_U/edit#gid=434531132", "https://docs.google.com/spreadsheets/d/1SUDFpAK2rLI61fsfsL6mt74nsEWkN2p5q8SYiGXSh_U/edit#gid=434531132")</f>
        <v>https://docs.google.com/spreadsheets/d/1SUDFpAK2rLI61fsfsL6mt74nsEWkN2p5q8SYiGXSh_U/edit#gid=434531132</v>
      </c>
      <c r="H568" s="32" t="s">
        <v>180</v>
      </c>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32"/>
      <c r="C569" s="21"/>
      <c r="D569" s="15"/>
      <c r="E569" s="32" t="s">
        <v>178</v>
      </c>
      <c r="F569" s="32" t="s">
        <v>181</v>
      </c>
      <c r="G569" s="70" t="str">
        <f>HYPERLINK("https://docs.google.com/spreadsheets/d/1SUDFpAK2rLI61fsfsL6mt74nsEWkN2p5q8SYiGXSh_U/edit#gid=891673184", "https://docs.google.com/spreadsheets/d/1SUDFpAK2rLI61fsfsL6mt74nsEWkN2p5q8SYiGXSh_U/edit#gid=891673184")</f>
        <v>https://docs.google.com/spreadsheets/d/1SUDFpAK2rLI61fsfsL6mt74nsEWkN2p5q8SYiGXSh_U/edit#gid=891673184</v>
      </c>
      <c r="H569" s="32" t="s">
        <v>181</v>
      </c>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32"/>
      <c r="C570" s="21"/>
      <c r="D570" s="15"/>
      <c r="E570" s="32" t="s">
        <v>178</v>
      </c>
      <c r="F570" s="32" t="s">
        <v>208</v>
      </c>
      <c r="G570" s="70" t="str">
        <f>HYPERLINK("https://docs.google.com/spreadsheets/d/1SUDFpAK2rLI61fsfsL6mt74nsEWkN2p5q8SYiGXSh_U/edit#gid=1902051592", "https://docs.google.com/spreadsheets/d/1SUDFpAK2rLI61fsfsL6mt74nsEWkN2p5q8SYiGXSh_U/edit#gid=1902051592")</f>
        <v>https://docs.google.com/spreadsheets/d/1SUDFpAK2rLI61fsfsL6mt74nsEWkN2p5q8SYiGXSh_U/edit#gid=1902051592</v>
      </c>
      <c r="H570" s="32" t="s">
        <v>208</v>
      </c>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32"/>
      <c r="C571" s="21"/>
      <c r="D571" s="15"/>
      <c r="E571" s="32" t="s">
        <v>178</v>
      </c>
      <c r="F571" s="32" t="s">
        <v>182</v>
      </c>
      <c r="G571" s="70" t="str">
        <f>HYPERLINK("https://docs.google.com/spreadsheets/d/1SUDFpAK2rLI61fsfsL6mt74nsEWkN2p5q8SYiGXSh_U/edit#gid=2054763541", "https://docs.google.com/spreadsheets/d/1SUDFpAK2rLI61fsfsL6mt74nsEWkN2p5q8SYiGXSh_U/edit#gid=2054763541")</f>
        <v>https://docs.google.com/spreadsheets/d/1SUDFpAK2rLI61fsfsL6mt74nsEWkN2p5q8SYiGXSh_U/edit#gid=2054763541</v>
      </c>
      <c r="H571" s="32" t="s">
        <v>182</v>
      </c>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32"/>
      <c r="C572" s="21"/>
      <c r="D572" s="15"/>
      <c r="E572" s="32"/>
      <c r="F572" s="32"/>
      <c r="G572" s="15"/>
      <c r="H572" s="32"/>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32"/>
      <c r="C573" s="21"/>
      <c r="D573" s="15"/>
      <c r="E573" s="32"/>
      <c r="F573" s="32"/>
      <c r="G573" s="15"/>
      <c r="H573" s="32"/>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32" t="s">
        <v>290</v>
      </c>
      <c r="C574" s="21"/>
      <c r="D574" s="15"/>
      <c r="E574" s="32" t="s">
        <v>89</v>
      </c>
      <c r="F574" s="32" t="s">
        <v>291</v>
      </c>
      <c r="G574" s="70" t="str">
        <f>HYPERLINK("https://docs.google.com/spreadsheets/d/1WvR8hDV1UB5KP2DA4GsumueufPUsKELc33RDNLQNx8o/edit#gid=1881004238", "https://docs.google.com/spreadsheets/d/1WvR8hDV1UB5KP2DA4GsumueufPUsKELc33RDNLQNx8o/edit#gid=1881004238")</f>
        <v>https://docs.google.com/spreadsheets/d/1WvR8hDV1UB5KP2DA4GsumueufPUsKELc33RDNLQNx8o/edit#gid=1881004238</v>
      </c>
      <c r="H574" s="32" t="s">
        <v>291</v>
      </c>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15"/>
      <c r="C575" s="21"/>
      <c r="D575" s="15"/>
      <c r="E575" s="15"/>
      <c r="F575" s="15"/>
      <c r="G575" s="15"/>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32" t="s">
        <v>292</v>
      </c>
      <c r="C576" s="21"/>
      <c r="D576" s="15"/>
      <c r="E576" s="32" t="s">
        <v>89</v>
      </c>
      <c r="F576" s="32" t="s">
        <v>291</v>
      </c>
      <c r="G576" s="70" t="str">
        <f>HYPERLINK("https://docs.google.com/spreadsheets/d/1gbmf9cDpiR3Ec8unlxxIkJxQWoB7PkAy40A1FoVBXI4/edit#gid=630148406", "https://docs.google.com/spreadsheets/d/1gbmf9cDpiR3Ec8unlxxIkJxQWoB7PkAy40A1FoVBXI4/edit#gid=630148406")</f>
        <v>https://docs.google.com/spreadsheets/d/1gbmf9cDpiR3Ec8unlxxIkJxQWoB7PkAy40A1FoVBXI4/edit#gid=630148406</v>
      </c>
      <c r="H576" s="32" t="s">
        <v>291</v>
      </c>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15"/>
      <c r="C577" s="21"/>
      <c r="D577" s="15"/>
      <c r="E577" s="15"/>
      <c r="F577" s="15"/>
      <c r="G577" s="15"/>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32" t="s">
        <v>293</v>
      </c>
      <c r="C578" s="21"/>
      <c r="D578" s="15"/>
      <c r="E578" s="32" t="s">
        <v>89</v>
      </c>
      <c r="F578" s="32" t="s">
        <v>291</v>
      </c>
      <c r="G578" s="70" t="str">
        <f>HYPERLINK("https://docs.google.com/spreadsheets/d/1rx18kWZk1wSv50_nJG_iLoYZuBIIrE9_qtN-OR5C7Cw/edit#gid=11669688", "https://docs.google.com/spreadsheets/d/1rx18kWZk1wSv50_nJG_iLoYZuBIIrE9_qtN-OR5C7Cw/edit#gid=11669688")</f>
        <v>https://docs.google.com/spreadsheets/d/1rx18kWZk1wSv50_nJG_iLoYZuBIIrE9_qtN-OR5C7Cw/edit#gid=11669688</v>
      </c>
      <c r="H578" s="32" t="s">
        <v>291</v>
      </c>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32" t="s">
        <v>294</v>
      </c>
      <c r="C579" s="21"/>
      <c r="D579" s="15"/>
      <c r="E579" s="32" t="s">
        <v>89</v>
      </c>
      <c r="F579" s="32" t="s">
        <v>291</v>
      </c>
      <c r="G579" s="70" t="str">
        <f>HYPERLINK("https://docs.google.com/spreadsheets/d/1u4k_j7oIjuQMUy1BeVTPsIEixkqQO4goSOxTS4tZ7rw/edit#gid=1169817742", "https://docs.google.com/spreadsheets/d/1u4k_j7oIjuQMUy1BeVTPsIEixkqQO4goSOxTS4tZ7rw/edit#gid=1169817742")</f>
        <v>https://docs.google.com/spreadsheets/d/1u4k_j7oIjuQMUy1BeVTPsIEixkqQO4goSOxTS4tZ7rw/edit#gid=1169817742</v>
      </c>
      <c r="H579" s="32" t="s">
        <v>291</v>
      </c>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32" t="s">
        <v>295</v>
      </c>
      <c r="C580" s="66" t="s">
        <v>296</v>
      </c>
      <c r="D580" s="32" t="s">
        <v>20</v>
      </c>
      <c r="E580" s="32" t="s">
        <v>88</v>
      </c>
      <c r="F580" s="32" t="s">
        <v>239</v>
      </c>
      <c r="G580" s="70" t="str">
        <f>HYPERLINK("https://docs.google.com/spreadsheets/d/1SKDJEY-izg-oz0IdwgU6IjpjeWnhrUDNeTgiyDAOc6w/edit#gid=1487794310", "https://docs.google.com/spreadsheets/d/1SKDJEY-izg-oz0IdwgU6IjpjeWnhrUDNeTgiyDAOc6w/edit#gid=1487794310")</f>
        <v>https://docs.google.com/spreadsheets/d/1SKDJEY-izg-oz0IdwgU6IjpjeWnhrUDNeTgiyDAOc6w/edit#gid=1487794310</v>
      </c>
      <c r="H580" s="35" t="s">
        <v>239</v>
      </c>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15"/>
      <c r="D581" s="15"/>
      <c r="E581" s="32" t="s">
        <v>147</v>
      </c>
      <c r="F581" s="32" t="s">
        <v>148</v>
      </c>
      <c r="G581" s="15"/>
      <c r="H581" s="36"/>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15"/>
      <c r="D582" s="15"/>
      <c r="E582" s="32" t="s">
        <v>21</v>
      </c>
      <c r="F582" s="32" t="s">
        <v>244</v>
      </c>
      <c r="G582" s="70" t="str">
        <f>HYPERLINK("https://docs.google.com/spreadsheets/d/1SKDJEY-izg-oz0IdwgU6IjpjeWnhrUDNeTgiyDAOc6w/edit#gid=1647264617", "https://docs.google.com/spreadsheets/d/1SKDJEY-izg-oz0IdwgU6IjpjeWnhrUDNeTgiyDAOc6w/edit#gid=1647264617")</f>
        <v>https://docs.google.com/spreadsheets/d/1SKDJEY-izg-oz0IdwgU6IjpjeWnhrUDNeTgiyDAOc6w/edit#gid=1647264617</v>
      </c>
      <c r="H582" s="32" t="s">
        <v>244</v>
      </c>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15"/>
      <c r="D583" s="15"/>
      <c r="E583" s="32" t="s">
        <v>21</v>
      </c>
      <c r="F583" s="32" t="s">
        <v>22</v>
      </c>
      <c r="G583" s="70" t="str">
        <f>HYPERLINK("https://docs.google.com/spreadsheets/d/1SKDJEY-izg-oz0IdwgU6IjpjeWnhrUDNeTgiyDAOc6w/edit#gid=1078536631", "https://docs.google.com/spreadsheets/d/1SKDJEY-izg-oz0IdwgU6IjpjeWnhrUDNeTgiyDAOc6w/edit#gid=1078536631")</f>
        <v>https://docs.google.com/spreadsheets/d/1SKDJEY-izg-oz0IdwgU6IjpjeWnhrUDNeTgiyDAOc6w/edit#gid=1078536631</v>
      </c>
      <c r="H583" s="32" t="s">
        <v>22</v>
      </c>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15"/>
      <c r="D584" s="15"/>
      <c r="E584" s="32" t="s">
        <v>43</v>
      </c>
      <c r="F584" s="32" t="s">
        <v>79</v>
      </c>
      <c r="G584" s="70" t="str">
        <f>HYPERLINK("https://docs.google.com/spreadsheets/d/1SKDJEY-izg-oz0IdwgU6IjpjeWnhrUDNeTgiyDAOc6w/edit#gid=1806018692", "https://docs.google.com/spreadsheets/d/1SKDJEY-izg-oz0IdwgU6IjpjeWnhrUDNeTgiyDAOc6w/edit#gid=1806018692")</f>
        <v>https://docs.google.com/spreadsheets/d/1SKDJEY-izg-oz0IdwgU6IjpjeWnhrUDNeTgiyDAOc6w/edit#gid=1806018692</v>
      </c>
      <c r="H584" s="32" t="s">
        <v>79</v>
      </c>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15"/>
      <c r="D585" s="15"/>
      <c r="E585" s="32" t="s">
        <v>43</v>
      </c>
      <c r="F585" s="32" t="s">
        <v>109</v>
      </c>
      <c r="G585" s="70" t="str">
        <f>HYPERLINK("https://docs.google.com/spreadsheets/d/1SKDJEY-izg-oz0IdwgU6IjpjeWnhrUDNeTgiyDAOc6w/edit#gid=1570756750", "https://docs.google.com/spreadsheets/d/1SKDJEY-izg-oz0IdwgU6IjpjeWnhrUDNeTgiyDAOc6w/edit#gid=1570756750")</f>
        <v>https://docs.google.com/spreadsheets/d/1SKDJEY-izg-oz0IdwgU6IjpjeWnhrUDNeTgiyDAOc6w/edit#gid=1570756750</v>
      </c>
      <c r="H585" s="32" t="s">
        <v>109</v>
      </c>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15"/>
      <c r="D586" s="15"/>
      <c r="E586" s="32" t="s">
        <v>21</v>
      </c>
      <c r="F586" s="32" t="s">
        <v>110</v>
      </c>
      <c r="G586" s="70" t="str">
        <f>HYPERLINK("https://docs.google.com/spreadsheets/d/1SKDJEY-izg-oz0IdwgU6IjpjeWnhrUDNeTgiyDAOc6w/edit#gid=1032118911", "https://docs.google.com/spreadsheets/d/1SKDJEY-izg-oz0IdwgU6IjpjeWnhrUDNeTgiyDAOc6w/edit#gid=1032118911")</f>
        <v>https://docs.google.com/spreadsheets/d/1SKDJEY-izg-oz0IdwgU6IjpjeWnhrUDNeTgiyDAOc6w/edit#gid=1032118911</v>
      </c>
      <c r="H586" s="32" t="s">
        <v>110</v>
      </c>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15"/>
      <c r="D587" s="15"/>
      <c r="E587" s="32" t="s">
        <v>88</v>
      </c>
      <c r="F587" s="32" t="s">
        <v>95</v>
      </c>
      <c r="G587" s="70" t="str">
        <f>HYPERLINK("https://docs.google.com/spreadsheets/d/1SKDJEY-izg-oz0IdwgU6IjpjeWnhrUDNeTgiyDAOc6w/edit#gid=313737198", "https://docs.google.com/spreadsheets/d/1SKDJEY-izg-oz0IdwgU6IjpjeWnhrUDNeTgiyDAOc6w/edit#gid=313737198")</f>
        <v>https://docs.google.com/spreadsheets/d/1SKDJEY-izg-oz0IdwgU6IjpjeWnhrUDNeTgiyDAOc6w/edit#gid=313737198</v>
      </c>
      <c r="H587" s="32" t="s">
        <v>95</v>
      </c>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15"/>
      <c r="D588" s="15"/>
      <c r="E588" s="32" t="s">
        <v>88</v>
      </c>
      <c r="F588" s="32" t="s">
        <v>122</v>
      </c>
      <c r="G588" s="70" t="str">
        <f>HYPERLINK("https://docs.google.com/spreadsheets/d/1SKDJEY-izg-oz0IdwgU6IjpjeWnhrUDNeTgiyDAOc6w/edit#gid=1541388334", "https://docs.google.com/spreadsheets/d/1SKDJEY-izg-oz0IdwgU6IjpjeWnhrUDNeTgiyDAOc6w/edit#gid=1541388334")</f>
        <v>https://docs.google.com/spreadsheets/d/1SKDJEY-izg-oz0IdwgU6IjpjeWnhrUDNeTgiyDAOc6w/edit#gid=1541388334</v>
      </c>
      <c r="H588" s="32" t="s">
        <v>122</v>
      </c>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15"/>
      <c r="D589" s="15"/>
      <c r="E589" s="15"/>
      <c r="F589" s="15"/>
      <c r="G589" s="15"/>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15"/>
      <c r="C590" s="21"/>
      <c r="D590" s="15"/>
      <c r="E590" s="15"/>
      <c r="F590" s="15"/>
      <c r="G590" s="15"/>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15"/>
      <c r="C591" s="21"/>
      <c r="D591" s="15"/>
      <c r="E591" s="15"/>
      <c r="F591" s="15"/>
      <c r="G591" s="15"/>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32"/>
      <c r="C592" s="21"/>
      <c r="D592" s="32"/>
      <c r="E592" s="32"/>
      <c r="F592" s="32"/>
      <c r="G592" s="15"/>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15"/>
      <c r="C593" s="21"/>
      <c r="D593" s="15"/>
      <c r="E593" s="32"/>
      <c r="F593" s="32"/>
      <c r="G593" s="15"/>
      <c r="H593" s="32"/>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32"/>
      <c r="B594" s="32"/>
      <c r="C594" s="21"/>
      <c r="D594" s="32"/>
      <c r="E594" s="32"/>
      <c r="F594" s="32"/>
      <c r="G594" s="15"/>
      <c r="H594" s="32"/>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15"/>
      <c r="C595" s="21"/>
      <c r="D595" s="15"/>
      <c r="E595" s="32"/>
      <c r="F595" s="32"/>
      <c r="G595" s="15"/>
      <c r="H595" s="32"/>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32" t="s">
        <v>297</v>
      </c>
      <c r="C596" s="73" t="s">
        <v>298</v>
      </c>
      <c r="D596" s="32" t="s">
        <v>20</v>
      </c>
      <c r="E596" s="32" t="s">
        <v>21</v>
      </c>
      <c r="F596" s="32" t="s">
        <v>51</v>
      </c>
      <c r="G596" s="70" t="str">
        <f>HYPERLINK("https://docs.google.com/spreadsheets/d/1seQ8Q2lgahejUcg1ms0TBMrSh-N2lShY9_9hNkl5eUM/edit#gid=1266661991", "https://docs.google.com/spreadsheets/d/1seQ8Q2lgahejUcg1ms0TBMrSh-N2lShY9_9hNkl5eUM/edit#gid=1266661991")</f>
        <v>https://docs.google.com/spreadsheets/d/1seQ8Q2lgahejUcg1ms0TBMrSh-N2lShY9_9hNkl5eUM/edit#gid=1266661991</v>
      </c>
      <c r="H596" s="32" t="s">
        <v>51</v>
      </c>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15"/>
      <c r="C597" s="21"/>
      <c r="D597" s="15"/>
      <c r="E597" s="32" t="s">
        <v>172</v>
      </c>
      <c r="F597" s="32" t="s">
        <v>173</v>
      </c>
      <c r="G597" s="70" t="str">
        <f>HYPERLINK("https://docs.google.com/spreadsheets/d/1seQ8Q2lgahejUcg1ms0TBMrSh-N2lShY9_9hNkl5eUM/edit#gid=691420809", "https://docs.google.com/spreadsheets/d/1seQ8Q2lgahejUcg1ms0TBMrSh-N2lShY9_9hNkl5eUM/edit#gid=691420809")</f>
        <v>https://docs.google.com/spreadsheets/d/1seQ8Q2lgahejUcg1ms0TBMrSh-N2lShY9_9hNkl5eUM/edit#gid=691420809</v>
      </c>
      <c r="H597" s="32" t="s">
        <v>173</v>
      </c>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15"/>
      <c r="C598" s="21"/>
      <c r="D598" s="15"/>
      <c r="E598" s="32" t="s">
        <v>172</v>
      </c>
      <c r="F598" s="32" t="s">
        <v>174</v>
      </c>
      <c r="G598" s="70" t="str">
        <f>HYPERLINK("https://docs.google.com/spreadsheets/d/1seQ8Q2lgahejUcg1ms0TBMrSh-N2lShY9_9hNkl5eUM/edit#gid=1329966653", "https://docs.google.com/spreadsheets/d/1seQ8Q2lgahejUcg1ms0TBMrSh-N2lShY9_9hNkl5eUM/edit#gid=1329966653")</f>
        <v>https://docs.google.com/spreadsheets/d/1seQ8Q2lgahejUcg1ms0TBMrSh-N2lShY9_9hNkl5eUM/edit#gid=1329966653</v>
      </c>
      <c r="H598" s="32" t="s">
        <v>174</v>
      </c>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15"/>
      <c r="C599" s="21"/>
      <c r="D599" s="15"/>
      <c r="E599" s="32" t="s">
        <v>172</v>
      </c>
      <c r="F599" s="32" t="s">
        <v>173</v>
      </c>
      <c r="G599" s="70" t="str">
        <f>HYPERLINK("https://docs.google.com/spreadsheets/d/1seQ8Q2lgahejUcg1ms0TBMrSh-N2lShY9_9hNkl5eUM/edit#gid=325687252", "https://docs.google.com/spreadsheets/d/1seQ8Q2lgahejUcg1ms0TBMrSh-N2lShY9_9hNkl5eUM/edit#gid=325687252")</f>
        <v>https://docs.google.com/spreadsheets/d/1seQ8Q2lgahejUcg1ms0TBMrSh-N2lShY9_9hNkl5eUM/edit#gid=325687252</v>
      </c>
      <c r="H599" s="32" t="s">
        <v>269</v>
      </c>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15"/>
      <c r="C600" s="21"/>
      <c r="D600" s="15"/>
      <c r="E600" s="32" t="s">
        <v>172</v>
      </c>
      <c r="F600" s="32" t="s">
        <v>174</v>
      </c>
      <c r="G600" s="70" t="str">
        <f>HYPERLINK("https://docs.google.com/spreadsheets/d/1seQ8Q2lgahejUcg1ms0TBMrSh-N2lShY9_9hNkl5eUM/edit#gid=43284258", "https://docs.google.com/spreadsheets/d/1seQ8Q2lgahejUcg1ms0TBMrSh-N2lShY9_9hNkl5eUM/edit#gid=43284258")</f>
        <v>https://docs.google.com/spreadsheets/d/1seQ8Q2lgahejUcg1ms0TBMrSh-N2lShY9_9hNkl5eUM/edit#gid=43284258</v>
      </c>
      <c r="H600" s="32" t="s">
        <v>270</v>
      </c>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15"/>
      <c r="C601" s="21"/>
      <c r="D601" s="15"/>
      <c r="E601" s="32" t="s">
        <v>172</v>
      </c>
      <c r="F601" s="32" t="s">
        <v>271</v>
      </c>
      <c r="G601" s="70" t="str">
        <f>HYPERLINK("https://docs.google.com/spreadsheets/d/1seQ8Q2lgahejUcg1ms0TBMrSh-N2lShY9_9hNkl5eUM/edit#gid=1070968146", "https://docs.google.com/spreadsheets/d/1seQ8Q2lgahejUcg1ms0TBMrSh-N2lShY9_9hNkl5eUM/edit#gid=1070968146")</f>
        <v>https://docs.google.com/spreadsheets/d/1seQ8Q2lgahejUcg1ms0TBMrSh-N2lShY9_9hNkl5eUM/edit#gid=1070968146</v>
      </c>
      <c r="H601" s="32" t="s">
        <v>271</v>
      </c>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15"/>
      <c r="C602" s="21"/>
      <c r="D602" s="15"/>
      <c r="E602" s="32" t="s">
        <v>172</v>
      </c>
      <c r="F602" s="32" t="s">
        <v>185</v>
      </c>
      <c r="G602" s="70" t="str">
        <f>HYPERLINK("https://docs.google.com/spreadsheets/d/1seQ8Q2lgahejUcg1ms0TBMrSh-N2lShY9_9hNkl5eUM/edit#gid=1970798310", "https://docs.google.com/spreadsheets/d/1seQ8Q2lgahejUcg1ms0TBMrSh-N2lShY9_9hNkl5eUM/edit#gid=1970798310")</f>
        <v>https://docs.google.com/spreadsheets/d/1seQ8Q2lgahejUcg1ms0TBMrSh-N2lShY9_9hNkl5eUM/edit#gid=1970798310</v>
      </c>
      <c r="H602" s="32" t="s">
        <v>185</v>
      </c>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15"/>
      <c r="C603" s="21"/>
      <c r="D603" s="15"/>
      <c r="E603" s="32" t="s">
        <v>172</v>
      </c>
      <c r="F603" s="32" t="s">
        <v>271</v>
      </c>
      <c r="G603" s="70" t="str">
        <f>HYPERLINK("https://docs.google.com/spreadsheets/d/1seQ8Q2lgahejUcg1ms0TBMrSh-N2lShY9_9hNkl5eUM/edit#gid=1826477973", "https://docs.google.com/spreadsheets/d/1seQ8Q2lgahejUcg1ms0TBMrSh-N2lShY9_9hNkl5eUM/edit#gid=1826477973")</f>
        <v>https://docs.google.com/spreadsheets/d/1seQ8Q2lgahejUcg1ms0TBMrSh-N2lShY9_9hNkl5eUM/edit#gid=1826477973</v>
      </c>
      <c r="H603" s="32" t="s">
        <v>272</v>
      </c>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15"/>
      <c r="C604" s="21"/>
      <c r="D604" s="15"/>
      <c r="E604" s="32" t="s">
        <v>172</v>
      </c>
      <c r="F604" s="32" t="s">
        <v>185</v>
      </c>
      <c r="G604" s="70" t="str">
        <f>HYPERLINK("https://docs.google.com/spreadsheets/d/1seQ8Q2lgahejUcg1ms0TBMrSh-N2lShY9_9hNkl5eUM/edit#gid=337099760", "https://docs.google.com/spreadsheets/d/1seQ8Q2lgahejUcg1ms0TBMrSh-N2lShY9_9hNkl5eUM/edit#gid=337099760")</f>
        <v>https://docs.google.com/spreadsheets/d/1seQ8Q2lgahejUcg1ms0TBMrSh-N2lShY9_9hNkl5eUM/edit#gid=337099760</v>
      </c>
      <c r="H604" s="32" t="s">
        <v>273</v>
      </c>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15"/>
      <c r="C605" s="21"/>
      <c r="D605" s="15"/>
      <c r="E605" s="32" t="s">
        <v>172</v>
      </c>
      <c r="F605" s="32" t="s">
        <v>271</v>
      </c>
      <c r="G605" s="70" t="str">
        <f>HYPERLINK("https://docs.google.com/spreadsheets/d/1seQ8Q2lgahejUcg1ms0TBMrSh-N2lShY9_9hNkl5eUM/edit#gid=1918499261", "https://docs.google.com/spreadsheets/d/1seQ8Q2lgahejUcg1ms0TBMrSh-N2lShY9_9hNkl5eUM/edit#gid=1918499261")</f>
        <v>https://docs.google.com/spreadsheets/d/1seQ8Q2lgahejUcg1ms0TBMrSh-N2lShY9_9hNkl5eUM/edit#gid=1918499261</v>
      </c>
      <c r="H605" s="32" t="s">
        <v>274</v>
      </c>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15"/>
      <c r="C606" s="21"/>
      <c r="D606" s="15"/>
      <c r="E606" s="32" t="s">
        <v>172</v>
      </c>
      <c r="F606" s="32" t="s">
        <v>185</v>
      </c>
      <c r="G606" s="70" t="str">
        <f>HYPERLINK("https://docs.google.com/spreadsheets/d/1seQ8Q2lgahejUcg1ms0TBMrSh-N2lShY9_9hNkl5eUM/edit#gid=728697946", "https://docs.google.com/spreadsheets/d/1seQ8Q2lgahejUcg1ms0TBMrSh-N2lShY9_9hNkl5eUM/edit#gid=728697946")</f>
        <v>https://docs.google.com/spreadsheets/d/1seQ8Q2lgahejUcg1ms0TBMrSh-N2lShY9_9hNkl5eUM/edit#gid=728697946</v>
      </c>
      <c r="H606" s="32" t="s">
        <v>275</v>
      </c>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15"/>
      <c r="C607" s="21"/>
      <c r="D607" s="15"/>
      <c r="E607" s="32" t="s">
        <v>172</v>
      </c>
      <c r="F607" s="32" t="s">
        <v>271</v>
      </c>
      <c r="G607" s="70" t="str">
        <f>HYPERLINK("https://docs.google.com/spreadsheets/d/1seQ8Q2lgahejUcg1ms0TBMrSh-N2lShY9_9hNkl5eUM/edit#gid=365209124", "https://docs.google.com/spreadsheets/d/1seQ8Q2lgahejUcg1ms0TBMrSh-N2lShY9_9hNkl5eUM/edit#gid=365209124")</f>
        <v>https://docs.google.com/spreadsheets/d/1seQ8Q2lgahejUcg1ms0TBMrSh-N2lShY9_9hNkl5eUM/edit#gid=365209124</v>
      </c>
      <c r="H607" s="32" t="s">
        <v>276</v>
      </c>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15"/>
      <c r="C608" s="21"/>
      <c r="D608" s="15"/>
      <c r="E608" s="32" t="s">
        <v>172</v>
      </c>
      <c r="F608" s="32" t="s">
        <v>185</v>
      </c>
      <c r="G608" s="70" t="str">
        <f>HYPERLINK("https://docs.google.com/spreadsheets/d/1seQ8Q2lgahejUcg1ms0TBMrSh-N2lShY9_9hNkl5eUM/edit#gid=1180949367", "https://docs.google.com/spreadsheets/d/1seQ8Q2lgahejUcg1ms0TBMrSh-N2lShY9_9hNkl5eUM/edit#gid=1180949367")</f>
        <v>https://docs.google.com/spreadsheets/d/1seQ8Q2lgahejUcg1ms0TBMrSh-N2lShY9_9hNkl5eUM/edit#gid=1180949367</v>
      </c>
      <c r="H608" s="32" t="s">
        <v>277</v>
      </c>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15"/>
      <c r="C609" s="21"/>
      <c r="D609" s="15"/>
      <c r="E609" s="32" t="s">
        <v>172</v>
      </c>
      <c r="F609" s="32" t="s">
        <v>271</v>
      </c>
      <c r="G609" s="70" t="str">
        <f>HYPERLINK("https://docs.google.com/spreadsheets/d/1seQ8Q2lgahejUcg1ms0TBMrSh-N2lShY9_9hNkl5eUM/edit#gid=1132526188", "https://docs.google.com/spreadsheets/d/1seQ8Q2lgahejUcg1ms0TBMrSh-N2lShY9_9hNkl5eUM/edit#gid=1132526188")</f>
        <v>https://docs.google.com/spreadsheets/d/1seQ8Q2lgahejUcg1ms0TBMrSh-N2lShY9_9hNkl5eUM/edit#gid=1132526188</v>
      </c>
      <c r="H609" s="32" t="s">
        <v>278</v>
      </c>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15"/>
      <c r="C610" s="21"/>
      <c r="D610" s="15"/>
      <c r="E610" s="32" t="s">
        <v>172</v>
      </c>
      <c r="F610" s="32" t="s">
        <v>185</v>
      </c>
      <c r="G610" s="70" t="str">
        <f>HYPERLINK("https://docs.google.com/spreadsheets/d/1seQ8Q2lgahejUcg1ms0TBMrSh-N2lShY9_9hNkl5eUM/edit#gid=1596727651", "https://docs.google.com/spreadsheets/d/1seQ8Q2lgahejUcg1ms0TBMrSh-N2lShY9_9hNkl5eUM/edit#gid=1596727651")</f>
        <v>https://docs.google.com/spreadsheets/d/1seQ8Q2lgahejUcg1ms0TBMrSh-N2lShY9_9hNkl5eUM/edit#gid=1596727651</v>
      </c>
      <c r="H610" s="32" t="s">
        <v>279</v>
      </c>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15"/>
      <c r="C611" s="21"/>
      <c r="D611" s="15"/>
      <c r="E611" s="32" t="s">
        <v>172</v>
      </c>
      <c r="F611" s="32" t="s">
        <v>271</v>
      </c>
      <c r="G611" s="70" t="str">
        <f>HYPERLINK("https://docs.google.com/spreadsheets/d/1seQ8Q2lgahejUcg1ms0TBMrSh-N2lShY9_9hNkl5eUM/edit#gid=391967535", "https://docs.google.com/spreadsheets/d/1seQ8Q2lgahejUcg1ms0TBMrSh-N2lShY9_9hNkl5eUM/edit#gid=391967535")</f>
        <v>https://docs.google.com/spreadsheets/d/1seQ8Q2lgahejUcg1ms0TBMrSh-N2lShY9_9hNkl5eUM/edit#gid=391967535</v>
      </c>
      <c r="H611" s="32" t="s">
        <v>280</v>
      </c>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15"/>
      <c r="C612" s="21"/>
      <c r="D612" s="15"/>
      <c r="E612" s="32" t="s">
        <v>172</v>
      </c>
      <c r="F612" s="32" t="s">
        <v>185</v>
      </c>
      <c r="G612" s="70" t="str">
        <f>HYPERLINK("https://docs.google.com/spreadsheets/d/1seQ8Q2lgahejUcg1ms0TBMrSh-N2lShY9_9hNkl5eUM/edit#gid=1025666524", "https://docs.google.com/spreadsheets/d/1seQ8Q2lgahejUcg1ms0TBMrSh-N2lShY9_9hNkl5eUM/edit#gid=1025666524")</f>
        <v>https://docs.google.com/spreadsheets/d/1seQ8Q2lgahejUcg1ms0TBMrSh-N2lShY9_9hNkl5eUM/edit#gid=1025666524</v>
      </c>
      <c r="H612" s="32" t="s">
        <v>281</v>
      </c>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15"/>
      <c r="C613" s="21"/>
      <c r="D613" s="15"/>
      <c r="E613" s="32" t="s">
        <v>172</v>
      </c>
      <c r="F613" s="32" t="s">
        <v>271</v>
      </c>
      <c r="G613" s="70" t="str">
        <f>HYPERLINK("https://docs.google.com/spreadsheets/d/1seQ8Q2lgahejUcg1ms0TBMrSh-N2lShY9_9hNkl5eUM/edit#gid=1177066329", "https://docs.google.com/spreadsheets/d/1seQ8Q2lgahejUcg1ms0TBMrSh-N2lShY9_9hNkl5eUM/edit#gid=1177066329")</f>
        <v>https://docs.google.com/spreadsheets/d/1seQ8Q2lgahejUcg1ms0TBMrSh-N2lShY9_9hNkl5eUM/edit#gid=1177066329</v>
      </c>
      <c r="H613" s="32" t="s">
        <v>282</v>
      </c>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15"/>
      <c r="C614" s="21"/>
      <c r="D614" s="15"/>
      <c r="E614" s="32" t="s">
        <v>172</v>
      </c>
      <c r="F614" s="32" t="s">
        <v>185</v>
      </c>
      <c r="G614" s="70" t="str">
        <f>HYPERLINK("https://docs.google.com/spreadsheets/d/1seQ8Q2lgahejUcg1ms0TBMrSh-N2lShY9_9hNkl5eUM/edit#gid=5681409", "https://docs.google.com/spreadsheets/d/1seQ8Q2lgahejUcg1ms0TBMrSh-N2lShY9_9hNkl5eUM/edit#gid=5681409")</f>
        <v>https://docs.google.com/spreadsheets/d/1seQ8Q2lgahejUcg1ms0TBMrSh-N2lShY9_9hNkl5eUM/edit#gid=5681409</v>
      </c>
      <c r="H614" s="32" t="s">
        <v>283</v>
      </c>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15"/>
      <c r="C615" s="21"/>
      <c r="D615" s="15"/>
      <c r="E615" s="32" t="s">
        <v>86</v>
      </c>
      <c r="F615" s="32" t="s">
        <v>90</v>
      </c>
      <c r="G615" s="70" t="str">
        <f>HYPERLINK("https://docs.google.com/spreadsheets/d/1seQ8Q2lgahejUcg1ms0TBMrSh-N2lShY9_9hNkl5eUM/edit#gid=1239619713", "https://docs.google.com/spreadsheets/d/1seQ8Q2lgahejUcg1ms0TBMrSh-N2lShY9_9hNkl5eUM/edit#gid=1239619713")</f>
        <v>https://docs.google.com/spreadsheets/d/1seQ8Q2lgahejUcg1ms0TBMrSh-N2lShY9_9hNkl5eUM/edit#gid=1239619713</v>
      </c>
      <c r="H615" s="32" t="s">
        <v>90</v>
      </c>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15"/>
      <c r="C616" s="21"/>
      <c r="D616" s="15"/>
      <c r="E616" s="32" t="s">
        <v>86</v>
      </c>
      <c r="F616" s="32" t="s">
        <v>92</v>
      </c>
      <c r="G616" s="70" t="str">
        <f>HYPERLINK("https://docs.google.com/spreadsheets/d/1seQ8Q2lgahejUcg1ms0TBMrSh-N2lShY9_9hNkl5eUM/edit#gid=421353617", "https://docs.google.com/spreadsheets/d/1seQ8Q2lgahejUcg1ms0TBMrSh-N2lShY9_9hNkl5eUM/edit#gid=421353617")</f>
        <v>https://docs.google.com/spreadsheets/d/1seQ8Q2lgahejUcg1ms0TBMrSh-N2lShY9_9hNkl5eUM/edit#gid=421353617</v>
      </c>
      <c r="H616" s="32" t="s">
        <v>92</v>
      </c>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B617" s="15"/>
      <c r="C617" s="21"/>
      <c r="D617" s="15"/>
      <c r="E617" s="32" t="s">
        <v>86</v>
      </c>
      <c r="F617" s="32" t="s">
        <v>175</v>
      </c>
      <c r="G617" s="70" t="str">
        <f>HYPERLINK("https://docs.google.com/spreadsheets/d/1seQ8Q2lgahejUcg1ms0TBMrSh-N2lShY9_9hNkl5eUM/edit#gid=1111744776", "https://docs.google.com/spreadsheets/d/1seQ8Q2lgahejUcg1ms0TBMrSh-N2lShY9_9hNkl5eUM/edit#gid=1111744776")</f>
        <v>https://docs.google.com/spreadsheets/d/1seQ8Q2lgahejUcg1ms0TBMrSh-N2lShY9_9hNkl5eUM/edit#gid=1111744776</v>
      </c>
      <c r="H617" s="32" t="s">
        <v>175</v>
      </c>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15"/>
      <c r="C618" s="21"/>
      <c r="D618" s="15"/>
      <c r="E618" s="32" t="s">
        <v>86</v>
      </c>
      <c r="F618" s="32" t="s">
        <v>94</v>
      </c>
      <c r="G618" s="70" t="str">
        <f>HYPERLINK("https://docs.google.com/spreadsheets/d/1seQ8Q2lgahejUcg1ms0TBMrSh-N2lShY9_9hNkl5eUM/edit#gid=271611018", "https://docs.google.com/spreadsheets/d/1seQ8Q2lgahejUcg1ms0TBMrSh-N2lShY9_9hNkl5eUM/edit#gid=271611018")</f>
        <v>https://docs.google.com/spreadsheets/d/1seQ8Q2lgahejUcg1ms0TBMrSh-N2lShY9_9hNkl5eUM/edit#gid=271611018</v>
      </c>
      <c r="H618" s="32" t="s">
        <v>94</v>
      </c>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15"/>
      <c r="C619" s="21"/>
      <c r="D619" s="15"/>
      <c r="E619" s="32" t="s">
        <v>88</v>
      </c>
      <c r="F619" s="32" t="s">
        <v>95</v>
      </c>
      <c r="G619" s="70" t="str">
        <f>HYPERLINK("https://docs.google.com/spreadsheets/d/1seQ8Q2lgahejUcg1ms0TBMrSh-N2lShY9_9hNkl5eUM/edit#gid=512711733", "https://docs.google.com/spreadsheets/d/1seQ8Q2lgahejUcg1ms0TBMrSh-N2lShY9_9hNkl5eUM/edit#gid=512711733")</f>
        <v>https://docs.google.com/spreadsheets/d/1seQ8Q2lgahejUcg1ms0TBMrSh-N2lShY9_9hNkl5eUM/edit#gid=512711733</v>
      </c>
      <c r="H619" s="32" t="s">
        <v>95</v>
      </c>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15"/>
      <c r="C620" s="21"/>
      <c r="D620" s="15"/>
      <c r="E620" s="32" t="s">
        <v>88</v>
      </c>
      <c r="F620" s="32" t="s">
        <v>96</v>
      </c>
      <c r="G620" s="70" t="str">
        <f>HYPERLINK("https://docs.google.com/spreadsheets/d/1seQ8Q2lgahejUcg1ms0TBMrSh-N2lShY9_9hNkl5eUM/edit#gid=461581819", "https://docs.google.com/spreadsheets/d/1seQ8Q2lgahejUcg1ms0TBMrSh-N2lShY9_9hNkl5eUM/edit#gid=461581819")</f>
        <v>https://docs.google.com/spreadsheets/d/1seQ8Q2lgahejUcg1ms0TBMrSh-N2lShY9_9hNkl5eUM/edit#gid=461581819</v>
      </c>
      <c r="H620" s="32" t="s">
        <v>96</v>
      </c>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15"/>
      <c r="C621" s="21"/>
      <c r="D621" s="15"/>
      <c r="E621" s="32" t="s">
        <v>178</v>
      </c>
      <c r="F621" s="32" t="s">
        <v>179</v>
      </c>
      <c r="G621" s="70" t="str">
        <f>HYPERLINK("https://docs.google.com/spreadsheets/d/1seQ8Q2lgahejUcg1ms0TBMrSh-N2lShY9_9hNkl5eUM/edit#gid=1734185128", "https://docs.google.com/spreadsheets/d/1seQ8Q2lgahejUcg1ms0TBMrSh-N2lShY9_9hNkl5eUM/edit#gid=1734185128")</f>
        <v>https://docs.google.com/spreadsheets/d/1seQ8Q2lgahejUcg1ms0TBMrSh-N2lShY9_9hNkl5eUM/edit#gid=1734185128</v>
      </c>
      <c r="H621" s="32" t="s">
        <v>179</v>
      </c>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15"/>
      <c r="C622" s="21"/>
      <c r="D622" s="15"/>
      <c r="E622" s="32" t="s">
        <v>178</v>
      </c>
      <c r="F622" s="32" t="s">
        <v>180</v>
      </c>
      <c r="G622" s="70" t="str">
        <f>HYPERLINK("https://docs.google.com/spreadsheets/d/1seQ8Q2lgahejUcg1ms0TBMrSh-N2lShY9_9hNkl5eUM/edit#gid=1728096149", "https://docs.google.com/spreadsheets/d/1seQ8Q2lgahejUcg1ms0TBMrSh-N2lShY9_9hNkl5eUM/edit#gid=1728096149")</f>
        <v>https://docs.google.com/spreadsheets/d/1seQ8Q2lgahejUcg1ms0TBMrSh-N2lShY9_9hNkl5eUM/edit#gid=1728096149</v>
      </c>
      <c r="H622" s="32" t="s">
        <v>180</v>
      </c>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15"/>
      <c r="C623" s="21"/>
      <c r="D623" s="15"/>
      <c r="E623" s="32" t="s">
        <v>178</v>
      </c>
      <c r="F623" s="32" t="s">
        <v>181</v>
      </c>
      <c r="G623" s="70" t="str">
        <f>HYPERLINK("https://docs.google.com/spreadsheets/d/1seQ8Q2lgahejUcg1ms0TBMrSh-N2lShY9_9hNkl5eUM/edit#gid=986037739", "https://docs.google.com/spreadsheets/d/1seQ8Q2lgahejUcg1ms0TBMrSh-N2lShY9_9hNkl5eUM/edit#gid=986037739")</f>
        <v>https://docs.google.com/spreadsheets/d/1seQ8Q2lgahejUcg1ms0TBMrSh-N2lShY9_9hNkl5eUM/edit#gid=986037739</v>
      </c>
      <c r="H623" s="32" t="s">
        <v>181</v>
      </c>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15"/>
      <c r="C624" s="21"/>
      <c r="D624" s="15"/>
      <c r="E624" s="32" t="s">
        <v>178</v>
      </c>
      <c r="F624" s="32" t="s">
        <v>208</v>
      </c>
      <c r="G624" s="70" t="str">
        <f>HYPERLINK("https://docs.google.com/spreadsheets/d/1seQ8Q2lgahejUcg1ms0TBMrSh-N2lShY9_9hNkl5eUM/edit#gid=1115637169", "https://docs.google.com/spreadsheets/d/1seQ8Q2lgahejUcg1ms0TBMrSh-N2lShY9_9hNkl5eUM/edit#gid=1115637169")</f>
        <v>https://docs.google.com/spreadsheets/d/1seQ8Q2lgahejUcg1ms0TBMrSh-N2lShY9_9hNkl5eUM/edit#gid=1115637169</v>
      </c>
      <c r="H624" s="32" t="s">
        <v>208</v>
      </c>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15"/>
      <c r="C625" s="21"/>
      <c r="D625" s="15"/>
      <c r="E625" s="32" t="s">
        <v>178</v>
      </c>
      <c r="F625" s="32" t="s">
        <v>182</v>
      </c>
      <c r="G625" s="70" t="str">
        <f>HYPERLINK("https://docs.google.com/spreadsheets/d/1seQ8Q2lgahejUcg1ms0TBMrSh-N2lShY9_9hNkl5eUM/edit#gid=1413526293", "https://docs.google.com/spreadsheets/d/1seQ8Q2lgahejUcg1ms0TBMrSh-N2lShY9_9hNkl5eUM/edit#gid=1413526293")</f>
        <v>https://docs.google.com/spreadsheets/d/1seQ8Q2lgahejUcg1ms0TBMrSh-N2lShY9_9hNkl5eUM/edit#gid=1413526293</v>
      </c>
      <c r="H625" s="32" t="s">
        <v>182</v>
      </c>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15"/>
      <c r="C626" s="21"/>
      <c r="D626" s="15"/>
      <c r="E626" s="15"/>
      <c r="F626" s="15"/>
      <c r="G626" s="15"/>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15"/>
      <c r="C627" s="21"/>
      <c r="D627" s="15"/>
      <c r="E627" s="15"/>
      <c r="F627" s="15"/>
      <c r="G627" s="15"/>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15"/>
      <c r="C628" s="21"/>
      <c r="D628" s="15"/>
      <c r="E628" s="15"/>
      <c r="F628" s="15"/>
      <c r="G628" s="15"/>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15"/>
      <c r="C629" s="21"/>
      <c r="D629" s="15"/>
      <c r="E629" s="15"/>
      <c r="F629" s="15"/>
      <c r="G629" s="15"/>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15"/>
      <c r="C630" s="21"/>
      <c r="D630" s="15"/>
      <c r="E630" s="15"/>
      <c r="F630" s="15"/>
      <c r="G630" s="15"/>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15"/>
      <c r="C631" s="21"/>
      <c r="D631" s="15"/>
      <c r="E631" s="15"/>
      <c r="F631" s="15"/>
      <c r="G631" s="15"/>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15"/>
      <c r="C632" s="21"/>
      <c r="D632" s="15"/>
      <c r="E632" s="32" t="s">
        <v>88</v>
      </c>
      <c r="F632" s="32" t="s">
        <v>245</v>
      </c>
      <c r="G632" s="70" t="str">
        <f>HYPERLINK("https://docs.google.com/spreadsheets/d/1SKDJEY-izg-oz0IdwgU6IjpjeWnhrUDNeTgiyDAOc6w/edit#gid=1804286419", "https://docs.google.com/spreadsheets/d/1SKDJEY-izg-oz0IdwgU6IjpjeWnhrUDNeTgiyDAOc6w/edit#gid=1804286419")</f>
        <v>https://docs.google.com/spreadsheets/d/1SKDJEY-izg-oz0IdwgU6IjpjeWnhrUDNeTgiyDAOc6w/edit#gid=1804286419</v>
      </c>
      <c r="H632" s="32" t="s">
        <v>245</v>
      </c>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15"/>
      <c r="C633" s="21"/>
      <c r="D633" s="15"/>
      <c r="E633" s="15"/>
      <c r="F633" s="15"/>
      <c r="G633" s="15"/>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75"/>
      <c r="C634" s="76"/>
      <c r="D634" s="76"/>
      <c r="E634" s="9"/>
      <c r="F634" s="9"/>
      <c r="G634" s="42"/>
      <c r="H634" s="9"/>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9"/>
      <c r="C635" s="77"/>
      <c r="D635" s="77"/>
      <c r="E635" s="9"/>
      <c r="F635" s="9"/>
      <c r="G635" s="42"/>
      <c r="H635" s="9"/>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8" t="s">
        <v>299</v>
      </c>
      <c r="C636" s="77"/>
      <c r="D636" s="53" t="s">
        <v>20</v>
      </c>
      <c r="E636" s="8" t="s">
        <v>21</v>
      </c>
      <c r="F636" s="8" t="s">
        <v>51</v>
      </c>
      <c r="G636" s="29" t="str">
        <f>HYPERLINK("https://docs.google.com/spreadsheets/d/10rXxAxdim73paQw0fwVSou6wsIsOmz7Hc2eRj0A-Npc/edit#gid=634357640", "https://docs.google.com/spreadsheets/d/10rXxAxdim73paQw0fwVSou6wsIsOmz7Hc2eRj0A-Npc/edit#gid=634357640")</f>
        <v>https://docs.google.com/spreadsheets/d/10rXxAxdim73paQw0fwVSou6wsIsOmz7Hc2eRj0A-Npc/edit#gid=634357640</v>
      </c>
      <c r="H636" s="8" t="s">
        <v>51</v>
      </c>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9"/>
      <c r="C637" s="77"/>
      <c r="D637" s="55"/>
      <c r="E637" s="8" t="s">
        <v>172</v>
      </c>
      <c r="F637" s="8" t="s">
        <v>173</v>
      </c>
      <c r="G637" s="29" t="str">
        <f>HYPERLINK("https://docs.google.com/spreadsheets/d/10rXxAxdim73paQw0fwVSou6wsIsOmz7Hc2eRj0A-Npc/edit#gid=768214651", "https://docs.google.com/spreadsheets/d/10rXxAxdim73paQw0fwVSou6wsIsOmz7Hc2eRj0A-Npc/edit#gid=768214651")</f>
        <v>https://docs.google.com/spreadsheets/d/10rXxAxdim73paQw0fwVSou6wsIsOmz7Hc2eRj0A-Npc/edit#gid=768214651</v>
      </c>
      <c r="H637" s="8" t="s">
        <v>173</v>
      </c>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9"/>
      <c r="C638" s="77"/>
      <c r="D638" s="55"/>
      <c r="E638" s="8" t="s">
        <v>172</v>
      </c>
      <c r="F638" s="8" t="s">
        <v>174</v>
      </c>
      <c r="G638" s="29" t="str">
        <f>HYPERLINK("https://docs.google.com/spreadsheets/d/10rXxAxdim73paQw0fwVSou6wsIsOmz7Hc2eRj0A-Npc/edit#gid=517873883", "https://docs.google.com/spreadsheets/d/10rXxAxdim73paQw0fwVSou6wsIsOmz7Hc2eRj0A-Npc/edit#gid=517873883")</f>
        <v>https://docs.google.com/spreadsheets/d/10rXxAxdim73paQw0fwVSou6wsIsOmz7Hc2eRj0A-Npc/edit#gid=517873883</v>
      </c>
      <c r="H638" s="8" t="s">
        <v>174</v>
      </c>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9"/>
      <c r="C639" s="77"/>
      <c r="D639" s="55"/>
      <c r="E639" s="28" t="s">
        <v>86</v>
      </c>
      <c r="F639" s="8" t="s">
        <v>90</v>
      </c>
      <c r="G639" s="29" t="str">
        <f>HYPERLINK("https://docs.google.com/spreadsheets/d/10rXxAxdim73paQw0fwVSou6wsIsOmz7Hc2eRj0A-Npc/edit#gid=1294594748", "https://docs.google.com/spreadsheets/d/10rXxAxdim73paQw0fwVSou6wsIsOmz7Hc2eRj0A-Npc/edit#gid=1294594748")</f>
        <v>https://docs.google.com/spreadsheets/d/10rXxAxdim73paQw0fwVSou6wsIsOmz7Hc2eRj0A-Npc/edit#gid=1294594748</v>
      </c>
      <c r="H639" s="8" t="s">
        <v>90</v>
      </c>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9"/>
      <c r="C640" s="77"/>
      <c r="D640" s="55"/>
      <c r="E640" s="28" t="s">
        <v>86</v>
      </c>
      <c r="F640" s="38" t="s">
        <v>92</v>
      </c>
      <c r="G640" s="29" t="str">
        <f>HYPERLINK("https://docs.google.com/spreadsheets/d/10rXxAxdim73paQw0fwVSou6wsIsOmz7Hc2eRj0A-Npc/edit#gid=878306630", "https://docs.google.com/spreadsheets/d/10rXxAxdim73paQw0fwVSou6wsIsOmz7Hc2eRj0A-Npc/edit#gid=878306630")</f>
        <v>https://docs.google.com/spreadsheets/d/10rXxAxdim73paQw0fwVSou6wsIsOmz7Hc2eRj0A-Npc/edit#gid=878306630</v>
      </c>
      <c r="H640" s="38" t="s">
        <v>92</v>
      </c>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9"/>
      <c r="C641" s="9"/>
      <c r="D641" s="55"/>
      <c r="E641" s="28" t="s">
        <v>86</v>
      </c>
      <c r="F641" s="28" t="s">
        <v>175</v>
      </c>
      <c r="G641" s="29" t="str">
        <f>HYPERLINK("https://docs.google.com/spreadsheets/d/10rXxAxdim73paQw0fwVSou6wsIsOmz7Hc2eRj0A-Npc/edit#gid=1002913816", "https://docs.google.com/spreadsheets/d/10rXxAxdim73paQw0fwVSou6wsIsOmz7Hc2eRj0A-Npc/edit#gid=1002913816")</f>
        <v>https://docs.google.com/spreadsheets/d/10rXxAxdim73paQw0fwVSou6wsIsOmz7Hc2eRj0A-Npc/edit#gid=1002913816</v>
      </c>
      <c r="H641" s="38" t="s">
        <v>175</v>
      </c>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78"/>
      <c r="C642" s="77"/>
      <c r="D642" s="55"/>
      <c r="E642" s="8" t="s">
        <v>86</v>
      </c>
      <c r="F642" s="58" t="s">
        <v>94</v>
      </c>
      <c r="G642" s="29" t="str">
        <f>HYPERLINK("https://docs.google.com/spreadsheets/d/10rXxAxdim73paQw0fwVSou6wsIsOmz7Hc2eRj0A-Npc/edit#gid=1326158163", "https://docs.google.com/spreadsheets/d/10rXxAxdim73paQw0fwVSou6wsIsOmz7Hc2eRj0A-Npc/edit#gid=1326158163")</f>
        <v>https://docs.google.com/spreadsheets/d/10rXxAxdim73paQw0fwVSou6wsIsOmz7Hc2eRj0A-Npc/edit#gid=1326158163</v>
      </c>
      <c r="H642" s="58" t="s">
        <v>94</v>
      </c>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78"/>
      <c r="C643" s="77"/>
      <c r="D643" s="31"/>
      <c r="E643" s="28" t="s">
        <v>88</v>
      </c>
      <c r="F643" s="8" t="s">
        <v>95</v>
      </c>
      <c r="G643" s="60" t="str">
        <f>HYPERLINK("https://docs.google.com/spreadsheets/d/10rXxAxdim73paQw0fwVSou6wsIsOmz7Hc2eRj0A-Npc/edit#gid=988318492", "https://docs.google.com/spreadsheets/d/10rXxAxdim73paQw0fwVSou6wsIsOmz7Hc2eRj0A-Npc/edit#gid=988318492")</f>
        <v>https://docs.google.com/spreadsheets/d/10rXxAxdim73paQw0fwVSou6wsIsOmz7Hc2eRj0A-Npc/edit#gid=988318492</v>
      </c>
      <c r="H643" s="8" t="s">
        <v>95</v>
      </c>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78"/>
      <c r="C644" s="77"/>
      <c r="D644" s="55"/>
      <c r="E644" s="8" t="s">
        <v>88</v>
      </c>
      <c r="F644" s="8" t="s">
        <v>96</v>
      </c>
      <c r="G644" s="34" t="str">
        <f>HYPERLINK("https://docs.google.com/spreadsheets/d/10rXxAxdim73paQw0fwVSou6wsIsOmz7Hc2eRj0A-Npc/edit#gid=1493690700", "https://docs.google.com/spreadsheets/d/10rXxAxdim73paQw0fwVSou6wsIsOmz7Hc2eRj0A-Npc/edit#gid=1493690700")</f>
        <v>https://docs.google.com/spreadsheets/d/10rXxAxdim73paQw0fwVSou6wsIsOmz7Hc2eRj0A-Npc/edit#gid=1493690700</v>
      </c>
      <c r="H644" s="8" t="s">
        <v>96</v>
      </c>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78"/>
      <c r="C645" s="77"/>
      <c r="D645" s="55"/>
      <c r="E645" s="8" t="s">
        <v>178</v>
      </c>
      <c r="F645" s="8" t="s">
        <v>179</v>
      </c>
      <c r="G645" s="34" t="str">
        <f>HYPERLINK("https://docs.google.com/spreadsheets/d/10rXxAxdim73paQw0fwVSou6wsIsOmz7Hc2eRj0A-Npc/edit#gid=914796056", "https://docs.google.com/spreadsheets/d/10rXxAxdim73paQw0fwVSou6wsIsOmz7Hc2eRj0A-Npc/edit#gid=914796056")</f>
        <v>https://docs.google.com/spreadsheets/d/10rXxAxdim73paQw0fwVSou6wsIsOmz7Hc2eRj0A-Npc/edit#gid=914796056</v>
      </c>
      <c r="H645" s="8" t="s">
        <v>179</v>
      </c>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78"/>
      <c r="C646" s="77"/>
      <c r="D646" s="55"/>
      <c r="E646" s="8" t="s">
        <v>178</v>
      </c>
      <c r="F646" s="8" t="s">
        <v>180</v>
      </c>
      <c r="G646" s="34" t="str">
        <f>HYPERLINK("https://docs.google.com/spreadsheets/d/10rXxAxdim73paQw0fwVSou6wsIsOmz7Hc2eRj0A-Npc/edit#gid=673170004", "https://docs.google.com/spreadsheets/d/10rXxAxdim73paQw0fwVSou6wsIsOmz7Hc2eRj0A-Npc/edit#gid=673170004")</f>
        <v>https://docs.google.com/spreadsheets/d/10rXxAxdim73paQw0fwVSou6wsIsOmz7Hc2eRj0A-Npc/edit#gid=673170004</v>
      </c>
      <c r="H646" s="8" t="s">
        <v>180</v>
      </c>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78"/>
      <c r="C647" s="77"/>
      <c r="D647" s="55"/>
      <c r="E647" s="28" t="s">
        <v>178</v>
      </c>
      <c r="F647" s="8" t="s">
        <v>181</v>
      </c>
      <c r="G647" s="34" t="str">
        <f>HYPERLINK("https://docs.google.com/spreadsheets/d/10rXxAxdim73paQw0fwVSou6wsIsOmz7Hc2eRj0A-Npc/edit#gid=1163096971", "https://docs.google.com/spreadsheets/d/10rXxAxdim73paQw0fwVSou6wsIsOmz7Hc2eRj0A-Npc/edit#gid=1163096971")</f>
        <v>https://docs.google.com/spreadsheets/d/10rXxAxdim73paQw0fwVSou6wsIsOmz7Hc2eRj0A-Npc/edit#gid=1163096971</v>
      </c>
      <c r="H647" s="8" t="s">
        <v>181</v>
      </c>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15"/>
      <c r="C648" s="21"/>
      <c r="D648" s="55"/>
      <c r="E648" s="28" t="s">
        <v>178</v>
      </c>
      <c r="F648" s="38" t="s">
        <v>208</v>
      </c>
      <c r="G648" s="34" t="str">
        <f>HYPERLINK("https://docs.google.com/spreadsheets/d/1_NVn4cvtuDkteH-TgYzPsfvzGShXFidm-urlO5CJf2U/edit#gid=1271681107", "https://docs.google.com/spreadsheets/d/1_NVn4cvtuDkteH-TgYzPsfvzGShXFidm-urlO5CJf2U/edit#gid=1271681107")</f>
        <v>https://docs.google.com/spreadsheets/d/1_NVn4cvtuDkteH-TgYzPsfvzGShXFidm-urlO5CJf2U/edit#gid=1271681107</v>
      </c>
      <c r="H648" s="38" t="s">
        <v>208</v>
      </c>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15"/>
      <c r="C649" s="21"/>
      <c r="D649" s="55"/>
      <c r="E649" s="28" t="s">
        <v>178</v>
      </c>
      <c r="F649" s="38" t="s">
        <v>182</v>
      </c>
      <c r="G649" s="34" t="str">
        <f>HYPERLINK("https://docs.google.com/spreadsheets/d/10rXxAxdim73paQw0fwVSou6wsIsOmz7Hc2eRj0A-Npc/edit#gid=465559120", "https://docs.google.com/spreadsheets/d/10rXxAxdim73paQw0fwVSou6wsIsOmz7Hc2eRj0A-Npc/edit#gid=465559120")</f>
        <v>https://docs.google.com/spreadsheets/d/10rXxAxdim73paQw0fwVSou6wsIsOmz7Hc2eRj0A-Npc/edit#gid=465559120</v>
      </c>
      <c r="H649" s="38" t="s">
        <v>182</v>
      </c>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75"/>
      <c r="C650" s="76"/>
      <c r="D650" s="76"/>
      <c r="E650" s="9"/>
      <c r="F650" s="9"/>
      <c r="G650" s="42"/>
      <c r="H650" s="9"/>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78"/>
      <c r="C651" s="9"/>
      <c r="D651" s="9"/>
      <c r="E651" s="9"/>
      <c r="F651" s="9"/>
      <c r="G651" s="42"/>
      <c r="H651" s="9"/>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78"/>
      <c r="C652" s="9"/>
      <c r="D652" s="9"/>
      <c r="E652" s="9"/>
      <c r="F652" s="9"/>
      <c r="G652" s="42"/>
      <c r="H652" s="9"/>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79" t="s">
        <v>300</v>
      </c>
      <c r="C653" s="9"/>
      <c r="D653" s="8" t="s">
        <v>20</v>
      </c>
      <c r="E653" s="8" t="s">
        <v>300</v>
      </c>
      <c r="F653" s="8" t="s">
        <v>300</v>
      </c>
      <c r="G653" s="42" t="str">
        <f>HYPERLINK("https://docs.google.com/spreadsheets/d/16Jp-tQ8lnII4TAlfKk8qETTuKu5BrFwaIjjUeJjILds/edit#gid=1637495037", "https://docs.google.com/spreadsheets/d/16Jp-tQ8lnII4TAlfKk8qETTuKu5BrFwaIjjUeJjILds/edit#gid=1637495037")</f>
        <v>https://docs.google.com/spreadsheets/d/16Jp-tQ8lnII4TAlfKk8qETTuKu5BrFwaIjjUeJjILds/edit#gid=1637495037</v>
      </c>
      <c r="H653" s="8" t="s">
        <v>300</v>
      </c>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78"/>
      <c r="C654" s="9"/>
      <c r="D654" s="9"/>
      <c r="E654" s="9"/>
      <c r="F654" s="9"/>
      <c r="G654" s="42"/>
      <c r="H654" s="9"/>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78"/>
      <c r="C655" s="9"/>
      <c r="D655" s="9"/>
      <c r="E655" s="9"/>
      <c r="F655" s="80"/>
      <c r="G655" s="42"/>
      <c r="H655" s="81"/>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78"/>
      <c r="C656" s="9"/>
      <c r="D656" s="9"/>
      <c r="E656" s="9"/>
      <c r="F656" s="9"/>
      <c r="G656" s="42"/>
      <c r="H656" s="80"/>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78"/>
      <c r="C657" s="9"/>
      <c r="D657" s="9"/>
      <c r="E657" s="9"/>
      <c r="F657" s="9"/>
      <c r="G657" s="42"/>
      <c r="H657" s="9"/>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78"/>
      <c r="C658" s="9"/>
      <c r="D658" s="9"/>
      <c r="E658" s="9"/>
      <c r="F658" s="82"/>
      <c r="G658" s="42"/>
      <c r="H658" s="82"/>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78"/>
      <c r="C659" s="9"/>
      <c r="D659" s="9"/>
      <c r="E659" s="9"/>
      <c r="F659" s="9"/>
      <c r="G659" s="42"/>
      <c r="H659" s="9"/>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78"/>
      <c r="C660" s="9"/>
      <c r="D660" s="9"/>
      <c r="E660" s="9"/>
      <c r="F660" s="9"/>
      <c r="G660" s="42"/>
      <c r="H660" s="9"/>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78"/>
      <c r="C661" s="9"/>
      <c r="D661" s="9"/>
      <c r="E661" s="9"/>
      <c r="F661" s="9"/>
      <c r="G661" s="42"/>
      <c r="H661" s="9"/>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78"/>
      <c r="C662" s="9"/>
      <c r="D662" s="9"/>
      <c r="E662" s="9"/>
      <c r="F662" s="9"/>
      <c r="G662" s="42"/>
      <c r="H662" s="9"/>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15"/>
      <c r="C663" s="21"/>
      <c r="D663" s="15"/>
      <c r="E663" s="15"/>
      <c r="F663" s="15"/>
      <c r="G663" s="15"/>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15"/>
      <c r="C664" s="21"/>
      <c r="D664" s="15"/>
      <c r="E664" s="15"/>
      <c r="F664" s="15"/>
      <c r="G664" s="15"/>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32" t="s">
        <v>301</v>
      </c>
      <c r="C665" s="66" t="s">
        <v>302</v>
      </c>
      <c r="D665" s="32" t="s">
        <v>20</v>
      </c>
      <c r="E665" s="32" t="s">
        <v>88</v>
      </c>
      <c r="F665" s="32" t="s">
        <v>239</v>
      </c>
      <c r="G665" s="70" t="str">
        <f>HYPERLINK("https://docs.google.com/spreadsheets/d/1P4NAwa4g_5ixgvcLFvWUlqNVuoPy-k-p-EFbyaINLCQ/edit#gid=1201932404", "https://docs.google.com/spreadsheets/d/1P4NAwa4g_5ixgvcLFvWUlqNVuoPy-k-p-EFbyaINLCQ/edit#gid=1201932404")</f>
        <v>https://docs.google.com/spreadsheets/d/1P4NAwa4g_5ixgvcLFvWUlqNVuoPy-k-p-EFbyaINLCQ/edit#gid=1201932404</v>
      </c>
      <c r="H665" s="32" t="s">
        <v>239</v>
      </c>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15"/>
      <c r="D666" s="15"/>
      <c r="E666" s="32" t="s">
        <v>147</v>
      </c>
      <c r="F666" s="32" t="s">
        <v>148</v>
      </c>
      <c r="G666" s="15"/>
      <c r="H666" s="36"/>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15"/>
      <c r="D667" s="15"/>
      <c r="E667" s="32" t="s">
        <v>21</v>
      </c>
      <c r="F667" s="32" t="s">
        <v>244</v>
      </c>
      <c r="G667" s="70" t="str">
        <f>HYPERLINK("https://docs.google.com/spreadsheets/d/1P4NAwa4g_5ixgvcLFvWUlqNVuoPy-k-p-EFbyaINLCQ/edit#gid=218314440", "https://docs.google.com/spreadsheets/d/1P4NAwa4g_5ixgvcLFvWUlqNVuoPy-k-p-EFbyaINLCQ/edit#gid=218314440")</f>
        <v>https://docs.google.com/spreadsheets/d/1P4NAwa4g_5ixgvcLFvWUlqNVuoPy-k-p-EFbyaINLCQ/edit#gid=218314440</v>
      </c>
      <c r="H667" s="32" t="s">
        <v>244</v>
      </c>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15"/>
      <c r="D668" s="15"/>
      <c r="E668" s="32" t="s">
        <v>21</v>
      </c>
      <c r="F668" s="32" t="s">
        <v>22</v>
      </c>
      <c r="G668" s="70" t="str">
        <f>HYPERLINK("https://docs.google.com/spreadsheets/d/1P4NAwa4g_5ixgvcLFvWUlqNVuoPy-k-p-EFbyaINLCQ/edit#gid=1139574790", "https://docs.google.com/spreadsheets/d/1P4NAwa4g_5ixgvcLFvWUlqNVuoPy-k-p-EFbyaINLCQ/edit#gid=1139574790")</f>
        <v>https://docs.google.com/spreadsheets/d/1P4NAwa4g_5ixgvcLFvWUlqNVuoPy-k-p-EFbyaINLCQ/edit#gid=1139574790</v>
      </c>
      <c r="H668" s="32" t="s">
        <v>22</v>
      </c>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15"/>
      <c r="D669" s="15"/>
      <c r="E669" s="32" t="s">
        <v>43</v>
      </c>
      <c r="F669" s="32" t="s">
        <v>79</v>
      </c>
      <c r="G669" s="70" t="str">
        <f>HYPERLINK("https://docs.google.com/spreadsheets/d/1P4NAwa4g_5ixgvcLFvWUlqNVuoPy-k-p-EFbyaINLCQ/edit#gid=1246841841", "https://docs.google.com/spreadsheets/d/1P4NAwa4g_5ixgvcLFvWUlqNVuoPy-k-p-EFbyaINLCQ/edit#gid=1246841841")</f>
        <v>https://docs.google.com/spreadsheets/d/1P4NAwa4g_5ixgvcLFvWUlqNVuoPy-k-p-EFbyaINLCQ/edit#gid=1246841841</v>
      </c>
      <c r="H669" s="32" t="s">
        <v>79</v>
      </c>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15"/>
      <c r="D670" s="15"/>
      <c r="E670" s="32" t="s">
        <v>43</v>
      </c>
      <c r="F670" s="32" t="s">
        <v>109</v>
      </c>
      <c r="G670" s="70" t="str">
        <f>HYPERLINK("https://docs.google.com/spreadsheets/d/1P4NAwa4g_5ixgvcLFvWUlqNVuoPy-k-p-EFbyaINLCQ/edit#gid=2071385457", "https://docs.google.com/spreadsheets/d/1P4NAwa4g_5ixgvcLFvWUlqNVuoPy-k-p-EFbyaINLCQ/edit#gid=2071385457")</f>
        <v>https://docs.google.com/spreadsheets/d/1P4NAwa4g_5ixgvcLFvWUlqNVuoPy-k-p-EFbyaINLCQ/edit#gid=2071385457</v>
      </c>
      <c r="H670" s="32" t="s">
        <v>109</v>
      </c>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15"/>
      <c r="D671" s="15"/>
      <c r="E671" s="32" t="s">
        <v>21</v>
      </c>
      <c r="F671" s="32" t="s">
        <v>110</v>
      </c>
      <c r="G671" s="70" t="str">
        <f>HYPERLINK("https://docs.google.com/spreadsheets/d/1P4NAwa4g_5ixgvcLFvWUlqNVuoPy-k-p-EFbyaINLCQ/edit#gid=669088482", "https://docs.google.com/spreadsheets/d/1P4NAwa4g_5ixgvcLFvWUlqNVuoPy-k-p-EFbyaINLCQ/edit#gid=669088482")</f>
        <v>https://docs.google.com/spreadsheets/d/1P4NAwa4g_5ixgvcLFvWUlqNVuoPy-k-p-EFbyaINLCQ/edit#gid=669088482</v>
      </c>
      <c r="H671" s="32" t="s">
        <v>110</v>
      </c>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32"/>
      <c r="D672" s="32"/>
      <c r="E672" s="32" t="s">
        <v>88</v>
      </c>
      <c r="F672" s="32" t="s">
        <v>95</v>
      </c>
      <c r="G672" s="70" t="str">
        <f>HYPERLINK("https://docs.google.com/spreadsheets/d/1P4NAwa4g_5ixgvcLFvWUlqNVuoPy-k-p-EFbyaINLCQ/edit#gid=51226232", "https://docs.google.com/spreadsheets/d/1P4NAwa4g_5ixgvcLFvWUlqNVuoPy-k-p-EFbyaINLCQ/edit#gid=51226232")</f>
        <v>https://docs.google.com/spreadsheets/d/1P4NAwa4g_5ixgvcLFvWUlqNVuoPy-k-p-EFbyaINLCQ/edit#gid=51226232</v>
      </c>
      <c r="H672" s="32" t="s">
        <v>95</v>
      </c>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15"/>
      <c r="D673" s="15"/>
      <c r="E673" s="32" t="s">
        <v>88</v>
      </c>
      <c r="F673" s="32" t="s">
        <v>96</v>
      </c>
      <c r="G673" s="70" t="str">
        <f>HYPERLINK("https://docs.google.com/spreadsheets/d/1P4NAwa4g_5ixgvcLFvWUlqNVuoPy-k-p-EFbyaINLCQ/edit#gid=945482593", "https://docs.google.com/spreadsheets/d/1P4NAwa4g_5ixgvcLFvWUlqNVuoPy-k-p-EFbyaINLCQ/edit#gid=945482593")</f>
        <v>https://docs.google.com/spreadsheets/d/1P4NAwa4g_5ixgvcLFvWUlqNVuoPy-k-p-EFbyaINLCQ/edit#gid=945482593</v>
      </c>
      <c r="H673" s="32" t="s">
        <v>96</v>
      </c>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15"/>
      <c r="C674" s="21"/>
      <c r="D674" s="15"/>
      <c r="E674" s="15"/>
      <c r="F674" s="15"/>
      <c r="G674" s="15"/>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15"/>
      <c r="C675" s="21"/>
      <c r="D675" s="15"/>
      <c r="E675" s="15"/>
      <c r="F675" s="15"/>
      <c r="G675" s="15"/>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15"/>
      <c r="C676" s="21"/>
      <c r="D676" s="15"/>
      <c r="E676" s="15"/>
      <c r="F676" s="15"/>
      <c r="G676" s="15"/>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15"/>
      <c r="C677" s="21"/>
      <c r="D677" s="15"/>
      <c r="E677" s="15"/>
      <c r="F677" s="15"/>
      <c r="G677" s="15"/>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15"/>
      <c r="C678" s="21"/>
      <c r="D678" s="15"/>
      <c r="E678" s="15"/>
      <c r="F678" s="15"/>
      <c r="G678" s="15"/>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15"/>
      <c r="C679" s="21"/>
      <c r="D679" s="15"/>
      <c r="E679" s="15"/>
      <c r="F679" s="15"/>
      <c r="G679" s="15"/>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15"/>
      <c r="C680" s="21"/>
      <c r="D680" s="15"/>
      <c r="E680" s="15"/>
      <c r="F680" s="15"/>
      <c r="G680" s="15"/>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32" t="s">
        <v>303</v>
      </c>
      <c r="C681" s="21"/>
      <c r="D681" s="53" t="s">
        <v>20</v>
      </c>
      <c r="E681" s="8" t="s">
        <v>21</v>
      </c>
      <c r="F681" s="8" t="s">
        <v>51</v>
      </c>
      <c r="G681" s="34" t="str">
        <f>HYPERLINK("https://docs.google.com/spreadsheets/d/1M0edpr6yMoDyvpinFNC9U7N1F05o61YesnqHrSna28c/edit#gid=1910805910", "https://docs.google.com/spreadsheets/d/1M0edpr6yMoDyvpinFNC9U7N1F05o61YesnqHrSna28c/edit#gid=1910805910")</f>
        <v>https://docs.google.com/spreadsheets/d/1M0edpr6yMoDyvpinFNC9U7N1F05o61YesnqHrSna28c/edit#gid=1910805910</v>
      </c>
      <c r="H681" s="8" t="s">
        <v>51</v>
      </c>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15"/>
      <c r="C682" s="21"/>
      <c r="D682" s="31"/>
      <c r="E682" s="8" t="s">
        <v>172</v>
      </c>
      <c r="F682" s="8" t="s">
        <v>173</v>
      </c>
      <c r="G682" s="34" t="str">
        <f>HYPERLINK("https://docs.google.com/spreadsheets/d/1M0edpr6yMoDyvpinFNC9U7N1F05o61YesnqHrSna28c/edit#gid=2091383723", "https://docs.google.com/spreadsheets/d/1M0edpr6yMoDyvpinFNC9U7N1F05o61YesnqHrSna28c/edit#gid=2091383723")</f>
        <v>https://docs.google.com/spreadsheets/d/1M0edpr6yMoDyvpinFNC9U7N1F05o61YesnqHrSna28c/edit#gid=2091383723</v>
      </c>
      <c r="H682" s="8" t="s">
        <v>173</v>
      </c>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15"/>
      <c r="C683" s="21"/>
      <c r="D683" s="31"/>
      <c r="E683" s="8" t="s">
        <v>172</v>
      </c>
      <c r="F683" s="8" t="s">
        <v>174</v>
      </c>
      <c r="G683" s="34" t="str">
        <f>HYPERLINK("https://docs.google.com/spreadsheets/d/1M0edpr6yMoDyvpinFNC9U7N1F05o61YesnqHrSna28c/edit#gid=324604709", "https://docs.google.com/spreadsheets/d/1M0edpr6yMoDyvpinFNC9U7N1F05o61YesnqHrSna28c/edit#gid=324604709")</f>
        <v>https://docs.google.com/spreadsheets/d/1M0edpr6yMoDyvpinFNC9U7N1F05o61YesnqHrSna28c/edit#gid=324604709</v>
      </c>
      <c r="H683" s="8" t="s">
        <v>174</v>
      </c>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15"/>
      <c r="C684" s="21"/>
      <c r="D684" s="31"/>
      <c r="E684" s="8" t="s">
        <v>86</v>
      </c>
      <c r="F684" s="8" t="s">
        <v>90</v>
      </c>
      <c r="G684" s="34" t="str">
        <f>HYPERLINK("https://docs.google.com/spreadsheets/d/1M0edpr6yMoDyvpinFNC9U7N1F05o61YesnqHrSna28c/edit#gid=1442368181", "https://docs.google.com/spreadsheets/d/1M0edpr6yMoDyvpinFNC9U7N1F05o61YesnqHrSna28c/edit#gid=1442368181")</f>
        <v>https://docs.google.com/spreadsheets/d/1M0edpr6yMoDyvpinFNC9U7N1F05o61YesnqHrSna28c/edit#gid=1442368181</v>
      </c>
      <c r="H684" s="8" t="s">
        <v>90</v>
      </c>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15"/>
      <c r="C685" s="21"/>
      <c r="D685" s="31"/>
      <c r="E685" s="28" t="s">
        <v>86</v>
      </c>
      <c r="F685" s="8" t="s">
        <v>92</v>
      </c>
      <c r="G685" s="34" t="str">
        <f>HYPERLINK("https://docs.google.com/spreadsheets/d/1M0edpr6yMoDyvpinFNC9U7N1F05o61YesnqHrSna28c/edit#gid=1645688006", "https://docs.google.com/spreadsheets/d/1M0edpr6yMoDyvpinFNC9U7N1F05o61YesnqHrSna28c/edit#gid=1645688006")</f>
        <v>https://docs.google.com/spreadsheets/d/1M0edpr6yMoDyvpinFNC9U7N1F05o61YesnqHrSna28c/edit#gid=1645688006</v>
      </c>
      <c r="H685" s="8" t="s">
        <v>92</v>
      </c>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15"/>
      <c r="C686" s="21"/>
      <c r="D686" s="31"/>
      <c r="E686" s="28" t="s">
        <v>86</v>
      </c>
      <c r="F686" s="38" t="s">
        <v>175</v>
      </c>
      <c r="G686" s="34" t="str">
        <f>HYPERLINK("https://docs.google.com/spreadsheets/d/1M0edpr6yMoDyvpinFNC9U7N1F05o61YesnqHrSna28c/edit#gid=1428605569", "https://docs.google.com/spreadsheets/d/1M0edpr6yMoDyvpinFNC9U7N1F05o61YesnqHrSna28c/edit#gid=1428605569")</f>
        <v>https://docs.google.com/spreadsheets/d/1M0edpr6yMoDyvpinFNC9U7N1F05o61YesnqHrSna28c/edit#gid=1428605569</v>
      </c>
      <c r="H686" s="38" t="s">
        <v>175</v>
      </c>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15"/>
      <c r="C687" s="21"/>
      <c r="D687" s="31"/>
      <c r="E687" s="28" t="s">
        <v>86</v>
      </c>
      <c r="F687" s="28" t="s">
        <v>94</v>
      </c>
      <c r="G687" s="34" t="str">
        <f>HYPERLINK("https://docs.google.com/spreadsheets/d/1M0edpr6yMoDyvpinFNC9U7N1F05o61YesnqHrSna28c/edit#gid=1419291089", "https://docs.google.com/spreadsheets/d/1M0edpr6yMoDyvpinFNC9U7N1F05o61YesnqHrSna28c/edit#gid=1419291089")</f>
        <v>https://docs.google.com/spreadsheets/d/1M0edpr6yMoDyvpinFNC9U7N1F05o61YesnqHrSna28c/edit#gid=1419291089</v>
      </c>
      <c r="H687" s="38" t="s">
        <v>94</v>
      </c>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15"/>
      <c r="C688" s="21"/>
      <c r="D688" s="31"/>
      <c r="E688" s="8" t="s">
        <v>88</v>
      </c>
      <c r="F688" s="8" t="s">
        <v>95</v>
      </c>
      <c r="G688" s="34" t="str">
        <f>HYPERLINK("https://docs.google.com/spreadsheets/d/1M0edpr6yMoDyvpinFNC9U7N1F05o61YesnqHrSna28c/edit#gid=1053722462", "https://docs.google.com/spreadsheets/d/1M0edpr6yMoDyvpinFNC9U7N1F05o61YesnqHrSna28c/edit#gid=1053722462")</f>
        <v>https://docs.google.com/spreadsheets/d/1M0edpr6yMoDyvpinFNC9U7N1F05o61YesnqHrSna28c/edit#gid=1053722462</v>
      </c>
      <c r="H688" s="8" t="s">
        <v>95</v>
      </c>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15"/>
      <c r="C689" s="21"/>
      <c r="D689" s="31"/>
      <c r="E689" s="8" t="s">
        <v>88</v>
      </c>
      <c r="F689" s="62" t="s">
        <v>96</v>
      </c>
      <c r="G689" s="34" t="str">
        <f>HYPERLINK("https://docs.google.com/spreadsheets/d/1M0edpr6yMoDyvpinFNC9U7N1F05o61YesnqHrSna28c/edit#gid=2087856865", "https://docs.google.com/spreadsheets/d/1M0edpr6yMoDyvpinFNC9U7N1F05o61YesnqHrSna28c/edit#gid=2087856865")</f>
        <v>https://docs.google.com/spreadsheets/d/1M0edpr6yMoDyvpinFNC9U7N1F05o61YesnqHrSna28c/edit#gid=2087856865</v>
      </c>
      <c r="H689" s="62" t="s">
        <v>96</v>
      </c>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15"/>
      <c r="C690" s="21"/>
      <c r="D690" s="31"/>
      <c r="E690" s="8" t="s">
        <v>178</v>
      </c>
      <c r="F690" s="8" t="s">
        <v>179</v>
      </c>
      <c r="G690" s="34" t="str">
        <f>HYPERLINK("https://docs.google.com/spreadsheets/d/1M0edpr6yMoDyvpinFNC9U7N1F05o61YesnqHrSna28c/edit#gid=1557093212", "https://docs.google.com/spreadsheets/d/1M0edpr6yMoDyvpinFNC9U7N1F05o61YesnqHrSna28c/edit#gid=1557093212")</f>
        <v>https://docs.google.com/spreadsheets/d/1M0edpr6yMoDyvpinFNC9U7N1F05o61YesnqHrSna28c/edit#gid=1557093212</v>
      </c>
      <c r="H690" s="8" t="s">
        <v>179</v>
      </c>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15"/>
      <c r="C691" s="21"/>
      <c r="D691" s="31"/>
      <c r="E691" s="8" t="s">
        <v>178</v>
      </c>
      <c r="F691" s="8" t="s">
        <v>180</v>
      </c>
      <c r="G691" s="34" t="str">
        <f>HYPERLINK("https://docs.google.com/spreadsheets/d/1M0edpr6yMoDyvpinFNC9U7N1F05o61YesnqHrSna28c/edit#gid=1940553010", "https://docs.google.com/spreadsheets/d/1M0edpr6yMoDyvpinFNC9U7N1F05o61YesnqHrSna28c/edit#gid=1940553010")</f>
        <v>https://docs.google.com/spreadsheets/d/1M0edpr6yMoDyvpinFNC9U7N1F05o61YesnqHrSna28c/edit#gid=1940553010</v>
      </c>
      <c r="H691" s="8" t="s">
        <v>180</v>
      </c>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15"/>
      <c r="C692" s="21"/>
      <c r="D692" s="31"/>
      <c r="E692" s="8" t="s">
        <v>178</v>
      </c>
      <c r="F692" s="8" t="s">
        <v>181</v>
      </c>
      <c r="G692" s="34" t="str">
        <f>HYPERLINK("https://docs.google.com/spreadsheets/d/1M0edpr6yMoDyvpinFNC9U7N1F05o61YesnqHrSna28c/edit#gid=1858962461", "https://docs.google.com/spreadsheets/d/1M0edpr6yMoDyvpinFNC9U7N1F05o61YesnqHrSna28c/edit#gid=1858962461")</f>
        <v>https://docs.google.com/spreadsheets/d/1M0edpr6yMoDyvpinFNC9U7N1F05o61YesnqHrSna28c/edit#gid=1858962461</v>
      </c>
      <c r="H692" s="36"/>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15"/>
      <c r="C693" s="21"/>
      <c r="D693" s="31"/>
      <c r="E693" s="28" t="s">
        <v>178</v>
      </c>
      <c r="F693" s="38" t="s">
        <v>208</v>
      </c>
      <c r="G693" s="34" t="str">
        <f>HYPERLINK("https://docs.google.com/spreadsheets/d/1_NVn4cvtuDkteH-TgYzPsfvzGShXFidm-urlO5CJf2U/edit#gid=1271681107", "https://docs.google.com/spreadsheets/d/1_NVn4cvtuDkteH-TgYzPsfvzGShXFidm-urlO5CJf2U/edit#gid=1271681107")</f>
        <v>https://docs.google.com/spreadsheets/d/1_NVn4cvtuDkteH-TgYzPsfvzGShXFidm-urlO5CJf2U/edit#gid=1271681107</v>
      </c>
      <c r="H693" s="38" t="s">
        <v>208</v>
      </c>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15"/>
      <c r="C694" s="21"/>
      <c r="D694" s="31"/>
      <c r="E694" s="28" t="s">
        <v>178</v>
      </c>
      <c r="F694" s="8" t="s">
        <v>182</v>
      </c>
      <c r="G694" s="34" t="str">
        <f>HYPERLINK("https://docs.google.com/spreadsheets/d/1M0edpr6yMoDyvpinFNC9U7N1F05o61YesnqHrSna28c/edit#gid=2053309803", "https://docs.google.com/spreadsheets/d/1M0edpr6yMoDyvpinFNC9U7N1F05o61YesnqHrSna28c/edit#gid=2053309803")</f>
        <v>https://docs.google.com/spreadsheets/d/1M0edpr6yMoDyvpinFNC9U7N1F05o61YesnqHrSna28c/edit#gid=2053309803</v>
      </c>
      <c r="H694" s="8" t="s">
        <v>182</v>
      </c>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15"/>
      <c r="C695" s="21"/>
      <c r="D695" s="15"/>
      <c r="E695" s="15"/>
      <c r="F695" s="15"/>
      <c r="G695" s="15"/>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32" t="s">
        <v>304</v>
      </c>
      <c r="C696" s="66" t="s">
        <v>115</v>
      </c>
      <c r="D696" s="32" t="s">
        <v>20</v>
      </c>
      <c r="E696" s="32" t="s">
        <v>21</v>
      </c>
      <c r="F696" s="32" t="s">
        <v>51</v>
      </c>
      <c r="G696" s="70" t="str">
        <f>HYPERLINK("https://docs.google.com/spreadsheets/d/1V_-IhqO7GAKrG7TgEPaQAYFew9-U1HrTq3-rFTxSduQ/edit#gid=1251669041", "https://docs.google.com/spreadsheets/d/1V_-IhqO7GAKrG7TgEPaQAYFew9-U1HrTq3-rFTxSduQ/edit#gid=1251669041")</f>
        <v>https://docs.google.com/spreadsheets/d/1V_-IhqO7GAKrG7TgEPaQAYFew9-U1HrTq3-rFTxSduQ/edit#gid=1251669041</v>
      </c>
      <c r="H696" s="32" t="s">
        <v>51</v>
      </c>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15"/>
      <c r="C697" s="21"/>
      <c r="D697" s="15"/>
      <c r="E697" s="15"/>
      <c r="F697" s="15"/>
      <c r="G697" s="15"/>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15"/>
      <c r="C698" s="21"/>
      <c r="D698" s="15"/>
      <c r="E698" s="15"/>
      <c r="F698" s="15"/>
      <c r="G698" s="15"/>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32" t="s">
        <v>305</v>
      </c>
      <c r="C699" s="66" t="s">
        <v>306</v>
      </c>
      <c r="D699" s="32" t="s">
        <v>20</v>
      </c>
      <c r="E699" s="32" t="s">
        <v>21</v>
      </c>
      <c r="F699" s="32" t="s">
        <v>51</v>
      </c>
      <c r="G699" s="70" t="str">
        <f>HYPERLINK("https://docs.google.com/spreadsheets/d/1XkM5_d8fCW-vld3IR0UXHl9zgsic_LnbV_mOVe7Vbvg/edit#gid=1994758126", "https://docs.google.com/spreadsheets/d/1XkM5_d8fCW-vld3IR0UXHl9zgsic_LnbV_mOVe7Vbvg/edit#gid=1994758126")</f>
        <v>https://docs.google.com/spreadsheets/d/1XkM5_d8fCW-vld3IR0UXHl9zgsic_LnbV_mOVe7Vbvg/edit#gid=1994758126</v>
      </c>
      <c r="H699" s="32" t="s">
        <v>51</v>
      </c>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15"/>
      <c r="C700" s="21"/>
      <c r="D700" s="15"/>
      <c r="E700" s="32" t="s">
        <v>88</v>
      </c>
      <c r="F700" s="32" t="s">
        <v>95</v>
      </c>
      <c r="G700" s="70" t="str">
        <f>HYPERLINK("https://docs.google.com/spreadsheets/d/1XkM5_d8fCW-vld3IR0UXHl9zgsic_LnbV_mOVe7Vbvg/edit#gid=355867861", "https://docs.google.com/spreadsheets/d/1XkM5_d8fCW-vld3IR0UXHl9zgsic_LnbV_mOVe7Vbvg/edit#gid=355867861")</f>
        <v>https://docs.google.com/spreadsheets/d/1XkM5_d8fCW-vld3IR0UXHl9zgsic_LnbV_mOVe7Vbvg/edit#gid=355867861</v>
      </c>
      <c r="H700" s="32" t="s">
        <v>95</v>
      </c>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15"/>
      <c r="C701" s="21"/>
      <c r="D701" s="15"/>
      <c r="E701" s="32" t="s">
        <v>88</v>
      </c>
      <c r="F701" s="32" t="s">
        <v>125</v>
      </c>
      <c r="G701" s="70" t="str">
        <f>HYPERLINK("https://docs.google.com/spreadsheets/d/1XkM5_d8fCW-vld3IR0UXHl9zgsic_LnbV_mOVe7Vbvg/edit#gid=720620512", "https://docs.google.com/spreadsheets/d/1XkM5_d8fCW-vld3IR0UXHl9zgsic_LnbV_mOVe7Vbvg/edit#gid=720620512")</f>
        <v>https://docs.google.com/spreadsheets/d/1XkM5_d8fCW-vld3IR0UXHl9zgsic_LnbV_mOVe7Vbvg/edit#gid=720620512</v>
      </c>
      <c r="H701" s="32" t="s">
        <v>125</v>
      </c>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15"/>
      <c r="C702" s="21"/>
      <c r="D702" s="15"/>
      <c r="E702" s="32" t="s">
        <v>88</v>
      </c>
      <c r="F702" s="32" t="s">
        <v>307</v>
      </c>
      <c r="G702" s="70" t="str">
        <f>HYPERLINK("https://docs.google.com/spreadsheets/d/1XkM5_d8fCW-vld3IR0UXHl9zgsic_LnbV_mOVe7Vbvg/edit#gid=1003413927", "https://docs.google.com/spreadsheets/d/1XkM5_d8fCW-vld3IR0UXHl9zgsic_LnbV_mOVe7Vbvg/edit#gid=1003413927")</f>
        <v>https://docs.google.com/spreadsheets/d/1XkM5_d8fCW-vld3IR0UXHl9zgsic_LnbV_mOVe7Vbvg/edit#gid=1003413927</v>
      </c>
      <c r="H702" s="32" t="s">
        <v>307</v>
      </c>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15"/>
      <c r="C703" s="21"/>
      <c r="D703" s="15"/>
      <c r="E703" s="32" t="s">
        <v>104</v>
      </c>
      <c r="F703" s="32" t="s">
        <v>308</v>
      </c>
      <c r="G703" s="70" t="str">
        <f>HYPERLINK("https://docs.google.com/spreadsheets/d/1XkM5_d8fCW-vld3IR0UXHl9zgsic_LnbV_mOVe7Vbvg/edit#gid=1025097332", "https://docs.google.com/spreadsheets/d/1XkM5_d8fCW-vld3IR0UXHl9zgsic_LnbV_mOVe7Vbvg/edit#gid=1025097332")</f>
        <v>https://docs.google.com/spreadsheets/d/1XkM5_d8fCW-vld3IR0UXHl9zgsic_LnbV_mOVe7Vbvg/edit#gid=1025097332</v>
      </c>
      <c r="H703" s="32" t="s">
        <v>308</v>
      </c>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15"/>
      <c r="C704" s="21"/>
      <c r="D704" s="15"/>
      <c r="E704" s="15"/>
      <c r="F704" s="15"/>
      <c r="G704" s="15"/>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32" t="s">
        <v>309</v>
      </c>
      <c r="C705" s="66" t="s">
        <v>310</v>
      </c>
      <c r="D705" s="32" t="s">
        <v>20</v>
      </c>
      <c r="E705" s="32" t="s">
        <v>104</v>
      </c>
      <c r="F705" s="32" t="s">
        <v>311</v>
      </c>
      <c r="G705" s="70" t="str">
        <f>HYPERLINK("https://docs.google.com/spreadsheets/d/1Zb7_Kxokn4lWQCep9vSmItvELHxxu-TQQA0yllYO_HE/edit#gid=1699997111", "https://docs.google.com/spreadsheets/d/1Zb7_Kxokn4lWQCep9vSmItvELHxxu-TQQA0yllYO_HE/edit#gid=1699997111")</f>
        <v>https://docs.google.com/spreadsheets/d/1Zb7_Kxokn4lWQCep9vSmItvELHxxu-TQQA0yllYO_HE/edit#gid=1699997111</v>
      </c>
      <c r="H705" s="32" t="s">
        <v>311</v>
      </c>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15"/>
      <c r="C706" s="21"/>
      <c r="D706" s="15"/>
      <c r="E706" s="15"/>
      <c r="F706" s="15"/>
      <c r="G706" s="15"/>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15"/>
      <c r="C707" s="21"/>
      <c r="D707" s="15"/>
      <c r="E707" s="15"/>
      <c r="F707" s="15"/>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32" t="s">
        <v>312</v>
      </c>
      <c r="C708" s="66" t="s">
        <v>313</v>
      </c>
      <c r="D708" s="32" t="s">
        <v>20</v>
      </c>
      <c r="E708" s="32" t="s">
        <v>21</v>
      </c>
      <c r="F708" s="32" t="s">
        <v>51</v>
      </c>
      <c r="G708" s="70" t="str">
        <f>HYPERLINK("https://docs.google.com/spreadsheets/d/1uV5qlhatqAY6jLhcPYPzetQd3fghH-1c3YepgTO7zeQ/edit#gid=1349876744", "https://docs.google.com/spreadsheets/d/1uV5qlhatqAY6jLhcPYPzetQd3fghH-1c3YepgTO7zeQ/edit#gid=1349876744")</f>
        <v>https://docs.google.com/spreadsheets/d/1uV5qlhatqAY6jLhcPYPzetQd3fghH-1c3YepgTO7zeQ/edit#gid=1349876744</v>
      </c>
      <c r="H708" s="32" t="s">
        <v>51</v>
      </c>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15"/>
      <c r="C709" s="21"/>
      <c r="D709" s="15"/>
      <c r="E709" s="32" t="s">
        <v>24</v>
      </c>
      <c r="F709" s="32" t="s">
        <v>314</v>
      </c>
      <c r="G709" s="70" t="str">
        <f>HYPERLINK("https://docs.google.com/spreadsheets/d/1uV5qlhatqAY6jLhcPYPzetQd3fghH-1c3YepgTO7zeQ/edit#gid=1444032541", "https://docs.google.com/spreadsheets/d/1uV5qlhatqAY6jLhcPYPzetQd3fghH-1c3YepgTO7zeQ/edit#gid=1444032541")</f>
        <v>https://docs.google.com/spreadsheets/d/1uV5qlhatqAY6jLhcPYPzetQd3fghH-1c3YepgTO7zeQ/edit#gid=1444032541</v>
      </c>
      <c r="H709" s="32" t="s">
        <v>314</v>
      </c>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15"/>
      <c r="C710" s="21"/>
      <c r="D710" s="15"/>
      <c r="E710" s="32" t="s">
        <v>24</v>
      </c>
      <c r="F710" s="32" t="s">
        <v>315</v>
      </c>
      <c r="G710" s="70" t="str">
        <f>HYPERLINK("https://docs.google.com/spreadsheets/d/1uV5qlhatqAY6jLhcPYPzetQd3fghH-1c3YepgTO7zeQ/edit#gid=660606571", "https://docs.google.com/spreadsheets/d/1uV5qlhatqAY6jLhcPYPzetQd3fghH-1c3YepgTO7zeQ/edit#gid=660606571")</f>
        <v>https://docs.google.com/spreadsheets/d/1uV5qlhatqAY6jLhcPYPzetQd3fghH-1c3YepgTO7zeQ/edit#gid=660606571</v>
      </c>
      <c r="H710" s="32" t="s">
        <v>315</v>
      </c>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15"/>
      <c r="C711" s="21"/>
      <c r="D711" s="15"/>
      <c r="E711" s="32"/>
      <c r="F711" s="32"/>
      <c r="G711" s="15"/>
      <c r="H711" s="32"/>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32" t="s">
        <v>316</v>
      </c>
      <c r="C712" s="66" t="s">
        <v>317</v>
      </c>
      <c r="D712" s="32" t="s">
        <v>20</v>
      </c>
      <c r="E712" s="32" t="s">
        <v>21</v>
      </c>
      <c r="F712" s="32" t="s">
        <v>51</v>
      </c>
      <c r="G712" s="70" t="str">
        <f>HYPERLINK("https://docs.google.com/spreadsheets/d/1aoY-tR24UtWscHOYZLMba026z2sheDFfOGgrTkNWHNs/edit#gid=430516334", "https://docs.google.com/spreadsheets/d/1aoY-tR24UtWscHOYZLMba026z2sheDFfOGgrTkNWHNs/edit#gid=430516334")</f>
        <v>https://docs.google.com/spreadsheets/d/1aoY-tR24UtWscHOYZLMba026z2sheDFfOGgrTkNWHNs/edit#gid=430516334</v>
      </c>
      <c r="H712" s="36"/>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15"/>
      <c r="C713" s="21"/>
      <c r="D713" s="15"/>
      <c r="E713" s="32" t="s">
        <v>24</v>
      </c>
      <c r="F713" s="32" t="s">
        <v>63</v>
      </c>
      <c r="G713" s="70" t="str">
        <f>HYPERLINK("https://docs.google.com/spreadsheets/d/1aoY-tR24UtWscHOYZLMba026z2sheDFfOGgrTkNWHNs/edit#gid=414347549", "https://docs.google.com/spreadsheets/d/1aoY-tR24UtWscHOYZLMba026z2sheDFfOGgrTkNWHNs/edit#gid=414347549")</f>
        <v>https://docs.google.com/spreadsheets/d/1aoY-tR24UtWscHOYZLMba026z2sheDFfOGgrTkNWHNs/edit#gid=414347549</v>
      </c>
      <c r="H713" s="32" t="s">
        <v>63</v>
      </c>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15"/>
      <c r="C714" s="21"/>
      <c r="D714" s="15"/>
      <c r="E714" s="32" t="s">
        <v>24</v>
      </c>
      <c r="F714" s="32" t="s">
        <v>318</v>
      </c>
      <c r="G714" s="70" t="str">
        <f>HYPERLINK("https://docs.google.com/spreadsheets/d/1aoY-tR24UtWscHOYZLMba026z2sheDFfOGgrTkNWHNs/edit#gid=1355706085", "https://docs.google.com/spreadsheets/d/1aoY-tR24UtWscHOYZLMba026z2sheDFfOGgrTkNWHNs/edit#gid=1355706085")</f>
        <v>https://docs.google.com/spreadsheets/d/1aoY-tR24UtWscHOYZLMba026z2sheDFfOGgrTkNWHNs/edit#gid=1355706085</v>
      </c>
      <c r="H714" s="32" t="s">
        <v>318</v>
      </c>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32" t="s">
        <v>319</v>
      </c>
      <c r="C715" s="66" t="s">
        <v>320</v>
      </c>
      <c r="D715" s="32" t="s">
        <v>20</v>
      </c>
      <c r="E715" s="32" t="s">
        <v>24</v>
      </c>
      <c r="F715" s="32" t="s">
        <v>63</v>
      </c>
      <c r="G715" s="70" t="str">
        <f>HYPERLINK("https://docs.google.com/spreadsheets/d/11KCznR5bZcsA6Gi72cAaXx6XJuTglSq2hfSlRzCzpxw/edit#gid=1472760759", "https://docs.google.com/spreadsheets/d/11KCznR5bZcsA6Gi72cAaXx6XJuTglSq2hfSlRzCzpxw/edit#gid=1472760759")</f>
        <v>https://docs.google.com/spreadsheets/d/11KCznR5bZcsA6Gi72cAaXx6XJuTglSq2hfSlRzCzpxw/edit#gid=1472760759</v>
      </c>
      <c r="H715" s="36"/>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32" t="s">
        <v>321</v>
      </c>
      <c r="C716" s="66" t="s">
        <v>322</v>
      </c>
      <c r="D716" s="32" t="s">
        <v>20</v>
      </c>
      <c r="E716" s="32" t="s">
        <v>21</v>
      </c>
      <c r="F716" s="32" t="s">
        <v>51</v>
      </c>
      <c r="G716" s="70" t="str">
        <f>HYPERLINK("https://docs.google.com/spreadsheets/d/1FFY3JDc2_Qbua4y399akG1ovHukAWkqy20rsP74m6S8/edit#gid=1797976688", "https://docs.google.com/spreadsheets/d/1FFY3JDc2_Qbua4y399akG1ovHukAWkqy20rsP74m6S8/edit#gid=1797976688")</f>
        <v>https://docs.google.com/spreadsheets/d/1FFY3JDc2_Qbua4y399akG1ovHukAWkqy20rsP74m6S8/edit#gid=1797976688</v>
      </c>
      <c r="H716" s="32" t="s">
        <v>51</v>
      </c>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32"/>
      <c r="C717" s="66"/>
      <c r="D717" s="32"/>
      <c r="E717" s="32" t="s">
        <v>24</v>
      </c>
      <c r="F717" s="32" t="s">
        <v>25</v>
      </c>
      <c r="G717" s="70" t="str">
        <f>HYPERLINK("https://docs.google.com/spreadsheets/d/1FFY3JDc2_Qbua4y399akG1ovHukAWkqy20rsP74m6S8/edit#gid=72387847", "https://docs.google.com/spreadsheets/d/1FFY3JDc2_Qbua4y399akG1ovHukAWkqy20rsP74m6S8/edit#gid=72387847")</f>
        <v>https://docs.google.com/spreadsheets/d/1FFY3JDc2_Qbua4y399akG1ovHukAWkqy20rsP74m6S8/edit#gid=72387847</v>
      </c>
      <c r="H717" s="32" t="s">
        <v>25</v>
      </c>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32"/>
      <c r="C718" s="66"/>
      <c r="D718" s="32"/>
      <c r="E718" s="32" t="s">
        <v>24</v>
      </c>
      <c r="F718" s="32" t="s">
        <v>101</v>
      </c>
      <c r="G718" s="70" t="str">
        <f>HYPERLINK("https://docs.google.com/spreadsheets/d/1FFY3JDc2_Qbua4y399akG1ovHukAWkqy20rsP74m6S8/edit#gid=1444875620", "https://docs.google.com/spreadsheets/d/1FFY3JDc2_Qbua4y399akG1ovHukAWkqy20rsP74m6S8/edit#gid=1444875620")</f>
        <v>https://docs.google.com/spreadsheets/d/1FFY3JDc2_Qbua4y399akG1ovHukAWkqy20rsP74m6S8/edit#gid=1444875620</v>
      </c>
      <c r="H718" s="32" t="s">
        <v>101</v>
      </c>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32"/>
      <c r="C719" s="66"/>
      <c r="D719" s="32"/>
      <c r="E719" s="32"/>
      <c r="F719" s="32"/>
      <c r="G719" s="15"/>
      <c r="H719" s="32"/>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32" t="s">
        <v>323</v>
      </c>
      <c r="C720" s="21"/>
      <c r="D720" s="32" t="s">
        <v>20</v>
      </c>
      <c r="E720" s="32" t="s">
        <v>21</v>
      </c>
      <c r="F720" s="32" t="s">
        <v>74</v>
      </c>
      <c r="G720" s="70" t="str">
        <f>HYPERLINK("https://docs.google.com/spreadsheets/d/1xbP5LxuuZUraDB4ukFuqvs7yg-6Z8gFqDpvbf6V0JCI/edit#gid=412346953", "https://docs.google.com/spreadsheets/d/1xbP5LxuuZUraDB4ukFuqvs7yg-6Z8gFqDpvbf6V0JCI/edit#gid=412346953")</f>
        <v>https://docs.google.com/spreadsheets/d/1xbP5LxuuZUraDB4ukFuqvs7yg-6Z8gFqDpvbf6V0JCI/edit#gid=412346953</v>
      </c>
      <c r="H720" s="32" t="s">
        <v>74</v>
      </c>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15"/>
      <c r="C721" s="21"/>
      <c r="D721" s="15"/>
      <c r="E721" s="32" t="s">
        <v>43</v>
      </c>
      <c r="F721" s="32" t="s">
        <v>79</v>
      </c>
      <c r="G721" s="70" t="str">
        <f>HYPERLINK("https://docs.google.com/spreadsheets/d/1xbP5LxuuZUraDB4ukFuqvs7yg-6Z8gFqDpvbf6V0JCI/edit#gid=2039954333", "https://docs.google.com/spreadsheets/d/1xbP5LxuuZUraDB4ukFuqvs7yg-6Z8gFqDpvbf6V0JCI/edit#gid=2039954333")</f>
        <v>https://docs.google.com/spreadsheets/d/1xbP5LxuuZUraDB4ukFuqvs7yg-6Z8gFqDpvbf6V0JCI/edit#gid=2039954333</v>
      </c>
      <c r="H721" s="32" t="s">
        <v>79</v>
      </c>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15"/>
      <c r="C722" s="21"/>
      <c r="D722" s="15"/>
      <c r="E722" s="32" t="s">
        <v>72</v>
      </c>
      <c r="F722" s="32" t="s">
        <v>76</v>
      </c>
      <c r="G722" s="70" t="str">
        <f>HYPERLINK("https://docs.google.com/spreadsheets/d/1xbP5LxuuZUraDB4ukFuqvs7yg-6Z8gFqDpvbf6V0JCI/edit#gid=1936601599", "https://docs.google.com/spreadsheets/d/1xbP5LxuuZUraDB4ukFuqvs7yg-6Z8gFqDpvbf6V0JCI/edit#gid=1936601599")</f>
        <v>https://docs.google.com/spreadsheets/d/1xbP5LxuuZUraDB4ukFuqvs7yg-6Z8gFqDpvbf6V0JCI/edit#gid=1936601599</v>
      </c>
      <c r="H722" s="32" t="s">
        <v>76</v>
      </c>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15"/>
      <c r="C723" s="21"/>
      <c r="D723" s="15"/>
      <c r="E723" s="32" t="s">
        <v>43</v>
      </c>
      <c r="F723" s="32" t="s">
        <v>132</v>
      </c>
      <c r="G723" s="70" t="str">
        <f>HYPERLINK("https://docs.google.com/spreadsheets/d/1xbP5LxuuZUraDB4ukFuqvs7yg-6Z8gFqDpvbf6V0JCI/edit#gid=250308946", "https://docs.google.com/spreadsheets/d/1xbP5LxuuZUraDB4ukFuqvs7yg-6Z8gFqDpvbf6V0JCI/edit#gid=250308946")</f>
        <v>https://docs.google.com/spreadsheets/d/1xbP5LxuuZUraDB4ukFuqvs7yg-6Z8gFqDpvbf6V0JCI/edit#gid=250308946</v>
      </c>
      <c r="H723" s="32" t="s">
        <v>132</v>
      </c>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15"/>
      <c r="C724" s="21"/>
      <c r="D724" s="15"/>
      <c r="E724" s="32" t="s">
        <v>43</v>
      </c>
      <c r="F724" s="32" t="s">
        <v>77</v>
      </c>
      <c r="G724" s="70" t="str">
        <f>HYPERLINK("https://docs.google.com/spreadsheets/d/1xbP5LxuuZUraDB4ukFuqvs7yg-6Z8gFqDpvbf6V0JCI/edit#gid=1357352433", "https://docs.google.com/spreadsheets/d/1xbP5LxuuZUraDB4ukFuqvs7yg-6Z8gFqDpvbf6V0JCI/edit#gid=1357352433")</f>
        <v>https://docs.google.com/spreadsheets/d/1xbP5LxuuZUraDB4ukFuqvs7yg-6Z8gFqDpvbf6V0JCI/edit#gid=1357352433</v>
      </c>
      <c r="H724" s="32" t="s">
        <v>77</v>
      </c>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15"/>
      <c r="C725" s="21"/>
      <c r="D725" s="15"/>
      <c r="E725" s="32" t="s">
        <v>43</v>
      </c>
      <c r="F725" s="32" t="s">
        <v>53</v>
      </c>
      <c r="G725" s="70" t="str">
        <f>HYPERLINK("https://docs.google.com/spreadsheets/d/1xbP5LxuuZUraDB4ukFuqvs7yg-6Z8gFqDpvbf6V0JCI/edit#gid=1635581048", "https://docs.google.com/spreadsheets/d/1xbP5LxuuZUraDB4ukFuqvs7yg-6Z8gFqDpvbf6V0JCI/edit#gid=1635581048")</f>
        <v>https://docs.google.com/spreadsheets/d/1xbP5LxuuZUraDB4ukFuqvs7yg-6Z8gFqDpvbf6V0JCI/edit#gid=1635581048</v>
      </c>
      <c r="H725" s="32" t="s">
        <v>53</v>
      </c>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15"/>
      <c r="C726" s="21"/>
      <c r="D726" s="15"/>
      <c r="E726" s="32" t="s">
        <v>72</v>
      </c>
      <c r="F726" s="32" t="s">
        <v>75</v>
      </c>
      <c r="G726" s="70" t="str">
        <f>HYPERLINK("https://docs.google.com/spreadsheets/d/1xbP5LxuuZUraDB4ukFuqvs7yg-6Z8gFqDpvbf6V0JCI/edit#gid=1151852130", "https://docs.google.com/spreadsheets/d/1xbP5LxuuZUraDB4ukFuqvs7yg-6Z8gFqDpvbf6V0JCI/edit#gid=1151852130")</f>
        <v>https://docs.google.com/spreadsheets/d/1xbP5LxuuZUraDB4ukFuqvs7yg-6Z8gFqDpvbf6V0JCI/edit#gid=1151852130</v>
      </c>
      <c r="H726" s="32" t="s">
        <v>75</v>
      </c>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15"/>
      <c r="C727" s="21"/>
      <c r="D727" s="15"/>
      <c r="E727" s="32" t="s">
        <v>72</v>
      </c>
      <c r="F727" s="32" t="s">
        <v>81</v>
      </c>
      <c r="G727" s="70" t="str">
        <f>HYPERLINK("https://docs.google.com/spreadsheets/d/1xbP5LxuuZUraDB4ukFuqvs7yg-6Z8gFqDpvbf6V0JCI/edit#gid=213411521", "https://docs.google.com/spreadsheets/d/1xbP5LxuuZUraDB4ukFuqvs7yg-6Z8gFqDpvbf6V0JCI/edit#gid=213411521")</f>
        <v>https://docs.google.com/spreadsheets/d/1xbP5LxuuZUraDB4ukFuqvs7yg-6Z8gFqDpvbf6V0JCI/edit#gid=213411521</v>
      </c>
      <c r="H727" s="32" t="s">
        <v>81</v>
      </c>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32"/>
      <c r="C728" s="21"/>
      <c r="D728" s="32"/>
      <c r="E728" s="32" t="s">
        <v>43</v>
      </c>
      <c r="F728" s="32" t="s">
        <v>132</v>
      </c>
      <c r="G728" s="70" t="str">
        <f>HYPERLINK("https://docs.google.com/spreadsheets/d/1xbP5LxuuZUraDB4ukFuqvs7yg-6Z8gFqDpvbf6V0JCI/edit#gid=985118374", "https://docs.google.com/spreadsheets/d/1xbP5LxuuZUraDB4ukFuqvs7yg-6Z8gFqDpvbf6V0JCI/edit#gid=985118374")</f>
        <v>https://docs.google.com/spreadsheets/d/1xbP5LxuuZUraDB4ukFuqvs7yg-6Z8gFqDpvbf6V0JCI/edit#gid=985118374</v>
      </c>
      <c r="H728" s="32" t="s">
        <v>324</v>
      </c>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15"/>
      <c r="C729" s="21"/>
      <c r="D729" s="15"/>
      <c r="E729" s="32" t="s">
        <v>43</v>
      </c>
      <c r="F729" s="32" t="s">
        <v>77</v>
      </c>
      <c r="G729" s="70" t="str">
        <f>HYPERLINK("https://docs.google.com/spreadsheets/d/1xbP5LxuuZUraDB4ukFuqvs7yg-6Z8gFqDpvbf6V0JCI/edit#gid=1053618179", "https://docs.google.com/spreadsheets/d/1xbP5LxuuZUraDB4ukFuqvs7yg-6Z8gFqDpvbf6V0JCI/edit#gid=1053618179")</f>
        <v>https://docs.google.com/spreadsheets/d/1xbP5LxuuZUraDB4ukFuqvs7yg-6Z8gFqDpvbf6V0JCI/edit#gid=1053618179</v>
      </c>
      <c r="H729" s="32" t="s">
        <v>78</v>
      </c>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15"/>
      <c r="C730" s="21"/>
      <c r="D730" s="15"/>
      <c r="E730" s="32" t="s">
        <v>43</v>
      </c>
      <c r="F730" s="32" t="s">
        <v>53</v>
      </c>
      <c r="G730" s="70" t="str">
        <f>HYPERLINK("https://docs.google.com/spreadsheets/d/1xbP5LxuuZUraDB4ukFuqvs7yg-6Z8gFqDpvbf6V0JCI/edit#gid=936077840", "https://docs.google.com/spreadsheets/d/1xbP5LxuuZUraDB4ukFuqvs7yg-6Z8gFqDpvbf6V0JCI/edit#gid=936077840")</f>
        <v>https://docs.google.com/spreadsheets/d/1xbP5LxuuZUraDB4ukFuqvs7yg-6Z8gFqDpvbf6V0JCI/edit#gid=936077840</v>
      </c>
      <c r="H730" s="32" t="s">
        <v>325</v>
      </c>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15"/>
      <c r="C731" s="21"/>
      <c r="D731" s="15"/>
      <c r="E731" s="32" t="s">
        <v>72</v>
      </c>
      <c r="F731" s="32" t="s">
        <v>326</v>
      </c>
      <c r="G731" s="70" t="str">
        <f>HYPERLINK("https://docs.google.com/spreadsheets/d/1xbP5LxuuZUraDB4ukFuqvs7yg-6Z8gFqDpvbf6V0JCI/edit#gid=1444613945", "https://docs.google.com/spreadsheets/d/1xbP5LxuuZUraDB4ukFuqvs7yg-6Z8gFqDpvbf6V0JCI/edit#gid=1444613945")</f>
        <v>https://docs.google.com/spreadsheets/d/1xbP5LxuuZUraDB4ukFuqvs7yg-6Z8gFqDpvbf6V0JCI/edit#gid=1444613945</v>
      </c>
      <c r="H731" s="32" t="s">
        <v>326</v>
      </c>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15"/>
      <c r="C732" s="21"/>
      <c r="D732" s="15"/>
      <c r="E732" s="32" t="s">
        <v>43</v>
      </c>
      <c r="F732" s="32" t="s">
        <v>132</v>
      </c>
      <c r="G732" s="70" t="str">
        <f>HYPERLINK("https://docs.google.com/spreadsheets/d/1xbP5LxuuZUraDB4ukFuqvs7yg-6Z8gFqDpvbf6V0JCI/edit#gid=1521703816", "https://docs.google.com/spreadsheets/d/1xbP5LxuuZUraDB4ukFuqvs7yg-6Z8gFqDpvbf6V0JCI/edit#gid=1521703816")</f>
        <v>https://docs.google.com/spreadsheets/d/1xbP5LxuuZUraDB4ukFuqvs7yg-6Z8gFqDpvbf6V0JCI/edit#gid=1521703816</v>
      </c>
      <c r="H732" s="32" t="s">
        <v>327</v>
      </c>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15"/>
      <c r="C733" s="21"/>
      <c r="D733" s="15"/>
      <c r="E733" s="32" t="s">
        <v>43</v>
      </c>
      <c r="F733" s="32" t="s">
        <v>77</v>
      </c>
      <c r="G733" s="70" t="str">
        <f>HYPERLINK("https://docs.google.com/spreadsheets/d/1xbP5LxuuZUraDB4ukFuqvs7yg-6Z8gFqDpvbf6V0JCI/edit#gid=1960230964", "https://docs.google.com/spreadsheets/d/1xbP5LxuuZUraDB4ukFuqvs7yg-6Z8gFqDpvbf6V0JCI/edit#gid=1960230964")</f>
        <v>https://docs.google.com/spreadsheets/d/1xbP5LxuuZUraDB4ukFuqvs7yg-6Z8gFqDpvbf6V0JCI/edit#gid=1960230964</v>
      </c>
      <c r="H733" s="32" t="s">
        <v>82</v>
      </c>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15"/>
      <c r="C734" s="21"/>
      <c r="D734" s="15"/>
      <c r="E734" s="32" t="s">
        <v>43</v>
      </c>
      <c r="F734" s="32" t="s">
        <v>53</v>
      </c>
      <c r="G734" s="70" t="str">
        <f>HYPERLINK("https://docs.google.com/spreadsheets/d/1xbP5LxuuZUraDB4ukFuqvs7yg-6Z8gFqDpvbf6V0JCI/edit#gid=2065984321", "https://docs.google.com/spreadsheets/d/1xbP5LxuuZUraDB4ukFuqvs7yg-6Z8gFqDpvbf6V0JCI/edit#gid=2065984321")</f>
        <v>https://docs.google.com/spreadsheets/d/1xbP5LxuuZUraDB4ukFuqvs7yg-6Z8gFqDpvbf6V0JCI/edit#gid=2065984321</v>
      </c>
      <c r="H734" s="32" t="s">
        <v>328</v>
      </c>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15"/>
      <c r="C735" s="21"/>
      <c r="D735" s="15"/>
      <c r="E735" s="32" t="s">
        <v>72</v>
      </c>
      <c r="F735" s="32" t="s">
        <v>75</v>
      </c>
      <c r="G735" s="70" t="str">
        <f>HYPERLINK("https://docs.google.com/spreadsheets/d/1xbP5LxuuZUraDB4ukFuqvs7yg-6Z8gFqDpvbf6V0JCI/edit#gid=1026918839", "https://docs.google.com/spreadsheets/d/1xbP5LxuuZUraDB4ukFuqvs7yg-6Z8gFqDpvbf6V0JCI/edit#gid=1026918839")</f>
        <v>https://docs.google.com/spreadsheets/d/1xbP5LxuuZUraDB4ukFuqvs7yg-6Z8gFqDpvbf6V0JCI/edit#gid=1026918839</v>
      </c>
      <c r="H735" s="32" t="s">
        <v>329</v>
      </c>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15"/>
      <c r="C736" s="21"/>
      <c r="D736" s="15"/>
      <c r="E736" s="32" t="s">
        <v>72</v>
      </c>
      <c r="F736" s="32" t="s">
        <v>81</v>
      </c>
      <c r="G736" s="70" t="str">
        <f>HYPERLINK("https://docs.google.com/spreadsheets/d/1xbP5LxuuZUraDB4ukFuqvs7yg-6Z8gFqDpvbf6V0JCI/edit#gid=874309777", "https://docs.google.com/spreadsheets/d/1xbP5LxuuZUraDB4ukFuqvs7yg-6Z8gFqDpvbf6V0JCI/edit#gid=874309777")</f>
        <v>https://docs.google.com/spreadsheets/d/1xbP5LxuuZUraDB4ukFuqvs7yg-6Z8gFqDpvbf6V0JCI/edit#gid=874309777</v>
      </c>
      <c r="H736" s="32" t="s">
        <v>330</v>
      </c>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15"/>
      <c r="C737" s="21"/>
      <c r="D737" s="15"/>
      <c r="E737" s="32" t="s">
        <v>43</v>
      </c>
      <c r="F737" s="32" t="s">
        <v>132</v>
      </c>
      <c r="G737" s="70" t="str">
        <f>HYPERLINK("https://docs.google.com/spreadsheets/d/1xbP5LxuuZUraDB4ukFuqvs7yg-6Z8gFqDpvbf6V0JCI/edit#gid=789173903", "https://docs.google.com/spreadsheets/d/1xbP5LxuuZUraDB4ukFuqvs7yg-6Z8gFqDpvbf6V0JCI/edit#gid=789173903")</f>
        <v>https://docs.google.com/spreadsheets/d/1xbP5LxuuZUraDB4ukFuqvs7yg-6Z8gFqDpvbf6V0JCI/edit#gid=789173903</v>
      </c>
      <c r="H737" s="32" t="s">
        <v>331</v>
      </c>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15"/>
      <c r="C738" s="21"/>
      <c r="D738" s="15"/>
      <c r="E738" s="32" t="s">
        <v>43</v>
      </c>
      <c r="F738" s="32" t="s">
        <v>77</v>
      </c>
      <c r="G738" s="70" t="str">
        <f>HYPERLINK("https://docs.google.com/spreadsheets/d/1xbP5LxuuZUraDB4ukFuqvs7yg-6Z8gFqDpvbf6V0JCI/edit#gid=1033613721", "https://docs.google.com/spreadsheets/d/1xbP5LxuuZUraDB4ukFuqvs7yg-6Z8gFqDpvbf6V0JCI/edit#gid=1033613721")</f>
        <v>https://docs.google.com/spreadsheets/d/1xbP5LxuuZUraDB4ukFuqvs7yg-6Z8gFqDpvbf6V0JCI/edit#gid=1033613721</v>
      </c>
      <c r="H738" s="32" t="s">
        <v>332</v>
      </c>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15"/>
      <c r="C739" s="21"/>
      <c r="D739" s="15"/>
      <c r="E739" s="32" t="s">
        <v>43</v>
      </c>
      <c r="F739" s="32" t="s">
        <v>53</v>
      </c>
      <c r="G739" s="70" t="str">
        <f>HYPERLINK("https://docs.google.com/spreadsheets/d/1xbP5LxuuZUraDB4ukFuqvs7yg-6Z8gFqDpvbf6V0JCI/edit#gid=666498926", "https://docs.google.com/spreadsheets/d/1xbP5LxuuZUraDB4ukFuqvs7yg-6Z8gFqDpvbf6V0JCI/edit#gid=666498926")</f>
        <v>https://docs.google.com/spreadsheets/d/1xbP5LxuuZUraDB4ukFuqvs7yg-6Z8gFqDpvbf6V0JCI/edit#gid=666498926</v>
      </c>
      <c r="H739" s="32" t="s">
        <v>333</v>
      </c>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15"/>
      <c r="C740" s="21"/>
      <c r="D740" s="15"/>
      <c r="E740" s="32" t="s">
        <v>72</v>
      </c>
      <c r="F740" s="32" t="s">
        <v>334</v>
      </c>
      <c r="G740" s="70" t="str">
        <f>HYPERLINK("https://docs.google.com/spreadsheets/d/1xbP5LxuuZUraDB4ukFuqvs7yg-6Z8gFqDpvbf6V0JCI/edit#gid=2115258690", "https://docs.google.com/spreadsheets/d/1xbP5LxuuZUraDB4ukFuqvs7yg-6Z8gFqDpvbf6V0JCI/edit#gid=2115258690")</f>
        <v>https://docs.google.com/spreadsheets/d/1xbP5LxuuZUraDB4ukFuqvs7yg-6Z8gFqDpvbf6V0JCI/edit#gid=2115258690</v>
      </c>
      <c r="H740" s="32" t="s">
        <v>334</v>
      </c>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15"/>
      <c r="C741" s="21"/>
      <c r="D741" s="15"/>
      <c r="E741" s="15"/>
      <c r="F741" s="15"/>
      <c r="G741" s="15"/>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15"/>
      <c r="C742" s="21"/>
      <c r="D742" s="15"/>
      <c r="E742" s="15"/>
      <c r="F742" s="15"/>
      <c r="G742" s="15"/>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15"/>
      <c r="C743" s="21"/>
      <c r="D743" s="15"/>
      <c r="E743" s="15"/>
      <c r="F743" s="15"/>
      <c r="G743" s="15"/>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15"/>
      <c r="C744" s="21"/>
      <c r="D744" s="15"/>
      <c r="E744" s="15"/>
      <c r="F744" s="15"/>
      <c r="G744" s="15"/>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15"/>
      <c r="C745" s="21"/>
      <c r="D745" s="15"/>
      <c r="E745" s="15"/>
      <c r="F745" s="15"/>
      <c r="G745" s="15"/>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32" t="s">
        <v>335</v>
      </c>
      <c r="C746" s="21"/>
      <c r="D746" s="32" t="s">
        <v>20</v>
      </c>
      <c r="E746" s="32" t="s">
        <v>21</v>
      </c>
      <c r="F746" s="32" t="s">
        <v>74</v>
      </c>
      <c r="G746" s="70" t="str">
        <f>HYPERLINK("https://docs.google.com/spreadsheets/d/1-1hIl7Yg82v3gyTB-i1nNozVVtvDcO9TMHfODz0BzR4/edit#gid=1661116263", "https://docs.google.com/spreadsheets/d/1-1hIl7Yg82v3gyTB-i1nNozVVtvDcO9TMHfODz0BzR4/edit#gid=1661116263")</f>
        <v>https://docs.google.com/spreadsheets/d/1-1hIl7Yg82v3gyTB-i1nNozVVtvDcO9TMHfODz0BzR4/edit#gid=1661116263</v>
      </c>
      <c r="H746" s="32" t="s">
        <v>74</v>
      </c>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15"/>
      <c r="C747" s="21"/>
      <c r="D747" s="15"/>
      <c r="E747" s="32" t="s">
        <v>43</v>
      </c>
      <c r="F747" s="32" t="s">
        <v>79</v>
      </c>
      <c r="G747" s="70" t="str">
        <f>HYPERLINK("https://docs.google.com/spreadsheets/d/1-1hIl7Yg82v3gyTB-i1nNozVVtvDcO9TMHfODz0BzR4/edit#gid=1220041160", "https://docs.google.com/spreadsheets/d/1-1hIl7Yg82v3gyTB-i1nNozVVtvDcO9TMHfODz0BzR4/edit#gid=1220041160")</f>
        <v>https://docs.google.com/spreadsheets/d/1-1hIl7Yg82v3gyTB-i1nNozVVtvDcO9TMHfODz0BzR4/edit#gid=1220041160</v>
      </c>
      <c r="H747" s="32" t="s">
        <v>79</v>
      </c>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15"/>
      <c r="C748" s="21"/>
      <c r="D748" s="15"/>
      <c r="E748" s="32" t="s">
        <v>72</v>
      </c>
      <c r="F748" s="32" t="s">
        <v>76</v>
      </c>
      <c r="G748" s="70" t="str">
        <f>HYPERLINK("https://docs.google.com/spreadsheets/d/1-1hIl7Yg82v3gyTB-i1nNozVVtvDcO9TMHfODz0BzR4/edit#gid=1698692765", "https://docs.google.com/spreadsheets/d/1-1hIl7Yg82v3gyTB-i1nNozVVtvDcO9TMHfODz0BzR4/edit#gid=1698692765")</f>
        <v>https://docs.google.com/spreadsheets/d/1-1hIl7Yg82v3gyTB-i1nNozVVtvDcO9TMHfODz0BzR4/edit#gid=1698692765</v>
      </c>
      <c r="H748" s="32" t="s">
        <v>76</v>
      </c>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15"/>
      <c r="C749" s="21"/>
      <c r="D749" s="15"/>
      <c r="E749" s="32" t="s">
        <v>72</v>
      </c>
      <c r="F749" s="32" t="s">
        <v>75</v>
      </c>
      <c r="G749" s="70" t="str">
        <f>HYPERLINK("https://docs.google.com/spreadsheets/d/1-1hIl7Yg82v3gyTB-i1nNozVVtvDcO9TMHfODz0BzR4/edit#gid=268426829", "https://docs.google.com/spreadsheets/d/1-1hIl7Yg82v3gyTB-i1nNozVVtvDcO9TMHfODz0BzR4/edit#gid=268426829")</f>
        <v>https://docs.google.com/spreadsheets/d/1-1hIl7Yg82v3gyTB-i1nNozVVtvDcO9TMHfODz0BzR4/edit#gid=268426829</v>
      </c>
      <c r="H749" s="32" t="s">
        <v>75</v>
      </c>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15"/>
      <c r="C750" s="21"/>
      <c r="D750" s="15"/>
      <c r="E750" s="32" t="s">
        <v>72</v>
      </c>
      <c r="F750" s="32" t="s">
        <v>81</v>
      </c>
      <c r="G750" s="70" t="str">
        <f>HYPERLINK("https://docs.google.com/spreadsheets/d/1-1hIl7Yg82v3gyTB-i1nNozVVtvDcO9TMHfODz0BzR4/edit#gid=868846052", "https://docs.google.com/spreadsheets/d/1-1hIl7Yg82v3gyTB-i1nNozVVtvDcO9TMHfODz0BzR4/edit#gid=868846052")</f>
        <v>https://docs.google.com/spreadsheets/d/1-1hIl7Yg82v3gyTB-i1nNozVVtvDcO9TMHfODz0BzR4/edit#gid=868846052</v>
      </c>
      <c r="H750" s="32" t="s">
        <v>81</v>
      </c>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15"/>
      <c r="C751" s="21"/>
      <c r="D751" s="15"/>
      <c r="E751" s="32" t="s">
        <v>88</v>
      </c>
      <c r="F751" s="32" t="s">
        <v>95</v>
      </c>
      <c r="G751" s="70" t="str">
        <f>HYPERLINK("https://docs.google.com/spreadsheets/d/1-1hIl7Yg82v3gyTB-i1nNozVVtvDcO9TMHfODz0BzR4/edit#gid=382629937", "https://docs.google.com/spreadsheets/d/1-1hIl7Yg82v3gyTB-i1nNozVVtvDcO9TMHfODz0BzR4/edit#gid=382629937")</f>
        <v>https://docs.google.com/spreadsheets/d/1-1hIl7Yg82v3gyTB-i1nNozVVtvDcO9TMHfODz0BzR4/edit#gid=382629937</v>
      </c>
      <c r="H751" s="32" t="s">
        <v>95</v>
      </c>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15"/>
      <c r="C752" s="21"/>
      <c r="D752" s="15"/>
      <c r="E752" s="32" t="s">
        <v>88</v>
      </c>
      <c r="F752" s="32" t="s">
        <v>96</v>
      </c>
      <c r="G752" s="70" t="str">
        <f>HYPERLINK("https://docs.google.com/spreadsheets/d/1-1hIl7Yg82v3gyTB-i1nNozVVtvDcO9TMHfODz0BzR4/edit#gid=376367208", "https://docs.google.com/spreadsheets/d/1-1hIl7Yg82v3gyTB-i1nNozVVtvDcO9TMHfODz0BzR4/edit#gid=376367208")</f>
        <v>https://docs.google.com/spreadsheets/d/1-1hIl7Yg82v3gyTB-i1nNozVVtvDcO9TMHfODz0BzR4/edit#gid=376367208</v>
      </c>
      <c r="H752" s="32" t="s">
        <v>96</v>
      </c>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15"/>
      <c r="C753" s="21"/>
      <c r="D753" s="15"/>
      <c r="E753" s="32" t="s">
        <v>72</v>
      </c>
      <c r="F753" s="32" t="s">
        <v>75</v>
      </c>
      <c r="G753" s="70" t="str">
        <f>HYPERLINK("https://docs.google.com/spreadsheets/d/1-1hIl7Yg82v3gyTB-i1nNozVVtvDcO9TMHfODz0BzR4/edit#gid=1918429731", "https://docs.google.com/spreadsheets/d/1-1hIl7Yg82v3gyTB-i1nNozVVtvDcO9TMHfODz0BzR4/edit#gid=1918429731")</f>
        <v>https://docs.google.com/spreadsheets/d/1-1hIl7Yg82v3gyTB-i1nNozVVtvDcO9TMHfODz0BzR4/edit#gid=1918429731</v>
      </c>
      <c r="H753" s="32" t="s">
        <v>329</v>
      </c>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15"/>
      <c r="C754" s="21"/>
      <c r="D754" s="15"/>
      <c r="E754" s="32" t="s">
        <v>72</v>
      </c>
      <c r="F754" s="32" t="s">
        <v>81</v>
      </c>
      <c r="G754" s="70" t="str">
        <f>HYPERLINK("https://docs.google.com/spreadsheets/d/1-1hIl7Yg82v3gyTB-i1nNozVVtvDcO9TMHfODz0BzR4/edit#gid=1450404984", "https://docs.google.com/spreadsheets/d/1-1hIl7Yg82v3gyTB-i1nNozVVtvDcO9TMHfODz0BzR4/edit#gid=1450404984")</f>
        <v>https://docs.google.com/spreadsheets/d/1-1hIl7Yg82v3gyTB-i1nNozVVtvDcO9TMHfODz0BzR4/edit#gid=1450404984</v>
      </c>
      <c r="H754" s="32" t="s">
        <v>330</v>
      </c>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15"/>
      <c r="C755" s="21"/>
      <c r="D755" s="15"/>
      <c r="E755" s="32" t="s">
        <v>88</v>
      </c>
      <c r="F755" s="32" t="s">
        <v>95</v>
      </c>
      <c r="G755" s="70" t="str">
        <f>HYPERLINK("https://docs.google.com/spreadsheets/d/1-1hIl7Yg82v3gyTB-i1nNozVVtvDcO9TMHfODz0BzR4/edit#gid=1950145915", "https://docs.google.com/spreadsheets/d/1-1hIl7Yg82v3gyTB-i1nNozVVtvDcO9TMHfODz0BzR4/edit#gid=1950145915")</f>
        <v>https://docs.google.com/spreadsheets/d/1-1hIl7Yg82v3gyTB-i1nNozVVtvDcO9TMHfODz0BzR4/edit#gid=1950145915</v>
      </c>
      <c r="H755" s="32" t="s">
        <v>336</v>
      </c>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15"/>
      <c r="C756" s="21"/>
      <c r="D756" s="15"/>
      <c r="E756" s="32" t="s">
        <v>88</v>
      </c>
      <c r="F756" s="32" t="s">
        <v>96</v>
      </c>
      <c r="G756" s="70" t="str">
        <f>HYPERLINK("https://docs.google.com/spreadsheets/d/1-1hIl7Yg82v3gyTB-i1nNozVVtvDcO9TMHfODz0BzR4/edit#gid=783996316", "https://docs.google.com/spreadsheets/d/1-1hIl7Yg82v3gyTB-i1nNozVVtvDcO9TMHfODz0BzR4/edit#gid=783996316")</f>
        <v>https://docs.google.com/spreadsheets/d/1-1hIl7Yg82v3gyTB-i1nNozVVtvDcO9TMHfODz0BzR4/edit#gid=783996316</v>
      </c>
      <c r="H756" s="32" t="s">
        <v>337</v>
      </c>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15"/>
      <c r="C757" s="21"/>
      <c r="D757" s="15"/>
      <c r="E757" s="32" t="s">
        <v>86</v>
      </c>
      <c r="F757" s="32" t="s">
        <v>90</v>
      </c>
      <c r="G757" s="70" t="str">
        <f>HYPERLINK("https://docs.google.com/spreadsheets/d/1-1hIl7Yg82v3gyTB-i1nNozVVtvDcO9TMHfODz0BzR4/edit#gid=1316679666", "https://docs.google.com/spreadsheets/d/1-1hIl7Yg82v3gyTB-i1nNozVVtvDcO9TMHfODz0BzR4/edit#gid=1316679666")</f>
        <v>https://docs.google.com/spreadsheets/d/1-1hIl7Yg82v3gyTB-i1nNozVVtvDcO9TMHfODz0BzR4/edit#gid=1316679666</v>
      </c>
      <c r="H757" s="32" t="s">
        <v>90</v>
      </c>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15"/>
      <c r="C758" s="21"/>
      <c r="D758" s="15"/>
      <c r="E758" s="32" t="s">
        <v>86</v>
      </c>
      <c r="F758" s="32" t="s">
        <v>91</v>
      </c>
      <c r="G758" s="70" t="str">
        <f>HYPERLINK("https://docs.google.com/spreadsheets/d/1-1hIl7Yg82v3gyTB-i1nNozVVtvDcO9TMHfODz0BzR4/edit#gid=482205308", "https://docs.google.com/spreadsheets/d/1-1hIl7Yg82v3gyTB-i1nNozVVtvDcO9TMHfODz0BzR4/edit#gid=482205308")</f>
        <v>https://docs.google.com/spreadsheets/d/1-1hIl7Yg82v3gyTB-i1nNozVVtvDcO9TMHfODz0BzR4/edit#gid=482205308</v>
      </c>
      <c r="H758" s="32" t="s">
        <v>91</v>
      </c>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15"/>
      <c r="C759" s="21"/>
      <c r="D759" s="15"/>
      <c r="E759" s="32" t="s">
        <v>86</v>
      </c>
      <c r="F759" s="32" t="s">
        <v>338</v>
      </c>
      <c r="G759" s="70" t="str">
        <f>HYPERLINK("https://docs.google.com/spreadsheets/d/1-1hIl7Yg82v3gyTB-i1nNozVVtvDcO9TMHfODz0BzR4/edit#gid=1961456582", "https://docs.google.com/spreadsheets/d/1-1hIl7Yg82v3gyTB-i1nNozVVtvDcO9TMHfODz0BzR4/edit#gid=1961456582")</f>
        <v>https://docs.google.com/spreadsheets/d/1-1hIl7Yg82v3gyTB-i1nNozVVtvDcO9TMHfODz0BzR4/edit#gid=1961456582</v>
      </c>
      <c r="H759" s="32" t="s">
        <v>338</v>
      </c>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15"/>
      <c r="C760" s="21"/>
      <c r="D760" s="15"/>
      <c r="E760" s="32" t="s">
        <v>86</v>
      </c>
      <c r="F760" s="32" t="s">
        <v>339</v>
      </c>
      <c r="G760" s="70" t="str">
        <f>HYPERLINK("https://docs.google.com/spreadsheets/d/1-1hIl7Yg82v3gyTB-i1nNozVVtvDcO9TMHfODz0BzR4/edit#gid=215936410", "https://docs.google.com/spreadsheets/d/1-1hIl7Yg82v3gyTB-i1nNozVVtvDcO9TMHfODz0BzR4/edit#gid=215936410")</f>
        <v>https://docs.google.com/spreadsheets/d/1-1hIl7Yg82v3gyTB-i1nNozVVtvDcO9TMHfODz0BzR4/edit#gid=215936410</v>
      </c>
      <c r="H760" s="32" t="s">
        <v>339</v>
      </c>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15"/>
      <c r="C761" s="21"/>
      <c r="D761" s="15"/>
      <c r="E761" s="32" t="s">
        <v>178</v>
      </c>
      <c r="F761" s="32" t="s">
        <v>209</v>
      </c>
      <c r="G761" s="70" t="str">
        <f>HYPERLINK("https://docs.google.com/spreadsheets/d/1-1hIl7Yg82v3gyTB-i1nNozVVtvDcO9TMHfODz0BzR4/edit#gid=947071430", "https://docs.google.com/spreadsheets/d/1-1hIl7Yg82v3gyTB-i1nNozVVtvDcO9TMHfODz0BzR4/edit#gid=947071430")</f>
        <v>https://docs.google.com/spreadsheets/d/1-1hIl7Yg82v3gyTB-i1nNozVVtvDcO9TMHfODz0BzR4/edit#gid=947071430</v>
      </c>
      <c r="H761" s="32" t="s">
        <v>209</v>
      </c>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15"/>
      <c r="C762" s="21"/>
      <c r="D762" s="15"/>
      <c r="E762" s="32" t="s">
        <v>178</v>
      </c>
      <c r="F762" s="32" t="s">
        <v>210</v>
      </c>
      <c r="G762" s="70" t="str">
        <f>HYPERLINK("https://docs.google.com/spreadsheets/d/1-1hIl7Yg82v3gyTB-i1nNozVVtvDcO9TMHfODz0BzR4/edit#gid=1042652228", "https://docs.google.com/spreadsheets/d/1-1hIl7Yg82v3gyTB-i1nNozVVtvDcO9TMHfODz0BzR4/edit#gid=1042652228")</f>
        <v>https://docs.google.com/spreadsheets/d/1-1hIl7Yg82v3gyTB-i1nNozVVtvDcO9TMHfODz0BzR4/edit#gid=1042652228</v>
      </c>
      <c r="H762" s="32" t="s">
        <v>210</v>
      </c>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15"/>
      <c r="C763" s="21"/>
      <c r="D763" s="15"/>
      <c r="E763" s="32"/>
      <c r="F763" s="32"/>
      <c r="G763" s="15"/>
      <c r="H763" s="32"/>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32" t="s">
        <v>340</v>
      </c>
      <c r="C764" s="66" t="s">
        <v>341</v>
      </c>
      <c r="D764" s="32" t="s">
        <v>20</v>
      </c>
      <c r="E764" s="32" t="s">
        <v>88</v>
      </c>
      <c r="F764" s="32" t="s">
        <v>239</v>
      </c>
      <c r="G764" s="70" t="str">
        <f>HYPERLINK("https://docs.google.com/spreadsheets/d/1O7WH5DQ8twJ2akgNWXWWALPgp4r5_OSGHrNJqVTrF2U/edit#gid=622418800", "https://docs.google.com/spreadsheets/d/1O7WH5DQ8twJ2akgNWXWWALPgp4r5_OSGHrNJqVTrF2U/edit#gid=622418800")</f>
        <v>https://docs.google.com/spreadsheets/d/1O7WH5DQ8twJ2akgNWXWWALPgp4r5_OSGHrNJqVTrF2U/edit#gid=622418800</v>
      </c>
      <c r="H764" s="32" t="s">
        <v>239</v>
      </c>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15"/>
      <c r="C765" s="21"/>
      <c r="D765" s="15"/>
      <c r="E765" s="32" t="s">
        <v>147</v>
      </c>
      <c r="F765" s="32" t="s">
        <v>148</v>
      </c>
      <c r="G765" s="15"/>
      <c r="H765" s="36"/>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15"/>
      <c r="C766" s="21"/>
      <c r="D766" s="15"/>
      <c r="E766" s="32" t="s">
        <v>21</v>
      </c>
      <c r="F766" s="32" t="s">
        <v>244</v>
      </c>
      <c r="G766" s="70" t="str">
        <f>HYPERLINK("https://docs.google.com/spreadsheets/d/1O7WH5DQ8twJ2akgNWXWWALPgp4r5_OSGHrNJqVTrF2U/edit#gid=986486159", "https://docs.google.com/spreadsheets/d/1O7WH5DQ8twJ2akgNWXWWALPgp4r5_OSGHrNJqVTrF2U/edit#gid=986486159")</f>
        <v>https://docs.google.com/spreadsheets/d/1O7WH5DQ8twJ2akgNWXWWALPgp4r5_OSGHrNJqVTrF2U/edit#gid=986486159</v>
      </c>
      <c r="H766" s="32" t="s">
        <v>244</v>
      </c>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15"/>
      <c r="C767" s="21"/>
      <c r="D767" s="15"/>
      <c r="E767" s="32" t="s">
        <v>21</v>
      </c>
      <c r="F767" s="32" t="s">
        <v>22</v>
      </c>
      <c r="G767" s="70" t="str">
        <f>HYPERLINK("https://docs.google.com/spreadsheets/d/1O7WH5DQ8twJ2akgNWXWWALPgp4r5_OSGHrNJqVTrF2U/edit#gid=696030809", "https://docs.google.com/spreadsheets/d/1O7WH5DQ8twJ2akgNWXWWALPgp4r5_OSGHrNJqVTrF2U/edit#gid=696030809")</f>
        <v>https://docs.google.com/spreadsheets/d/1O7WH5DQ8twJ2akgNWXWWALPgp4r5_OSGHrNJqVTrF2U/edit#gid=696030809</v>
      </c>
      <c r="H767" s="32" t="s">
        <v>22</v>
      </c>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15"/>
      <c r="C768" s="21"/>
      <c r="D768" s="15"/>
      <c r="E768" s="32" t="s">
        <v>43</v>
      </c>
      <c r="F768" s="32" t="s">
        <v>79</v>
      </c>
      <c r="G768" s="70" t="str">
        <f>HYPERLINK("https://docs.google.com/spreadsheets/d/1O7WH5DQ8twJ2akgNWXWWALPgp4r5_OSGHrNJqVTrF2U/edit#gid=229511512", "https://docs.google.com/spreadsheets/d/1O7WH5DQ8twJ2akgNWXWWALPgp4r5_OSGHrNJqVTrF2U/edit#gid=229511512")</f>
        <v>https://docs.google.com/spreadsheets/d/1O7WH5DQ8twJ2akgNWXWWALPgp4r5_OSGHrNJqVTrF2U/edit#gid=229511512</v>
      </c>
      <c r="H768" s="32" t="s">
        <v>79</v>
      </c>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15"/>
      <c r="C769" s="21"/>
      <c r="D769" s="15"/>
      <c r="E769" s="32" t="s">
        <v>43</v>
      </c>
      <c r="F769" s="32" t="s">
        <v>109</v>
      </c>
      <c r="G769" s="70" t="str">
        <f>HYPERLINK("https://docs.google.com/spreadsheets/d/1O7WH5DQ8twJ2akgNWXWWALPgp4r5_OSGHrNJqVTrF2U/edit#gid=1306346828", "https://docs.google.com/spreadsheets/d/1O7WH5DQ8twJ2akgNWXWWALPgp4r5_OSGHrNJqVTrF2U/edit#gid=1306346828")</f>
        <v>https://docs.google.com/spreadsheets/d/1O7WH5DQ8twJ2akgNWXWWALPgp4r5_OSGHrNJqVTrF2U/edit#gid=1306346828</v>
      </c>
      <c r="H769" s="32" t="s">
        <v>109</v>
      </c>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15"/>
      <c r="C770" s="21"/>
      <c r="D770" s="15"/>
      <c r="E770" s="32" t="s">
        <v>21</v>
      </c>
      <c r="F770" s="32" t="s">
        <v>110</v>
      </c>
      <c r="G770" s="70" t="str">
        <f>HYPERLINK("https://docs.google.com/spreadsheets/d/1O7WH5DQ8twJ2akgNWXWWALPgp4r5_OSGHrNJqVTrF2U/edit#gid=1354315474", "https://docs.google.com/spreadsheets/d/1O7WH5DQ8twJ2akgNWXWWALPgp4r5_OSGHrNJqVTrF2U/edit#gid=1354315474")</f>
        <v>https://docs.google.com/spreadsheets/d/1O7WH5DQ8twJ2akgNWXWWALPgp4r5_OSGHrNJqVTrF2U/edit#gid=1354315474</v>
      </c>
      <c r="H770" s="32" t="s">
        <v>110</v>
      </c>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15"/>
      <c r="C771" s="21"/>
      <c r="D771" s="15"/>
      <c r="E771" s="32" t="s">
        <v>43</v>
      </c>
      <c r="F771" s="32" t="s">
        <v>342</v>
      </c>
      <c r="G771" s="70" t="str">
        <f>HYPERLINK("https://docs.google.com/spreadsheets/d/1O7WH5DQ8twJ2akgNWXWWALPgp4r5_OSGHrNJqVTrF2U/edit#gid=1842868597", "https://docs.google.com/spreadsheets/d/1O7WH5DQ8twJ2akgNWXWWALPgp4r5_OSGHrNJqVTrF2U/edit#gid=1842868597")</f>
        <v>https://docs.google.com/spreadsheets/d/1O7WH5DQ8twJ2akgNWXWWALPgp4r5_OSGHrNJqVTrF2U/edit#gid=1842868597</v>
      </c>
      <c r="H771" s="32" t="s">
        <v>342</v>
      </c>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15"/>
      <c r="C772" s="21"/>
      <c r="D772" s="15"/>
      <c r="E772" s="32" t="s">
        <v>43</v>
      </c>
      <c r="F772" s="32" t="s">
        <v>343</v>
      </c>
      <c r="G772" s="70" t="str">
        <f>HYPERLINK("https://docs.google.com/spreadsheets/d/1O7WH5DQ8twJ2akgNWXWWALPgp4r5_OSGHrNJqVTrF2U/edit#gid=1909644372", "https://docs.google.com/spreadsheets/d/1O7WH5DQ8twJ2akgNWXWWALPgp4r5_OSGHrNJqVTrF2U/edit#gid=1909644372")</f>
        <v>https://docs.google.com/spreadsheets/d/1O7WH5DQ8twJ2akgNWXWWALPgp4r5_OSGHrNJqVTrF2U/edit#gid=1909644372</v>
      </c>
      <c r="H772" s="32" t="s">
        <v>343</v>
      </c>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15"/>
      <c r="C773" s="21"/>
      <c r="D773" s="15"/>
      <c r="E773" s="32" t="s">
        <v>43</v>
      </c>
      <c r="F773" s="32" t="s">
        <v>77</v>
      </c>
      <c r="G773" s="70" t="str">
        <f>HYPERLINK("https://docs.google.com/spreadsheets/d/1O7WH5DQ8twJ2akgNWXWWALPgp4r5_OSGHrNJqVTrF2U/edit#gid=5880541", "https://docs.google.com/spreadsheets/d/1O7WH5DQ8twJ2akgNWXWWALPgp4r5_OSGHrNJqVTrF2U/edit#gid=5880541")</f>
        <v>https://docs.google.com/spreadsheets/d/1O7WH5DQ8twJ2akgNWXWWALPgp4r5_OSGHrNJqVTrF2U/edit#gid=5880541</v>
      </c>
      <c r="H773" s="32" t="s">
        <v>77</v>
      </c>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15"/>
      <c r="C774" s="21"/>
      <c r="D774" s="15"/>
      <c r="E774" s="15"/>
      <c r="F774" s="15"/>
      <c r="G774" s="15"/>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32" t="s">
        <v>344</v>
      </c>
      <c r="C775" s="83" t="s">
        <v>345</v>
      </c>
      <c r="D775" s="32" t="s">
        <v>20</v>
      </c>
      <c r="E775" s="32" t="s">
        <v>21</v>
      </c>
      <c r="F775" s="32" t="s">
        <v>51</v>
      </c>
      <c r="G775" s="70" t="str">
        <f>HYPERLINK("https://docs.google.com/spreadsheets/d/1foOpZyHXRD46IxV-SAhWoNxsvL3X4jfcvwrT1Z91fEM/edit#gid=1308134331", "https://docs.google.com/spreadsheets/d/1foOpZyHXRD46IxV-SAhWoNxsvL3X4jfcvwrT1Z91fEM/edit#gid=1308134331")</f>
        <v>https://docs.google.com/spreadsheets/d/1foOpZyHXRD46IxV-SAhWoNxsvL3X4jfcvwrT1Z91fEM/edit#gid=1308134331</v>
      </c>
      <c r="H775" s="32" t="s">
        <v>51</v>
      </c>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15"/>
      <c r="D776" s="15"/>
      <c r="E776" s="32" t="s">
        <v>24</v>
      </c>
      <c r="F776" s="32" t="s">
        <v>25</v>
      </c>
      <c r="G776" s="70" t="str">
        <f>HYPERLINK("https://docs.google.com/spreadsheets/d/1foOpZyHXRD46IxV-SAhWoNxsvL3X4jfcvwrT1Z91fEM/edit#gid=90805592", "https://docs.google.com/spreadsheets/d/1foOpZyHXRD46IxV-SAhWoNxsvL3X4jfcvwrT1Z91fEM/edit#gid=90805592")</f>
        <v>https://docs.google.com/spreadsheets/d/1foOpZyHXRD46IxV-SAhWoNxsvL3X4jfcvwrT1Z91fEM/edit#gid=90805592</v>
      </c>
      <c r="H776" s="32" t="s">
        <v>25</v>
      </c>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15"/>
      <c r="D777" s="15"/>
      <c r="E777" s="32" t="s">
        <v>24</v>
      </c>
      <c r="F777" s="32" t="s">
        <v>101</v>
      </c>
      <c r="G777" s="70" t="str">
        <f>HYPERLINK("https://docs.google.com/spreadsheets/d/1foOpZyHXRD46IxV-SAhWoNxsvL3X4jfcvwrT1Z91fEM/edit#gid=2122477509", "https://docs.google.com/spreadsheets/d/1foOpZyHXRD46IxV-SAhWoNxsvL3X4jfcvwrT1Z91fEM/edit#gid=2122477509")</f>
        <v>https://docs.google.com/spreadsheets/d/1foOpZyHXRD46IxV-SAhWoNxsvL3X4jfcvwrT1Z91fEM/edit#gid=2122477509</v>
      </c>
      <c r="H777" s="32" t="s">
        <v>101</v>
      </c>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15"/>
      <c r="D778" s="15"/>
      <c r="E778" s="32" t="s">
        <v>24</v>
      </c>
      <c r="F778" s="32" t="s">
        <v>63</v>
      </c>
      <c r="G778" s="70" t="str">
        <f>HYPERLINK("https://docs.google.com/spreadsheets/d/1foOpZyHXRD46IxV-SAhWoNxsvL3X4jfcvwrT1Z91fEM/edit#gid=1621568350", "https://docs.google.com/spreadsheets/d/1foOpZyHXRD46IxV-SAhWoNxsvL3X4jfcvwrT1Z91fEM/edit#gid=1621568350")</f>
        <v>https://docs.google.com/spreadsheets/d/1foOpZyHXRD46IxV-SAhWoNxsvL3X4jfcvwrT1Z91fEM/edit#gid=1621568350</v>
      </c>
      <c r="H778" s="32" t="s">
        <v>63</v>
      </c>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15"/>
      <c r="D779" s="15"/>
      <c r="E779" s="32" t="s">
        <v>24</v>
      </c>
      <c r="F779" s="32" t="s">
        <v>318</v>
      </c>
      <c r="G779" s="70" t="str">
        <f>HYPERLINK("https://docs.google.com/spreadsheets/d/1foOpZyHXRD46IxV-SAhWoNxsvL3X4jfcvwrT1Z91fEM/edit#gid=82722384", "https://docs.google.com/spreadsheets/d/1foOpZyHXRD46IxV-SAhWoNxsvL3X4jfcvwrT1Z91fEM/edit#gid=82722384")</f>
        <v>https://docs.google.com/spreadsheets/d/1foOpZyHXRD46IxV-SAhWoNxsvL3X4jfcvwrT1Z91fEM/edit#gid=82722384</v>
      </c>
      <c r="H779" s="32" t="s">
        <v>318</v>
      </c>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15"/>
      <c r="D780" s="15"/>
      <c r="E780" s="32" t="s">
        <v>24</v>
      </c>
      <c r="F780" s="32" t="s">
        <v>314</v>
      </c>
      <c r="G780" s="70" t="str">
        <f>HYPERLINK("https://docs.google.com/spreadsheets/d/1foOpZyHXRD46IxV-SAhWoNxsvL3X4jfcvwrT1Z91fEM/edit#gid=1944580919", "https://docs.google.com/spreadsheets/d/1foOpZyHXRD46IxV-SAhWoNxsvL3X4jfcvwrT1Z91fEM/edit#gid=1944580919")</f>
        <v>https://docs.google.com/spreadsheets/d/1foOpZyHXRD46IxV-SAhWoNxsvL3X4jfcvwrT1Z91fEM/edit#gid=1944580919</v>
      </c>
      <c r="H780" s="32" t="s">
        <v>314</v>
      </c>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15"/>
      <c r="D781" s="15"/>
      <c r="E781" s="32" t="s">
        <v>24</v>
      </c>
      <c r="F781" s="32" t="s">
        <v>315</v>
      </c>
      <c r="G781" s="70" t="str">
        <f>HYPERLINK("https://docs.google.com/spreadsheets/d/1foOpZyHXRD46IxV-SAhWoNxsvL3X4jfcvwrT1Z91fEM/edit#gid=1979690212", "https://docs.google.com/spreadsheets/d/1foOpZyHXRD46IxV-SAhWoNxsvL3X4jfcvwrT1Z91fEM/edit#gid=1979690212")</f>
        <v>https://docs.google.com/spreadsheets/d/1foOpZyHXRD46IxV-SAhWoNxsvL3X4jfcvwrT1Z91fEM/edit#gid=1979690212</v>
      </c>
      <c r="H781" s="32" t="s">
        <v>315</v>
      </c>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15"/>
      <c r="C782" s="21"/>
      <c r="D782" s="15"/>
      <c r="E782" s="15"/>
      <c r="F782" s="15"/>
      <c r="G782" s="15"/>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32" t="s">
        <v>346</v>
      </c>
      <c r="C783" s="83" t="s">
        <v>347</v>
      </c>
      <c r="D783" s="32" t="s">
        <v>20</v>
      </c>
      <c r="E783" s="32" t="s">
        <v>21</v>
      </c>
      <c r="F783" s="32" t="s">
        <v>51</v>
      </c>
      <c r="G783" s="70" t="str">
        <f>HYPERLINK("https://docs.google.com/spreadsheets/d/1nu_RJZbMr_5hWFmft_I_wjXMuTJlPhYP6c1GWcuS6Vo/edit#gid=1560117930", "https://docs.google.com/spreadsheets/d/1nu_RJZbMr_5hWFmft_I_wjXMuTJlPhYP6c1GWcuS6Vo/edit#gid=1560117930")</f>
        <v>https://docs.google.com/spreadsheets/d/1nu_RJZbMr_5hWFmft_I_wjXMuTJlPhYP6c1GWcuS6Vo/edit#gid=1560117930</v>
      </c>
      <c r="H783" s="32" t="s">
        <v>51</v>
      </c>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15"/>
      <c r="D784" s="15"/>
      <c r="E784" s="32" t="s">
        <v>24</v>
      </c>
      <c r="F784" s="32" t="s">
        <v>63</v>
      </c>
      <c r="G784" s="70" t="str">
        <f>HYPERLINK("https://docs.google.com/spreadsheets/d/1nu_RJZbMr_5hWFmft_I_wjXMuTJlPhYP6c1GWcuS6Vo/edit#gid=1342194942", "https://docs.google.com/spreadsheets/d/1nu_RJZbMr_5hWFmft_I_wjXMuTJlPhYP6c1GWcuS6Vo/edit#gid=1342194942")</f>
        <v>https://docs.google.com/spreadsheets/d/1nu_RJZbMr_5hWFmft_I_wjXMuTJlPhYP6c1GWcuS6Vo/edit#gid=1342194942</v>
      </c>
      <c r="H784" s="32" t="s">
        <v>63</v>
      </c>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15"/>
      <c r="D785" s="15"/>
      <c r="E785" s="32" t="s">
        <v>24</v>
      </c>
      <c r="F785" s="32" t="s">
        <v>318</v>
      </c>
      <c r="G785" s="70" t="str">
        <f>HYPERLINK("https://docs.google.com/spreadsheets/d/1nu_RJZbMr_5hWFmft_I_wjXMuTJlPhYP6c1GWcuS6Vo/edit#gid=2106763400", "https://docs.google.com/spreadsheets/d/1nu_RJZbMr_5hWFmft_I_wjXMuTJlPhYP6c1GWcuS6Vo/edit#gid=2106763400")</f>
        <v>https://docs.google.com/spreadsheets/d/1nu_RJZbMr_5hWFmft_I_wjXMuTJlPhYP6c1GWcuS6Vo/edit#gid=2106763400</v>
      </c>
      <c r="H785" s="32" t="s">
        <v>318</v>
      </c>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15"/>
      <c r="D786" s="15"/>
      <c r="E786" s="32" t="s">
        <v>88</v>
      </c>
      <c r="F786" s="32" t="s">
        <v>95</v>
      </c>
      <c r="G786" s="70" t="str">
        <f>HYPERLINK("https://docs.google.com/spreadsheets/d/1nu_RJZbMr_5hWFmft_I_wjXMuTJlPhYP6c1GWcuS6Vo/edit#gid=239743306", "https://docs.google.com/spreadsheets/d/1nu_RJZbMr_5hWFmft_I_wjXMuTJlPhYP6c1GWcuS6Vo/edit#gid=239743306")</f>
        <v>https://docs.google.com/spreadsheets/d/1nu_RJZbMr_5hWFmft_I_wjXMuTJlPhYP6c1GWcuS6Vo/edit#gid=239743306</v>
      </c>
      <c r="H786" s="32" t="s">
        <v>95</v>
      </c>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15"/>
      <c r="D787" s="15"/>
      <c r="E787" s="32" t="s">
        <v>88</v>
      </c>
      <c r="F787" s="32" t="s">
        <v>125</v>
      </c>
      <c r="G787" s="70" t="str">
        <f>HYPERLINK("https://docs.google.com/spreadsheets/d/1nu_RJZbMr_5hWFmft_I_wjXMuTJlPhYP6c1GWcuS6Vo/edit#gid=867916383", "https://docs.google.com/spreadsheets/d/1nu_RJZbMr_5hWFmft_I_wjXMuTJlPhYP6c1GWcuS6Vo/edit#gid=867916383")</f>
        <v>https://docs.google.com/spreadsheets/d/1nu_RJZbMr_5hWFmft_I_wjXMuTJlPhYP6c1GWcuS6Vo/edit#gid=867916383</v>
      </c>
      <c r="H787" s="32" t="s">
        <v>125</v>
      </c>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15"/>
      <c r="D788" s="15"/>
      <c r="E788" s="32" t="s">
        <v>88</v>
      </c>
      <c r="F788" s="32" t="s">
        <v>126</v>
      </c>
      <c r="G788" s="70" t="str">
        <f>HYPERLINK("https://docs.google.com/spreadsheets/d/1nu_RJZbMr_5hWFmft_I_wjXMuTJlPhYP6c1GWcuS6Vo/edit#gid=2101846337", "https://docs.google.com/spreadsheets/d/1nu_RJZbMr_5hWFmft_I_wjXMuTJlPhYP6c1GWcuS6Vo/edit#gid=2101846337")</f>
        <v>https://docs.google.com/spreadsheets/d/1nu_RJZbMr_5hWFmft_I_wjXMuTJlPhYP6c1GWcuS6Vo/edit#gid=2101846337</v>
      </c>
      <c r="H788" s="32" t="s">
        <v>126</v>
      </c>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15"/>
      <c r="D789" s="15"/>
      <c r="E789" s="32" t="s">
        <v>24</v>
      </c>
      <c r="F789" s="32" t="s">
        <v>25</v>
      </c>
      <c r="G789" s="70" t="str">
        <f>HYPERLINK("https://docs.google.com/spreadsheets/d/1nu_RJZbMr_5hWFmft_I_wjXMuTJlPhYP6c1GWcuS6Vo/edit#gid=1606455762", "https://docs.google.com/spreadsheets/d/1nu_RJZbMr_5hWFmft_I_wjXMuTJlPhYP6c1GWcuS6Vo/edit#gid=1606455762")</f>
        <v>https://docs.google.com/spreadsheets/d/1nu_RJZbMr_5hWFmft_I_wjXMuTJlPhYP6c1GWcuS6Vo/edit#gid=1606455762</v>
      </c>
      <c r="H789" s="32" t="s">
        <v>25</v>
      </c>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15"/>
      <c r="D790" s="15"/>
      <c r="E790" s="32" t="s">
        <v>24</v>
      </c>
      <c r="F790" s="32" t="s">
        <v>101</v>
      </c>
      <c r="G790" s="70" t="str">
        <f>HYPERLINK("https://docs.google.com/spreadsheets/d/1nu_RJZbMr_5hWFmft_I_wjXMuTJlPhYP6c1GWcuS6Vo/edit#gid=660839717", "https://docs.google.com/spreadsheets/d/1nu_RJZbMr_5hWFmft_I_wjXMuTJlPhYP6c1GWcuS6Vo/edit#gid=660839717")</f>
        <v>https://docs.google.com/spreadsheets/d/1nu_RJZbMr_5hWFmft_I_wjXMuTJlPhYP6c1GWcuS6Vo/edit#gid=660839717</v>
      </c>
      <c r="H790" s="32" t="s">
        <v>101</v>
      </c>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15"/>
      <c r="D791" s="15"/>
      <c r="E791" s="32" t="s">
        <v>24</v>
      </c>
      <c r="F791" s="32" t="s">
        <v>314</v>
      </c>
      <c r="G791" s="70" t="str">
        <f>HYPERLINK("https://docs.google.com/spreadsheets/d/1nu_RJZbMr_5hWFmft_I_wjXMuTJlPhYP6c1GWcuS6Vo/edit#gid=1383755332", "https://docs.google.com/spreadsheets/d/1nu_RJZbMr_5hWFmft_I_wjXMuTJlPhYP6c1GWcuS6Vo/edit#gid=1383755332")</f>
        <v>https://docs.google.com/spreadsheets/d/1nu_RJZbMr_5hWFmft_I_wjXMuTJlPhYP6c1GWcuS6Vo/edit#gid=1383755332</v>
      </c>
      <c r="H791" s="32" t="s">
        <v>314</v>
      </c>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15"/>
      <c r="D792" s="15"/>
      <c r="E792" s="32" t="s">
        <v>24</v>
      </c>
      <c r="F792" s="32" t="s">
        <v>315</v>
      </c>
      <c r="G792" s="70" t="str">
        <f>HYPERLINK("https://docs.google.com/spreadsheets/d/1nu_RJZbMr_5hWFmft_I_wjXMuTJlPhYP6c1GWcuS6Vo/edit#gid=279952176", "https://docs.google.com/spreadsheets/d/1nu_RJZbMr_5hWFmft_I_wjXMuTJlPhYP6c1GWcuS6Vo/edit#gid=279952176")</f>
        <v>https://docs.google.com/spreadsheets/d/1nu_RJZbMr_5hWFmft_I_wjXMuTJlPhYP6c1GWcuS6Vo/edit#gid=279952176</v>
      </c>
      <c r="H792" s="32" t="s">
        <v>315</v>
      </c>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15"/>
      <c r="C793" s="21"/>
      <c r="D793" s="15"/>
      <c r="E793" s="15"/>
      <c r="F793" s="15"/>
      <c r="G793" s="15"/>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32" t="s">
        <v>348</v>
      </c>
      <c r="C794" s="83" t="s">
        <v>349</v>
      </c>
      <c r="D794" s="32" t="s">
        <v>20</v>
      </c>
      <c r="E794" s="32" t="s">
        <v>21</v>
      </c>
      <c r="F794" s="32" t="s">
        <v>51</v>
      </c>
      <c r="G794" s="70" t="str">
        <f>HYPERLINK("https://docs.google.com/spreadsheets/d/1yca9nm6oolZ3iBIsQsVqgIT-CnIvSrOfloVeRYv_seE/edit#gid=1998145589", "https://docs.google.com/spreadsheets/d/1yca9nm6oolZ3iBIsQsVqgIT-CnIvSrOfloVeRYv_seE/edit#gid=1998145589")</f>
        <v>https://docs.google.com/spreadsheets/d/1yca9nm6oolZ3iBIsQsVqgIT-CnIvSrOfloVeRYv_seE/edit#gid=1998145589</v>
      </c>
      <c r="H794" s="32" t="s">
        <v>51</v>
      </c>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15"/>
      <c r="D795" s="15"/>
      <c r="E795" s="32" t="s">
        <v>24</v>
      </c>
      <c r="F795" s="32" t="s">
        <v>63</v>
      </c>
      <c r="G795" s="70" t="str">
        <f>HYPERLINK("https://docs.google.com/spreadsheets/d/1yca9nm6oolZ3iBIsQsVqgIT-CnIvSrOfloVeRYv_seE/edit#gid=256071917", "https://docs.google.com/spreadsheets/d/1yca9nm6oolZ3iBIsQsVqgIT-CnIvSrOfloVeRYv_seE/edit#gid=256071917")</f>
        <v>https://docs.google.com/spreadsheets/d/1yca9nm6oolZ3iBIsQsVqgIT-CnIvSrOfloVeRYv_seE/edit#gid=256071917</v>
      </c>
      <c r="H795" s="32" t="s">
        <v>63</v>
      </c>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15"/>
      <c r="D796" s="15"/>
      <c r="E796" s="32" t="s">
        <v>24</v>
      </c>
      <c r="F796" s="32" t="s">
        <v>318</v>
      </c>
      <c r="G796" s="70" t="str">
        <f>HYPERLINK("https://docs.google.com/spreadsheets/d/1yca9nm6oolZ3iBIsQsVqgIT-CnIvSrOfloVeRYv_seE/edit#gid=1842641332", "https://docs.google.com/spreadsheets/d/1yca9nm6oolZ3iBIsQsVqgIT-CnIvSrOfloVeRYv_seE/edit#gid=1842641332")</f>
        <v>https://docs.google.com/spreadsheets/d/1yca9nm6oolZ3iBIsQsVqgIT-CnIvSrOfloVeRYv_seE/edit#gid=1842641332</v>
      </c>
      <c r="H796" s="32" t="s">
        <v>318</v>
      </c>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15"/>
      <c r="D797" s="15"/>
      <c r="E797" s="32" t="s">
        <v>88</v>
      </c>
      <c r="F797" s="32" t="s">
        <v>95</v>
      </c>
      <c r="G797" s="70" t="str">
        <f>HYPERLINK("https://docs.google.com/spreadsheets/d/1yca9nm6oolZ3iBIsQsVqgIT-CnIvSrOfloVeRYv_seE/edit#gid=57552165", "https://docs.google.com/spreadsheets/d/1yca9nm6oolZ3iBIsQsVqgIT-CnIvSrOfloVeRYv_seE/edit#gid=57552165")</f>
        <v>https://docs.google.com/spreadsheets/d/1yca9nm6oolZ3iBIsQsVqgIT-CnIvSrOfloVeRYv_seE/edit#gid=57552165</v>
      </c>
      <c r="H797" s="32" t="s">
        <v>95</v>
      </c>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15"/>
      <c r="D798" s="15"/>
      <c r="E798" s="32" t="s">
        <v>88</v>
      </c>
      <c r="F798" s="32" t="s">
        <v>125</v>
      </c>
      <c r="G798" s="70" t="str">
        <f>HYPERLINK("https://docs.google.com/spreadsheets/d/1yca9nm6oolZ3iBIsQsVqgIT-CnIvSrOfloVeRYv_seE/edit#gid=369681662", "https://docs.google.com/spreadsheets/d/1yca9nm6oolZ3iBIsQsVqgIT-CnIvSrOfloVeRYv_seE/edit#gid=369681662")</f>
        <v>https://docs.google.com/spreadsheets/d/1yca9nm6oolZ3iBIsQsVqgIT-CnIvSrOfloVeRYv_seE/edit#gid=369681662</v>
      </c>
      <c r="H798" s="32" t="s">
        <v>125</v>
      </c>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15"/>
      <c r="D799" s="15"/>
      <c r="E799" s="32" t="s">
        <v>88</v>
      </c>
      <c r="F799" s="32" t="s">
        <v>245</v>
      </c>
      <c r="G799" s="15"/>
      <c r="H799" s="36"/>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15"/>
      <c r="D800" s="15"/>
      <c r="E800" s="32" t="s">
        <v>24</v>
      </c>
      <c r="F800" s="32" t="s">
        <v>25</v>
      </c>
      <c r="G800" s="70" t="str">
        <f>HYPERLINK("https://docs.google.com/spreadsheets/d/1yca9nm6oolZ3iBIsQsVqgIT-CnIvSrOfloVeRYv_seE/edit#gid=1199366679", "https://docs.google.com/spreadsheets/d/1yca9nm6oolZ3iBIsQsVqgIT-CnIvSrOfloVeRYv_seE/edit#gid=1199366679")</f>
        <v>https://docs.google.com/spreadsheets/d/1yca9nm6oolZ3iBIsQsVqgIT-CnIvSrOfloVeRYv_seE/edit#gid=1199366679</v>
      </c>
      <c r="H800" s="32" t="s">
        <v>25</v>
      </c>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15"/>
      <c r="D801" s="15"/>
      <c r="E801" s="32" t="s">
        <v>24</v>
      </c>
      <c r="F801" s="32" t="s">
        <v>101</v>
      </c>
      <c r="G801" s="70" t="str">
        <f>HYPERLINK("https://docs.google.com/spreadsheets/d/1yca9nm6oolZ3iBIsQsVqgIT-CnIvSrOfloVeRYv_seE/edit#gid=978462687", "https://docs.google.com/spreadsheets/d/1yca9nm6oolZ3iBIsQsVqgIT-CnIvSrOfloVeRYv_seE/edit#gid=978462687")</f>
        <v>https://docs.google.com/spreadsheets/d/1yca9nm6oolZ3iBIsQsVqgIT-CnIvSrOfloVeRYv_seE/edit#gid=978462687</v>
      </c>
      <c r="H801" s="32" t="s">
        <v>101</v>
      </c>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15"/>
      <c r="D802" s="15"/>
      <c r="E802" s="32" t="s">
        <v>24</v>
      </c>
      <c r="F802" s="32" t="s">
        <v>314</v>
      </c>
      <c r="G802" s="70" t="str">
        <f>HYPERLINK("https://docs.google.com/spreadsheets/d/1yca9nm6oolZ3iBIsQsVqgIT-CnIvSrOfloVeRYv_seE/edit#gid=289459276", "https://docs.google.com/spreadsheets/d/1yca9nm6oolZ3iBIsQsVqgIT-CnIvSrOfloVeRYv_seE/edit#gid=289459276")</f>
        <v>https://docs.google.com/spreadsheets/d/1yca9nm6oolZ3iBIsQsVqgIT-CnIvSrOfloVeRYv_seE/edit#gid=289459276</v>
      </c>
      <c r="H802" s="32" t="s">
        <v>314</v>
      </c>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15"/>
      <c r="D803" s="15"/>
      <c r="E803" s="32" t="s">
        <v>24</v>
      </c>
      <c r="F803" s="32" t="s">
        <v>315</v>
      </c>
      <c r="G803" s="70" t="str">
        <f>HYPERLINK("https://docs.google.com/spreadsheets/d/1yca9nm6oolZ3iBIsQsVqgIT-CnIvSrOfloVeRYv_seE/edit#gid=1056309684", "https://docs.google.com/spreadsheets/d/1yca9nm6oolZ3iBIsQsVqgIT-CnIvSrOfloVeRYv_seE/edit#gid=1056309684")</f>
        <v>https://docs.google.com/spreadsheets/d/1yca9nm6oolZ3iBIsQsVqgIT-CnIvSrOfloVeRYv_seE/edit#gid=1056309684</v>
      </c>
      <c r="H803" s="32" t="s">
        <v>315</v>
      </c>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15"/>
      <c r="C804" s="21"/>
      <c r="D804" s="15"/>
      <c r="E804" s="15"/>
      <c r="F804" s="15"/>
      <c r="G804" s="15"/>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32" t="s">
        <v>350</v>
      </c>
      <c r="C805" s="83" t="s">
        <v>351</v>
      </c>
      <c r="D805" s="32" t="s">
        <v>20</v>
      </c>
      <c r="E805" s="32" t="s">
        <v>21</v>
      </c>
      <c r="F805" s="32" t="s">
        <v>51</v>
      </c>
      <c r="G805" s="70" t="str">
        <f>HYPERLINK("https://docs.google.com/spreadsheets/d/1DjJtwI3KfKixWzO38lGbg311plsiQMgc2hNUdPpMphc/edit#gid=222398002", "https://docs.google.com/spreadsheets/d/1DjJtwI3KfKixWzO38lGbg311plsiQMgc2hNUdPpMphc/edit#gid=222398002")</f>
        <v>https://docs.google.com/spreadsheets/d/1DjJtwI3KfKixWzO38lGbg311plsiQMgc2hNUdPpMphc/edit#gid=222398002</v>
      </c>
      <c r="H805" s="32" t="s">
        <v>51</v>
      </c>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15"/>
      <c r="D806" s="15"/>
      <c r="E806" s="32" t="s">
        <v>86</v>
      </c>
      <c r="F806" s="32" t="s">
        <v>90</v>
      </c>
      <c r="G806" s="70" t="str">
        <f>HYPERLINK("https://docs.google.com/spreadsheets/d/1DjJtwI3KfKixWzO38lGbg311plsiQMgc2hNUdPpMphc/edit#gid=1395526432", "https://docs.google.com/spreadsheets/d/1DjJtwI3KfKixWzO38lGbg311plsiQMgc2hNUdPpMphc/edit#gid=1395526432")</f>
        <v>https://docs.google.com/spreadsheets/d/1DjJtwI3KfKixWzO38lGbg311plsiQMgc2hNUdPpMphc/edit#gid=1395526432</v>
      </c>
      <c r="H806" s="32" t="s">
        <v>90</v>
      </c>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15"/>
      <c r="D807" s="15"/>
      <c r="E807" s="32" t="s">
        <v>86</v>
      </c>
      <c r="F807" s="32" t="s">
        <v>339</v>
      </c>
      <c r="G807" s="70" t="str">
        <f>HYPERLINK("https://docs.google.com/spreadsheets/d/1DjJtwI3KfKixWzO38lGbg311plsiQMgc2hNUdPpMphc/edit#gid=432887150", "https://docs.google.com/spreadsheets/d/1DjJtwI3KfKixWzO38lGbg311plsiQMgc2hNUdPpMphc/edit#gid=432887150")</f>
        <v>https://docs.google.com/spreadsheets/d/1DjJtwI3KfKixWzO38lGbg311plsiQMgc2hNUdPpMphc/edit#gid=432887150</v>
      </c>
      <c r="H807" s="32" t="s">
        <v>339</v>
      </c>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15"/>
      <c r="D808" s="15"/>
      <c r="E808" s="32" t="s">
        <v>24</v>
      </c>
      <c r="F808" s="32" t="s">
        <v>352</v>
      </c>
      <c r="G808" s="70" t="str">
        <f>HYPERLINK("https://docs.google.com/spreadsheets/d/1DjJtwI3KfKixWzO38lGbg311plsiQMgc2hNUdPpMphc/edit#gid=313257069", "https://docs.google.com/spreadsheets/d/1DjJtwI3KfKixWzO38lGbg311plsiQMgc2hNUdPpMphc/edit#gid=313257069")</f>
        <v>https://docs.google.com/spreadsheets/d/1DjJtwI3KfKixWzO38lGbg311plsiQMgc2hNUdPpMphc/edit#gid=313257069</v>
      </c>
      <c r="H808" s="32" t="s">
        <v>352</v>
      </c>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15"/>
      <c r="D809" s="15"/>
      <c r="E809" s="32" t="s">
        <v>24</v>
      </c>
      <c r="F809" s="32" t="s">
        <v>318</v>
      </c>
      <c r="G809" s="70" t="str">
        <f>HYPERLINK("https://docs.google.com/spreadsheets/d/1DjJtwI3KfKixWzO38lGbg311plsiQMgc2hNUdPpMphc/edit#gid=352720435", "https://docs.google.com/spreadsheets/d/1DjJtwI3KfKixWzO38lGbg311plsiQMgc2hNUdPpMphc/edit#gid=352720435")</f>
        <v>https://docs.google.com/spreadsheets/d/1DjJtwI3KfKixWzO38lGbg311plsiQMgc2hNUdPpMphc/edit#gid=352720435</v>
      </c>
      <c r="H809" s="32" t="s">
        <v>318</v>
      </c>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15"/>
      <c r="D810" s="15"/>
      <c r="E810" s="32" t="s">
        <v>86</v>
      </c>
      <c r="F810" s="32" t="s">
        <v>353</v>
      </c>
      <c r="G810" s="70" t="str">
        <f>HYPERLINK("https://docs.google.com/spreadsheets/d/1DjJtwI3KfKixWzO38lGbg311plsiQMgc2hNUdPpMphc/edit#gid=1886158361", "https://docs.google.com/spreadsheets/d/1DjJtwI3KfKixWzO38lGbg311plsiQMgc2hNUdPpMphc/edit#gid=1886158361")</f>
        <v>https://docs.google.com/spreadsheets/d/1DjJtwI3KfKixWzO38lGbg311plsiQMgc2hNUdPpMphc/edit#gid=1886158361</v>
      </c>
      <c r="H810" s="32" t="s">
        <v>353</v>
      </c>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15"/>
      <c r="D811" s="15"/>
      <c r="E811" s="32" t="s">
        <v>24</v>
      </c>
      <c r="F811" s="32" t="s">
        <v>25</v>
      </c>
      <c r="G811" s="70" t="str">
        <f>HYPERLINK("https://docs.google.com/spreadsheets/d/1DjJtwI3KfKixWzO38lGbg311plsiQMgc2hNUdPpMphc/edit#gid=1290044237", "https://docs.google.com/spreadsheets/d/1DjJtwI3KfKixWzO38lGbg311plsiQMgc2hNUdPpMphc/edit#gid=1290044237")</f>
        <v>https://docs.google.com/spreadsheets/d/1DjJtwI3KfKixWzO38lGbg311plsiQMgc2hNUdPpMphc/edit#gid=1290044237</v>
      </c>
      <c r="H811" s="32" t="s">
        <v>25</v>
      </c>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15"/>
      <c r="D812" s="15"/>
      <c r="E812" s="32" t="s">
        <v>24</v>
      </c>
      <c r="F812" s="32" t="s">
        <v>101</v>
      </c>
      <c r="G812" s="70" t="str">
        <f>HYPERLINK("https://docs.google.com/spreadsheets/d/1DjJtwI3KfKixWzO38lGbg311plsiQMgc2hNUdPpMphc/edit#gid=590496127", "https://docs.google.com/spreadsheets/d/1DjJtwI3KfKixWzO38lGbg311plsiQMgc2hNUdPpMphc/edit#gid=590496127")</f>
        <v>https://docs.google.com/spreadsheets/d/1DjJtwI3KfKixWzO38lGbg311plsiQMgc2hNUdPpMphc/edit#gid=590496127</v>
      </c>
      <c r="H812" s="32" t="s">
        <v>101</v>
      </c>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15"/>
      <c r="C813" s="83"/>
      <c r="D813" s="15"/>
      <c r="E813" s="15"/>
      <c r="F813" s="15"/>
      <c r="G813" s="15"/>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32" t="s">
        <v>354</v>
      </c>
      <c r="C814" s="83" t="s">
        <v>355</v>
      </c>
      <c r="D814" s="32" t="s">
        <v>20</v>
      </c>
      <c r="E814" s="32" t="s">
        <v>21</v>
      </c>
      <c r="F814" s="32" t="s">
        <v>51</v>
      </c>
      <c r="G814" s="70" t="str">
        <f>HYPERLINK("https://docs.google.com/spreadsheets/d/1p-eoJOQvsQOz9q7OkWMYEM6i1IVEOK31TxNJI7kiMp8/edit#gid=2070012116", "https://docs.google.com/spreadsheets/d/1p-eoJOQvsQOz9q7OkWMYEM6i1IVEOK31TxNJI7kiMp8/edit#gid=2070012116")</f>
        <v>https://docs.google.com/spreadsheets/d/1p-eoJOQvsQOz9q7OkWMYEM6i1IVEOK31TxNJI7kiMp8/edit#gid=2070012116</v>
      </c>
      <c r="H814" s="32" t="s">
        <v>51</v>
      </c>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15"/>
      <c r="D815" s="15"/>
      <c r="E815" s="32" t="s">
        <v>86</v>
      </c>
      <c r="F815" s="32" t="s">
        <v>90</v>
      </c>
      <c r="G815" s="70" t="str">
        <f>HYPERLINK("https://docs.google.com/spreadsheets/d/1p-eoJOQvsQOz9q7OkWMYEM6i1IVEOK31TxNJI7kiMp8/edit#gid=1948665402", "https://docs.google.com/spreadsheets/d/1p-eoJOQvsQOz9q7OkWMYEM6i1IVEOK31TxNJI7kiMp8/edit#gid=1948665402")</f>
        <v>https://docs.google.com/spreadsheets/d/1p-eoJOQvsQOz9q7OkWMYEM6i1IVEOK31TxNJI7kiMp8/edit#gid=1948665402</v>
      </c>
      <c r="H815" s="32" t="s">
        <v>90</v>
      </c>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15"/>
      <c r="D816" s="15"/>
      <c r="E816" s="32" t="s">
        <v>86</v>
      </c>
      <c r="F816" s="32" t="s">
        <v>339</v>
      </c>
      <c r="G816" s="70" t="str">
        <f>HYPERLINK("https://docs.google.com/spreadsheets/d/1p-eoJOQvsQOz9q7OkWMYEM6i1IVEOK31TxNJI7kiMp8/edit#gid=2010834325", "https://docs.google.com/spreadsheets/d/1p-eoJOQvsQOz9q7OkWMYEM6i1IVEOK31TxNJI7kiMp8/edit#gid=2010834325")</f>
        <v>https://docs.google.com/spreadsheets/d/1p-eoJOQvsQOz9q7OkWMYEM6i1IVEOK31TxNJI7kiMp8/edit#gid=2010834325</v>
      </c>
      <c r="H816" s="32" t="s">
        <v>339</v>
      </c>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15"/>
      <c r="D817" s="15"/>
      <c r="E817" s="32" t="s">
        <v>24</v>
      </c>
      <c r="F817" s="32" t="s">
        <v>63</v>
      </c>
      <c r="G817" s="70" t="str">
        <f>HYPERLINK("https://docs.google.com/spreadsheets/d/1p-eoJOQvsQOz9q7OkWMYEM6i1IVEOK31TxNJI7kiMp8/edit#gid=1044445991", "https://docs.google.com/spreadsheets/d/1p-eoJOQvsQOz9q7OkWMYEM6i1IVEOK31TxNJI7kiMp8/edit#gid=1044445991")</f>
        <v>https://docs.google.com/spreadsheets/d/1p-eoJOQvsQOz9q7OkWMYEM6i1IVEOK31TxNJI7kiMp8/edit#gid=1044445991</v>
      </c>
      <c r="H817" s="32" t="s">
        <v>63</v>
      </c>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15"/>
      <c r="D818" s="15"/>
      <c r="E818" s="32" t="s">
        <v>24</v>
      </c>
      <c r="F818" s="32" t="s">
        <v>318</v>
      </c>
      <c r="G818" s="70" t="str">
        <f>HYPERLINK("https://docs.google.com/spreadsheets/d/1p-eoJOQvsQOz9q7OkWMYEM6i1IVEOK31TxNJI7kiMp8/edit#gid=484856128", "https://docs.google.com/spreadsheets/d/1p-eoJOQvsQOz9q7OkWMYEM6i1IVEOK31TxNJI7kiMp8/edit#gid=484856128")</f>
        <v>https://docs.google.com/spreadsheets/d/1p-eoJOQvsQOz9q7OkWMYEM6i1IVEOK31TxNJI7kiMp8/edit#gid=484856128</v>
      </c>
      <c r="H818" s="32" t="s">
        <v>318</v>
      </c>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15"/>
      <c r="D819" s="15"/>
      <c r="E819" s="32" t="s">
        <v>86</v>
      </c>
      <c r="F819" s="32" t="s">
        <v>353</v>
      </c>
      <c r="G819" s="70" t="str">
        <f>HYPERLINK("https://docs.google.com/spreadsheets/d/1p-eoJOQvsQOz9q7OkWMYEM6i1IVEOK31TxNJI7kiMp8/edit#gid=853525035", "https://docs.google.com/spreadsheets/d/1p-eoJOQvsQOz9q7OkWMYEM6i1IVEOK31TxNJI7kiMp8/edit#gid=853525035")</f>
        <v>https://docs.google.com/spreadsheets/d/1p-eoJOQvsQOz9q7OkWMYEM6i1IVEOK31TxNJI7kiMp8/edit#gid=853525035</v>
      </c>
      <c r="H819" s="32" t="s">
        <v>353</v>
      </c>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15"/>
      <c r="D820" s="15"/>
      <c r="E820" s="32" t="s">
        <v>24</v>
      </c>
      <c r="F820" s="32" t="s">
        <v>25</v>
      </c>
      <c r="G820" s="70" t="str">
        <f>HYPERLINK("https://docs.google.com/spreadsheets/d/1p-eoJOQvsQOz9q7OkWMYEM6i1IVEOK31TxNJI7kiMp8/edit#gid=1353977334", "https://docs.google.com/spreadsheets/d/1p-eoJOQvsQOz9q7OkWMYEM6i1IVEOK31TxNJI7kiMp8/edit#gid=1353977334")</f>
        <v>https://docs.google.com/spreadsheets/d/1p-eoJOQvsQOz9q7OkWMYEM6i1IVEOK31TxNJI7kiMp8/edit#gid=1353977334</v>
      </c>
      <c r="H820" s="32" t="s">
        <v>25</v>
      </c>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15"/>
      <c r="D821" s="15"/>
      <c r="E821" s="32" t="s">
        <v>24</v>
      </c>
      <c r="F821" s="32" t="s">
        <v>101</v>
      </c>
      <c r="G821" s="70" t="str">
        <f>HYPERLINK("https://docs.google.com/spreadsheets/d/1p-eoJOQvsQOz9q7OkWMYEM6i1IVEOK31TxNJI7kiMp8/edit#gid=1206029433", "https://docs.google.com/spreadsheets/d/1p-eoJOQvsQOz9q7OkWMYEM6i1IVEOK31TxNJI7kiMp8/edit#gid=1206029433")</f>
        <v>https://docs.google.com/spreadsheets/d/1p-eoJOQvsQOz9q7OkWMYEM6i1IVEOK31TxNJI7kiMp8/edit#gid=1206029433</v>
      </c>
      <c r="H821" s="32" t="s">
        <v>101</v>
      </c>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15"/>
      <c r="D822" s="15"/>
      <c r="E822" s="32" t="s">
        <v>24</v>
      </c>
      <c r="F822" s="32" t="s">
        <v>63</v>
      </c>
      <c r="G822" s="70" t="str">
        <f>HYPERLINK("https://docs.google.com/spreadsheets/d/1p-eoJOQvsQOz9q7OkWMYEM6i1IVEOK31TxNJI7kiMp8/edit#gid=1044445991", "https://docs.google.com/spreadsheets/d/1p-eoJOQvsQOz9q7OkWMYEM6i1IVEOK31TxNJI7kiMp8/edit#gid=1044445991")</f>
        <v>https://docs.google.com/spreadsheets/d/1p-eoJOQvsQOz9q7OkWMYEM6i1IVEOK31TxNJI7kiMp8/edit#gid=1044445991</v>
      </c>
      <c r="H822" s="32" t="s">
        <v>63</v>
      </c>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15"/>
      <c r="D823" s="15"/>
      <c r="E823" s="32" t="s">
        <v>24</v>
      </c>
      <c r="F823" s="32" t="s">
        <v>314</v>
      </c>
      <c r="G823" s="70" t="str">
        <f>HYPERLINK("https://docs.google.com/spreadsheets/d/1p-eoJOQvsQOz9q7OkWMYEM6i1IVEOK31TxNJI7kiMp8/edit#gid=1769420066", "https://docs.google.com/spreadsheets/d/1p-eoJOQvsQOz9q7OkWMYEM6i1IVEOK31TxNJI7kiMp8/edit#gid=1769420066")</f>
        <v>https://docs.google.com/spreadsheets/d/1p-eoJOQvsQOz9q7OkWMYEM6i1IVEOK31TxNJI7kiMp8/edit#gid=1769420066</v>
      </c>
      <c r="H823" s="32" t="s">
        <v>314</v>
      </c>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15"/>
      <c r="C824" s="21"/>
      <c r="D824" s="15"/>
      <c r="E824" s="15"/>
      <c r="F824" s="15"/>
      <c r="G824" s="15"/>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32" t="s">
        <v>356</v>
      </c>
      <c r="C825" s="83" t="s">
        <v>357</v>
      </c>
      <c r="D825" s="32" t="s">
        <v>20</v>
      </c>
      <c r="E825" s="32" t="s">
        <v>21</v>
      </c>
      <c r="F825" s="32" t="s">
        <v>51</v>
      </c>
      <c r="G825" s="70" t="str">
        <f>HYPERLINK("https://docs.google.com/spreadsheets/d/1Jiiin7kbtHkBLvin_E25xQdT1KyUUibuOt1mifXD8eQ/edit#gid=133230276", "https://docs.google.com/spreadsheets/d/1Jiiin7kbtHkBLvin_E25xQdT1KyUUibuOt1mifXD8eQ/edit#gid=133230276")</f>
        <v>https://docs.google.com/spreadsheets/d/1Jiiin7kbtHkBLvin_E25xQdT1KyUUibuOt1mifXD8eQ/edit#gid=133230276</v>
      </c>
      <c r="H825" s="32" t="s">
        <v>51</v>
      </c>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15"/>
      <c r="D826" s="15"/>
      <c r="E826" s="32" t="s">
        <v>86</v>
      </c>
      <c r="F826" s="32" t="s">
        <v>90</v>
      </c>
      <c r="G826" s="70" t="str">
        <f>HYPERLINK("https://docs.google.com/spreadsheets/d/1Jiiin7kbtHkBLvin_E25xQdT1KyUUibuOt1mifXD8eQ/edit#gid=2142508301", "https://docs.google.com/spreadsheets/d/1Jiiin7kbtHkBLvin_E25xQdT1KyUUibuOt1mifXD8eQ/edit#gid=2142508301")</f>
        <v>https://docs.google.com/spreadsheets/d/1Jiiin7kbtHkBLvin_E25xQdT1KyUUibuOt1mifXD8eQ/edit#gid=2142508301</v>
      </c>
      <c r="H826" s="32" t="s">
        <v>90</v>
      </c>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15"/>
      <c r="D827" s="15"/>
      <c r="E827" s="32" t="s">
        <v>86</v>
      </c>
      <c r="F827" s="32" t="s">
        <v>92</v>
      </c>
      <c r="G827" s="70" t="str">
        <f>HYPERLINK("https://docs.google.com/spreadsheets/d/1Jiiin7kbtHkBLvin_E25xQdT1KyUUibuOt1mifXD8eQ/edit#gid=777579665", "https://docs.google.com/spreadsheets/d/1Jiiin7kbtHkBLvin_E25xQdT1KyUUibuOt1mifXD8eQ/edit#gid=777579665")</f>
        <v>https://docs.google.com/spreadsheets/d/1Jiiin7kbtHkBLvin_E25xQdT1KyUUibuOt1mifXD8eQ/edit#gid=777579665</v>
      </c>
      <c r="H827" s="32" t="s">
        <v>92</v>
      </c>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15"/>
      <c r="D828" s="15"/>
      <c r="E828" s="32" t="s">
        <v>86</v>
      </c>
      <c r="F828" s="32" t="s">
        <v>358</v>
      </c>
      <c r="G828" s="70" t="str">
        <f>HYPERLINK("https://docs.google.com/spreadsheets/d/1Jiiin7kbtHkBLvin_E25xQdT1KyUUibuOt1mifXD8eQ/edit#gid=1297697827", "https://docs.google.com/spreadsheets/d/1Jiiin7kbtHkBLvin_E25xQdT1KyUUibuOt1mifXD8eQ/edit#gid=1297697827")</f>
        <v>https://docs.google.com/spreadsheets/d/1Jiiin7kbtHkBLvin_E25xQdT1KyUUibuOt1mifXD8eQ/edit#gid=1297697827</v>
      </c>
      <c r="H828" s="32" t="s">
        <v>358</v>
      </c>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c r="D829" s="15"/>
      <c r="E829" s="32" t="s">
        <v>24</v>
      </c>
      <c r="F829" s="35" t="s">
        <v>63</v>
      </c>
      <c r="G829" s="84" t="str">
        <f>HYPERLINK("https://docs.google.com/spreadsheets/d/1Jiiin7kbtHkBLvin_E25xQdT1KyUUibuOt1mifXD8eQ/edit#gid=734601590", "https://docs.google.com/spreadsheets/d/1Jiiin7kbtHkBLvin_E25xQdT1KyUUibuOt1mifXD8eQ/edit#gid=734601590")</f>
        <v>https://docs.google.com/spreadsheets/d/1Jiiin7kbtHkBLvin_E25xQdT1KyUUibuOt1mifXD8eQ/edit#gid=734601590</v>
      </c>
      <c r="H829" s="35" t="s">
        <v>63</v>
      </c>
    </row>
    <row r="830">
      <c r="D830" s="15"/>
      <c r="E830" s="32" t="s">
        <v>86</v>
      </c>
      <c r="F830" s="35" t="s">
        <v>97</v>
      </c>
      <c r="G830" s="84" t="str">
        <f>HYPERLINK("https://docs.google.com/spreadsheets/d/1Jiiin7kbtHkBLvin_E25xQdT1KyUUibuOt1mifXD8eQ/edit#gid=35535230", "https://docs.google.com/spreadsheets/d/1Jiiin7kbtHkBLvin_E25xQdT1KyUUibuOt1mifXD8eQ/edit#gid=35535230")</f>
        <v>https://docs.google.com/spreadsheets/d/1Jiiin7kbtHkBLvin_E25xQdT1KyUUibuOt1mifXD8eQ/edit#gid=35535230</v>
      </c>
      <c r="H830" s="35" t="s">
        <v>97</v>
      </c>
    </row>
    <row r="831">
      <c r="D831" s="15"/>
      <c r="E831" s="32" t="s">
        <v>24</v>
      </c>
      <c r="F831" s="35" t="s">
        <v>25</v>
      </c>
      <c r="G831" s="84" t="str">
        <f>HYPERLINK("https://docs.google.com/spreadsheets/d/1Jiiin7kbtHkBLvin_E25xQdT1KyUUibuOt1mifXD8eQ/edit#gid=142134053", "https://docs.google.com/spreadsheets/d/1Jiiin7kbtHkBLvin_E25xQdT1KyUUibuOt1mifXD8eQ/edit#gid=142134053")</f>
        <v>https://docs.google.com/spreadsheets/d/1Jiiin7kbtHkBLvin_E25xQdT1KyUUibuOt1mifXD8eQ/edit#gid=142134053</v>
      </c>
      <c r="H831" s="35" t="s">
        <v>25</v>
      </c>
    </row>
    <row r="832">
      <c r="D832" s="15"/>
      <c r="E832" s="32" t="s">
        <v>24</v>
      </c>
      <c r="F832" s="35" t="s">
        <v>101</v>
      </c>
      <c r="G832" s="84" t="str">
        <f>HYPERLINK("https://docs.google.com/spreadsheets/d/1Jiiin7kbtHkBLvin_E25xQdT1KyUUibuOt1mifXD8eQ/edit#gid=1304555170", "https://docs.google.com/spreadsheets/d/1Jiiin7kbtHkBLvin_E25xQdT1KyUUibuOt1mifXD8eQ/edit#gid=1304555170")</f>
        <v>https://docs.google.com/spreadsheets/d/1Jiiin7kbtHkBLvin_E25xQdT1KyUUibuOt1mifXD8eQ/edit#gid=1304555170</v>
      </c>
      <c r="H832" s="35" t="s">
        <v>101</v>
      </c>
    </row>
    <row r="833">
      <c r="D833" s="15"/>
      <c r="E833" s="32" t="s">
        <v>24</v>
      </c>
      <c r="F833" s="35" t="s">
        <v>63</v>
      </c>
      <c r="G833" s="84" t="str">
        <f>HYPERLINK("https://docs.google.com/spreadsheets/d/1Jiiin7kbtHkBLvin_E25xQdT1KyUUibuOt1mifXD8eQ/edit#gid=734601590", "https://docs.google.com/spreadsheets/d/1Jiiin7kbtHkBLvin_E25xQdT1KyUUibuOt1mifXD8eQ/edit#gid=734601590")</f>
        <v>https://docs.google.com/spreadsheets/d/1Jiiin7kbtHkBLvin_E25xQdT1KyUUibuOt1mifXD8eQ/edit#gid=734601590</v>
      </c>
      <c r="H833" s="35" t="s">
        <v>63</v>
      </c>
    </row>
    <row r="834">
      <c r="D834" s="15"/>
      <c r="E834" s="32" t="s">
        <v>24</v>
      </c>
      <c r="F834" s="35" t="s">
        <v>314</v>
      </c>
      <c r="G834" s="84" t="str">
        <f>HYPERLINK("https://docs.google.com/spreadsheets/d/1Jiiin7kbtHkBLvin_E25xQdT1KyUUibuOt1mifXD8eQ/edit#gid=750017957", "https://docs.google.com/spreadsheets/d/1Jiiin7kbtHkBLvin_E25xQdT1KyUUibuOt1mifXD8eQ/edit#gid=750017957")</f>
        <v>https://docs.google.com/spreadsheets/d/1Jiiin7kbtHkBLvin_E25xQdT1KyUUibuOt1mifXD8eQ/edit#gid=750017957</v>
      </c>
      <c r="H834" s="35" t="s">
        <v>314</v>
      </c>
    </row>
    <row r="835">
      <c r="D835" s="15"/>
      <c r="E835" s="15"/>
    </row>
    <row r="836">
      <c r="B836" s="32" t="s">
        <v>359</v>
      </c>
      <c r="C836" s="83" t="s">
        <v>360</v>
      </c>
      <c r="D836" s="32" t="s">
        <v>20</v>
      </c>
      <c r="E836" s="32" t="s">
        <v>21</v>
      </c>
      <c r="F836" s="35" t="s">
        <v>51</v>
      </c>
      <c r="G836" s="84" t="str">
        <f>HYPERLINK("https://docs.google.com/spreadsheets/d/1BTcHGQygrJcXZglz-JHQOUpVhqzpY3jQUi6PKuZKPyQ/edit#gid=2061169816", "https://docs.google.com/spreadsheets/d/1BTcHGQygrJcXZglz-JHQOUpVhqzpY3jQUi6PKuZKPyQ/edit#gid=2061169816")</f>
        <v>https://docs.google.com/spreadsheets/d/1BTcHGQygrJcXZglz-JHQOUpVhqzpY3jQUi6PKuZKPyQ/edit#gid=2061169816</v>
      </c>
      <c r="H836" s="35" t="s">
        <v>51</v>
      </c>
    </row>
    <row r="837" ht="15.75" customHeight="1">
      <c r="A837" s="15"/>
      <c r="B837" s="15"/>
      <c r="D837" s="15"/>
      <c r="E837" s="32" t="s">
        <v>24</v>
      </c>
      <c r="F837" s="32" t="s">
        <v>63</v>
      </c>
      <c r="G837" s="70" t="str">
        <f>HYPERLINK("https://docs.google.com/spreadsheets/d/1BTcHGQygrJcXZglz-JHQOUpVhqzpY3jQUi6PKuZKPyQ/edit#gid=294586663", "https://docs.google.com/spreadsheets/d/1BTcHGQygrJcXZglz-JHQOUpVhqzpY3jQUi6PKuZKPyQ/edit#gid=294586663")</f>
        <v>https://docs.google.com/spreadsheets/d/1BTcHGQygrJcXZglz-JHQOUpVhqzpY3jQUi6PKuZKPyQ/edit#gid=294586663</v>
      </c>
      <c r="H837" s="32" t="s">
        <v>63</v>
      </c>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15"/>
      <c r="D838" s="15"/>
      <c r="E838" s="32" t="s">
        <v>24</v>
      </c>
      <c r="F838" s="32" t="s">
        <v>318</v>
      </c>
      <c r="G838" s="70" t="str">
        <f>HYPERLINK("https://docs.google.com/spreadsheets/d/1BTcHGQygrJcXZglz-JHQOUpVhqzpY3jQUi6PKuZKPyQ/edit#gid=1288891397", "https://docs.google.com/spreadsheets/d/1BTcHGQygrJcXZglz-JHQOUpVhqzpY3jQUi6PKuZKPyQ/edit#gid=1288891397")</f>
        <v>https://docs.google.com/spreadsheets/d/1BTcHGQygrJcXZglz-JHQOUpVhqzpY3jQUi6PKuZKPyQ/edit#gid=1288891397</v>
      </c>
      <c r="H838" s="32" t="s">
        <v>318</v>
      </c>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15"/>
      <c r="D839" s="15"/>
      <c r="E839" s="32" t="s">
        <v>88</v>
      </c>
      <c r="F839" s="32" t="s">
        <v>95</v>
      </c>
      <c r="G839" s="70" t="str">
        <f>HYPERLINK("https://docs.google.com/spreadsheets/d/1BTcHGQygrJcXZglz-JHQOUpVhqzpY3jQUi6PKuZKPyQ/edit#gid=247603662", "https://docs.google.com/spreadsheets/d/1BTcHGQygrJcXZglz-JHQOUpVhqzpY3jQUi6PKuZKPyQ/edit#gid=247603662")</f>
        <v>https://docs.google.com/spreadsheets/d/1BTcHGQygrJcXZglz-JHQOUpVhqzpY3jQUi6PKuZKPyQ/edit#gid=247603662</v>
      </c>
      <c r="H839" s="32" t="s">
        <v>95</v>
      </c>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15"/>
      <c r="D840" s="15"/>
      <c r="E840" s="32" t="s">
        <v>88</v>
      </c>
      <c r="F840" s="32" t="s">
        <v>245</v>
      </c>
      <c r="G840" s="70" t="str">
        <f>HYPERLINK("https://docs.google.com/spreadsheets/d/1BTcHGQygrJcXZglz-JHQOUpVhqzpY3jQUi6PKuZKPyQ/edit#gid=169314724", "https://docs.google.com/spreadsheets/d/1BTcHGQygrJcXZglz-JHQOUpVhqzpY3jQUi6PKuZKPyQ/edit#gid=169314724")</f>
        <v>https://docs.google.com/spreadsheets/d/1BTcHGQygrJcXZglz-JHQOUpVhqzpY3jQUi6PKuZKPyQ/edit#gid=169314724</v>
      </c>
      <c r="H840" s="32" t="s">
        <v>245</v>
      </c>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15"/>
      <c r="D841" s="15"/>
      <c r="E841" s="32" t="s">
        <v>24</v>
      </c>
      <c r="F841" s="32" t="s">
        <v>25</v>
      </c>
      <c r="G841" s="70" t="str">
        <f>HYPERLINK("https://docs.google.com/spreadsheets/d/1BTcHGQygrJcXZglz-JHQOUpVhqzpY3jQUi6PKuZKPyQ/edit#gid=1156213232", "https://docs.google.com/spreadsheets/d/1BTcHGQygrJcXZglz-JHQOUpVhqzpY3jQUi6PKuZKPyQ/edit#gid=1156213232")</f>
        <v>https://docs.google.com/spreadsheets/d/1BTcHGQygrJcXZglz-JHQOUpVhqzpY3jQUi6PKuZKPyQ/edit#gid=1156213232</v>
      </c>
      <c r="H841" s="32" t="s">
        <v>25</v>
      </c>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15"/>
      <c r="D842" s="15"/>
      <c r="E842" s="32" t="s">
        <v>24</v>
      </c>
      <c r="F842" s="32" t="s">
        <v>101</v>
      </c>
      <c r="G842" s="70" t="str">
        <f>HYPERLINK("https://docs.google.com/spreadsheets/d/1BTcHGQygrJcXZglz-JHQOUpVhqzpY3jQUi6PKuZKPyQ/edit#gid=1949338024", "https://docs.google.com/spreadsheets/d/1BTcHGQygrJcXZglz-JHQOUpVhqzpY3jQUi6PKuZKPyQ/edit#gid=1949338024")</f>
        <v>https://docs.google.com/spreadsheets/d/1BTcHGQygrJcXZglz-JHQOUpVhqzpY3jQUi6PKuZKPyQ/edit#gid=1949338024</v>
      </c>
      <c r="H842" s="32" t="s">
        <v>101</v>
      </c>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15"/>
      <c r="D843" s="15"/>
      <c r="E843" s="32" t="s">
        <v>88</v>
      </c>
      <c r="F843" s="32" t="s">
        <v>120</v>
      </c>
      <c r="G843" s="70" t="str">
        <f>HYPERLINK("https://docs.google.com/spreadsheets/d/1BTcHGQygrJcXZglz-JHQOUpVhqzpY3jQUi6PKuZKPyQ/edit#gid=560695085", "https://docs.google.com/spreadsheets/d/1BTcHGQygrJcXZglz-JHQOUpVhqzpY3jQUi6PKuZKPyQ/edit#gid=560695085")</f>
        <v>https://docs.google.com/spreadsheets/d/1BTcHGQygrJcXZglz-JHQOUpVhqzpY3jQUi6PKuZKPyQ/edit#gid=560695085</v>
      </c>
      <c r="H843" s="32" t="s">
        <v>120</v>
      </c>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15"/>
      <c r="D844" s="15"/>
      <c r="E844" s="32" t="s">
        <v>88</v>
      </c>
      <c r="F844" s="32" t="s">
        <v>247</v>
      </c>
      <c r="G844" s="15"/>
      <c r="H844" s="36"/>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15"/>
      <c r="D845" s="15"/>
      <c r="E845" s="32" t="s">
        <v>24</v>
      </c>
      <c r="F845" s="32" t="s">
        <v>25</v>
      </c>
      <c r="G845" s="70" t="str">
        <f>HYPERLINK("https://docs.google.com/spreadsheets/d/1BTcHGQygrJcXZglz-JHQOUpVhqzpY3jQUi6PKuZKPyQ/edit#gid=1156213232", "https://docs.google.com/spreadsheets/d/1BTcHGQygrJcXZglz-JHQOUpVhqzpY3jQUi6PKuZKPyQ/edit#gid=1156213232")</f>
        <v>https://docs.google.com/spreadsheets/d/1BTcHGQygrJcXZglz-JHQOUpVhqzpY3jQUi6PKuZKPyQ/edit#gid=1156213232</v>
      </c>
      <c r="H845" s="32" t="s">
        <v>25</v>
      </c>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15"/>
      <c r="D846" s="15"/>
      <c r="E846" s="32" t="s">
        <v>24</v>
      </c>
      <c r="F846" s="32" t="s">
        <v>101</v>
      </c>
      <c r="G846" s="70" t="str">
        <f>HYPERLINK("https://docs.google.com/spreadsheets/d/1BTcHGQygrJcXZglz-JHQOUpVhqzpY3jQUi6PKuZKPyQ/edit#gid=2014954345", "https://docs.google.com/spreadsheets/d/1BTcHGQygrJcXZglz-JHQOUpVhqzpY3jQUi6PKuZKPyQ/edit#gid=2014954345")</f>
        <v>https://docs.google.com/spreadsheets/d/1BTcHGQygrJcXZglz-JHQOUpVhqzpY3jQUi6PKuZKPyQ/edit#gid=2014954345</v>
      </c>
      <c r="H846" s="32" t="s">
        <v>361</v>
      </c>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15"/>
      <c r="C847" s="21"/>
      <c r="D847" s="15"/>
      <c r="E847" s="15"/>
      <c r="F847" s="15"/>
      <c r="G847" s="15"/>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15"/>
      <c r="C848" s="21"/>
      <c r="D848" s="15"/>
      <c r="E848" s="15"/>
      <c r="F848" s="15"/>
      <c r="G848" s="15"/>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15"/>
      <c r="C849" s="21"/>
      <c r="D849" s="15"/>
      <c r="E849" s="15"/>
      <c r="F849" s="15"/>
      <c r="G849" s="15"/>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15"/>
      <c r="C850" s="21"/>
      <c r="D850" s="15"/>
      <c r="E850" s="15"/>
      <c r="F850" s="15"/>
      <c r="G850" s="15"/>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15"/>
      <c r="C851" s="21"/>
      <c r="D851" s="15"/>
      <c r="E851" s="15"/>
      <c r="F851" s="15"/>
      <c r="G851" s="15"/>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15"/>
      <c r="C852" s="21"/>
      <c r="D852" s="15"/>
      <c r="E852" s="15"/>
      <c r="F852" s="15"/>
      <c r="G852" s="15"/>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15"/>
      <c r="C853" s="21"/>
      <c r="D853" s="15"/>
      <c r="E853" s="15"/>
      <c r="F853" s="15"/>
      <c r="G853" s="15"/>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15"/>
      <c r="C854" s="21"/>
      <c r="D854" s="15"/>
      <c r="E854" s="15"/>
      <c r="F854" s="15"/>
      <c r="G854" s="15"/>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15"/>
      <c r="C855" s="21"/>
      <c r="D855" s="15"/>
      <c r="E855" s="15"/>
      <c r="F855" s="15"/>
      <c r="G855" s="15"/>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15"/>
      <c r="C856" s="21"/>
      <c r="D856" s="15"/>
      <c r="E856" s="15"/>
      <c r="F856" s="15"/>
      <c r="G856" s="15"/>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15"/>
      <c r="C857" s="21"/>
      <c r="D857" s="15"/>
      <c r="E857" s="15"/>
      <c r="F857" s="15"/>
      <c r="G857" s="15"/>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15"/>
      <c r="C858" s="21"/>
      <c r="D858" s="15"/>
      <c r="E858" s="15"/>
      <c r="F858" s="15"/>
      <c r="G858" s="15"/>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15"/>
      <c r="C859" s="21"/>
      <c r="D859" s="15"/>
      <c r="E859" s="15"/>
      <c r="F859" s="15"/>
      <c r="G859" s="15"/>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15"/>
      <c r="C860" s="21"/>
      <c r="D860" s="15"/>
      <c r="E860" s="15"/>
      <c r="F860" s="15"/>
      <c r="G860" s="15"/>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15"/>
      <c r="C861" s="21"/>
      <c r="D861" s="15"/>
      <c r="E861" s="15"/>
      <c r="F861" s="15"/>
      <c r="G861" s="15"/>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5.75" customHeight="1">
      <c r="A862" s="15"/>
      <c r="B862" s="15"/>
      <c r="C862" s="21"/>
      <c r="D862" s="15"/>
      <c r="E862" s="15"/>
      <c r="F862" s="15"/>
      <c r="G862" s="15"/>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5.75" customHeight="1">
      <c r="A863" s="15"/>
      <c r="B863" s="15"/>
      <c r="C863" s="21"/>
      <c r="D863" s="15"/>
      <c r="E863" s="15"/>
      <c r="F863" s="15"/>
      <c r="G863" s="15"/>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5.75" customHeight="1">
      <c r="A864" s="15"/>
      <c r="B864" s="15"/>
      <c r="C864" s="21"/>
      <c r="D864" s="15"/>
      <c r="E864" s="15"/>
      <c r="F864" s="15"/>
      <c r="G864" s="15"/>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5.75" customHeight="1">
      <c r="A865" s="15"/>
      <c r="B865" s="15"/>
      <c r="C865" s="21"/>
      <c r="D865" s="15"/>
      <c r="E865" s="15"/>
      <c r="F865" s="15"/>
      <c r="G865" s="15"/>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row r="866" ht="15.75" customHeight="1">
      <c r="A866" s="15"/>
      <c r="B866" s="15"/>
      <c r="C866" s="21"/>
      <c r="D866" s="15"/>
      <c r="E866" s="15"/>
      <c r="F866" s="15"/>
      <c r="G866" s="15"/>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row>
    <row r="867" ht="15.75" customHeight="1">
      <c r="A867" s="15"/>
      <c r="B867" s="15"/>
      <c r="C867" s="21"/>
      <c r="D867" s="15"/>
      <c r="E867" s="15"/>
      <c r="F867" s="15"/>
      <c r="G867" s="15"/>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row>
    <row r="868" ht="15.75" customHeight="1">
      <c r="A868" s="15"/>
      <c r="B868" s="15"/>
      <c r="C868" s="21"/>
      <c r="D868" s="15"/>
      <c r="E868" s="15"/>
      <c r="F868" s="15"/>
      <c r="G868" s="15"/>
      <c r="H868" s="15"/>
      <c r="I868" s="11"/>
      <c r="J868" s="11"/>
      <c r="K868" s="11"/>
      <c r="L868" s="11"/>
      <c r="M868" s="15"/>
      <c r="N868" s="15"/>
      <c r="O868" s="15"/>
      <c r="P868" s="15"/>
      <c r="Q868" s="15"/>
      <c r="R868" s="15"/>
      <c r="S868" s="15"/>
      <c r="T868" s="15"/>
      <c r="U868" s="15"/>
      <c r="V868" s="15"/>
      <c r="W868" s="15"/>
      <c r="X868" s="15"/>
      <c r="Y868" s="15"/>
      <c r="Z868" s="15"/>
      <c r="AA868" s="15"/>
      <c r="AB868" s="15"/>
      <c r="AC868" s="15"/>
      <c r="AD868" s="15"/>
      <c r="AE868" s="15"/>
      <c r="AF868" s="15"/>
    </row>
    <row r="869" ht="15.75" customHeight="1">
      <c r="A869" s="15"/>
      <c r="B869" s="15"/>
      <c r="C869" s="21"/>
      <c r="D869" s="15"/>
      <c r="E869" s="15"/>
      <c r="F869" s="15"/>
      <c r="G869" s="15"/>
      <c r="H869" s="15"/>
      <c r="I869" s="11"/>
      <c r="J869" s="11"/>
      <c r="K869" s="11"/>
      <c r="L869" s="11"/>
      <c r="M869" s="15"/>
      <c r="N869" s="15"/>
      <c r="O869" s="15"/>
      <c r="P869" s="15"/>
      <c r="Q869" s="15"/>
      <c r="R869" s="15"/>
      <c r="S869" s="15"/>
      <c r="T869" s="15"/>
      <c r="U869" s="15"/>
      <c r="V869" s="15"/>
      <c r="W869" s="15"/>
      <c r="X869" s="15"/>
      <c r="Y869" s="15"/>
      <c r="Z869" s="15"/>
      <c r="AA869" s="15"/>
      <c r="AB869" s="15"/>
      <c r="AC869" s="15"/>
      <c r="AD869" s="15"/>
      <c r="AE869" s="15"/>
      <c r="AF869" s="15"/>
    </row>
    <row r="870" ht="15.75" customHeight="1">
      <c r="A870" s="15"/>
      <c r="B870" s="15"/>
      <c r="C870" s="21"/>
      <c r="D870" s="15"/>
      <c r="E870" s="15"/>
      <c r="F870" s="15"/>
      <c r="G870" s="15"/>
      <c r="H870" s="15"/>
      <c r="I870" s="11"/>
      <c r="J870" s="11"/>
      <c r="K870" s="11"/>
      <c r="L870" s="11"/>
      <c r="M870" s="15"/>
      <c r="N870" s="15"/>
      <c r="O870" s="15"/>
      <c r="P870" s="15"/>
      <c r="Q870" s="15"/>
      <c r="R870" s="15"/>
      <c r="S870" s="15"/>
      <c r="T870" s="15"/>
      <c r="U870" s="15"/>
      <c r="V870" s="15"/>
      <c r="W870" s="15"/>
      <c r="X870" s="15"/>
      <c r="Y870" s="15"/>
      <c r="Z870" s="15"/>
      <c r="AA870" s="15"/>
      <c r="AB870" s="15"/>
      <c r="AC870" s="15"/>
      <c r="AD870" s="15"/>
      <c r="AE870" s="15"/>
      <c r="AF870" s="15"/>
    </row>
    <row r="871" ht="15.75" customHeight="1">
      <c r="A871" s="15"/>
      <c r="B871" s="15"/>
      <c r="C871" s="21"/>
      <c r="D871" s="15"/>
      <c r="E871" s="15"/>
      <c r="F871" s="15"/>
      <c r="G871" s="15"/>
      <c r="H871" s="15"/>
      <c r="I871" s="11"/>
      <c r="J871" s="11"/>
      <c r="K871" s="11"/>
      <c r="L871" s="11"/>
      <c r="M871" s="15"/>
      <c r="N871" s="15"/>
      <c r="O871" s="15"/>
      <c r="P871" s="15"/>
      <c r="Q871" s="15"/>
      <c r="R871" s="15"/>
      <c r="S871" s="15"/>
      <c r="T871" s="15"/>
      <c r="U871" s="15"/>
      <c r="V871" s="15"/>
      <c r="W871" s="15"/>
      <c r="X871" s="15"/>
      <c r="Y871" s="15"/>
      <c r="Z871" s="15"/>
      <c r="AA871" s="15"/>
      <c r="AB871" s="15"/>
      <c r="AC871" s="15"/>
      <c r="AD871" s="15"/>
      <c r="AE871" s="15"/>
      <c r="AF871" s="15"/>
    </row>
  </sheetData>
  <mergeCells count="13">
    <mergeCell ref="C783:C792"/>
    <mergeCell ref="C794:C803"/>
    <mergeCell ref="C805:C812"/>
    <mergeCell ref="C814:C823"/>
    <mergeCell ref="C825:C834"/>
    <mergeCell ref="C836:C846"/>
    <mergeCell ref="C3:I3"/>
    <mergeCell ref="C402:C411"/>
    <mergeCell ref="C417:C425"/>
    <mergeCell ref="C432:C439"/>
    <mergeCell ref="C580:C589"/>
    <mergeCell ref="C665:C673"/>
    <mergeCell ref="C775:C781"/>
  </mergeCells>
  <dataValidations>
    <dataValidation type="list" allowBlank="1" sqref="H586:K586">
      <formula1>"ShowMasterFundOnTT,UpdateMasterFundOnTT,CreateStageOrder,VerifyOrder,TradeNewSubOrder,CreateNewSubOrder"</formula1>
    </dataValidation>
    <dataValidation type="list" allowBlank="1" sqref="H372:K372">
      <formula1>"ShowMasterFundOnTT,UpdateMasterFundOnTT,CreateStageOrder,TradeNewSubOrder,CreateDoneAwayOrder,GetDataAllocation,CheckAllocatedGroups,SelectAllocatedGroup,Unallocate,CheckUnallocatedGroups,EnterAccountValuesToAllocate,Allocate,ReplaceSubOrder,CreateReplace"&amp;"Order,VerifyOrder,CheckAllocatedGroups1,CheckPortfolioManagement,CreateNewSubOrder"</formula1>
    </dataValidation>
    <dataValidation type="list" allowBlank="1" sqref="H792:K792">
      <formula1>"CreateDoneAwayOrder,viw,view,ViewThirdParty,ThirdPartyGenerate,VerifyThirdPartyGenerate,GetDataAllocation,SelectAllocatedGroup,EditAllocatedGrid,Copy of Data,VerifyThirdPartyView,SendThirdParty,VerifyThirdPartySend"</formula1>
    </dataValidation>
    <dataValidation type="list" allowBlank="1" sqref="H671:K671">
      <formula1>"ShowMasterFundOnTT,RestartClient,UpdateMasterFundOnTT,CreateStageOrder,VerifyOrder,TradeNewSubOrder,CreateNewSubOrder"</formula1>
    </dataValidation>
    <dataValidation type="list" allowBlank="1" sqref="F254:F256">
      <formula1>"CorporateAction,CleanUp,CashDividend,Exchange,Merger,NameChange,SpinOff,Split,StockDividend,OpenSpinOff,SpinOff,VerifySpinOffGrid,SaveCorporateAction,,,,,,,,,,,,,,,,,,,,,,,,,,,,,,,,,,,,,,,,,,,,,,,,,,,,,,,,,,,,,,,,,,,,,,,,,,,,,,,,,,,,,,,,,,,,,,,,,,,,,,,,,,"&amp;",,,,,,,,,,,,,,,,,,,,,,,,,,,,,,,,,,,,,,,,,,,,,,,,,,,,,,,,,,,,,,,,,,,,,,,,,,,,,,,,,,,,,,,,,,,,,,,,,,,,,,,,,,,,,,,,,,,,,,,,,,,,,,,,,,,,,,,,,,,,,,,,,,,,,,,,,,,,,,,,,,,,,,,,,,,,,,,,,,,,,,,,,,,,,,,,,,,,,,,,,,,,,,,,,,,,,,,,,,,,,,,,,,,,,,,,,,,,,,,,,,,,,,,,,,,,,,,"&amp;",,,,,,,,,,,,,,,,,,,,,,,,,,,,,,,,,,,,,,,,,,,,,,,,,,,,,,,,,,,,,,,,,,,,,,,,,,,,,,,,,,,,,,,,,,,,,,,,,,,,,,,,,,,,,,,,,,,,,,,,,,,"</formula1>
    </dataValidation>
    <dataValidation type="list" allowBlank="1" sqref="H53:K53">
      <formula1>"CreateLiveOrder,VerifySubOrder,SelectTrade,AcknowledgeTrade,VerifySubOrder1,VerifyOrder,SelectTrade1,ExecuteTrade,VerifyWorkingSubs,VerifySubOrder2"</formula1>
    </dataValidation>
    <dataValidation type="list" allowBlank="1" sqref="H62:K62">
      <formula1>"ClosingCleanUp,CleanUp,CreateDoneAwayOrder,Copy of Data,GetDataClosing,VerifyLongPositionsGrid,SelectTradeUnexpiredUnsettled,Expire,VerifyExpiredSettledGrid"</formula1>
    </dataValidation>
    <dataValidation type="list" allowBlank="1" sqref="H59:K59">
      <formula1>"ClosingCleanUp,CleanUp,CreateDoneAwayOrder,Copy of Data,GetDataClosing,VerifyLongPositionsGrid"</formula1>
    </dataValidation>
    <dataValidation type="list" allowBlank="1" sqref="H623:K623">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Data,GetDataClosing,UpdateForwardPoints6,CashSettlementAtClosingDtSpotPx,VerifyExpiredSettledGrid,SelectTradeUnexpiredUnsettled,GetDataAllocation,CheckAllocatedGroups,GetTradingTransactio"&amp;"n,VerifyTradingTransaction,RunRevaluation"</formula1>
    </dataValidation>
    <dataValidation type="list" allowBlank="1" sqref="H734:K734">
      <formula1>"CreateLiveOrder,SelectTrade,ExecuteTrade,AcknowledgeTrade,VerifyOrder,SelectTradeOnOrderGrid,VerifySubOrder,VerifyWorkingSubs,SelectTradeOnOrderGrid1,VerifySubOrder1,VerifyWorkingSubs1,RejectTrade,SelectTradeOnOrderGrid2,VerifySubOrder2"</formula1>
    </dataValidation>
    <dataValidation type="list" allowBlank="1" sqref="H64:K64">
      <formula1>"ClosingCleanUp,CleanUp,CreateDoneAwayOrder,Copy of Data,GetDataClosing,VerifyLongPositionsGrid,SelectTradeUnexpiredUnsettled,Expire,VerifyExpiredSettledGrid,GetDataAllocation,CheckAllocatedGroups"</formula1>
    </dataValidation>
    <dataValidation type="list" allowBlank="1" sqref="H570:K570">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1,GetDataClosing,SelectTradeUnexpiredUnsettled,CashSettlementAtClosingDt"&amp;"SpotPx,VerifyExpiredSettledGrid,GetDataAllocation,GetTradingTransaction,CheckAllocatedGroups,VerifyTradingTransaction,RunRevaluation,GetRevaluationData"</formula1>
    </dataValidation>
    <dataValidation type="list" allowBlank="1" sqref="F722 F726:F727 F731 F735:F736 F740 F748:F750 F753:F754">
      <formula1>"SelectTrade,AcknowledgeTrade,RejectTrade,ExecuteTrade,CancelTrade,OpenLiveTT,SetManualResponse,ClearUI,CloseSimulator,,,,,,,,,,,,,,,,,,,,,,,,,,,,,,,,,,,,,,,,,,,,,,,,,,,,,,,,,,,,,,,,,,,,,,,,,,,,,,,,,,,,,,,,,,,,,,,,,,,,,,,,,,,,,,,,,,,,,,,,,,,,,,,,,,,,,,,,,,"&amp;",,,,,,,,,,,,,,,,,,,,,,,,,,,,,,,,,,,,,,,,,,,,,,,,,,,,,,,,,,,,,,,,,,,,,,,,,,,,,,,,,,,,,,,,,,,,,,,,,,,,,,,,,,,,,,,,,,,,,,,,,,,,,,,,,,,,,,,,,,,,,,,,,,,,,,,,,,,,,,,,,,,,,,,,,,,,,,,,,,,,,,,,,,,,,,,,,,,,,,,,,,,,,,,,,,,,,,,,,,,,,,,,,,,,,,,,,,,,,,,,,,,,,,,,,,,,,,,"&amp;",,,,,,,,,,,,,,,,,,,,,,,,,,,,,,,,,,,,,,,,,,,,,,,,,,,,,,,,,,,,,,,,,,,,,,,,,,,,,,,,,,,,,,,,,,,,,,,"</formula1>
    </dataValidation>
    <dataValidation type="list" allowBlank="1" sqref="H110:K110 H130:K130">
      <formula1>"CreateDoneAwayOrder,SelectAllocatedGroup"</formula1>
    </dataValidation>
    <dataValidation type="list" allowBlank="1" sqref="H796:K796">
      <formula1>"CreateDoneAwayOrder,ViewThirdParty,ThirdPartySend,Copy of Data,ThirdPartyGenerate,VerifyThirdPartyGenerate"</formula1>
    </dataValidation>
    <dataValidation type="list" allowBlank="1" sqref="H418:K418">
      <formula1>"ShowMasterFundAsClient,ShowMasterFundOnTT"</formula1>
    </dataValidation>
    <dataValidation type="list" allowBlank="1" sqref="H559:K560">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formula1>
    </dataValidation>
    <dataValidation type="list" allowBlank="1" sqref="H722">
      <formula1>"CreateLiveOrder,SelectTrade,ExecuteTrade,AcknowledgeTrade"</formula1>
    </dataValidation>
    <dataValidation type="list" allowBlank="1" sqref="H363:K363 H367:K367 H580:K580 H665:K665 H764:K764">
      <formula1>"ShowMasterFundOnTT"</formula1>
    </dataValidation>
    <dataValidation type="list" allowBlank="1" sqref="F88 F92 F94">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amp;",,,,,,,,,,,,,,,,,,,,,,,,,,,,,,,,,,,,,,,,,,,,,,,,,,,,,,,,,,,,,,,,,,,,,,,,,,,,,,,,,,,,,,,,,,,,,,,,,,,,,,,,,,,,,,,,,,,,,,,,,,,,,,,,,,,,,,,,,,,,,,,,,,,,,,,,,,,,,,,,,,,,,,,,,,,,,,,,,,,,,,,,,,,,,,,,,,,,,,,,,,,,,,,,,,,,,,,,,,,,,,,,,,,,,,,,,,,,,,,,,,,,,,,,,,,,,,,"&amp;",,,,,,,,,,,,,,,,,,,,,,,,,,,,,,,,,,,,,,,,,,,,,,,,,,,,,,,,,,,,,,,,,,,,,,,,,,,,,,,,,,,,,,,"</formula1>
    </dataValidation>
    <dataValidation type="list" allowBlank="1" sqref="H480:K480">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formula1>
    </dataValidation>
    <dataValidation type="list" allowBlank="1" sqref="H543:K543">
      <formula1>"CreateDoneAwayOrder,UpdateForexConversionMonthly,GetForexConversion1,UpdateForexConversionMonthly1,GetForwardPoints,UpdateForwardPoints,GetForwardPoints1,UpdateForwardPoints1,UpdateForwardPoints2,GetForwardPoints2,GetForwardPoints3,UpdateForwardPoints3,Ge"&amp;"tForwardPoints4,UpdateForwardPoints4,GetForwardPoints5,UpdateForwardPoints5,GetForwardPoints6,UpdateForwardPoints6,GetDataClosing,SelectTradeUnexpiredUnsettled,CashSettlementAtClosingDtSpotPx,VerifyExpiredSettledGrid,GetDataAllocation,GetTradingTransactio"&amp;"n,CheckAllocatedGroups,VerifyTradingTransaction,RunRevaluation,GetRevaluationData,VerifyRevaluationData,GetForexConversion"</formula1>
    </dataValidation>
    <dataValidation type="list" allowBlank="1" sqref="H335:K335">
      <formula1>"CreateDoneAwayOrder,Copy of Data,VerifyOrder,VerifyWorkingSubs,GetDataAllocation,CheckUnallocatedGroups,CheckAllocatedGroups"</formula1>
    </dataValidation>
    <dataValidation type="list" allowBlank="1" sqref="H374:K375">
      <formula1>"ShowMasterFundOnTT,UpdateMasterFundOnTT,CreateStageOrder,TradeNewSubOrder,CreateNewSubOrder,GetDataAllocation,Unallocate,SelectUnallocatedGroup,EnterAccountValuesToAllocate,ReplaceSubOrder,CreateReplaceOrder,VerifyWorkingSubs,CheckAllocatedGroups1,CheckPo"&amp;"rtfolioManagement, ,SelectAllocatedGroup,Copy of Data,Copy of Data 1,Copy of Data 2"</formula1>
    </dataValidation>
    <dataValidation type="list" allowBlank="1" sqref="H819:K820">
      <formula1>"CreateDoneAwayOrder,GetDataClosing,AutomaticClosing,ViewThirdParty,GenerateThirdParty,VerifyThirdPartyGenerate,UnwindClosing"</formula1>
    </dataValidation>
    <dataValidation type="list" allowBlank="1" sqref="H92:K92">
      <formula1>"CreateDoneAwayOrder,SelectTradeWorkingSubsBlotter,ViewAllocationDetailsWorkingSub,ver,VerifyViewAllocationDetails"</formula1>
    </dataValidation>
    <dataValidation type="list" allowBlank="1" sqref="H594:K594">
      <formula1>"GetForexConversion,UpdateForexConversionMonthly"</formula1>
    </dataValidation>
    <dataValidation type="list" allowBlank="1" sqref="H423:K423">
      <formula1>"ShowMasterFundAsClient,ShowMasterFundOnTT,ShowMasterFund,CreateDoneAwayOrder,SelectUnallocatedGroup"</formula1>
    </dataValidation>
    <dataValidation type="list" allowBlank="1" sqref="H34:K34 H339:K339">
      <formula1>"CreateDoneAwayOrder,VerifyWorkingSubs"</formula1>
    </dataValidation>
    <dataValidation type="list" allowBlank="1" sqref="F40">
      <formula1>"GenerateThirdParty,SendThirdParty,ViewThirdParty,SelectThirdPartyName,VerifyThirdPartyData,ThirdPartyWork,Automation,ThirdPartyWork,OpeningManager,ThirdPartyManagerFunction,SelectFromThirdPartyGrid,SelectThirdPartyJob,GenerateAllThirdPartyData,,,,,,,,,,,,"&amp;",,,,,,,,,,,,,,,,,,,,,,,,,,,,,,,,,,,,,,,,,,,,,,,,,,,,,,,,,,,,,,,,,,,,,,,,,,,,,,,,,,,,,,,,,,,,,,,,,,,,,,,,,,,,,,,,,,,,,,,,,,,,,,,,,,,,,,,,,,,,,,,,,,,,,,,,,,,,,,,,,,,,,,,,,,,,,,,,,,,,,,,,,,,,,,,,,,,,,,,,,,,,,,,,,,,,,,,,,,,,,,,,,,,,,,,,,,,,,,,,,,,,,,,,,,,,,,,"&amp;",,,,,,,,,,,,,,,,,,,,,,,,,,,,,,,,,,,,,,,,,,,,,,,,,,,,,,,,,,,,,,,,,,,,,,,,,,,,,,,,,,,,,,,,,,,,,,,,,,,,,,,,,,,,,,,,,,,,,,,,,,,,,,,,,,,,,,,,,,,,,,,,,,,,,,,,,,,,,,,,,,,,,,,,,,,,,,,,,,,,,,,,,,,,,,,,,,,,,,,,,,,,,,,,,,,,,,,,,"</formula1>
    </dataValidation>
    <dataValidation type="list" allowBlank="1" sqref="H218:K218 H446:K446 H640">
      <formula1>"CreateDoneAwayOrder,GetForexConversion,UpdateForexConversionMonthly,GetDataClosing,SelectTradeUnexpiredUnsettled"</formula1>
    </dataValidation>
    <dataValidation type="list" allowBlank="1" sqref="F75:F76 F709:F711 F713:F715 F717:F719 H780 F776:F781 F784:F785 F789:F792 F795:F796 F800:F803 F808:F809 F811:F812 F817:F818 F820:F823 F829 F831:F834 F837:F838 F841:F842 H842 F845:F846 H846">
      <formula1>"GenerateThirdParty,SendThirdParty,ViewThirdParty,SelectThirdPartyName,VerifyThirdPartyData,ThirdPartyWork,Automation,ThirdPartyManagerFunction,OpeningManager,SelectFromThirdPartyGrid,SelectThirdPartyJob,GenerateAllThirdPartyData,SendAllThirdPartyData,Veri"&amp;"fyThirdPartyView,SelectThirdParty,SelectThirdParty,ViewThirdParty,GenerateThirdPartyData,ThirdPartyGenerate,VerifyThirdPartyView,VerifyThirdPartyGenerate,VerifyThirdPartySend,ThirdPartySend,,,,,,,,,,,,,,,,,,,,,,,,,,,,,,,,,,,,,,,,,,,,,,,,,,,,,,,,,,,,,,,,,,"&amp;",,,,,,,,,,,,,,,,,,,,,,,,,,,,,,,,,,,,,,,,,,,,,,,,,,,,,,,,,,,,,,,,,,,,,,,,,,,,,,,,,,,,,,,,,,,,,,,,,,,,,,,,,,,,,,,,,,,,,,,,,,,,,,,,,,,,,,,,,,,,,,,,,,,,,,,,,,,,,,,,,,,,,,,,,,,,,,,,,,,,,,,,,,,,,,,,,,,,,,,,,,,,,,,,,,,,,,,,,,,,,,,,,,,,,,,,,,,,,,,,,,,,,,,,,,,,,,,"&amp;",,,,,,,,,,,,,,,,,,,,,,,,,,,,,,,,,,,,,,,,,,,,,,,,,,,,,,,,,,,,,,,,,,,,,,,,,,,,,,,,,,,,,,,,,,,,,,,,,,,,,,,,,,,,,,,,,,,,,,,,,,,,,,,,,,,,,,,,,,,,,,,,,,,,,,,,,"</formula1>
    </dataValidation>
    <dataValidation type="list" allowBlank="1" sqref="H537:K537">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GetForwardPoints4,UpdateForwardPoints4,GetForwardPoints5,UpdateForwardPoints5,GetForwardPoints6,UpdateForwardPoint"&amp;"s6,GetDataAllocation,CheckFixedPreference,CheckAllocatedGroups,GetTradingTransaction,VerifyTradingTransaction,RunRevaluation"</formula1>
    </dataValidation>
    <dataValidation type="list" allowBlank="1" sqref="H398:K398">
      <formula1>"CheckAllocatedGroups,CheckA,Copy of Data 7,Copy of Data 8,Copy of Data 9"</formula1>
    </dataValidation>
    <dataValidation type="list" allowBlank="1" sqref="H152:K152">
      <formula1>"CorporateAction"</formula1>
    </dataValidation>
    <dataValidation type="list" allowBlank="1" sqref="H710:K711">
      <formula1>"CreateDoneAwayOrder,ThirdPartySend,VerifyThirdPartySend"</formula1>
    </dataValidation>
    <dataValidation type="list" allowBlank="1" sqref="H357:K358">
      <formula1>"ApplyMasterFundFilter"</formula1>
    </dataValidation>
    <dataValidation type="list" allowBlank="1" sqref="F363 F367 F373:F374 F376 F382 F390 F397 F402 F406:F41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amp;",,,,,,,,,,,,,,,,,,,,,,,,,,,,,,,,,,,,,,,,,,,,,,,,,,,,,,,,,,,,,,,,,,,,,,,,,,,,,,,,,,,,,,,,,,,,,,,,,,,,,,,,,,,,,,,,,,,,,,,,,,,,,,,,,,,,,,,,,,,,,,,,,,,,,,,,,,,,,,,,,,,,,,,,,,,,,,,,,,,,,,,,,,,,,,,,,,,,,,,,,,,,,,,,,,,,,,,,,,,,,,,,,,,,,,,,,,,,,,,,,,,,,,,,,,,,,,,"&amp;",,,,,,,,,,,,,,,,,,,,,,,,,,,,,,,,,,,,,,,,,,,,,,,,,,,,,,,,,,,,,,,,,,,,,,,,,,,,,,,,,,,,,,,,,,,,,,,,,,,,,"</formula1>
    </dataValidation>
    <dataValidation type="list" allowBlank="1" sqref="H115:K115">
      <formula1>"CreateDoneAwayOrder,SaveLayoutAllocationUI"</formula1>
    </dataValidation>
    <dataValidation type="list" allowBlank="1" sqref="F126">
      <formula1>"FetchAccountPositions,AddCash,VerifyGridData,RunRebalance,RebalanceAcrossSecurities,ModifyRebalance,ClearCalculations,,,,,,,,,,,,,,,,,,,,,,,,,,,,,,,,,,,,,,,,,,,,,,,,,,,,,,,,,,,,,,,,,,,,,,,,,,,,,,,,,,,,,,,,,,,,,,,,,,,,,,,,,,,,,,,,,,,,,,,,,,,,,,,,,,,,,,,,,,"&amp;",,,,,,,,,,,,,,,,,,,,,,,,,,,,,,,,,,,,,,,,,,,,,,,,,,,,,,,,,,,,,,,,,,,,,,,,,,,,,,,,,,,,,,,,,,,,,,,,,,,,,,,,,,,,,,,,,,,,,,,,,,,,,,,,,,,,,,,,,,,,,,,,,,,,,,,,,,,,,,,,,,,,,,,,,,,,,,,,,,,,,,,,,,,,,,,,,,,,,,,,,,,,,,,,,,,,,,,,,,,,,,,,,,,,,,,,,,,,,,,,,,,,,,,,,,,,,,,"&amp;",,,,,,,,,,,,,,,,,,,,,,,,,,,,,,,,,,,,,,,,,,,,,,,,,,,,,,,,,,,,,,,,,,,,,,,,,,,,,,,,,,,,,,,,,,,,,,,,,"</formula1>
    </dataValidation>
    <dataValidation type="list" allowBlank="1" sqref="H22:K22">
      <formula1>"Automation"</formula1>
    </dataValidation>
    <dataValidation type="list" allowBlank="1" sqref="H170:K170">
      <formula1>"CreateDoneAwayOrder,CheckBlotter,GetForexConversion,UpdateForexConversion,GetDataAllocation"</formula1>
    </dataValidation>
    <dataValidation type="list" allowBlank="1" sqref="F6 F12 F16:F17 F21">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SelectTradeWorkingSubsBlotter,VerifyAlgoDetails,Ver"&amp;"ifyTransferToUserOrder,VerifyTransferToUserSubOdr,VerifyTransferToUserWorkSub,SaveLayoutOrderGrid,SaveLayoutOrderGrid,,,,,,,,,,,,,,,,,,,,,,,,,,,,,,,,,,,,,,,,,,,,,,,,,,,,,,,,,,,,,,,,,,,,,,,,,,,,,,,,,,,,,,,,,,,,,,,,,,,,,,,,,,,,,,,,,,,,,,,,,,,,,,,,,,,,,,,,,,"&amp;",,,,,,,,,,,,,,,,,,,,,,,,,,,,,,,,,,,,,,,,,,,,,,,,,,,,,,,,,,,,,,,,,,,,,,,,,,,,,,,,,,,,,,,,,,,,,,,,,,,,,,,,,,,,,,,,,,,,,,,,,,,,,,,,,,,,,,,,,,,,,,,,,,,,,,,,,,,,,,,,,,,,,,,,,,,,,,,,,,,,,,,,,,,,,,,,,,,,,,,,,,,,,,,,,,,,,,,,,,,,,,,,,,,,,,,,,,,,,,,,,,,,,,,,,,,,,,,"&amp;",,,,,,,,,,,,,,,,,,,,,,,,,,,,,,,,,,,,,,,,,,,,,,,,,,,,"</formula1>
    </dataValidation>
    <dataValidation type="list" allowBlank="1" sqref="H486:K487">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GetForwardPoints2,UpdateForwardPoints2"</formula1>
    </dataValidation>
    <dataValidation type="list" allowBlank="1" sqref="H736:K736">
      <formula1>"CreateLiveOrder,SelectTrade,ExecuteTrade,AcknowledgeTrade,VerifyOrder,SelectTradeOnOrderGrid,VerifySubOrder,VerifyWorkingSubs,SelectTradeOnOrderGrid1,VerifySubOrder1,VerifyWorkingSubs1,RejectTrade,SelectTradeOnOrderGrid2,VerifySubOrder2,VerifyWorkingSubs2"&amp;",SelectTrade2"</formula1>
    </dataValidation>
    <dataValidation type="list" allowBlank="1" sqref="H784:K784">
      <formula1>"CreateDoneAwayOrder,viw,view,ViewThirdParty,ThirdPartyGenerate"</formula1>
    </dataValidation>
    <dataValidation type="list" allowBlank="1" sqref="H296:K296">
      <formula1>"GetNonTradingTransaction,AddNonTradingTransaction,CreateDoneAwayOrder,GetAccountBalance,GetActivityData,VerifyActivity,GetMarkPriceData"</formula1>
    </dataValidation>
    <dataValidation type="list" allowBlank="1" sqref="H601:K601">
      <formula1>"GetForexConversion,UpdateForexConversionMonthly,CreateDoneAwayOrder,GetForexConversion1,UpdateForexConversionMonthly1,GetForwardPoints"</formula1>
    </dataValidation>
    <dataValidation type="list" allowBlank="1" sqref="H315:K315">
      <formula1>"DisableCheckside,CreateDoneAwayOrder"</formula1>
    </dataValidation>
    <dataValidation type="list" allowBlank="1" sqref="H749:K749 H753:K753">
      <formula1>"CreateLiveOrder,VerifyOrder,AcknowledgeTrade,ExecuteTrade,CheckAllocatedGroups,GetDataAllocation,GetDataClosing,VerifyLongPositionsGrid,VerifyShortPositionsGrid,AutomaticClosing,SelectTrade"</formula1>
    </dataValidation>
    <dataValidation type="list" allowBlank="1" sqref="I532:K532">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GetForwardPoints4,UpdateForwardPoints4,GetForwardPoints5,UpdateForwardPoints5,GetForwardPoints6,UpdateForwardPoint"&amp;"s6,GetDataAllocation,CheckFixedPreference,CheckAllocatedGroups,GetTradingTransaction"</formula1>
    </dataValidation>
    <dataValidation type="list" allowBlank="1" sqref="H469:K469">
      <formula1>"CreateDoneAwayOrder,GetForexConversion,UpdateForexConversionMonthly,SelectTradeUnexpiredUnsettled,GetDataClosing,CashSettlementAtClosingDtSpotPx,VerifyExpiredSettledGrid,GetDataAllocation,CheckAllocatedGroups,GetTradingTransaction,VerifyTradingTransaction"&amp;",RunRevaluation"</formula1>
    </dataValidation>
    <dataValidation type="list" allowBlank="1" sqref="H787:K787">
      <formula1>"CreateDoneAwayOrder,viw,view,ViewThirdParty,ThirdPartyGenerate,VerifyThirdPartyGenerate,GetDataAllocation,SelectAllocatedGroup"</formula1>
    </dataValidation>
    <dataValidation type="list" allowBlank="1" sqref="H522:K522">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mula1>
    </dataValidation>
    <dataValidation type="list" allowBlank="1" sqref="H65:K65">
      <formula1>"ClosingCleanUp,CleanUp,CreateDoneAwayOrder,Copy of Data,GetDataClosing,VerifyLongPositionsGrid,SelectTradeUnexpiredUnsettled,Expire,VerifyExpiredSettledGrid,GetDataAllocation,CheckAllocatedGroups,UnWindTradeSettlement"</formula1>
    </dataValidation>
    <dataValidation type="list" allowBlank="1" sqref="H563:K563">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formula1>
    </dataValidation>
    <dataValidation type="list" allowBlank="1" sqref="H106:K106">
      <formula1>"CreateDoneAwayOrder,EditUnallocatedGrid,CheckUnallocatedGroups,SelectUnallocatedGroup,ed"</formula1>
    </dataValidation>
    <dataValidation type="list" allowBlank="1" sqref="H798:K798">
      <formula1>"CreateDoneAwayOrder,ViewThirdParty,ThirdPartySend,Copy of Data,ThirdPartyGenerate,VerifyThirdPartyGenerate,GetDataAllocation,SelectAllocatedGroup"</formula1>
    </dataValidation>
    <dataValidation type="list" allowBlank="1" sqref="H232:K232 H683">
      <formula1>"CreateDoneAwayOrder,GetForexConversion,UpdateForexConversion,GetDataClosing,SelectTradeUnexpiredUnsettled,CashSettlementAtClosingDtSpotPx,VerifyExpiredSettledGrid,GetDataAllocation,CheckAllocatedGroups,GetTradingTransaction,VerifyTradingTransaction,RunRev"&amp;"aluation,UpdateForexConversionMonthly"</formula1>
    </dataValidation>
    <dataValidation type="list" allowBlank="1" sqref="H547:K547">
      <formula1>"CreateDoneAwayOrder,GetForexConversion,UpdateForexConversionMonthly,GetForexConversion1,UpdateForexConversionMonthly1,GetForwardPoints"</formula1>
    </dataValidation>
    <dataValidation type="list" allowBlank="1" sqref="H45:K45">
      <formula1>"SetManualResponse,CreateLiveOrder,SelectTrade"</formula1>
    </dataValidation>
    <dataValidation type="list" allowBlank="1" sqref="H479:K479">
      <formula1>"CreateDoneAwayOrder,GetDataClosing,SelectTradeUnexpiredUnsettled,CashSettlementAtClosingDtSpotPx,VerifyExpiredSettledGrid,GetDataAllocation,CheckAllocatedGroups,GetForexConversion,UpdateForexConversionMonthly,GetForexConversion1,GetTradingTransaction,Veri"&amp;"fyTradingTransaction"</formula1>
    </dataValidation>
    <dataValidation type="list" allowBlank="1" sqref="H301:K301">
      <formula1>"GetNonTradingTransaction,AddNonTradingTransaction,CreateDoneAwayOrder,GetAccountBalance,Copy of Data,GetActivityData"</formula1>
    </dataValidation>
    <dataValidation type="list" allowBlank="1" sqref="H562:K562">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formula1>
    </dataValidation>
    <dataValidation type="list" allowBlank="1" sqref="H565:K565">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formula1>
    </dataValidation>
    <dataValidation type="list" allowBlank="1" sqref="H334:K334">
      <formula1>"CreateDoneAwayOrder,Copy of Data,VerifyOrder,VerifyWorkingSubs,GetDataAllocation,CheckUnallocatedGroups"</formula1>
    </dataValidation>
    <dataValidation type="list" allowBlank="1" sqref="H186:K186">
      <formula1>"CreateDoneAwayOrder,GetForexConversion,UpdateForexConversion,UpdateForexConversionMonthly"</formula1>
    </dataValidation>
    <dataValidation type="list" allowBlank="1" sqref="H395:K395">
      <formula1>"ShowMasterFundOnTT,ShowMasterFund,CreateStageOrder,VerifyOrder,TradeNewSubOrder"</formula1>
    </dataValidation>
    <dataValidation type="list" allowBlank="1" sqref="H342:K342">
      <formula1>"VerifyWorkingSubs"</formula1>
    </dataValidation>
    <dataValidation type="list" allowBlank="1" sqref="H140:K140">
      <formula1>"UpdateServerConfig,RestartExpnl,SetGeneralPreferences"</formula1>
    </dataValidation>
    <dataValidation type="list" allowBlank="1" sqref="H778:K778">
      <formula1>"CreateDoneAwayOrder,ViewThirdParty,VerifyThirdPartyView,GenerateThirdParty,VerifyThirdPartyGenerate,SendThirdParty,VerifyThirdPartySend,ThirdPartyGenerate"</formula1>
    </dataValidation>
    <dataValidation type="list" allowBlank="1" sqref="H174:K174">
      <formula1>"CreateDoneAwayOrder,CheckBlotter,GetForexConversion,UpdateForexConversion,GetDataAllocation,CheckAllocatedGroups,GetDataClosing,SelectTradeUnexpiredUnsettled,CashSettlementAtClosingDtSpotPx"</formula1>
    </dataValidation>
    <dataValidation type="list" allowBlank="1" sqref="H428:K428">
      <formula1>"ShowMasterFundAsClient,ShowMasterFundOnTT,ShowMasterFund,CreateDoneAwayOrder,SelectUnallocatedGroup,EnterAccountValuesToAllocate,GetDataAllocation,CheckAllocatedGroups,VerifyWorkingSubs,CheckPortfolioManagement"</formula1>
    </dataValidation>
    <dataValidation type="list" allowBlank="1" sqref="H800:K800">
      <formula1>"CreateDoneAwayOrder,ViewThirdParty,ThirdPartySend,Copy of Data,ThirdPartyGenerate,VerifyThirdPartyGenerate,GetDataAllocation,SelectAllocatedGroup,Unallocate"</formula1>
    </dataValidation>
    <dataValidation type="list" allowBlank="1" sqref="F124">
      <formula1>"SelectTrade,AcknowledgeTrade,RejectTrade,ExecuteTrade,CancelTrade,OpenLiveTT,SetManualResponse,ClearUI,CloseUI,,,,,,,,,,,,,,,,,,,,,,,,,,,,,,,,,,,,,,,,,,,,,,,,,,,,,,,,,,,,,,,,,,,,,,,,,,,,,,,,,,,,,,,,,,,,,,,,,,,,,,,,,,,,,,,,,,,,,,,,,,,,,,,,,,,,,,,,,,,,,,,,,"&amp;",,,,,,,,,,,,,,,,,,,,,,,,,,,,,,,,,,,,,,,,,,,,,,,,,,,,,,,,,,,,,,,,,,,,,,,,,,,,,,,,,,,,,,,,,,,,,,,,,,,,,,,,,,,,,,,,,,,,,,,,,,,,,,,,,,,,,,,,,,,,,,,,,,,,,,,,,,,,,,,,,,,,,,,,,,,,,,,,,,,,,,,,,,,,,,,,,,,,,,,,,,,,,,,,,,,,,,,,,,,,,,,,,,,,,,,,,,,,,,,,,,,,,,,,,,,,,,,"&amp;",,,,,,,,,,,,,,,,,,,,,,,,,,,,,,,,,,,,,,,,,,,,,,,,,,,,,,,,,,,,,,,,,,,,,,,,,,,,,,,,,,,,,,,,"</formula1>
    </dataValidation>
    <dataValidation type="list" allowBlank="1" sqref="H392:K392">
      <formula1>"ShowMasterFundOnTT,ShowMasterFund,CreateStageOrder,VerifyOrder,TradeNewSubOrder,CreateNewSubOrder,GetDataAllocation,CheckAllocatedGroups,RestartClient,UpdateMasterFundOnTT"</formula1>
    </dataValidation>
    <dataValidation type="list" allowBlank="1" sqref="H808:K808">
      <formula1>"CreateDoneAwayOrder,GetDataClosing,Copy of Data,Copy of Data_conflict734426019,AutomaticClosing,ViewThirdParty,GenerateThirdParty"</formula1>
    </dataValidation>
    <dataValidation type="list" allowBlank="1" sqref="H394:K394">
      <formula1>"ShowMasterFundOnTT,ShowMasterFund,CreateStageOrder,VerifyOrder"</formula1>
    </dataValidation>
    <dataValidation type="list" allowBlank="1" sqref="H217:K217 H445:K445 H639">
      <formula1>"CreateDoneAwayOrder,GetForexConversion,UpdateForexConversionMonthly,GetDataClosing"</formula1>
    </dataValidation>
    <dataValidation type="list" allowBlank="1" sqref="H373:K373">
      <formula1>"ShowMasterFundOnTT,ShowMasterFund,CreateStageOrder,TradeNewSubOrder,CreateDoneAwayOrder,AddFillsWorkingSubs,EditTradesAllocated,ReplaceWorkingSubs,VerifyWorkingSubs,VerifyOrder,GetDataAllocation,CheckUnallocatedGroups,CheckPortfolioManagement,Copy of Data"&amp;",Copy of Data 1,Copy of Data 2"</formula1>
    </dataValidation>
    <dataValidation type="list" allowBlank="1" sqref="H333:K333">
      <formula1>"CreateDoneAwayOrder,Copy of Data,VerifyOrder,VerifyWorkingSubs,GetDataAllocation"</formula1>
    </dataValidation>
    <dataValidation type="list" allowBlank="1" sqref="I646:K646 H648:K648 H693:I693">
      <formula1>"GetRevaluationData"</formula1>
    </dataValidation>
    <dataValidation type="list" allowBlank="1" sqref="H740:K740">
      <formula1>"CreateLiveOrder,SelectTrade,ExecuteTrade,AcknowledgeTrade,VerifyOrder,SelectTradeOnOrderGrid,VerifySubOrder,VerifyWorkingSubs,SelectTradeOnOrderGrid1,VerifySubOrder1,VerifyWorkingSubs1,RejectTrade,SelectTradeOnOrderGrid2,VerifySubOrder2,VerifyWorkingSubs2"&amp;",SelectTrade2,ExecuteTrade2,SelectTradeOnOrderGrid3,VerifySubOrder3,VerifyWorkingSubs3,CancelTrade"</formula1>
    </dataValidation>
    <dataValidation type="list" allowBlank="1" sqref="H721:K721">
      <formula1>"CreateLiveOrder,SelectTrade,ExecuteTrade,AcknowledgeTrade,VerifyOrder"</formula1>
    </dataValidation>
    <dataValidation type="list" allowBlank="1" sqref="H302:K302">
      <formula1>"GetNonTradingTransaction,AddNonTradingTransaction,CreateDoneAwayOrder,GetAccountBalance,Copy of Data,GetActivityData,VerifyActivity"</formula1>
    </dataValidation>
    <dataValidation type="list" allowBlank="1" sqref="F178:F181 F193:F194 F207:F210">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amp;",,,,,,,,,,,,,,,,,,,,,,,,,,,,,,,,,,,,,,,,,,,,,,,,,,,,,,,,,,,,,,,,,,,,,,,,,,,,,,,,,,,,,,,,,,,,,,,,,,,,,,,,,,,,,,,,,,,,,,,,,,,,,,,,,,,,,,,,,,,,,,,,,,,,,,,,,,,,,,,,,,,,,,,,,,,,,,,,,,,,,,,,,,,,,,,,,,,,,,,,,,,,,,,,,,,,,,,,,,,,,,,,,,,,,,,,,,,,,,,,,,,,,,,,,,,,,,,"&amp;",,,,,,,,,,,,,,,,,,,,,,,,,,,,,,,,"</formula1>
    </dataValidation>
    <dataValidation type="list" allowBlank="1" sqref="H223:K223 H451:K451 H645">
      <formula1>"CreateDoneAwayOrder,GetForexConversion,UpdateForexConversionMonthly,GetDataClosing,SelectTradeUnexpiredUnsettled,CashSettlementAtClosingDtSpotPx,VerifyExpiredSettledGrid,GetDataAllocation,CheckAllocatedGroups,GetTradingTransaction"</formula1>
    </dataValidation>
    <dataValidation type="list" allowBlank="1" sqref="H839:K839">
      <formula1>"CreateDoneAwayOrder,ViewThirdParty,ThirdPartyGenerate,VerifyThirdPartyGenerate,SelectUnallocatedGroup,GetDataAllocation"</formula1>
    </dataValidation>
    <dataValidation type="list" allowBlank="1" sqref="H584:K584 H768:K768">
      <formula1>"ShowMasterFundOnTT,UpdateMasterFundOnTT,CreateStageOrder,VerifyOrder"</formula1>
    </dataValidation>
    <dataValidation type="list" allowBlank="1" sqref="H13:K13">
      <formula1>"OpenThirdParty,ThirdPartyWork,Copy of Data"</formula1>
    </dataValidation>
    <dataValidation type="list" allowBlank="1" sqref="I722:K722 H726:K726">
      <formula1>"CreateLiveOrder,SelectTrade"</formula1>
    </dataValidation>
    <dataValidation type="list" allowBlank="1" sqref="H137:K137">
      <formula1>"RestartServer"</formula1>
    </dataValidation>
    <dataValidation type="list" allowBlank="1" sqref="H208:K208 H240:K240 H691">
      <formula1>"CreateDoneAwayOrder,GetForexConversion,UpdateForexConversion,GetDataClosing,SelectTradeUnexpiredUnsettled,CashSettlementAtClosingDtSpotPx,VerifyExpiredSettledGrid,GetDataAllocation,CheckAllocatedGroups,GetTradingTransaction,VerifyTradingTransaction"</formula1>
    </dataValidation>
    <dataValidation type="list" allowBlank="1" sqref="H311:K311">
      <formula1>"DisableChecksideForAsset,CreateDoneAwayOrder,SelectUnallocatedGroup,EnterAllocatePreference,Allocate,CheckAllocatedGroups,CheckUnallocatedGroups"</formula1>
    </dataValidation>
    <dataValidation type="list" allowBlank="1" sqref="H508:K508">
      <formula1>"ApplyPrefetchFilters,UpdateForwardPoints"</formula1>
    </dataValidation>
    <dataValidation type="list" allowBlank="1" sqref="F15 F18">
      <formula1>"GenerateThirdParty,SendThirdParty,ViewThirdParty,SelectThirdPartyName,VerifyThirdPartyData,ThirdPartyWork,OpeningManager,,,,,,,,,,,,,,,,,,,,,,,,,,,,,,,,,,,,,,,,,,,,,,,,,,,,,,,,,,,,,,,,,,,,,,,,,,,,,,,,,,,,,,,,,,,,,,,,,,,,,,,,,,,,,,,,,,,,,,,,,,,,,,,,,,,,,,,"&amp;",,,,,,,,,,,,,,,,,,,,,,,,,,,,,,,,,,,,,,,,,,,,,,,,,,,,,,,,,,,,,,,,,,,,,,,,,,,,,,,,,,,,,,,,,,,,,,,,,,,,,,,,,,,,,,,,,,,,,,,,,,,,,,,,,,,,,,,,,,,,,,,,,,,,,,,,,,,,,,,,,,,,,,,,,,,,,,,,,,,,,,,,,,,,,,,,,,,,,,,,,,,,,,,,,,,,,,,,,,,,,,,,,,,,,,,,,,,,,,,,,,,,,,,,,,,,,,,"&amp;",,,,,,,,,,,,,,,,,,,,,,,,,,,,,,,,,,,,,,,,,,,,,,,,,,,,,,,,,,,,,,,,,,,,,,,,,,,,,,,,,,,,,,,,,,,,,,,,,,,,"</formula1>
    </dataValidation>
    <dataValidation type="list" allowBlank="1" sqref="H63:K63">
      <formula1>"ClosingCleanUp,CleanUp,CreateDoneAwayOrder,Copy of Data,GetDataClosing,VerifyLongPositionsGrid,SelectTradeUnexpiredUnsettled,Expire,VerifyExpiredSettledGrid,GetDataAllocation"</formula1>
    </dataValidation>
    <dataValidation type="list" allowBlank="1" sqref="H795:K795">
      <formula1>"CreateDoneAwayOrder,ViewThirdParty,ThirdPartySend,Copy of Data,ThirdPartyGenerate"</formula1>
    </dataValidation>
    <dataValidation type="list" allowBlank="1" sqref="H593:K593">
      <formula1>"GetForexConversion"</formula1>
    </dataValidation>
    <dataValidation type="list" allowBlank="1" sqref="H737:K737">
      <formula1>"CreateLiveOrder,SelectTrade,ExecuteTrade,AcknowledgeTrade,VerifyOrder,SelectTradeOnOrderGrid,VerifySubOrder,VerifyWorkingSubs,SelectTradeOnOrderGrid1,VerifySubOrder1,VerifyWorkingSubs1,RejectTrade,SelectTradeOnOrderGrid2,VerifySubOrder2,VerifyWorkingSubs2"&amp;",SelectTrade2,ExecuteTrade2"</formula1>
    </dataValidation>
    <dataValidation type="list" allowBlank="1" sqref="H791:K791">
      <formula1>"CreateDoneAwayOrder,ViewThirdParty,ThirdPartyGenerate,VerifyThirdPartyGenerate,GetDataAllocation,SelectAllocatedGroup,EditAllocatedGrid,VerifyThirdPartyView,SendThirdParty,VerifyThirdPartySend,ThirdPartySend"</formula1>
    </dataValidation>
    <dataValidation type="list" allowBlank="1" sqref="H100:K100">
      <formula1>"VerifyViewAllocationDetails,VerifyPTT"</formula1>
    </dataValidation>
    <dataValidation type="list" allowBlank="1" sqref="H551:K551">
      <formula1>"CreateDoneAwayOrder,GetForexConversion,UpdateForexConversionMonthly,GetForexConversion1,UpdateForexConversionMonthly1,GetForwardPoints,UpdateForwardPoints,GetForwardPoints1,UpdateForwardPoints1,UpdateForwardPoints2"</formula1>
    </dataValidation>
    <dataValidation type="list" allowBlank="1" sqref="F313 F316:F318 F333:F335 F35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mp;",,,,,,,,,,,,,,,,,,,,,,,,,,,,,,,,,,,,,,,,,,,,,,,,,,,,,,,,,,,,,,,,,,,,,,,,,,,,,,,,,,,,,,,,,,,,,,,,,,,,,,,,,,,,,,,,,,,,,,,,,,,,,,,,,,,,,,,,,,,,,,,,,,,,,,,,,,,,,,,,,,,,,,,,,,,,,,,,,,,,,,,,,,,,,,,,,,,,,,,,,,,,,,,,,,,,,,,,,,,,,,,,,,,,,,,,,,,,,,,,,,,,,,,,,,,,,,,"&amp;",,,,,,,,,,,,,,,,,,,,,,,,,,,,,,,,,,,,,,,,,,,,,,,,,,,,,,,,,,,,,,"</formula1>
    </dataValidation>
    <dataValidation type="list" allowBlank="1" sqref="H611:K613">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DataClosing,UpdateForwardPoints6,CashSettlementAtClosingDtSpotPx,VerifyExpiredSettledGrid,SelectTradeUnexpiredUnsettled,GetDataAllocation,CheckAllocatedGroups,GetTradingTransaction,VerifyTradingTr"&amp;"ansaction,RunRevaluation,GetRevaluationData,VerifyRevaluationData"</formula1>
    </dataValidation>
    <dataValidation type="list" allowBlank="1" sqref="H48:K48">
      <formula1>"CreateLiveOrder,VerifySubOrder,SelectTrade,AcknowledgeTrade,VerifySubOrder1,ExecuteTrade,VerifyWorkingSubs,VerifyOrder"</formula1>
    </dataValidation>
    <dataValidation type="list" allowBlank="1" sqref="H111:K111">
      <formula1>"CreateDoneAwayOrder,SelectAllocatedGroup,EditAllocatedGrid"</formula1>
    </dataValidation>
    <dataValidation type="list" allowBlank="1" sqref="H424:K424">
      <formula1>"ShowMasterFundAsClient,ShowMasterFundOnTT,ShowMasterFund,CreateDoneAwayOrder,SelectUnallocatedGroup,EnterAccountValuesToAllocate"</formula1>
    </dataValidation>
    <dataValidation type="list" allowBlank="1" sqref="H10:K10">
      <formula1>"CreateStageOrder,ViewThirdParty"</formula1>
    </dataValidation>
    <dataValidation type="list" allowBlank="1" sqref="H762:K763">
      <formula1>"CreateLiveOrder,VerifyOrder,AcknowledgeTrade,ExecuteTrade,CheckAllocatedGroups,GetDataAllocation,GetDataClosing,VerifyLongPositionsGrid,VerifyShortPositionsGrid,AutomaticClosing,SelectTrade,SelectTrade2,ExecuteTrade2,GetDataAllocation2,CheckAllocatedGroup"&amp;"s2,GetActivityData,VerifyActivity"</formula1>
    </dataValidation>
    <dataValidation type="list" allowBlank="1" sqref="H670:K670">
      <formula1>"ShowMasterFundOnTT,RestartClient,UpdateMasterFundOnTT,CreateStageOrder,VerifyOrder,TradeNewSubOrder"</formula1>
    </dataValidation>
    <dataValidation type="list" allowBlank="1" sqref="H553:K554">
      <formula1>"CreateDoneAwayOrder,GetForexConversion,UpdateForexConversionMonthly,GetForexConversion1,UpdateForexConversionMonthly1,GetForwardPoints,UpdateForwardPoints,GetForwardPoints1,UpdateForwardPoints1,UpdateForwardPoints2,GetForwardPoints2"</formula1>
    </dataValidation>
    <dataValidation type="list" allowBlank="1" sqref="H760:K760">
      <formula1>"CreateLiveOrder,VerifyOrder,AcknowledgeTrade,ExecuteTrade,CheckAllocatedGroups,GetDataAllocation,GetDataClosing,VerifyLongPositionsGrid,VerifyShortPositionsGrid,AutomaticClosing"</formula1>
    </dataValidation>
    <dataValidation type="list" allowBlank="1" sqref="H807:K807">
      <formula1>"CreateDoneAwayOrder,GetDataClosing,Copy of Data,Copy of Data_conflict734426019,AutomaticClosing"</formula1>
    </dataValidation>
    <dataValidation type="list" allowBlank="1" sqref="H471:K471">
      <formula1>"CreateDoneAwayOrder,GetForexConversion,UpdateForexConversionMonthly,SelectTradeUnexpiredUnsettled,GetDataClosing,CashSettlementAtClosingDtSpotPx,VerifyExpiredSettledGrid,GetDataAllocation,CheckAllocatedGroups,GetTradingTransaction,VerifyTradingTransaction"&amp;",RunRevaluation,VerifyRevaluationData"</formula1>
    </dataValidation>
    <dataValidation type="list" allowBlank="1" sqref="H757:K757">
      <formula1>"CreateLiveOrder,VerifyOrder,AcknowledgeTrade,ExecuteTrade,CheckAllocatedGroups,GetDataAllocation,GetDataClosing"</formula1>
    </dataValidation>
    <dataValidation type="list" allowBlank="1" sqref="H837:K837">
      <formula1>"CreateDoneAwayOrder,ViewThirdParty,ThirdPartyGenerate"</formula1>
    </dataValidation>
    <dataValidation type="list" allowBlank="1" sqref="H571:K571">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1,GetDataClosing,SelectTradeUnexpiredUnsettled,CashSettlementAtClosingDt"&amp;"SpotPx,VerifyExpiredSettledGrid,GetDataAllocation,GetTradingTransaction,CheckAllocatedGroups,VerifyTradingTransaction,RunRevaluation,GetRevaluationData,VerifyRevaluationData"</formula1>
    </dataValidation>
    <dataValidation type="list" allowBlank="1" sqref="H730:K730">
      <formula1>"CreateLiveOrder,SelectTrade,ExecuteTrade,AcknowledgeTrade,VerifyOrder,SelectTradeOnOrderGrid,VerifySubOrder,VerifyWorkingSubs,SelectTradeOnOrderGrid1,VerifySubOrder1"</formula1>
    </dataValidation>
    <dataValidation type="list" allowBlank="1" sqref="H189:K189">
      <formula1>"CreateDoneAwayOrder,GetForexConversion,UpdateForexConversionMonthly,UpdateForwardPoints,GetDataClosing,SelectTradeUnexpiredUnsettled"</formula1>
    </dataValidation>
    <dataValidation type="list" allowBlank="1" sqref="H557:K558">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formula1>
    </dataValidation>
    <dataValidation type="list" allowBlank="1" sqref="H725:K725 H728:K728">
      <formula1>"CreateLiveOrder,SelectTrade,ExecuteTrade,AcknowledgeTrade,VerifyOrder,SelectTradeOnOrderGrid,VerifySubOrder,VerifyWorkingSubs"</formula1>
    </dataValidation>
    <dataValidation type="list" allowBlank="1" sqref="H755:K755">
      <formula1>"CreateLiveOrder,VerifyOrder,AcknowledgeTrade,ExecuteTrade,CheckAllocatedGroups,GetDataAllocation,GetDataClosing,VerifyLongPositionsGrid,VerifyShortPositionsGrid,AutomaticClosing,SelectTrade,SelectTrade2,ExecuteTrade2,get,Copy of Data 1"</formula1>
    </dataValidation>
    <dataValidation type="list" allowBlank="1" sqref="F168:F169 F185:F187 F199:F200 F215:F216 F231:F232 F247:F248 F261:F262 F266:F267 F279:F280 F296:F297 F443:F444 F459:F460 F476:F493 F508 F511:F528 F543:F560 F593:F595 F597:F614 F637:F638 F682:F683">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VerifyDailyCash,,,,,,,,,,,,,,,,,,,,,,,,,,,,,,,,,,,,,,,,,,,,,,,,,,,,,,,,,,,,,,,,,,,,,,,,,,,,,,,,,,,,,,,,,,,,,,,,,,,,,,,,,,,,,,,,,,,,,,,,,,,,,,,,,,,,,,,,,,,,,,,,,,,,,,,,,,,,,,,,,,,,,,,,,,,,,,,,,,,,,,,,,,,,,,,,,,,,,,,,,,,,,,,"&amp;",,,,,,,,,,,,,,,,,,,,,,,,,,,,,,,,,,,,,,,,,,,,,,,,,,,,,,,,,,,,,,,,,,,,,,,,,,,,,,,,,,,,,,,,,,,,,,,,,,,,,,,,,,,,,,,,,,,,,,,,,,,,,,,,,,,,,,,,,,,,,,,,,,,,,,,,,,,,,,,,,,,,,,,,,,,,,,,,,,,,,,,,,,,,,,,,,,,,,,,,,,,,,,,,,,,,,,,,,,,,,,,,,,,,,,,,,,,,,,,,,,,,,,,,,,,,,,,"&amp;",,,"</formula1>
    </dataValidation>
    <dataValidation type="list" allowBlank="1" sqref="H466:K466">
      <formula1>"CreateDoneAwayOrder,GetForexConversion,UpdateForexConversionMonthly,SelectTradeUnexpiredUnsettled,GetDataClosing,CashSettlementAtClosingDtSpotPx,VerifyExpiredSettledGrid,GetDataAllocation,CheckAllocatedGroups"</formula1>
    </dataValidation>
    <dataValidation type="list" allowBlank="1" sqref="H788:K789">
      <formula1>"CreateDoneAwayOrder,viw,view,ViewThirdParty,ThirdPartyGenerate,VerifyThirdPartyGenerate,GetDataAllocation,SelectAllocatedGroup,EditAllocatedGrid"</formula1>
    </dataValidation>
    <dataValidation type="list" allowBlank="1" sqref="H192:K192">
      <formula1>"CreateDoneAwayOrder,GetForexConversion,UpdateForexConversionMonthly,UpdateForwardPoints,GetDataClosing,SelectTradeUnexpiredUnsettled,CashSettlementAtClosingDtSpotPx,GetDataAllocation,CheckAllocatedGroups"</formula1>
    </dataValidation>
    <dataValidation type="list" allowBlank="1" sqref="H770:K772">
      <formula1>"ShowMasterFundOnTT,UpdateMasterFundOnTT,CreateStageOrder,VerifyOrder,TradeNewSubOrder,AddFillsSubOrder,EditAddFillsDetails,VerifySubOrder,CreateNewSubOrder"</formula1>
    </dataValidation>
    <dataValidation type="list" allowBlank="1" sqref="H207:K207 H239:K239 H690">
      <formula1>"CreateDoneAwayOrder,GetForexConversion,UpdateForexConversion,GetDataClosing,SelectTradeUnexpiredUnsettled,CashSettlementAtClosingDtSpotPx,VerifyExpiredSettledGrid,GetDataAllocation,CheckAllocatedGroups,GetTradingTransaction"</formula1>
    </dataValidation>
    <dataValidation type="list" allowBlank="1" sqref="H617:K617">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formula1>
    </dataValidation>
    <dataValidation type="list" allowBlank="1" sqref="H187:K187">
      <formula1>"CreateDoneAwayOrder,GetForexConversion,UpdateForexConversionMonthly,GetForwardPoints,UpdateForwardPoints"</formula1>
    </dataValidation>
    <dataValidation type="list" allowBlank="1" sqref="F133">
      <formula1>"SetTTUIPreferences,TTPermissionLevel,SetCheckSide,,,,,,,,,,,,,,,,,,,,,,,,,,,,,,,,,,,,,,,,,,,,,,,,,,,,,,,,,,,,,,,,,,,,,,,,,,,,,,,,,,,,,,,,,,,,,,,,,,,,,,,,,,,,,,,,,,,,,,,,,,,,,,,,,,,,,,,,,,,,,,,,,,,,,,,,,,,,,,,,,,,,,,,,,,,,,,,,,,,,,,,,,,,,,,,,,,,,,,,,,,,,,,"&amp;",,,,,,,,,,,,,,,,,,,,,,,,,,,,,,,,,,,,,,,,,,,,,,,,,,,,,,,,,,,,,,,,,,,,,,,,,,,,,,,,,,,,,,,,,,,,,,,,,,,,,,,,,,,,,,,,,,,,,,,,,,,,,,,,,,,,,,,,,,,,,,,,,,,,,,,,,,,,,,,,,,,,,,,,,,,,,,,,,,,,,,,,,,,,,,,,,,,,,,,,,,,,,,,,,,,,,,,,,,,,,,,,,,,,,,,,,,,,,,,,,,,,,,,,,,,,,,,"&amp;",,,,,,,,,,,,,,,,,,,,,,,,,,,,,,,,,"</formula1>
    </dataValidation>
    <dataValidation type="list" allowBlank="1" sqref="H555:K556">
      <formula1>"CreateDoneAwayOrder,GetForexConversion,UpdateForexConversionMonthly,GetForexConversion1,UpdateForexConversionMonthly1,GetForwardPoints,UpdateForwardPoints,GetForwardPoints1,UpdateForwardPoints1,UpdateForwardPoints2,GetForwardPoints2,GetForwardPoints3,Upda"&amp;"teForwardPoints3"</formula1>
    </dataValidation>
    <dataValidation type="list" allowBlank="1" sqref="H801:K802">
      <formula1>"CreateDoneAwayOrder,ViewThirdParty,ThirdPartySend,Copy of Data,ThirdPartyGenerate,VerifyThirdPartyGenerate,GetDataAllocation,SelectAllocatedGroup,Unallocate,VerifyThirdPartyView"</formula1>
    </dataValidation>
    <dataValidation type="list" allowBlank="1" sqref="H843:K843">
      <formula1>"CreateDoneAwayOrder,ViewThirdParty,ThirdPartyGenerate,VerifyThirdPartyGenerate,SelectUnallocatedGroup"</formula1>
    </dataValidation>
    <dataValidation type="list" allowBlank="1" sqref="H378:K378">
      <formula1>"ShowMasterFundOnTT,UpdateMasterFundOnTT,CreateStageOrder,TradeNewSubOrder,CreateNewSubOrder,GetDataAllocation,Unallocate,SelectUnallocatedGroup,EnterAccountValuesToAllocate,ReplaceSubOrder,CreateReplaceOrder,VerifyWorkingSubs,CheckAllocatedGroups1,CheckPo"&amp;"rtfolioManagement, ,SelectAllocatedGroup,Copy of Data,Copy of Data 1,Copy of Data 2,SelectTradeOnOrderGrid"</formula1>
    </dataValidation>
    <dataValidation type="list" allowBlank="1" sqref="H519:K520">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formula1>
    </dataValidation>
    <dataValidation type="list" allowBlank="1" sqref="F56 F63:F64 F105:F107 F110:F112 F115 F130:F131 F140 F170:F171 F176:F177 F191:F192 F205:F206">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750:K750">
      <formula1>"CreateLiveOrder,VerifyOrder,AcknowledgeTrade,ExecuteTrade"</formula1>
    </dataValidation>
    <dataValidation type="list" allowBlank="1" sqref="F349 F351 F353 F357:F358">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amp;",,,,,,,,,,,,,,,,,,,,,,,,,,,,,,,,,,,,,,,,,,,,,,,,,,,,,,,,,,,,,,,,,,,,,,,,,,,,,,,,,,,,,,,,,,,,,,,,,,,,,,,,,,,,,,,,,,,,,,,,,,,,,,,,,,,,,,,,,,,,,,,,,,,,,,,,,,,,,,,,,,,,,,,,,,,,,,,,,,,,,,,,,,,,,,,,,,,,,,,,,,,,,,,,,,,,,,,,,,,,,,,,,,,,,,,,,,,,,,,,,,,,,,,,,,,,,,,"&amp;",,,,,,,,,,,,,,,,,,,,,,,,,,,,,,,,,,,,,,,,,,,,,,,,,,,,,,,,,,,,,,,,,,,,,,,,,,,,,,,,,,,"</formula1>
    </dataValidation>
    <dataValidation type="list" allowBlank="1" sqref="D6:D871">
      <formula1>'_Categories'!$A$4:$A871</formula1>
    </dataValidation>
    <dataValidation type="list" allowBlank="1" sqref="H49:K49">
      <formula1>"CreateLiveOrder,VerifySubOrder,SelectTrade,AcknowledgeTrade,VerifySubOrder1,VerifyOrder,ExecuteTrade,VerifyWorkingSubs"</formula1>
    </dataValidation>
    <dataValidation type="list" allowBlank="1" sqref="H371:K371">
      <formula1>"ShowMasterFundOnTT,RestartServer,GetDataAllocation,CheckAllocatedGroups,SelectAllocatedGroup,Unallocate,CheckUnallocatedGroups,EnterAccountValuesToAllocate,Allocate,EditOrder,CreateReplaceOrder,VerifyOrder,CheckAllocatedGroups1,CheckPortfolioManagement,Sh"&amp;"owMasterFund,CreateStageOrder,TradeNewSub,CreateDoneAwayOrder,TradeNewSubOrder"</formula1>
    </dataValidation>
    <dataValidation type="list" allowBlank="1" sqref="H828:K828">
      <formula1>"CreateDoneAwayOrder,GetDataClosing,SelectTradeUnexpiredUnsettled,ExerciseAssignment"</formula1>
    </dataValidation>
    <dataValidation type="list" allowBlank="1" sqref="H369:K369">
      <formula1>"ShowMasterFundOnTT,CreateStageOrder,TradeNewSubOrder,CreateDoneAwayOrder,GetDataAllocation,CheckAllocatedGroups,SelectAllocatedGroup,Unallocate,CheckUnallocatedGroups,EnterAccountValuesToAllocate,Allocate,ReplaceSubOrder,CreateReplaceOrder,VerifyOrder,Che"&amp;"ckAllocatedGroups1,CheckPortfolioManagement,UpdateMasterFundOnTT"</formula1>
    </dataValidation>
    <dataValidation type="list" allowBlank="1" sqref="F258 F272:F275 F281:F286 F293:F294 F298:F302 F344 F451:F455 F467:F471 F500:F504 F535:F539 F567:F571 F621:F625 F648 F693 F761:F763">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CalculateDayEndCash,CalculateDayEndCash,VerifyOpeningBalanceData,,,,,,,,,,,,,,,,,,,,,,,,,,,,,,,,,,,,,,,,,,,,,,,,,,,,,,,,,,,,,,,,,,,,,,,,,,,,,,,,,,,,,,,,,,,,,,,"&amp;",,,,,,,,,,,,,,,,,,,,,,,,,,,,,,,,,,,,,,,,,,,,,,,,,,,,,,,,,,,,,,,,,,,,,,,,,,,,,,,,,,,,,,,,,,,,,,,,,,,,,,,,,,,,,,,,,,,,,,,,,,,,,,,,,,,,,,,,,,,,,,,,,,,,,,,,,,,,,,,,,,,,,,,,,,,,,,,,,,,,,,,,,,,,,,,,,,,,,,,,,,,,,,,,,,,,,,,,,,,,,,,,,,,,,,,,,,,,,,,,,,,,,,,,,,,,,,,"&amp;",,,,,,,,,,,,,,,,,,,,,,,,,,,,,,,,,,,,,,,,,,,,,,,,,,,,,,,,,,,,,,,,,,,,,,,,,,,,,,,,,,,,,,,,,,,,,,"</formula1>
    </dataValidation>
    <dataValidation type="list" allowBlank="1" sqref="H809:K809">
      <formula1>"CreateDoneAwayOrder,GetDataClosing,Copy of Data,Copy of Data_conflict734426019,AutomaticClosing,ViewThirdParty,GenerateThirdParty,VerifyThirdPartyGenerate"</formula1>
    </dataValidation>
    <dataValidation type="list" allowBlank="1" sqref="H484:K485">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formula1>
    </dataValidation>
    <dataValidation type="list" allowBlank="1" sqref="H36:K36 H38:K38">
      <formula1>"SelectThirdPartyJob"</formula1>
    </dataValidation>
    <dataValidation type="list" allowBlank="1" sqref="H781:K781">
      <formula1>"CreateDoneAwayOrder,ViewThirdParty,VerifyThirdPartyView,GenerateThirdParty,VerifyThirdPartyGenerate,SendThirdParty,VerifyThirdPartySend"</formula1>
    </dataValidation>
    <dataValidation type="list" allowBlank="1" sqref="H88:K88">
      <formula1>"CreateDoneAwayOrder,SelectTradeWorkingSubsBlotter,ViewAllocationDetailsWorkingSub,VerifyViewAllocationDetails,CreateStageOrder,TradeNewSubOrder"</formula1>
    </dataValidation>
    <dataValidation type="list" allowBlank="1" sqref="I531:K531">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GetForwardPoints4,UpdateForwardPoints4,GetForwardPoints5,UpdateForwardPoints5,GetForwardPoints6,UpdateForwardPoint"&amp;"s6,GetDataAllocation,CheckFixedPreference,CheckAllocatedGroups"</formula1>
    </dataValidation>
    <dataValidation type="list" allowBlank="1" sqref="H503:K503">
      <formula1>"CreateDoneAwayOrder,GetDataClosing,SelectTradeUnexpiredUnsettled,CashSettlementAtClosingDtSpotPx,VerifyExpiredSettledGrid,GetForexConversion,UpdateForexConversionMonthly,GetForexConversion1,VerifyTradingTransaction,UpdateForexConversionMonthly1,GetForward"&amp;"Points,UpdateForwardPoints,GetForwardPoints1,UpdateForwardPoints1,GetForwardPoints2,UpdateForwardPoints2,GetForwardPoints3,UpdateForwardPoints3,GetForwardPoints4,UpdateForwardPoints4,GetForwardPoints5,UpdateForwardPoints5,GetForwardPoints6,UpdateForwardPo"&amp;"ints6,RunRevaluation,VerifyRevaluationData,GetDataAllocation,CheckAllocatedGroups,GetTradingTransaction,GetRevaluationData"</formula1>
    </dataValidation>
    <dataValidation type="list" allowBlank="1" sqref="H532">
      <formula1>"CreateDoneAwayOrder,GetDataClosing,SelectTradeUnexpiredUnsettled,CashSettlementAtClosingDtSpotPx,VerifyExpiredSettledGrid"</formula1>
    </dataValidation>
    <dataValidation type="list" allowBlank="1" sqref="H426:K426">
      <formula1>"ShowMasterFundAsClient,ShowMasterFundOnTT,ShowMasterFund,CreateDoneAwayOrder,SelectUnallocatedGroup,EnterAccountValuesToAllocate,GetDataAllocation,CheckAllocatedGroups"</formula1>
    </dataValidation>
    <dataValidation type="list" allowBlank="1" sqref="F42">
      <formula1>"GenerateThirdParty,SendThirdParty,ViewThirdParty,SelectThirdPartyName,VerifyThirdPartyData,ThirdPartyWork,Automation,ThirdPartyWork,OpeningManager,ThirdPartyManagerFunction,SelectFromThirdPartyGrid,SelectThirdPartyJob,GenerateAllThirdPartyData,SendAllThir"&amp;"dPartyData,,,,,,,,,,,,,,,,,,,,,,,,,,,,,,,,,,,,,,,,,,,,,,,,,,,,,,,,,,,,,,,,,,,,,,,,,,,,,,,,,,,,,,,,,,,,,,,,,,,,,,,,,,,,,,,,,,,,,,,,,,,,,,,,,,,,,,,,,,,,,,,,,,,,,,,,,,,,,,,,,,,,,,,,,,,,,,,,,,,,,,,,,,,,,,,,,,,,,,,,,,,,,,,,,,,,,,,,,,,,,,,,,,,,,,,,,,,,,,,,,,,,,"&amp;",,,,,,,,,,,,,,,,,,,,,,,,,,,,,,,,,,,,,,,,,,,,,,,,,,,,,,,,,,,,,,,,,,,,,,,,,,,,,,,,,,,,,,,,,,,,,,,,,,,,,,,,,,,,,,,,,,,,,,,,,,,,,,,,,,,,,,,,,,,,,,,,,,,,,,,,,,,,,,,,,,,,,,,,,,,,,,,,,,,,,,,,,,,,,,,,,,,,,,,,,,,,,,,,,,,,,,,,,,,,,,,,,,,,,,,,,,,,,,"</formula1>
    </dataValidation>
    <dataValidation type="list" allowBlank="1" sqref="H548:K550">
      <formula1>"CreateDoneAwayOrder,GetForexConversion,UpdateForexConversionMonthly,GetForexConversion1,UpdateForexConversionMonthly1,GetForwardPoints,UpdateForwardPoints"</formula1>
    </dataValidation>
    <dataValidation type="list" allowBlank="1" sqref="I529:K530">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GetForwardPoints4,UpdateForwardPoints4,GetForwardPoints5,UpdateForwardPoints5,GetForwardPoints6,UpdateForwardPoint"&amp;"s6,GetDataAllocation"</formula1>
    </dataValidation>
    <dataValidation type="list" allowBlank="1" sqref="H672:K672">
      <formula1>"ShowMasterFundOnTT,RestartClient,UpdateMasterFundOnTT,CreateStageOrder,VerifyOrder,TradeNewSubOrder,CreateNewSubOrder,GetDataAllocation"</formula1>
    </dataValidation>
    <dataValidation type="list" allowBlank="1" sqref="H427:K427">
      <formula1>"ShowMasterFundAsClient,ShowMasterFundOnTT,ShowMasterFund,CreateDoneAwayOrder,SelectUnallocatedGroup,EnterAccountValuesToAllocate,GetDataAllocation,CheckAllocatedGroups,VerifyWorkingSubs"</formula1>
    </dataValidation>
    <dataValidation type="list" allowBlank="1" sqref="H185:K185 H199:K199 H215:K215 H231:K231 H443:K443 H459:K459 H637 H682">
      <formula1>"CreateDoneAwayOrder,GetForexConversion"</formula1>
    </dataValidation>
    <dataValidation type="list" allowBlank="1" sqref="H561:K561">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formula1>
    </dataValidation>
    <dataValidation type="list" allowBlank="1" sqref="H539:K539">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GetForwardPoints4,UpdateForwardPoints4,GetForwardPoints5,UpdateForwardPoints5,GetForwardPoints6,UpdateForwardPoint"&amp;"s6,GetDataAllocation,CheckFixedPreference,CheckAllocatedGroups,GetTradingTransaction,VerifyTradingTransaction,RunRevaluation,VerifyRevaluationData"</formula1>
    </dataValidation>
    <dataValidation type="list" allowBlank="1" sqref="H516:K518">
      <formula1>"CreateDoneAwayOrder,GetDataClosing,SelectTradeUnexpiredUnsettled,CashSettlementAtClosingDtSpotPx,VerifyExpiredSettledGrid,GetForexConversion,UpdateForexConversionMonthly,UpdateForexConversion,GetForexConversion1,UpdateForexConversionMonthly1,GetForwardPoi"&amp;"nts,UpdateForwardPoints"</formula1>
    </dataValidation>
    <dataValidation type="list" allowBlank="1" sqref="H729:K729">
      <formula1>"CreateLiveOrder,SelectTrade,ExecuteTrade,AcknowledgeTrade,VerifyOrder,SelectTradeOnOrderGrid,VerifySubOrder,VerifyWorkingSubs,SelectTradeOnOrderGrid1"</formula1>
    </dataValidation>
    <dataValidation type="list" allowBlank="1" sqref="H41:K42">
      <formula1>"SendAllThirdPartyData"</formula1>
    </dataValidation>
    <dataValidation type="list" allowBlank="1" sqref="H58:K58">
      <formula1>"ClosingCleanUp,CleanUp,CreateDoneAwayOrder,Copy of Data,GetDataClosing"</formula1>
    </dataValidation>
    <dataValidation type="list" allowBlank="1" sqref="H203:K203 H235:K235 H686">
      <formula1>"CreateDoneAwayOrder,GetForexConversion,UpdateForexConversion,GetDataClosing,SelectTradeUnexpiredUnsettled,CashSettlementAtClosingDtSpotPx"</formula1>
    </dataValidation>
    <dataValidation type="list" allowBlank="1" sqref="H318:K318">
      <formula1>"DisableCheckside,CreateDoneAwayOrder,CheckUnallocatedGroups,CheckAllocatedGroups"</formula1>
    </dataValidation>
    <dataValidation type="list" allowBlank="1" sqref="F415 F417:F418 F423:F426">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amp;",,,,,,,,,,,,,,,,,,,,,,,,,,,,,,,,,,,,,,,,,,,,,,,,,,,,,,,,,,,,,,,,,,,,,,,,,,,,,,,,,,,,,,,,,,,,,,,,,,,,,,,,,,,,,,,,,,,,,,,,,,,,,,,,,,,,,,,,,,,,,,,,,,,,,,,,,,,,,,,,,,,,,,,,,,,,,,,,,,,,,,,,,,,,,,,,,,,,,,,,,,,,,,,,,,,,,,,,,,,,,,,,,,,,,,,,,,,,,,,,,,,,,,,,,,,,,,,"&amp;",,,,,,,,,,,,,,,,,,,,,,,,,,,,,,,,,,,,,,,,,,,,,,,,,,,,,,,,,,,,,,,,,,,,,,,,,,,,,,,,,,,,,,,,,,,,,,,,,,,,,,,,,,,,,,,,,,,,,,,,,,,"</formula1>
    </dataValidation>
    <dataValidation type="list" allowBlank="1" sqref="H420:K420">
      <formula1>"ShowMasterFundAsClient,ShowMasterFundOnTT,ShowMasterFund,CreateDoneAwayOrder,SelectUnallocatedGroup,EnterAccountValuesToAllocate,GetDataAllocation,CheckAllocatedGroups,VerifyWorkingSubs,CheckPortfolioManagement,Copy of Data,UpdateMasterFundOnTT"</formula1>
    </dataValidation>
    <dataValidation type="list" allowBlank="1" sqref="H171:K171">
      <formula1>"CreateDoneAwayOrder,CheckBlotter,GetForexConversion,UpdateForexConversion,GetDataAllocation,CheckAllocatedGroups"</formula1>
    </dataValidation>
    <dataValidation type="list" allowBlank="1" sqref="I476:K477 I495:K495">
      <formula1>"CreateDoneAwayOrder,GetDataClosing,SelectTradeUnexpiredUnsettled,CashSettlementAtClosingDtSpotPx,GetForwardPoints,VerifyExpiredSettledGrid,UpdateForwardPoints,GetDataAllocation"</formula1>
    </dataValidation>
    <dataValidation type="list" allowBlank="1" sqref="H434:K434">
      <formula1>"SetBrokerAccountMapping,RestartClient,CreateDoneAwayOrder"</formula1>
    </dataValidation>
    <dataValidation type="list" allowBlank="1" sqref="H293:K293">
      <formula1>"GetNonTradingTransaction"</formula1>
    </dataValidation>
    <dataValidation type="list" allowBlank="1" sqref="H494:K494 H504:K504">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GetForwardPoints2,UpdateForwardPoints2,GetForwardPoints3,UpdateForwardPoints3,GetForwardPoints4,UpdateForwardPoints4,GetForwardP"&amp;"oints5,UpdateForwardPoints5,GetForwardPoints6,UpdateForwardPoints6,RunRevaluation,VerifyRevaluationData"</formula1>
    </dataValidation>
    <dataValidation type="list" allowBlank="1" sqref="H430:K430 H432:K432">
      <formula1>"SetBrokerAccountMapping"</formula1>
    </dataValidation>
    <dataValidation type="list" allowBlank="1" sqref="H421:K421">
      <formula1>"ShowMasterFundAsClient,ShowMasterFundOnTT,ShowMasterFund,CreateDoneAwayOrder"</formula1>
    </dataValidation>
    <dataValidation type="list" allowBlank="1" sqref="H188:K188">
      <formula1>"CreateDoneAwayOrder,GetForexConversion,UpdateForexConversionMonthly,UpdateForwardPoints,GetDataClosing"</formula1>
    </dataValidation>
    <dataValidation type="list" allowBlank="1" sqref="H310:K310">
      <formula1>"DisableChecksideForAsset,CreateDoneAwayOrder,SelectUnallocatedGroup,EnterAllocatePreference,Allocate,CheckAllocatedGroups"</formula1>
    </dataValidation>
    <dataValidation type="list" allowBlank="1" sqref="H210:K210">
      <formula1>"CreateDoneAwayOrder,GetForexConversion,UpdateForexConversion,GetDataClosing,SelectTradeUnexpiredUnsettled,CashSettlementAtClosingDtSpotPx,VerifyExpiredSettledGrid,GetDataAllocation,CheckAllocatedGroups,GetTradingTransaction,VerifyTradingTransaction,RunRev"&amp;"aluation,VerifyRevaluationData"</formula1>
    </dataValidation>
    <dataValidation type="list" allowBlank="1" sqref="H462:K462">
      <formula1>"CreateDoneAwayOrder,GetForexConversion,UpdateForexConversionMonthly,SelectTradeUnexpiredUnsettled"</formula1>
    </dataValidation>
    <dataValidation type="list" allowBlank="1" sqref="H221:K221 H449:K449 H643">
      <formula1>"CreateDoneAwayOrder,GetForexConversion,UpdateForexConversionMonthly,GetDataClosing,SelectTradeUnexpiredUnsettled,CashSettlementAtClosingDtSpotPx,VerifyExpiredSettledGrid,GetDataAllocation"</formula1>
    </dataValidation>
    <dataValidation type="list" allowBlank="1" sqref="H390:K390 H587:K587">
      <formula1>"ShowMasterFundOnTT,UpdateMasterFundOnTT,CreateStageOrder,VerifyOrder,TradeNewSubOrder,CreateNewSubOrder,GetDataAllocation"</formula1>
    </dataValidation>
    <dataValidation type="list" allowBlank="1" sqref="H204:K204 H236:K236 H687">
      <formula1>"CreateDoneAwayOrder,GetForexConversion,UpdateForexConversion,GetDataClosing,SelectTradeUnexpiredUnsettled,CashSettlementAtClosingDtSpotPx,VerifyExpiredSettledGrid"</formula1>
    </dataValidation>
    <dataValidation type="list" allowBlank="1" sqref="H297:K297">
      <formula1>"GetNonTradingTransaction,AddNonTradingTransaction,CreateDoneAwayOrder,GetAccountBalance,GetActivityData,VerifyActivity,GetMarkPriceData,UpdateMarkPrice"</formula1>
    </dataValidation>
    <dataValidation type="list" allowBlank="1" sqref="H727:K727">
      <formula1>"CreateLiveOrder,SelectTrade,ExecuteTrade"</formula1>
    </dataValidation>
    <dataValidation type="list" allowBlank="1" sqref="F29">
      <formula1>"GenerateThirdParty,SendThirdParty,ViewThirdParty,SelectThirdPartyName,VerifyThirdPartyData,ThirdPartyWork,Automation,ThirdPartyWork,ThirdPartyManagerFunction,OpeningManager,,,,,,,,,,,,,,,,,,,,,,,,,,,,,,,,,,,,,,,,,,,,,,,,,,,,,,,,,,,,,,,,,,,,,,,,,,,,,,,,,,,"&amp;",,,,,,,,,,,,,,,,,,,,,,,,,,,,,,,,,,,,,,,,,,,,,,,,,,,,,,,,,,,,,,,,,,,,,,,,,,,,,,,,,,,,,,,,,,,,,,,,,,,,,,,,,,,,,,,,,,,,,,,,,,,,,,,,,,,,,,,,,,,,,,,,,,,,,,,,,,,,,,,,,,,,,,,,,,,,,,,,,,,,,,,,,,,,,,,,,,,,,,,,,,,,,,,,,,,,,,,,,,,,,,,,,,,,,,,,,,,,,,,,,,,,,,,,,,,,,,,"&amp;",,,,,,,,,,,,,,,,,,,,,,,,,,,,,,,,,,,,,,,,,,,,,,,,,,,,,,,,,,,,,,,,,,,,,,,,,,,,,,,,,,,,,,,,,,,,,,,,,,,,,,,,,,,,,,,,,,,,,,,,,,,,,,,,,,,,,,,,,,,,,,,,,,,,,"</formula1>
    </dataValidation>
    <dataValidation type="list" allowBlank="1" sqref="H31:K32">
      <formula1>"ViewThirdParty"</formula1>
    </dataValidation>
    <dataValidation type="list" allowBlank="1" sqref="H361:K361 H365:K365">
      <formula1>"ShowMasterFund"</formula1>
    </dataValidation>
    <dataValidation type="list" allowBlank="1" sqref="H702:K702">
      <formula1>"CreateDoneAwayOrder,GetDataAllocation,SelectAllocatedGroup,BookOrUpdateSwap"</formula1>
    </dataValidation>
    <dataValidation type="list" allowBlank="1" sqref="H454:K454">
      <formula1>"CreateDoneAwayOrder,GetForexConversion,UpdateForexConversionMonthly,GetDataClosing,SelectTradeUnexpiredUnsettled,CashSettlementAtClosingDtSpotPx,VerifyExpiredSettledGrid,GetDataAllocation,CheckAllocatedGroups,GetTradingTransaction,VerifyTradingTransaction"&amp;",RunRevaluation,VerifyRevaluationData,GetRevaluationData"</formula1>
    </dataValidation>
    <dataValidation type="list" allowBlank="1" sqref="H488:K489">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GetForwardPoints2,UpdateForwardPoints2,GetForwardPoints3,UpdateForwardPoints3"</formula1>
    </dataValidation>
    <dataValidation type="list" allowBlank="1" sqref="H11:K11 H29:K29">
      <formula1>"OpeningManager"</formula1>
    </dataValidation>
    <dataValidation type="list" allowBlank="1" sqref="H712:K712 H714:K714">
      <formula1>"CreateDoneAwayOrder,ThirdPartyGenerate,VerifyThirdPartyGenerate"</formula1>
    </dataValidation>
    <dataValidation type="list" allowBlank="1" sqref="H179:K179">
      <formula1>"CreateDoneAwayOrder,GetForexConversion,GetDataAllocation,CheckAllocatedGroups,GetDataClosing,SelectTradeUnexpiredUnsettled,CashSettlementAtClosingDtSpotPx,VerifyExpiredSettledGrid,UpdateForexConversionMonthly,GetTradingTransaction,VerifyTradingTransaction"</formula1>
    </dataValidation>
    <dataValidation type="list" allowBlank="1" sqref="H407:K407">
      <formula1>"ShowMasterFundOnTT,ShowMasterFund,CreateDoneAwayOrder,GetDataAllocation,CheckUnallocatedGroups,SelectUnallocatedGroup"</formula1>
    </dataValidation>
    <dataValidation type="list" allowBlank="1" sqref="H202:K202 H234:K234 H685">
      <formula1>"CreateDoneAwayOrder,GetForexConversion,UpdateForexConversion,GetDataClosing,SelectTradeUnexpiredUnsettled"</formula1>
    </dataValidation>
    <dataValidation type="list" allowBlank="1" sqref="H536:K536">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GetForwardPoints4,UpdateForwardPoints4,GetForwardPoints5,UpdateForwardPoints5,GetForwardPoints6,UpdateForwardPoint"&amp;"s6,GetDataAllocation,CheckFixedPreference,CheckAllocatedGroups,GetTradingTransaction,VerifyTradingTransaction"</formula1>
    </dataValidation>
    <dataValidation type="list" allowBlank="1" sqref="H344:K344">
      <formula1>"CreateDoneAwayOrder,CheckAllocatedGroups,Allocate,GetDataClosing,GetDataCash"</formula1>
    </dataValidation>
    <dataValidation type="list" allowBlank="1" sqref="H313:K313">
      <formula1>"DisableCheckside"</formula1>
    </dataValidation>
    <dataValidation type="list" allowBlank="1" sqref="H383:K383">
      <formula1>"ShowMasterFundOnTT,ShowMasterFund,CreateStageOrder,TradeNewSubOrder,CreateDoneAwayOrder,AddFillsWorkingSubs,GetDataAllocation,CheckAllocatedGroups,SelectAllocatedGroup,Unallocate,CheckUnallocatedGroups,EnterAccountValuesToAllocate,Allocate,EditOrder,Creat"&amp;"eReplaceOrder,VerifyOrder,CheckAllocatedGroups1,CheckPortfolioManagement"</formula1>
    </dataValidation>
    <dataValidation type="list" allowBlank="1" sqref="H496 H531">
      <formula1>"CreateDoneAwayOrder,GetDataClosing,SelectTradeUnexpiredUnsettled,CashSettlementAtClosingDtSpotPx"</formula1>
    </dataValidation>
    <dataValidation type="list" allowBlank="1" sqref="H74:K74">
      <formula1>"SelectThirdPartyJob,CreateDoneAwayOrder"</formula1>
    </dataValidation>
    <dataValidation type="list" allowBlank="1" sqref="H777:K777">
      <formula1>"CreateDoneAwayOrder,ViewThirdParty,VerifyThirdPartyData,VerifyThirdPartyView"</formula1>
    </dataValidation>
    <dataValidation type="list" allowBlank="1" sqref="F252">
      <formula1>"CorporateAction,CleanUp,CashDividend,Exchange,Merger,NameChange,SpinOff,Split,StockDividend,OpenSpinOff,SpinOff,VerifySpinOffGrid,SaveCorporateAction,VerifyAndSaveCorpAction,VerifyAndApplyCorpAction,,,,,,,,,,,,,,,,,,,,,,,,,,,,,,,,,,,,,,,,,,,,,,,,,,,,,,,,,"&amp;",,,,,,,,,,,,,,,,,,,,,,,,,,,,,,,,,,,,,,,,,,,,,,,,,,,,,,,,,,,,,,,,,,,,,,,,,,,,,,,,,,,,,,,,,,,,,,,,,,,,,,,,,,,,,,,,,,,,,,,,,,,,,,,,,,,,,,,,,,,,,,,,,,,,,,,,,,,,,,,,,,,,,,,,,,,,,,,,,,,,,,,,,,,,,,,,,,,,,,,,,,,,,,,,,,,,,,,,,,,,,,,,,,,,,,,,,,,,,,,,,,,,,,,,,,,,,,,"&amp;",,,,,,,,,,,,,,,,,,,,,,,,,,,,,,,,,,,,,,,,,,,,,,,,,,,,,,,,,,,,,,,,,,,,,,,,,,,,,,,,,,,,,,,,,,,,,,,,,,,,,,,,,,,,,,,,,,,,,,,,,,,,,,,,,,,,,,,,,,,,,,,,,,,,,,,,,,,,,,,,,,,,,,,,,,"</formula1>
    </dataValidation>
    <dataValidation type="list" allowBlank="1" sqref="H521:K521">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Copy of Data,UpdateForwardPoints2,UpdateForwardPoints3"</formula1>
    </dataValidation>
    <dataValidation type="list" allowBlank="1" sqref="H738:K738">
      <formula1>"CreateLiveOrder,SelectTrade,ExecuteTrade,AcknowledgeTrade,VerifyOrder,SelectTradeOnOrderGrid,VerifySubOrder,VerifyWorkingSubs,SelectTradeOnOrderGrid1,VerifySubOrder1,VerifyWorkingSubs1,RejectTrade,SelectTradeOnOrderGrid2,VerifySubOrder2,VerifyWorkingSubs2"&amp;",SelectTrade2,ExecuteTrade2,SelectTradeOnOrderGrid3"</formula1>
    </dataValidation>
    <dataValidation type="list" allowBlank="1" sqref="H220:K220 H448:K448 H642">
      <formula1>"CreateDoneAwayOrder,GetForexConversion,UpdateForexConversionMonthly,GetDataClosing,SelectTradeUnexpiredUnsettled,CashSettlementAtClosingDtSpotPx,VerifyExpiredSettledGrid"</formula1>
    </dataValidation>
    <dataValidation type="list" allowBlank="1" sqref="H117:K118">
      <formula1>"GoToAllocation,SelectTradeOnOrderGrid"</formula1>
    </dataValidation>
    <dataValidation type="list" allowBlank="1" sqref="H127:K127">
      <formula1>"ModelPortfolio,AddCash,ModifyRebalance"</formula1>
    </dataValidation>
    <dataValidation type="list" allowBlank="1" sqref="H249:K249">
      <formula1>"CleanUp,GetDailyCash,UpdateDailyCash,CreateDoneAwayOrder"</formula1>
    </dataValidation>
    <dataValidation type="list" allowBlank="1" sqref="H501:K501">
      <formula1>"CreateDoneAwayOrder,GetDataClosing,SelectTradeUnexpiredUnsettled,CashSettlementAtClosingDtSpotPx,GetForwardPoints,VerifyExpiredSettledGrid,UpdateForwardPoints,GetDataAllocation,CheckAllocatedGroups,GetForexConversion,UpdateForexConversionMonthly,GetForexC"&amp;"onversion1,UpdateForexConversionMonthly1,GetForwardPoints1,UpdateForwardPoints5,UpdateForwardPoints3,GetForwardPoints4,GetForwardPoints6,Copy of Data_conflict1494621472,UpdateForwardPoints1,GetTradingTransaction,VerifyTradingTransaction"</formula1>
    </dataValidation>
    <dataValidation type="list" allowBlank="1" sqref="H817:K817 H822:K822">
      <formula1>"CreateDoneAwayOrder,GetDataClosing,AutomaticClosing,ViewThirdParty,GenerateThirdParty,VerifyThirdPartyGenerate,UnwindClosing,VerifyThirdPartyView,ThirdPartySend,ThirdPartyGenerate"</formula1>
    </dataValidation>
    <dataValidation type="list" allowBlank="1" sqref="H415:K415 H417:K417">
      <formula1>"ShowMasterFundAsClient"</formula1>
    </dataValidation>
    <dataValidation type="list" allowBlank="1" sqref="H845:K845">
      <formula1>"CreateDoneAwayOrder,ViewThirdParty,ThirdPartyGenerate,VerifyThirdPartyGenerate,SelectUnallocatedGroup,GetDataAllocation,SelectAllocatedGroup,Unallocate,Allocate"</formula1>
    </dataValidation>
    <dataValidation type="list" allowBlank="1" sqref="H499:K499">
      <formula1>"CreateDoneAwayOrder,GetDataClosing,SelectTradeUnexpiredUnsettled,CashSettlementAtClosingDtSpotPx,VerifyExpiredSettledGrid,GetForexConversion,UpdateForexConversionMonthly,GetForexConversion1,VerifyTradingTransaction,UpdateForexConversionMonthly1,GetForward"&amp;"Points,UpdateForwardPoints,GetForwardPoints1,UpdateForwardPoints1,GetForwardPoints2,UpdateForwardPoints2,GetForwardPoints3,UpdateForwardPoints3,GetForwardPoints4,UpdateForwardPoints4,GetForwardPoints5,UpdateForwardPoints5,GetForwardPoints6,UpdateForwardPo"&amp;"ints6,RunRevaluation,VerifyRevaluationData,GetDataAllocation,CheckAllocatedGroups"</formula1>
    </dataValidation>
    <dataValidation type="list" allowBlank="1" sqref="H464:K464">
      <formula1>"CreateDoneAwayOrder,GetForexConversion,UpdateForexConversionMonthly,SelectTradeUnexpiredUnsettled,GetDataClosing,CashSettlementAtClosingDtSpotPx,VerifyExpiredSettledGrid"</formula1>
    </dataValidation>
    <dataValidation type="list" allowBlank="1" sqref="H47:K47">
      <formula1>"CreateLiveOrder,VerifySubOrder,SelectTrade,AcknowledgeTrade,ExecuteTrade,VerifyWorkingSubs"</formula1>
    </dataValidation>
    <dataValidation type="list" allowBlank="1" sqref="H779:K779">
      <formula1>"CreateDoneAwayOrder,ViewThirdParty,VerifyThirdPartyView,GenerateThirdParty,VerifyThirdPartyGenerate"</formula1>
    </dataValidation>
    <dataValidation type="list" allowBlank="1" sqref="H596:K600">
      <formula1>"GetForexConversion,UpdateForexConversionMonthly,CreateDoneAwayOrder"</formula1>
    </dataValidation>
    <dataValidation type="list" allowBlank="1" sqref="H615:K615">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formula1>
    </dataValidation>
    <dataValidation type="list" allowBlank="1" sqref="H481:K483">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formula1>
    </dataValidation>
    <dataValidation type="list" allowBlank="1" sqref="H533:K533">
      <formula1>"CreateDoneAwayOrder,GetDataClosing,SelectTradeUnexpiredUnsettled,CashSettlementAtClosingDtSpotPx,VerifyExpiredSettledGrid,GetForexConversion,UpdateForexConversionMonthly,GetForexConversion1,UpdateForexConversionMonthly1,GetForwardPoints,UpdateForwardPoint"&amp;"s,GetForwardPoints1,UpdateForwardPoints1,GetForwardPoints2,UpdateForwardPoints3,UpdateForwardPoints2,GetForwardPoints3,GetForwardPoints4,UpdateForwardPoints4,GetForwardPoints5,UpdateForwardPoints5,GetForwardPoints6,UpdateForwardPoints6,VerifyTradingTransa"&amp;"ction,RunRevaluation,VerifyRevaluationData,GetDataAllocation"</formula1>
    </dataValidation>
    <dataValidation type="list" allowBlank="1" sqref="H256:K256">
      <formula1>"OpenSpinOff,SpinOff,SaveCorporateAction"</formula1>
    </dataValidation>
    <dataValidation type="list" allowBlank="1" sqref="H552:K552">
      <formula1>"CreateDoneAwayOrder,GetForexConversion,UpdateForexConversionMonthly,GetForexConversion1,UpdateForexConversionMonthly1,GetForwardPoints,UpdateForwardPoints,GetForwardPoints1,UpdateForwardPoints1"</formula1>
    </dataValidation>
    <dataValidation type="list" allowBlank="1" sqref="H405:K405">
      <formula1>"ShowMasterFundOnTT,ShowMasterFund,CreateDoneAwayOrder"</formula1>
    </dataValidation>
    <dataValidation type="list" allowBlank="1" sqref="H572:K574 H576:K576 H578:K579">
      <formula1>"DeleteClientData"</formula1>
    </dataValidation>
    <dataValidation type="list" allowBlank="1" sqref="H618:K618">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formula1>
    </dataValidation>
    <dataValidation type="list" allowBlank="1" sqref="H168:K168">
      <formula1>"CreateDoneAwayOrder,CheckBlotter,GetForexConversion"</formula1>
    </dataValidation>
    <dataValidation type="list" allowBlank="1" sqref="I496:K496">
      <formula1>"CreateDoneAwayOrder,GetDataClosing,SelectTradeUnexpiredUnsettled,CashSettlementAtClosingDtSpotPx,GetForwardPoints,VerifyExpiredSettledGrid,UpdateForwardPoints,GetDataAllocation,CheckAllocatedGroups"</formula1>
    </dataValidation>
    <dataValidation type="list" allowBlank="1" sqref="H404:K404">
      <formula1>"ShowMasterFundOnTT,ShowMasterFund,CreateDoneAwayOrder,GetDataAllocation,SelectUnallocatedGroup,EnterAccountValuesToAllocate,Allocate,CheckAllocatedGroups,CheckPortfolioManagement,VerifyWorkingSubs,Copy of Data,RestartClient,UpdateMasterFundOnTT"</formula1>
    </dataValidation>
    <dataValidation type="list" allowBlank="1" sqref="H332:K332">
      <formula1>"CreateDoneAwayOrder,Copy of Data,VerifyOrder"</formula1>
    </dataValidation>
    <dataValidation type="list" allowBlank="1" sqref="F369 F372 F392 F404 F420 F475 F510 F542 F582:F583 F586 F592 F596 F667:F668 F671 F696 F699 F708 F712 F716 F720 F746 F766:F767 F770 F775 F783 F794 F805 F814 F825 F836">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UpdateMasterFundOnTT,,,,,,,,,,,,,,,,,,,,,,,,,,,,,,,,,,,,,,,,,,,,,,,,,,,,,,,,,,,,,,,,,,,,,,,,,,,,,,,,,,,,,,,,,,,,,,,,,,,,,,,,,,,,,,,,,,,,,,,,,,,,,,,,,,,,,,,,,,,,,,,,,,,,,,,,,,,,,,,,,,,,,,,,,,,,,,,,,,,,,,,,,,,,,,,,,,,,,,,"&amp;",,,,,,,,,,,,,,,,,,,,,,,,,,,,,,,,,,,,,,,,,,,,,,,,,,,,,,,,,,,,,,,,,,,,,,,,,,,,,,,,,,,,,,,,,,,,,,,,,,,,,,,,,,,,,,,,,,,,,,,,,,,,,,,,,,,,,,,,,,,,,,,,,,,,,,,,,,,,,,,,,,,,,,,,,,,,,,,,,,,,,,,,,,,,,,,,,,,,,,,,,,,,,,,,,,,,,,,,,,,,,,,,,,,,,,,,,,,,,,,,,,,,,,,,,,,,,,,"&amp;",,,,,,,,,,,,,,,,,,,,,,,,,"</formula1>
    </dataValidation>
    <dataValidation type="list" allowBlank="1" sqref="F43 F45:F46 F49:F50">
      <formula1>"SelectTrade,AcknowledgeTrade,RejectTrade,ExecuteTrade,CancelTrade,OpenLiveTT,SetManualResponse,ClearUI,,,,,,,,,,,,,,,,,,,,,,,,,,,,,,,,,,,,,,,,,,,,,,,,,,,,,,,,,,,,,,,,,,,,,,,,,,,,,,,,,,,,,,,,,,,,,,,,,,,,,,,,,,,,,,,,,,,,,,,,,,,,,,,,,,,,,,,,,,,,,,,,,,,,,,,,,"&amp;",,,,,,,,,,,,,,,,,,,,,,,,,,,,,,,,,,,,,,,,,,,,,,,,,,,,,,,,,,,,,,,,,,,,,,,,,,,,,,,,,,,,,,,,,,,,,,,,,,,,,,,,,,,,,,,,,,,,,,,,,,,,,,,,,,,,,,,,,,,,,,,,,,,,,,,,,,,,,,,,,,,,,,,,,,,,,,,,,,,,,,,,,,,,,,,,,,,,,,,,,,,,,,,,,,,,,,,,,,,,,,,,,,,,,,,,,,,,,,,,,,,,,,,,,,,,,,,"&amp;",,,,,,,,,,,,,,,,,,,,,,,,,,,,,,,,,,,,,,,,,,,,,,,,,,,,,,,,,,,,,,,,,,,,,,,,,,,,,,,,,"</formula1>
    </dataValidation>
    <dataValidation type="list" allowBlank="1" sqref="H173:K173 H175:K175 H181:K181">
      <formula1>"CreateDoneAwayOrder,GetForexConversion,GetDataAllocation,CheckAllocatedGroups,GetDataClosing,SelectTradeUnexpiredUnsettled,CashSettlementAtClosingDtSpotPx,VerifyExpiredSettledGrid,UpdateForexConversionMonthly,GetTradingTransaction,VerifyTradingTransaction"&amp;",GetDataAllocation1,CheckAllocatedGroups1,RunRevaluation,VerifyRevaluationData"</formula1>
    </dataValidation>
    <dataValidation type="list" allowBlank="1" sqref="H816:K816">
      <formula1>"CreateDoneAwayOrder,GetDataClosing,AutomaticClosing"</formula1>
    </dataValidation>
    <dataValidation type="list" allowBlank="1" sqref="H717:K717 H776:K776">
      <formula1>"CreateDoneAwayOrder,ViewThirdParty"</formula1>
    </dataValidation>
    <dataValidation type="list" allowBlank="1" sqref="H625:K625">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Data,GetDataClosing,UpdateForwardPoints6,CashSettlementAtClosingDtSpotPx,VerifyExpiredSettledGrid,SelectTradeUnexpiredUnsettled,GetDataAllocation,CheckAllocatedGroups,GetTradingTransactio"&amp;"n,VerifyTradingTransaction,RunRevaluation,GetRevaluationData,VerifyRevaluationData"</formula1>
    </dataValidation>
    <dataValidation type="list" allowBlank="1" sqref="H514:K514">
      <formula1>"CreateDoneAwayOrder,GetDataClosing,SelectTradeUnexpiredUnsettled,CashSettlementAtClosingDtSpotPx,VerifyExpiredSettledGrid,GetForexConversion,UpdateForexConversionMonthly,UpdateForexConversion"</formula1>
    </dataValidation>
    <dataValidation type="list" allowBlank="1" sqref="H87:K87">
      <formula1>"CreateDoneAwayOrder,SelectTradeWorkingSubsBlotter,ViewAllocationDetailsWorkingSub,VerifyViewAllocationDetails,CreateStageOrder"</formula1>
    </dataValidation>
    <dataValidation type="list" allowBlank="1" sqref="H748:K748">
      <formula1>"CreateLiveOrder,VerifyOrder,AcknowledgeTrade"</formula1>
    </dataValidation>
    <dataValidation type="list" allowBlank="1" sqref="F13">
      <formula1>"GenerateThirdParty,SendThirdParty,ViewThirdParty,SelectThirdPartyName,VerifyThirdPartyData,OpeningManager,ThirdPartyWork,,,,,,,,,,,,,,,,,,,,,,,,,,,,,,,,,,,,,,,,,,,,,,,,,,,,,,,,,,,,,,,,,,,,,,,,,,,,,,,,,,,,,,,,,,,,,,,,,,,,,,,,,,,,,,,,,,,,,,,,,,,,,,,,,,,,,,,"&amp;",,,,,,,,,,,,,,,,,,,,,,,,,,,,,,,,,,,,,,,,,,,,,,,,,,,,,,,,,,,,,,,,,,,,,,,,,,,,,,,,,,,,,,,,,,,,,,,,,,,,,,,,,,,,,,,,,,,,,,,,,,,,,,,,,,,,,,,,,,,,,,,,,,,,,,,,,,,,,,,,,,,,,,,,,,,,,,,,,,,,,,,,,,,,,,,,,,,,,,,,,,,,,,,,,,,,,,,,,,,,,,,,,,,,,,,,,,,,,,,,,,,,,,,,,,,,,,,"&amp;",,,,,,,,,,,,,,,,,,,,,,,,,,,,,,,,,,,,,,,,,,,,,,,,,,,,,,,,,,,,,,,,,,,,,,,,,,,,,,,,,,,,,,,,,,,,,,,,,,,,"</formula1>
    </dataValidation>
    <dataValidation type="list" allowBlank="1" sqref="H40:K40">
      <formula1>"GenerateAllThirdPartyData"</formula1>
    </dataValidation>
    <dataValidation type="list" allowBlank="1" sqref="H461:K461">
      <formula1>"CreateDoneAwayOrder,GetForexConversion,UpdateForexConversionMonthly,SelectTradeUnexpiredUnsettled,GetDataClosing"</formula1>
    </dataValidation>
    <dataValidation type="list" allowBlank="1" sqref="H294:K294">
      <formula1>"GetNonTradingTransaction,AddNonTradingTransaction"</formula1>
    </dataValidation>
    <dataValidation type="list" allowBlank="1" sqref="H247:K247">
      <formula1>"CleanUp,GetDailyCash"</formula1>
    </dataValidation>
    <dataValidation type="list" allowBlank="1" sqref="H382:K382">
      <formula1>"ShowMasterFundOnTT,ShowMasterFund,CreateStageOrder,TradeNewSubOrder,CreateDoneAwayOrder,AddFillsWorkingSubs,GetDataAllocation,CheckAllocatedGroups,SelectAllocatedGroup,Unallocate,CheckUnallocatedGroups,EnterAccountValuesToAllocate,Allocate,EditOrder,Creat"&amp;"eReplaceOrder,VerifyOrder,CheckAllocatedGroups1"</formula1>
    </dataValidation>
    <dataValidation type="list" allowBlank="1" sqref="H812:K812">
      <formula1>"CreateDoneAwayOrder,GetDataClosing,Copy of Data,Copy of Data_conflict734426019,AutomaticClosing,ViewThirdParty,GenerateThirdParty,VerifyThirdPartyGenerate,unwi,UnwindClosing,VerifyThirdPartyView"</formula1>
    </dataValidation>
    <dataValidation type="list" allowBlank="1" sqref="F289:F29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amp;",,,,,,,,,,,,,,,,,,,,,,,,,,,,,,,,,,,,,,,,,,,,,,,,,,,,,,,,,,,,,,,,,,,,,,,,,,,,,,,,,,,,,,,,,,,,,,,,,,,,,,,,,,,,,,,,,,,,,,,,,,,,,,,,,,,,,,,,,,,,,,,,,,,,,,,,,,,,,,,,,,,,,,,,,,,,,,,,,,,,,,,,,,,,,,,,,,,,,,,,,,,,,,,,,,,,,,,,,,,,"</formula1>
    </dataValidation>
    <dataValidation type="list" allowBlank="1" sqref="H731:K732">
      <formula1>"CreateLiveOrder,SelectTrade,ExecuteTrade,AcknowledgeTrade,VerifyOrder,SelectTradeOnOrderGrid,VerifySubOrder,VerifyWorkingSubs,SelectTradeOnOrderGrid1,VerifySubOrder1,VerifyWorkingSubs1,RejectTrade"</formula1>
    </dataValidation>
    <dataValidation type="list" allowBlank="1" sqref="H89:K89">
      <formula1>"CreateDoneAwayOrder,SelectTradeWorkingSubsBlotter,ViewAllocationDetailsWorkingSub,VerifyViewAllocationDetails,CreateStageOrder,TradeNewSubOrder,CreateNewSubOrder"</formula1>
    </dataValidation>
    <dataValidation type="list" allowBlank="1" sqref="H226:K226 H455:K455 H649">
      <formula1>"CreateDoneAwayOrder,GetForexConversion,UpdateForexConversionMonthly,GetDataClosing,SelectTradeUnexpiredUnsettled,CashSettlementAtClosingDtSpotPx,VerifyExpiredSettledGrid,GetDataAllocation,CheckAllocatedGroups,GetTradingTransaction,VerifyTradingTransaction"&amp;",RunRevaluation,VerifyRevaluationData"</formula1>
    </dataValidation>
    <dataValidation type="list" allowBlank="1" sqref="H225:K225 H453:K453 H647">
      <formula1>"CreateDoneAwayOrder,GetForexConversion,UpdateForexConversionMonthly,GetDataClosing,SelectTradeUnexpiredUnsettled,CashSettlementAtClosingDtSpotPx,VerifyExpiredSettledGrid,GetDataAllocation,CheckAllocatedGroups,GetTradingTransaction,VerifyTradingTransaction"&amp;",RunRevaluation"</formula1>
    </dataValidation>
    <dataValidation type="list" allowBlank="1" sqref="E6:E871">
      <formula1>'_Modules'!$A$4:$A871</formula1>
    </dataValidation>
    <dataValidation type="list" allowBlank="1" sqref="H133:K133">
      <formula1>"SetCheckSide"</formula1>
    </dataValidation>
    <dataValidation type="list" allowBlank="1" sqref="H669:K669">
      <formula1>"ShowMasterFundOnTT,RestartClient,UpdateMasterFundOnTT,CreateStageOrder,VerifyOrder"</formula1>
    </dataValidation>
    <dataValidation type="list" allowBlank="1" sqref="H307:K307">
      <formula1>"DisableChecksideForAsset,CreateDoneAwayOrder,SelectUnallocatedGroup,EnterAllocatePreference,CheckAllocatedGroups,CheckUnallocatedGroups,DisableChecksideForAccount"</formula1>
    </dataValidation>
    <dataValidation type="list" allowBlank="1" sqref="H497">
      <formula1>"CreateDoneAwayOrder,GetDataClosing,SelectTradeUnexpiredUnsettled,CashSettlementAtClosingDtSpotPx,GetForwardPoints,VerifyExpiredSettledGrid"</formula1>
    </dataValidation>
    <dataValidation type="list" allowBlank="1" sqref="H538:K538">
      <formula1>"CreateDoneAwayOrder,GetDataClosing,SelectTradeUnexpiredUnsettled,CashSettlementAtClosingDtSpotPx,VerifyExpiredSettledGrid,GetForexConversion,UpdateForexConversionMonthly,GetForexConversion1,UpdateForexConversionMonthly1,GetForwardPoints,UpdateForwardPoint"&amp;"s,GetForwardPoints1,UpdateForwardPoints1,GetForwardPoints2,UpdateForwardPoints3,UpdateForwardPoints2,GetForwardPoints3,GetForwardPoints4,UpdateForwardPoints4,GetForwardPoints5,UpdateForwardPoints5,GetForwardPoints6,UpdateForwardPoints6,VerifyTradingTransa"&amp;"ction,RunRevaluation,VerifyRevaluationData,GetDataAllocation,CheckAllocatedGroups,GetTradingTransaction,GetRevaluationData"</formula1>
    </dataValidation>
    <dataValidation type="list" allowBlank="1" sqref="H756:K756">
      <formula1>"CreateLiveOrder,VerifyOrder,AcknowledgeTrade,ExecuteTrade,CheckAllocatedGroups,GetDataAllocation,GetDataClosing,VerifyLongPositionsGrid,VerifyShortPositionsGrid,AutomaticClosing,SelectTrade,SelectTrade2,ExecuteTrade2,get,Copy of Data 1,GetDataAllocation2"</formula1>
    </dataValidation>
    <dataValidation type="list" allowBlank="1" sqref="H252:K252">
      <formula1>"CleanUp,GetDailyCash,UpdateDailyCash,CreateDoneAwayOrder,OpenSpinOff,SpinOff,VerifySpinOffGrid,Copy of Data,Copy of Data_conflict913715436,VerifyAndApplyCorpAction"</formula1>
    </dataValidation>
    <dataValidation type="list" allowBlank="1" sqref="F276:F278">
      <formula1>"CorporateAction,CleanUp,CashDividend,Exchange,Merger,NameChange,SpinOff,Split,StockDividend,OpenSpinOff,SpinOff,VerifySpinOffGrid,SaveCorporateAction,VerifyAndSaveCorpAction,VerifyAndApplyCorpAction,CorporateAction,,,,,,,,,,,,,,,,,,,,,,,,,,,,,,,,,,,,,,,,,"&amp;",,,,,,,,,,,,,,,,,,,,,,,,,,,,,,,,,,,,,,,,,,,,,,,,,,,,,,,,,,,,,,,,,,,,,,,,,,,,,,,,,,,,,,,,,,,,,,,,,,,,,,,,,,,,,,,,,,,,,,,,,,,,,,,,,,,,,,,,,,,,,,,,,,,,,,,,,,,,,,,,,,,,,,,,,,,,,,,,,,,,,,,,,,,,,,,,,,,,,,,,,,,,,,,,,,,,,,,,,,,,,,,,,,,,,,,,,,,,,,,,,,,,,,,,,,,,,,,"&amp;",,,,,,,,,,,,,,,,,,,,,,,,,,,,,,,,,,,,,,,,,,,,,,,,,,,,,,,,,,,,,,,,,,,,,,,,,,,,,,,,,,,,,,,,,,,,,,,,,,,,,,,,,,,,,,,,,,,,,,,,,,,,,,,,,,,,,,,,,,,,,,,,,,,,,,,,,,,,,,,,,,,,,,,,,,,,,,,,,,,,,,,,,"</formula1>
    </dataValidation>
    <dataValidation type="list" allowBlank="1" sqref="H619:K619">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formula1>
    </dataValidation>
    <dataValidation type="list" allowBlank="1" sqref="F375 F377 F398 F422 F430 F432 F449:F450 F465:F466 F498:F499 F507 F533:F534 F565:F566 F580 F587:F588 F619:F620 F632 F665 F672:F673 F700:F702 F751:F752 F755:F756 F764">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amp;",,,,,,,,,,,,,,,,,,,,,,,,,,,,,,,,,,,,,,,,,,,,,,,,,,,,,,,,,,,,,,,,,,,,,,,,,,,,,,,,,,,,,,,,,,,,,,,,,,,,,,,,,,,,,,,,,,,,,,,,,,,,,,,,,,,,,,,,,,,,,,,,,,"</formula1>
    </dataValidation>
    <dataValidation type="list" allowBlank="1" sqref="H191:K191">
      <formula1>"CreateDoneAwayOrder,GetForexConversion,UpdateForexConversionMonthly,UpdateForwardPoints,GetDataClosing,SelectTradeUnexpiredUnsettled,CashSettlementAtClosingDtSpotPx,GetDataAllocation"</formula1>
    </dataValidation>
    <dataValidation type="list" allowBlank="1" sqref="I497:K497">
      <formula1>"CreateDoneAwayOrder,GetDataClosing,SelectTradeUnexpiredUnsettled,CashSettlementAtClosingDtSpotPx,GetForwardPoints,VerifyExpiredSettledGrid,UpdateForwardPoints,GetDataAllocation,CheckAllocatedGroups,GetForexConversion,UpdateForexConversionMonthly,GetForexC"&amp;"onversion1,UpdateForexConversionMonthly1,GetForwardPoints1,UpdateForwardPoints5,UpdateForwardPoints3,GetForwardPoints4,GetForwardPoints6,Copy of Data_conflict1494621472,UpdateForwardPoints1,GetTradingTransaction"</formula1>
    </dataValidation>
    <dataValidation type="list" allowBlank="1" sqref="F306:F308 F310:F311">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amp;",,,,,,,,,,,,,,,,,,,,,,,,,,,,,,,,,,,,,,,,,,,,,,,,,,,,,,,,,,,,,,,,,,,,,,,,,,,,,,,,,,,,,,,,,,,,,,,,,,,,,,,,,,,,,,,,,,,,,,,,,,,,,,,,,,,,,,,,,,,,,,,,,,,,,,,,,,,,,,,,,,,,,,,,,,,,,,,,,,,,,,,,,,,,,,,,,,,,,,,,,,,,,,,,,,,,,,,,,,,,,,,,,,,,,,,,,,,,,,,,,,,,,,,,,,,,,,,"&amp;",,,,,,,,,,,,,,,,,,,,,,,,,,,,,,,,,,,,,,,,,,,,,,"</formula1>
    </dataValidation>
    <dataValidation type="list" allowBlank="1" sqref="H752:K752">
      <formula1>"CreateLiveOrder,VerifyOrder,AcknowledgeTrade,ExecuteTrade,CheckAllocatedGroups"</formula1>
    </dataValidation>
    <dataValidation type="list" allowBlank="1" sqref="F355">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ApplyMasterFundFilter,,,,,,,,,,,,,,,,,,,,,,,,,,,,,,,"&amp;",,,,,,,,,,,,,,,,,,,,,,,,,,,,,,,,,,,,,,,,,,,,,,,,,,,,,,,,,,,,,,,,,,,,,,,,,,,,,,,,,,,,,,,,,,,,,,,,,,,,,,,,,,,,,,,,,,,,,,,,,,,,,,,,,,,,,,,,,,,,,,,,,,,,,,,,,,,,,,,,,,,,,,,,,,,,,,,,,,,,,,,,,,,,,,,,,,,,,,,,,,,,,,,,,,,,,,,,,,,,,,,,,,,,,,,,,,,,,,,,,,,,,,,,,,,,,,,"&amp;",,,,,,,,,,,,,,,,,,,,,,,,,,,,,,,,,,,,,,,,,,,,,,,,,,,,,,,,,,,,,,,,,,,,,,,,,,,,,,,,,,,,,,,,,,,,,,,,,,,,,,,,"</formula1>
    </dataValidation>
    <dataValidation type="list" allowBlank="1" sqref="H190:K190">
      <formula1>"CreateDoneAwayOrder,GetForexConversion,UpdateForexConversionMonthly,UpdateForwardPoints,GetDataClosing,SelectTradeUnexpiredUnsettled,CashSettlementAtClosingDtSpotPx"</formula1>
    </dataValidation>
    <dataValidation type="list" allowBlank="1" sqref="F127">
      <formula1>"FetchAccountPositions,AddCash,VerifyGridData,RunRebalance,RebalanceAcrossSecurities,ModifyRebalance,ClearCalculations,ModelPortfolio,,,,,,,,,,,,,,,,,,,,,,,,,,,,,,,,,,,,,,,,,,,,,,,,,,,,,,,,,,,,,,,,,,,,,,,,,,,,,,,,,,,,,,,,,,,,,,,,,,,,,,,,,,,,,,,,,,,,,,,,,,,"&amp;",,,,,,,,,,,,,,,,,,,,,,,,,,,,,,,,,,,,,,,,,,,,,,,,,,,,,,,,,,,,,,,,,,,,,,,,,,,,,,,,,,,,,,,,,,,,,,,,,,,,,,,,,,,,,,,,,,,,,,,,,,,,,,,,,,,,,,,,,,,,,,,,,,,,,,,,,,,,,,,,,,,,,,,,,,,,,,,,,,,,,,,,,,,,,,,,,,,,,,,,,,,,,,,,,,,,,,,,,,,,,,,,,,,,,,,,,,,,,,,,,,,,,,,,,,,,,,,"&amp;",,,,,,,,,,,,,,,,,,,,,,,,,,,,,,,,,,,,,,,,,,,,,,,,,,,,,,,,,,,,,,,,,,,,,,,,,,,,,,,,,,,,,,,,,,,,,,,,,,,,,,,,,,,,,,,"</formula1>
    </dataValidation>
    <dataValidation type="list" allowBlank="1" sqref="F9:F10">
      <formula1>"GenerateThirdParty,SendThirdParty,ViewThirdParty,SelectThirdPartyName,VerifyThirdPartyData,,,,,,,,,,,,,,,,,,,,,,,,,,,,,,,,,,,,,,,,,,,,,,,,,,,,,,,,,,,,,,,,,,,,,,,,,,,,,,,,,,,,,,,,,,,,,,,,,,,,,,,,,,,,,,,,,,,,,,,,,,,,,,,,,,,,,,,,,,,,,,,,,,,,,,,,,,,,,,,,,,,,,"&amp;",,,,,,,,,,,,,,,,,,,,,,,,,,,,,,,,,,,,,,,,,,,,,,,,,,,,,,,,,,,,,,,,,,,,,,,,,,,,,,,,,,,,,,,,,,,,,,,,,,,,,,,,,,,,,,,,,,,,,,,,,,,,,,,,,,,,,,,,,,,,,,,,,,,,,,,,,,,,,,,,,,,,,,,,,,,,,,,,,,,,,,,,,,,,,,,,,,,,,,,,,,,,,,,,,,,,,,,,,,,,,,,,,,,,,,,,,,,,,,,,,,,,,,,,,,,,,,,"&amp;",,,,,,,,,,,,,,,,,,,,,,,,,,,,,,,,,,,,,,,,,,,,,,,,,,,,,,,,,,,,,,,,,,,,,,,,"</formula1>
    </dataValidation>
    <dataValidation type="list" allowBlank="1" sqref="H393:K393">
      <formula1>"ShowMasterFundOnTT,ShowMasterFund,CreateStageOrder"</formula1>
    </dataValidation>
    <dataValidation type="list" allowBlank="1" sqref="H28:K28">
      <formula1>"ThirdPartyManagerFunction,Copy of Data,SelectFromThirdPartyGrid"</formula1>
    </dataValidation>
    <dataValidation type="list" allowBlank="1" sqref="H790:K790">
      <formula1>"CreateDoneAwayOrder,viw,view,ViewThirdParty,ThirdPartyGenerate,VerifyThirdPartyGenerate,GetDataAllocation,SelectAllocatedGroup,EditAllocatedGrid,Copy of Data,VerifyThirdPartyView"</formula1>
    </dataValidation>
    <dataValidation type="list" allowBlank="1" sqref="H476 H595">
      <formula1>"CreateDoneAwayOrder,GetDataClosing,SelectTradeUnexpiredUnsettled,CashSettlementAtClosingDtSpotPx,GetForwardPoints,VerifyExpiredSettledGrid,UpdateForwardPoints,GetDataAllocation,CheckAllocatedGroups,GetForexConversion"</formula1>
    </dataValidation>
    <dataValidation type="list" allowBlank="1" sqref="H355:K355">
      <formula1>"CheckAllocatedGroups,ApplyMasterFundFilter"</formula1>
    </dataValidation>
    <dataValidation type="list" allowBlank="1" sqref="F135 F137 F141 F314">
      <formula1>"RestartServer,UpdateServerConfig,,,,,,,,,,,,,,,,,,,,,,,,,,,,,,,,,,,,,,,,,,,,,,,,,,,,,,,,,,,,,,,,,,,,,,,,,,,,,,,,,,,,,,,,,,,,,,,,,,,,,,,,,,,,,,,,,,,,,,,,,,,,,,,,,,,,,,,,,,,,,,,,,,,,,,,,,,,,,,,,,,,,,,,,,,,,,,,,,,,,,,,,,,,,,,,,,,,,,,,,,,,,,,,,,,,,,,,,,,,,,,,"&amp;",,,,,,,,,,,,,,,,,,,,,,,,,,,,,,,,,,,,,,,,,,,,,,,,,,,,,,,,,,,,,,,,,,,,,,,,,,,,,,,,,,,,,,,,,,,,,,,,,,,,,,,,,,,,,,,,,,,,,,,,,,,,,,,,,,,,,,,,,,,,,,,,,,,,,,,,,,,,,,,,,,,,,,,,,,,,,,,,,,,,,,,,,,,,,,,,,,,,,,,,,,,,,,,,,,,,,,,,,,,,,,,,,,,,,,,,,,,,,,,,,,,,,,,,,,,,,,,"&amp;",,,,,,,,,,,,,,,,,"</formula1>
    </dataValidation>
    <dataValidation type="list" allowBlank="1" sqref="H251:K251">
      <formula1>"CleanUp,GetDailyCash,UpdateDailyCash,CreateDoneAwayOrder,SpinOff"</formula1>
    </dataValidation>
    <dataValidation type="list" allowBlank="1" sqref="H178:K178">
      <formula1>"CreateDoneAwayOrder,GetForexConversion,GetDataAllocation,CheckAllocatedGroups,GetDataClosing,SelectTradeUnexpiredUnsettled,CashSettlementAtClosingDtSpotPx,VerifyExpiredSettledGrid,UpdateForexConversionMonthly,GetTradingTransaction"</formula1>
    </dataValidation>
    <dataValidation type="list" allowBlank="1" sqref="H495 H530 H827:K827">
      <formula1>"CreateDoneAwayOrder,GetDataClosing,SelectTradeUnexpiredUnsettled"</formula1>
    </dataValidation>
    <dataValidation type="list" allowBlank="1" sqref="F36 F38">
      <formula1>"GenerateThirdParty,SendThirdParty,ViewThirdParty,SelectThirdPartyName,VerifyThirdPartyData,ThirdPartyWork,Automation,ThirdPartyWork,OpeningManager,ThirdPartyManagerFunction,SelectFromThirdPartyGrid,SelectThirdPartyJob,,,,,,,,,,,,,,,,,,,,,,,,,,,,,,,,,,,,,,"&amp;",,,,,,,,,,,,,,,,,,,,,,,,,,,,,,,,,,,,,,,,,,,,,,,,,,,,,,,,,,,,,,,,,,,,,,,,,,,,,,,,,,,,,,,,,,,,,,,,,,,,,,,,,,,,,,,,,,,,,,,,,,,,,,,,,,,,,,,,,,,,,,,,,,,,,,,,,,,,,,,,,,,,,,,,,,,,,,,,,,,,,,,,,,,,,,,,,,,,,,,,,,,,,,,,,,,,,,,,,,,,,,,,,,,,,,,,,,,,,,,,,,,,,,,,,,,,,,,"&amp;",,,,,,,,,,,,,,,,,,,,,,,,,,,,,,,,,,,,,,,,,,,,,,,,,,,,,,,,,,,,,,,,,,,,,,,,,,,,,,,,,,,,,,,,,,,,,,,,,,,,,,,,,,,,,,,,,,,,,,,,,,,,,,,,,,,,,,,,,,,,,,,,,,,,,,,,,,,,,,,,,,,,,,,,,,,,,,,,,,,,,,,,,,,,,,,,"</formula1>
    </dataValidation>
    <dataValidation type="list" allowBlank="1" sqref="H653:K653">
      <formula1>"Import"</formula1>
    </dataValidation>
    <dataValidation type="list" allowBlank="1" sqref="H8:K8">
      <formula1>"Data,CreateDoneAwayOrder,SaveLayoutOrderGrid,Copy of Data,Copy of Data 1,VerifyWorkingSubs,CheckUnallocatedGroups"</formula1>
    </dataValidation>
    <dataValidation type="list" allowBlank="1" sqref="H158:K158 H255:K255">
      <formula1>"OpenSpinOff,SpinOff"</formula1>
    </dataValidation>
    <dataValidation type="list" allowBlank="1" sqref="F365 F370 F380 F393 F396 F405 F421 F434 F442 F458">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ShowMasterFund,,,,,,,,,,,,,,,,,,,,,,,,,,,,,,,,,,,,,,,,,,,,,,,,,,,,,,,,,,,,,,,,,,,,,,,,,,,,,,,,,,,,,,,,,,,,,,,,,,,,,,,,,,,,,,,,,,,,,,,,,,,,,,,,,,,,,,,,,,,,,,,,,,,,,,,,,,,,,,,,,,,,,,,,,,,,,,,,,,,,,,,,,,,,,,,,,,,,,,,,,,,,,"&amp;",,,,,,,,,,,,,,,,,,,,,,,,,,,,,,,,,,,,,,,,,,,,,,,,,,,,,,,,,,,,,,,,,,,,,,,,,,,,,,,,,,,,,,,,,,,,,,,,,,,,,,,,,,,,,,,,,,,,,,,,,,,,,,,,,,,,,,,,,,,,,,,,,,,,,,,,,,,,,,,,,,,,,,,,,,,,,,,,,,,,,,,,,,,,,,,,,,,,,,,,,,,,,,,,,,,,,,,,,,,,,,,,,,,,,,,,,,,,,,,,,,,,,,,,,,,,,,,"&amp;",,,,,,,,,,,,,,,,,,,"</formula1>
    </dataValidation>
    <dataValidation type="list" allowBlank="1" sqref="H248:K248">
      <formula1>"CleanUp,GetDailyCash,UpdateDailyCash"</formula1>
    </dataValidation>
    <dataValidation type="list" allowBlank="1" sqref="H180:K180">
      <formula1>"CreateDoneAwayOrder,GetForexConversion,GetDataAllocation,CheckAllocatedGroups,GetDataClosing,SelectTradeUnexpiredUnsettled,CashSettlementAtClosingDtSpotPx,VerifyExpiredSettledGrid,UpdateForexConversionMonthly,GetTradingTransaction,VerifyTradingTransaction"&amp;",GetDataAllocation1,CheckAllocatedGroups1,RunRevaluation"</formula1>
    </dataValidation>
    <dataValidation type="list" allowBlank="1" sqref="H773:K773">
      <formula1>"ShowMasterFundOnTT,UpdateMasterFundOnTT,CreateStageOrder,VerifyOrder,TradeNewSubOrder,AddFillsSubOrder,EditAddFillsDetails,VerifySubOrder,CreateNewSubOrder,SelectTradeOnOrderGrid"</formula1>
    </dataValidation>
    <dataValidation type="list" allowBlank="1" sqref="F27">
      <formula1>"GenerateThirdParty,SendThirdParty,ViewThirdParty,SelectThirdPartyName,VerifyThirdPartyData,ThirdPartyWork,OpeningManager,Automation,ThirdPartyWork,ThirdPartyManagerFunction,,,,,,,,,,,,,,,,,,,,,,,,,,,,,,,,,,,,,,,,,,,,,,,,,,,,,,,,,,,,,,,,,,,,,,,,,,,,,,,,,,,"&amp;",,,,,,,,,,,,,,,,,,,,,,,,,,,,,,,,,,,,,,,,,,,,,,,,,,,,,,,,,,,,,,,,,,,,,,,,,,,,,,,,,,,,,,,,,,,,,,,,,,,,,,,,,,,,,,,,,,,,,,,,,,,,,,,,,,,,,,,,,,,,,,,,,,,,,,,,,,,,,,,,,,,,,,,,,,,,,,,,,,,,,,,,,,,,,,,,,,,,,,,,,,,,,,,,,,,,,,,,,,,,,,,,,,,,,,,,,,,,,,,,,,,,,,,,,,,,,,,"&amp;",,,,,,,,,,,,,,,,,,,,,,,,,,,,,,,,,,,,,,,,,,,,,,,,,,,,,,,,,,,,,,,,,,,,,,,,,,,,,,,,,,,,,,,,,,,,,,,,,,,,,,,,,,,,,,,,,,,,,,,,,,,,,,,,,,,,,,,,,,,,,,,,,,,,,"</formula1>
    </dataValidation>
    <dataValidation type="list" allowBlank="1" sqref="F117:F118 F304 F331:F332 F339 F342:F343 F371 F378:F379 H379 F381 F394:F395 F412 F427 F584:F585 F669:F670 F721 F723:F725 F728:F730 F732:F734 F737:F739 F747 F768:F769 F771:F773">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GoToAllocation,,,,,,,,,,,,,,,,,,,,,,,,,,,,,,,,,,,,,,,,,,,,,,,,,,,,,,,,,,,,,,,,,,,,,,,,,,,,,,,,,,,,,,,,,,,,,,,,,,"&amp;",,,,,,,,,,,,,,,,,,,,,,,,,,,,,,,,,,,,,,,,,,,,,,,,,,,,,,,,,,,,,,,,,,,,,,,,,,,,,,,,,,,,,,,,,,,,,,,,,,,,,,,,,,,,,,,,,,,,,,,,,,,,,,,,,,,,,,,,,,,,,,,,,,,,,,,,,,,,,,,,,,,,,,,,,,,,,,,,,,,,,,,,,,,,,,,,,,,,,,,,,,,,,,,,,,,,,,,,,,,,,,,,,,,,,,,,,,,,,,,,,,,,,,,,,,,,,,,"&amp;",,,,,,,,,,,,,,,,,,,,,,,,,,,,,,,,,,,,,,,,,,,,,,,,,,,,,,,,,,,,,,,,,,,,,,,,,,,,,,,,,,,,,,,,,,,,,,,,,,,,,"</formula1>
    </dataValidation>
    <dataValidation type="list" allowBlank="1" sqref="H308:K308">
      <formula1>"DisableChecksideForAsset,CreateDoneAwayOrder,SelectUnallocatedGroup,EnterAllocatePreference,CheckAllocatedGroups,CheckUnallocatedGroups,DisableChecksideForAccount,DisableChecksideForCounterParty"</formula1>
    </dataValidation>
    <dataValidation type="list" allowBlank="1" sqref="H91:K91">
      <formula1>"CreateDoneAwayOrder,SelectTradeWorkingSubsBlotter,ViewAllocationDetailsWorkingSub"</formula1>
    </dataValidation>
    <dataValidation type="list" allowBlank="1" sqref="H60:K60">
      <formula1>"ClosingCleanUp,CleanUp,CreateDoneAwayOrder,Copy of Data,GetDataClosing,VerifyLongPositionsGrid,SelectTradeUnexpiredUnsettled"</formula1>
    </dataValidation>
    <dataValidation type="list" allowBlank="1" sqref="H588:K588">
      <formula1>"ShowMasterFundOnTT,UpdateMasterFundOnTT,CreateStageOrder,VerifyOrder,TradeNewSubOrder,CreateNewSubOrder,GetDataAllocation,CheckUnallocatedGroups"</formula1>
    </dataValidation>
    <dataValidation type="list" allowBlank="1" sqref="H468:K468">
      <formula1>"CreateDoneAwayOrder,GetForexConversion,UpdateForexConversionMonthly,SelectTradeUnexpiredUnsettled,GetDataClosing,CashSettlementAtClosingDtSpotPx,VerifyExpiredSettledGrid,GetDataAllocation,CheckAllocatedGroups,GetTradingTransaction,VerifyTradingTransaction"</formula1>
    </dataValidation>
    <dataValidation type="list" allowBlank="1" sqref="H470:K470">
      <formula1>"CreateDoneAwayOrder,GetForexConversion,UpdateForexConversionMonthly,SelectTradeUnexpiredUnsettled,GetDataClosing,CashSettlementAtClosingDtSpotPx,VerifyExpiredSettledGrid,GetDataAllocation,CheckAllocatedGroups,GetTradingTransaction,VerifyTradingTransaction"&amp;",RunRevaluation,VerifyRevaluationData,GetRevaluationData"</formula1>
    </dataValidation>
    <dataValidation type="list" allowBlank="1" sqref="I780:K780">
      <formula1>"CreateDoneAwayOrder,ViewThirdParty,VerifyThirdPartyView,ThirdPartyGenerate,VerifyThirdPartyGenerate,ThirdPartySend,VerifyThirdPartySend"</formula1>
    </dataValidation>
    <dataValidation type="list" allowBlank="1" sqref="H585:K585">
      <formula1>"ShowMasterFundOnTT,UpdateMasterFundOnTT,CreateStageOrder,VerifyOrder,TradeNewSubOrder"</formula1>
    </dataValidation>
    <dataValidation type="list" allowBlank="1" sqref="H33:K33 H82:K82 H109:K109 H114:K114 H122:K122 H129:K129 H166:K167 H184:K184 H198:K198 H214:K214 H230:K230 H303:K303 H330:K330 H338:K338 H341:K341 H442:K442 H458:K458 H475:K475 H510:K510 H542:K542 H636 H681 H696:K696 H699:K699 H708:K708 H716:K716 H775:K775 H783:K783 H794:K794 H805:K805 H814:K814 H825:K825 H836:K836">
      <formula1>"CreateDoneAwayOrder"</formula1>
    </dataValidation>
    <dataValidation type="list" allowBlank="1" sqref="H410:K410">
      <formula1>"ShowMasterFundOnTT,ShowMasterFund,CreateDoneAwayOrder,GetDataAllocation,CheckUnallocatedGroups,SelectUnallocatedGroup,EnterAccountValuesToAllocate,Allocate,CheckAllocatedGroups"</formula1>
    </dataValidation>
    <dataValidation type="list" allowBlank="1" sqref="H733:K733">
      <formula1>"CreateLiveOrder,SelectTrade,ExecuteTrade,AcknowledgeTrade,VerifyOrder,SelectTradeOnOrderGrid,VerifySubOrder,VerifyWorkingSubs,SelectTradeOnOrderGrid1,VerifySubOrder1,VerifyWorkingSubs1,RejectTrade,SelectTradeOnOrderGrid2"</formula1>
    </dataValidation>
    <dataValidation type="list" allowBlank="1" sqref="H701:K701">
      <formula1>"CreateDoneAwayOrder,GetDataAllocation,SelectAllocatedGroup"</formula1>
    </dataValidation>
    <dataValidation type="list" allowBlank="1" sqref="F653">
      <formula1>"Import,,,,,,,,,,,,,,,,,,,,,,,,,,,,,,,,,,,,,,,,,,,,,,,,,,,,,,,,,,,,,,,,,,,,,,,,,,,,,,,,,,,,,,,,,,,,,,,,,,,,,,,,,,,,,,,,,,,,,,,,,,,,,,,,,,,,,,,,,,,,,,,,,,,,,,,,,,,,,,,,,,,,,,,,,,,,,,,,,,,,,,,,,,,,,,,,,,,,,,,,,,,,,,,,,,,,,,,,,,,,,,,,,,,,,,,,,,,,,,,,,,,,,,,,,"&amp;",,,,,,,,,,,,,,,,,,,,,,,,,,,,,,,,,,,,,,,,,,,,,,,,,,,,,,,,,,,,,,,,,,,,,,,,,,,,,,,,,,,,,,,,,,,,,,,,,,,,,,,,,,,,,,,,,,,,,,,,,,,,,,,,,,,,,,,,,,,,,,,,,,,,,,,,,,,,,,,,,,,,,,,,,,,,,,,,,,,,,,,,,,,,,,,,,,,,,,,,,,,,,,,,,,,,,,,,,,,,,,,,,,,,,,,,,,,,,,,,,,,,,,,"</formula1>
    </dataValidation>
    <dataValidation type="list" allowBlank="1" sqref="H250:K250">
      <formula1>"CleanUp,GetDailyCash,UpdateDailyCash,CreateDoneAwayOrder,SpinOff,OpenSpinOff"</formula1>
    </dataValidation>
    <dataValidation type="list" allowBlank="1" sqref="F20 F22">
      <formula1>"GenerateThirdParty,SendThirdParty,ViewThirdParty,SelectThirdPartyName,VerifyThirdPartyData,ThirdPartyWork,OpeningManager,Automation,,,,,,,,,,,,,,,,,,,,,,,,,,,,,,,,,,,,,,,,,,,,,,,,,,,,,,,,,,,,,,,,,,,,,,,,,,,,,,,,,,,,,,,,,,,,,,,,,,,,,,,,,,,,,,,,,,,,,,,,,,,,"&amp;",,,,,,,,,,,,,,,,,,,,,,,,,,,,,,,,,,,,,,,,,,,,,,,,,,,,,,,,,,,,,,,,,,,,,,,,,,,,,,,,,,,,,,,,,,,,,,,,,,,,,,,,,,,,,,,,,,,,,,,,,,,,,,,,,,,,,,,,,,,,,,,,,,,,,,,,,,,,,,,,,,,,,,,,,,,,,,,,,,,,,,,,,,,,,,,,,,,,,,,,,,,,,,,,,,,,,,,,,,,,,,,,,,,,,,,,,,,,,,,,,,,,,,,,,,,,,,,"&amp;",,,,,,,,,,,,,,,,,,,,,,,,,,,,,,,,,,,,,,,,,,,,,,,,,,,,,,,,,,,,,,,,,,,,,,,,,,,,,,,,,,,,,,,,,,,,,,,,,,,,,,,,,,,,,,"</formula1>
    </dataValidation>
    <dataValidation type="list" allowBlank="1" sqref="H131:K131">
      <formula1>"CreateDoneAwayOrder,SelectAllocatedGroup,ApplyBulkUpdateOnTaxlots,CommissionBulkChangeOnTaxlots"</formula1>
    </dataValidation>
    <dataValidation type="list" allowBlank="1" sqref="H135:K135">
      <formula1>"SetCheckSide,RestartClient,Copy of Data 1,RestartServer"</formula1>
    </dataValidation>
    <dataValidation type="list" allowBlank="1" sqref="H477 H478:K478">
      <formula1>"CreateDoneAwayOrder,GetDataClosing,SelectTradeUnexpiredUnsettled,CashSettlementAtClosingDtSpotPx,GetForwardPoints,VerifyExpiredSettledGrid,UpdateForwardPoints,GetDataAllocation,CheckAllocatedGroups,GetForexConversion,UpdateForexConversionMonthly"</formula1>
    </dataValidation>
    <dataValidation type="list" allowBlank="1" sqref="H535:K535">
      <formula1>"CreateDoneAwayOrder,GetDataClosing,SelectTradeUnexpiredUnsettled,CashSettlementAtClosingDtSpotPx,VerifyExpiredSettledGrid,GetForexConversion,UpdateForexConversionMonthly,GetForexConversion1,UpdateForexConversionMonthly1,GetForwardPoints,UpdateForwardPoint"&amp;"s,GetForwardPoints1,UpdateForwardPoints1,GetForwardPoints2,UpdateForwardPoints3,UpdateForwardPoints2,GetForwardPoints3,GetForwardPoints4,UpdateForwardPoints4,GetForwardPoints5,UpdateForwardPoints5,GetForwardPoints6,UpdateForwardPoints6,VerifyTradingTransa"&amp;"ction,RunRevaluation,VerifyRevaluationData,GetDataAllocation,CheckAllocatedGroups,GetTradingTransaction"</formula1>
    </dataValidation>
    <dataValidation type="list" allowBlank="1" sqref="F26 F34 F47:F48 F51:F53 F90:F91">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316:K316">
      <formula1>"DisableCheckside,CreateDoneAwayOrder,CheckUnallocatedGroups,CheckAllocatedGroups,Get,GetDataAllocation"</formula1>
    </dataValidation>
    <dataValidation type="list" allowBlank="1" sqref="F786:F788 F797:F799">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EditUnallocatedGridWPF,EditAllocatedGridWPF,,,,,,,,,,,,,,,,,,,,,,,,,,,,,,,,,,,,,,,,,,,,,,,,,,,,,,,,,,,,,,,,,,,,,,,,,,,,,,,,,,,,,,,,,,,,,,,,,,,,,,,,,,,,,,,,,,,,,,,,,,,,,,,,,,,,,,,,,,,,,,,,,,,,,,,,,,,,,,,,,,,,,,,,,,,,,,,,,,,,,,,,,,,,,,,,,,,,,,"&amp;",,,,,,,,,,,,,,,,,,,,,,,,,,,,,,,,,,,,,,,,,,,,,,,,,,,,,,,,,,,,,,,,,,,,,,,,,,,,,,,,,,,,,,,,,,,,,,,,,,,,,,,,,,,,,,,,,,,,,,,,,,,,,,,,,,,,,,,,,,,,,,,,,,,,,,,,,,,,,,,,,,,,,,,,,,,,,,,,,,,,,,,,,,,,"</formula1>
    </dataValidation>
    <dataValidation type="list" allowBlank="1" sqref="H20:K20">
      <formula1>"UpdateServerConfig,CreateStageOrder,Automation"</formula1>
    </dataValidation>
    <dataValidation type="list" allowBlank="1" sqref="F223:F226 F239:F242 F259 F263:F265 F268:F271 F645:F647 F649 F690:F692 F694">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CalculateDayEndCash,CalculateDayEndCash,,,,,,,,,,,,,,,,,,,,,,,,,,,,,,,,,,,,,,,,,,,,,,,,,,,,,,,,,,,,,,,,,,,,,,,,,,,,,,,,,,,,,,,,,,,,,,,,,,,,,,,,,,,,,,,,,,,,,,,,"&amp;",,,,,,,,,,,,,,,,,,,,,,,,,,,,,,,,,,,,,,,,,,,,,,,,,,,,,,,,,,,,,,,,,,,,,,,,,,,,,,,,,,,,,,,,,,,,,,,,,,,,,,,,,,,,,,,,,,,,,,,,,,,,,,,,,,,,,,,,,,,,,,,,,,,,,,,,,,,,,,,,,,,,,,,,,,,,,,,,,,,,,,,,,,,,,,,,,,,,,,,,,,,,,,,,,,,,,,,,,,,,,,,,,,,,,,,,,,,,,,,,,,,,,,,,,,,,,,,"&amp;",,,,,,,,,,,,,,,,,,,,,,,,,,,,,,,,,,,,,,,,,,,,,,,,,,,,,,,,,,,,,,,,,,,,,,"</formula1>
    </dataValidation>
    <dataValidation type="list" allowBlank="1" sqref="H582:K582">
      <formula1>"ShowMasterFundOnTT,UpdateMasterFundOnTT"</formula1>
    </dataValidation>
    <dataValidation type="list" allowBlank="1" sqref="H515:K515">
      <formula1>"CreateDoneAwayOrder,GetDataClosing,SelectTradeUnexpiredUnsettled,CashSettlementAtClosingDtSpotPx,VerifyExpiredSettledGrid,GetForexConversion,UpdateForexConversionMonthly,UpdateForexConversion,GetForexConversion1,UpdateForexConversionMonthly1,GetForwardPoi"&amp;"nts"</formula1>
    </dataValidation>
    <dataValidation type="list" allowBlank="1" sqref="H381:K381">
      <formula1>"ShowMasterFundOnTT,UpdateMasterFundOnTT,CreateStageOrder,TradeNewSubOrder,CreateNewSubOrder,GetDataAllocation,SelectAllocatedGroup,SelectUnallocatedGroup,EnterAccountValuesToAllocate,ReplaceSubOrder,CreateReplaceOrder,CheckAllocatedGroups1,CheckPortfolioM"&amp;"anagement,Allocate,Copy of Data_conflict278741796,Copy of Data 1,VerifyWorkingSubs"</formula1>
    </dataValidation>
    <dataValidation type="list" allowBlank="1" sqref="H500:K500">
      <formula1>"CreateDoneAwayOrder,GetDataClosing,SelectTradeUnexpiredUnsettled,CashSettlementAtClosingDtSpotPx,VerifyExpiredSettledGrid,GetForexConversion,UpdateForexConversionMonthly,GetForexConversion1,VerifyTradingTransaction,UpdateForexConversionMonthly1,GetForward"&amp;"Points,UpdateForwardPoints,GetForwardPoints1,UpdateForwardPoints1,GetForwardPoints2,UpdateForwardPoints2,GetForwardPoints3,UpdateForwardPoints3,GetForwardPoints4,UpdateForwardPoints4,GetForwardPoints5,UpdateForwardPoints5,GetForwardPoints6,UpdateForwardPo"&amp;"ints6,RunRevaluation,VerifyRevaluationData,GetDataAllocation,CheckAllocatedGroups,GetTradingTransaction"</formula1>
    </dataValidation>
    <dataValidation type="list" allowBlank="1" sqref="H370:K370">
      <formula1>"ShowMasterFundOnTT,RestartServer,GetDataAllocation,CheckAllocatedGroups,SelectAllocatedGroup,Unallocate,CheckUnallocatedGroups,EnterAccountValuesToAllocate,Allocate,EditOrder,CreateReplaceOrder,VerifyOrder,CheckAllocatedGroups1,CheckPortfolioManagement,Sh"&amp;"owMasterFund,CreateStageOrder"</formula1>
    </dataValidation>
    <dataValidation type="list" allowBlank="1" sqref="H200:K200">
      <formula1>"CreateDoneAwayOrder,GetForexConversion,UpdateForexConversion,GetDataClosing,SelectTradeUnexpiredUnsettled,CashSettlementAtClosingDtSpotPx,VerifyExpiredSettledGrid,GetDataAllocation,CheckAllocatedGroups,GetTradingTransaction,VerifyTradingTransaction,RunRev"&amp;"aluation,VerifyRevaluationData,UpdateForexConversionMonthly"</formula1>
    </dataValidation>
    <dataValidation type="list" allowBlank="1" sqref="F100">
      <formula1>"CalculatePTT,TradeUsingPTT,StageOrderUsingPTT,CreateOrderPTT,TradePTT,VerifyPTT,OpenMultiTTFromPTT,SelectMultiTT,EditMultiTT,SetAccountFactor,SetPTTPreference,SetLongShortPTTPreference,SelectPTTRecord,EditPTTRecord,,,,,,,,,,,,,,,,,,,,,,,,,,,,,,,,,,,,,,,,,"&amp;",,,,,,,,,,,,,,,,,,,,,,,,,,,,,,,,,,,,,,,,,,,,,,,,,,,,,,,,,,,,,,,,,,,,,,,,,,,,,,,,,,,,,,,,,,,,,,,,,,,,,,,,,,,,,,,,,,,,,,,,,,,,,,,,,,,,,,,,,,,,,,,,,,,,,,,,,,,,,,,,,,,,,,,,,,,,,,,,,,,,,,,,,,,,,,,,,,,,,,,,,,,,,,,,,,,,,,,,,,,,,,,,,,,,,,,,,,,,,,,,,,,,,,,,,,,,,,,"&amp;",,,,,,,,,,,,,,,,,,,,,,,,,,,,,,,,,,,,,,,,,,,,,,,,,,,,,,,,,,,,,,,,,,,,,,,,,,,,,,,,,,,,,,,,,,,,,,,,,,,,,,,,,,,,,,,,,,,,,,,,,,,,,,,,,,,,,,,,,,,,,,,,,,,,,,,,,,,,,,,,,,,,,,,,,,,,,,,,,,,,,,,,,,,"</formula1>
    </dataValidation>
    <dataValidation type="list" allowBlank="1" sqref="H759:K759">
      <formula1>"CreateLiveOrder,VerifyOrder,AcknowledgeTrade,ExecuteTrade,CheckAllocatedGroups,GetDataAllocation,GetDataClosing,VerifyLongPositionsGrid,VerifyShortPositionsGrid"</formula1>
    </dataValidation>
    <dataValidation type="list" allowBlank="1" sqref="H502:K502">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GetForwardPoints2,UpdateForwardPoints2,GetForwardPoints3,UpdateForwardPoints3,GetForwardPoints4,UpdateForwardPoints4,GetForwardP"&amp;"oints5,UpdateForwardPoints5,GetForwardPoints6,UpdateForwardPoints6,RunRevaluation"</formula1>
    </dataValidation>
    <dataValidation type="list" allowBlank="1" sqref="H602:K610">
      <formula1>"GetForexConversion,UpdateForexConversionMonthly,CreateDoneAwayOrder,GetForexConversion1,UpdateForexConversionMonthly1,GetForwardPoints,UpdateForwardPoints"</formula1>
    </dataValidation>
    <dataValidation type="list" allowBlank="1" sqref="H162:K162">
      <formula1>"OpenTTFromPST"</formula1>
    </dataValidation>
    <dataValidation type="list" allowBlank="1" sqref="F250:F251">
      <formula1>"CorporateAction,CleanUp,CashDividend,Exchange,Merger,NameChange,SpinOff,Split,StockDividend,OpenSpinOff,SpinOff,VerifySpinOffGrid,,,,,,,,,,,,,,,,,,,,,,,,,,,,,,,,,,,,,,,,,,,,,,,,,,,,,,,,,,,,,,,,,,,,,,,,,,,,,,,,,,,,,,,,,,,,,,,,,,,,,,,,,,,,,,,,,,,,,,,,,,,,,,"&amp;",,,,,,,,,,,,,,,,,,,,,,,,,,,,,,,,,,,,,,,,,,,,,,,,,,,,,,,,,,,,,,,,,,,,,,,,,,,,,,,,,,,,,,,,,,,,,,,,,,,,,,,,,,,,,,,,,,,,,,,,,,,,,,,,,,,,,,,,,,,,,,,,,,,,,,,,,,,,,,,,,,,,,,,,,,,,,,,,,,,,,,,,,,,,,,,,,,,,,,,,,,,,,,,,,,,,,,,,,,,,,,,,,,,,,,,,,,,,,,,,,,,,,,,,,,,,,,,"&amp;",,,,,,,,,,,,,,,,,,,,,,,,,,,,,,,,,,,,,,,,,,,,,,,,,,,,,,,,,,,,,,,,,,,,,,,,,,,,,,,,,,,,,,,,,,,,,,,,,,,,,,,,"</formula1>
    </dataValidation>
    <dataValidation type="list" allowBlank="1" sqref="H668:K668">
      <formula1>"ShowMasterFundOnTT,RestartClient,UpdateMasterFundOnTT,CreateStageOrder"</formula1>
    </dataValidation>
    <dataValidation type="list" allowBlank="1" sqref="H715:K715">
      <formula1>"ThirdPartyGenerate"</formula1>
    </dataValidation>
    <dataValidation type="list" allowBlank="1" sqref="H75:K75">
      <formula1>"CreateDoneAwayOrder,VerifyThirdPartyView,ViewThirdParty"</formula1>
    </dataValidation>
    <dataValidation type="list" allowBlank="1" sqref="F361">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amp;",,,,,,,,,,,,,,,,,,,,,,,,,,,,,,,,,,,,,,,,,,,,,,,,,,,,,,,,,,,,,,,,,,,,,,,,,,,,,,,,,,,,,,,,,,,,,,,,,,,,,,,,,,,,,,,,,,,,,,,,,,,,,,,,,,,,,,,,,,,,,,,,,,,,,,,,,,,,,,,,,,,,,,,,,,,,,,,,,,,,,,,,,,,,,,,,,,,,,,,,,,,,,,,,,,,,,,,,,,,,,,,,,,,,,,,,,,,,,,,,,,,,,,,,,,,,,,,"&amp;","</formula1>
    </dataValidation>
    <dataValidation type="list" allowBlank="1" sqref="F572:F574 F576 F578:F579">
      <formula1>"DeleteClientData,,,,,,,,,,,,,,,,,,,,,,,,,,,,,,,,,,,,,,,,,,,,,,,,,,,,,,,,,,,,,,,,,,,,,,,,,,,,,,,,,,,,,,,,,,,,,,,,,,,,,,,,,,,,,,,,,,,,,,,,,,,,,,,,,,,,,,,,,,,,,,,,,,,,,,,,,,,,,,,,,,,,,,,,,,,,,,,,,,,,,,,,,,,,,,,,,,,,,,,,,,,,,,,,,,,,,,,,,,,,,,,,,,,,,,,,,,,,,,,"&amp;",,,,,,,,,,,,,,,,,,,,,,,,,,,,,,,,,,,,,,,,,,,,,,,,,,,,,,,,,,,,,,,,,,,,,,,,,,,,,,,,,,,,,,,,,,,,,,,,,,,,,,,,,,,,,,,,,,,,,,,,,,,,,,,,,,,,,,,,,,,,,,,,,,,,,,,,,,,,,,,,,,,,,,,,,,,,,,,,,,,,,,,,,,,,,,,,,,,,,,,,,,,,,,,,,,,,,,,,,,,,,,,,,,,,,,,,,,,,,,,,,,,,,,,,,,,,,,,"&amp;",,"</formula1>
    </dataValidation>
    <dataValidation type="list" allowBlank="1" sqref="H507:K507">
      <formula1>"ApplyPrefetchFilters"</formula1>
    </dataValidation>
    <dataValidation type="list" allowBlank="1" sqref="F83:F84 F383 F411 F428 F703 F705">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84:K84">
      <formula1>"CreateDoneAwayOrder,FilterPM,CheckPortfolioManagement,CheckDashboardPM"</formula1>
    </dataValidation>
    <dataValidation type="list" allowBlank="1" sqref="H411:K411">
      <formula1>"ShowMasterFundOnTT,ShowMasterFund,CreateDoneAwayOrder,GetDataAllocation,CheckUnallocatedGroups,SelectUnallocatedGroup,EnterAccountValuesToAllocate,Allocate,CheckAllocatedGroups,CheckPortfolioManagement"</formula1>
    </dataValidation>
    <dataValidation type="list" allowBlank="1" sqref="H412:K412">
      <formula1>"ShowMasterFundOnTT,ShowMasterFund,CreateDoneAwayOrder,GetDataAllocation,CheckUnallocatedGroups,SelectUnallocatedGroup,EnterAccountValuesToAllocate,Allocate,CheckAllocatedGroups,CheckPortfolioManagement,VerifyWorkingSubs"</formula1>
    </dataValidation>
    <dataValidation type="list" allowBlank="1" sqref="H709:K709">
      <formula1>"CreateDoneAwayOrder,ViewThirdParty,GenerateThirdParty,SendThirdParty,ThirdPartySend"</formula1>
    </dataValidation>
    <dataValidation type="list" allowBlank="1" sqref="H94:K94">
      <formula1>"VerifyViewAllocationDetails"</formula1>
    </dataValidation>
    <dataValidation type="list" allowBlank="1" sqref="H713:K713">
      <formula1>"CreateDoneAwayOrder,ThirdPartyGenerate"</formula1>
    </dataValidation>
    <dataValidation type="list" allowBlank="1" sqref="H703:K703">
      <formula1>"CreateDoneAwayOrder,GetDataAllocation,SelectAllocatedGroup,BookOrUpdateSwap,ClosePositionFromPM"</formula1>
    </dataValidation>
    <dataValidation type="list" allowBlank="1" sqref="H754:K754">
      <formula1>"CreateLiveOrder,VerifyOrder,AcknowledgeTrade,ExecuteTrade,CheckAllocatedGroups,GetDataAllocation,GetDataClosing,VerifyLongPositionsGrid,VerifyShortPositionsGrid,AutomaticClosing,SelectTrade,SelectTrade2"</formula1>
    </dataValidation>
    <dataValidation type="list" allowBlank="1" sqref="H155:K155">
      <formula1>"SpinOff"</formula1>
    </dataValidation>
    <dataValidation type="list" allowBlank="1" sqref="H735:K735">
      <formula1>"CreateLiveOrder,SelectTrade,ExecuteTrade,AcknowledgeTrade,VerifyOrder,SelectTradeOnOrderGrid,VerifySubOrder,VerifyWorkingSubs,SelectTradeOnOrderGrid1,VerifySubOrder1,VerifyWorkingSubs1,RejectTrade,SelectTradeOnOrderGrid2,VerifySubOrder2,VerifyWorkingSubs2"</formula1>
    </dataValidation>
    <dataValidation type="list" allowBlank="1" sqref="H224:K224 H452:K452 H646">
      <formula1>"CreateDoneAwayOrder,GetForexConversion,UpdateForexConversionMonthly,GetDataClosing,SelectTradeUnexpiredUnsettled,CashSettlementAtClosingDtSpotPx,VerifyExpiredSettledGrid,GetDataAllocation,CheckAllocatedGroups,GetTradingTransaction,VerifyTradingTransaction"</formula1>
    </dataValidation>
    <dataValidation type="list" allowBlank="1" sqref="H766:K766 H769:K769">
      <formula1>"ShowMasterFundOnTT,UpdateMasterFundOnTT,CreateStageOrder,VerifyOrder,TradeNewSubOrder,AddFillsSubOrder,EditAddFillsDetails,VerifySubOrder"</formula1>
    </dataValidation>
    <dataValidation type="list" allowBlank="1" sqref="H146:K146">
      <formula1>"CleanUp"</formula1>
    </dataValidation>
    <dataValidation type="list" allowBlank="1" sqref="H583:K583 H767:K767">
      <formula1>"ShowMasterFundOnTT,UpdateMasterFundOnTT,CreateStageOrder"</formula1>
    </dataValidation>
    <dataValidation type="list" allowBlank="1" sqref="H720:K720 H746:K746">
      <formula1>"CreateLiveOrder"</formula1>
    </dataValidation>
    <dataValidation type="list" allowBlank="1" sqref="H201:K201 H233:K233 H684">
      <formula1>"CreateDoneAwayOrder,GetForexConversion,UpdateForexConversion,GetDataClosing"</formula1>
    </dataValidation>
    <dataValidation type="list" allowBlank="1" sqref="H216:K216 H444:K444 H460:K460 H544:K546 H638">
      <formula1>"CreateDoneAwayOrder,GetForexConversion,UpdateForexConversionMonthly"</formula1>
    </dataValidation>
    <dataValidation type="list" allowBlank="1" sqref="H832:K833">
      <formula1>"CreateDoneAwayOrder,GetDataClosing,SelectTradeUnexpiredUnsettled,ExerciseAssignment,ViewThirdParty,ThirdPartyGenerate,VerifyThirdPartyGenerate,UnwindClosing,VerifyThirdPartyView"</formula1>
    </dataValidation>
    <dataValidation type="list" allowBlank="1" sqref="F839:F840 H840 F843:F844">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EditUnallocatedGridWPF,EditAllocatedGridWPF,EditAllocatedGridTaxlot,ExpandCollapseAllocatedGrid,ExpandCollapseUnallocatedGrid,,,,,,,,,,,,,,,,,,,,,,,,,,,,,,,,,,,,,,,,,,,,,,,,,,,,,,,,,,,,,,,,,,,,,,,,,,,,,,,,,,,,,,,,,,,,,,,,,,,,,,,,,,,,,,,,,,,,"&amp;",,,,,,,,,,,,,,,,,,,,,,,,,,,,,,,,,,,,,,,,,,,,,,,,,,,,,,,,,,,,,,,,,,,,,,,,,,,,,,,,,,,,,,,,,,,,,,,,,,,,,,,,,,,,,,,,,,,,,,,,,,,,,,,,,,,,,,,,,,,,,,,,,,,,,,,,,,,,,,,,,,,,,,,,,,,,,,,,,,,,,,,,,,,,,,,,,,,,,,,,,,,,,,,,,,,,,,,,,,,,,,,,,,,,,,,,,,,,,,,,,,,,,,,,,,,,,,,"&amp;",,,,,,,,,,,,"</formula1>
    </dataValidation>
    <dataValidation type="list" allowBlank="1" sqref="H747:K747">
      <formula1>"CreateLiveOrder,VerifyOrder"</formula1>
    </dataValidation>
    <dataValidation type="list" allowBlank="1" sqref="H803:K803">
      <formula1>"CreateDoneAwayOrder,ViewThirdParty,ThirdPartySend,Copy of Data,ThirdPartyGenerate,VerifyThirdPartyGenerate,GetDataAllocation,SelectAllocatedGroup,Unallocate,VerifyThirdPartyView,VerifyThirdPartySend"</formula1>
    </dataValidation>
    <dataValidation type="list" allowBlank="1" sqref="H567:K567">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1,GetDataClosing,SelectTradeUnexpiredUnsettled,CashSettlementAtClosingDt"&amp;"SpotPx,VerifyExpiredSettledGrid,GetDataAllocation,GetTradingTransaction"</formula1>
    </dataValidation>
    <dataValidation type="list" allowBlank="1" sqref="H422:K422">
      <formula1>"ShowMasterFundAsClient,ShowMasterFundOnTT,UpdateMasterFundOnTT,CreateDoneAwayOrder,SelectUnallocatedGroup,EnterAccountValuesToAllocate,GetDataAllocation,CheckAllocatedGroups,VerifyWorkingSubs,CheckPortfolioManagement"</formula1>
    </dataValidation>
    <dataValidation type="list" allowBlank="1" sqref="H566:K566">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1,GetDataClosing,SelectTradeUnexpiredUnsettled,CashSettlementAtClosingDt"&amp;"SpotPx,VerifyExpiredSettledGrid,GetDataAllocation,GetTradingTransaction,CheckAllocatedGroups"</formula1>
    </dataValidation>
    <dataValidation type="list" allowBlank="1" sqref="H194:K194">
      <formula1>"CreateDoneAwayOrder,GetForexConversion,UpdateForexConversionMonthly,UpdateForwardPoints,GetDataClosing,SelectTradeUnexpiredUnsettled,CashSettlementAtClosingDtSpotPx,GetDataAllocation,CheckAllocatedGroups,GetTradingTransaction,VerifyTradingTransaction"</formula1>
    </dataValidation>
    <dataValidation type="list" allowBlank="1" sqref="H534:K534">
      <formula1>"CreateDoneAwayOrder,GetDataClosing,SelectTradeUnexpiredUnsettled,CashSettlementAtClosingDtSpotPx,VerifyExpiredSettledGrid,GetForexConversion,UpdateForexConversionMonthly,GetForexConversion1,UpdateForexConversionMonthly1,GetForwardPoints,UpdateForwardPoint"&amp;"s,GetForwardPoints1,UpdateForwardPoints1,GetForwardPoints2,UpdateForwardPoints3,UpdateForwardPoints2,GetForwardPoints3,GetForwardPoints4,UpdateForwardPoints4,GetForwardPoints5,UpdateForwardPoints5,GetForwardPoints6,UpdateForwardPoints6,VerifyTradingTransa"&amp;"ction,RunRevaluation,VerifyRevaluationData,GetDataAllocation,CheckAllocatedGroups"</formula1>
    </dataValidation>
    <dataValidation type="list" allowBlank="1" sqref="H724:K724">
      <formula1>"CreateLiveOrder,SelectTrade,ExecuteTrade,AcknowledgeTrade,VerifyOrder,SelectTradeOnOrderGrid,VerifySubOrder"</formula1>
    </dataValidation>
    <dataValidation type="list" allowBlank="1" sqref="H823:K823">
      <formula1>"CreateDoneAwayOrder,GetDataClosing,AutomaticClosing,ViewThirdParty,GenerateThirdParty,VerifyThirdPartyGenerate,UnwindClosing,VerifyThirdPartyView,ThirdPartySend"</formula1>
    </dataValidation>
    <dataValidation type="list" allowBlank="1" sqref="F37">
      <formula1>"GenerateThirdParty,SendThirdParty,ViewThirdParty,SelectThirdPartyName,VerifyThirdPartyData,ThirdPartyWork,Automation,ThirdPartyManagerFunction,OpeningManager,SelectFromThirdPartyGrid,SelectThirdPartyJob,GenerateAllThirdPartyData,SendAllThirdPartyData,Veri"&amp;"fyThirdPartyView,,,,,,,,,,,,,,,,,,,,,,,,,,,,,,,,,,,,,,,,,,,,,,,,,,,,,,,,,,,,,,,,,,,,,,,,,,,,,,,,,,,,,,,,,,,,,,,,,,,,,,,,,,,,,,,,,,,,,,,,,,,,,,,,,,,,,,,,,,,,,,,,,,,,,,,,,,,,,,,,,,,,,,,,,,,,,,,,,,,,,,,,,,,,,,,,,,,,,,,,,,,,,,,,,,,,,,,,,,,,,,,,,,,,,,,,,,,,,,,"&amp;",,,,,,,,,,,,,,,,,,,,,,,,,,,,,,,,,,,,,,,,,,,,,,,,,,,,,,,,,,,,,,,,,,,,,,,,,,,,,,,,,,,,,,,,,,,,,,,,,,,,,,,,,,,,,,,,,,,,,,,,,,,,,,,,,,,,,,,,,,,,,,,,,,,,,,,,,,,,,,,,,,,,,,,,,,,,,,,,,,,,,,,,,,,,,,,,,,,,,,,,,,,,,,,,,,,,,,,,,,,,,,,,,,,,,,,,,,,,,,,,,,,,"</formula1>
    </dataValidation>
    <dataValidation type="list" allowBlank="1" sqref="H61:K61">
      <formula1>"ClosingCleanUp,CleanUp,CreateDoneAwayOrder,Copy of Data,GetDataClosing,VerifyLongPositionsGrid,SelectTradeUnexpiredUnsettled,Expire"</formula1>
    </dataValidation>
    <dataValidation type="list" allowBlank="1" sqref="H564:K564">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formula1>
    </dataValidation>
    <dataValidation type="list" allowBlank="1" sqref="H818:K818">
      <formula1>"CreateDoneAwayOrder,GetDataClosing,AutomaticClosing,ViewThirdParty,GenerateThirdParty,VerifyThirdPartyData,VerifyThirdPartyGenerate"</formula1>
    </dataValidation>
    <dataValidation type="list" allowBlank="1" sqref="F28">
      <formula1>"GenerateThirdParty,SendThirdParty,ViewThirdParty,SelectThirdPartyName,VerifyThirdPartyData,ThirdPartyWork,Automation,ThirdPartyWork,OpeningManager,ThirdPartyManagerFunction,SelectFromThirdPartyGrid,,,,,,,,,,,,,,,,,,,,,,,,,,,,,,,,,,,,,,,,,,,,,,,,,,,,,,,,,,"&amp;",,,,,,,,,,,,,,,,,,,,,,,,,,,,,,,,,,,,,,,,,,,,,,,,,,,,,,,,,,,,,,,,,,,,,,,,,,,,,,,,,,,,,,,,,,,,,,,,,,,,,,,,,,,,,,,,,,,,,,,,,,,,,,,,,,,,,,,,,,,,,,,,,,,,,,,,,,,,,,,,,,,,,,,,,,,,,,,,,,,,,,,,,,,,,,,,,,,,,,,,,,,,,,,,,,,,,,,,,,,,,,,,,,,,,,,,,,,,,,,,,,,,,,,,,,,,,,,"&amp;",,,,,,,,,,,,,,,,,,,,,,,,,,,,,,,,,,,,,,,,,,,,,,,,,,,,,,,,,,,,,,,,,,,,,,,,,,,,,,,,,,,,,,,,,,,,,,,,,,,,,,,,,,,,,,,,,,,,,,,,,,,,,,,,,,,,,,,,,,,,,,,,,,,,,,,,,,,,,,,,,,,,,,,,,,,,,"</formula1>
    </dataValidation>
    <dataValidation type="list" allowBlank="1" sqref="H51:K51">
      <formula1>"SetManualResponse,CreateLiveOrder,SelectTrade,ExecuteTrade,VerifyWorkingSubs"</formula1>
    </dataValidation>
    <dataValidation type="list" allowBlank="1" sqref="H57:K57">
      <formula1>"ClosingCleanUp,CleanUp,CreateDoneAwayOrder"</formula1>
    </dataValidation>
    <dataValidation type="list" allowBlank="1" sqref="H298:K298 H300:K300">
      <formula1>"GetNonTradingTransaction,AddNonTradingTransaction,CreateDoneAwayOrder,GetAccountBalance,GetActivityData,VerifyActivity,GetMarkPriceData,UpdateMarkPrice,GetDayEndCash"</formula1>
    </dataValidation>
    <dataValidation type="list" allowBlank="1" sqref="H667:K667">
      <formula1>"ShowMasterFundOnTT,RestartClient,UpdateMasterFundOnTT"</formula1>
    </dataValidation>
    <dataValidation type="list" allowBlank="1" sqref="H205:K205 H237:K237 H688">
      <formula1>"CreateDoneAwayOrder,GetForexConversion,UpdateForexConversion,GetDataClosing,SelectTradeUnexpiredUnsettled,CashSettlementAtClosingDtSpotPx,VerifyExpiredSettledGrid,GetDataAllocation"</formula1>
    </dataValidation>
    <dataValidation type="list" allowBlank="1" sqref="H467:K467">
      <formula1>"CreateDoneAwayOrder,GetForexConversion,UpdateForexConversionMonthly,SelectTradeUnexpiredUnsettled,GetDataClosing,CashSettlementAtClosingDtSpotPx,VerifyExpiredSettledGrid,GetDataAllocation,CheckAllocatedGroups,GetTradingTransaction"</formula1>
    </dataValidation>
    <dataValidation type="list" allowBlank="1" sqref="F149:F150 F152 F155 F157:F158">
      <formula1>"CorporateAction,CleanUp,CashDividend,Exchange,Merger,NameChange,SpinOff,Split,StockDividend,OpenSpinOff,,,,,,,,,,,,,,,,,,,,,,,,,,,,,,,,,,,,,,,,,,,,,,,,,,,,,,,,,,,,,,,,,,,,,,,,,,,,,,,,,,,,,,,,,,,,,,,,,,,,,,,,,,,,,,,,,,,,,,,,,,,,,,,,,,,,,,,,,,,,,,,,,,,,,,,,"&amp;",,,,,,,,,,,,,,,,,,,,,,,,,,,,,,,,,,,,,,,,,,,,,,,,,,,,,,,,,,,,,,,,,,,,,,,,,,,,,,,,,,,,,,,,,,,,,,,,,,,,,,,,,,,,,,,,,,,,,,,,,,,,,,,,,,,,,,,,,,,,,,,,,,,,,,,,,,,,,,,,,,,,,,,,,,,,,,,,,,,,,,,,,,,,,,,,,,,,,,,,,,,,,,,,,,,,,,,,,,,,,,,,,,,,,,,,,,,,,,,,,,,,,,,,,,,,,,,"&amp;",,,,,,,,,,,,,,,,,,,,,,,,,,,,,,,,,,,,,,,,,,,,,,,,,,,,,,,,,,,,,,,,,,,,,,,,,,,,,,,,"</formula1>
    </dataValidation>
    <dataValidation type="list" allowBlank="1" sqref="H511:K511">
      <formula1>"CreateDoneAwayOrder,GetDataClosing,SelectTradeUnexpiredUnsettled,CashSettlementAtClosingDtSpotPx,VerifyExpiredSettledGrid,GetForexConversion"</formula1>
    </dataValidation>
    <dataValidation type="list" allowBlank="1" sqref="H622:K622">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Data,GetDataClosing,UpdateForwardPoints6,CashSettlementAtClosingDtSpotPx,VerifyExpiredSettledGrid,SelectTradeUnexpiredUnsettled,GetDataAllocation,CheckAllocatedGroups,GetTradingTransactio"&amp;"n,VerifyTradingTransaction"</formula1>
    </dataValidation>
    <dataValidation type="list" allowBlank="1" sqref="H831:K831">
      <formula1>"CreateDoneAwayOrder,GetDataClosing,SelectTradeUnexpiredUnsettled,ExerciseAssignment,ViewThirdParty,ThirdPartyGenerate,VerifyThirdPartyGenerate,UnwindClosing"</formula1>
    </dataValidation>
    <dataValidation type="list" allowBlank="1" sqref="H50:K50">
      <formula1>"SetManualResponse,CreateLiveOrder,SelectTrade,ExecuteTrade"</formula1>
    </dataValidation>
    <dataValidation type="list" allowBlank="1" sqref="H143:K144">
      <formula1>"SpinOff,CorporateAction"</formula1>
    </dataValidation>
    <dataValidation type="list" allowBlank="1" sqref="H402:K402">
      <formula1>"ShowMasterFundOnTT,UpdateMasterFundOnTT,CreateDoneAwayOrder,GetDataAllocation,SelectUnallocatedGroup,EnterAccountValuesToAllocate,CheckAllocatedGroups,CheckPortfolioManagement,VerifyWorkingSubs"</formula1>
    </dataValidation>
    <dataValidation type="list" allowBlank="1" sqref="H306:K306">
      <formula1>"dis,Copy of Data_conflict610844545,Copy of Data 1,SetCheckSide,DisableChecksideForAsset,DisableChecksideForAccount"</formula1>
    </dataValidation>
    <dataValidation type="list" allowBlank="1" sqref="H786:K786">
      <formula1>"CreateDoneAwayOrder,viw,view,ViewThirdParty,ThirdPartyGenerate,VerifyThirdPartyGenerate,GetDataAllocation"</formula1>
    </dataValidation>
    <dataValidation type="list" allowBlank="1" sqref="F7:F8 F25 F33">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406:K406">
      <formula1>"ShowMasterFundOnTT,ShowMasterFund,CreateDoneAwayOrder,GetDataAllocation"</formula1>
    </dataValidation>
    <dataValidation type="list" allowBlank="1" sqref="H15:K15">
      <formula1>"OpenThirdParty,ThirdPartyWork,Copy of Data,OpeningManager"</formula1>
    </dataValidation>
    <dataValidation type="list" allowBlank="1" sqref="H343:K343">
      <formula1>"CreateDoneAwayOrder,CheckAllocatedGroups,Allocate,GetDataClosing,GetDataCash,Copy of Data,GetDataAllocation,Ver,VerifyWorkingSubs"</formula1>
    </dataValidation>
    <dataValidation type="list" allowBlank="1" sqref="H568:K568">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1,GetDataClosing,SelectTradeUnexpiredUnsettled,CashSettlementAtClosingDt"&amp;"SpotPx,VerifyExpiredSettledGrid,GetDataAllocation,GetTradingTransaction,CheckAllocatedGroups,VerifyTradingTransaction"</formula1>
    </dataValidation>
    <dataValidation type="list" allowBlank="1" sqref="F143:F144 F146">
      <formula1>"CorporateAction,CleanUp,CashDividend,Exchange,Merger,NameChange,SpinOff,Split,StockDividend,,,,,,,,,,,,,,,,,,,,,,,,,,,,,,,,,,,,,,,,,,,,,,,,,,,,,,,,,,,,,,,,,,,,,,,,,,,,,,,,,,,,,,,,,,,,,,,,,,,,,,,,,,,,,,,,,,,,,,,,,,,,,,,,,,,,,,,,,,,,,,,,,,,,,,,,,,,,,,,,,,,,"&amp;",,,,,,,,,,,,,,,,,,,,,,,,,,,,,,,,,,,,,,,,,,,,,,,,,,,,,,,,,,,,,,,,,,,,,,,,,,,,,,,,,,,,,,,,,,,,,,,,,,,,,,,,,,,,,,,,,,,,,,,,,,,,,,,,,,,,,,,,,,,,,,,,,,,,,,,,,,,,,,,,,,,,,,,,,,,,,,,,,,,,,,,,,,,,,,,,,,,,,,,,,,,,,,,,,,,,,,,,,,,,,,,,,,,,,,,,,,,,,,,,,,,,,,,,,,,,,,,"&amp;",,,,,,,,,,,,,,,,,,,,,,,,,,,,,,,,,,,,,,,,,,,,,,,,,,,,,,,,,,,,,,,,,,,,,"</formula1>
    </dataValidation>
    <dataValidation type="list" allowBlank="1" sqref="H723:K723">
      <formula1>"CreateLiveOrder,SelectTrade,ExecuteTrade,AcknowledgeTrade,VerifyOrder,se,Copy of Data,SelectTradeOnOrderGrid"</formula1>
    </dataValidation>
    <dataValidation type="list" allowBlank="1" sqref="H569:K569">
      <formula1>"CreateDoneAwayOrder,GetForexConversion,UpdateForexConversionMonthly,GetForexConversion1,UpdateForexConversionMonthly1,GetForwardPoints,UpdateForwardPoints,GetForwardPoints1,UpdateForwardPoints1,UpdateForwardPoints2,GetForwardPoints2,GetForwardPoints3,Upda"&amp;"teForwardPoints3,GetForwardPoints4,UpdateForwardPoints4,ShowMasterFundOnTT,Copy of Data,GetForwardPoints5,UpdateForwardPoints5,GetForwardPoints6,UpdateForwardPoints6,get,Copy of Data 1,GetDataClosing,SelectTradeUnexpiredUnsettled,CashSettlementAtClosingDt"&amp;"SpotPx,VerifyExpiredSettledGrid,GetDataAllocation,GetTradingTransaction,CheckAllocatedGroups,VerifyTradingTransaction,RunRevaluation"</formula1>
    </dataValidation>
    <dataValidation type="list" allowBlank="1" sqref="F11">
      <formula1>"GenerateThirdParty,SendThirdParty,ViewThirdParty,SelectThirdPartyName,VerifyThirdPartyData,OpeningManager,,,,,,,,,,,,,,,,,,,,,,,,,,,,,,,,,,,,,,,,,,,,,,,,,,,,,,,,,,,,,,,,,,,,,,,,,,,,,,,,,,,,,,,,,,,,,,,,,,,,,,,,,,,,,,,,,,,,,,,,,,,,,,,,,,,,,,,,,,,,,,,,,,,,,,"&amp;",,,,,,,,,,,,,,,,,,,,,,,,,,,,,,,,,,,,,,,,,,,,,,,,,,,,,,,,,,,,,,,,,,,,,,,,,,,,,,,,,,,,,,,,,,,,,,,,,,,,,,,,,,,,,,,,,,,,,,,,,,,,,,,,,,,,,,,,,,,,,,,,,,,,,,,,,,,,,,,,,,,,,,,,,,,,,,,,,,,,,,,,,,,,,,,,,,,,,,,,,,,,,,,,,,,,,,,,,,,,,,,,,,,,,,,,,,,,,,,,,,,,,,,,,,,,,,,"&amp;",,,,,,,,,,,,,,,,,,,,,,,,,,,,,,,,,,,,,,,,,,,,,,,,,,,,,,,,,,,,,,,,,,,,,,,,,,,,,,,,,,,,,,"</formula1>
    </dataValidation>
    <dataValidation type="list" allowBlank="1" sqref="H176:K177">
      <formula1>"CreateDoneAwayOrder,CheckBlotter,GetForexConversion,UpdateForexConversion,GetDataAllocation,CheckAllocatedGroups,GetDataClosing,SelectTradeUnexpiredUnsettled,CashSettlementAtClosingDtSpotPx,VerifyExpiredSettledGrid"</formula1>
    </dataValidation>
    <dataValidation type="list" allowBlank="1" sqref="F134 F368 F391 F403 F419 F433 F581 F666 F765">
      <formula1>"RestartClient,UpdateClientConfig,,,,,,,,,,,,,,,,,,,,,,,,,,,,,,,,,,,,,,,,,,,,,,,,,,,,,,,,,,,,,,,,,,,,,,,,,,,,,,,,,,,,,,,,,,,,,,,,,,,,,,,,,,,,,,,,,,,,,,,,,,,,,,,,,,,,,,,,,,,,,,,,,,,,,,,,,,,,,,,,,,,,,,,,,,,,,,,,,,,,,,,,,,,,,,,,,,,,,,,,,,,,,,,,,,,,,,,,,,,,,,,"&amp;",,,,,,,,,,,,,,,,,,,,,,,,,,,,,,,,,,,,,,,,,,,,,,,,,,,,,,,,,,,,,,,,,,,,,,,,,,,,,,,,,,,,,,,,,,,,,,,,,,,,,,,,,,,,,,,,,,,,,,,,,,,,,,,,,,,,,,,,,,,,,,,,,,,,,,,,,,,,,,,,,,,,,,,,,,,,,,,,,,,,,,,,,,,,,,,,,,,,,,,,,,,,,,,,,,,,,,,,,,,,,,,,,,,,,,,,,,,,,,,,,,,,,,,,,,,,,,,"&amp;",,,,,,,,,,,,,,,,,"</formula1>
    </dataValidation>
    <dataValidation type="list" allowBlank="1" sqref="H700:K700">
      <formula1>"CreateDoneAwayOrder,GetDataAllocation"</formula1>
    </dataValidation>
    <dataValidation type="list" allowBlank="1" sqref="H751:K751">
      <formula1>"CreateLiveOrder,VerifyOrder,AcknowledgeTrade,ExecuteTrade,CheckAllocatedGroups,GetDataAllocation"</formula1>
    </dataValidation>
    <dataValidation type="list" allowBlank="1" sqref="H498:K498">
      <formula1>"CreateDoneAwayOrder,GetDataClosing,SelectTradeUnexpiredUnsettled,CashSettlementAtClosingDtSpotPx,VerifyExpiredSettledGrid,GetForexConversion,UpdateForexConversionMonthly,GetForexConversion1,VerifyTradingTransaction,UpdateForexConversionMonthly1,GetForward"&amp;"Points,UpdateForwardPoints,GetForwardPoints1,UpdateForwardPoints1,GetForwardPoints2,UpdateForwardPoints2,GetForwardPoints3,UpdateForwardPoints3,GetForwardPoints4,UpdateForwardPoints4,GetForwardPoints5,UpdateForwardPoints5,GetForwardPoints6,UpdateForwardPo"&amp;"ints6,RunRevaluation,VerifyRevaluationData,GetDataAllocation"</formula1>
    </dataValidation>
    <dataValidation type="list" allowBlank="1" sqref="H632:K632">
      <formula1>"ShowMasterFundOnTT,UpdateMasterFundOnTT,CreateStageOrder,VerifyOrder,TradeNewSubOrder,CreateNewSubOrder,GetDataAllocation,CheckUnallocatedGroups,Unallocate"</formula1>
    </dataValidation>
    <dataValidation type="list" allowBlank="1" sqref="H76:K76 H718:K719">
      <formula1>"CreateDoneAwayOrder,ViewThirdParty,VerifyThirdPartyView"</formula1>
    </dataValidation>
    <dataValidation type="list" allowBlank="1" sqref="H838:K838">
      <formula1>"CreateDoneAwayOrder,ViewThirdParty,ThirdPartyGenerate,VerifyThirdPartyGenerate"</formula1>
    </dataValidation>
    <dataValidation type="list" allowBlank="1" sqref="H27:K27">
      <formula1>"SelectThirdPartyJob,Copy of Data,Copy of Data 1,Copy of Data 2"</formula1>
    </dataValidation>
    <dataValidation type="list" allowBlank="1" sqref="H112:K112">
      <formula1>"CreateDoneAwayOrder,SelectAllocatedGroup,EditAllocatedGrid,CheckAllocatedGroups"</formula1>
    </dataValidation>
    <dataValidation type="list" allowBlank="1" sqref="H397:K397">
      <formula1>"ShowMasterFundOnTT,ShowMasterFund,CreateStageOrder,VerifyOrder,TradeNewSubOrder,CreateNewSubOrder,GetDataAllocation"</formula1>
    </dataValidation>
    <dataValidation type="list" allowBlank="1" sqref="H209:K209">
      <formula1>"CreateDoneAwayOrder,GetForexConversion,UpdateForexConversion,GetDataClosing,SelectTradeUnexpiredUnsettled,CashSettlementAtClosingDtSpotPx,VerifyExpiredSettledGrid,GetDataAllocation,CheckAllocatedGroups,GetTradingTransaction,VerifyTradingTransaction,RunRev"&amp;"aluation"</formula1>
    </dataValidation>
    <dataValidation type="list" allowBlank="1" sqref="H193:K193">
      <formula1>"CreateDoneAwayOrder,GetForexConversion,UpdateForexConversionMonthly,UpdateForwardPoints,GetDataClosing,SelectTradeUnexpiredUnsettled,CashSettlementAtClosingDtSpotPx,GetDataAllocation,CheckAllocatedGroups,GetTradingTransaction"</formula1>
    </dataValidation>
    <dataValidation type="list" allowBlank="1" sqref="H614:K614">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formula1>
    </dataValidation>
    <dataValidation type="list" allowBlank="1" sqref="H492:K493">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GetForwardPoints2,UpdateForwardPoints2,GetForwardPoints3,UpdateForwardPoints3,GetForwardPoints4,UpdateForwardPoints4,GetForwardP"&amp;"oints5,UpdateForwardPoints5"</formula1>
    </dataValidation>
    <dataValidation type="list" allowBlank="1" sqref="H529 H806:K806 H815:K815 H826:K826">
      <formula1>"CreateDoneAwayOrder,GetDataClosing"</formula1>
    </dataValidation>
    <dataValidation type="list" allowBlank="1" sqref="H309:K309">
      <formula1>"dis,Copy of Data_conflict610844545,Copy of Data 1,SetCheckSide,DisableChecksideForAsset,DisableChecksideForAccount,DisableChecksideForCounterParty,CreateDoneAwayOrder"</formula1>
    </dataValidation>
    <dataValidation type="list" allowBlank="1" sqref="H90:K90">
      <formula1>"CreateDoneAwayOrder,SelectTradeWorkingSubsBlotter"</formula1>
    </dataValidation>
    <dataValidation type="list" allowBlank="1" sqref="H376:K376 I379:K379">
      <formula1>"ShowMasterFundOnTT,UpdateMasterFundOnTT,CreateStageOrder,TradeNewSubOrder,CreateNewSubOrder,GetDataAllocation,SelectAllocatedGroup,SelectUnallocatedGroup,EnterAccountValuesToAllocate,ReplaceSubOrder,CreateReplaceOrder,VerifyWorkingSubs,CheckAllocatedGroup"&amp;"s1,CheckPortfolioManagement,Unallocate,Alloate,Allocate,Copy of Data"</formula1>
    </dataValidation>
    <dataValidation type="list" allowBlank="1" sqref="H380:K380">
      <formula1>"ShowMasterFundOnTT,RestartClient,ShowMasterFund,CreateStageOrder,TradeNewSubOrder,CreateDoneAwayOrder,GetDataAllocation,CheckAllocatedGroups,SelectAllocatedGroup,Unallocate,CheckUnallocatedGroups,EnterAccountValuesToAllocate,Allocate,ReplaceSubOrder,Creat"&amp;"eReplaceOrder,VerifyOrder,CheckAllocatedGroups1,CheckPortfolioManagement,Copy of Data"</formula1>
    </dataValidation>
    <dataValidation type="list" allowBlank="1" sqref="H490:K491">
      <formula1>"CreateDoneAwayOrder,GetDataClosing,SelectTradeUnexpiredUnsettled,CashSettlementAtClosingDtSpotPx,VerifyExpiredSettledGrid,GetDataAllocation,CheckAllocatedGroups,GetForexConversion,UpdateForexConversionMonthly,GetForexConversion1,GetTradingTransaction,Veri"&amp;"fyTradingTransaction,UpdateForexConversionMonthly1,GetForwardPoints,UpdateForwardPoints,GetForwardPoints1,UpdateForwardPoints1,GetForwardPoints2,UpdateForwardPoints2,GetForwardPoints3,UpdateForwardPoints3,GetForwardPoints4,UpdateForwardPoints4"</formula1>
    </dataValidation>
    <dataValidation type="list" allowBlank="1" sqref="H295:K295">
      <formula1>"GetNonTradingTransaction,AddNonTradingTransaction,CreateDoneAwayOrder"</formula1>
    </dataValidation>
    <dataValidation type="list" allowBlank="1" sqref="H705:K705">
      <formula1>"CloseAccountPositionFromPM"</formula1>
    </dataValidation>
    <dataValidation type="list" allowBlank="1" sqref="H821:K821">
      <formula1>"CreateDoneAwayOrder,GetDataClosing,AutomaticClosing,ViewThirdParty,GenerateThirdParty,VerifyThirdPartyGenerate,UnwindClosing,VerifyThirdPartyView"</formula1>
    </dataValidation>
    <dataValidation type="list" allowBlank="1" sqref="H44:K44">
      <formula1>"SetManualResponse,CreateLiveOrder"</formula1>
    </dataValidation>
    <dataValidation type="list" allowBlank="1" sqref="H169:K169">
      <formula1>"CreateDoneAwayOrder,GetForexConversion,UpdateForexConversion,GetDataAllocation,CheckAllocatedGroups,GetDataClosing,SelectTradeUnexpiredUnsettled,CashSettlementAtClosingDtSpotPx,VerifyExpiredSettledGrid,UpdateForexConversionMonthly"</formula1>
    </dataValidation>
    <dataValidation type="list" allowBlank="1" sqref="F221:F222 F237:F238 F246 F643:F644 F688:F689">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amp;",,,,,,,,,,,,,,,,,,,,,,,,,,,,,,,,,,,,,,,,,,,,,,,,,,,,,,,,,,,,,,,,,,,,,,,,,,,,,,,,,,,,,,,,,,,,,,,,,,,,,,,,,,,,,,,,,,,,,,,,,,,,,,,,,,,,,,,,,,,,,,,,,,,,,,,,,,,,,,,,,,,,,,,,,,,,,,,,,,,,,,,,,,,,,,,,,,,,,,,,,,,,,,,,,,"</formula1>
    </dataValidation>
    <dataValidation type="list" allowBlank="1" sqref="H104:K105 H107:K107">
      <formula1>"CreateDoneAwayOrder,EditUnallocatedGrid,CheckUnallocatedGroups,SelectUnallocatedGroup"</formula1>
    </dataValidation>
    <dataValidation type="list" allowBlank="1" sqref="H523:K528">
      <formula1>"CreateDoneAwayOrder,GetDataClosing,SelectTradeUnexpiredUnsettled,CashSettlementAtClosingDtSpotPx,VerifyExpiredSettledGrid,GetForexConversion,UpdateForexConversionMonthly,UpdateForexConversion,GetForexConversion1,UpdateForexConversionMonthly1,GetForwardPoi"&amp;"nts,UpdateForwardPoints,GetForwardPoints1,UpdateForwardPoints1,GetForwardPoints2,UpdateForwardPoints2,UpdateForwardPoints3,GetForwardPoints3"</formula1>
    </dataValidation>
    <dataValidation type="list" allowBlank="1" sqref="H761:K761">
      <formula1>"CreateLiveOrder,VerifyOrder,AcknowledgeTrade,ExecuteTrade,CheckAllocatedGroups,GetDataAllocation,GetDataClosing,VerifyLongPositionsGrid,VerifyShortPositionsGrid,AutomaticClosing,SelectTrade,SelectTrade2,ExecuteTrade2,GetDataAllocation2,CheckAllocatedGroup"&amp;"s2,GetActivityData"</formula1>
    </dataValidation>
    <dataValidation type="list" allowBlank="1" sqref="H616:K616">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formula1>
    </dataValidation>
    <dataValidation type="list" allowBlank="1" sqref="H331:K331">
      <formula1>"CreateDoneAwayOrder,Copy of Data,VerifyOrder,VerifyWorkingSubs"</formula1>
    </dataValidation>
    <dataValidation type="list" allowBlank="1" sqref="H830:K830">
      <formula1>"CreateDoneAwayOrder,GetDataClosing,SelectTradeUnexpiredUnsettled,ExerciseAssignment,ViewThirdParty,ThirdPartyGenerate,VerifyThirdPartyGenerate,UnwindClosing,VerifyThirdPartyView,ThirdPartySend,UnWindTradeSettlement"</formula1>
    </dataValidation>
    <dataValidation type="list" allowBlank="1" sqref="H624:K624">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Data,GetDataClosing,UpdateForwardPoints6,CashSettlementAtClosingDtSpotPx,VerifyExpiredSettledGrid,SelectTradeUnexpiredUnsettled,GetDataAllocation,CheckAllocatedGroups,GetTradingTransactio"&amp;"n,VerifyTradingTransaction,RunRevaluation,GetRevaluationData"</formula1>
    </dataValidation>
    <dataValidation type="list" allowBlank="1" sqref="H758:K758">
      <formula1>"CreateLiveOrder,VerifyOrder,AcknowledgeTrade,ExecuteTrade,CheckAllocatedGroups,GetDataAllocation,GetDataClosing,VerifyLongPositionsGrid"</formula1>
    </dataValidation>
    <dataValidation type="list" allowBlank="1" sqref="F44 F57 F74 F82 F87 F89 F104 F109 F114 F122 F129 F162 F166:F167 F184 F198 F214 F230 F249 F260 F295 F303 F309 F315 F326:F327 F330 F338 F341 F636 F681">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206:K206 H238:K238 H689">
      <formula1>"CreateDoneAwayOrder,GetForexConversion,UpdateForexConversion,GetDataClosing,SelectTradeUnexpiredUnsettled,CashSettlementAtClosingDtSpotPx,VerifyExpiredSettledGrid,GetDataAllocation,CheckAllocatedGroups"</formula1>
    </dataValidation>
    <dataValidation type="list" allowBlank="1" sqref="H219:K219 H447:K447 H641">
      <formula1>"CreateDoneAwayOrder,GetForexConversion,UpdateForexConversionMonthly,GetDataClosing,SelectTradeUnexpiredUnsettled,CashSettlementAtClosingDtSpotPx"</formula1>
    </dataValidation>
    <dataValidation type="list" allowBlank="1" sqref="H408:K408">
      <formula1>"ShowMasterFundOnTT,ShowMasterFund,CreateDoneAwayOrder,GetDataAllocation,CheckUnallocatedGroups,SelectUnallocatedGroup,EnterAccountValuesToAllocate"</formula1>
    </dataValidation>
    <dataValidation type="list" allowBlank="1" sqref="H673:K673">
      <formula1>"ShowMasterFundOnTT,UpdateMasterFundOnTT,CreateStageOrder,VerifyOrder,TradeNewSubOrder,CreateNewSubOrder,GetDataAllocation,CheckUnallocatedGroups,CheckAllocatedGroups"</formula1>
    </dataValidation>
    <dataValidation type="list" allowBlank="1" sqref="H512:K513">
      <formula1>"CreateDoneAwayOrder,GetDataClosing,SelectTradeUnexpiredUnsettled,CashSettlementAtClosingDtSpotPx,VerifyExpiredSettledGrid,GetForexConversion,UpdateForexConversionMonthly"</formula1>
    </dataValidation>
    <dataValidation type="list" allowBlank="1" sqref="F55 F58:F62 F65 F172:F175 F188:F190 F201:F204 F217:F220 F233:F236 F287:F288 F445:F448 F461:F464 F494:F497 F529:F532 F561:F564 F615:F618 F639:F642 F684:F687 F757:F760 F806:F807 F810 F815:F816 F819 F826:F828 F830">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810:K811">
      <formula1>"CreateDoneAwayOrder,GetDataClosing,Copy of Data,Copy of Data_conflict734426019,AutomaticClosing,ViewThirdParty,GenerateThirdParty,VerifyThirdPartyGenerate,unwi,UnwindClosing"</formula1>
    </dataValidation>
    <dataValidation type="list" allowBlank="1" sqref="H46:K46">
      <formula1>"CreateLiveOrder,VerifySubOrder,SelectTrade,ExecuteTrade,VerifyWorkingSubs,AcknowledgeTrade"</formula1>
    </dataValidation>
    <dataValidation type="list" allowBlank="1" sqref="H157:K157 H254:K254">
      <formula1>"OpenSpinOff"</formula1>
    </dataValidation>
    <dataValidation type="list" allowBlank="1" sqref="H317:K317">
      <formula1>"DisableCheckside,CreateDoneAwayOrder,CheckUnallocatedGroups"</formula1>
    </dataValidation>
    <dataValidation type="list" allowBlank="1" sqref="H834:K834">
      <formula1>"CreateDoneAwayOrder,GetDataClosing,SelectTradeUnexpiredUnsettled,ExerciseAssignment,ViewThirdParty,ThirdPartyGenerate,VerifyThirdPartyGenerate,UnwindClosing,VerifyThirdPartyView,ThirdPartySend"</formula1>
    </dataValidation>
    <dataValidation type="list" allowBlank="1" sqref="H172:K172">
      <formula1>"CreateDoneAwayOrder,CheckBlotter,GetForexConversion,UpdateForexConversion,GetDataAllocation,CheckAllocatedGroups,GetDataClosing"</formula1>
    </dataValidation>
    <dataValidation type="list" allowBlank="1" sqref="H396:K396">
      <formula1>"ShowMasterFundOnTT,ShowMasterFund,CreateStageOrder,VerifyOrder,TradeNewSubOrder,VerifyTT,Copy of Data,CreateNewSubOrder"</formula1>
    </dataValidation>
    <dataValidation type="list" allowBlank="1" sqref="H621:K621">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Data,GetDataClosing,UpdateForwardPoints6,CashSettlementAtClosingDtSpotPx,VerifyExpiredSettledGrid,SelectTradeUnexpiredUnsettled,GetDataAllocation,CheckAllocatedGroups,GetTradingTransactio"&amp;"n"</formula1>
    </dataValidation>
    <dataValidation type="list" allowBlank="1" sqref="H829:K829">
      <formula1>"CreateDoneAwayOrder,GetDataClosing,SelectTradeUnexpiredUnsettled,ExerciseAssignment,ViewThirdParty,ThirdPartyGenerate"</formula1>
    </dataValidation>
    <dataValidation type="list" allowBlank="1" sqref="H7:K7 H25:K25">
      <formula1>"CreateStageOrder"</formula1>
    </dataValidation>
    <dataValidation type="list" allowBlank="1" sqref="H83:K83">
      <formula1>"CreateDoneAwayOrder,FilterPM"</formula1>
    </dataValidation>
    <dataValidation type="list" allowBlank="1" sqref="H304:K304">
      <formula1>"CreateDoneAwayOrder,CancelWorkingSubs"</formula1>
    </dataValidation>
    <dataValidation type="list" allowBlank="1" sqref="H620:K620">
      <formula1>"GetForexConversion,UpdateForexConversionMonthly,CreateDoneAwayOrder,GetForexConversion1,UpdateForexConversionMonthly1,GetForwardPoints,UpdateForwardPoints,GetForwardPoints1,UpdateForwardPoints1,GetForwardPoints2,UpdateForwardPoints2,GetForwardPoints3,Upda"&amp;"teForwardPoints3,GetForwardPoints4,UpdateForwardPoints4,get,Copy of Data,GetDataClosing,UpdateForwardPoints6,CashSettlementAtClosingDtSpotPx,VerifyExpiredSettledGrid,SelectTradeUnexpiredUnsettled,GetDataAllocation,CheckAllocatedGroups"</formula1>
    </dataValidation>
    <dataValidation type="list" allowBlank="1" sqref="H739:K739">
      <formula1>"CreateLiveOrder,SelectTrade,ExecuteTrade,AcknowledgeTrade,VerifyOrder,SelectTradeOnOrderGrid,VerifySubOrder,VerifyWorkingSubs,SelectTradeOnOrderGrid1,VerifySubOrder1,VerifyWorkingSubs1,RejectTrade,SelectTradeOnOrderGrid2,VerifySubOrder2,VerifyWorkingSubs2"&amp;",SelectTrade2,ExecuteTrade2,SelectTradeOnOrderGrid3,VerifySubOrder3"</formula1>
    </dataValidation>
    <dataValidation type="list" allowBlank="1" sqref="H222:K222 H450:K450 H644">
      <formula1>"CreateDoneAwayOrder,GetForexConversion,UpdateForexConversionMonthly,GetDataClosing,SelectTradeUnexpiredUnsettled,CashSettlementAtClosingDtSpotPx,VerifyExpiredSettledGrid,GetDataAllocation,CheckAllocatedGroups"</formula1>
    </dataValidation>
    <dataValidation type="list" allowBlank="1" sqref="H241:K242 H692 H694">
      <formula1>"CreateDoneAwayOrder,GetForexConversion,GetDataClosing,SelectTradeUnexpiredUnsettled,CashSettlementAtClosingDtSpotPx,VerifyExpiredSettledGrid,GetDataAllocation,CheckAllocatedGroups,GetTradingTransaction,VerifyTradingTransaction,RunRevaluation,UpdateForexCo"&amp;"nversionMonthly,VerifyRevaluationData"</formula1>
    </dataValidation>
    <dataValidation type="list" allowBlank="1" sqref="H463:K463">
      <formula1>"CreateDoneAwayOrder,GetForexConversion,UpdateForexConversionMonthly,SelectTradeUnexpiredUnsettled,GetDataClosing,CashSettlementAtClosingDtSpotPx"</formula1>
    </dataValidation>
    <dataValidation type="list" allowBlank="1" sqref="H785:K785">
      <formula1>"CreateDoneAwayOrder,viw,view,ViewThirdParty,ThirdPartyGenerate,VerifyThirdPartyGenerate"</formula1>
    </dataValidation>
    <dataValidation type="list" allowBlank="1" sqref="H52:K52">
      <formula1>"CreateLiveOrder,VerifySubOrder,SelectTrade,AcknowledgeTrade,VerifySubOrder1,VerifyOrder,SelectTrade1,ExecuteTrade,VerifyWorkingSubs"</formula1>
    </dataValidation>
    <dataValidation type="list" allowBlank="1" sqref="H465:K465">
      <formula1>"CreateDoneAwayOrder,GetForexConversion,UpdateForexConversionMonthly,SelectTradeUnexpiredUnsettled,GetDataClosing,CashSettlementAtClosingDtSpotPx,VerifyExpiredSettledGrid,GetDataAllocation"</formula1>
    </dataValidation>
    <dataValidation type="list" allowBlank="1" sqref="H797:K797">
      <formula1>"CreateDoneAwayOrder,ViewThirdParty,ThirdPartySend,Copy of Data,ThirdPartyGenerate,VerifyThirdPartyGenerate,GetDataAllocation"</formula1>
    </dataValidation>
    <dataValidation type="list" allowBlank="1" sqref="F31:F32">
      <formula1>"GenerateThirdParty,SendThirdParty,ViewThirdParty,SelectThirdPartyName,VerifyThirdPartyData,ThirdPartyWork,Automation,ThirdPartyWork,OpeningManager,ThirdPartyManagerFunction,,,,,,,,,,,,,,,,,,,,,,,,,,,,,,,,,,,,,,,,,,,,,,,,,,,,,,,,,,,,,,,,,,,,,,,,,,,,,,,,,,,"&amp;",,,,,,,,,,,,,,,,,,,,,,,,,,,,,,,,,,,,,,,,,,,,,,,,,,,,,,,,,,,,,,,,,,,,,,,,,,,,,,,,,,,,,,,,,,,,,,,,,,,,,,,,,,,,,,,,,,,,,,,,,,,,,,,,,,,,,,,,,,,,,,,,,,,,,,,,,,,,,,,,,,,,,,,,,,,,,,,,,,,,,,,,,,,,,,,,,,,,,,,,,,,,,,,,,,,,,,,,,,,,,,,,,,,,,,,,,,,,,,,,,,,,,,,,,,,,,,,"&amp;",,,,,,,,,,,,,,,,,,,,,,,,,,,,,,,,,,,,,,,,,,,,,,,,,,,,,,,,,,,,,,,,,,,,,,,,,,,,,,,,,,,,,,,,,,,,,,,,,,,,,,,,,,,,,,,,,,,,,,,,,,,,,,,,,,,,,,,,,,,,,,,,,,,,,"</formula1>
    </dataValidation>
  </dataValidations>
  <hyperlinks>
    <hyperlink r:id="rId1" location="gid=1265827041" ref="G7"/>
    <hyperlink r:id="rId2" location="gid=1485386805" ref="G10"/>
    <hyperlink r:id="rId3" location="gid=676922251" ref="G11"/>
    <hyperlink r:id="rId4" location="gid=763824888" ref="G13"/>
    <hyperlink r:id="rId5" location="gid=1822962724" ref="G20"/>
    <hyperlink r:id="rId6" location="gid=1998731781" ref="G22"/>
    <hyperlink r:id="rId7" location="gid=42456026" ref="G25"/>
    <hyperlink r:id="rId8" location="gid=1326637722" ref="G29"/>
    <hyperlink r:id="rId9" location="gid=527898590" ref="G31"/>
    <hyperlink r:id="rId10" location="gid=1496685089" ref="G32"/>
    <hyperlink r:id="rId11" location="gid=637060435" ref="G33"/>
    <hyperlink r:id="rId12" location="gid=1399409343" ref="G34"/>
    <hyperlink r:id="rId13" location="gid=1313632740" ref="G36"/>
    <hyperlink r:id="rId14" location="gid=1927790273" ref="G38"/>
    <hyperlink r:id="rId15" location="gid=1994652307" ref="G40"/>
    <hyperlink r:id="rId16" location="gid=1781101257" ref="G42"/>
  </hyperlinks>
  <drawing r:id="rId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19.86"/>
  </cols>
  <sheetData>
    <row r="1">
      <c r="A1" s="85" t="s">
        <v>362</v>
      </c>
      <c r="B1" s="86" t="s">
        <v>363</v>
      </c>
      <c r="C1" s="9"/>
      <c r="D1" s="9"/>
      <c r="E1" s="9"/>
      <c r="F1" s="9"/>
      <c r="G1" s="9"/>
      <c r="H1" s="9"/>
      <c r="I1" s="9"/>
      <c r="J1" s="9"/>
      <c r="K1" s="9"/>
      <c r="L1" s="9"/>
      <c r="M1" s="9"/>
      <c r="N1" s="9"/>
      <c r="O1" s="9"/>
      <c r="P1" s="9"/>
      <c r="Q1" s="9"/>
      <c r="R1" s="9"/>
      <c r="S1" s="9"/>
      <c r="T1" s="9"/>
      <c r="U1" s="9"/>
      <c r="V1" s="9"/>
      <c r="W1" s="9"/>
      <c r="X1" s="9"/>
      <c r="Y1" s="9"/>
      <c r="Z1" s="9"/>
    </row>
    <row r="2">
      <c r="A2" s="87" t="s">
        <v>88</v>
      </c>
      <c r="B2" s="8" t="s">
        <v>88</v>
      </c>
      <c r="C2" s="9"/>
      <c r="D2" s="9"/>
      <c r="E2" s="9"/>
      <c r="F2" s="9"/>
      <c r="G2" s="9"/>
      <c r="H2" s="9"/>
      <c r="I2" s="9"/>
      <c r="J2" s="9"/>
      <c r="K2" s="9"/>
      <c r="L2" s="9"/>
      <c r="M2" s="9"/>
      <c r="N2" s="9"/>
      <c r="O2" s="9"/>
      <c r="P2" s="9"/>
      <c r="Q2" s="9"/>
      <c r="R2" s="9"/>
      <c r="S2" s="9"/>
      <c r="T2" s="9"/>
      <c r="U2" s="9"/>
      <c r="V2" s="9"/>
      <c r="W2" s="9"/>
      <c r="X2" s="9"/>
      <c r="Y2" s="9"/>
      <c r="Z2" s="9"/>
    </row>
    <row r="3">
      <c r="A3" s="88" t="s">
        <v>364</v>
      </c>
      <c r="B3" s="8" t="s">
        <v>88</v>
      </c>
      <c r="C3" s="9"/>
      <c r="D3" s="9"/>
      <c r="E3" s="9"/>
      <c r="F3" s="9"/>
      <c r="G3" s="9"/>
      <c r="H3" s="9"/>
      <c r="I3" s="9"/>
      <c r="J3" s="9"/>
      <c r="K3" s="9"/>
      <c r="L3" s="9"/>
      <c r="M3" s="9"/>
      <c r="N3" s="9"/>
      <c r="O3" s="9"/>
      <c r="P3" s="9"/>
      <c r="Q3" s="9"/>
      <c r="R3" s="9"/>
      <c r="S3" s="9"/>
      <c r="T3" s="9"/>
      <c r="U3" s="9"/>
      <c r="V3" s="9"/>
      <c r="W3" s="9"/>
      <c r="X3" s="9"/>
      <c r="Y3" s="9"/>
      <c r="Z3" s="9"/>
    </row>
    <row r="4">
      <c r="A4" s="88" t="s">
        <v>43</v>
      </c>
      <c r="B4" s="58" t="s">
        <v>43</v>
      </c>
      <c r="C4" s="9"/>
      <c r="D4" s="9"/>
      <c r="E4" s="9"/>
      <c r="F4" s="9"/>
      <c r="G4" s="9"/>
      <c r="H4" s="9"/>
      <c r="I4" s="9"/>
      <c r="J4" s="9"/>
      <c r="K4" s="9"/>
      <c r="L4" s="9"/>
      <c r="M4" s="9"/>
      <c r="N4" s="9"/>
      <c r="O4" s="9"/>
      <c r="P4" s="9"/>
      <c r="Q4" s="9"/>
      <c r="R4" s="9"/>
      <c r="S4" s="9"/>
      <c r="T4" s="9"/>
      <c r="U4" s="9"/>
      <c r="V4" s="9"/>
      <c r="W4" s="9"/>
      <c r="X4" s="9"/>
      <c r="Y4" s="9"/>
      <c r="Z4" s="9"/>
    </row>
    <row r="5">
      <c r="A5" s="88" t="s">
        <v>178</v>
      </c>
      <c r="B5" s="58" t="s">
        <v>365</v>
      </c>
      <c r="C5" s="9"/>
      <c r="D5" s="9"/>
      <c r="E5" s="9"/>
      <c r="F5" s="9"/>
      <c r="G5" s="9"/>
      <c r="H5" s="9"/>
      <c r="I5" s="9"/>
      <c r="J5" s="9"/>
      <c r="K5" s="9"/>
      <c r="L5" s="9"/>
      <c r="M5" s="9"/>
      <c r="N5" s="9"/>
      <c r="O5" s="9"/>
      <c r="P5" s="9"/>
      <c r="Q5" s="9"/>
      <c r="R5" s="9"/>
      <c r="S5" s="9"/>
      <c r="T5" s="9"/>
      <c r="U5" s="9"/>
      <c r="V5" s="9"/>
      <c r="W5" s="9"/>
      <c r="X5" s="9"/>
      <c r="Y5" s="9"/>
      <c r="Z5" s="9"/>
    </row>
    <row r="6">
      <c r="A6" s="88" t="s">
        <v>366</v>
      </c>
      <c r="B6" s="58" t="s">
        <v>366</v>
      </c>
      <c r="C6" s="9"/>
      <c r="D6" s="9"/>
      <c r="E6" s="9"/>
      <c r="F6" s="9"/>
      <c r="G6" s="9"/>
      <c r="H6" s="9"/>
      <c r="I6" s="9"/>
      <c r="J6" s="9"/>
      <c r="K6" s="9"/>
      <c r="L6" s="9"/>
      <c r="M6" s="9"/>
      <c r="N6" s="9"/>
      <c r="O6" s="9"/>
      <c r="P6" s="9"/>
      <c r="Q6" s="9"/>
      <c r="R6" s="9"/>
      <c r="S6" s="9"/>
      <c r="T6" s="9"/>
      <c r="U6" s="9"/>
      <c r="V6" s="9"/>
      <c r="W6" s="9"/>
      <c r="X6" s="9"/>
      <c r="Y6" s="9"/>
      <c r="Z6" s="9"/>
    </row>
    <row r="7">
      <c r="A7" s="88" t="s">
        <v>367</v>
      </c>
      <c r="B7" s="58" t="s">
        <v>367</v>
      </c>
      <c r="C7" s="9"/>
      <c r="D7" s="9"/>
      <c r="E7" s="9"/>
      <c r="F7" s="9"/>
      <c r="G7" s="9"/>
      <c r="H7" s="9"/>
      <c r="I7" s="9"/>
      <c r="J7" s="9"/>
      <c r="K7" s="9"/>
      <c r="L7" s="9"/>
      <c r="M7" s="9"/>
      <c r="N7" s="9"/>
      <c r="O7" s="9"/>
      <c r="P7" s="9"/>
      <c r="Q7" s="9"/>
      <c r="R7" s="9"/>
      <c r="S7" s="9"/>
      <c r="T7" s="9"/>
      <c r="U7" s="9"/>
      <c r="V7" s="9"/>
      <c r="W7" s="9"/>
      <c r="X7" s="9"/>
      <c r="Y7" s="9"/>
      <c r="Z7" s="9"/>
    </row>
    <row r="8">
      <c r="A8" s="88" t="s">
        <v>368</v>
      </c>
      <c r="B8" s="58" t="s">
        <v>367</v>
      </c>
      <c r="C8" s="9"/>
      <c r="D8" s="9"/>
      <c r="E8" s="9"/>
      <c r="F8" s="9"/>
      <c r="G8" s="9"/>
      <c r="H8" s="9"/>
      <c r="I8" s="9"/>
      <c r="J8" s="9"/>
      <c r="K8" s="9"/>
      <c r="L8" s="9"/>
      <c r="M8" s="9"/>
      <c r="N8" s="9"/>
      <c r="O8" s="9"/>
      <c r="P8" s="9"/>
      <c r="Q8" s="9"/>
      <c r="R8" s="9"/>
      <c r="S8" s="9"/>
      <c r="T8" s="9"/>
      <c r="U8" s="9"/>
      <c r="V8" s="9"/>
      <c r="W8" s="9"/>
      <c r="X8" s="9"/>
      <c r="Y8" s="9"/>
      <c r="Z8" s="9"/>
    </row>
    <row r="9">
      <c r="A9" s="88" t="s">
        <v>116</v>
      </c>
      <c r="B9" s="58" t="s">
        <v>116</v>
      </c>
      <c r="C9" s="9"/>
      <c r="D9" s="9"/>
      <c r="E9" s="9"/>
      <c r="F9" s="9"/>
      <c r="G9" s="9"/>
      <c r="H9" s="9"/>
      <c r="I9" s="9"/>
      <c r="J9" s="9"/>
      <c r="K9" s="9"/>
      <c r="L9" s="9"/>
      <c r="M9" s="9"/>
      <c r="N9" s="9"/>
      <c r="O9" s="9"/>
      <c r="P9" s="9"/>
      <c r="Q9" s="9"/>
      <c r="R9" s="9"/>
      <c r="S9" s="9"/>
      <c r="T9" s="9"/>
      <c r="U9" s="9"/>
      <c r="V9" s="9"/>
      <c r="W9" s="9"/>
      <c r="X9" s="9"/>
      <c r="Y9" s="9"/>
      <c r="Z9" s="9"/>
    </row>
    <row r="10">
      <c r="A10" s="87" t="s">
        <v>369</v>
      </c>
      <c r="B10" s="8" t="s">
        <v>369</v>
      </c>
      <c r="C10" s="9"/>
      <c r="D10" s="9"/>
      <c r="E10" s="9"/>
      <c r="F10" s="9"/>
      <c r="G10" s="9"/>
      <c r="H10" s="9"/>
      <c r="I10" s="9"/>
      <c r="J10" s="9"/>
      <c r="K10" s="9"/>
      <c r="L10" s="9"/>
      <c r="M10" s="9"/>
      <c r="N10" s="9"/>
      <c r="O10" s="9"/>
      <c r="P10" s="9"/>
      <c r="Q10" s="9"/>
      <c r="R10" s="9"/>
      <c r="S10" s="9"/>
      <c r="T10" s="9"/>
      <c r="U10" s="9"/>
      <c r="V10" s="9"/>
      <c r="W10" s="9"/>
      <c r="X10" s="9"/>
      <c r="Y10" s="9"/>
      <c r="Z10" s="9"/>
    </row>
    <row r="11">
      <c r="A11" s="87" t="s">
        <v>86</v>
      </c>
      <c r="B11" s="8" t="s">
        <v>86</v>
      </c>
      <c r="C11" s="9"/>
      <c r="D11" s="9"/>
      <c r="E11" s="9"/>
      <c r="F11" s="9"/>
      <c r="G11" s="9"/>
      <c r="H11" s="9"/>
      <c r="I11" s="9"/>
      <c r="J11" s="9"/>
      <c r="K11" s="9"/>
      <c r="L11" s="9"/>
      <c r="M11" s="9"/>
      <c r="N11" s="9"/>
      <c r="O11" s="9"/>
      <c r="P11" s="9"/>
      <c r="Q11" s="9"/>
      <c r="R11" s="9"/>
      <c r="S11" s="9"/>
      <c r="T11" s="9"/>
      <c r="U11" s="9"/>
      <c r="V11" s="9"/>
      <c r="W11" s="9"/>
      <c r="X11" s="9"/>
      <c r="Y11" s="9"/>
      <c r="Z11" s="9"/>
    </row>
    <row r="12">
      <c r="A12" s="9"/>
      <c r="B12" s="9"/>
      <c r="C12" s="9"/>
      <c r="D12" s="9"/>
      <c r="E12" s="9"/>
      <c r="F12" s="9"/>
      <c r="G12" s="9"/>
      <c r="H12" s="9"/>
      <c r="I12" s="9"/>
      <c r="J12" s="9"/>
      <c r="K12" s="9"/>
      <c r="L12" s="9"/>
      <c r="M12" s="9"/>
      <c r="N12" s="9"/>
      <c r="O12" s="9"/>
      <c r="P12" s="9"/>
      <c r="Q12" s="9"/>
      <c r="R12" s="9"/>
      <c r="S12" s="9"/>
      <c r="T12" s="9"/>
      <c r="U12" s="9"/>
      <c r="V12" s="9"/>
      <c r="W12" s="9"/>
      <c r="X12" s="9"/>
      <c r="Y12" s="9"/>
      <c r="Z12" s="9"/>
    </row>
    <row r="13">
      <c r="A13" s="9"/>
      <c r="B13" s="9"/>
      <c r="C13" s="9"/>
      <c r="D13" s="9"/>
      <c r="E13" s="9"/>
      <c r="F13" s="9"/>
      <c r="G13" s="9"/>
      <c r="H13" s="9"/>
      <c r="I13" s="9"/>
      <c r="J13" s="9"/>
      <c r="K13" s="9"/>
      <c r="L13" s="9"/>
      <c r="M13" s="9"/>
      <c r="N13" s="9"/>
      <c r="O13" s="9"/>
      <c r="P13" s="9"/>
      <c r="Q13" s="9"/>
      <c r="R13" s="9"/>
      <c r="S13" s="9"/>
      <c r="T13" s="9"/>
      <c r="U13" s="9"/>
      <c r="V13" s="9"/>
      <c r="W13" s="9"/>
      <c r="X13" s="9"/>
      <c r="Y13" s="9"/>
      <c r="Z13" s="9"/>
    </row>
    <row r="14">
      <c r="A14" s="9"/>
      <c r="B14" s="9"/>
      <c r="C14" s="9"/>
      <c r="D14" s="9"/>
      <c r="E14" s="9"/>
      <c r="F14" s="9"/>
      <c r="G14" s="9"/>
      <c r="H14" s="9"/>
      <c r="I14" s="9"/>
      <c r="J14" s="9"/>
      <c r="K14" s="9"/>
      <c r="L14" s="9"/>
      <c r="M14" s="9"/>
      <c r="N14" s="9"/>
      <c r="O14" s="9"/>
      <c r="P14" s="9"/>
      <c r="Q14" s="9"/>
      <c r="R14" s="9"/>
      <c r="S14" s="9"/>
      <c r="T14" s="9"/>
      <c r="U14" s="9"/>
      <c r="V14" s="9"/>
      <c r="W14" s="9"/>
      <c r="X14" s="9"/>
      <c r="Y14" s="9"/>
      <c r="Z14" s="9"/>
    </row>
    <row r="15">
      <c r="A15" s="9"/>
      <c r="B15" s="9"/>
      <c r="C15" s="9"/>
      <c r="D15" s="9"/>
      <c r="E15" s="9"/>
      <c r="F15" s="9"/>
      <c r="G15" s="9"/>
      <c r="H15" s="9"/>
      <c r="I15" s="9"/>
      <c r="J15" s="9"/>
      <c r="K15" s="9"/>
      <c r="L15" s="9"/>
      <c r="M15" s="9"/>
      <c r="N15" s="9"/>
      <c r="O15" s="9"/>
      <c r="P15" s="9"/>
      <c r="Q15" s="9"/>
      <c r="R15" s="9"/>
      <c r="S15" s="9"/>
      <c r="T15" s="9"/>
      <c r="U15" s="9"/>
      <c r="V15" s="9"/>
      <c r="W15" s="9"/>
      <c r="X15" s="9"/>
      <c r="Y15" s="9"/>
      <c r="Z15"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4.29"/>
    <col customWidth="1" min="2" max="2" width="27.0"/>
    <col customWidth="1" min="3" max="3" width="85.0"/>
    <col customWidth="1" min="4" max="26" width="14.43"/>
  </cols>
  <sheetData>
    <row r="1" ht="15.75" customHeight="1">
      <c r="A1" s="89" t="s">
        <v>370</v>
      </c>
      <c r="B1" s="2"/>
      <c r="C1" s="2"/>
      <c r="D1" s="2"/>
      <c r="E1" s="2"/>
      <c r="F1" s="3"/>
    </row>
    <row r="2" ht="15.75" customHeight="1">
      <c r="A2" s="90"/>
      <c r="B2" s="90"/>
      <c r="C2" s="90"/>
      <c r="D2" s="90"/>
      <c r="E2" s="90"/>
      <c r="F2" s="90"/>
    </row>
    <row r="3" ht="15.75" customHeight="1">
      <c r="A3" s="91" t="s">
        <v>371</v>
      </c>
      <c r="B3" s="92"/>
      <c r="C3" s="92"/>
      <c r="D3" s="92"/>
      <c r="E3" s="92"/>
      <c r="F3" s="92"/>
    </row>
    <row r="4" ht="15.75" customHeight="1">
      <c r="A4" s="93" t="s">
        <v>88</v>
      </c>
      <c r="B4" s="94" t="s">
        <v>247</v>
      </c>
      <c r="C4" s="95" t="s">
        <v>372</v>
      </c>
      <c r="D4" s="90"/>
      <c r="E4" s="90"/>
      <c r="F4" s="90"/>
    </row>
    <row r="5" ht="15.75" customHeight="1">
      <c r="A5" s="96" t="s">
        <v>88</v>
      </c>
      <c r="B5" s="97" t="s">
        <v>96</v>
      </c>
      <c r="C5" s="98" t="s">
        <v>373</v>
      </c>
      <c r="D5" s="90"/>
      <c r="E5" s="90"/>
      <c r="F5" s="90"/>
    </row>
    <row r="6" ht="15.75" customHeight="1">
      <c r="A6" s="99" t="s">
        <v>88</v>
      </c>
      <c r="B6" s="100" t="s">
        <v>245</v>
      </c>
      <c r="C6" s="100" t="s">
        <v>374</v>
      </c>
      <c r="D6" s="90"/>
      <c r="E6" s="90"/>
      <c r="F6" s="90"/>
    </row>
    <row r="7" ht="15.75" customHeight="1">
      <c r="A7" s="96" t="s">
        <v>88</v>
      </c>
      <c r="B7" s="98" t="s">
        <v>95</v>
      </c>
      <c r="C7" s="98" t="s">
        <v>375</v>
      </c>
      <c r="D7" s="90"/>
      <c r="E7" s="90"/>
      <c r="F7" s="90"/>
    </row>
    <row r="8" ht="15.75" customHeight="1">
      <c r="A8" s="100" t="s">
        <v>88</v>
      </c>
      <c r="B8" s="100" t="s">
        <v>125</v>
      </c>
      <c r="C8" s="100" t="s">
        <v>376</v>
      </c>
      <c r="D8" s="90"/>
      <c r="E8" s="90"/>
      <c r="F8" s="90"/>
    </row>
    <row r="9" ht="15.75" customHeight="1">
      <c r="A9" s="98" t="s">
        <v>88</v>
      </c>
      <c r="B9" s="98" t="s">
        <v>377</v>
      </c>
      <c r="C9" s="98" t="s">
        <v>378</v>
      </c>
      <c r="D9" s="90"/>
      <c r="E9" s="90"/>
      <c r="F9" s="90"/>
    </row>
    <row r="10" ht="15.75" customHeight="1">
      <c r="A10" s="100" t="s">
        <v>88</v>
      </c>
      <c r="B10" s="100" t="s">
        <v>379</v>
      </c>
      <c r="C10" s="100" t="s">
        <v>380</v>
      </c>
      <c r="D10" s="90"/>
      <c r="E10" s="90"/>
      <c r="F10" s="90"/>
    </row>
    <row r="11" ht="15.75" customHeight="1">
      <c r="A11" s="98" t="s">
        <v>88</v>
      </c>
      <c r="B11" s="101" t="s">
        <v>381</v>
      </c>
      <c r="C11" s="98" t="s">
        <v>382</v>
      </c>
      <c r="D11" s="90"/>
      <c r="E11" s="90"/>
      <c r="F11" s="90"/>
    </row>
    <row r="12" ht="15.75" customHeight="1">
      <c r="A12" s="100" t="s">
        <v>43</v>
      </c>
      <c r="B12" s="100" t="s">
        <v>383</v>
      </c>
      <c r="C12" s="100" t="s">
        <v>382</v>
      </c>
      <c r="D12" s="90"/>
      <c r="E12" s="90"/>
      <c r="F12" s="90"/>
    </row>
    <row r="13" ht="15.75" customHeight="1">
      <c r="A13" s="98" t="s">
        <v>43</v>
      </c>
      <c r="B13" s="98" t="s">
        <v>384</v>
      </c>
      <c r="C13" s="98" t="s">
        <v>385</v>
      </c>
      <c r="D13" s="90"/>
      <c r="E13" s="90"/>
      <c r="F13" s="90"/>
    </row>
    <row r="14" ht="15.75" customHeight="1">
      <c r="A14" s="100" t="s">
        <v>178</v>
      </c>
      <c r="B14" s="100" t="s">
        <v>228</v>
      </c>
      <c r="C14" s="100" t="s">
        <v>386</v>
      </c>
      <c r="D14" s="90"/>
      <c r="E14" s="90"/>
      <c r="F14" s="90"/>
    </row>
    <row r="15" ht="15.75" customHeight="1">
      <c r="A15" s="98" t="s">
        <v>178</v>
      </c>
      <c r="B15" s="98" t="s">
        <v>387</v>
      </c>
      <c r="C15" s="98" t="s">
        <v>388</v>
      </c>
      <c r="D15" s="90"/>
      <c r="E15" s="90"/>
      <c r="F15" s="90"/>
    </row>
    <row r="16" ht="15.75" customHeight="1">
      <c r="A16" s="100" t="s">
        <v>178</v>
      </c>
      <c r="B16" s="100" t="s">
        <v>389</v>
      </c>
      <c r="C16" s="100" t="s">
        <v>390</v>
      </c>
      <c r="D16" s="90"/>
      <c r="E16" s="90"/>
      <c r="F16" s="90"/>
    </row>
    <row r="17" ht="15.75" customHeight="1">
      <c r="A17" s="98" t="s">
        <v>178</v>
      </c>
      <c r="B17" s="98" t="s">
        <v>391</v>
      </c>
      <c r="C17" s="98" t="s">
        <v>392</v>
      </c>
      <c r="D17" s="90"/>
      <c r="E17" s="90"/>
      <c r="F17" s="90"/>
    </row>
    <row r="18" ht="15.75" customHeight="1">
      <c r="A18" s="100" t="s">
        <v>178</v>
      </c>
      <c r="B18" s="100" t="s">
        <v>210</v>
      </c>
      <c r="C18" s="100" t="s">
        <v>393</v>
      </c>
      <c r="D18" s="90"/>
      <c r="E18" s="90"/>
      <c r="F18" s="90"/>
    </row>
    <row r="19" ht="15.75" customHeight="1">
      <c r="A19" s="98" t="s">
        <v>178</v>
      </c>
      <c r="B19" s="98" t="s">
        <v>180</v>
      </c>
      <c r="C19" s="98" t="s">
        <v>394</v>
      </c>
      <c r="D19" s="90"/>
      <c r="E19" s="90"/>
      <c r="F19" s="90"/>
    </row>
    <row r="20" ht="15.75" customHeight="1">
      <c r="A20" s="100" t="s">
        <v>178</v>
      </c>
      <c r="B20" s="100" t="s">
        <v>182</v>
      </c>
      <c r="C20" s="100" t="s">
        <v>395</v>
      </c>
      <c r="D20" s="90"/>
      <c r="E20" s="90"/>
      <c r="F20" s="90"/>
    </row>
    <row r="21" ht="15.75" customHeight="1">
      <c r="A21" s="98" t="s">
        <v>157</v>
      </c>
      <c r="B21" s="98" t="s">
        <v>157</v>
      </c>
      <c r="C21" s="98" t="s">
        <v>396</v>
      </c>
      <c r="D21" s="90"/>
      <c r="E21" s="90"/>
      <c r="F21" s="90"/>
    </row>
    <row r="22" ht="15.75" customHeight="1">
      <c r="A22" s="100" t="s">
        <v>397</v>
      </c>
      <c r="B22" s="100" t="s">
        <v>397</v>
      </c>
      <c r="C22" s="100" t="s">
        <v>398</v>
      </c>
      <c r="D22" s="90"/>
      <c r="E22" s="90"/>
      <c r="F22" s="90"/>
    </row>
    <row r="23" ht="15.75" customHeight="1">
      <c r="A23" s="98" t="s">
        <v>172</v>
      </c>
      <c r="B23" s="98" t="s">
        <v>399</v>
      </c>
      <c r="C23" s="98" t="s">
        <v>400</v>
      </c>
      <c r="D23" s="90"/>
      <c r="E23" s="90"/>
      <c r="F23" s="90"/>
    </row>
    <row r="24" ht="15.75" customHeight="1">
      <c r="A24" s="100" t="s">
        <v>172</v>
      </c>
      <c r="B24" s="100" t="s">
        <v>195</v>
      </c>
      <c r="C24" s="100" t="s">
        <v>401</v>
      </c>
      <c r="D24" s="90"/>
      <c r="E24" s="90"/>
      <c r="F24" s="90"/>
    </row>
    <row r="25" ht="15.75" customHeight="1">
      <c r="A25" s="98" t="s">
        <v>172</v>
      </c>
      <c r="B25" s="98" t="s">
        <v>402</v>
      </c>
      <c r="C25" s="98" t="s">
        <v>403</v>
      </c>
      <c r="D25" s="90"/>
      <c r="E25" s="90"/>
      <c r="F25" s="90"/>
    </row>
    <row r="26" ht="15.75" customHeight="1">
      <c r="A26" s="100" t="s">
        <v>172</v>
      </c>
      <c r="B26" s="100" t="s">
        <v>204</v>
      </c>
      <c r="C26" s="100" t="s">
        <v>404</v>
      </c>
      <c r="D26" s="90"/>
      <c r="E26" s="90"/>
      <c r="F26" s="90"/>
    </row>
    <row r="27" ht="15.75" customHeight="1">
      <c r="A27" s="98" t="s">
        <v>300</v>
      </c>
      <c r="B27" s="98" t="s">
        <v>300</v>
      </c>
      <c r="C27" s="98" t="s">
        <v>405</v>
      </c>
      <c r="D27" s="90"/>
      <c r="E27" s="90"/>
      <c r="F27" s="90"/>
    </row>
    <row r="28" ht="15.75" customHeight="1">
      <c r="A28" s="100" t="s">
        <v>104</v>
      </c>
      <c r="B28" s="100" t="s">
        <v>106</v>
      </c>
      <c r="C28" s="100" t="s">
        <v>406</v>
      </c>
      <c r="D28" s="90"/>
      <c r="E28" s="90"/>
      <c r="F28" s="90"/>
    </row>
    <row r="29" ht="15.75" customHeight="1">
      <c r="A29" s="98" t="s">
        <v>104</v>
      </c>
      <c r="B29" s="98" t="s">
        <v>250</v>
      </c>
      <c r="C29" s="98" t="s">
        <v>407</v>
      </c>
      <c r="D29" s="90"/>
      <c r="E29" s="90"/>
      <c r="F29" s="90"/>
    </row>
    <row r="30" ht="15.75" customHeight="1">
      <c r="A30" s="100" t="s">
        <v>408</v>
      </c>
      <c r="B30" s="100" t="s">
        <v>408</v>
      </c>
      <c r="C30" s="100" t="s">
        <v>409</v>
      </c>
      <c r="D30" s="90"/>
      <c r="E30" s="90"/>
      <c r="F30" s="90"/>
    </row>
    <row r="31" ht="15.75" customHeight="1">
      <c r="A31" s="98" t="s">
        <v>408</v>
      </c>
      <c r="B31" s="98" t="s">
        <v>410</v>
      </c>
      <c r="C31" s="98" t="s">
        <v>411</v>
      </c>
      <c r="D31" s="90"/>
      <c r="E31" s="90"/>
      <c r="F31" s="90"/>
    </row>
    <row r="32" ht="15.75" customHeight="1">
      <c r="A32" s="100" t="s">
        <v>412</v>
      </c>
      <c r="B32" s="100" t="s">
        <v>413</v>
      </c>
      <c r="C32" s="100" t="s">
        <v>414</v>
      </c>
      <c r="D32" s="90"/>
      <c r="E32" s="90"/>
      <c r="F32" s="90"/>
    </row>
    <row r="33" ht="15.75" customHeight="1">
      <c r="A33" s="98" t="s">
        <v>412</v>
      </c>
      <c r="B33" s="98" t="s">
        <v>415</v>
      </c>
      <c r="C33" s="98" t="s">
        <v>416</v>
      </c>
      <c r="D33" s="90"/>
      <c r="E33" s="90"/>
      <c r="F33" s="90"/>
    </row>
    <row r="34" ht="15.75" customHeight="1">
      <c r="A34" s="102" t="s">
        <v>412</v>
      </c>
      <c r="B34" s="102" t="s">
        <v>417</v>
      </c>
      <c r="C34" s="102" t="s">
        <v>418</v>
      </c>
    </row>
    <row r="35" ht="15.75" customHeight="1">
      <c r="A35" s="103" t="s">
        <v>412</v>
      </c>
      <c r="B35" s="103" t="s">
        <v>419</v>
      </c>
      <c r="C35" s="103" t="s">
        <v>420</v>
      </c>
    </row>
    <row r="36" ht="15.75" customHeight="1">
      <c r="A36" s="102" t="s">
        <v>412</v>
      </c>
      <c r="B36" s="102" t="s">
        <v>421</v>
      </c>
      <c r="C36" s="102" t="s">
        <v>422</v>
      </c>
    </row>
    <row r="37" ht="15.75" customHeight="1">
      <c r="A37" s="103" t="s">
        <v>24</v>
      </c>
      <c r="B37" s="103" t="s">
        <v>352</v>
      </c>
      <c r="C37" s="103" t="s">
        <v>423</v>
      </c>
    </row>
    <row r="38" ht="15.75" customHeight="1">
      <c r="A38" s="102" t="s">
        <v>24</v>
      </c>
      <c r="B38" s="102" t="s">
        <v>424</v>
      </c>
      <c r="C38" s="102" t="s">
        <v>425</v>
      </c>
    </row>
    <row r="39" ht="15.75" customHeight="1">
      <c r="A39" s="103" t="s">
        <v>24</v>
      </c>
      <c r="B39" s="103" t="s">
        <v>25</v>
      </c>
      <c r="C39" s="103" t="s">
        <v>426</v>
      </c>
    </row>
    <row r="40" ht="15.75" customHeight="1">
      <c r="A40" s="102" t="s">
        <v>24</v>
      </c>
      <c r="B40" s="102" t="s">
        <v>427</v>
      </c>
      <c r="C40" s="102" t="s">
        <v>428</v>
      </c>
    </row>
    <row r="41" ht="15.75" customHeight="1">
      <c r="A41" s="103" t="s">
        <v>24</v>
      </c>
      <c r="B41" s="103" t="s">
        <v>429</v>
      </c>
      <c r="C41" s="103" t="s">
        <v>430</v>
      </c>
    </row>
    <row r="42" ht="15.75" customHeight="1">
      <c r="A42" s="102" t="s">
        <v>157</v>
      </c>
      <c r="B42" s="102" t="s">
        <v>89</v>
      </c>
      <c r="C42" s="102" t="s">
        <v>431</v>
      </c>
    </row>
    <row r="43" ht="15.75" customHeight="1">
      <c r="A43" s="103" t="s">
        <v>432</v>
      </c>
      <c r="B43" s="103" t="s">
        <v>433</v>
      </c>
      <c r="C43" s="103" t="s">
        <v>434</v>
      </c>
    </row>
    <row r="44" ht="15.75" customHeight="1">
      <c r="A44" s="102" t="s">
        <v>432</v>
      </c>
      <c r="B44" s="102" t="s">
        <v>435</v>
      </c>
      <c r="C44" s="102" t="s">
        <v>436</v>
      </c>
    </row>
    <row r="45" ht="15.75" customHeight="1">
      <c r="A45" s="103" t="s">
        <v>432</v>
      </c>
      <c r="B45" s="103" t="s">
        <v>437</v>
      </c>
      <c r="C45" s="103" t="s">
        <v>438</v>
      </c>
    </row>
    <row r="46" ht="15.75" customHeight="1">
      <c r="A46" s="102" t="s">
        <v>432</v>
      </c>
      <c r="B46" s="102" t="s">
        <v>439</v>
      </c>
      <c r="C46" s="102" t="s">
        <v>440</v>
      </c>
    </row>
    <row r="47" ht="15.75" customHeight="1">
      <c r="A47" s="103" t="s">
        <v>104</v>
      </c>
      <c r="B47" s="103" t="s">
        <v>441</v>
      </c>
      <c r="C47" s="103" t="s">
        <v>442</v>
      </c>
    </row>
    <row r="48" ht="15.75" customHeight="1">
      <c r="A48" s="102" t="s">
        <v>21</v>
      </c>
      <c r="B48" s="102" t="s">
        <v>169</v>
      </c>
      <c r="C48" s="102" t="s">
        <v>443</v>
      </c>
    </row>
    <row r="49" ht="15.75" customHeight="1">
      <c r="A49" s="103" t="s">
        <v>157</v>
      </c>
      <c r="B49" s="103" t="s">
        <v>444</v>
      </c>
      <c r="C49" s="103" t="s">
        <v>445</v>
      </c>
    </row>
    <row r="50" ht="15.75" customHeight="1">
      <c r="A50" s="102" t="s">
        <v>157</v>
      </c>
      <c r="B50" s="102" t="s">
        <v>446</v>
      </c>
      <c r="C50" s="102" t="s">
        <v>447</v>
      </c>
    </row>
    <row r="51" ht="15.75" customHeight="1">
      <c r="A51" s="103" t="s">
        <v>157</v>
      </c>
      <c r="B51" s="103" t="s">
        <v>448</v>
      </c>
      <c r="C51" s="103" t="s">
        <v>449</v>
      </c>
    </row>
    <row r="52" ht="15.75" customHeight="1">
      <c r="A52" s="102" t="s">
        <v>157</v>
      </c>
      <c r="B52" s="102" t="s">
        <v>450</v>
      </c>
      <c r="C52" s="102" t="s">
        <v>451</v>
      </c>
    </row>
    <row r="53" ht="15.75" customHeight="1">
      <c r="A53" s="103" t="s">
        <v>157</v>
      </c>
      <c r="B53" s="103" t="s">
        <v>158</v>
      </c>
      <c r="C53" s="103" t="s">
        <v>452</v>
      </c>
    </row>
    <row r="54" ht="15.75" customHeight="1">
      <c r="A54" s="102" t="s">
        <v>157</v>
      </c>
      <c r="B54" s="102" t="s">
        <v>453</v>
      </c>
      <c r="C54" s="102" t="s">
        <v>454</v>
      </c>
    </row>
    <row r="55" ht="15.75" customHeight="1">
      <c r="A55" s="103" t="s">
        <v>157</v>
      </c>
      <c r="B55" s="103" t="s">
        <v>455</v>
      </c>
      <c r="C55" s="103" t="s">
        <v>456</v>
      </c>
    </row>
    <row r="56" ht="15.75" customHeight="1">
      <c r="A56" s="102" t="s">
        <v>21</v>
      </c>
      <c r="B56" s="102" t="s">
        <v>457</v>
      </c>
      <c r="C56" s="102" t="s">
        <v>458</v>
      </c>
    </row>
    <row r="57" ht="15.75" customHeight="1">
      <c r="A57" s="103" t="s">
        <v>172</v>
      </c>
      <c r="B57" s="103" t="s">
        <v>89</v>
      </c>
      <c r="C57" s="103" t="s">
        <v>459</v>
      </c>
    </row>
    <row r="58" ht="15.75" customHeight="1">
      <c r="A58" s="104" t="s">
        <v>88</v>
      </c>
      <c r="B58" s="105" t="s">
        <v>460</v>
      </c>
      <c r="C58" s="102" t="s">
        <v>461</v>
      </c>
    </row>
    <row r="59" ht="15.75" customHeight="1">
      <c r="A59" s="106" t="s">
        <v>88</v>
      </c>
      <c r="B59" s="107" t="s">
        <v>462</v>
      </c>
      <c r="C59" s="103" t="s">
        <v>463</v>
      </c>
    </row>
    <row r="60" ht="15.75" customHeight="1">
      <c r="A60" s="104" t="s">
        <v>88</v>
      </c>
      <c r="B60" s="108" t="s">
        <v>464</v>
      </c>
      <c r="C60" s="102" t="s">
        <v>465</v>
      </c>
    </row>
    <row r="61" ht="15.75" customHeight="1">
      <c r="A61" s="106" t="s">
        <v>88</v>
      </c>
      <c r="B61" s="109" t="s">
        <v>285</v>
      </c>
      <c r="C61" s="103" t="s">
        <v>466</v>
      </c>
    </row>
    <row r="62" ht="15.75" customHeight="1">
      <c r="A62" s="104" t="s">
        <v>88</v>
      </c>
      <c r="B62" s="102" t="s">
        <v>467</v>
      </c>
      <c r="C62" s="102" t="s">
        <v>468</v>
      </c>
    </row>
    <row r="63" ht="15.75" customHeight="1">
      <c r="A63" s="106" t="s">
        <v>88</v>
      </c>
      <c r="B63" s="103" t="s">
        <v>469</v>
      </c>
      <c r="C63" s="103" t="s">
        <v>470</v>
      </c>
    </row>
    <row r="64" ht="15.75" customHeight="1">
      <c r="A64" s="104" t="s">
        <v>88</v>
      </c>
      <c r="B64" s="102" t="s">
        <v>471</v>
      </c>
      <c r="C64" s="102" t="s">
        <v>472</v>
      </c>
    </row>
    <row r="65" ht="15.75" customHeight="1">
      <c r="A65" s="106" t="s">
        <v>88</v>
      </c>
      <c r="B65" s="103" t="s">
        <v>473</v>
      </c>
      <c r="C65" s="103" t="s">
        <v>474</v>
      </c>
    </row>
    <row r="66" ht="15.75" customHeight="1">
      <c r="A66" s="104" t="s">
        <v>88</v>
      </c>
      <c r="B66" s="102" t="s">
        <v>475</v>
      </c>
      <c r="C66" s="102" t="s">
        <v>476</v>
      </c>
    </row>
    <row r="67" ht="15.75" customHeight="1">
      <c r="A67" s="106" t="s">
        <v>88</v>
      </c>
      <c r="B67" s="103" t="s">
        <v>477</v>
      </c>
      <c r="C67" s="103" t="s">
        <v>478</v>
      </c>
    </row>
    <row r="68" ht="15.75" customHeight="1">
      <c r="A68" s="104" t="s">
        <v>88</v>
      </c>
      <c r="B68" s="102" t="s">
        <v>479</v>
      </c>
      <c r="C68" s="102" t="s">
        <v>480</v>
      </c>
    </row>
    <row r="69" ht="15.75" customHeight="1">
      <c r="A69" s="106" t="s">
        <v>88</v>
      </c>
      <c r="B69" s="103" t="s">
        <v>481</v>
      </c>
      <c r="C69" s="103" t="s">
        <v>482</v>
      </c>
    </row>
    <row r="70" ht="15.75" customHeight="1">
      <c r="A70" s="104" t="s">
        <v>88</v>
      </c>
      <c r="B70" s="102" t="s">
        <v>483</v>
      </c>
      <c r="C70" s="102" t="s">
        <v>484</v>
      </c>
    </row>
    <row r="71" ht="15.75" customHeight="1">
      <c r="A71" s="106" t="s">
        <v>88</v>
      </c>
      <c r="B71" s="107" t="s">
        <v>485</v>
      </c>
      <c r="C71" s="103" t="s">
        <v>486</v>
      </c>
    </row>
    <row r="72" ht="15.75" customHeight="1">
      <c r="A72" s="104" t="s">
        <v>88</v>
      </c>
      <c r="B72" s="108" t="s">
        <v>487</v>
      </c>
      <c r="C72" s="102" t="s">
        <v>488</v>
      </c>
    </row>
    <row r="73" ht="15.75" customHeight="1">
      <c r="A73" s="106" t="s">
        <v>88</v>
      </c>
      <c r="B73" s="107" t="s">
        <v>489</v>
      </c>
      <c r="C73" s="103" t="s">
        <v>490</v>
      </c>
    </row>
    <row r="74" ht="15.75" customHeight="1">
      <c r="A74" s="104" t="s">
        <v>88</v>
      </c>
      <c r="B74" s="108" t="s">
        <v>491</v>
      </c>
      <c r="C74" s="102" t="s">
        <v>492</v>
      </c>
    </row>
    <row r="75" ht="15.75" customHeight="1">
      <c r="A75" s="106" t="s">
        <v>88</v>
      </c>
      <c r="B75" s="107" t="s">
        <v>307</v>
      </c>
      <c r="C75" s="103" t="s">
        <v>493</v>
      </c>
    </row>
    <row r="76" ht="15.75" customHeight="1">
      <c r="A76" s="106" t="s">
        <v>88</v>
      </c>
      <c r="B76" s="108" t="s">
        <v>494</v>
      </c>
      <c r="C76" s="102" t="s">
        <v>495</v>
      </c>
    </row>
    <row r="77" ht="15.75" customHeight="1">
      <c r="A77" s="106" t="s">
        <v>88</v>
      </c>
      <c r="B77" s="107" t="s">
        <v>496</v>
      </c>
      <c r="C77" s="103" t="s">
        <v>497</v>
      </c>
    </row>
    <row r="78" ht="15.75" customHeight="1">
      <c r="A78" s="104" t="s">
        <v>145</v>
      </c>
      <c r="B78" s="108" t="s">
        <v>498</v>
      </c>
      <c r="C78" s="102" t="s">
        <v>499</v>
      </c>
    </row>
    <row r="79" ht="15.75" customHeight="1">
      <c r="A79" s="106" t="s">
        <v>145</v>
      </c>
      <c r="B79" s="106" t="s">
        <v>500</v>
      </c>
      <c r="C79" s="103" t="s">
        <v>501</v>
      </c>
    </row>
    <row r="80" ht="15.75" customHeight="1">
      <c r="A80" s="102" t="s">
        <v>21</v>
      </c>
      <c r="B80" s="108" t="s">
        <v>502</v>
      </c>
      <c r="C80" s="102" t="s">
        <v>503</v>
      </c>
    </row>
    <row r="81" ht="15.75" customHeight="1">
      <c r="A81" s="103" t="s">
        <v>21</v>
      </c>
      <c r="B81" s="107" t="s">
        <v>504</v>
      </c>
      <c r="C81" s="103" t="s">
        <v>382</v>
      </c>
    </row>
    <row r="82" ht="15.75" customHeight="1">
      <c r="A82" s="102" t="s">
        <v>21</v>
      </c>
      <c r="B82" s="108" t="s">
        <v>505</v>
      </c>
      <c r="C82" s="102" t="s">
        <v>506</v>
      </c>
    </row>
    <row r="83" ht="15.75" customHeight="1">
      <c r="A83" s="103" t="s">
        <v>21</v>
      </c>
      <c r="B83" s="107" t="s">
        <v>507</v>
      </c>
      <c r="C83" s="103" t="s">
        <v>508</v>
      </c>
    </row>
    <row r="84" ht="15.75" customHeight="1">
      <c r="A84" s="104" t="s">
        <v>43</v>
      </c>
      <c r="B84" s="108" t="s">
        <v>509</v>
      </c>
      <c r="C84" s="102" t="s">
        <v>510</v>
      </c>
    </row>
    <row r="85" ht="15.75" customHeight="1">
      <c r="A85" s="103" t="s">
        <v>21</v>
      </c>
      <c r="B85" s="107" t="s">
        <v>511</v>
      </c>
      <c r="C85" s="103" t="s">
        <v>512</v>
      </c>
    </row>
    <row r="86" ht="15.75" customHeight="1">
      <c r="A86" s="110" t="s">
        <v>178</v>
      </c>
      <c r="B86" s="108" t="s">
        <v>179</v>
      </c>
      <c r="C86" s="102" t="s">
        <v>513</v>
      </c>
    </row>
    <row r="87" ht="15.75" customHeight="1">
      <c r="A87" s="111" t="s">
        <v>178</v>
      </c>
      <c r="B87" s="107" t="s">
        <v>209</v>
      </c>
      <c r="C87" s="103" t="s">
        <v>514</v>
      </c>
    </row>
    <row r="88" ht="15.75" customHeight="1">
      <c r="A88" s="104" t="s">
        <v>88</v>
      </c>
      <c r="B88" s="108" t="s">
        <v>515</v>
      </c>
      <c r="C88" s="102" t="s">
        <v>516</v>
      </c>
    </row>
    <row r="89" ht="15.75" customHeight="1">
      <c r="A89" s="106" t="s">
        <v>88</v>
      </c>
      <c r="B89" s="107" t="s">
        <v>517</v>
      </c>
      <c r="C89" s="103" t="s">
        <v>518</v>
      </c>
    </row>
    <row r="90" ht="15.75" customHeight="1">
      <c r="A90" s="104" t="s">
        <v>88</v>
      </c>
      <c r="B90" s="108" t="s">
        <v>519</v>
      </c>
      <c r="C90" s="102" t="s">
        <v>520</v>
      </c>
    </row>
    <row r="91" ht="15.75" customHeight="1">
      <c r="A91" s="106" t="s">
        <v>88</v>
      </c>
      <c r="B91" s="107" t="s">
        <v>521</v>
      </c>
      <c r="C91" s="103" t="s">
        <v>522</v>
      </c>
    </row>
    <row r="92" ht="15.75" customHeight="1">
      <c r="A92" s="104" t="s">
        <v>178</v>
      </c>
      <c r="B92" s="105" t="s">
        <v>208</v>
      </c>
      <c r="C92" s="102" t="s">
        <v>523</v>
      </c>
    </row>
    <row r="93" ht="15.75" customHeight="1">
      <c r="A93" s="106" t="s">
        <v>88</v>
      </c>
      <c r="B93" s="107" t="s">
        <v>524</v>
      </c>
      <c r="C93" s="103" t="s">
        <v>525</v>
      </c>
    </row>
    <row r="94" ht="15.75" customHeight="1">
      <c r="A94" s="104" t="s">
        <v>178</v>
      </c>
      <c r="B94" s="112" t="s">
        <v>526</v>
      </c>
      <c r="C94" s="102" t="s">
        <v>527</v>
      </c>
    </row>
    <row r="95" ht="15.75" customHeight="1">
      <c r="A95" s="106" t="s">
        <v>88</v>
      </c>
      <c r="B95" s="107" t="s">
        <v>528</v>
      </c>
      <c r="C95" s="103" t="s">
        <v>529</v>
      </c>
    </row>
    <row r="96" ht="15.75" customHeight="1">
      <c r="A96" s="104" t="s">
        <v>178</v>
      </c>
      <c r="B96" s="105" t="s">
        <v>201</v>
      </c>
      <c r="C96" s="102" t="s">
        <v>530</v>
      </c>
    </row>
    <row r="97" ht="15.75" customHeight="1">
      <c r="A97" s="106" t="s">
        <v>88</v>
      </c>
      <c r="B97" s="107" t="s">
        <v>531</v>
      </c>
      <c r="C97" s="103" t="s">
        <v>532</v>
      </c>
    </row>
    <row r="98" ht="15.75" customHeight="1">
      <c r="A98" s="104" t="s">
        <v>178</v>
      </c>
      <c r="B98" s="108" t="s">
        <v>533</v>
      </c>
      <c r="C98" s="102" t="s">
        <v>534</v>
      </c>
    </row>
    <row r="99" ht="15.75" customHeight="1">
      <c r="A99" s="106" t="s">
        <v>88</v>
      </c>
      <c r="B99" s="107" t="s">
        <v>143</v>
      </c>
      <c r="C99" s="103" t="s">
        <v>535</v>
      </c>
    </row>
    <row r="100" ht="15.75" customHeight="1">
      <c r="A100" s="104" t="s">
        <v>178</v>
      </c>
      <c r="B100" s="112" t="s">
        <v>536</v>
      </c>
      <c r="C100" s="102" t="s">
        <v>537</v>
      </c>
    </row>
    <row r="101" ht="15.75" customHeight="1">
      <c r="A101" s="106" t="s">
        <v>88</v>
      </c>
      <c r="B101" s="103" t="s">
        <v>120</v>
      </c>
      <c r="C101" s="103" t="s">
        <v>538</v>
      </c>
    </row>
    <row r="102" ht="15.75" customHeight="1">
      <c r="A102" s="104" t="s">
        <v>178</v>
      </c>
      <c r="B102" s="105" t="s">
        <v>539</v>
      </c>
      <c r="C102" s="102" t="s">
        <v>540</v>
      </c>
    </row>
    <row r="103" ht="15.75" customHeight="1">
      <c r="A103" s="106" t="s">
        <v>88</v>
      </c>
      <c r="B103" s="109" t="s">
        <v>246</v>
      </c>
      <c r="C103" s="103" t="s">
        <v>541</v>
      </c>
    </row>
    <row r="104" ht="15.75" customHeight="1">
      <c r="A104" s="104" t="s">
        <v>178</v>
      </c>
      <c r="B104" s="108" t="s">
        <v>542</v>
      </c>
      <c r="C104" s="102" t="s">
        <v>543</v>
      </c>
    </row>
    <row r="105" ht="15.75" customHeight="1">
      <c r="A105" s="106" t="s">
        <v>88</v>
      </c>
      <c r="B105" s="109" t="s">
        <v>544</v>
      </c>
      <c r="C105" s="103" t="s">
        <v>545</v>
      </c>
    </row>
    <row r="106" ht="15.75" customHeight="1">
      <c r="A106" s="104" t="s">
        <v>178</v>
      </c>
      <c r="B106" s="108" t="s">
        <v>207</v>
      </c>
      <c r="C106" s="102" t="s">
        <v>546</v>
      </c>
    </row>
    <row r="107" ht="15.75" customHeight="1">
      <c r="A107" s="106" t="s">
        <v>547</v>
      </c>
      <c r="B107" s="107" t="s">
        <v>548</v>
      </c>
      <c r="C107" s="103" t="s">
        <v>549</v>
      </c>
    </row>
    <row r="108" ht="15.75" customHeight="1">
      <c r="A108" s="104" t="s">
        <v>104</v>
      </c>
      <c r="B108" s="108" t="s">
        <v>550</v>
      </c>
      <c r="C108" s="102" t="s">
        <v>382</v>
      </c>
    </row>
    <row r="109" ht="15.75" customHeight="1">
      <c r="A109" s="106" t="s">
        <v>88</v>
      </c>
      <c r="B109" s="109" t="s">
        <v>551</v>
      </c>
      <c r="C109" s="103" t="s">
        <v>552</v>
      </c>
    </row>
    <row r="110" ht="15.75" customHeight="1">
      <c r="A110" s="104" t="s">
        <v>178</v>
      </c>
      <c r="B110" s="108" t="s">
        <v>553</v>
      </c>
      <c r="C110" s="102" t="s">
        <v>554</v>
      </c>
    </row>
    <row r="111" ht="15.75" customHeight="1">
      <c r="A111" s="106" t="s">
        <v>178</v>
      </c>
      <c r="B111" s="107" t="s">
        <v>555</v>
      </c>
      <c r="C111" s="103" t="s">
        <v>556</v>
      </c>
    </row>
    <row r="112" ht="15.75" customHeight="1">
      <c r="A112" s="104" t="s">
        <v>88</v>
      </c>
      <c r="B112" s="108" t="s">
        <v>557</v>
      </c>
      <c r="C112" s="102" t="s">
        <v>558</v>
      </c>
    </row>
    <row r="113" ht="15.75" customHeight="1">
      <c r="A113" s="106" t="s">
        <v>88</v>
      </c>
      <c r="B113" s="107" t="s">
        <v>559</v>
      </c>
      <c r="C113" s="103" t="s">
        <v>560</v>
      </c>
    </row>
    <row r="114" ht="15.75" customHeight="1">
      <c r="A114" s="104" t="s">
        <v>178</v>
      </c>
      <c r="B114" s="108" t="s">
        <v>561</v>
      </c>
      <c r="C114" s="102" t="s">
        <v>562</v>
      </c>
    </row>
    <row r="115" ht="15.75" customHeight="1">
      <c r="A115" s="106" t="s">
        <v>178</v>
      </c>
      <c r="B115" s="107" t="s">
        <v>563</v>
      </c>
      <c r="C115" s="103" t="s">
        <v>564</v>
      </c>
    </row>
    <row r="116" ht="15.75" customHeight="1">
      <c r="A116" s="104" t="s">
        <v>88</v>
      </c>
      <c r="B116" s="105" t="s">
        <v>565</v>
      </c>
      <c r="C116" s="102" t="s">
        <v>566</v>
      </c>
    </row>
    <row r="117" ht="15.75" customHeight="1">
      <c r="A117" s="106" t="s">
        <v>178</v>
      </c>
      <c r="B117" s="113" t="s">
        <v>202</v>
      </c>
      <c r="C117" s="103" t="s">
        <v>567</v>
      </c>
    </row>
    <row r="118" ht="15.75" customHeight="1">
      <c r="A118" s="104" t="s">
        <v>178</v>
      </c>
      <c r="B118" s="112" t="s">
        <v>568</v>
      </c>
      <c r="C118" s="102" t="s">
        <v>569</v>
      </c>
    </row>
    <row r="119" ht="15.75" customHeight="1">
      <c r="A119" s="106" t="s">
        <v>88</v>
      </c>
      <c r="B119" s="107" t="s">
        <v>570</v>
      </c>
      <c r="C119" s="103" t="s">
        <v>382</v>
      </c>
    </row>
    <row r="120" ht="15.75" customHeight="1">
      <c r="A120" s="104" t="s">
        <v>178</v>
      </c>
      <c r="B120" s="108" t="s">
        <v>571</v>
      </c>
      <c r="C120" s="102" t="s">
        <v>572</v>
      </c>
    </row>
    <row r="121" ht="15.75" customHeight="1">
      <c r="A121" s="106" t="s">
        <v>178</v>
      </c>
      <c r="B121" s="103" t="s">
        <v>573</v>
      </c>
      <c r="C121" s="103" t="s">
        <v>574</v>
      </c>
    </row>
    <row r="122" ht="15.75" customHeight="1">
      <c r="A122" s="104" t="s">
        <v>21</v>
      </c>
      <c r="B122" s="102" t="s">
        <v>575</v>
      </c>
      <c r="C122" s="102" t="s">
        <v>576</v>
      </c>
    </row>
    <row r="123" ht="15.75" customHeight="1">
      <c r="A123" s="106" t="s">
        <v>43</v>
      </c>
      <c r="B123" s="103" t="s">
        <v>577</v>
      </c>
      <c r="C123" s="103" t="s">
        <v>578</v>
      </c>
    </row>
    <row r="124" ht="15.75" customHeight="1">
      <c r="A124" s="104" t="s">
        <v>43</v>
      </c>
      <c r="B124" s="102" t="s">
        <v>213</v>
      </c>
      <c r="C124" s="102" t="s">
        <v>579</v>
      </c>
    </row>
    <row r="125" ht="15.75" customHeight="1">
      <c r="A125" s="106" t="s">
        <v>43</v>
      </c>
      <c r="B125" s="103" t="s">
        <v>580</v>
      </c>
      <c r="C125" s="103" t="s">
        <v>581</v>
      </c>
    </row>
    <row r="126" ht="15.75" customHeight="1">
      <c r="A126" s="104" t="s">
        <v>43</v>
      </c>
      <c r="B126" s="102" t="s">
        <v>112</v>
      </c>
      <c r="C126" s="102" t="s">
        <v>582</v>
      </c>
    </row>
    <row r="127" ht="15.75" customHeight="1">
      <c r="A127" s="106" t="s">
        <v>43</v>
      </c>
      <c r="B127" s="103" t="s">
        <v>132</v>
      </c>
      <c r="C127" s="103" t="s">
        <v>583</v>
      </c>
    </row>
    <row r="128" ht="15.75" customHeight="1">
      <c r="A128" s="104" t="s">
        <v>43</v>
      </c>
      <c r="B128" s="102" t="s">
        <v>584</v>
      </c>
      <c r="C128" s="102" t="s">
        <v>585</v>
      </c>
    </row>
    <row r="129" ht="15.75" customHeight="1">
      <c r="A129" s="106" t="s">
        <v>43</v>
      </c>
      <c r="B129" s="103" t="s">
        <v>586</v>
      </c>
      <c r="C129" s="103" t="s">
        <v>587</v>
      </c>
    </row>
    <row r="130" ht="15.75" customHeight="1">
      <c r="A130" s="104" t="s">
        <v>43</v>
      </c>
      <c r="B130" s="102" t="s">
        <v>588</v>
      </c>
      <c r="C130" s="102" t="s">
        <v>589</v>
      </c>
    </row>
    <row r="131" ht="15.75" customHeight="1">
      <c r="A131" s="106" t="s">
        <v>43</v>
      </c>
      <c r="B131" s="103" t="s">
        <v>343</v>
      </c>
      <c r="C131" s="103" t="s">
        <v>590</v>
      </c>
    </row>
    <row r="132" ht="15.75" customHeight="1">
      <c r="A132" s="104" t="s">
        <v>43</v>
      </c>
      <c r="B132" s="102" t="s">
        <v>591</v>
      </c>
      <c r="C132" s="102" t="s">
        <v>592</v>
      </c>
    </row>
    <row r="133" ht="15.75" customHeight="1">
      <c r="A133" s="106" t="s">
        <v>86</v>
      </c>
      <c r="B133" s="103" t="s">
        <v>593</v>
      </c>
      <c r="C133" s="103" t="s">
        <v>594</v>
      </c>
    </row>
    <row r="134" ht="15.75" customHeight="1">
      <c r="A134" s="104" t="s">
        <v>43</v>
      </c>
      <c r="B134" s="102" t="s">
        <v>53</v>
      </c>
      <c r="C134" s="102" t="s">
        <v>595</v>
      </c>
    </row>
    <row r="135" ht="15.75" customHeight="1">
      <c r="A135" s="106" t="s">
        <v>43</v>
      </c>
      <c r="B135" s="103" t="s">
        <v>596</v>
      </c>
      <c r="C135" s="103" t="s">
        <v>597</v>
      </c>
    </row>
    <row r="136" ht="15.75" customHeight="1">
      <c r="A136" s="104" t="s">
        <v>88</v>
      </c>
      <c r="B136" s="102" t="s">
        <v>598</v>
      </c>
      <c r="C136" s="102" t="s">
        <v>382</v>
      </c>
    </row>
    <row r="137" ht="15.75" customHeight="1">
      <c r="A137" s="106" t="s">
        <v>21</v>
      </c>
      <c r="B137" s="103" t="s">
        <v>249</v>
      </c>
      <c r="C137" s="103" t="s">
        <v>599</v>
      </c>
    </row>
    <row r="138" ht="15.75" customHeight="1">
      <c r="A138" s="104" t="s">
        <v>43</v>
      </c>
      <c r="B138" s="102" t="s">
        <v>600</v>
      </c>
      <c r="C138" s="102" t="s">
        <v>601</v>
      </c>
    </row>
    <row r="139" ht="15.75" customHeight="1">
      <c r="A139" s="106" t="s">
        <v>43</v>
      </c>
      <c r="B139" s="103" t="s">
        <v>602</v>
      </c>
      <c r="C139" s="103" t="s">
        <v>603</v>
      </c>
    </row>
    <row r="140" ht="15.75" customHeight="1">
      <c r="A140" s="104" t="s">
        <v>43</v>
      </c>
      <c r="B140" s="102" t="s">
        <v>79</v>
      </c>
      <c r="C140" s="102" t="s">
        <v>604</v>
      </c>
    </row>
    <row r="141" ht="15.75" customHeight="1">
      <c r="A141" s="106" t="s">
        <v>43</v>
      </c>
      <c r="B141" s="103" t="s">
        <v>77</v>
      </c>
      <c r="C141" s="103" t="s">
        <v>605</v>
      </c>
    </row>
    <row r="142" ht="15.75" customHeight="1">
      <c r="A142" s="104" t="s">
        <v>43</v>
      </c>
      <c r="B142" s="102" t="s">
        <v>606</v>
      </c>
      <c r="C142" s="102" t="s">
        <v>607</v>
      </c>
    </row>
    <row r="143" ht="15.75" customHeight="1">
      <c r="A143" s="106" t="s">
        <v>43</v>
      </c>
      <c r="B143" s="103" t="s">
        <v>608</v>
      </c>
      <c r="C143" s="103" t="s">
        <v>609</v>
      </c>
    </row>
    <row r="144" ht="15.75" customHeight="1">
      <c r="A144" s="104" t="s">
        <v>43</v>
      </c>
      <c r="B144" s="102" t="s">
        <v>610</v>
      </c>
      <c r="C144" s="102" t="s">
        <v>611</v>
      </c>
    </row>
    <row r="145" ht="15.75" customHeight="1">
      <c r="A145" s="106" t="s">
        <v>43</v>
      </c>
      <c r="B145" s="103" t="s">
        <v>612</v>
      </c>
      <c r="C145" s="103" t="s">
        <v>613</v>
      </c>
    </row>
    <row r="146" ht="15.75" customHeight="1">
      <c r="A146" s="104" t="s">
        <v>43</v>
      </c>
      <c r="B146" s="102" t="s">
        <v>109</v>
      </c>
      <c r="C146" s="102" t="s">
        <v>614</v>
      </c>
    </row>
    <row r="147" ht="15.75" customHeight="1">
      <c r="A147" s="106" t="s">
        <v>43</v>
      </c>
      <c r="B147" s="103" t="s">
        <v>615</v>
      </c>
      <c r="C147" s="103" t="s">
        <v>616</v>
      </c>
    </row>
    <row r="148" ht="15.75" customHeight="1">
      <c r="A148" s="104" t="s">
        <v>21</v>
      </c>
      <c r="B148" s="102" t="s">
        <v>617</v>
      </c>
      <c r="C148" s="102" t="s">
        <v>618</v>
      </c>
    </row>
    <row r="149" ht="15.75" customHeight="1">
      <c r="A149" s="106" t="s">
        <v>21</v>
      </c>
      <c r="B149" s="103" t="s">
        <v>51</v>
      </c>
      <c r="C149" s="103" t="s">
        <v>619</v>
      </c>
    </row>
    <row r="150" ht="15.75" customHeight="1">
      <c r="A150" s="104" t="s">
        <v>88</v>
      </c>
      <c r="B150" s="105" t="s">
        <v>620</v>
      </c>
      <c r="C150" s="102" t="s">
        <v>621</v>
      </c>
    </row>
    <row r="151" ht="15.75" customHeight="1">
      <c r="A151" s="106" t="s">
        <v>178</v>
      </c>
      <c r="B151" s="114" t="s">
        <v>622</v>
      </c>
      <c r="C151" s="103" t="s">
        <v>623</v>
      </c>
    </row>
    <row r="152" ht="15.75" customHeight="1">
      <c r="A152" s="104" t="s">
        <v>408</v>
      </c>
      <c r="B152" s="108" t="s">
        <v>624</v>
      </c>
      <c r="C152" s="102" t="s">
        <v>625</v>
      </c>
    </row>
    <row r="153" ht="15.75" customHeight="1">
      <c r="A153" s="106" t="s">
        <v>408</v>
      </c>
      <c r="B153" s="107" t="s">
        <v>626</v>
      </c>
      <c r="C153" s="103" t="s">
        <v>627</v>
      </c>
    </row>
    <row r="154" ht="15.75" customHeight="1">
      <c r="A154" s="104" t="s">
        <v>178</v>
      </c>
      <c r="B154" s="108" t="s">
        <v>628</v>
      </c>
      <c r="C154" s="102" t="s">
        <v>629</v>
      </c>
    </row>
    <row r="155" ht="15.75" customHeight="1">
      <c r="A155" s="106" t="s">
        <v>178</v>
      </c>
      <c r="B155" s="107" t="s">
        <v>630</v>
      </c>
      <c r="C155" s="103" t="s">
        <v>631</v>
      </c>
    </row>
    <row r="156" ht="15.75" customHeight="1">
      <c r="A156" s="104" t="s">
        <v>178</v>
      </c>
      <c r="B156" s="108" t="s">
        <v>632</v>
      </c>
      <c r="C156" s="102" t="s">
        <v>633</v>
      </c>
    </row>
    <row r="157" ht="15.75" customHeight="1">
      <c r="A157" s="106" t="s">
        <v>178</v>
      </c>
      <c r="B157" s="107" t="s">
        <v>634</v>
      </c>
      <c r="C157" s="103" t="s">
        <v>635</v>
      </c>
    </row>
    <row r="158" ht="15.75" customHeight="1">
      <c r="A158" s="104" t="s">
        <v>88</v>
      </c>
      <c r="B158" s="105" t="s">
        <v>636</v>
      </c>
      <c r="C158" s="102" t="s">
        <v>637</v>
      </c>
    </row>
    <row r="159" ht="15.75" customHeight="1">
      <c r="A159" s="106" t="s">
        <v>178</v>
      </c>
      <c r="B159" s="112" t="s">
        <v>205</v>
      </c>
      <c r="C159" s="103" t="s">
        <v>638</v>
      </c>
    </row>
    <row r="160" ht="15.75" customHeight="1">
      <c r="A160" s="104" t="s">
        <v>178</v>
      </c>
      <c r="B160" s="108" t="s">
        <v>639</v>
      </c>
      <c r="C160" s="102" t="s">
        <v>640</v>
      </c>
    </row>
    <row r="161" ht="15.75" customHeight="1">
      <c r="A161" s="115" t="s">
        <v>88</v>
      </c>
      <c r="B161" s="102" t="s">
        <v>641</v>
      </c>
      <c r="C161" s="102" t="s">
        <v>642</v>
      </c>
    </row>
    <row r="162" ht="15.75" customHeight="1">
      <c r="A162" s="115" t="s">
        <v>88</v>
      </c>
      <c r="B162" s="107" t="s">
        <v>643</v>
      </c>
      <c r="C162" s="103" t="s">
        <v>644</v>
      </c>
    </row>
    <row r="163" ht="15.75" customHeight="1">
      <c r="A163" s="115" t="s">
        <v>88</v>
      </c>
      <c r="B163" s="108" t="s">
        <v>645</v>
      </c>
      <c r="C163" s="102" t="s">
        <v>646</v>
      </c>
    </row>
    <row r="164" ht="15.75" customHeight="1">
      <c r="A164" s="115" t="s">
        <v>178</v>
      </c>
      <c r="B164" s="107" t="s">
        <v>181</v>
      </c>
      <c r="C164" s="103" t="s">
        <v>647</v>
      </c>
    </row>
    <row r="165" ht="15.75" customHeight="1">
      <c r="A165" s="115" t="s">
        <v>178</v>
      </c>
      <c r="B165" s="108" t="s">
        <v>206</v>
      </c>
      <c r="C165" s="102" t="s">
        <v>382</v>
      </c>
    </row>
    <row r="166" ht="15.75" customHeight="1">
      <c r="A166" s="115" t="s">
        <v>88</v>
      </c>
      <c r="B166" s="107" t="s">
        <v>648</v>
      </c>
      <c r="C166" s="103" t="s">
        <v>649</v>
      </c>
    </row>
    <row r="167" ht="15.75" customHeight="1">
      <c r="A167" s="115" t="s">
        <v>88</v>
      </c>
      <c r="B167" s="108" t="s">
        <v>650</v>
      </c>
      <c r="C167" s="102" t="s">
        <v>651</v>
      </c>
    </row>
    <row r="168" ht="15.75" customHeight="1">
      <c r="A168" s="115" t="s">
        <v>88</v>
      </c>
      <c r="B168" s="107" t="s">
        <v>652</v>
      </c>
      <c r="C168" s="103" t="s">
        <v>653</v>
      </c>
    </row>
    <row r="169" ht="15.75" customHeight="1">
      <c r="A169" s="115" t="s">
        <v>88</v>
      </c>
      <c r="B169" s="108" t="s">
        <v>654</v>
      </c>
      <c r="C169" s="102" t="s">
        <v>655</v>
      </c>
    </row>
    <row r="170" ht="15.75" customHeight="1">
      <c r="A170" s="115" t="s">
        <v>88</v>
      </c>
      <c r="B170" s="105" t="s">
        <v>656</v>
      </c>
      <c r="C170" s="103" t="s">
        <v>657</v>
      </c>
    </row>
    <row r="171" ht="15.75" customHeight="1">
      <c r="A171" s="115" t="s">
        <v>43</v>
      </c>
      <c r="B171" s="116" t="s">
        <v>658</v>
      </c>
      <c r="C171" s="102" t="s">
        <v>659</v>
      </c>
    </row>
    <row r="172" ht="15.75" customHeight="1">
      <c r="A172" s="115" t="s">
        <v>43</v>
      </c>
      <c r="B172" s="117" t="s">
        <v>660</v>
      </c>
      <c r="C172" s="103" t="s">
        <v>661</v>
      </c>
    </row>
    <row r="173" ht="15.75" customHeight="1">
      <c r="A173" s="115" t="s">
        <v>43</v>
      </c>
      <c r="B173" s="102" t="s">
        <v>342</v>
      </c>
      <c r="C173" s="102" t="s">
        <v>662</v>
      </c>
    </row>
    <row r="174" ht="15.75" customHeight="1">
      <c r="A174" s="115" t="s">
        <v>43</v>
      </c>
      <c r="B174" s="117" t="s">
        <v>663</v>
      </c>
      <c r="C174" s="103" t="s">
        <v>664</v>
      </c>
    </row>
    <row r="175" ht="15.75" customHeight="1">
      <c r="A175" s="115" t="s">
        <v>178</v>
      </c>
      <c r="B175" s="110" t="s">
        <v>665</v>
      </c>
      <c r="C175" s="102" t="s">
        <v>666</v>
      </c>
    </row>
    <row r="176" ht="15.75" customHeight="1">
      <c r="A176" s="115" t="s">
        <v>178</v>
      </c>
      <c r="B176" s="107" t="s">
        <v>667</v>
      </c>
      <c r="C176" s="103" t="s">
        <v>668</v>
      </c>
    </row>
    <row r="177" ht="15.75" customHeight="1">
      <c r="A177" s="115" t="s">
        <v>178</v>
      </c>
      <c r="B177" s="108" t="s">
        <v>669</v>
      </c>
      <c r="C177" s="102" t="s">
        <v>670</v>
      </c>
    </row>
    <row r="178" ht="15.75" customHeight="1">
      <c r="A178" s="115" t="s">
        <v>178</v>
      </c>
      <c r="B178" s="107" t="s">
        <v>671</v>
      </c>
      <c r="C178" s="103" t="s">
        <v>672</v>
      </c>
    </row>
    <row r="179" ht="15.75" customHeight="1">
      <c r="A179" s="115" t="s">
        <v>178</v>
      </c>
      <c r="B179" s="108" t="s">
        <v>673</v>
      </c>
      <c r="C179" s="102" t="s">
        <v>674</v>
      </c>
    </row>
    <row r="180" ht="15.75" customHeight="1">
      <c r="A180" s="115" t="s">
        <v>88</v>
      </c>
      <c r="B180" s="107" t="s">
        <v>675</v>
      </c>
      <c r="C180" s="103" t="s">
        <v>676</v>
      </c>
    </row>
    <row r="181" ht="15.75" customHeight="1">
      <c r="A181" s="115" t="s">
        <v>172</v>
      </c>
      <c r="B181" s="108" t="s">
        <v>203</v>
      </c>
      <c r="C181" s="102" t="s">
        <v>677</v>
      </c>
    </row>
    <row r="182" ht="15.75" customHeight="1">
      <c r="A182" s="115" t="s">
        <v>172</v>
      </c>
      <c r="B182" s="107" t="s">
        <v>271</v>
      </c>
      <c r="C182" s="103" t="s">
        <v>678</v>
      </c>
    </row>
    <row r="183" ht="15.75" customHeight="1">
      <c r="A183" s="115" t="s">
        <v>172</v>
      </c>
      <c r="B183" s="108" t="s">
        <v>185</v>
      </c>
      <c r="C183" s="102" t="s">
        <v>679</v>
      </c>
    </row>
    <row r="184" ht="15.75" customHeight="1">
      <c r="A184" s="115" t="s">
        <v>172</v>
      </c>
      <c r="B184" s="107" t="s">
        <v>173</v>
      </c>
      <c r="C184" s="103" t="s">
        <v>680</v>
      </c>
    </row>
    <row r="185" ht="15.75" customHeight="1">
      <c r="A185" s="115" t="s">
        <v>172</v>
      </c>
      <c r="B185" s="108" t="s">
        <v>681</v>
      </c>
      <c r="C185" s="102" t="s">
        <v>682</v>
      </c>
    </row>
    <row r="186" ht="15.75" customHeight="1">
      <c r="A186" s="115" t="s">
        <v>88</v>
      </c>
      <c r="B186" s="105" t="s">
        <v>122</v>
      </c>
      <c r="C186" s="103" t="s">
        <v>683</v>
      </c>
    </row>
    <row r="187" ht="15.75" customHeight="1">
      <c r="A187" s="115" t="s">
        <v>172</v>
      </c>
      <c r="B187" s="108" t="s">
        <v>194</v>
      </c>
      <c r="C187" s="102" t="s">
        <v>684</v>
      </c>
    </row>
    <row r="188" ht="15.75" customHeight="1">
      <c r="A188" s="115" t="s">
        <v>88</v>
      </c>
      <c r="B188" s="105" t="s">
        <v>154</v>
      </c>
      <c r="C188" s="103" t="s">
        <v>685</v>
      </c>
    </row>
    <row r="189" ht="15.75" customHeight="1">
      <c r="A189" s="115" t="s">
        <v>172</v>
      </c>
      <c r="B189" s="108" t="s">
        <v>686</v>
      </c>
      <c r="C189" s="102" t="s">
        <v>687</v>
      </c>
    </row>
    <row r="190" ht="15.75" customHeight="1">
      <c r="A190" s="115" t="s">
        <v>172</v>
      </c>
      <c r="B190" s="107" t="s">
        <v>688</v>
      </c>
      <c r="C190" s="103" t="s">
        <v>689</v>
      </c>
    </row>
    <row r="191" ht="15.75" customHeight="1">
      <c r="A191" s="115" t="s">
        <v>172</v>
      </c>
      <c r="B191" s="108" t="s">
        <v>690</v>
      </c>
      <c r="C191" s="102" t="s">
        <v>691</v>
      </c>
    </row>
    <row r="192" ht="15.75" customHeight="1">
      <c r="A192" s="115" t="s">
        <v>172</v>
      </c>
      <c r="B192" s="107" t="s">
        <v>692</v>
      </c>
      <c r="C192" s="103" t="s">
        <v>693</v>
      </c>
    </row>
    <row r="193" ht="15.75" customHeight="1">
      <c r="A193" s="115" t="s">
        <v>172</v>
      </c>
      <c r="B193" s="108" t="s">
        <v>694</v>
      </c>
      <c r="C193" s="102" t="s">
        <v>695</v>
      </c>
    </row>
    <row r="194" ht="15.75" customHeight="1">
      <c r="A194" s="115" t="s">
        <v>88</v>
      </c>
      <c r="B194" s="107" t="s">
        <v>696</v>
      </c>
      <c r="C194" s="103" t="s">
        <v>697</v>
      </c>
    </row>
    <row r="195" ht="15.75" customHeight="1">
      <c r="A195" s="115" t="s">
        <v>88</v>
      </c>
      <c r="B195" s="108" t="s">
        <v>698</v>
      </c>
      <c r="C195" s="102" t="s">
        <v>699</v>
      </c>
    </row>
    <row r="196" ht="15.75" customHeight="1">
      <c r="A196" s="115" t="s">
        <v>88</v>
      </c>
      <c r="B196" s="107" t="s">
        <v>700</v>
      </c>
      <c r="C196" s="103" t="s">
        <v>701</v>
      </c>
    </row>
    <row r="197" ht="15.75" customHeight="1">
      <c r="A197" s="115" t="s">
        <v>88</v>
      </c>
      <c r="B197" s="108" t="s">
        <v>702</v>
      </c>
      <c r="C197" s="102" t="s">
        <v>703</v>
      </c>
    </row>
    <row r="198" ht="15.75" customHeight="1">
      <c r="A198" s="115" t="s">
        <v>88</v>
      </c>
      <c r="B198" s="107" t="s">
        <v>245</v>
      </c>
      <c r="C198" s="103" t="s">
        <v>374</v>
      </c>
    </row>
    <row r="199" ht="15.75" customHeight="1">
      <c r="A199" s="115" t="s">
        <v>172</v>
      </c>
      <c r="B199" s="108" t="s">
        <v>704</v>
      </c>
      <c r="C199" s="102" t="s">
        <v>705</v>
      </c>
    </row>
    <row r="200" ht="15.75" customHeight="1">
      <c r="A200" s="115" t="s">
        <v>172</v>
      </c>
      <c r="B200" s="107" t="s">
        <v>706</v>
      </c>
      <c r="C200" s="103" t="s">
        <v>707</v>
      </c>
    </row>
    <row r="201" ht="15.75" customHeight="1">
      <c r="A201" s="115" t="s">
        <v>178</v>
      </c>
      <c r="B201" s="112" t="s">
        <v>708</v>
      </c>
      <c r="C201" s="102" t="s">
        <v>709</v>
      </c>
    </row>
    <row r="202" ht="15.75" customHeight="1">
      <c r="A202" s="115" t="s">
        <v>178</v>
      </c>
      <c r="B202" s="107" t="s">
        <v>710</v>
      </c>
      <c r="C202" s="103" t="s">
        <v>711</v>
      </c>
    </row>
    <row r="203" ht="15.75" customHeight="1">
      <c r="A203" s="115" t="s">
        <v>43</v>
      </c>
      <c r="B203" s="108" t="s">
        <v>712</v>
      </c>
      <c r="C203" s="102" t="s">
        <v>713</v>
      </c>
    </row>
    <row r="204" ht="15.75" customHeight="1">
      <c r="A204" s="115" t="s">
        <v>43</v>
      </c>
      <c r="B204" s="107" t="s">
        <v>714</v>
      </c>
      <c r="C204" s="103" t="s">
        <v>715</v>
      </c>
    </row>
    <row r="205" ht="15.75" customHeight="1">
      <c r="A205" s="115" t="s">
        <v>43</v>
      </c>
      <c r="B205" s="108" t="s">
        <v>716</v>
      </c>
      <c r="C205" s="102" t="s">
        <v>717</v>
      </c>
    </row>
    <row r="206" ht="15.75" customHeight="1">
      <c r="A206" s="115" t="s">
        <v>43</v>
      </c>
      <c r="B206" s="107" t="s">
        <v>248</v>
      </c>
      <c r="C206" s="103" t="s">
        <v>718</v>
      </c>
    </row>
    <row r="207" ht="15.75" customHeight="1">
      <c r="A207" s="115" t="s">
        <v>43</v>
      </c>
      <c r="B207" s="108" t="s">
        <v>111</v>
      </c>
      <c r="C207" s="102" t="s">
        <v>719</v>
      </c>
    </row>
    <row r="208" ht="15.75" customHeight="1">
      <c r="A208" s="115" t="s">
        <v>43</v>
      </c>
      <c r="B208" s="107" t="s">
        <v>720</v>
      </c>
      <c r="C208" s="103" t="s">
        <v>721</v>
      </c>
    </row>
    <row r="209" ht="15.75" customHeight="1">
      <c r="A209" s="115" t="s">
        <v>43</v>
      </c>
      <c r="B209" s="108" t="s">
        <v>722</v>
      </c>
      <c r="C209" s="102" t="s">
        <v>723</v>
      </c>
    </row>
    <row r="210" ht="15.75" customHeight="1">
      <c r="A210" s="115" t="s">
        <v>43</v>
      </c>
      <c r="B210" s="107" t="s">
        <v>724</v>
      </c>
      <c r="C210" s="103" t="s">
        <v>725</v>
      </c>
    </row>
    <row r="211" ht="15.75" customHeight="1">
      <c r="A211" s="115" t="s">
        <v>43</v>
      </c>
      <c r="B211" s="108" t="s">
        <v>726</v>
      </c>
      <c r="C211" s="102" t="s">
        <v>727</v>
      </c>
    </row>
    <row r="212" ht="15.75" customHeight="1">
      <c r="A212" s="115" t="s">
        <v>43</v>
      </c>
      <c r="B212" s="107" t="s">
        <v>728</v>
      </c>
      <c r="C212" s="103" t="s">
        <v>729</v>
      </c>
    </row>
    <row r="213" ht="15.75" customHeight="1">
      <c r="A213" s="115" t="s">
        <v>172</v>
      </c>
      <c r="B213" s="102" t="s">
        <v>730</v>
      </c>
      <c r="C213" s="102" t="s">
        <v>731</v>
      </c>
    </row>
    <row r="214" ht="15.75" customHeight="1">
      <c r="A214" s="115" t="s">
        <v>172</v>
      </c>
      <c r="B214" s="107" t="s">
        <v>732</v>
      </c>
      <c r="C214" s="103" t="s">
        <v>733</v>
      </c>
    </row>
    <row r="215" ht="15.75" customHeight="1">
      <c r="A215" s="115" t="s">
        <v>172</v>
      </c>
      <c r="B215" s="108" t="s">
        <v>734</v>
      </c>
      <c r="C215" s="102" t="s">
        <v>735</v>
      </c>
    </row>
    <row r="216" ht="15.75" customHeight="1">
      <c r="A216" s="115" t="s">
        <v>172</v>
      </c>
      <c r="B216" s="107" t="s">
        <v>736</v>
      </c>
      <c r="C216" s="103" t="s">
        <v>737</v>
      </c>
    </row>
    <row r="217" ht="15.75" customHeight="1">
      <c r="A217" s="78" t="s">
        <v>86</v>
      </c>
      <c r="B217" s="110" t="s">
        <v>90</v>
      </c>
      <c r="C217" s="102" t="s">
        <v>738</v>
      </c>
    </row>
    <row r="218" ht="15.75" customHeight="1">
      <c r="A218" s="78" t="s">
        <v>86</v>
      </c>
      <c r="B218" s="107" t="s">
        <v>739</v>
      </c>
      <c r="C218" s="103" t="s">
        <v>740</v>
      </c>
    </row>
    <row r="219" ht="15.75" customHeight="1">
      <c r="A219" s="78" t="s">
        <v>86</v>
      </c>
      <c r="B219" s="108" t="s">
        <v>339</v>
      </c>
      <c r="C219" s="102" t="s">
        <v>741</v>
      </c>
    </row>
    <row r="220" ht="15.75" customHeight="1">
      <c r="A220" s="78" t="s">
        <v>86</v>
      </c>
      <c r="B220" s="107" t="s">
        <v>353</v>
      </c>
      <c r="C220" s="103" t="s">
        <v>742</v>
      </c>
    </row>
    <row r="221" ht="15.75" customHeight="1">
      <c r="A221" s="78" t="s">
        <v>86</v>
      </c>
      <c r="B221" s="108" t="s">
        <v>743</v>
      </c>
      <c r="C221" s="102" t="s">
        <v>744</v>
      </c>
    </row>
    <row r="222" ht="15.75" customHeight="1">
      <c r="A222" s="78" t="s">
        <v>86</v>
      </c>
      <c r="B222" s="107" t="s">
        <v>91</v>
      </c>
      <c r="C222" s="103" t="s">
        <v>745</v>
      </c>
    </row>
    <row r="223" ht="15.75" customHeight="1">
      <c r="A223" s="78" t="s">
        <v>86</v>
      </c>
      <c r="B223" s="108" t="s">
        <v>338</v>
      </c>
      <c r="C223" s="102" t="s">
        <v>746</v>
      </c>
    </row>
    <row r="224" ht="15.75" customHeight="1">
      <c r="A224" s="78" t="s">
        <v>86</v>
      </c>
      <c r="B224" s="107" t="s">
        <v>92</v>
      </c>
      <c r="C224" s="103" t="s">
        <v>747</v>
      </c>
    </row>
    <row r="225" ht="15.75" customHeight="1">
      <c r="A225" s="78" t="s">
        <v>86</v>
      </c>
      <c r="B225" s="108" t="s">
        <v>748</v>
      </c>
      <c r="C225" s="102" t="s">
        <v>749</v>
      </c>
    </row>
    <row r="226" ht="15.75" customHeight="1">
      <c r="A226" s="78" t="s">
        <v>86</v>
      </c>
      <c r="B226" s="107" t="s">
        <v>750</v>
      </c>
      <c r="C226" s="103" t="s">
        <v>751</v>
      </c>
    </row>
    <row r="227" ht="15.75" customHeight="1">
      <c r="A227" s="78" t="s">
        <v>86</v>
      </c>
      <c r="B227" s="108" t="s">
        <v>175</v>
      </c>
      <c r="C227" s="102" t="s">
        <v>752</v>
      </c>
    </row>
    <row r="228" ht="15.75" customHeight="1">
      <c r="A228" s="78" t="s">
        <v>86</v>
      </c>
      <c r="B228" s="107" t="s">
        <v>753</v>
      </c>
      <c r="C228" s="103" t="s">
        <v>754</v>
      </c>
    </row>
    <row r="229" ht="15.75" customHeight="1">
      <c r="A229" s="78" t="s">
        <v>86</v>
      </c>
      <c r="B229" s="108" t="s">
        <v>93</v>
      </c>
      <c r="C229" s="102" t="s">
        <v>755</v>
      </c>
    </row>
    <row r="230" ht="15.75" customHeight="1">
      <c r="A230" s="115" t="s">
        <v>86</v>
      </c>
      <c r="B230" s="107" t="s">
        <v>358</v>
      </c>
      <c r="C230" s="103" t="s">
        <v>756</v>
      </c>
    </row>
    <row r="231" ht="15.75" customHeight="1">
      <c r="A231" s="115" t="s">
        <v>86</v>
      </c>
      <c r="B231" s="108" t="s">
        <v>757</v>
      </c>
      <c r="C231" s="102" t="s">
        <v>758</v>
      </c>
    </row>
    <row r="232" ht="15.75" customHeight="1">
      <c r="A232" s="115" t="s">
        <v>86</v>
      </c>
      <c r="B232" s="107" t="s">
        <v>759</v>
      </c>
      <c r="C232" s="103" t="s">
        <v>760</v>
      </c>
    </row>
    <row r="233" ht="15.75" customHeight="1">
      <c r="A233" s="115" t="s">
        <v>86</v>
      </c>
      <c r="B233" s="110" t="s">
        <v>593</v>
      </c>
      <c r="C233" s="102" t="s">
        <v>594</v>
      </c>
    </row>
    <row r="234" ht="15.75" customHeight="1">
      <c r="A234" s="115" t="s">
        <v>86</v>
      </c>
      <c r="B234" s="113" t="s">
        <v>94</v>
      </c>
      <c r="C234" s="103" t="s">
        <v>761</v>
      </c>
    </row>
    <row r="235" ht="15.75" customHeight="1">
      <c r="A235" s="115" t="s">
        <v>86</v>
      </c>
      <c r="B235" s="108" t="s">
        <v>762</v>
      </c>
      <c r="C235" s="102" t="s">
        <v>763</v>
      </c>
    </row>
    <row r="236" ht="15.75" customHeight="1">
      <c r="A236" s="115" t="s">
        <v>86</v>
      </c>
      <c r="B236" s="107" t="s">
        <v>97</v>
      </c>
      <c r="C236" s="103" t="s">
        <v>764</v>
      </c>
    </row>
    <row r="237" ht="15.75" customHeight="1">
      <c r="A237" s="115" t="s">
        <v>86</v>
      </c>
      <c r="B237" s="108" t="s">
        <v>702</v>
      </c>
      <c r="C237" s="102" t="s">
        <v>765</v>
      </c>
    </row>
    <row r="238" ht="15.75" customHeight="1">
      <c r="A238" s="115" t="s">
        <v>86</v>
      </c>
      <c r="B238" s="107" t="s">
        <v>766</v>
      </c>
      <c r="C238" s="103" t="s">
        <v>767</v>
      </c>
    </row>
    <row r="239" ht="15.75" customHeight="1">
      <c r="A239" s="115" t="s">
        <v>86</v>
      </c>
      <c r="B239" s="112" t="s">
        <v>768</v>
      </c>
      <c r="C239" s="102" t="s">
        <v>769</v>
      </c>
    </row>
    <row r="240" ht="15.75" customHeight="1">
      <c r="A240" s="115" t="s">
        <v>86</v>
      </c>
      <c r="B240" s="103" t="s">
        <v>87</v>
      </c>
      <c r="C240" s="103" t="s">
        <v>770</v>
      </c>
    </row>
    <row r="241" ht="15.75" customHeight="1">
      <c r="A241" s="115" t="s">
        <v>86</v>
      </c>
      <c r="B241" s="102" t="s">
        <v>771</v>
      </c>
      <c r="C241" s="102" t="s">
        <v>772</v>
      </c>
    </row>
    <row r="242" ht="15.75" customHeight="1">
      <c r="A242" s="115" t="s">
        <v>178</v>
      </c>
      <c r="B242" s="111" t="s">
        <v>773</v>
      </c>
      <c r="C242" s="103" t="s">
        <v>774</v>
      </c>
    </row>
    <row r="243" ht="15.75" customHeight="1">
      <c r="A243" s="115" t="s">
        <v>178</v>
      </c>
      <c r="B243" s="112" t="s">
        <v>775</v>
      </c>
      <c r="C243" s="102" t="s">
        <v>382</v>
      </c>
    </row>
    <row r="244" ht="15.75" customHeight="1">
      <c r="A244" s="115" t="s">
        <v>178</v>
      </c>
      <c r="B244" s="107" t="s">
        <v>776</v>
      </c>
      <c r="C244" s="103" t="s">
        <v>777</v>
      </c>
    </row>
    <row r="245" ht="15.75" customHeight="1">
      <c r="A245" s="115" t="s">
        <v>178</v>
      </c>
      <c r="B245" s="108" t="s">
        <v>778</v>
      </c>
      <c r="C245" s="102" t="s">
        <v>779</v>
      </c>
    </row>
    <row r="246" ht="15.75" customHeight="1">
      <c r="A246" s="115" t="s">
        <v>172</v>
      </c>
      <c r="B246" s="107" t="s">
        <v>399</v>
      </c>
      <c r="C246" s="103" t="s">
        <v>400</v>
      </c>
    </row>
    <row r="247" ht="15.75" customHeight="1">
      <c r="A247" s="115" t="s">
        <v>172</v>
      </c>
      <c r="B247" s="108" t="s">
        <v>780</v>
      </c>
      <c r="C247" s="102" t="s">
        <v>781</v>
      </c>
    </row>
    <row r="248" ht="15.75" customHeight="1">
      <c r="A248" s="115" t="s">
        <v>172</v>
      </c>
      <c r="B248" s="107" t="s">
        <v>195</v>
      </c>
      <c r="C248" s="103" t="s">
        <v>401</v>
      </c>
    </row>
    <row r="249" ht="15.75" customHeight="1">
      <c r="A249" s="115" t="s">
        <v>178</v>
      </c>
      <c r="B249" s="108" t="s">
        <v>782</v>
      </c>
      <c r="C249" s="102" t="s">
        <v>783</v>
      </c>
    </row>
    <row r="250" ht="15.75" customHeight="1">
      <c r="A250" s="115" t="s">
        <v>172</v>
      </c>
      <c r="B250" s="107" t="s">
        <v>784</v>
      </c>
      <c r="C250" s="103" t="s">
        <v>785</v>
      </c>
    </row>
    <row r="251" ht="15.75" customHeight="1">
      <c r="A251" s="115" t="s">
        <v>172</v>
      </c>
      <c r="B251" s="108" t="s">
        <v>786</v>
      </c>
      <c r="C251" s="102" t="s">
        <v>787</v>
      </c>
    </row>
    <row r="252" ht="15.75" customHeight="1">
      <c r="A252" s="115" t="s">
        <v>172</v>
      </c>
      <c r="B252" s="107" t="s">
        <v>788</v>
      </c>
      <c r="C252" s="103" t="s">
        <v>789</v>
      </c>
    </row>
    <row r="253" ht="15.75" customHeight="1">
      <c r="A253" s="115" t="s">
        <v>172</v>
      </c>
      <c r="B253" s="108" t="s">
        <v>790</v>
      </c>
      <c r="C253" s="102" t="s">
        <v>791</v>
      </c>
    </row>
    <row r="254" ht="15.75" customHeight="1">
      <c r="A254" s="115" t="s">
        <v>104</v>
      </c>
      <c r="B254" s="107" t="s">
        <v>105</v>
      </c>
      <c r="C254" s="103" t="s">
        <v>792</v>
      </c>
    </row>
    <row r="255" ht="15.75" customHeight="1">
      <c r="A255" s="115" t="s">
        <v>104</v>
      </c>
      <c r="B255" s="108" t="s">
        <v>793</v>
      </c>
      <c r="C255" s="102" t="s">
        <v>794</v>
      </c>
    </row>
    <row r="256" ht="15.75" customHeight="1">
      <c r="A256" s="115" t="s">
        <v>88</v>
      </c>
      <c r="B256" s="107" t="s">
        <v>795</v>
      </c>
      <c r="C256" s="103" t="s">
        <v>382</v>
      </c>
    </row>
    <row r="257" ht="15.75" customHeight="1">
      <c r="A257" s="115" t="s">
        <v>104</v>
      </c>
      <c r="B257" s="108" t="s">
        <v>796</v>
      </c>
      <c r="C257" s="102" t="s">
        <v>382</v>
      </c>
    </row>
    <row r="258" ht="15.75" customHeight="1">
      <c r="A258" s="115" t="s">
        <v>104</v>
      </c>
      <c r="B258" s="107" t="s">
        <v>797</v>
      </c>
      <c r="C258" s="103" t="s">
        <v>382</v>
      </c>
    </row>
    <row r="259" ht="15.75" customHeight="1">
      <c r="A259" s="115" t="s">
        <v>104</v>
      </c>
      <c r="B259" s="108" t="s">
        <v>798</v>
      </c>
      <c r="C259" s="102" t="s">
        <v>799</v>
      </c>
    </row>
    <row r="260" ht="15.75" customHeight="1">
      <c r="A260" s="115" t="s">
        <v>178</v>
      </c>
      <c r="B260" s="107" t="s">
        <v>800</v>
      </c>
      <c r="C260" s="103" t="s">
        <v>382</v>
      </c>
    </row>
    <row r="261" ht="15.75" customHeight="1">
      <c r="A261" s="115" t="s">
        <v>43</v>
      </c>
      <c r="B261" s="108" t="s">
        <v>801</v>
      </c>
      <c r="C261" s="102" t="s">
        <v>802</v>
      </c>
    </row>
    <row r="262" ht="15.75" customHeight="1">
      <c r="A262" s="115" t="s">
        <v>178</v>
      </c>
      <c r="B262" s="107" t="s">
        <v>803</v>
      </c>
      <c r="C262" s="103" t="s">
        <v>804</v>
      </c>
    </row>
    <row r="263" ht="15.75" customHeight="1">
      <c r="A263" s="115" t="s">
        <v>21</v>
      </c>
      <c r="B263" s="108" t="s">
        <v>110</v>
      </c>
      <c r="C263" s="102" t="s">
        <v>805</v>
      </c>
    </row>
    <row r="264" ht="15.75" customHeight="1">
      <c r="A264" s="115" t="s">
        <v>397</v>
      </c>
      <c r="B264" s="107" t="s">
        <v>806</v>
      </c>
      <c r="C264" s="103" t="s">
        <v>807</v>
      </c>
    </row>
    <row r="265" ht="15.75" customHeight="1">
      <c r="A265" s="115" t="s">
        <v>21</v>
      </c>
      <c r="B265" s="108" t="s">
        <v>808</v>
      </c>
      <c r="C265" s="102" t="s">
        <v>809</v>
      </c>
    </row>
    <row r="266" ht="15.75" customHeight="1">
      <c r="A266" s="115" t="s">
        <v>21</v>
      </c>
      <c r="B266" s="107" t="s">
        <v>810</v>
      </c>
      <c r="C266" s="103" t="s">
        <v>811</v>
      </c>
    </row>
    <row r="267" ht="15.75" customHeight="1">
      <c r="A267" s="115" t="s">
        <v>812</v>
      </c>
      <c r="B267" s="108" t="s">
        <v>813</v>
      </c>
      <c r="C267" s="102" t="s">
        <v>814</v>
      </c>
    </row>
    <row r="268" ht="15.75" customHeight="1">
      <c r="A268" s="115" t="s">
        <v>149</v>
      </c>
      <c r="B268" s="107" t="s">
        <v>150</v>
      </c>
      <c r="C268" s="103" t="s">
        <v>815</v>
      </c>
    </row>
    <row r="269" ht="15.75" customHeight="1">
      <c r="A269" s="115" t="s">
        <v>147</v>
      </c>
      <c r="B269" s="108" t="s">
        <v>148</v>
      </c>
      <c r="C269" s="102" t="s">
        <v>816</v>
      </c>
    </row>
    <row r="270" ht="15.75" customHeight="1">
      <c r="A270" s="115" t="s">
        <v>116</v>
      </c>
      <c r="B270" s="107" t="s">
        <v>817</v>
      </c>
      <c r="C270" s="103" t="s">
        <v>818</v>
      </c>
    </row>
    <row r="271" ht="15.75" customHeight="1">
      <c r="A271" s="115" t="s">
        <v>116</v>
      </c>
      <c r="B271" s="108" t="s">
        <v>819</v>
      </c>
      <c r="C271" s="102" t="s">
        <v>820</v>
      </c>
    </row>
    <row r="272" ht="15.75" customHeight="1">
      <c r="A272" s="115" t="s">
        <v>116</v>
      </c>
      <c r="B272" s="107" t="s">
        <v>821</v>
      </c>
      <c r="C272" s="103" t="s">
        <v>822</v>
      </c>
    </row>
    <row r="273" ht="15.75" customHeight="1">
      <c r="A273" s="115" t="s">
        <v>116</v>
      </c>
      <c r="B273" s="108" t="s">
        <v>823</v>
      </c>
      <c r="C273" s="102" t="s">
        <v>824</v>
      </c>
    </row>
    <row r="274" ht="15.75" customHeight="1">
      <c r="A274" s="115" t="s">
        <v>116</v>
      </c>
      <c r="B274" s="107" t="s">
        <v>825</v>
      </c>
      <c r="C274" s="103" t="s">
        <v>826</v>
      </c>
    </row>
    <row r="275" ht="15.75" customHeight="1">
      <c r="A275" s="115" t="s">
        <v>116</v>
      </c>
      <c r="B275" s="108" t="s">
        <v>117</v>
      </c>
      <c r="C275" s="102" t="s">
        <v>827</v>
      </c>
    </row>
    <row r="276" ht="15.75" customHeight="1">
      <c r="A276" s="115" t="s">
        <v>104</v>
      </c>
      <c r="B276" s="107" t="s">
        <v>828</v>
      </c>
      <c r="C276" s="103" t="s">
        <v>829</v>
      </c>
    </row>
    <row r="277" ht="15.75" customHeight="1">
      <c r="A277" s="115" t="s">
        <v>116</v>
      </c>
      <c r="B277" s="108" t="s">
        <v>830</v>
      </c>
      <c r="C277" s="102" t="s">
        <v>831</v>
      </c>
    </row>
    <row r="278" ht="15.75" customHeight="1">
      <c r="A278" s="115" t="s">
        <v>116</v>
      </c>
      <c r="B278" s="107" t="s">
        <v>832</v>
      </c>
      <c r="C278" s="103" t="s">
        <v>833</v>
      </c>
    </row>
    <row r="279" ht="15.75" customHeight="1">
      <c r="A279" s="115" t="s">
        <v>116</v>
      </c>
      <c r="B279" s="108" t="s">
        <v>834</v>
      </c>
      <c r="C279" s="102" t="s">
        <v>835</v>
      </c>
    </row>
    <row r="280" ht="15.75" customHeight="1">
      <c r="A280" s="115" t="s">
        <v>610</v>
      </c>
      <c r="B280" s="107" t="s">
        <v>836</v>
      </c>
      <c r="C280" s="103" t="s">
        <v>837</v>
      </c>
    </row>
    <row r="281" ht="15.75" customHeight="1">
      <c r="A281" s="115" t="s">
        <v>610</v>
      </c>
      <c r="B281" s="108" t="s">
        <v>838</v>
      </c>
      <c r="C281" s="102" t="s">
        <v>839</v>
      </c>
    </row>
    <row r="282" ht="15.75" customHeight="1">
      <c r="A282" s="115" t="s">
        <v>610</v>
      </c>
      <c r="B282" s="107" t="s">
        <v>840</v>
      </c>
      <c r="C282" s="103" t="s">
        <v>841</v>
      </c>
    </row>
    <row r="283" ht="15.75" customHeight="1">
      <c r="A283" s="115" t="s">
        <v>610</v>
      </c>
      <c r="B283" s="108" t="s">
        <v>842</v>
      </c>
      <c r="C283" s="102" t="s">
        <v>843</v>
      </c>
    </row>
    <row r="284" ht="15.75" customHeight="1">
      <c r="A284" s="115" t="s">
        <v>610</v>
      </c>
      <c r="B284" s="107" t="s">
        <v>844</v>
      </c>
      <c r="C284" s="103" t="s">
        <v>845</v>
      </c>
    </row>
    <row r="285" ht="15.75" customHeight="1">
      <c r="A285" s="115" t="s">
        <v>88</v>
      </c>
      <c r="B285" s="108" t="s">
        <v>846</v>
      </c>
      <c r="C285" s="102" t="s">
        <v>847</v>
      </c>
    </row>
    <row r="286" ht="15.75" customHeight="1">
      <c r="A286" s="115" t="s">
        <v>610</v>
      </c>
      <c r="B286" s="107" t="s">
        <v>848</v>
      </c>
      <c r="C286" s="103" t="s">
        <v>849</v>
      </c>
    </row>
    <row r="287" ht="15.75" customHeight="1">
      <c r="A287" s="115" t="s">
        <v>88</v>
      </c>
      <c r="B287" s="118" t="s">
        <v>850</v>
      </c>
      <c r="C287" s="102" t="s">
        <v>851</v>
      </c>
    </row>
    <row r="288" ht="15.75" customHeight="1">
      <c r="A288" s="115" t="s">
        <v>88</v>
      </c>
      <c r="B288" s="107" t="s">
        <v>852</v>
      </c>
      <c r="C288" s="103" t="s">
        <v>853</v>
      </c>
    </row>
    <row r="289" ht="15.75" customHeight="1">
      <c r="A289" s="115" t="s">
        <v>88</v>
      </c>
      <c r="B289" s="108" t="s">
        <v>854</v>
      </c>
      <c r="C289" s="102" t="s">
        <v>382</v>
      </c>
    </row>
    <row r="290" ht="15.75" customHeight="1">
      <c r="A290" s="115" t="s">
        <v>43</v>
      </c>
      <c r="B290" s="107" t="s">
        <v>855</v>
      </c>
      <c r="C290" s="103" t="s">
        <v>856</v>
      </c>
    </row>
    <row r="291" ht="15.75" customHeight="1">
      <c r="A291" s="115" t="s">
        <v>89</v>
      </c>
      <c r="B291" s="108" t="s">
        <v>291</v>
      </c>
      <c r="C291" s="102" t="s">
        <v>857</v>
      </c>
    </row>
    <row r="292" ht="15.75" customHeight="1">
      <c r="A292" s="115" t="s">
        <v>88</v>
      </c>
      <c r="B292" s="107" t="s">
        <v>858</v>
      </c>
      <c r="C292" s="103" t="s">
        <v>382</v>
      </c>
    </row>
    <row r="293" ht="15.75" customHeight="1">
      <c r="A293" s="115" t="s">
        <v>88</v>
      </c>
      <c r="B293" s="108" t="s">
        <v>859</v>
      </c>
      <c r="C293" s="102" t="s">
        <v>860</v>
      </c>
    </row>
    <row r="294" ht="15.75" customHeight="1">
      <c r="A294" s="115" t="s">
        <v>88</v>
      </c>
      <c r="B294" s="107" t="s">
        <v>861</v>
      </c>
      <c r="C294" s="103" t="s">
        <v>862</v>
      </c>
    </row>
    <row r="295" ht="15.75" customHeight="1">
      <c r="A295" s="115" t="s">
        <v>88</v>
      </c>
      <c r="B295" s="108" t="s">
        <v>863</v>
      </c>
      <c r="C295" s="102" t="s">
        <v>864</v>
      </c>
    </row>
    <row r="296" ht="15.75" customHeight="1">
      <c r="A296" s="115" t="s">
        <v>88</v>
      </c>
      <c r="B296" s="107" t="s">
        <v>865</v>
      </c>
      <c r="C296" s="103" t="s">
        <v>866</v>
      </c>
    </row>
    <row r="297" ht="15.75" customHeight="1">
      <c r="A297" s="115" t="s">
        <v>88</v>
      </c>
      <c r="B297" s="108" t="s">
        <v>867</v>
      </c>
      <c r="C297" s="102" t="s">
        <v>868</v>
      </c>
    </row>
    <row r="298" ht="15.75" customHeight="1">
      <c r="A298" s="115" t="s">
        <v>88</v>
      </c>
      <c r="B298" s="107" t="s">
        <v>869</v>
      </c>
      <c r="C298" s="103" t="s">
        <v>382</v>
      </c>
    </row>
    <row r="299" ht="15.75" customHeight="1">
      <c r="A299" s="115" t="s">
        <v>88</v>
      </c>
      <c r="B299" s="108" t="s">
        <v>870</v>
      </c>
      <c r="C299" s="102" t="s">
        <v>871</v>
      </c>
    </row>
    <row r="300" ht="15.75" customHeight="1">
      <c r="A300" s="115" t="s">
        <v>88</v>
      </c>
      <c r="B300" s="107" t="s">
        <v>872</v>
      </c>
      <c r="C300" s="103" t="s">
        <v>382</v>
      </c>
    </row>
    <row r="301" ht="15.75" customHeight="1">
      <c r="A301" s="115" t="s">
        <v>88</v>
      </c>
      <c r="B301" s="108" t="s">
        <v>873</v>
      </c>
      <c r="C301" s="102" t="s">
        <v>874</v>
      </c>
    </row>
    <row r="302" ht="15.75" customHeight="1">
      <c r="A302" s="115" t="s">
        <v>88</v>
      </c>
      <c r="B302" s="107" t="s">
        <v>875</v>
      </c>
      <c r="C302" s="103" t="s">
        <v>876</v>
      </c>
    </row>
    <row r="303" ht="15.75" customHeight="1">
      <c r="A303" s="115" t="s">
        <v>88</v>
      </c>
      <c r="B303" s="108" t="s">
        <v>877</v>
      </c>
      <c r="C303" s="102" t="s">
        <v>878</v>
      </c>
    </row>
    <row r="304" ht="15.75" customHeight="1">
      <c r="A304" s="115" t="s">
        <v>88</v>
      </c>
      <c r="B304" s="107" t="s">
        <v>879</v>
      </c>
      <c r="C304" s="103" t="s">
        <v>880</v>
      </c>
    </row>
    <row r="305" ht="15.75" customHeight="1">
      <c r="A305" s="115" t="s">
        <v>88</v>
      </c>
      <c r="B305" s="108" t="s">
        <v>881</v>
      </c>
      <c r="C305" s="102" t="s">
        <v>882</v>
      </c>
    </row>
    <row r="306" ht="15.75" customHeight="1">
      <c r="A306" s="115" t="s">
        <v>116</v>
      </c>
      <c r="B306" s="107" t="s">
        <v>883</v>
      </c>
      <c r="C306" s="103" t="s">
        <v>884</v>
      </c>
    </row>
    <row r="307" ht="15.75" customHeight="1">
      <c r="A307" s="115" t="s">
        <v>88</v>
      </c>
      <c r="B307" s="108" t="s">
        <v>885</v>
      </c>
      <c r="C307" s="102" t="s">
        <v>382</v>
      </c>
    </row>
    <row r="308" ht="15.75" customHeight="1">
      <c r="A308" s="115" t="s">
        <v>88</v>
      </c>
      <c r="B308" s="107" t="s">
        <v>886</v>
      </c>
      <c r="C308" s="103" t="s">
        <v>887</v>
      </c>
    </row>
    <row r="309" ht="15.75" customHeight="1">
      <c r="A309" s="115" t="s">
        <v>88</v>
      </c>
      <c r="B309" s="108" t="s">
        <v>888</v>
      </c>
      <c r="C309" s="102" t="s">
        <v>889</v>
      </c>
    </row>
    <row r="310" ht="15.75" customHeight="1">
      <c r="A310" s="115" t="s">
        <v>88</v>
      </c>
      <c r="B310" s="107" t="s">
        <v>890</v>
      </c>
      <c r="C310" s="103" t="s">
        <v>891</v>
      </c>
    </row>
    <row r="311" ht="15.75" customHeight="1">
      <c r="A311" s="115" t="s">
        <v>88</v>
      </c>
      <c r="B311" s="108" t="s">
        <v>892</v>
      </c>
      <c r="C311" s="102" t="s">
        <v>382</v>
      </c>
    </row>
    <row r="312" ht="15.75" customHeight="1">
      <c r="A312" s="115" t="s">
        <v>88</v>
      </c>
      <c r="B312" s="107" t="s">
        <v>893</v>
      </c>
      <c r="C312" s="103" t="s">
        <v>894</v>
      </c>
    </row>
    <row r="313" ht="15.75" customHeight="1">
      <c r="A313" s="115" t="s">
        <v>149</v>
      </c>
      <c r="B313" s="108" t="s">
        <v>895</v>
      </c>
      <c r="C313" s="102" t="s">
        <v>896</v>
      </c>
    </row>
    <row r="314" ht="15.75" customHeight="1">
      <c r="A314" s="115" t="s">
        <v>812</v>
      </c>
      <c r="B314" s="107" t="s">
        <v>897</v>
      </c>
      <c r="C314" s="103" t="s">
        <v>898</v>
      </c>
    </row>
    <row r="315" ht="15.75" customHeight="1">
      <c r="A315" s="115" t="s">
        <v>547</v>
      </c>
      <c r="B315" s="104" t="s">
        <v>899</v>
      </c>
      <c r="C315" s="102" t="s">
        <v>900</v>
      </c>
    </row>
    <row r="316" ht="15.75" customHeight="1">
      <c r="A316" s="115" t="s">
        <v>147</v>
      </c>
      <c r="B316" s="107" t="s">
        <v>901</v>
      </c>
      <c r="C316" s="103" t="s">
        <v>902</v>
      </c>
    </row>
    <row r="317" ht="15.75" customHeight="1">
      <c r="A317" s="119" t="s">
        <v>104</v>
      </c>
      <c r="B317" s="108" t="s">
        <v>903</v>
      </c>
      <c r="C317" s="102" t="s">
        <v>382</v>
      </c>
    </row>
    <row r="318" ht="15.75" customHeight="1">
      <c r="A318" s="119" t="s">
        <v>104</v>
      </c>
      <c r="B318" s="107" t="s">
        <v>904</v>
      </c>
      <c r="C318" s="103" t="s">
        <v>382</v>
      </c>
    </row>
    <row r="319" ht="15.75" customHeight="1">
      <c r="A319" s="119" t="s">
        <v>104</v>
      </c>
      <c r="B319" s="108" t="s">
        <v>905</v>
      </c>
      <c r="C319" s="102" t="s">
        <v>382</v>
      </c>
    </row>
    <row r="320" ht="15.75" customHeight="1">
      <c r="A320" s="119" t="s">
        <v>104</v>
      </c>
      <c r="B320" s="107" t="s">
        <v>906</v>
      </c>
      <c r="C320" s="103" t="s">
        <v>382</v>
      </c>
    </row>
    <row r="321" ht="15.75" customHeight="1">
      <c r="A321" s="119" t="s">
        <v>104</v>
      </c>
      <c r="B321" s="108" t="s">
        <v>308</v>
      </c>
      <c r="C321" s="102" t="s">
        <v>907</v>
      </c>
    </row>
    <row r="322" ht="15.75" customHeight="1">
      <c r="A322" s="119" t="s">
        <v>104</v>
      </c>
      <c r="B322" s="107" t="s">
        <v>908</v>
      </c>
      <c r="C322" s="103" t="s">
        <v>382</v>
      </c>
    </row>
    <row r="323" ht="15.75" customHeight="1">
      <c r="A323" s="119" t="s">
        <v>104</v>
      </c>
      <c r="B323" s="108" t="s">
        <v>909</v>
      </c>
      <c r="C323" s="102" t="s">
        <v>382</v>
      </c>
    </row>
    <row r="324" ht="15.75" customHeight="1">
      <c r="A324" s="119" t="s">
        <v>104</v>
      </c>
      <c r="B324" s="108" t="s">
        <v>311</v>
      </c>
      <c r="C324" s="102" t="s">
        <v>910</v>
      </c>
    </row>
    <row r="325" ht="15.75" customHeight="1">
      <c r="A325" s="119" t="s">
        <v>104</v>
      </c>
      <c r="B325" s="107" t="s">
        <v>911</v>
      </c>
      <c r="C325" s="103" t="s">
        <v>912</v>
      </c>
    </row>
    <row r="326" ht="15.75" customHeight="1">
      <c r="A326" s="119" t="s">
        <v>104</v>
      </c>
      <c r="B326" s="108" t="s">
        <v>913</v>
      </c>
      <c r="C326" s="102" t="s">
        <v>382</v>
      </c>
    </row>
    <row r="327" ht="15.75" customHeight="1">
      <c r="A327" s="119" t="s">
        <v>104</v>
      </c>
      <c r="B327" s="107" t="s">
        <v>914</v>
      </c>
      <c r="C327" s="103" t="s">
        <v>915</v>
      </c>
    </row>
    <row r="328" ht="15.75" customHeight="1">
      <c r="A328" s="119" t="s">
        <v>104</v>
      </c>
      <c r="B328" s="108" t="s">
        <v>916</v>
      </c>
      <c r="C328" s="102" t="s">
        <v>917</v>
      </c>
    </row>
    <row r="329" ht="15.75" customHeight="1">
      <c r="A329" s="119" t="s">
        <v>104</v>
      </c>
      <c r="B329" s="107" t="s">
        <v>918</v>
      </c>
      <c r="C329" s="103" t="s">
        <v>919</v>
      </c>
    </row>
    <row r="330" ht="15.75" customHeight="1">
      <c r="A330" s="119" t="s">
        <v>104</v>
      </c>
      <c r="B330" s="108" t="s">
        <v>920</v>
      </c>
      <c r="C330" s="102" t="s">
        <v>921</v>
      </c>
    </row>
    <row r="331" ht="15.75" customHeight="1">
      <c r="A331" s="115" t="s">
        <v>86</v>
      </c>
      <c r="B331" s="105" t="s">
        <v>922</v>
      </c>
      <c r="C331" s="103" t="s">
        <v>923</v>
      </c>
    </row>
    <row r="332" ht="15.75" customHeight="1">
      <c r="A332" s="115" t="s">
        <v>397</v>
      </c>
      <c r="B332" s="120" t="s">
        <v>924</v>
      </c>
      <c r="C332" s="102" t="s">
        <v>382</v>
      </c>
    </row>
    <row r="333" ht="15.75" customHeight="1">
      <c r="A333" s="115" t="s">
        <v>88</v>
      </c>
      <c r="B333" s="114" t="s">
        <v>121</v>
      </c>
      <c r="C333" s="103" t="s">
        <v>925</v>
      </c>
    </row>
    <row r="334" ht="15.75" customHeight="1">
      <c r="A334" s="115" t="s">
        <v>88</v>
      </c>
      <c r="B334" s="120" t="s">
        <v>126</v>
      </c>
      <c r="C334" s="102" t="s">
        <v>926</v>
      </c>
    </row>
    <row r="335" ht="15.75" customHeight="1">
      <c r="A335" s="115" t="s">
        <v>116</v>
      </c>
      <c r="B335" s="114" t="s">
        <v>927</v>
      </c>
      <c r="C335" s="103" t="s">
        <v>928</v>
      </c>
    </row>
    <row r="336" ht="15.75" customHeight="1">
      <c r="A336" s="115" t="s">
        <v>116</v>
      </c>
      <c r="B336" s="120" t="s">
        <v>929</v>
      </c>
      <c r="C336" s="102" t="s">
        <v>930</v>
      </c>
    </row>
    <row r="337" ht="15.75" customHeight="1">
      <c r="A337" s="9" t="s">
        <v>21</v>
      </c>
      <c r="B337" s="114" t="s">
        <v>931</v>
      </c>
      <c r="C337" s="103" t="s">
        <v>932</v>
      </c>
    </row>
    <row r="338" ht="15.75" customHeight="1">
      <c r="A338" s="115" t="s">
        <v>88</v>
      </c>
      <c r="B338" s="120" t="s">
        <v>933</v>
      </c>
      <c r="C338" s="102" t="s">
        <v>934</v>
      </c>
    </row>
    <row r="339" ht="15.75" customHeight="1">
      <c r="A339" s="115" t="s">
        <v>88</v>
      </c>
      <c r="B339" s="114" t="s">
        <v>935</v>
      </c>
      <c r="C339" s="103" t="s">
        <v>936</v>
      </c>
    </row>
    <row r="340" ht="15.75" customHeight="1">
      <c r="A340" s="115" t="s">
        <v>88</v>
      </c>
      <c r="B340" s="120" t="s">
        <v>129</v>
      </c>
      <c r="C340" s="102" t="s">
        <v>937</v>
      </c>
    </row>
    <row r="341" ht="15.75" customHeight="1">
      <c r="A341" s="115" t="s">
        <v>88</v>
      </c>
      <c r="B341" s="114" t="s">
        <v>938</v>
      </c>
      <c r="C341" s="103" t="s">
        <v>382</v>
      </c>
    </row>
    <row r="342" ht="15.75" customHeight="1">
      <c r="A342" s="115" t="s">
        <v>88</v>
      </c>
      <c r="B342" s="120" t="s">
        <v>939</v>
      </c>
      <c r="C342" s="102" t="s">
        <v>382</v>
      </c>
    </row>
    <row r="343" ht="15.75" customHeight="1">
      <c r="A343" s="115" t="s">
        <v>88</v>
      </c>
      <c r="B343" s="114" t="s">
        <v>940</v>
      </c>
      <c r="C343" s="103" t="s">
        <v>941</v>
      </c>
    </row>
    <row r="344" ht="15.75" customHeight="1">
      <c r="A344" s="115" t="s">
        <v>88</v>
      </c>
      <c r="B344" s="120" t="s">
        <v>942</v>
      </c>
      <c r="C344" s="102" t="s">
        <v>943</v>
      </c>
    </row>
    <row r="345" ht="15.75" customHeight="1">
      <c r="A345" s="9" t="s">
        <v>172</v>
      </c>
      <c r="B345" s="114" t="s">
        <v>174</v>
      </c>
      <c r="C345" s="103" t="s">
        <v>944</v>
      </c>
    </row>
    <row r="346" ht="15.75" customHeight="1">
      <c r="A346" s="115" t="s">
        <v>178</v>
      </c>
      <c r="B346" s="120" t="s">
        <v>924</v>
      </c>
      <c r="C346" s="102" t="s">
        <v>382</v>
      </c>
    </row>
    <row r="347" ht="15.75" customHeight="1">
      <c r="A347" s="9" t="s">
        <v>172</v>
      </c>
      <c r="B347" s="105" t="s">
        <v>945</v>
      </c>
      <c r="C347" s="103" t="s">
        <v>946</v>
      </c>
    </row>
    <row r="348" ht="15.75" customHeight="1">
      <c r="A348" s="115" t="s">
        <v>88</v>
      </c>
      <c r="B348" s="121" t="s">
        <v>89</v>
      </c>
      <c r="C348" s="102" t="s">
        <v>947</v>
      </c>
    </row>
    <row r="349" ht="15.75" customHeight="1">
      <c r="A349" s="122" t="s">
        <v>88</v>
      </c>
      <c r="B349" s="123" t="s">
        <v>948</v>
      </c>
      <c r="C349" s="103" t="s">
        <v>949</v>
      </c>
    </row>
    <row r="350" ht="15.75" customHeight="1">
      <c r="A350" s="115" t="s">
        <v>86</v>
      </c>
      <c r="B350" s="120" t="s">
        <v>950</v>
      </c>
      <c r="C350" s="102" t="s">
        <v>951</v>
      </c>
    </row>
    <row r="351" ht="15.75" customHeight="1">
      <c r="A351" s="115" t="s">
        <v>24</v>
      </c>
      <c r="B351" s="114" t="s">
        <v>31</v>
      </c>
      <c r="C351" s="103" t="s">
        <v>382</v>
      </c>
    </row>
    <row r="352" ht="15.75" customHeight="1">
      <c r="A352" s="115" t="s">
        <v>24</v>
      </c>
      <c r="B352" s="120" t="s">
        <v>36</v>
      </c>
      <c r="C352" s="102" t="s">
        <v>382</v>
      </c>
    </row>
    <row r="353" ht="15.75" customHeight="1">
      <c r="A353" s="115" t="s">
        <v>24</v>
      </c>
      <c r="B353" s="114" t="s">
        <v>952</v>
      </c>
      <c r="C353" s="103" t="s">
        <v>382</v>
      </c>
    </row>
    <row r="354" ht="15.75" customHeight="1">
      <c r="A354" s="115" t="s">
        <v>24</v>
      </c>
      <c r="B354" s="120" t="s">
        <v>28</v>
      </c>
      <c r="C354" s="102" t="s">
        <v>953</v>
      </c>
    </row>
    <row r="355" ht="15.75" customHeight="1">
      <c r="A355" s="115" t="s">
        <v>24</v>
      </c>
      <c r="B355" s="114" t="s">
        <v>954</v>
      </c>
      <c r="C355" s="103" t="s">
        <v>955</v>
      </c>
    </row>
    <row r="356" ht="15.75" customHeight="1">
      <c r="A356" s="115" t="s">
        <v>24</v>
      </c>
      <c r="B356" s="120" t="s">
        <v>57</v>
      </c>
      <c r="C356" s="102" t="s">
        <v>956</v>
      </c>
    </row>
    <row r="357" ht="15.75" customHeight="1">
      <c r="A357" s="115" t="s">
        <v>24</v>
      </c>
      <c r="B357" s="114" t="s">
        <v>64</v>
      </c>
      <c r="C357" s="103" t="s">
        <v>957</v>
      </c>
    </row>
    <row r="358" ht="15.75" customHeight="1">
      <c r="A358" s="115" t="s">
        <v>24</v>
      </c>
      <c r="B358" s="120" t="s">
        <v>68</v>
      </c>
      <c r="C358" s="102" t="s">
        <v>958</v>
      </c>
    </row>
    <row r="359" ht="15.75" customHeight="1">
      <c r="A359" s="115" t="s">
        <v>24</v>
      </c>
      <c r="B359" s="114" t="s">
        <v>101</v>
      </c>
      <c r="C359" s="103" t="s">
        <v>959</v>
      </c>
    </row>
    <row r="360" ht="15.75" customHeight="1">
      <c r="A360" s="115" t="s">
        <v>960</v>
      </c>
      <c r="B360" s="112" t="s">
        <v>961</v>
      </c>
      <c r="C360" s="102" t="s">
        <v>962</v>
      </c>
    </row>
    <row r="361" ht="15.75" customHeight="1">
      <c r="A361" s="115" t="s">
        <v>960</v>
      </c>
      <c r="B361" s="107" t="s">
        <v>963</v>
      </c>
      <c r="C361" s="103" t="s">
        <v>964</v>
      </c>
    </row>
    <row r="362" ht="15.75" customHeight="1">
      <c r="A362" s="115" t="s">
        <v>960</v>
      </c>
      <c r="B362" s="108" t="s">
        <v>965</v>
      </c>
      <c r="C362" s="102" t="s">
        <v>966</v>
      </c>
    </row>
    <row r="363" ht="15.75" customHeight="1">
      <c r="A363" s="115" t="s">
        <v>960</v>
      </c>
      <c r="B363" s="124" t="s">
        <v>967</v>
      </c>
      <c r="C363" s="103" t="s">
        <v>968</v>
      </c>
    </row>
    <row r="364" ht="15.75" customHeight="1">
      <c r="A364" s="115" t="s">
        <v>960</v>
      </c>
      <c r="B364" s="124" t="s">
        <v>969</v>
      </c>
      <c r="C364" s="102" t="s">
        <v>970</v>
      </c>
    </row>
    <row r="365" ht="15.75" customHeight="1">
      <c r="A365" s="115" t="s">
        <v>960</v>
      </c>
      <c r="B365" s="125" t="s">
        <v>971</v>
      </c>
      <c r="C365" s="103" t="s">
        <v>972</v>
      </c>
    </row>
    <row r="366" ht="15.75" customHeight="1">
      <c r="A366" s="115" t="s">
        <v>960</v>
      </c>
      <c r="B366" s="124" t="s">
        <v>973</v>
      </c>
      <c r="C366" s="102" t="s">
        <v>974</v>
      </c>
    </row>
    <row r="367" ht="15.75" customHeight="1">
      <c r="A367" s="115" t="s">
        <v>960</v>
      </c>
      <c r="B367" s="125" t="s">
        <v>975</v>
      </c>
      <c r="C367" s="103" t="s">
        <v>976</v>
      </c>
    </row>
    <row r="368" ht="15.75" customHeight="1">
      <c r="A368" s="115" t="s">
        <v>960</v>
      </c>
      <c r="B368" s="124" t="s">
        <v>977</v>
      </c>
      <c r="C368" s="102" t="s">
        <v>978</v>
      </c>
    </row>
    <row r="369" ht="15.75" customHeight="1">
      <c r="A369" s="115" t="s">
        <v>960</v>
      </c>
      <c r="B369" s="125" t="s">
        <v>979</v>
      </c>
      <c r="C369" s="103" t="s">
        <v>980</v>
      </c>
    </row>
    <row r="370" ht="15.75" customHeight="1">
      <c r="A370" s="115" t="s">
        <v>960</v>
      </c>
      <c r="B370" s="124" t="s">
        <v>981</v>
      </c>
      <c r="C370" s="102" t="s">
        <v>982</v>
      </c>
    </row>
    <row r="371" ht="15.75" customHeight="1">
      <c r="A371" s="115" t="s">
        <v>960</v>
      </c>
      <c r="B371" s="125" t="s">
        <v>983</v>
      </c>
      <c r="C371" s="103" t="s">
        <v>984</v>
      </c>
    </row>
    <row r="372" ht="15.75" customHeight="1">
      <c r="A372" s="115" t="s">
        <v>960</v>
      </c>
      <c r="B372" s="124" t="s">
        <v>985</v>
      </c>
      <c r="C372" s="102" t="s">
        <v>986</v>
      </c>
    </row>
    <row r="373" ht="15.75" customHeight="1">
      <c r="A373" s="115" t="s">
        <v>960</v>
      </c>
      <c r="B373" s="125" t="s">
        <v>987</v>
      </c>
      <c r="C373" s="103" t="s">
        <v>988</v>
      </c>
    </row>
    <row r="374" ht="15.75" customHeight="1">
      <c r="A374" s="115" t="s">
        <v>960</v>
      </c>
      <c r="B374" s="126" t="s">
        <v>989</v>
      </c>
      <c r="C374" s="102" t="s">
        <v>990</v>
      </c>
    </row>
    <row r="375" ht="15.75" customHeight="1">
      <c r="A375" s="115" t="s">
        <v>960</v>
      </c>
      <c r="B375" s="107" t="s">
        <v>991</v>
      </c>
      <c r="C375" s="103" t="s">
        <v>992</v>
      </c>
    </row>
    <row r="376" ht="15.75" customHeight="1">
      <c r="A376" s="115" t="s">
        <v>960</v>
      </c>
      <c r="B376" s="124" t="s">
        <v>993</v>
      </c>
      <c r="C376" s="102" t="s">
        <v>994</v>
      </c>
    </row>
    <row r="377" ht="15.75" customHeight="1">
      <c r="A377" s="115" t="s">
        <v>960</v>
      </c>
      <c r="B377" s="125" t="s">
        <v>995</v>
      </c>
      <c r="C377" s="103" t="s">
        <v>996</v>
      </c>
    </row>
    <row r="378" ht="15.75" customHeight="1">
      <c r="A378" s="115" t="s">
        <v>960</v>
      </c>
      <c r="B378" s="124" t="s">
        <v>997</v>
      </c>
      <c r="C378" s="102" t="s">
        <v>998</v>
      </c>
    </row>
    <row r="379" ht="15.75" customHeight="1">
      <c r="A379" s="115" t="s">
        <v>960</v>
      </c>
      <c r="B379" s="125" t="s">
        <v>999</v>
      </c>
      <c r="C379" s="103" t="s">
        <v>1000</v>
      </c>
    </row>
    <row r="380" ht="15.75" customHeight="1">
      <c r="A380" s="115" t="s">
        <v>960</v>
      </c>
      <c r="B380" s="124" t="s">
        <v>1001</v>
      </c>
      <c r="C380" s="102" t="s">
        <v>1002</v>
      </c>
    </row>
    <row r="381" ht="15.75" customHeight="1">
      <c r="A381" s="115" t="s">
        <v>960</v>
      </c>
      <c r="B381" s="125" t="s">
        <v>1003</v>
      </c>
      <c r="C381" s="103" t="s">
        <v>1004</v>
      </c>
    </row>
    <row r="382" ht="15.75" customHeight="1">
      <c r="A382" s="115" t="s">
        <v>960</v>
      </c>
      <c r="B382" s="112" t="s">
        <v>1005</v>
      </c>
      <c r="C382" s="102" t="s">
        <v>382</v>
      </c>
    </row>
    <row r="383" ht="15.75" customHeight="1">
      <c r="A383" s="115" t="s">
        <v>960</v>
      </c>
      <c r="B383" s="112" t="s">
        <v>1006</v>
      </c>
      <c r="C383" s="103" t="s">
        <v>1007</v>
      </c>
    </row>
    <row r="384" ht="15.75" customHeight="1">
      <c r="A384" s="115" t="s">
        <v>960</v>
      </c>
      <c r="B384" s="108" t="s">
        <v>1008</v>
      </c>
      <c r="C384" s="102" t="s">
        <v>1009</v>
      </c>
    </row>
    <row r="385" ht="15.75" customHeight="1">
      <c r="A385" s="115" t="s">
        <v>960</v>
      </c>
      <c r="B385" s="124" t="s">
        <v>1010</v>
      </c>
      <c r="C385" s="103" t="s">
        <v>1011</v>
      </c>
    </row>
    <row r="386" ht="15.75" customHeight="1">
      <c r="A386" s="115" t="s">
        <v>960</v>
      </c>
      <c r="B386" s="124" t="s">
        <v>1012</v>
      </c>
      <c r="C386" s="102" t="s">
        <v>1013</v>
      </c>
    </row>
    <row r="387" ht="15.75" customHeight="1">
      <c r="A387" s="115" t="s">
        <v>960</v>
      </c>
      <c r="B387" s="127" t="s">
        <v>1014</v>
      </c>
      <c r="C387" s="103" t="s">
        <v>1015</v>
      </c>
    </row>
    <row r="388" ht="15.75" customHeight="1">
      <c r="A388" s="115" t="s">
        <v>960</v>
      </c>
      <c r="B388" s="126" t="s">
        <v>1016</v>
      </c>
      <c r="C388" s="102" t="s">
        <v>1017</v>
      </c>
    </row>
    <row r="389" ht="15.75" customHeight="1">
      <c r="A389" s="115" t="s">
        <v>960</v>
      </c>
      <c r="B389" s="127" t="s">
        <v>1018</v>
      </c>
      <c r="C389" s="103" t="s">
        <v>1017</v>
      </c>
    </row>
    <row r="390" ht="15.75" customHeight="1">
      <c r="A390" s="115" t="s">
        <v>960</v>
      </c>
      <c r="B390" s="125" t="s">
        <v>991</v>
      </c>
      <c r="C390" s="102" t="s">
        <v>992</v>
      </c>
    </row>
    <row r="391" ht="15.75" customHeight="1">
      <c r="A391" s="115" t="s">
        <v>960</v>
      </c>
      <c r="B391" s="107" t="s">
        <v>1019</v>
      </c>
      <c r="C391" s="103" t="s">
        <v>1020</v>
      </c>
    </row>
    <row r="392" ht="15.75" customHeight="1">
      <c r="A392" s="115" t="s">
        <v>960</v>
      </c>
      <c r="B392" s="108" t="s">
        <v>991</v>
      </c>
      <c r="C392" s="102" t="s">
        <v>992</v>
      </c>
    </row>
    <row r="393" ht="15.75" customHeight="1">
      <c r="A393" s="115" t="s">
        <v>960</v>
      </c>
      <c r="B393" s="107" t="s">
        <v>1021</v>
      </c>
      <c r="C393" s="103" t="s">
        <v>1022</v>
      </c>
    </row>
    <row r="394" ht="15.75" customHeight="1">
      <c r="A394" s="115" t="s">
        <v>960</v>
      </c>
      <c r="B394" s="108" t="s">
        <v>1023</v>
      </c>
      <c r="C394" s="102" t="s">
        <v>1024</v>
      </c>
    </row>
    <row r="395" ht="15.75" customHeight="1">
      <c r="A395" s="115" t="s">
        <v>139</v>
      </c>
      <c r="B395" s="105" t="s">
        <v>1025</v>
      </c>
      <c r="C395" s="103" t="s">
        <v>1026</v>
      </c>
    </row>
    <row r="396" ht="15.75" customHeight="1">
      <c r="A396" s="115" t="s">
        <v>139</v>
      </c>
      <c r="B396" s="108" t="s">
        <v>140</v>
      </c>
      <c r="C396" s="102" t="s">
        <v>1027</v>
      </c>
    </row>
    <row r="397" ht="15.75" customHeight="1">
      <c r="A397" s="115" t="s">
        <v>139</v>
      </c>
      <c r="B397" s="105" t="s">
        <v>1028</v>
      </c>
      <c r="C397" s="103" t="s">
        <v>1029</v>
      </c>
    </row>
    <row r="398" ht="15.75" customHeight="1">
      <c r="A398" s="115" t="s">
        <v>139</v>
      </c>
      <c r="B398" s="108" t="s">
        <v>1030</v>
      </c>
      <c r="C398" s="102" t="s">
        <v>1031</v>
      </c>
    </row>
    <row r="399" ht="15.75" customHeight="1">
      <c r="A399" s="128" t="s">
        <v>72</v>
      </c>
      <c r="B399" s="107" t="s">
        <v>75</v>
      </c>
      <c r="C399" s="103" t="s">
        <v>1032</v>
      </c>
    </row>
    <row r="400" ht="15.75" customHeight="1">
      <c r="A400" s="128" t="s">
        <v>72</v>
      </c>
      <c r="B400" s="120" t="s">
        <v>76</v>
      </c>
      <c r="C400" s="102" t="s">
        <v>1033</v>
      </c>
    </row>
    <row r="401" ht="15.75" customHeight="1">
      <c r="A401" s="128" t="s">
        <v>72</v>
      </c>
      <c r="B401" s="114" t="s">
        <v>326</v>
      </c>
      <c r="C401" s="9" t="s">
        <v>1034</v>
      </c>
    </row>
    <row r="402" ht="15.75" customHeight="1">
      <c r="A402" s="128" t="s">
        <v>72</v>
      </c>
      <c r="B402" s="120" t="s">
        <v>81</v>
      </c>
      <c r="C402" s="9" t="s">
        <v>1035</v>
      </c>
    </row>
    <row r="403" ht="15.75" customHeight="1">
      <c r="A403" s="128" t="s">
        <v>72</v>
      </c>
      <c r="B403" s="114" t="s">
        <v>334</v>
      </c>
      <c r="C403" s="9" t="s">
        <v>1036</v>
      </c>
    </row>
    <row r="404" ht="15.75" customHeight="1">
      <c r="A404" s="128" t="s">
        <v>72</v>
      </c>
      <c r="B404" s="120" t="s">
        <v>1037</v>
      </c>
      <c r="C404" s="9" t="s">
        <v>1038</v>
      </c>
    </row>
    <row r="405" ht="15.75" customHeight="1">
      <c r="A405" s="9" t="s">
        <v>21</v>
      </c>
      <c r="B405" s="114" t="s">
        <v>74</v>
      </c>
      <c r="C405" s="9" t="s">
        <v>1039</v>
      </c>
    </row>
    <row r="406" ht="15.75" customHeight="1">
      <c r="A406" s="128" t="s">
        <v>72</v>
      </c>
      <c r="B406" s="120" t="s">
        <v>1040</v>
      </c>
      <c r="C406" s="9" t="s">
        <v>1041</v>
      </c>
    </row>
    <row r="407" ht="15.75" customHeight="1">
      <c r="A407" s="128" t="s">
        <v>72</v>
      </c>
      <c r="B407" s="114" t="s">
        <v>137</v>
      </c>
      <c r="C407" s="9" t="s">
        <v>1042</v>
      </c>
    </row>
    <row r="408" ht="15.75" customHeight="1">
      <c r="A408" s="115" t="s">
        <v>139</v>
      </c>
      <c r="B408" s="120" t="s">
        <v>1043</v>
      </c>
      <c r="C408" s="9" t="s">
        <v>1044</v>
      </c>
    </row>
    <row r="409" ht="15.75" customHeight="1">
      <c r="A409" s="35" t="s">
        <v>43</v>
      </c>
      <c r="B409" s="129" t="s">
        <v>113</v>
      </c>
      <c r="C409" s="35" t="s">
        <v>1045</v>
      </c>
    </row>
    <row r="410" ht="15.75" customHeight="1">
      <c r="A410" s="35" t="s">
        <v>72</v>
      </c>
      <c r="B410" s="129" t="s">
        <v>1046</v>
      </c>
      <c r="C410" s="35" t="s">
        <v>382</v>
      </c>
    </row>
    <row r="411" ht="15.75" customHeight="1">
      <c r="A411" s="35" t="s">
        <v>88</v>
      </c>
      <c r="B411" s="129" t="s">
        <v>216</v>
      </c>
      <c r="C411" s="35" t="s">
        <v>1047</v>
      </c>
    </row>
    <row r="412" ht="15.75" customHeight="1">
      <c r="A412" s="35" t="s">
        <v>88</v>
      </c>
      <c r="B412" s="129" t="s">
        <v>217</v>
      </c>
      <c r="C412" s="35" t="s">
        <v>1048</v>
      </c>
    </row>
    <row r="413" ht="15.75" customHeight="1">
      <c r="A413" s="35" t="s">
        <v>88</v>
      </c>
      <c r="B413" s="130" t="s">
        <v>218</v>
      </c>
      <c r="C413" s="35" t="s">
        <v>1049</v>
      </c>
    </row>
    <row r="414" ht="15.75" customHeight="1">
      <c r="A414" s="115" t="s">
        <v>88</v>
      </c>
      <c r="B414" s="131" t="s">
        <v>221</v>
      </c>
      <c r="C414" s="9" t="s">
        <v>1050</v>
      </c>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35" t="s">
        <v>88</v>
      </c>
      <c r="B415" s="132" t="s">
        <v>231</v>
      </c>
      <c r="C415" s="133" t="s">
        <v>1051</v>
      </c>
    </row>
    <row r="416" ht="15.75" customHeight="1">
      <c r="A416" s="35" t="s">
        <v>21</v>
      </c>
      <c r="B416" s="132" t="s">
        <v>244</v>
      </c>
      <c r="C416" s="61" t="s">
        <v>1052</v>
      </c>
    </row>
    <row r="417" ht="15.75" customHeight="1">
      <c r="A417" s="35" t="s">
        <v>88</v>
      </c>
      <c r="B417" s="132" t="s">
        <v>239</v>
      </c>
      <c r="C417" s="133" t="s">
        <v>1053</v>
      </c>
    </row>
    <row r="418" ht="15.75" customHeight="1">
      <c r="A418" s="35" t="s">
        <v>88</v>
      </c>
      <c r="B418" s="132" t="s">
        <v>257</v>
      </c>
      <c r="C418" s="133" t="s">
        <v>1054</v>
      </c>
    </row>
    <row r="419" ht="15.75" customHeight="1">
      <c r="A419" s="35" t="s">
        <v>88</v>
      </c>
      <c r="B419" s="132" t="s">
        <v>262</v>
      </c>
      <c r="C419" s="133" t="s">
        <v>1055</v>
      </c>
    </row>
    <row r="420" ht="15.75" customHeight="1">
      <c r="A420" s="35" t="s">
        <v>88</v>
      </c>
      <c r="B420" s="134" t="s">
        <v>1056</v>
      </c>
      <c r="C420" s="135" t="s">
        <v>1057</v>
      </c>
    </row>
    <row r="421" ht="15.75" customHeight="1">
      <c r="A421" s="35" t="s">
        <v>88</v>
      </c>
      <c r="B421" s="136" t="s">
        <v>1058</v>
      </c>
      <c r="C421" s="76" t="s">
        <v>1059</v>
      </c>
    </row>
    <row r="422" ht="15.75" customHeight="1">
      <c r="A422" s="115" t="s">
        <v>88</v>
      </c>
      <c r="B422" s="131" t="s">
        <v>1060</v>
      </c>
      <c r="C422" s="9" t="s">
        <v>1061</v>
      </c>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115" t="s">
        <v>88</v>
      </c>
      <c r="B423" s="137" t="s">
        <v>1062</v>
      </c>
      <c r="C423" s="9" t="s">
        <v>1063</v>
      </c>
    </row>
    <row r="424" ht="15.75" customHeight="1">
      <c r="A424" s="115" t="s">
        <v>88</v>
      </c>
      <c r="B424" s="131" t="s">
        <v>1064</v>
      </c>
      <c r="C424" s="9" t="s">
        <v>1065</v>
      </c>
    </row>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F1"/>
  </mergeCells>
  <drawing r:id="rId1"/>
  <tableParts count="7">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7.57"/>
    <col customWidth="1" min="3" max="3" width="47.86"/>
    <col customWidth="1" min="4" max="4" width="16.86"/>
    <col customWidth="1" min="5" max="5" width="24.71"/>
    <col customWidth="1" min="6" max="6" width="27.0"/>
    <col customWidth="1" min="7" max="7" width="107.71"/>
    <col customWidth="1" min="8" max="8" width="35.86"/>
    <col customWidth="1" min="9" max="9" width="26.43"/>
    <col customWidth="1" min="10" max="10" width="28.29"/>
    <col customWidth="1" min="11" max="11" width="18.0"/>
    <col customWidth="1" min="12" max="12" width="19.0"/>
    <col customWidth="1" min="13" max="34" width="14.43"/>
  </cols>
  <sheetData>
    <row r="1" ht="1.5" customHeight="1">
      <c r="A1" s="12"/>
      <c r="B1" s="138"/>
      <c r="C1" s="139"/>
      <c r="D1" s="139"/>
      <c r="E1" s="14"/>
      <c r="F1" s="14"/>
      <c r="G1" s="14"/>
      <c r="H1" s="36"/>
      <c r="I1" s="36"/>
      <c r="L1" s="12"/>
      <c r="M1" s="15"/>
      <c r="N1" s="15"/>
      <c r="O1" s="15"/>
      <c r="P1" s="15"/>
      <c r="Q1" s="15"/>
      <c r="R1" s="15"/>
      <c r="S1" s="15"/>
      <c r="T1" s="15"/>
      <c r="U1" s="15"/>
      <c r="V1" s="15"/>
      <c r="W1" s="15"/>
      <c r="X1" s="15"/>
      <c r="Y1" s="15"/>
      <c r="Z1" s="15"/>
      <c r="AA1" s="15"/>
      <c r="AB1" s="15"/>
      <c r="AC1" s="15"/>
      <c r="AD1" s="15"/>
      <c r="AE1" s="15"/>
      <c r="AF1" s="15"/>
      <c r="AG1" s="15"/>
      <c r="AH1" s="15"/>
    </row>
    <row r="2" ht="1.5" customHeight="1">
      <c r="A2" s="12"/>
      <c r="B2" s="138"/>
      <c r="C2" s="139"/>
      <c r="D2" s="139"/>
      <c r="E2" s="14"/>
      <c r="F2" s="14"/>
      <c r="G2" s="14"/>
      <c r="H2" s="36"/>
      <c r="I2" s="36"/>
      <c r="L2" s="12"/>
      <c r="M2" s="15"/>
      <c r="N2" s="15"/>
      <c r="O2" s="15"/>
      <c r="P2" s="15"/>
      <c r="Q2" s="15"/>
      <c r="R2" s="15"/>
      <c r="S2" s="15"/>
      <c r="T2" s="15"/>
      <c r="U2" s="15"/>
      <c r="V2" s="15"/>
      <c r="W2" s="15"/>
      <c r="X2" s="15"/>
      <c r="Y2" s="15"/>
      <c r="Z2" s="15"/>
      <c r="AA2" s="15"/>
      <c r="AB2" s="15"/>
      <c r="AC2" s="15"/>
      <c r="AD2" s="15"/>
      <c r="AE2" s="15"/>
      <c r="AF2" s="15"/>
      <c r="AG2" s="15"/>
      <c r="AH2" s="15"/>
    </row>
    <row r="3" ht="15.75" customHeight="1">
      <c r="A3" s="14" t="s">
        <v>5</v>
      </c>
      <c r="B3" s="140" t="s">
        <v>5</v>
      </c>
      <c r="C3" s="141" t="s">
        <v>6</v>
      </c>
      <c r="D3" s="142"/>
      <c r="E3" s="142"/>
      <c r="F3" s="142"/>
      <c r="G3" s="142"/>
      <c r="H3" s="36"/>
      <c r="I3" s="36"/>
      <c r="L3" s="12"/>
      <c r="M3" s="15"/>
      <c r="N3" s="15"/>
      <c r="O3" s="15"/>
      <c r="P3" s="15"/>
      <c r="Q3" s="15"/>
      <c r="R3" s="15"/>
      <c r="S3" s="15"/>
      <c r="T3" s="15"/>
      <c r="U3" s="15"/>
      <c r="V3" s="15"/>
      <c r="W3" s="15"/>
      <c r="X3" s="15"/>
      <c r="Y3" s="15"/>
      <c r="Z3" s="15"/>
      <c r="AA3" s="15"/>
      <c r="AB3" s="15"/>
      <c r="AC3" s="15"/>
      <c r="AD3" s="15"/>
      <c r="AE3" s="15"/>
      <c r="AF3" s="15"/>
      <c r="AG3" s="15"/>
      <c r="AH3" s="15"/>
    </row>
    <row r="4" ht="15.75" customHeight="1">
      <c r="A4" s="20"/>
      <c r="B4" s="143"/>
      <c r="C4" s="144"/>
      <c r="D4" s="144"/>
      <c r="E4" s="20"/>
      <c r="F4" s="20"/>
      <c r="G4" s="20"/>
      <c r="L4" s="20"/>
      <c r="M4" s="15"/>
      <c r="N4" s="15"/>
      <c r="O4" s="15"/>
      <c r="P4" s="15"/>
      <c r="Q4" s="15"/>
      <c r="R4" s="15"/>
      <c r="S4" s="15"/>
      <c r="T4" s="15"/>
      <c r="U4" s="15"/>
      <c r="V4" s="15"/>
      <c r="W4" s="15"/>
      <c r="X4" s="15"/>
      <c r="Y4" s="15"/>
      <c r="Z4" s="15"/>
      <c r="AA4" s="15"/>
      <c r="AB4" s="15"/>
      <c r="AC4" s="15"/>
      <c r="AD4" s="15"/>
      <c r="AE4" s="15"/>
      <c r="AF4" s="15"/>
      <c r="AG4" s="15"/>
      <c r="AH4" s="15"/>
    </row>
    <row r="5" ht="15.75" customHeight="1">
      <c r="A5" s="22" t="s">
        <v>5</v>
      </c>
      <c r="B5" s="145" t="s">
        <v>7</v>
      </c>
      <c r="C5" s="146" t="s">
        <v>8</v>
      </c>
      <c r="D5" s="146" t="s">
        <v>9</v>
      </c>
      <c r="E5" s="24" t="s">
        <v>10</v>
      </c>
      <c r="F5" s="24" t="s">
        <v>11</v>
      </c>
      <c r="G5" s="24" t="s">
        <v>12</v>
      </c>
      <c r="H5" s="147" t="s">
        <v>13</v>
      </c>
      <c r="I5" s="147" t="s">
        <v>14</v>
      </c>
      <c r="J5" s="148" t="s">
        <v>15</v>
      </c>
      <c r="K5" s="148" t="s">
        <v>16</v>
      </c>
      <c r="L5" s="148" t="s">
        <v>17</v>
      </c>
      <c r="M5" s="15"/>
      <c r="N5" s="15"/>
      <c r="O5" s="15"/>
      <c r="P5" s="15"/>
      <c r="Q5" s="15"/>
      <c r="R5" s="15"/>
      <c r="S5" s="15"/>
      <c r="T5" s="15"/>
      <c r="U5" s="15"/>
      <c r="V5" s="15"/>
      <c r="W5" s="15"/>
      <c r="X5" s="15"/>
      <c r="Y5" s="15"/>
      <c r="Z5" s="15"/>
      <c r="AA5" s="15"/>
      <c r="AB5" s="15"/>
      <c r="AC5" s="15"/>
      <c r="AD5" s="15"/>
      <c r="AE5" s="15"/>
      <c r="AF5" s="15"/>
      <c r="AG5" s="15"/>
      <c r="AH5" s="15"/>
    </row>
    <row r="6" ht="16.5" customHeight="1">
      <c r="A6" s="32" t="s">
        <v>5</v>
      </c>
      <c r="B6" s="56" t="s">
        <v>1066</v>
      </c>
      <c r="C6" s="83" t="s">
        <v>1067</v>
      </c>
      <c r="D6" s="83"/>
      <c r="E6" s="28" t="s">
        <v>88</v>
      </c>
      <c r="F6" s="8" t="s">
        <v>481</v>
      </c>
      <c r="G6" s="149" t="s">
        <v>1068</v>
      </c>
      <c r="H6" s="31" t="s">
        <v>481</v>
      </c>
      <c r="I6" s="31"/>
      <c r="J6" s="9"/>
      <c r="K6" s="9"/>
      <c r="L6" s="9"/>
      <c r="M6" s="15"/>
      <c r="N6" s="15"/>
      <c r="O6" s="15"/>
      <c r="P6" s="15"/>
      <c r="Q6" s="15"/>
      <c r="R6" s="15"/>
      <c r="S6" s="15"/>
      <c r="T6" s="15"/>
      <c r="U6" s="15"/>
      <c r="V6" s="15"/>
      <c r="W6" s="15"/>
      <c r="X6" s="15"/>
      <c r="Y6" s="15"/>
      <c r="Z6" s="15"/>
      <c r="AA6" s="15"/>
      <c r="AB6" s="15"/>
      <c r="AC6" s="15"/>
      <c r="AD6" s="15"/>
      <c r="AE6" s="15"/>
      <c r="AF6" s="15"/>
      <c r="AG6" s="15"/>
      <c r="AH6" s="15"/>
    </row>
    <row r="7" ht="16.5" customHeight="1">
      <c r="A7" s="32" t="s">
        <v>5</v>
      </c>
      <c r="E7" s="28" t="s">
        <v>88</v>
      </c>
      <c r="F7" s="28" t="s">
        <v>496</v>
      </c>
      <c r="G7" s="149" t="s">
        <v>1069</v>
      </c>
      <c r="H7" s="150" t="s">
        <v>496</v>
      </c>
      <c r="I7" s="9"/>
      <c r="J7" s="9"/>
      <c r="K7" s="9"/>
      <c r="L7" s="9"/>
      <c r="M7" s="15"/>
      <c r="N7" s="15"/>
      <c r="O7" s="15"/>
      <c r="P7" s="15"/>
      <c r="Q7" s="15"/>
      <c r="R7" s="15"/>
      <c r="S7" s="15"/>
      <c r="T7" s="15"/>
      <c r="U7" s="15"/>
      <c r="V7" s="15"/>
      <c r="W7" s="15"/>
      <c r="X7" s="15"/>
      <c r="Y7" s="15"/>
      <c r="Z7" s="15"/>
      <c r="AA7" s="15"/>
      <c r="AB7" s="15"/>
      <c r="AC7" s="15"/>
      <c r="AD7" s="15"/>
      <c r="AE7" s="15"/>
      <c r="AF7" s="15"/>
      <c r="AG7" s="15"/>
      <c r="AH7" s="15"/>
    </row>
    <row r="8" ht="16.5" customHeight="1">
      <c r="A8" s="32" t="s">
        <v>5</v>
      </c>
      <c r="E8" s="8" t="s">
        <v>88</v>
      </c>
      <c r="F8" s="8" t="s">
        <v>559</v>
      </c>
      <c r="G8" s="149" t="s">
        <v>1070</v>
      </c>
      <c r="H8" s="31" t="s">
        <v>559</v>
      </c>
      <c r="I8" s="9"/>
      <c r="J8" s="9"/>
      <c r="K8" s="9"/>
      <c r="L8" s="9"/>
      <c r="M8" s="15"/>
      <c r="N8" s="15"/>
      <c r="O8" s="15"/>
      <c r="P8" s="15"/>
      <c r="Q8" s="15"/>
      <c r="R8" s="15"/>
      <c r="S8" s="15"/>
      <c r="T8" s="15"/>
      <c r="U8" s="15"/>
      <c r="V8" s="15"/>
      <c r="W8" s="15"/>
      <c r="X8" s="15"/>
      <c r="Y8" s="15"/>
      <c r="Z8" s="15"/>
      <c r="AA8" s="15"/>
      <c r="AB8" s="15"/>
      <c r="AC8" s="15"/>
      <c r="AD8" s="15"/>
      <c r="AE8" s="15"/>
      <c r="AF8" s="15"/>
      <c r="AG8" s="15"/>
      <c r="AH8" s="15"/>
    </row>
    <row r="9" ht="16.5" customHeight="1">
      <c r="A9" s="32" t="s">
        <v>5</v>
      </c>
      <c r="E9" s="8" t="s">
        <v>88</v>
      </c>
      <c r="F9" s="151" t="s">
        <v>858</v>
      </c>
      <c r="G9" s="149" t="s">
        <v>1071</v>
      </c>
      <c r="H9" s="31" t="s">
        <v>846</v>
      </c>
      <c r="I9" s="31" t="s">
        <v>850</v>
      </c>
      <c r="J9" s="31" t="s">
        <v>852</v>
      </c>
      <c r="K9" s="31"/>
      <c r="L9" s="9"/>
      <c r="M9" s="15"/>
      <c r="N9" s="15"/>
      <c r="O9" s="15"/>
      <c r="P9" s="15"/>
      <c r="Q9" s="15"/>
      <c r="R9" s="15"/>
      <c r="S9" s="15"/>
      <c r="T9" s="15"/>
      <c r="U9" s="15"/>
      <c r="V9" s="15"/>
      <c r="W9" s="15"/>
      <c r="X9" s="15"/>
      <c r="Y9" s="15"/>
      <c r="Z9" s="15"/>
      <c r="AA9" s="15"/>
      <c r="AB9" s="15"/>
      <c r="AC9" s="15"/>
      <c r="AD9" s="15"/>
      <c r="AE9" s="15"/>
      <c r="AF9" s="15"/>
      <c r="AG9" s="15"/>
      <c r="AH9" s="15"/>
    </row>
    <row r="10" ht="16.5" customHeight="1">
      <c r="A10" s="32" t="s">
        <v>5</v>
      </c>
      <c r="E10" s="8" t="s">
        <v>88</v>
      </c>
      <c r="F10" s="8" t="s">
        <v>559</v>
      </c>
      <c r="G10" s="149" t="s">
        <v>1072</v>
      </c>
      <c r="H10" s="31" t="s">
        <v>1073</v>
      </c>
      <c r="I10" s="9"/>
      <c r="J10" s="9"/>
      <c r="K10" s="9"/>
      <c r="L10" s="9"/>
      <c r="M10" s="15"/>
      <c r="N10" s="15"/>
      <c r="O10" s="15"/>
      <c r="P10" s="15"/>
      <c r="Q10" s="15"/>
      <c r="R10" s="15"/>
      <c r="S10" s="15"/>
      <c r="T10" s="15"/>
      <c r="U10" s="15"/>
      <c r="V10" s="15"/>
      <c r="W10" s="15"/>
      <c r="X10" s="15"/>
      <c r="Y10" s="15"/>
      <c r="Z10" s="15"/>
      <c r="AA10" s="15"/>
      <c r="AB10" s="15"/>
      <c r="AC10" s="15"/>
      <c r="AD10" s="15"/>
      <c r="AE10" s="15"/>
      <c r="AF10" s="15"/>
      <c r="AG10" s="15"/>
      <c r="AH10" s="15"/>
    </row>
    <row r="11" ht="16.5" customHeight="1">
      <c r="A11" s="32" t="s">
        <v>5</v>
      </c>
      <c r="E11" s="8" t="s">
        <v>88</v>
      </c>
      <c r="F11" s="151" t="s">
        <v>858</v>
      </c>
      <c r="G11" s="149" t="s">
        <v>1074</v>
      </c>
      <c r="H11" s="31" t="s">
        <v>1075</v>
      </c>
      <c r="I11" s="31" t="s">
        <v>1076</v>
      </c>
      <c r="J11" s="31"/>
      <c r="K11" s="9"/>
      <c r="L11" s="9"/>
      <c r="M11" s="15"/>
      <c r="N11" s="15"/>
      <c r="O11" s="15"/>
      <c r="P11" s="15"/>
      <c r="Q11" s="15"/>
      <c r="R11" s="15"/>
      <c r="S11" s="15"/>
      <c r="T11" s="15"/>
      <c r="U11" s="15"/>
      <c r="V11" s="15"/>
      <c r="W11" s="15"/>
      <c r="X11" s="15"/>
      <c r="Y11" s="15"/>
      <c r="Z11" s="15"/>
      <c r="AA11" s="15"/>
      <c r="AB11" s="15"/>
      <c r="AC11" s="15"/>
      <c r="AD11" s="15"/>
      <c r="AE11" s="15"/>
      <c r="AF11" s="15"/>
      <c r="AG11" s="15"/>
      <c r="AH11" s="15"/>
    </row>
    <row r="12" ht="16.5" customHeight="1">
      <c r="A12" s="32" t="s">
        <v>5</v>
      </c>
      <c r="E12" s="8" t="s">
        <v>88</v>
      </c>
      <c r="F12" s="8" t="s">
        <v>559</v>
      </c>
      <c r="G12" s="149" t="s">
        <v>1077</v>
      </c>
      <c r="H12" s="31" t="s">
        <v>1078</v>
      </c>
      <c r="I12" s="9"/>
      <c r="J12" s="9"/>
      <c r="K12" s="9"/>
      <c r="L12" s="9"/>
      <c r="M12" s="15"/>
      <c r="N12" s="15"/>
      <c r="O12" s="15"/>
      <c r="P12" s="15"/>
      <c r="Q12" s="15"/>
      <c r="R12" s="15"/>
      <c r="S12" s="15"/>
      <c r="T12" s="15"/>
      <c r="U12" s="15"/>
      <c r="V12" s="15"/>
      <c r="W12" s="15"/>
      <c r="X12" s="15"/>
      <c r="Y12" s="15"/>
      <c r="Z12" s="15"/>
      <c r="AA12" s="15"/>
      <c r="AB12" s="15"/>
      <c r="AC12" s="15"/>
      <c r="AD12" s="15"/>
      <c r="AE12" s="15"/>
      <c r="AF12" s="15"/>
      <c r="AG12" s="15"/>
      <c r="AH12" s="15"/>
    </row>
    <row r="13" ht="16.5" customHeight="1">
      <c r="A13" s="32" t="s">
        <v>5</v>
      </c>
      <c r="E13" s="8" t="s">
        <v>88</v>
      </c>
      <c r="F13" s="151" t="s">
        <v>858</v>
      </c>
      <c r="G13" s="149" t="s">
        <v>1079</v>
      </c>
      <c r="H13" s="31" t="s">
        <v>1080</v>
      </c>
      <c r="I13" s="31" t="s">
        <v>1081</v>
      </c>
      <c r="J13" s="31"/>
      <c r="K13" s="9"/>
      <c r="L13" s="9"/>
      <c r="M13" s="15"/>
      <c r="N13" s="15"/>
      <c r="O13" s="15"/>
      <c r="P13" s="15"/>
      <c r="Q13" s="15"/>
      <c r="R13" s="15"/>
      <c r="S13" s="15"/>
      <c r="T13" s="15"/>
      <c r="U13" s="15"/>
      <c r="V13" s="15"/>
      <c r="W13" s="15"/>
      <c r="X13" s="15"/>
      <c r="Y13" s="15"/>
      <c r="Z13" s="15"/>
      <c r="AA13" s="15"/>
      <c r="AB13" s="15"/>
      <c r="AC13" s="15"/>
      <c r="AD13" s="15"/>
      <c r="AE13" s="15"/>
      <c r="AF13" s="15"/>
      <c r="AG13" s="15"/>
      <c r="AH13" s="15"/>
    </row>
    <row r="14" ht="16.5" customHeight="1">
      <c r="A14" s="32" t="s">
        <v>5</v>
      </c>
      <c r="E14" s="8" t="s">
        <v>88</v>
      </c>
      <c r="F14" s="8" t="s">
        <v>559</v>
      </c>
      <c r="G14" s="149" t="s">
        <v>1082</v>
      </c>
      <c r="H14" s="31" t="s">
        <v>1083</v>
      </c>
      <c r="I14" s="9"/>
      <c r="J14" s="9"/>
      <c r="K14" s="9"/>
      <c r="L14" s="9"/>
      <c r="M14" s="15"/>
      <c r="N14" s="15"/>
      <c r="O14" s="15"/>
      <c r="P14" s="15"/>
      <c r="Q14" s="15"/>
      <c r="R14" s="15"/>
      <c r="S14" s="15"/>
      <c r="T14" s="15"/>
      <c r="U14" s="15"/>
      <c r="V14" s="15"/>
      <c r="W14" s="15"/>
      <c r="X14" s="15"/>
      <c r="Y14" s="15"/>
      <c r="Z14" s="15"/>
      <c r="AA14" s="15"/>
      <c r="AB14" s="15"/>
      <c r="AC14" s="15"/>
      <c r="AD14" s="15"/>
      <c r="AE14" s="15"/>
      <c r="AF14" s="15"/>
      <c r="AG14" s="15"/>
      <c r="AH14" s="15"/>
    </row>
    <row r="15" ht="16.5" customHeight="1">
      <c r="A15" s="32" t="s">
        <v>5</v>
      </c>
      <c r="E15" s="8" t="s">
        <v>88</v>
      </c>
      <c r="F15" s="151" t="s">
        <v>858</v>
      </c>
      <c r="G15" s="149" t="s">
        <v>1084</v>
      </c>
      <c r="H15" s="31" t="s">
        <v>1085</v>
      </c>
      <c r="I15" s="31" t="s">
        <v>1086</v>
      </c>
      <c r="J15" s="31"/>
      <c r="K15" s="9"/>
      <c r="L15" s="9"/>
      <c r="M15" s="15"/>
      <c r="N15" s="15"/>
      <c r="O15" s="15"/>
      <c r="P15" s="15"/>
      <c r="Q15" s="15"/>
      <c r="R15" s="15"/>
      <c r="S15" s="15"/>
      <c r="T15" s="15"/>
      <c r="U15" s="15"/>
      <c r="V15" s="15"/>
      <c r="W15" s="15"/>
      <c r="X15" s="15"/>
      <c r="Y15" s="15"/>
      <c r="Z15" s="15"/>
      <c r="AA15" s="15"/>
      <c r="AB15" s="15"/>
      <c r="AC15" s="15"/>
      <c r="AD15" s="15"/>
      <c r="AE15" s="15"/>
      <c r="AF15" s="15"/>
      <c r="AG15" s="15"/>
      <c r="AH15" s="15"/>
    </row>
    <row r="16" ht="16.5" customHeight="1">
      <c r="A16" s="32" t="s">
        <v>5</v>
      </c>
      <c r="E16" s="8" t="s">
        <v>88</v>
      </c>
      <c r="F16" s="8" t="s">
        <v>570</v>
      </c>
      <c r="G16" s="69"/>
      <c r="H16" s="31"/>
      <c r="I16" s="9"/>
      <c r="J16" s="9"/>
      <c r="K16" s="9"/>
      <c r="L16" s="9"/>
      <c r="M16" s="15"/>
      <c r="N16" s="15"/>
      <c r="O16" s="15"/>
      <c r="P16" s="15"/>
      <c r="Q16" s="15"/>
      <c r="R16" s="15"/>
      <c r="S16" s="15"/>
      <c r="T16" s="15"/>
      <c r="U16" s="15"/>
      <c r="V16" s="15"/>
      <c r="W16" s="15"/>
      <c r="X16" s="15"/>
      <c r="Y16" s="15"/>
      <c r="Z16" s="15"/>
      <c r="AA16" s="15"/>
      <c r="AB16" s="15"/>
      <c r="AC16" s="15"/>
      <c r="AD16" s="15"/>
      <c r="AE16" s="15"/>
      <c r="AF16" s="15"/>
      <c r="AG16" s="15"/>
      <c r="AH16" s="15"/>
    </row>
    <row r="17" ht="16.5" customHeight="1">
      <c r="A17" s="32" t="s">
        <v>5</v>
      </c>
      <c r="E17" s="28" t="s">
        <v>88</v>
      </c>
      <c r="F17" s="8" t="s">
        <v>598</v>
      </c>
      <c r="G17" s="69"/>
      <c r="H17" s="31"/>
      <c r="I17" s="31"/>
      <c r="J17" s="9"/>
      <c r="K17" s="9"/>
      <c r="L17" s="9"/>
      <c r="M17" s="15"/>
      <c r="N17" s="15"/>
      <c r="O17" s="15"/>
      <c r="P17" s="15"/>
      <c r="Q17" s="15"/>
      <c r="R17" s="15"/>
      <c r="S17" s="15"/>
      <c r="T17" s="15"/>
      <c r="U17" s="15"/>
      <c r="V17" s="15"/>
      <c r="W17" s="15"/>
      <c r="X17" s="15"/>
      <c r="Y17" s="15"/>
      <c r="Z17" s="15"/>
      <c r="AA17" s="15"/>
      <c r="AB17" s="15"/>
      <c r="AC17" s="15"/>
      <c r="AD17" s="15"/>
      <c r="AE17" s="15"/>
      <c r="AF17" s="15"/>
      <c r="AG17" s="15"/>
      <c r="AH17" s="15"/>
    </row>
    <row r="18" ht="16.5" customHeight="1">
      <c r="A18" s="32" t="s">
        <v>5</v>
      </c>
      <c r="E18" s="28" t="s">
        <v>21</v>
      </c>
      <c r="F18" s="38" t="s">
        <v>51</v>
      </c>
      <c r="G18" s="149" t="s">
        <v>1087</v>
      </c>
      <c r="H18" s="150" t="s">
        <v>51</v>
      </c>
      <c r="I18" s="31"/>
      <c r="J18" s="9"/>
      <c r="K18" s="9"/>
      <c r="L18" s="9"/>
      <c r="M18" s="15"/>
      <c r="N18" s="15"/>
      <c r="O18" s="15"/>
      <c r="P18" s="15"/>
      <c r="Q18" s="15"/>
      <c r="R18" s="15"/>
      <c r="S18" s="15"/>
      <c r="T18" s="15"/>
      <c r="U18" s="15"/>
      <c r="V18" s="15"/>
      <c r="W18" s="15"/>
      <c r="X18" s="15"/>
      <c r="Y18" s="15"/>
      <c r="Z18" s="15"/>
      <c r="AA18" s="15"/>
      <c r="AB18" s="15"/>
      <c r="AC18" s="15"/>
      <c r="AD18" s="15"/>
      <c r="AE18" s="15"/>
      <c r="AF18" s="15"/>
      <c r="AG18" s="15"/>
      <c r="AH18" s="15"/>
    </row>
    <row r="19" ht="16.5" customHeight="1">
      <c r="A19" s="32" t="s">
        <v>5</v>
      </c>
      <c r="E19" s="28" t="s">
        <v>88</v>
      </c>
      <c r="F19" s="28" t="s">
        <v>120</v>
      </c>
      <c r="G19" s="149" t="s">
        <v>1088</v>
      </c>
      <c r="H19" s="150" t="s">
        <v>120</v>
      </c>
      <c r="I19" s="9"/>
      <c r="J19" s="9"/>
      <c r="K19" s="9"/>
      <c r="L19" s="9"/>
      <c r="M19" s="15"/>
      <c r="N19" s="15"/>
      <c r="O19" s="15"/>
      <c r="P19" s="15"/>
      <c r="Q19" s="15"/>
      <c r="R19" s="15"/>
      <c r="S19" s="15"/>
      <c r="T19" s="15"/>
      <c r="U19" s="15"/>
      <c r="V19" s="15"/>
      <c r="W19" s="15"/>
      <c r="X19" s="15"/>
      <c r="Y19" s="15"/>
      <c r="Z19" s="15"/>
      <c r="AA19" s="15"/>
      <c r="AB19" s="15"/>
      <c r="AC19" s="15"/>
      <c r="AD19" s="15"/>
      <c r="AE19" s="15"/>
      <c r="AF19" s="15"/>
      <c r="AG19" s="15"/>
      <c r="AH19" s="15"/>
    </row>
    <row r="20" ht="16.5" customHeight="1">
      <c r="A20" s="32" t="s">
        <v>5</v>
      </c>
      <c r="E20" s="8" t="s">
        <v>88</v>
      </c>
      <c r="F20" s="8" t="s">
        <v>544</v>
      </c>
      <c r="G20" s="152" t="s">
        <v>1089</v>
      </c>
      <c r="H20" s="36"/>
      <c r="L20" s="9"/>
      <c r="M20" s="15"/>
      <c r="N20" s="15"/>
      <c r="O20" s="15"/>
      <c r="P20" s="15"/>
      <c r="Q20" s="15"/>
      <c r="R20" s="15"/>
      <c r="S20" s="15"/>
      <c r="T20" s="15"/>
      <c r="U20" s="15"/>
      <c r="V20" s="15"/>
      <c r="W20" s="15"/>
      <c r="X20" s="15"/>
      <c r="Y20" s="15"/>
      <c r="Z20" s="15"/>
      <c r="AA20" s="15"/>
      <c r="AB20" s="15"/>
      <c r="AC20" s="15"/>
      <c r="AD20" s="15"/>
      <c r="AE20" s="15"/>
      <c r="AF20" s="15"/>
      <c r="AG20" s="15"/>
      <c r="AH20" s="15"/>
    </row>
    <row r="21" ht="16.5" customHeight="1">
      <c r="A21" s="32" t="s">
        <v>5</v>
      </c>
      <c r="E21" s="8" t="s">
        <v>88</v>
      </c>
      <c r="F21" s="8" t="s">
        <v>247</v>
      </c>
      <c r="G21" s="69"/>
      <c r="H21" s="31"/>
      <c r="I21" s="9"/>
      <c r="J21" s="9"/>
      <c r="K21" s="9"/>
      <c r="L21" s="9"/>
      <c r="M21" s="15"/>
      <c r="N21" s="15"/>
      <c r="O21" s="15"/>
      <c r="P21" s="15"/>
      <c r="Q21" s="15"/>
      <c r="R21" s="15"/>
      <c r="S21" s="15"/>
      <c r="T21" s="15"/>
      <c r="U21" s="15"/>
      <c r="V21" s="15"/>
      <c r="W21" s="15"/>
      <c r="X21" s="15"/>
      <c r="Y21" s="15"/>
      <c r="Z21" s="15"/>
      <c r="AA21" s="15"/>
      <c r="AB21" s="15"/>
      <c r="AC21" s="15"/>
      <c r="AD21" s="15"/>
      <c r="AE21" s="15"/>
      <c r="AF21" s="15"/>
      <c r="AG21" s="15"/>
      <c r="AH21" s="15"/>
    </row>
    <row r="22" ht="16.5" customHeight="1">
      <c r="A22" s="32" t="s">
        <v>5</v>
      </c>
      <c r="E22" s="8" t="s">
        <v>88</v>
      </c>
      <c r="F22" s="8" t="s">
        <v>95</v>
      </c>
      <c r="G22" s="149" t="s">
        <v>1090</v>
      </c>
      <c r="H22" s="31" t="s">
        <v>95</v>
      </c>
      <c r="I22" s="9"/>
      <c r="J22" s="9"/>
      <c r="K22" s="9"/>
      <c r="L22" s="9"/>
      <c r="M22" s="15"/>
      <c r="N22" s="15"/>
      <c r="O22" s="15"/>
      <c r="P22" s="15"/>
      <c r="Q22" s="15"/>
      <c r="R22" s="15"/>
      <c r="S22" s="15"/>
      <c r="T22" s="15"/>
      <c r="U22" s="15"/>
      <c r="V22" s="15"/>
      <c r="W22" s="15"/>
      <c r="X22" s="15"/>
      <c r="Y22" s="15"/>
      <c r="Z22" s="15"/>
      <c r="AA22" s="15"/>
      <c r="AB22" s="15"/>
      <c r="AC22" s="15"/>
      <c r="AD22" s="15"/>
      <c r="AE22" s="15"/>
      <c r="AF22" s="15"/>
      <c r="AG22" s="15"/>
      <c r="AH22" s="15"/>
    </row>
    <row r="23" ht="16.5" customHeight="1">
      <c r="A23" s="32" t="s">
        <v>5</v>
      </c>
      <c r="E23" s="8" t="s">
        <v>88</v>
      </c>
      <c r="F23" s="8" t="s">
        <v>96</v>
      </c>
      <c r="G23" s="149" t="s">
        <v>1091</v>
      </c>
      <c r="H23" s="31" t="s">
        <v>96</v>
      </c>
      <c r="I23" s="9"/>
      <c r="J23" s="9"/>
      <c r="K23" s="9"/>
      <c r="L23" s="9"/>
      <c r="M23" s="15"/>
      <c r="N23" s="15"/>
      <c r="O23" s="15"/>
      <c r="P23" s="15"/>
      <c r="Q23" s="15"/>
      <c r="R23" s="15"/>
      <c r="S23" s="15"/>
      <c r="T23" s="15"/>
      <c r="U23" s="15"/>
      <c r="V23" s="15"/>
      <c r="W23" s="15"/>
      <c r="X23" s="15"/>
      <c r="Y23" s="15"/>
      <c r="Z23" s="15"/>
      <c r="AA23" s="15"/>
      <c r="AB23" s="15"/>
      <c r="AC23" s="15"/>
      <c r="AD23" s="15"/>
      <c r="AE23" s="15"/>
      <c r="AF23" s="15"/>
      <c r="AG23" s="15"/>
      <c r="AH23" s="15"/>
    </row>
    <row r="24" ht="16.5" customHeight="1">
      <c r="A24" s="32" t="s">
        <v>5</v>
      </c>
      <c r="E24" s="8" t="s">
        <v>86</v>
      </c>
      <c r="F24" s="8" t="s">
        <v>90</v>
      </c>
      <c r="G24" s="149" t="s">
        <v>1092</v>
      </c>
      <c r="H24" s="31" t="s">
        <v>90</v>
      </c>
      <c r="I24" s="9"/>
      <c r="J24" s="9"/>
      <c r="K24" s="9"/>
      <c r="L24" s="9"/>
      <c r="M24" s="15"/>
      <c r="N24" s="15"/>
      <c r="O24" s="15"/>
      <c r="P24" s="15"/>
      <c r="Q24" s="15"/>
      <c r="R24" s="15"/>
      <c r="S24" s="15"/>
      <c r="T24" s="15"/>
      <c r="U24" s="15"/>
      <c r="V24" s="15"/>
      <c r="W24" s="15"/>
      <c r="X24" s="15"/>
      <c r="Y24" s="15"/>
      <c r="Z24" s="15"/>
      <c r="AA24" s="15"/>
      <c r="AB24" s="15"/>
      <c r="AC24" s="15"/>
      <c r="AD24" s="15"/>
      <c r="AE24" s="15"/>
      <c r="AF24" s="15"/>
      <c r="AG24" s="15"/>
      <c r="AH24" s="15"/>
    </row>
    <row r="25" ht="16.5" customHeight="1">
      <c r="A25" s="32" t="s">
        <v>5</v>
      </c>
      <c r="E25" s="8" t="s">
        <v>86</v>
      </c>
      <c r="F25" s="8" t="s">
        <v>91</v>
      </c>
      <c r="G25" s="149" t="s">
        <v>1093</v>
      </c>
      <c r="H25" s="31" t="s">
        <v>91</v>
      </c>
      <c r="I25" s="9"/>
      <c r="J25" s="9"/>
      <c r="K25" s="9"/>
      <c r="L25" s="9"/>
      <c r="M25" s="15"/>
      <c r="N25" s="15"/>
      <c r="O25" s="15"/>
      <c r="P25" s="15"/>
      <c r="Q25" s="15"/>
      <c r="R25" s="15"/>
      <c r="S25" s="15"/>
      <c r="T25" s="15"/>
      <c r="U25" s="15"/>
      <c r="V25" s="15"/>
      <c r="W25" s="15"/>
      <c r="X25" s="15"/>
      <c r="Y25" s="15"/>
      <c r="Z25" s="15"/>
      <c r="AA25" s="15"/>
      <c r="AB25" s="15"/>
      <c r="AC25" s="15"/>
      <c r="AD25" s="15"/>
      <c r="AE25" s="15"/>
      <c r="AF25" s="15"/>
      <c r="AG25" s="15"/>
      <c r="AH25" s="15"/>
    </row>
    <row r="26" ht="16.5" customHeight="1">
      <c r="A26" s="32" t="s">
        <v>5</v>
      </c>
      <c r="E26" s="28" t="s">
        <v>86</v>
      </c>
      <c r="F26" s="8" t="s">
        <v>338</v>
      </c>
      <c r="G26" s="149" t="s">
        <v>1094</v>
      </c>
      <c r="H26" s="31" t="s">
        <v>338</v>
      </c>
      <c r="I26" s="9"/>
      <c r="J26" s="9"/>
      <c r="K26" s="9"/>
      <c r="L26" s="9"/>
      <c r="M26" s="15"/>
      <c r="N26" s="15"/>
      <c r="O26" s="15"/>
      <c r="P26" s="15"/>
      <c r="Q26" s="15"/>
      <c r="R26" s="15"/>
      <c r="S26" s="15"/>
      <c r="T26" s="15"/>
      <c r="U26" s="15"/>
      <c r="V26" s="15"/>
      <c r="W26" s="15"/>
      <c r="X26" s="15"/>
      <c r="Y26" s="15"/>
      <c r="Z26" s="15"/>
      <c r="AA26" s="15"/>
      <c r="AB26" s="15"/>
      <c r="AC26" s="15"/>
      <c r="AD26" s="15"/>
      <c r="AE26" s="15"/>
      <c r="AF26" s="15"/>
      <c r="AG26" s="15"/>
      <c r="AH26" s="15"/>
    </row>
    <row r="27" ht="16.5" customHeight="1">
      <c r="A27" s="32" t="s">
        <v>5</v>
      </c>
      <c r="E27" s="28" t="s">
        <v>88</v>
      </c>
      <c r="F27" s="38" t="s">
        <v>89</v>
      </c>
      <c r="G27" s="69"/>
      <c r="H27" s="31"/>
      <c r="I27" s="9"/>
      <c r="J27" s="9"/>
      <c r="K27" s="9"/>
      <c r="L27" s="9"/>
      <c r="M27" s="15"/>
      <c r="N27" s="15"/>
      <c r="O27" s="15"/>
      <c r="P27" s="15"/>
      <c r="Q27" s="15"/>
      <c r="R27" s="15"/>
      <c r="S27" s="15"/>
      <c r="T27" s="15"/>
      <c r="U27" s="15"/>
      <c r="V27" s="15"/>
      <c r="W27" s="15"/>
      <c r="X27" s="15"/>
      <c r="Y27" s="15"/>
      <c r="Z27" s="15"/>
      <c r="AA27" s="15"/>
      <c r="AB27" s="15"/>
      <c r="AC27" s="15"/>
      <c r="AD27" s="15"/>
      <c r="AE27" s="15"/>
      <c r="AF27" s="15"/>
      <c r="AG27" s="15"/>
      <c r="AH27" s="15"/>
    </row>
    <row r="28" ht="16.5" customHeight="1">
      <c r="A28" s="32" t="s">
        <v>5</v>
      </c>
      <c r="E28" s="28" t="s">
        <v>88</v>
      </c>
      <c r="F28" s="28" t="s">
        <v>795</v>
      </c>
      <c r="G28" s="69"/>
      <c r="H28" s="31"/>
      <c r="I28" s="9"/>
      <c r="J28" s="9"/>
      <c r="K28" s="9"/>
      <c r="L28" s="9"/>
      <c r="M28" s="15"/>
      <c r="N28" s="15"/>
      <c r="O28" s="15"/>
      <c r="P28" s="15"/>
      <c r="Q28" s="15"/>
      <c r="R28" s="15"/>
      <c r="S28" s="15"/>
      <c r="T28" s="15"/>
      <c r="U28" s="15"/>
      <c r="V28" s="15"/>
      <c r="W28" s="15"/>
      <c r="X28" s="15"/>
      <c r="Y28" s="15"/>
      <c r="Z28" s="15"/>
      <c r="AA28" s="15"/>
      <c r="AB28" s="15"/>
      <c r="AC28" s="15"/>
      <c r="AD28" s="15"/>
      <c r="AE28" s="15"/>
      <c r="AF28" s="15"/>
      <c r="AG28" s="15"/>
      <c r="AH28" s="15"/>
    </row>
    <row r="29" ht="16.5" customHeight="1">
      <c r="A29" s="32" t="s">
        <v>5</v>
      </c>
      <c r="B29" s="56" t="s">
        <v>1095</v>
      </c>
      <c r="C29" s="57" t="s">
        <v>1096</v>
      </c>
      <c r="D29" s="83" t="s">
        <v>42</v>
      </c>
      <c r="E29" s="8" t="s">
        <v>88</v>
      </c>
      <c r="F29" s="8" t="s">
        <v>481</v>
      </c>
      <c r="G29" s="149" t="s">
        <v>1097</v>
      </c>
      <c r="H29" s="153" t="s">
        <v>481</v>
      </c>
      <c r="I29" s="9"/>
      <c r="J29" s="9"/>
      <c r="K29" s="9"/>
      <c r="L29" s="9"/>
      <c r="M29" s="15"/>
      <c r="N29" s="15"/>
      <c r="O29" s="15"/>
      <c r="P29" s="15"/>
      <c r="Q29" s="15"/>
      <c r="R29" s="15"/>
      <c r="S29" s="15"/>
      <c r="T29" s="15"/>
      <c r="U29" s="15"/>
      <c r="V29" s="15"/>
      <c r="W29" s="15"/>
      <c r="X29" s="15"/>
      <c r="Y29" s="15"/>
      <c r="Z29" s="15"/>
      <c r="AA29" s="15"/>
      <c r="AB29" s="15"/>
      <c r="AC29" s="15"/>
      <c r="AD29" s="15"/>
      <c r="AE29" s="15"/>
      <c r="AF29" s="15"/>
      <c r="AG29" s="15"/>
      <c r="AH29" s="15"/>
    </row>
    <row r="30" ht="16.5" customHeight="1">
      <c r="A30" s="32" t="s">
        <v>5</v>
      </c>
      <c r="E30" s="8" t="s">
        <v>88</v>
      </c>
      <c r="F30" s="8" t="s">
        <v>496</v>
      </c>
      <c r="G30" s="149" t="s">
        <v>1098</v>
      </c>
      <c r="H30" s="153" t="s">
        <v>496</v>
      </c>
      <c r="I30" s="9"/>
      <c r="J30" s="9"/>
      <c r="K30" s="9"/>
      <c r="L30" s="9"/>
      <c r="M30" s="15"/>
      <c r="N30" s="15"/>
      <c r="O30" s="15"/>
      <c r="P30" s="15"/>
      <c r="Q30" s="15"/>
      <c r="R30" s="15"/>
      <c r="S30" s="15"/>
      <c r="T30" s="15"/>
      <c r="U30" s="15"/>
      <c r="V30" s="15"/>
      <c r="W30" s="15"/>
      <c r="X30" s="15"/>
      <c r="Y30" s="15"/>
      <c r="Z30" s="15"/>
      <c r="AA30" s="15"/>
      <c r="AB30" s="15"/>
      <c r="AC30" s="15"/>
      <c r="AD30" s="15"/>
      <c r="AE30" s="15"/>
      <c r="AF30" s="15"/>
      <c r="AG30" s="15"/>
      <c r="AH30" s="15"/>
    </row>
    <row r="31" ht="16.5" customHeight="1">
      <c r="A31" s="32" t="s">
        <v>5</v>
      </c>
      <c r="E31" s="8" t="s">
        <v>88</v>
      </c>
      <c r="F31" s="8" t="s">
        <v>559</v>
      </c>
      <c r="G31" s="149" t="s">
        <v>1099</v>
      </c>
      <c r="H31" s="153" t="s">
        <v>559</v>
      </c>
      <c r="I31" s="9"/>
      <c r="J31" s="9"/>
      <c r="K31" s="9"/>
      <c r="L31" s="9"/>
      <c r="M31" s="15"/>
      <c r="N31" s="15"/>
      <c r="O31" s="15"/>
      <c r="P31" s="15"/>
      <c r="Q31" s="15"/>
      <c r="R31" s="15"/>
      <c r="S31" s="15"/>
      <c r="T31" s="15"/>
      <c r="U31" s="15"/>
      <c r="V31" s="15"/>
      <c r="W31" s="15"/>
      <c r="X31" s="15"/>
      <c r="Y31" s="15"/>
      <c r="Z31" s="15"/>
      <c r="AA31" s="15"/>
      <c r="AB31" s="15"/>
      <c r="AC31" s="15"/>
      <c r="AD31" s="15"/>
      <c r="AE31" s="15"/>
      <c r="AF31" s="15"/>
      <c r="AG31" s="15"/>
      <c r="AH31" s="15"/>
    </row>
    <row r="32" ht="16.5" customHeight="1">
      <c r="A32" s="32" t="s">
        <v>5</v>
      </c>
      <c r="E32" s="8" t="s">
        <v>88</v>
      </c>
      <c r="F32" s="151" t="s">
        <v>858</v>
      </c>
      <c r="G32" s="149" t="s">
        <v>1100</v>
      </c>
      <c r="H32" s="31" t="s">
        <v>846</v>
      </c>
      <c r="I32" s="31" t="s">
        <v>850</v>
      </c>
      <c r="J32" s="31" t="s">
        <v>852</v>
      </c>
      <c r="K32" s="31"/>
      <c r="L32" s="9"/>
      <c r="M32" s="15"/>
      <c r="N32" s="15"/>
      <c r="O32" s="15"/>
      <c r="P32" s="15"/>
      <c r="Q32" s="15"/>
      <c r="R32" s="15"/>
      <c r="S32" s="15"/>
      <c r="T32" s="15"/>
      <c r="U32" s="15"/>
      <c r="V32" s="15"/>
      <c r="W32" s="15"/>
      <c r="X32" s="15"/>
      <c r="Y32" s="15"/>
      <c r="Z32" s="15"/>
      <c r="AA32" s="15"/>
      <c r="AB32" s="15"/>
      <c r="AC32" s="15"/>
      <c r="AD32" s="15"/>
      <c r="AE32" s="15"/>
      <c r="AF32" s="15"/>
      <c r="AG32" s="15"/>
      <c r="AH32" s="15"/>
    </row>
    <row r="33" ht="16.5" customHeight="1">
      <c r="A33" s="32" t="s">
        <v>5</v>
      </c>
      <c r="E33" s="28" t="s">
        <v>88</v>
      </c>
      <c r="F33" s="8" t="s">
        <v>559</v>
      </c>
      <c r="G33" s="149" t="s">
        <v>1101</v>
      </c>
      <c r="H33" s="31" t="s">
        <v>1073</v>
      </c>
      <c r="I33" s="9"/>
      <c r="J33" s="9"/>
      <c r="K33" s="9"/>
      <c r="L33" s="9"/>
      <c r="M33" s="15"/>
      <c r="N33" s="15"/>
      <c r="O33" s="15"/>
      <c r="P33" s="15"/>
      <c r="Q33" s="15"/>
      <c r="R33" s="15"/>
      <c r="S33" s="15"/>
      <c r="T33" s="15"/>
      <c r="U33" s="15"/>
      <c r="V33" s="15"/>
      <c r="W33" s="15"/>
      <c r="X33" s="15"/>
      <c r="Y33" s="15"/>
      <c r="Z33" s="15"/>
      <c r="AA33" s="15"/>
      <c r="AB33" s="15"/>
      <c r="AC33" s="15"/>
      <c r="AD33" s="15"/>
      <c r="AE33" s="15"/>
      <c r="AF33" s="15"/>
      <c r="AG33" s="15"/>
      <c r="AH33" s="15"/>
    </row>
    <row r="34" ht="16.5" customHeight="1">
      <c r="A34" s="32" t="s">
        <v>5</v>
      </c>
      <c r="E34" s="28" t="s">
        <v>88</v>
      </c>
      <c r="F34" s="151" t="s">
        <v>858</v>
      </c>
      <c r="G34" s="149" t="s">
        <v>1102</v>
      </c>
      <c r="H34" s="31" t="s">
        <v>1075</v>
      </c>
      <c r="I34" s="31" t="s">
        <v>1076</v>
      </c>
      <c r="J34" s="31"/>
      <c r="K34" s="9"/>
      <c r="L34" s="9"/>
      <c r="M34" s="15"/>
      <c r="N34" s="15"/>
      <c r="O34" s="15"/>
      <c r="P34" s="15"/>
      <c r="Q34" s="15"/>
      <c r="R34" s="15"/>
      <c r="S34" s="15"/>
      <c r="T34" s="15"/>
      <c r="U34" s="15"/>
      <c r="V34" s="15"/>
      <c r="W34" s="15"/>
      <c r="X34" s="15"/>
      <c r="Y34" s="15"/>
      <c r="Z34" s="15"/>
      <c r="AA34" s="15"/>
      <c r="AB34" s="15"/>
      <c r="AC34" s="15"/>
      <c r="AD34" s="15"/>
      <c r="AE34" s="15"/>
      <c r="AF34" s="15"/>
      <c r="AG34" s="15"/>
      <c r="AH34" s="15"/>
    </row>
    <row r="35" ht="16.5" customHeight="1">
      <c r="A35" s="32" t="s">
        <v>5</v>
      </c>
      <c r="E35" s="28" t="s">
        <v>88</v>
      </c>
      <c r="F35" s="38" t="s">
        <v>559</v>
      </c>
      <c r="G35" s="154" t="s">
        <v>1103</v>
      </c>
      <c r="H35" s="31" t="s">
        <v>1078</v>
      </c>
      <c r="I35" s="9"/>
      <c r="J35" s="9"/>
      <c r="K35" s="9"/>
      <c r="L35" s="9"/>
      <c r="M35" s="15"/>
      <c r="N35" s="15"/>
      <c r="O35" s="15"/>
      <c r="P35" s="15"/>
      <c r="Q35" s="15"/>
      <c r="R35" s="15"/>
      <c r="S35" s="15"/>
      <c r="T35" s="15"/>
      <c r="U35" s="15"/>
      <c r="V35" s="15"/>
      <c r="W35" s="15"/>
      <c r="X35" s="15"/>
      <c r="Y35" s="15"/>
      <c r="Z35" s="15"/>
      <c r="AA35" s="15"/>
      <c r="AB35" s="15"/>
      <c r="AC35" s="15"/>
      <c r="AD35" s="15"/>
      <c r="AE35" s="15"/>
      <c r="AF35" s="15"/>
      <c r="AG35" s="15"/>
      <c r="AH35" s="15"/>
    </row>
    <row r="36" ht="16.5" customHeight="1">
      <c r="A36" s="32" t="s">
        <v>5</v>
      </c>
      <c r="E36" s="28" t="s">
        <v>88</v>
      </c>
      <c r="F36" s="151" t="s">
        <v>858</v>
      </c>
      <c r="G36" s="154" t="s">
        <v>1104</v>
      </c>
      <c r="H36" s="31" t="s">
        <v>1080</v>
      </c>
      <c r="I36" s="31" t="s">
        <v>1081</v>
      </c>
      <c r="J36" s="31"/>
      <c r="K36" s="9"/>
      <c r="L36" s="9"/>
      <c r="M36" s="15"/>
      <c r="N36" s="15"/>
      <c r="O36" s="15"/>
      <c r="P36" s="15"/>
      <c r="Q36" s="15"/>
      <c r="R36" s="15"/>
      <c r="S36" s="15"/>
      <c r="T36" s="15"/>
      <c r="U36" s="15"/>
      <c r="V36" s="15"/>
      <c r="W36" s="15"/>
      <c r="X36" s="15"/>
      <c r="Y36" s="15"/>
      <c r="Z36" s="15"/>
      <c r="AA36" s="15"/>
      <c r="AB36" s="15"/>
      <c r="AC36" s="15"/>
      <c r="AD36" s="15"/>
      <c r="AE36" s="15"/>
      <c r="AF36" s="15"/>
      <c r="AG36" s="15"/>
      <c r="AH36" s="15"/>
    </row>
    <row r="37" ht="16.5" customHeight="1">
      <c r="A37" s="32" t="s">
        <v>5</v>
      </c>
      <c r="E37" s="28" t="s">
        <v>88</v>
      </c>
      <c r="F37" s="28" t="s">
        <v>559</v>
      </c>
      <c r="G37" s="154" t="s">
        <v>1105</v>
      </c>
      <c r="H37" s="31" t="s">
        <v>1083</v>
      </c>
      <c r="I37" s="9"/>
      <c r="J37" s="9"/>
      <c r="K37" s="9"/>
      <c r="L37" s="9"/>
      <c r="M37" s="15"/>
      <c r="N37" s="15"/>
      <c r="O37" s="15"/>
      <c r="P37" s="15"/>
      <c r="Q37" s="15"/>
      <c r="R37" s="15"/>
      <c r="S37" s="15"/>
      <c r="T37" s="15"/>
      <c r="U37" s="15"/>
      <c r="V37" s="15"/>
      <c r="W37" s="15"/>
      <c r="X37" s="15"/>
      <c r="Y37" s="15"/>
      <c r="Z37" s="15"/>
      <c r="AA37" s="15"/>
      <c r="AB37" s="15"/>
      <c r="AC37" s="15"/>
      <c r="AD37" s="15"/>
      <c r="AE37" s="15"/>
      <c r="AF37" s="15"/>
      <c r="AG37" s="15"/>
      <c r="AH37" s="15"/>
    </row>
    <row r="38" ht="16.5" customHeight="1">
      <c r="A38" s="32" t="s">
        <v>5</v>
      </c>
      <c r="E38" s="28" t="s">
        <v>88</v>
      </c>
      <c r="F38" s="151" t="s">
        <v>858</v>
      </c>
      <c r="G38" s="154" t="s">
        <v>1106</v>
      </c>
      <c r="H38" s="31" t="s">
        <v>1085</v>
      </c>
      <c r="I38" s="31" t="s">
        <v>1086</v>
      </c>
      <c r="J38" s="31"/>
      <c r="K38" s="9"/>
      <c r="L38" s="9"/>
      <c r="M38" s="15"/>
      <c r="N38" s="15"/>
      <c r="O38" s="15"/>
      <c r="P38" s="15"/>
      <c r="Q38" s="15"/>
      <c r="R38" s="15"/>
      <c r="S38" s="15"/>
      <c r="T38" s="15"/>
      <c r="U38" s="15"/>
      <c r="V38" s="15"/>
      <c r="W38" s="15"/>
      <c r="X38" s="15"/>
      <c r="Y38" s="15"/>
      <c r="Z38" s="15"/>
      <c r="AA38" s="15"/>
      <c r="AB38" s="15"/>
      <c r="AC38" s="15"/>
      <c r="AD38" s="15"/>
      <c r="AE38" s="15"/>
      <c r="AF38" s="15"/>
      <c r="AG38" s="15"/>
      <c r="AH38" s="15"/>
    </row>
    <row r="39" ht="16.5" customHeight="1">
      <c r="A39" s="32" t="s">
        <v>5</v>
      </c>
      <c r="E39" s="8" t="s">
        <v>88</v>
      </c>
      <c r="F39" s="8" t="s">
        <v>570</v>
      </c>
      <c r="G39" s="69"/>
      <c r="H39" s="31"/>
      <c r="I39" s="9"/>
      <c r="J39" s="9"/>
      <c r="K39" s="9"/>
      <c r="L39" s="9"/>
      <c r="M39" s="15"/>
      <c r="N39" s="15"/>
      <c r="O39" s="15"/>
      <c r="P39" s="15"/>
      <c r="Q39" s="15"/>
      <c r="R39" s="15"/>
      <c r="S39" s="15"/>
      <c r="T39" s="15"/>
      <c r="U39" s="15"/>
      <c r="V39" s="15"/>
      <c r="W39" s="15"/>
      <c r="X39" s="15"/>
      <c r="Y39" s="15"/>
      <c r="Z39" s="15"/>
      <c r="AA39" s="15"/>
      <c r="AB39" s="15"/>
      <c r="AC39" s="15"/>
      <c r="AD39" s="15"/>
      <c r="AE39" s="15"/>
      <c r="AF39" s="15"/>
      <c r="AG39" s="15"/>
      <c r="AH39" s="15"/>
    </row>
    <row r="40" ht="16.5" customHeight="1">
      <c r="A40" s="32" t="s">
        <v>5</v>
      </c>
      <c r="E40" s="8" t="s">
        <v>88</v>
      </c>
      <c r="F40" s="8" t="s">
        <v>598</v>
      </c>
      <c r="G40" s="69"/>
      <c r="H40" s="31"/>
      <c r="I40" s="9"/>
      <c r="J40" s="9"/>
      <c r="K40" s="9"/>
      <c r="L40" s="9"/>
      <c r="M40" s="15"/>
      <c r="N40" s="15"/>
      <c r="O40" s="15"/>
      <c r="P40" s="15"/>
      <c r="Q40" s="15"/>
      <c r="R40" s="15"/>
      <c r="S40" s="15"/>
      <c r="T40" s="15"/>
      <c r="U40" s="15"/>
      <c r="V40" s="15"/>
      <c r="W40" s="15"/>
      <c r="X40" s="15"/>
      <c r="Y40" s="15"/>
      <c r="Z40" s="15"/>
      <c r="AA40" s="15"/>
      <c r="AB40" s="15"/>
      <c r="AC40" s="15"/>
      <c r="AD40" s="15"/>
      <c r="AE40" s="15"/>
      <c r="AF40" s="15"/>
      <c r="AG40" s="15"/>
      <c r="AH40" s="15"/>
    </row>
    <row r="41" ht="16.5" customHeight="1">
      <c r="A41" s="32" t="s">
        <v>5</v>
      </c>
      <c r="E41" s="8" t="s">
        <v>21</v>
      </c>
      <c r="F41" s="8" t="s">
        <v>51</v>
      </c>
      <c r="G41" s="149" t="s">
        <v>1107</v>
      </c>
      <c r="H41" s="153" t="s">
        <v>51</v>
      </c>
      <c r="I41" s="9"/>
      <c r="J41" s="9"/>
      <c r="K41" s="9"/>
      <c r="L41" s="9"/>
      <c r="M41" s="15"/>
      <c r="N41" s="15"/>
      <c r="O41" s="15"/>
      <c r="P41" s="15"/>
      <c r="Q41" s="15"/>
      <c r="R41" s="15"/>
      <c r="S41" s="15"/>
      <c r="T41" s="15"/>
      <c r="U41" s="15"/>
      <c r="V41" s="15"/>
      <c r="W41" s="15"/>
      <c r="X41" s="15"/>
      <c r="Y41" s="15"/>
      <c r="Z41" s="15"/>
      <c r="AA41" s="15"/>
      <c r="AB41" s="15"/>
      <c r="AC41" s="15"/>
      <c r="AD41" s="15"/>
      <c r="AE41" s="15"/>
      <c r="AF41" s="15"/>
      <c r="AG41" s="15"/>
      <c r="AH41" s="15"/>
    </row>
    <row r="42" ht="16.5" customHeight="1">
      <c r="A42" s="32" t="s">
        <v>5</v>
      </c>
      <c r="E42" s="8" t="s">
        <v>88</v>
      </c>
      <c r="F42" s="8" t="s">
        <v>95</v>
      </c>
      <c r="G42" s="149" t="s">
        <v>1108</v>
      </c>
      <c r="H42" s="153" t="s">
        <v>95</v>
      </c>
      <c r="I42" s="9"/>
      <c r="J42" s="9"/>
      <c r="K42" s="9"/>
      <c r="L42" s="9"/>
      <c r="M42" s="15"/>
      <c r="N42" s="15"/>
      <c r="O42" s="15"/>
      <c r="P42" s="15"/>
      <c r="Q42" s="15"/>
      <c r="R42" s="15"/>
      <c r="S42" s="15"/>
      <c r="T42" s="15"/>
      <c r="U42" s="15"/>
      <c r="V42" s="15"/>
      <c r="W42" s="15"/>
      <c r="X42" s="15"/>
      <c r="Y42" s="15"/>
      <c r="Z42" s="15"/>
      <c r="AA42" s="15"/>
      <c r="AB42" s="15"/>
      <c r="AC42" s="15"/>
      <c r="AD42" s="15"/>
      <c r="AE42" s="15"/>
      <c r="AF42" s="15"/>
      <c r="AG42" s="15"/>
      <c r="AH42" s="15"/>
    </row>
    <row r="43" ht="16.5" customHeight="1">
      <c r="A43" s="32" t="s">
        <v>5</v>
      </c>
      <c r="E43" s="8" t="s">
        <v>88</v>
      </c>
      <c r="F43" s="8" t="s">
        <v>96</v>
      </c>
      <c r="G43" s="149" t="s">
        <v>1109</v>
      </c>
      <c r="H43" s="153" t="s">
        <v>96</v>
      </c>
      <c r="I43" s="9"/>
      <c r="J43" s="9"/>
      <c r="K43" s="9"/>
      <c r="L43" s="9"/>
      <c r="M43" s="15"/>
      <c r="N43" s="15"/>
      <c r="O43" s="15"/>
      <c r="P43" s="15"/>
      <c r="Q43" s="15"/>
      <c r="R43" s="15"/>
      <c r="S43" s="15"/>
      <c r="T43" s="15"/>
      <c r="U43" s="15"/>
      <c r="V43" s="15"/>
      <c r="W43" s="15"/>
      <c r="X43" s="15"/>
      <c r="Y43" s="15"/>
      <c r="Z43" s="15"/>
      <c r="AA43" s="15"/>
      <c r="AB43" s="15"/>
      <c r="AC43" s="15"/>
      <c r="AD43" s="15"/>
      <c r="AE43" s="15"/>
      <c r="AF43" s="15"/>
      <c r="AG43" s="15"/>
      <c r="AH43" s="15"/>
    </row>
    <row r="44" ht="16.5" customHeight="1">
      <c r="A44" s="32" t="s">
        <v>5</v>
      </c>
      <c r="E44" s="8" t="s">
        <v>86</v>
      </c>
      <c r="F44" s="8" t="s">
        <v>90</v>
      </c>
      <c r="G44" s="149" t="s">
        <v>1110</v>
      </c>
      <c r="H44" s="153" t="s">
        <v>90</v>
      </c>
      <c r="I44" s="9"/>
      <c r="J44" s="9"/>
      <c r="K44" s="9"/>
      <c r="L44" s="9"/>
      <c r="M44" s="15"/>
      <c r="N44" s="15"/>
      <c r="O44" s="15"/>
      <c r="P44" s="15"/>
      <c r="Q44" s="15"/>
      <c r="R44" s="15"/>
      <c r="S44" s="15"/>
      <c r="T44" s="15"/>
      <c r="U44" s="15"/>
      <c r="V44" s="15"/>
      <c r="W44" s="15"/>
      <c r="X44" s="15"/>
      <c r="Y44" s="15"/>
      <c r="Z44" s="15"/>
      <c r="AA44" s="15"/>
      <c r="AB44" s="15"/>
      <c r="AC44" s="15"/>
      <c r="AD44" s="15"/>
      <c r="AE44" s="15"/>
      <c r="AF44" s="15"/>
      <c r="AG44" s="15"/>
      <c r="AH44" s="15"/>
    </row>
    <row r="45" ht="16.5" customHeight="1">
      <c r="A45" s="32" t="s">
        <v>5</v>
      </c>
      <c r="E45" s="28" t="s">
        <v>86</v>
      </c>
      <c r="F45" s="8" t="s">
        <v>91</v>
      </c>
      <c r="G45" s="149" t="s">
        <v>1111</v>
      </c>
      <c r="H45" s="153" t="s">
        <v>91</v>
      </c>
      <c r="I45" s="31"/>
      <c r="J45" s="9"/>
      <c r="K45" s="9"/>
      <c r="L45" s="9"/>
      <c r="M45" s="15"/>
      <c r="N45" s="15"/>
      <c r="O45" s="15"/>
      <c r="P45" s="15"/>
      <c r="Q45" s="15"/>
      <c r="R45" s="15"/>
      <c r="S45" s="15"/>
      <c r="T45" s="15"/>
      <c r="U45" s="15"/>
      <c r="V45" s="15"/>
      <c r="W45" s="15"/>
      <c r="X45" s="15"/>
      <c r="Y45" s="15"/>
      <c r="Z45" s="15"/>
      <c r="AA45" s="15"/>
      <c r="AB45" s="15"/>
      <c r="AC45" s="15"/>
      <c r="AD45" s="15"/>
      <c r="AE45" s="15"/>
      <c r="AF45" s="15"/>
      <c r="AG45" s="15"/>
      <c r="AH45" s="15"/>
    </row>
    <row r="46" ht="16.5" customHeight="1">
      <c r="A46" s="32" t="s">
        <v>5</v>
      </c>
      <c r="E46" s="28" t="s">
        <v>86</v>
      </c>
      <c r="F46" s="38" t="s">
        <v>338</v>
      </c>
      <c r="G46" s="149" t="s">
        <v>1112</v>
      </c>
      <c r="H46" s="153" t="s">
        <v>338</v>
      </c>
      <c r="I46" s="31"/>
      <c r="J46" s="9"/>
      <c r="K46" s="9"/>
      <c r="L46" s="9"/>
      <c r="M46" s="15"/>
      <c r="N46" s="15"/>
      <c r="O46" s="15"/>
      <c r="P46" s="15"/>
      <c r="Q46" s="15"/>
      <c r="R46" s="15"/>
      <c r="S46" s="15"/>
      <c r="T46" s="15"/>
      <c r="U46" s="15"/>
      <c r="V46" s="15"/>
      <c r="W46" s="15"/>
      <c r="X46" s="15"/>
      <c r="Y46" s="15"/>
      <c r="Z46" s="15"/>
      <c r="AA46" s="15"/>
      <c r="AB46" s="15"/>
      <c r="AC46" s="15"/>
      <c r="AD46" s="15"/>
      <c r="AE46" s="15"/>
      <c r="AF46" s="15"/>
      <c r="AG46" s="15"/>
      <c r="AH46" s="15"/>
    </row>
    <row r="47" ht="16.5" customHeight="1">
      <c r="A47" s="32" t="s">
        <v>5</v>
      </c>
      <c r="E47" s="28" t="s">
        <v>88</v>
      </c>
      <c r="F47" s="28" t="s">
        <v>89</v>
      </c>
      <c r="G47" s="155"/>
      <c r="H47" s="9"/>
      <c r="I47" s="9"/>
      <c r="J47" s="9"/>
      <c r="K47" s="9"/>
      <c r="L47" s="9"/>
      <c r="M47" s="15"/>
      <c r="N47" s="15"/>
      <c r="O47" s="15"/>
      <c r="P47" s="15"/>
      <c r="Q47" s="15"/>
      <c r="R47" s="15"/>
      <c r="S47" s="15"/>
      <c r="T47" s="15"/>
      <c r="U47" s="15"/>
      <c r="V47" s="15"/>
      <c r="W47" s="15"/>
      <c r="X47" s="15"/>
      <c r="Y47" s="15"/>
      <c r="Z47" s="15"/>
      <c r="AA47" s="15"/>
      <c r="AB47" s="15"/>
      <c r="AC47" s="15"/>
      <c r="AD47" s="15"/>
      <c r="AE47" s="15"/>
      <c r="AF47" s="15"/>
      <c r="AG47" s="15"/>
      <c r="AH47" s="15"/>
    </row>
    <row r="48" ht="16.5" customHeight="1">
      <c r="A48" s="32" t="s">
        <v>5</v>
      </c>
      <c r="E48" s="8" t="s">
        <v>88</v>
      </c>
      <c r="F48" s="8" t="s">
        <v>795</v>
      </c>
      <c r="G48" s="155"/>
      <c r="H48" s="9"/>
      <c r="I48" s="9"/>
      <c r="J48" s="9"/>
      <c r="K48" s="9"/>
      <c r="L48" s="9"/>
      <c r="M48" s="15"/>
      <c r="N48" s="15"/>
      <c r="O48" s="15"/>
      <c r="P48" s="15"/>
      <c r="Q48" s="15"/>
      <c r="R48" s="15"/>
      <c r="S48" s="15"/>
      <c r="T48" s="15"/>
      <c r="U48" s="15"/>
      <c r="V48" s="15"/>
      <c r="W48" s="15"/>
      <c r="X48" s="15"/>
      <c r="Y48" s="15"/>
      <c r="Z48" s="15"/>
      <c r="AA48" s="15"/>
      <c r="AB48" s="15"/>
      <c r="AC48" s="15"/>
      <c r="AD48" s="15"/>
      <c r="AE48" s="15"/>
      <c r="AF48" s="15"/>
      <c r="AG48" s="15"/>
      <c r="AH48" s="15"/>
    </row>
    <row r="49" ht="16.5" customHeight="1">
      <c r="A49" s="32" t="s">
        <v>5</v>
      </c>
      <c r="B49" s="56" t="s">
        <v>1113</v>
      </c>
      <c r="C49" s="156" t="s">
        <v>1114</v>
      </c>
      <c r="D49" s="83" t="s">
        <v>20</v>
      </c>
      <c r="E49" s="28" t="s">
        <v>88</v>
      </c>
      <c r="F49" s="8" t="s">
        <v>481</v>
      </c>
      <c r="G49" s="149" t="s">
        <v>1115</v>
      </c>
      <c r="H49" s="31" t="s">
        <v>481</v>
      </c>
      <c r="I49" s="31"/>
      <c r="J49" s="9"/>
      <c r="K49" s="9"/>
      <c r="L49" s="9"/>
      <c r="M49" s="15"/>
      <c r="N49" s="15"/>
      <c r="O49" s="15"/>
      <c r="P49" s="15"/>
      <c r="Q49" s="15"/>
      <c r="R49" s="15"/>
      <c r="S49" s="15"/>
      <c r="T49" s="15"/>
      <c r="U49" s="15"/>
      <c r="V49" s="15"/>
      <c r="W49" s="15"/>
      <c r="X49" s="15"/>
      <c r="Y49" s="15"/>
      <c r="Z49" s="15"/>
      <c r="AA49" s="15"/>
      <c r="AB49" s="15"/>
      <c r="AC49" s="15"/>
      <c r="AD49" s="15"/>
      <c r="AE49" s="15"/>
      <c r="AF49" s="15"/>
      <c r="AG49" s="15"/>
      <c r="AH49" s="15"/>
    </row>
    <row r="50" ht="16.5" customHeight="1">
      <c r="A50" s="32" t="s">
        <v>5</v>
      </c>
      <c r="E50" s="28" t="s">
        <v>88</v>
      </c>
      <c r="F50" s="28" t="s">
        <v>496</v>
      </c>
      <c r="G50" s="149" t="s">
        <v>1116</v>
      </c>
      <c r="H50" s="31" t="s">
        <v>496</v>
      </c>
      <c r="I50" s="9"/>
      <c r="J50" s="9"/>
      <c r="K50" s="9"/>
      <c r="L50" s="9"/>
      <c r="M50" s="15"/>
      <c r="N50" s="15"/>
      <c r="O50" s="15"/>
      <c r="P50" s="15"/>
      <c r="Q50" s="15"/>
      <c r="R50" s="15"/>
      <c r="S50" s="15"/>
      <c r="T50" s="15"/>
      <c r="U50" s="15"/>
      <c r="V50" s="15"/>
      <c r="W50" s="15"/>
      <c r="X50" s="15"/>
      <c r="Y50" s="15"/>
      <c r="Z50" s="15"/>
      <c r="AA50" s="15"/>
      <c r="AB50" s="15"/>
      <c r="AC50" s="15"/>
      <c r="AD50" s="15"/>
      <c r="AE50" s="15"/>
      <c r="AF50" s="15"/>
      <c r="AG50" s="15"/>
      <c r="AH50" s="15"/>
    </row>
    <row r="51" ht="16.5" customHeight="1">
      <c r="A51" s="32" t="s">
        <v>5</v>
      </c>
      <c r="E51" s="8" t="s">
        <v>88</v>
      </c>
      <c r="F51" s="8" t="s">
        <v>559</v>
      </c>
      <c r="G51" s="149" t="s">
        <v>1117</v>
      </c>
      <c r="H51" s="31" t="s">
        <v>559</v>
      </c>
      <c r="I51" s="9"/>
      <c r="J51" s="9"/>
      <c r="K51" s="9"/>
      <c r="L51" s="9"/>
      <c r="M51" s="15"/>
      <c r="N51" s="15"/>
      <c r="O51" s="15"/>
      <c r="P51" s="15"/>
      <c r="Q51" s="15"/>
      <c r="R51" s="15"/>
      <c r="S51" s="15"/>
      <c r="T51" s="15"/>
      <c r="U51" s="15"/>
      <c r="V51" s="15"/>
      <c r="W51" s="15"/>
      <c r="X51" s="15"/>
      <c r="Y51" s="15"/>
      <c r="Z51" s="15"/>
      <c r="AA51" s="15"/>
      <c r="AB51" s="15"/>
      <c r="AC51" s="15"/>
      <c r="AD51" s="15"/>
      <c r="AE51" s="15"/>
      <c r="AF51" s="15"/>
      <c r="AG51" s="15"/>
      <c r="AH51" s="15"/>
    </row>
    <row r="52" ht="16.5" customHeight="1">
      <c r="A52" s="32" t="s">
        <v>5</v>
      </c>
      <c r="E52" s="8" t="s">
        <v>88</v>
      </c>
      <c r="F52" s="151" t="s">
        <v>858</v>
      </c>
      <c r="G52" s="149" t="s">
        <v>1118</v>
      </c>
      <c r="H52" s="31" t="s">
        <v>1119</v>
      </c>
      <c r="I52" s="31" t="s">
        <v>852</v>
      </c>
      <c r="J52" s="9"/>
      <c r="K52" s="31"/>
      <c r="L52" s="9"/>
      <c r="M52" s="15"/>
      <c r="N52" s="15"/>
      <c r="O52" s="15"/>
      <c r="P52" s="15"/>
      <c r="Q52" s="15"/>
      <c r="R52" s="15"/>
      <c r="S52" s="15"/>
      <c r="T52" s="15"/>
      <c r="U52" s="15"/>
      <c r="V52" s="15"/>
      <c r="W52" s="15"/>
      <c r="X52" s="15"/>
      <c r="Y52" s="15"/>
      <c r="Z52" s="15"/>
      <c r="AA52" s="15"/>
      <c r="AB52" s="15"/>
      <c r="AC52" s="15"/>
      <c r="AD52" s="15"/>
      <c r="AE52" s="15"/>
      <c r="AF52" s="15"/>
      <c r="AG52" s="15"/>
      <c r="AH52" s="15"/>
    </row>
    <row r="53" ht="16.5" customHeight="1">
      <c r="A53" s="32" t="s">
        <v>5</v>
      </c>
      <c r="E53" s="8" t="s">
        <v>88</v>
      </c>
      <c r="F53" s="8" t="s">
        <v>570</v>
      </c>
      <c r="G53" s="69"/>
      <c r="H53" s="31"/>
      <c r="I53" s="9"/>
      <c r="J53" s="9"/>
      <c r="K53" s="9"/>
      <c r="L53" s="9"/>
      <c r="M53" s="15"/>
      <c r="N53" s="15"/>
      <c r="O53" s="15"/>
      <c r="P53" s="15"/>
      <c r="Q53" s="15"/>
      <c r="R53" s="15"/>
      <c r="S53" s="15"/>
      <c r="T53" s="15"/>
      <c r="U53" s="15"/>
      <c r="V53" s="15"/>
      <c r="W53" s="15"/>
      <c r="X53" s="15"/>
      <c r="Y53" s="15"/>
      <c r="Z53" s="15"/>
      <c r="AA53" s="15"/>
      <c r="AB53" s="15"/>
      <c r="AC53" s="15"/>
      <c r="AD53" s="15"/>
      <c r="AE53" s="15"/>
      <c r="AF53" s="15"/>
      <c r="AG53" s="15"/>
      <c r="AH53" s="15"/>
    </row>
    <row r="54" ht="16.5" customHeight="1">
      <c r="A54" s="32" t="s">
        <v>5</v>
      </c>
      <c r="E54" s="8" t="s">
        <v>88</v>
      </c>
      <c r="F54" s="8" t="s">
        <v>598</v>
      </c>
      <c r="G54" s="69"/>
      <c r="H54" s="31"/>
      <c r="I54" s="9"/>
      <c r="J54" s="9"/>
      <c r="K54" s="9"/>
      <c r="L54" s="9"/>
      <c r="M54" s="15"/>
      <c r="N54" s="15"/>
      <c r="O54" s="15"/>
      <c r="P54" s="15"/>
      <c r="Q54" s="15"/>
      <c r="R54" s="15"/>
      <c r="S54" s="15"/>
      <c r="T54" s="15"/>
      <c r="U54" s="15"/>
      <c r="V54" s="15"/>
      <c r="W54" s="15"/>
      <c r="X54" s="15"/>
      <c r="Y54" s="15"/>
      <c r="Z54" s="15"/>
      <c r="AA54" s="15"/>
      <c r="AB54" s="15"/>
      <c r="AC54" s="15"/>
      <c r="AD54" s="15"/>
      <c r="AE54" s="15"/>
      <c r="AF54" s="15"/>
      <c r="AG54" s="15"/>
      <c r="AH54" s="15"/>
    </row>
    <row r="55" ht="16.5" customHeight="1">
      <c r="A55" s="32" t="s">
        <v>5</v>
      </c>
      <c r="E55" s="8" t="s">
        <v>21</v>
      </c>
      <c r="F55" s="151" t="s">
        <v>51</v>
      </c>
      <c r="G55" s="149" t="s">
        <v>1120</v>
      </c>
      <c r="H55" s="31" t="s">
        <v>51</v>
      </c>
      <c r="I55" s="31"/>
      <c r="J55" s="31"/>
      <c r="K55" s="9"/>
      <c r="L55" s="9"/>
      <c r="M55" s="15"/>
      <c r="N55" s="15"/>
      <c r="O55" s="15"/>
      <c r="P55" s="15"/>
      <c r="Q55" s="15"/>
      <c r="R55" s="15"/>
      <c r="S55" s="15"/>
      <c r="T55" s="15"/>
      <c r="U55" s="15"/>
      <c r="V55" s="15"/>
      <c r="W55" s="15"/>
      <c r="X55" s="15"/>
      <c r="Y55" s="15"/>
      <c r="Z55" s="15"/>
      <c r="AA55" s="15"/>
      <c r="AB55" s="15"/>
      <c r="AC55" s="15"/>
      <c r="AD55" s="15"/>
      <c r="AE55" s="15"/>
      <c r="AF55" s="15"/>
      <c r="AG55" s="15"/>
      <c r="AH55" s="15"/>
    </row>
    <row r="56" ht="16.5" customHeight="1">
      <c r="A56" s="32" t="s">
        <v>5</v>
      </c>
      <c r="E56" s="8" t="s">
        <v>88</v>
      </c>
      <c r="F56" s="8" t="s">
        <v>95</v>
      </c>
      <c r="G56" s="157" t="s">
        <v>1121</v>
      </c>
      <c r="H56" s="31" t="s">
        <v>95</v>
      </c>
      <c r="I56" s="9"/>
      <c r="J56" s="9"/>
      <c r="K56" s="9"/>
      <c r="L56" s="9"/>
      <c r="M56" s="15"/>
      <c r="N56" s="15"/>
      <c r="O56" s="15"/>
      <c r="P56" s="15"/>
      <c r="Q56" s="15"/>
      <c r="R56" s="15"/>
      <c r="S56" s="15"/>
      <c r="T56" s="15"/>
      <c r="U56" s="15"/>
      <c r="V56" s="15"/>
      <c r="W56" s="15"/>
      <c r="X56" s="15"/>
      <c r="Y56" s="15"/>
      <c r="Z56" s="15"/>
      <c r="AA56" s="15"/>
      <c r="AB56" s="15"/>
      <c r="AC56" s="15"/>
      <c r="AD56" s="15"/>
      <c r="AE56" s="15"/>
      <c r="AF56" s="15"/>
      <c r="AG56" s="15"/>
      <c r="AH56" s="15"/>
    </row>
    <row r="57" ht="16.5" customHeight="1">
      <c r="A57" s="32" t="s">
        <v>5</v>
      </c>
      <c r="E57" s="8" t="s">
        <v>88</v>
      </c>
      <c r="F57" s="8" t="s">
        <v>96</v>
      </c>
      <c r="G57" s="149" t="s">
        <v>1122</v>
      </c>
      <c r="H57" s="31" t="s">
        <v>96</v>
      </c>
      <c r="I57" s="9"/>
      <c r="J57" s="9"/>
      <c r="K57" s="9"/>
      <c r="L57" s="9"/>
      <c r="M57" s="15"/>
      <c r="N57" s="15"/>
      <c r="O57" s="15"/>
      <c r="P57" s="15"/>
      <c r="Q57" s="15"/>
      <c r="R57" s="15"/>
      <c r="S57" s="15"/>
      <c r="T57" s="15"/>
      <c r="U57" s="15"/>
      <c r="V57" s="15"/>
      <c r="W57" s="15"/>
      <c r="X57" s="15"/>
      <c r="Y57" s="15"/>
      <c r="Z57" s="15"/>
      <c r="AA57" s="15"/>
      <c r="AB57" s="15"/>
      <c r="AC57" s="15"/>
      <c r="AD57" s="15"/>
      <c r="AE57" s="15"/>
      <c r="AF57" s="15"/>
      <c r="AG57" s="15"/>
      <c r="AH57" s="15"/>
    </row>
    <row r="58" ht="16.5" customHeight="1">
      <c r="A58" s="32" t="s">
        <v>5</v>
      </c>
      <c r="E58" s="8" t="s">
        <v>88</v>
      </c>
      <c r="F58" s="151" t="s">
        <v>122</v>
      </c>
      <c r="G58" s="149" t="s">
        <v>1123</v>
      </c>
      <c r="H58" s="31" t="s">
        <v>122</v>
      </c>
      <c r="I58" s="31"/>
      <c r="J58" s="31"/>
      <c r="K58" s="9"/>
      <c r="L58" s="9"/>
      <c r="M58" s="15"/>
      <c r="N58" s="15"/>
      <c r="O58" s="15"/>
      <c r="P58" s="15"/>
      <c r="Q58" s="15"/>
      <c r="R58" s="15"/>
      <c r="S58" s="15"/>
      <c r="T58" s="15"/>
      <c r="U58" s="15"/>
      <c r="V58" s="15"/>
      <c r="W58" s="15"/>
      <c r="X58" s="15"/>
      <c r="Y58" s="15"/>
      <c r="Z58" s="15"/>
      <c r="AA58" s="15"/>
      <c r="AB58" s="15"/>
      <c r="AC58" s="15"/>
      <c r="AD58" s="15"/>
      <c r="AE58" s="15"/>
      <c r="AF58" s="15"/>
      <c r="AG58" s="15"/>
      <c r="AH58" s="15"/>
    </row>
    <row r="59" ht="16.5" customHeight="1">
      <c r="A59" s="32" t="s">
        <v>5</v>
      </c>
      <c r="E59" s="8" t="s">
        <v>86</v>
      </c>
      <c r="F59" s="8" t="s">
        <v>90</v>
      </c>
      <c r="G59" s="149" t="s">
        <v>1124</v>
      </c>
      <c r="H59" s="31" t="s">
        <v>90</v>
      </c>
      <c r="I59" s="9"/>
      <c r="J59" s="9"/>
      <c r="K59" s="9"/>
      <c r="L59" s="9"/>
      <c r="M59" s="15"/>
      <c r="N59" s="15"/>
      <c r="O59" s="15"/>
      <c r="P59" s="15"/>
      <c r="Q59" s="15"/>
      <c r="R59" s="15"/>
      <c r="S59" s="15"/>
      <c r="T59" s="15"/>
      <c r="U59" s="15"/>
      <c r="V59" s="15"/>
      <c r="W59" s="15"/>
      <c r="X59" s="15"/>
      <c r="Y59" s="15"/>
      <c r="Z59" s="15"/>
      <c r="AA59" s="15"/>
      <c r="AB59" s="15"/>
      <c r="AC59" s="15"/>
      <c r="AD59" s="15"/>
      <c r="AE59" s="15"/>
      <c r="AF59" s="15"/>
      <c r="AG59" s="15"/>
      <c r="AH59" s="15"/>
    </row>
    <row r="60" ht="16.5" customHeight="1">
      <c r="A60" s="32" t="s">
        <v>5</v>
      </c>
      <c r="E60" s="8" t="s">
        <v>86</v>
      </c>
      <c r="F60" s="151" t="s">
        <v>91</v>
      </c>
      <c r="G60" s="149" t="s">
        <v>1125</v>
      </c>
      <c r="H60" s="31" t="s">
        <v>91</v>
      </c>
      <c r="I60" s="31"/>
      <c r="J60" s="31"/>
      <c r="K60" s="9"/>
      <c r="L60" s="9"/>
      <c r="M60" s="15"/>
      <c r="N60" s="15"/>
      <c r="O60" s="15"/>
      <c r="P60" s="15"/>
      <c r="Q60" s="15"/>
      <c r="R60" s="15"/>
      <c r="S60" s="15"/>
      <c r="T60" s="15"/>
      <c r="U60" s="15"/>
      <c r="V60" s="15"/>
      <c r="W60" s="15"/>
      <c r="X60" s="15"/>
      <c r="Y60" s="15"/>
      <c r="Z60" s="15"/>
      <c r="AA60" s="15"/>
      <c r="AB60" s="15"/>
      <c r="AC60" s="15"/>
      <c r="AD60" s="15"/>
      <c r="AE60" s="15"/>
      <c r="AF60" s="15"/>
      <c r="AG60" s="15"/>
      <c r="AH60" s="15"/>
    </row>
    <row r="61" ht="16.5" customHeight="1">
      <c r="A61" s="32" t="s">
        <v>5</v>
      </c>
      <c r="E61" s="8" t="s">
        <v>88</v>
      </c>
      <c r="F61" s="8" t="s">
        <v>89</v>
      </c>
      <c r="G61" s="69"/>
      <c r="H61" s="31"/>
      <c r="I61" s="9"/>
      <c r="J61" s="9"/>
      <c r="K61" s="9"/>
      <c r="L61" s="9"/>
      <c r="M61" s="15"/>
      <c r="N61" s="15"/>
      <c r="O61" s="15"/>
      <c r="P61" s="15"/>
      <c r="Q61" s="15"/>
      <c r="R61" s="15"/>
      <c r="S61" s="15"/>
      <c r="T61" s="15"/>
      <c r="U61" s="15"/>
      <c r="V61" s="15"/>
      <c r="W61" s="15"/>
      <c r="X61" s="15"/>
      <c r="Y61" s="15"/>
      <c r="Z61" s="15"/>
      <c r="AA61" s="15"/>
      <c r="AB61" s="15"/>
      <c r="AC61" s="15"/>
      <c r="AD61" s="15"/>
      <c r="AE61" s="15"/>
      <c r="AF61" s="15"/>
      <c r="AG61" s="15"/>
      <c r="AH61" s="15"/>
    </row>
    <row r="62" ht="16.5" customHeight="1">
      <c r="A62" s="32" t="s">
        <v>5</v>
      </c>
      <c r="E62" s="28" t="s">
        <v>88</v>
      </c>
      <c r="F62" s="8" t="s">
        <v>795</v>
      </c>
      <c r="G62" s="69"/>
      <c r="H62" s="31"/>
      <c r="I62" s="31"/>
      <c r="J62" s="9"/>
      <c r="K62" s="9"/>
      <c r="L62" s="9"/>
      <c r="M62" s="15"/>
      <c r="N62" s="15"/>
      <c r="O62" s="15"/>
      <c r="P62" s="15"/>
      <c r="Q62" s="15"/>
      <c r="R62" s="15"/>
      <c r="S62" s="15"/>
      <c r="T62" s="15"/>
      <c r="U62" s="15"/>
      <c r="V62" s="15"/>
      <c r="W62" s="15"/>
      <c r="X62" s="15"/>
      <c r="Y62" s="15"/>
      <c r="Z62" s="15"/>
      <c r="AA62" s="15"/>
      <c r="AB62" s="15"/>
      <c r="AC62" s="15"/>
      <c r="AD62" s="15"/>
      <c r="AE62" s="15"/>
      <c r="AF62" s="15"/>
      <c r="AG62" s="15"/>
      <c r="AH62" s="15"/>
    </row>
    <row r="63" ht="16.5" customHeight="1">
      <c r="A63" s="32" t="s">
        <v>5</v>
      </c>
      <c r="B63" s="56" t="s">
        <v>1126</v>
      </c>
      <c r="C63" s="57" t="s">
        <v>1127</v>
      </c>
      <c r="D63" s="83" t="s">
        <v>20</v>
      </c>
      <c r="E63" s="28" t="s">
        <v>21</v>
      </c>
      <c r="F63" s="38" t="s">
        <v>51</v>
      </c>
      <c r="G63" s="149" t="s">
        <v>1128</v>
      </c>
      <c r="H63" s="31" t="s">
        <v>51</v>
      </c>
      <c r="I63" s="31"/>
      <c r="J63" s="9"/>
      <c r="K63" s="9"/>
      <c r="L63" s="9"/>
      <c r="M63" s="15"/>
      <c r="N63" s="15"/>
      <c r="O63" s="15"/>
      <c r="P63" s="15"/>
      <c r="Q63" s="15"/>
      <c r="R63" s="15"/>
      <c r="S63" s="15"/>
      <c r="T63" s="15"/>
      <c r="U63" s="15"/>
      <c r="V63" s="15"/>
      <c r="W63" s="15"/>
      <c r="X63" s="15"/>
      <c r="Y63" s="15"/>
      <c r="Z63" s="15"/>
      <c r="AA63" s="15"/>
      <c r="AB63" s="15"/>
      <c r="AC63" s="15"/>
      <c r="AD63" s="15"/>
      <c r="AE63" s="15"/>
      <c r="AF63" s="15"/>
      <c r="AG63" s="15"/>
      <c r="AH63" s="15"/>
    </row>
    <row r="64" ht="16.5" customHeight="1">
      <c r="A64" s="32" t="s">
        <v>5</v>
      </c>
      <c r="E64" s="28" t="s">
        <v>88</v>
      </c>
      <c r="F64" s="28" t="s">
        <v>481</v>
      </c>
      <c r="G64" s="149" t="s">
        <v>1129</v>
      </c>
      <c r="H64" s="150" t="s">
        <v>481</v>
      </c>
      <c r="I64" s="9"/>
      <c r="J64" s="9"/>
      <c r="K64" s="9"/>
      <c r="L64" s="9"/>
      <c r="M64" s="15"/>
      <c r="N64" s="15"/>
      <c r="O64" s="15"/>
      <c r="P64" s="15"/>
      <c r="Q64" s="15"/>
      <c r="R64" s="15"/>
      <c r="S64" s="15"/>
      <c r="T64" s="15"/>
      <c r="U64" s="15"/>
      <c r="V64" s="15"/>
      <c r="W64" s="15"/>
      <c r="X64" s="15"/>
      <c r="Y64" s="15"/>
      <c r="Z64" s="15"/>
      <c r="AA64" s="15"/>
      <c r="AB64" s="15"/>
      <c r="AC64" s="15"/>
      <c r="AD64" s="15"/>
      <c r="AE64" s="15"/>
      <c r="AF64" s="15"/>
      <c r="AG64" s="15"/>
      <c r="AH64" s="15"/>
    </row>
    <row r="65" ht="16.5" customHeight="1">
      <c r="A65" s="32" t="s">
        <v>5</v>
      </c>
      <c r="E65" s="8" t="s">
        <v>88</v>
      </c>
      <c r="F65" s="8" t="s">
        <v>496</v>
      </c>
      <c r="G65" s="149" t="s">
        <v>1130</v>
      </c>
      <c r="H65" s="31" t="s">
        <v>496</v>
      </c>
      <c r="I65" s="9"/>
      <c r="J65" s="9"/>
      <c r="K65" s="9"/>
      <c r="L65" s="9"/>
      <c r="M65" s="15"/>
      <c r="N65" s="15"/>
      <c r="O65" s="15"/>
      <c r="P65" s="15"/>
      <c r="Q65" s="15"/>
      <c r="R65" s="15"/>
      <c r="S65" s="15"/>
      <c r="T65" s="15"/>
      <c r="U65" s="15"/>
      <c r="V65" s="15"/>
      <c r="W65" s="15"/>
      <c r="X65" s="15"/>
      <c r="Y65" s="15"/>
      <c r="Z65" s="15"/>
      <c r="AA65" s="15"/>
      <c r="AB65" s="15"/>
      <c r="AC65" s="15"/>
      <c r="AD65" s="15"/>
      <c r="AE65" s="15"/>
      <c r="AF65" s="15"/>
      <c r="AG65" s="15"/>
      <c r="AH65" s="15"/>
    </row>
    <row r="66" ht="16.5" customHeight="1">
      <c r="A66" s="32" t="s">
        <v>5</v>
      </c>
      <c r="E66" s="8" t="s">
        <v>88</v>
      </c>
      <c r="F66" s="8" t="s">
        <v>559</v>
      </c>
      <c r="G66" s="149" t="s">
        <v>1131</v>
      </c>
      <c r="H66" s="31" t="s">
        <v>559</v>
      </c>
      <c r="I66" s="9"/>
      <c r="J66" s="9"/>
      <c r="K66" s="9"/>
      <c r="L66" s="9"/>
      <c r="M66" s="15"/>
      <c r="N66" s="15"/>
      <c r="O66" s="15"/>
      <c r="P66" s="15"/>
      <c r="Q66" s="15"/>
      <c r="R66" s="15"/>
      <c r="S66" s="15"/>
      <c r="T66" s="15"/>
      <c r="U66" s="15"/>
      <c r="V66" s="15"/>
      <c r="W66" s="15"/>
      <c r="X66" s="15"/>
      <c r="Y66" s="15"/>
      <c r="Z66" s="15"/>
      <c r="AA66" s="15"/>
      <c r="AB66" s="15"/>
      <c r="AC66" s="15"/>
      <c r="AD66" s="15"/>
      <c r="AE66" s="15"/>
      <c r="AF66" s="15"/>
      <c r="AG66" s="15"/>
      <c r="AH66" s="15"/>
    </row>
    <row r="67" ht="16.5" customHeight="1">
      <c r="A67" s="32" t="s">
        <v>5</v>
      </c>
      <c r="E67" s="8" t="s">
        <v>88</v>
      </c>
      <c r="F67" s="8" t="s">
        <v>858</v>
      </c>
      <c r="G67" s="149" t="s">
        <v>1132</v>
      </c>
      <c r="H67" s="31" t="s">
        <v>1119</v>
      </c>
      <c r="I67" s="31" t="s">
        <v>852</v>
      </c>
      <c r="J67" s="9"/>
      <c r="K67" s="9"/>
      <c r="L67" s="9"/>
      <c r="M67" s="15"/>
      <c r="N67" s="15"/>
      <c r="O67" s="15"/>
      <c r="P67" s="15"/>
      <c r="Q67" s="15"/>
      <c r="R67" s="15"/>
      <c r="S67" s="15"/>
      <c r="T67" s="15"/>
      <c r="U67" s="15"/>
      <c r="V67" s="15"/>
      <c r="W67" s="15"/>
      <c r="X67" s="15"/>
      <c r="Y67" s="15"/>
      <c r="Z67" s="15"/>
      <c r="AA67" s="15"/>
      <c r="AB67" s="15"/>
      <c r="AC67" s="15"/>
      <c r="AD67" s="15"/>
      <c r="AE67" s="15"/>
      <c r="AF67" s="15"/>
      <c r="AG67" s="15"/>
      <c r="AH67" s="15"/>
    </row>
    <row r="68" ht="16.5" customHeight="1">
      <c r="A68" s="32" t="s">
        <v>5</v>
      </c>
      <c r="E68" s="8" t="s">
        <v>88</v>
      </c>
      <c r="F68" s="8" t="s">
        <v>570</v>
      </c>
      <c r="G68" s="69"/>
      <c r="H68" s="31"/>
      <c r="I68" s="9"/>
      <c r="J68" s="9"/>
      <c r="K68" s="9"/>
      <c r="L68" s="9"/>
      <c r="M68" s="15"/>
      <c r="N68" s="15"/>
      <c r="O68" s="15"/>
      <c r="P68" s="15"/>
      <c r="Q68" s="15"/>
      <c r="R68" s="15"/>
      <c r="S68" s="15"/>
      <c r="T68" s="15"/>
      <c r="U68" s="15"/>
      <c r="V68" s="15"/>
      <c r="W68" s="15"/>
      <c r="X68" s="15"/>
      <c r="Y68" s="15"/>
      <c r="Z68" s="15"/>
      <c r="AA68" s="15"/>
      <c r="AB68" s="15"/>
      <c r="AC68" s="15"/>
      <c r="AD68" s="15"/>
      <c r="AE68" s="15"/>
      <c r="AF68" s="15"/>
      <c r="AG68" s="15"/>
      <c r="AH68" s="15"/>
    </row>
    <row r="69" ht="16.5" customHeight="1">
      <c r="A69" s="32" t="s">
        <v>5</v>
      </c>
      <c r="E69" s="8" t="s">
        <v>88</v>
      </c>
      <c r="F69" s="8" t="s">
        <v>598</v>
      </c>
      <c r="G69" s="69"/>
      <c r="H69" s="31"/>
      <c r="I69" s="9"/>
      <c r="J69" s="9"/>
      <c r="K69" s="9"/>
      <c r="L69" s="9"/>
      <c r="M69" s="15"/>
      <c r="N69" s="15"/>
      <c r="O69" s="15"/>
      <c r="P69" s="15"/>
      <c r="Q69" s="15"/>
      <c r="R69" s="15"/>
      <c r="S69" s="15"/>
      <c r="T69" s="15"/>
      <c r="U69" s="15"/>
      <c r="V69" s="15"/>
      <c r="W69" s="15"/>
      <c r="X69" s="15"/>
      <c r="Y69" s="15"/>
      <c r="Z69" s="15"/>
      <c r="AA69" s="15"/>
      <c r="AB69" s="15"/>
      <c r="AC69" s="15"/>
      <c r="AD69" s="15"/>
      <c r="AE69" s="15"/>
      <c r="AF69" s="15"/>
      <c r="AG69" s="15"/>
      <c r="AH69" s="15"/>
    </row>
    <row r="70" ht="16.5" customHeight="1">
      <c r="A70" s="32" t="s">
        <v>5</v>
      </c>
      <c r="E70" s="8" t="s">
        <v>88</v>
      </c>
      <c r="F70" s="8" t="s">
        <v>120</v>
      </c>
      <c r="G70" s="152" t="s">
        <v>1133</v>
      </c>
      <c r="H70" s="36"/>
      <c r="L70" s="9"/>
      <c r="M70" s="15"/>
      <c r="N70" s="15"/>
      <c r="O70" s="15"/>
      <c r="P70" s="15"/>
      <c r="Q70" s="15"/>
      <c r="R70" s="15"/>
      <c r="S70" s="15"/>
      <c r="T70" s="15"/>
      <c r="U70" s="15"/>
      <c r="V70" s="15"/>
      <c r="W70" s="15"/>
      <c r="X70" s="15"/>
      <c r="Y70" s="15"/>
      <c r="Z70" s="15"/>
      <c r="AA70" s="15"/>
      <c r="AB70" s="15"/>
      <c r="AC70" s="15"/>
      <c r="AD70" s="15"/>
      <c r="AE70" s="15"/>
      <c r="AF70" s="15"/>
      <c r="AG70" s="15"/>
      <c r="AH70" s="15"/>
    </row>
    <row r="71" ht="16.5" customHeight="1">
      <c r="A71" s="32" t="s">
        <v>5</v>
      </c>
      <c r="E71" s="8" t="s">
        <v>88</v>
      </c>
      <c r="F71" s="8" t="s">
        <v>544</v>
      </c>
      <c r="G71" s="149" t="s">
        <v>1134</v>
      </c>
      <c r="H71" s="31" t="s">
        <v>544</v>
      </c>
      <c r="I71" s="9"/>
      <c r="J71" s="9"/>
      <c r="K71" s="9"/>
      <c r="L71" s="9"/>
      <c r="M71" s="15"/>
      <c r="N71" s="15"/>
      <c r="O71" s="15"/>
      <c r="P71" s="15"/>
      <c r="Q71" s="15"/>
      <c r="R71" s="15"/>
      <c r="S71" s="15"/>
      <c r="T71" s="15"/>
      <c r="U71" s="15"/>
      <c r="V71" s="15"/>
      <c r="W71" s="15"/>
      <c r="X71" s="15"/>
      <c r="Y71" s="15"/>
      <c r="Z71" s="15"/>
      <c r="AA71" s="15"/>
      <c r="AB71" s="15"/>
      <c r="AC71" s="15"/>
      <c r="AD71" s="15"/>
      <c r="AE71" s="15"/>
      <c r="AF71" s="15"/>
      <c r="AG71" s="15"/>
      <c r="AH71" s="15"/>
    </row>
    <row r="72" ht="16.5" customHeight="1">
      <c r="A72" s="32" t="s">
        <v>5</v>
      </c>
      <c r="E72" s="28" t="s">
        <v>88</v>
      </c>
      <c r="F72" s="8" t="s">
        <v>247</v>
      </c>
      <c r="G72" s="69"/>
      <c r="H72" s="31"/>
      <c r="I72" s="9"/>
      <c r="J72" s="9"/>
      <c r="K72" s="9"/>
      <c r="L72" s="9"/>
      <c r="M72" s="15"/>
      <c r="N72" s="15"/>
      <c r="O72" s="15"/>
      <c r="P72" s="15"/>
      <c r="Q72" s="15"/>
      <c r="R72" s="15"/>
      <c r="S72" s="15"/>
      <c r="T72" s="15"/>
      <c r="U72" s="15"/>
      <c r="V72" s="15"/>
      <c r="W72" s="15"/>
      <c r="X72" s="15"/>
      <c r="Y72" s="15"/>
      <c r="Z72" s="15"/>
      <c r="AA72" s="15"/>
      <c r="AB72" s="15"/>
      <c r="AC72" s="15"/>
      <c r="AD72" s="15"/>
      <c r="AE72" s="15"/>
      <c r="AF72" s="15"/>
      <c r="AG72" s="15"/>
      <c r="AH72" s="15"/>
    </row>
    <row r="73" ht="16.5" customHeight="1">
      <c r="A73" s="32" t="s">
        <v>5</v>
      </c>
      <c r="E73" s="28" t="s">
        <v>88</v>
      </c>
      <c r="F73" s="38" t="s">
        <v>95</v>
      </c>
      <c r="G73" s="149" t="s">
        <v>1135</v>
      </c>
      <c r="H73" s="31" t="s">
        <v>95</v>
      </c>
      <c r="I73" s="9"/>
      <c r="J73" s="9"/>
      <c r="K73" s="9"/>
      <c r="L73" s="9"/>
      <c r="M73" s="15"/>
      <c r="N73" s="15"/>
      <c r="O73" s="15"/>
      <c r="P73" s="15"/>
      <c r="Q73" s="15"/>
      <c r="R73" s="15"/>
      <c r="S73" s="15"/>
      <c r="T73" s="15"/>
      <c r="U73" s="15"/>
      <c r="V73" s="15"/>
      <c r="W73" s="15"/>
      <c r="X73" s="15"/>
      <c r="Y73" s="15"/>
      <c r="Z73" s="15"/>
      <c r="AA73" s="15"/>
      <c r="AB73" s="15"/>
      <c r="AC73" s="15"/>
      <c r="AD73" s="15"/>
      <c r="AE73" s="15"/>
      <c r="AF73" s="15"/>
      <c r="AG73" s="15"/>
      <c r="AH73" s="15"/>
    </row>
    <row r="74" ht="16.5" customHeight="1">
      <c r="A74" s="32" t="s">
        <v>5</v>
      </c>
      <c r="E74" s="28" t="s">
        <v>88</v>
      </c>
      <c r="F74" s="38" t="s">
        <v>96</v>
      </c>
      <c r="G74" s="149" t="s">
        <v>1136</v>
      </c>
      <c r="H74" s="31" t="s">
        <v>96</v>
      </c>
      <c r="I74" s="9"/>
      <c r="J74" s="9"/>
      <c r="K74" s="9"/>
      <c r="L74" s="9"/>
      <c r="M74" s="15"/>
      <c r="N74" s="15"/>
      <c r="O74" s="15"/>
      <c r="P74" s="15"/>
      <c r="Q74" s="15"/>
      <c r="R74" s="15"/>
      <c r="S74" s="15"/>
      <c r="T74" s="15"/>
      <c r="U74" s="15"/>
      <c r="V74" s="15"/>
      <c r="W74" s="15"/>
      <c r="X74" s="15"/>
      <c r="Y74" s="15"/>
      <c r="Z74" s="15"/>
      <c r="AA74" s="15"/>
      <c r="AB74" s="15"/>
      <c r="AC74" s="15"/>
      <c r="AD74" s="15"/>
      <c r="AE74" s="15"/>
      <c r="AF74" s="15"/>
      <c r="AG74" s="15"/>
      <c r="AH74" s="15"/>
    </row>
    <row r="75" ht="16.5" customHeight="1">
      <c r="A75" s="32" t="s">
        <v>5</v>
      </c>
      <c r="E75" s="28" t="s">
        <v>88</v>
      </c>
      <c r="F75" s="28" t="s">
        <v>122</v>
      </c>
      <c r="G75" s="149" t="s">
        <v>1137</v>
      </c>
      <c r="H75" s="31" t="s">
        <v>122</v>
      </c>
      <c r="I75" s="9"/>
      <c r="J75" s="9"/>
      <c r="K75" s="9"/>
      <c r="L75" s="9"/>
      <c r="M75" s="15"/>
      <c r="N75" s="15"/>
      <c r="O75" s="15"/>
      <c r="P75" s="15"/>
      <c r="Q75" s="15"/>
      <c r="R75" s="15"/>
      <c r="S75" s="15"/>
      <c r="T75" s="15"/>
      <c r="U75" s="15"/>
      <c r="V75" s="15"/>
      <c r="W75" s="15"/>
      <c r="X75" s="15"/>
      <c r="Y75" s="15"/>
      <c r="Z75" s="15"/>
      <c r="AA75" s="15"/>
      <c r="AB75" s="15"/>
      <c r="AC75" s="15"/>
      <c r="AD75" s="15"/>
      <c r="AE75" s="15"/>
      <c r="AF75" s="15"/>
      <c r="AG75" s="15"/>
      <c r="AH75" s="15"/>
    </row>
    <row r="76" ht="16.5" customHeight="1">
      <c r="A76" s="32" t="s">
        <v>5</v>
      </c>
      <c r="E76" s="8" t="s">
        <v>86</v>
      </c>
      <c r="F76" s="8" t="s">
        <v>90</v>
      </c>
      <c r="G76" s="149" t="s">
        <v>1138</v>
      </c>
      <c r="H76" s="153" t="s">
        <v>90</v>
      </c>
      <c r="I76" s="9"/>
      <c r="J76" s="9"/>
      <c r="K76" s="9"/>
      <c r="L76" s="9"/>
      <c r="M76" s="15"/>
      <c r="N76" s="15"/>
      <c r="O76" s="15"/>
      <c r="P76" s="15"/>
      <c r="Q76" s="15"/>
      <c r="R76" s="15"/>
      <c r="S76" s="15"/>
      <c r="T76" s="15"/>
      <c r="U76" s="15"/>
      <c r="V76" s="15"/>
      <c r="W76" s="15"/>
      <c r="X76" s="15"/>
      <c r="Y76" s="15"/>
      <c r="Z76" s="15"/>
      <c r="AA76" s="15"/>
      <c r="AB76" s="15"/>
      <c r="AC76" s="15"/>
      <c r="AD76" s="15"/>
      <c r="AE76" s="15"/>
      <c r="AF76" s="15"/>
      <c r="AG76" s="15"/>
      <c r="AH76" s="15"/>
    </row>
    <row r="77" ht="16.5" customHeight="1">
      <c r="A77" s="32" t="s">
        <v>5</v>
      </c>
      <c r="E77" s="8" t="s">
        <v>86</v>
      </c>
      <c r="F77" s="8" t="s">
        <v>91</v>
      </c>
      <c r="G77" s="149" t="s">
        <v>1139</v>
      </c>
      <c r="H77" s="153" t="s">
        <v>91</v>
      </c>
      <c r="I77" s="9"/>
      <c r="J77" s="9"/>
      <c r="K77" s="9"/>
      <c r="L77" s="9"/>
      <c r="M77" s="15"/>
      <c r="N77" s="15"/>
      <c r="O77" s="15"/>
      <c r="P77" s="15"/>
      <c r="Q77" s="15"/>
      <c r="R77" s="15"/>
      <c r="S77" s="15"/>
      <c r="T77" s="15"/>
      <c r="U77" s="15"/>
      <c r="V77" s="15"/>
      <c r="W77" s="15"/>
      <c r="X77" s="15"/>
      <c r="Y77" s="15"/>
      <c r="Z77" s="15"/>
      <c r="AA77" s="15"/>
      <c r="AB77" s="15"/>
      <c r="AC77" s="15"/>
      <c r="AD77" s="15"/>
      <c r="AE77" s="15"/>
      <c r="AF77" s="15"/>
      <c r="AG77" s="15"/>
      <c r="AH77" s="15"/>
    </row>
    <row r="78" ht="16.5" customHeight="1">
      <c r="A78" s="32" t="s">
        <v>5</v>
      </c>
      <c r="E78" s="8" t="s">
        <v>88</v>
      </c>
      <c r="F78" s="8" t="s">
        <v>89</v>
      </c>
      <c r="G78" s="69"/>
      <c r="H78" s="31"/>
      <c r="I78" s="9"/>
      <c r="J78" s="9"/>
      <c r="K78" s="9"/>
      <c r="L78" s="9"/>
      <c r="M78" s="15"/>
      <c r="N78" s="15"/>
      <c r="O78" s="15"/>
      <c r="P78" s="15"/>
      <c r="Q78" s="15"/>
      <c r="R78" s="15"/>
      <c r="S78" s="15"/>
      <c r="T78" s="15"/>
      <c r="U78" s="15"/>
      <c r="V78" s="15"/>
      <c r="W78" s="15"/>
      <c r="X78" s="15"/>
      <c r="Y78" s="15"/>
      <c r="Z78" s="15"/>
      <c r="AA78" s="15"/>
      <c r="AB78" s="15"/>
      <c r="AC78" s="15"/>
      <c r="AD78" s="15"/>
      <c r="AE78" s="15"/>
      <c r="AF78" s="15"/>
      <c r="AG78" s="15"/>
      <c r="AH78" s="15"/>
    </row>
    <row r="79" ht="16.5" customHeight="1">
      <c r="A79" s="32" t="s">
        <v>5</v>
      </c>
      <c r="E79" s="8" t="s">
        <v>88</v>
      </c>
      <c r="F79" s="151" t="s">
        <v>795</v>
      </c>
      <c r="G79" s="69"/>
      <c r="H79" s="31"/>
      <c r="I79" s="31"/>
      <c r="J79" s="31"/>
      <c r="K79" s="31"/>
      <c r="L79" s="9"/>
      <c r="M79" s="15"/>
      <c r="N79" s="15"/>
      <c r="O79" s="15"/>
      <c r="P79" s="15"/>
      <c r="Q79" s="15"/>
      <c r="R79" s="15"/>
      <c r="S79" s="15"/>
      <c r="T79" s="15"/>
      <c r="U79" s="15"/>
      <c r="V79" s="15"/>
      <c r="W79" s="15"/>
      <c r="X79" s="15"/>
      <c r="Y79" s="15"/>
      <c r="Z79" s="15"/>
      <c r="AA79" s="15"/>
      <c r="AB79" s="15"/>
      <c r="AC79" s="15"/>
      <c r="AD79" s="15"/>
      <c r="AE79" s="15"/>
      <c r="AF79" s="15"/>
      <c r="AG79" s="15"/>
      <c r="AH79" s="15"/>
    </row>
    <row r="80" ht="16.5" customHeight="1">
      <c r="A80" s="32" t="s">
        <v>5</v>
      </c>
      <c r="B80" s="56" t="s">
        <v>1140</v>
      </c>
      <c r="C80" s="83" t="s">
        <v>5</v>
      </c>
      <c r="D80" s="83" t="s">
        <v>42</v>
      </c>
      <c r="E80" s="28" t="s">
        <v>89</v>
      </c>
      <c r="F80" s="38" t="s">
        <v>291</v>
      </c>
      <c r="G80" s="69"/>
      <c r="H80" s="31"/>
      <c r="I80" s="31"/>
      <c r="J80" s="31"/>
      <c r="K80" s="9"/>
      <c r="L80" s="9"/>
      <c r="M80" s="15"/>
      <c r="N80" s="15"/>
      <c r="O80" s="15"/>
      <c r="P80" s="15"/>
      <c r="Q80" s="15"/>
      <c r="R80" s="15"/>
      <c r="S80" s="15"/>
      <c r="T80" s="15"/>
      <c r="U80" s="15"/>
      <c r="V80" s="15"/>
      <c r="W80" s="15"/>
      <c r="X80" s="15"/>
      <c r="Y80" s="15"/>
      <c r="Z80" s="15"/>
      <c r="AA80" s="15"/>
      <c r="AB80" s="15"/>
      <c r="AC80" s="15"/>
      <c r="AD80" s="15"/>
      <c r="AE80" s="15"/>
      <c r="AF80" s="15"/>
      <c r="AG80" s="15"/>
      <c r="AH80" s="15"/>
    </row>
    <row r="81" ht="16.5" customHeight="1">
      <c r="A81" s="32" t="s">
        <v>5</v>
      </c>
      <c r="B81" s="158" t="s">
        <v>1141</v>
      </c>
      <c r="C81" s="158" t="s">
        <v>1142</v>
      </c>
      <c r="D81" s="83" t="s">
        <v>42</v>
      </c>
      <c r="E81" s="32" t="s">
        <v>172</v>
      </c>
      <c r="F81" s="35" t="s">
        <v>194</v>
      </c>
      <c r="G81" s="159" t="s">
        <v>1143</v>
      </c>
      <c r="H81" s="153" t="s">
        <v>194</v>
      </c>
      <c r="I81" s="9"/>
      <c r="J81" s="9"/>
      <c r="K81" s="9"/>
      <c r="L81" s="9"/>
      <c r="M81" s="15"/>
      <c r="N81" s="15"/>
      <c r="O81" s="15"/>
      <c r="P81" s="15"/>
      <c r="Q81" s="15"/>
      <c r="R81" s="15"/>
      <c r="S81" s="15"/>
      <c r="T81" s="15"/>
      <c r="U81" s="15"/>
      <c r="V81" s="15"/>
      <c r="W81" s="15"/>
      <c r="X81" s="15"/>
      <c r="Y81" s="15"/>
      <c r="Z81" s="15"/>
      <c r="AA81" s="15"/>
      <c r="AB81" s="15"/>
      <c r="AC81" s="15"/>
      <c r="AD81" s="15"/>
      <c r="AE81" s="15"/>
      <c r="AF81" s="15"/>
      <c r="AG81" s="15"/>
      <c r="AH81" s="15"/>
    </row>
    <row r="82" ht="16.5" customHeight="1">
      <c r="A82" s="32" t="s">
        <v>5</v>
      </c>
      <c r="E82" s="32" t="s">
        <v>172</v>
      </c>
      <c r="F82" s="35" t="s">
        <v>195</v>
      </c>
      <c r="G82" s="159" t="s">
        <v>1144</v>
      </c>
      <c r="H82" s="153" t="s">
        <v>195</v>
      </c>
      <c r="I82" s="9"/>
      <c r="J82" s="9"/>
      <c r="K82" s="9"/>
      <c r="L82" s="9"/>
      <c r="M82" s="15"/>
      <c r="N82" s="15"/>
      <c r="O82" s="15"/>
      <c r="P82" s="15"/>
      <c r="Q82" s="15"/>
      <c r="R82" s="15"/>
      <c r="S82" s="15"/>
      <c r="T82" s="15"/>
      <c r="U82" s="15"/>
      <c r="V82" s="15"/>
      <c r="W82" s="15"/>
      <c r="X82" s="15"/>
      <c r="Y82" s="15"/>
      <c r="Z82" s="15"/>
      <c r="AA82" s="15"/>
      <c r="AB82" s="15"/>
      <c r="AC82" s="15"/>
      <c r="AD82" s="15"/>
      <c r="AE82" s="15"/>
      <c r="AF82" s="15"/>
      <c r="AG82" s="15"/>
      <c r="AH82" s="15"/>
    </row>
    <row r="83" ht="16.5" customHeight="1">
      <c r="A83" s="32" t="s">
        <v>5</v>
      </c>
      <c r="E83" s="32" t="s">
        <v>88</v>
      </c>
      <c r="F83" s="35" t="s">
        <v>481</v>
      </c>
      <c r="G83" s="159" t="s">
        <v>1145</v>
      </c>
      <c r="H83" s="153" t="s">
        <v>481</v>
      </c>
      <c r="I83" s="9"/>
      <c r="J83" s="9"/>
      <c r="K83" s="9"/>
      <c r="L83" s="9"/>
      <c r="M83" s="15"/>
      <c r="N83" s="15"/>
      <c r="O83" s="15"/>
      <c r="P83" s="15"/>
      <c r="Q83" s="15"/>
      <c r="R83" s="15"/>
      <c r="S83" s="15"/>
      <c r="T83" s="15"/>
      <c r="U83" s="15"/>
      <c r="V83" s="15"/>
      <c r="W83" s="15"/>
      <c r="X83" s="15"/>
      <c r="Y83" s="15"/>
      <c r="Z83" s="15"/>
      <c r="AA83" s="15"/>
      <c r="AB83" s="15"/>
      <c r="AC83" s="15"/>
      <c r="AD83" s="15"/>
      <c r="AE83" s="15"/>
      <c r="AF83" s="15"/>
      <c r="AG83" s="15"/>
      <c r="AH83" s="15"/>
    </row>
    <row r="84" ht="16.5" customHeight="1">
      <c r="A84" s="32" t="s">
        <v>5</v>
      </c>
      <c r="E84" s="28" t="s">
        <v>88</v>
      </c>
      <c r="F84" s="38" t="s">
        <v>496</v>
      </c>
      <c r="G84" s="149" t="s">
        <v>1146</v>
      </c>
      <c r="H84" s="153" t="s">
        <v>496</v>
      </c>
      <c r="I84" s="9"/>
      <c r="J84" s="9"/>
      <c r="K84" s="9"/>
      <c r="L84" s="9"/>
      <c r="M84" s="15"/>
      <c r="N84" s="15"/>
      <c r="O84" s="15"/>
      <c r="P84" s="15"/>
      <c r="Q84" s="15"/>
      <c r="R84" s="15"/>
      <c r="S84" s="15"/>
      <c r="T84" s="15"/>
      <c r="U84" s="15"/>
      <c r="V84" s="15"/>
      <c r="W84" s="15"/>
      <c r="X84" s="15"/>
      <c r="Y84" s="15"/>
      <c r="Z84" s="15"/>
      <c r="AA84" s="15"/>
      <c r="AB84" s="15"/>
      <c r="AC84" s="15"/>
      <c r="AD84" s="15"/>
      <c r="AE84" s="15"/>
      <c r="AF84" s="15"/>
      <c r="AG84" s="15"/>
      <c r="AH84" s="15"/>
    </row>
    <row r="85" ht="16.5" customHeight="1">
      <c r="A85" s="32" t="s">
        <v>5</v>
      </c>
      <c r="E85" s="28" t="s">
        <v>88</v>
      </c>
      <c r="F85" s="28" t="s">
        <v>570</v>
      </c>
      <c r="G85" s="155"/>
      <c r="H85" s="31"/>
      <c r="I85" s="9"/>
      <c r="J85" s="9"/>
      <c r="K85" s="9"/>
      <c r="L85" s="9"/>
      <c r="M85" s="15"/>
      <c r="N85" s="15"/>
      <c r="O85" s="15"/>
      <c r="P85" s="15"/>
      <c r="Q85" s="15"/>
      <c r="R85" s="15"/>
      <c r="S85" s="15"/>
      <c r="T85" s="15"/>
      <c r="U85" s="15"/>
      <c r="V85" s="15"/>
      <c r="W85" s="15"/>
      <c r="X85" s="15"/>
      <c r="Y85" s="15"/>
      <c r="Z85" s="15"/>
      <c r="AA85" s="15"/>
      <c r="AB85" s="15"/>
      <c r="AC85" s="15"/>
      <c r="AD85" s="15"/>
      <c r="AE85" s="15"/>
      <c r="AF85" s="15"/>
      <c r="AG85" s="15"/>
      <c r="AH85" s="15"/>
    </row>
    <row r="86" ht="16.5" customHeight="1">
      <c r="A86" s="32" t="s">
        <v>5</v>
      </c>
      <c r="E86" s="8" t="s">
        <v>88</v>
      </c>
      <c r="F86" s="8" t="s">
        <v>598</v>
      </c>
      <c r="G86" s="155"/>
      <c r="H86" s="31"/>
      <c r="I86" s="9"/>
      <c r="J86" s="9"/>
      <c r="K86" s="9"/>
      <c r="L86" s="9"/>
      <c r="M86" s="15"/>
      <c r="N86" s="15"/>
      <c r="O86" s="15"/>
      <c r="P86" s="15"/>
      <c r="Q86" s="15"/>
      <c r="R86" s="15"/>
      <c r="S86" s="15"/>
      <c r="T86" s="15"/>
      <c r="U86" s="15"/>
      <c r="V86" s="15"/>
      <c r="W86" s="15"/>
      <c r="X86" s="15"/>
      <c r="Y86" s="15"/>
      <c r="Z86" s="15"/>
      <c r="AA86" s="15"/>
      <c r="AB86" s="15"/>
      <c r="AC86" s="15"/>
      <c r="AD86" s="15"/>
      <c r="AE86" s="15"/>
      <c r="AF86" s="15"/>
      <c r="AG86" s="15"/>
      <c r="AH86" s="15"/>
    </row>
    <row r="87" ht="16.5" customHeight="1">
      <c r="A87" s="32" t="s">
        <v>5</v>
      </c>
      <c r="E87" s="8" t="s">
        <v>21</v>
      </c>
      <c r="F87" s="8" t="s">
        <v>51</v>
      </c>
      <c r="G87" s="149" t="s">
        <v>1147</v>
      </c>
      <c r="H87" s="153" t="s">
        <v>51</v>
      </c>
      <c r="I87" s="9"/>
      <c r="J87" s="9"/>
      <c r="K87" s="9"/>
      <c r="L87" s="9"/>
      <c r="M87" s="15"/>
      <c r="N87" s="15"/>
      <c r="O87" s="15"/>
      <c r="P87" s="15"/>
      <c r="Q87" s="15"/>
      <c r="R87" s="15"/>
      <c r="S87" s="15"/>
      <c r="T87" s="15"/>
      <c r="U87" s="15"/>
      <c r="V87" s="15"/>
      <c r="W87" s="15"/>
      <c r="X87" s="15"/>
      <c r="Y87" s="15"/>
      <c r="Z87" s="15"/>
      <c r="AA87" s="15"/>
      <c r="AB87" s="15"/>
      <c r="AC87" s="15"/>
      <c r="AD87" s="15"/>
      <c r="AE87" s="15"/>
      <c r="AF87" s="15"/>
      <c r="AG87" s="15"/>
      <c r="AH87" s="15"/>
    </row>
    <row r="88" ht="16.5" customHeight="1">
      <c r="A88" s="32" t="s">
        <v>5</v>
      </c>
      <c r="E88" s="8" t="s">
        <v>88</v>
      </c>
      <c r="F88" s="8" t="s">
        <v>95</v>
      </c>
      <c r="G88" s="149" t="s">
        <v>1148</v>
      </c>
      <c r="H88" s="153" t="s">
        <v>95</v>
      </c>
      <c r="I88" s="9"/>
      <c r="J88" s="9"/>
      <c r="K88" s="9"/>
      <c r="L88" s="9"/>
      <c r="M88" s="15"/>
      <c r="N88" s="15"/>
      <c r="O88" s="15"/>
      <c r="P88" s="15"/>
      <c r="Q88" s="15"/>
      <c r="R88" s="15"/>
      <c r="S88" s="15"/>
      <c r="T88" s="15"/>
      <c r="U88" s="15"/>
      <c r="V88" s="15"/>
      <c r="W88" s="15"/>
      <c r="X88" s="15"/>
      <c r="Y88" s="15"/>
      <c r="Z88" s="15"/>
      <c r="AA88" s="15"/>
      <c r="AB88" s="15"/>
      <c r="AC88" s="15"/>
      <c r="AD88" s="15"/>
      <c r="AE88" s="15"/>
      <c r="AF88" s="15"/>
      <c r="AG88" s="15"/>
      <c r="AH88" s="15"/>
    </row>
    <row r="89" ht="16.5" customHeight="1">
      <c r="A89" s="32" t="s">
        <v>5</v>
      </c>
      <c r="E89" s="8" t="s">
        <v>88</v>
      </c>
      <c r="F89" s="8" t="s">
        <v>96</v>
      </c>
      <c r="G89" s="149" t="s">
        <v>1149</v>
      </c>
      <c r="H89" s="153" t="s">
        <v>96</v>
      </c>
      <c r="I89" s="9"/>
      <c r="J89" s="9"/>
      <c r="K89" s="9"/>
      <c r="L89" s="9"/>
      <c r="M89" s="15"/>
      <c r="N89" s="15"/>
      <c r="O89" s="15"/>
      <c r="P89" s="15"/>
      <c r="Q89" s="15"/>
      <c r="R89" s="15"/>
      <c r="S89" s="15"/>
      <c r="T89" s="15"/>
      <c r="U89" s="15"/>
      <c r="V89" s="15"/>
      <c r="W89" s="15"/>
      <c r="X89" s="15"/>
      <c r="Y89" s="15"/>
      <c r="Z89" s="15"/>
      <c r="AA89" s="15"/>
      <c r="AB89" s="15"/>
      <c r="AC89" s="15"/>
      <c r="AD89" s="15"/>
      <c r="AE89" s="15"/>
      <c r="AF89" s="15"/>
      <c r="AG89" s="15"/>
      <c r="AH89" s="15"/>
    </row>
    <row r="90" ht="16.5" customHeight="1">
      <c r="A90" s="32" t="s">
        <v>5</v>
      </c>
      <c r="E90" s="8" t="s">
        <v>86</v>
      </c>
      <c r="F90" s="8" t="s">
        <v>90</v>
      </c>
      <c r="G90" s="149" t="s">
        <v>1150</v>
      </c>
      <c r="H90" s="153" t="s">
        <v>90</v>
      </c>
      <c r="I90" s="9"/>
      <c r="J90" s="9"/>
      <c r="K90" s="9"/>
      <c r="L90" s="9"/>
      <c r="M90" s="15"/>
      <c r="N90" s="15"/>
      <c r="O90" s="15"/>
      <c r="P90" s="15"/>
      <c r="Q90" s="15"/>
      <c r="R90" s="15"/>
      <c r="S90" s="15"/>
      <c r="T90" s="15"/>
      <c r="U90" s="15"/>
      <c r="V90" s="15"/>
      <c r="W90" s="15"/>
      <c r="X90" s="15"/>
      <c r="Y90" s="15"/>
      <c r="Z90" s="15"/>
      <c r="AA90" s="15"/>
      <c r="AB90" s="15"/>
      <c r="AC90" s="15"/>
      <c r="AD90" s="15"/>
      <c r="AE90" s="15"/>
      <c r="AF90" s="15"/>
      <c r="AG90" s="15"/>
      <c r="AH90" s="15"/>
    </row>
    <row r="91" ht="16.5" customHeight="1">
      <c r="A91" s="32" t="s">
        <v>5</v>
      </c>
      <c r="E91" s="8" t="s">
        <v>86</v>
      </c>
      <c r="F91" s="8" t="s">
        <v>91</v>
      </c>
      <c r="G91" s="149" t="s">
        <v>1151</v>
      </c>
      <c r="H91" s="153" t="s">
        <v>91</v>
      </c>
      <c r="I91" s="9"/>
      <c r="J91" s="9"/>
      <c r="K91" s="9"/>
      <c r="L91" s="9"/>
      <c r="M91" s="15"/>
      <c r="N91" s="15"/>
      <c r="O91" s="15"/>
      <c r="P91" s="15"/>
      <c r="Q91" s="15"/>
      <c r="R91" s="15"/>
      <c r="S91" s="15"/>
      <c r="T91" s="15"/>
      <c r="U91" s="15"/>
      <c r="V91" s="15"/>
      <c r="W91" s="15"/>
      <c r="X91" s="15"/>
      <c r="Y91" s="15"/>
      <c r="Z91" s="15"/>
      <c r="AA91" s="15"/>
      <c r="AB91" s="15"/>
      <c r="AC91" s="15"/>
      <c r="AD91" s="15"/>
      <c r="AE91" s="15"/>
      <c r="AF91" s="15"/>
      <c r="AG91" s="15"/>
      <c r="AH91" s="15"/>
    </row>
    <row r="92" ht="16.5" customHeight="1">
      <c r="A92" s="32" t="s">
        <v>5</v>
      </c>
      <c r="E92" s="28" t="s">
        <v>86</v>
      </c>
      <c r="F92" s="8" t="s">
        <v>338</v>
      </c>
      <c r="G92" s="149" t="s">
        <v>1152</v>
      </c>
      <c r="H92" s="153" t="s">
        <v>338</v>
      </c>
      <c r="I92" s="9"/>
      <c r="J92" s="9"/>
      <c r="K92" s="9"/>
      <c r="L92" s="9"/>
      <c r="M92" s="15"/>
      <c r="N92" s="15"/>
      <c r="O92" s="15"/>
      <c r="P92" s="15"/>
      <c r="Q92" s="15"/>
      <c r="R92" s="15"/>
      <c r="S92" s="15"/>
      <c r="T92" s="15"/>
      <c r="U92" s="15"/>
      <c r="V92" s="15"/>
      <c r="W92" s="15"/>
      <c r="X92" s="15"/>
      <c r="Y92" s="15"/>
      <c r="Z92" s="15"/>
      <c r="AA92" s="15"/>
      <c r="AB92" s="15"/>
      <c r="AC92" s="15"/>
      <c r="AD92" s="15"/>
      <c r="AE92" s="15"/>
      <c r="AF92" s="15"/>
      <c r="AG92" s="15"/>
      <c r="AH92" s="15"/>
    </row>
    <row r="93" ht="16.5" customHeight="1">
      <c r="A93" s="32" t="s">
        <v>5</v>
      </c>
      <c r="E93" s="28" t="s">
        <v>88</v>
      </c>
      <c r="F93" s="38" t="s">
        <v>89</v>
      </c>
      <c r="G93" s="155"/>
      <c r="H93" s="31"/>
      <c r="I93" s="9"/>
      <c r="J93" s="9"/>
      <c r="K93" s="9"/>
      <c r="L93" s="9"/>
      <c r="M93" s="15"/>
      <c r="N93" s="15"/>
      <c r="O93" s="15"/>
      <c r="P93" s="15"/>
      <c r="Q93" s="15"/>
      <c r="R93" s="15"/>
      <c r="S93" s="15"/>
      <c r="T93" s="15"/>
      <c r="U93" s="15"/>
      <c r="V93" s="15"/>
      <c r="W93" s="15"/>
      <c r="X93" s="15"/>
      <c r="Y93" s="15"/>
      <c r="Z93" s="15"/>
      <c r="AA93" s="15"/>
      <c r="AB93" s="15"/>
      <c r="AC93" s="15"/>
      <c r="AD93" s="15"/>
      <c r="AE93" s="15"/>
      <c r="AF93" s="15"/>
      <c r="AG93" s="15"/>
      <c r="AH93" s="15"/>
    </row>
    <row r="94" ht="16.5" customHeight="1">
      <c r="A94" s="32" t="s">
        <v>5</v>
      </c>
      <c r="E94" s="28" t="s">
        <v>88</v>
      </c>
      <c r="F94" s="28" t="s">
        <v>795</v>
      </c>
      <c r="G94" s="155"/>
      <c r="H94" s="31"/>
      <c r="I94" s="9"/>
      <c r="J94" s="9"/>
      <c r="K94" s="9"/>
      <c r="L94" s="9"/>
      <c r="M94" s="15"/>
      <c r="N94" s="15"/>
      <c r="O94" s="15"/>
      <c r="P94" s="15"/>
      <c r="Q94" s="15"/>
      <c r="R94" s="15"/>
      <c r="S94" s="15"/>
      <c r="T94" s="15"/>
      <c r="U94" s="15"/>
      <c r="V94" s="15"/>
      <c r="W94" s="15"/>
      <c r="X94" s="15"/>
      <c r="Y94" s="15"/>
      <c r="Z94" s="15"/>
      <c r="AA94" s="15"/>
      <c r="AB94" s="15"/>
      <c r="AC94" s="15"/>
      <c r="AD94" s="15"/>
      <c r="AE94" s="15"/>
      <c r="AF94" s="15"/>
      <c r="AG94" s="15"/>
      <c r="AH94" s="15"/>
    </row>
    <row r="95" ht="16.5" customHeight="1">
      <c r="A95" s="32" t="s">
        <v>5</v>
      </c>
      <c r="B95" s="56" t="s">
        <v>1153</v>
      </c>
      <c r="C95" s="160" t="s">
        <v>1154</v>
      </c>
      <c r="D95" s="160" t="s">
        <v>42</v>
      </c>
      <c r="E95" s="8" t="s">
        <v>172</v>
      </c>
      <c r="F95" s="8" t="s">
        <v>194</v>
      </c>
      <c r="G95" s="149" t="s">
        <v>1155</v>
      </c>
      <c r="H95" s="153" t="s">
        <v>194</v>
      </c>
      <c r="I95" s="9"/>
      <c r="J95" s="9"/>
      <c r="K95" s="9"/>
      <c r="L95" s="9"/>
      <c r="M95" s="15"/>
      <c r="N95" s="15"/>
      <c r="O95" s="15"/>
      <c r="P95" s="15"/>
      <c r="Q95" s="15"/>
      <c r="R95" s="15"/>
      <c r="S95" s="15"/>
      <c r="T95" s="15"/>
      <c r="U95" s="15"/>
      <c r="V95" s="15"/>
      <c r="W95" s="15"/>
      <c r="X95" s="15"/>
      <c r="Y95" s="15"/>
      <c r="Z95" s="15"/>
      <c r="AA95" s="15"/>
      <c r="AB95" s="15"/>
      <c r="AC95" s="15"/>
      <c r="AD95" s="15"/>
      <c r="AE95" s="15"/>
      <c r="AF95" s="15"/>
      <c r="AG95" s="15"/>
      <c r="AH95" s="15"/>
    </row>
    <row r="96" ht="16.5" customHeight="1">
      <c r="A96" s="32" t="s">
        <v>5</v>
      </c>
      <c r="E96" s="8" t="s">
        <v>172</v>
      </c>
      <c r="F96" s="8" t="s">
        <v>195</v>
      </c>
      <c r="G96" s="149" t="s">
        <v>1156</v>
      </c>
      <c r="H96" s="153" t="s">
        <v>195</v>
      </c>
      <c r="I96" s="9"/>
      <c r="J96" s="9"/>
      <c r="K96" s="9"/>
      <c r="L96" s="9"/>
      <c r="M96" s="15"/>
      <c r="N96" s="15"/>
      <c r="O96" s="15"/>
      <c r="P96" s="15"/>
      <c r="Q96" s="15"/>
      <c r="R96" s="15"/>
      <c r="S96" s="15"/>
      <c r="T96" s="15"/>
      <c r="U96" s="15"/>
      <c r="V96" s="15"/>
      <c r="W96" s="15"/>
      <c r="X96" s="15"/>
      <c r="Y96" s="15"/>
      <c r="Z96" s="15"/>
      <c r="AA96" s="15"/>
      <c r="AB96" s="15"/>
      <c r="AC96" s="15"/>
      <c r="AD96" s="15"/>
      <c r="AE96" s="15"/>
      <c r="AF96" s="15"/>
      <c r="AG96" s="15"/>
      <c r="AH96" s="15"/>
    </row>
    <row r="97" ht="16.5" customHeight="1">
      <c r="A97" s="32" t="s">
        <v>5</v>
      </c>
      <c r="E97" s="8" t="s">
        <v>88</v>
      </c>
      <c r="F97" s="8" t="s">
        <v>481</v>
      </c>
      <c r="G97" s="149" t="s">
        <v>1157</v>
      </c>
      <c r="H97" s="153" t="s">
        <v>481</v>
      </c>
      <c r="I97" s="9"/>
      <c r="J97" s="9"/>
      <c r="K97" s="9"/>
      <c r="L97" s="9"/>
      <c r="M97" s="15"/>
      <c r="N97" s="15"/>
      <c r="O97" s="15"/>
      <c r="P97" s="15"/>
      <c r="Q97" s="15"/>
      <c r="R97" s="15"/>
      <c r="S97" s="15"/>
      <c r="T97" s="15"/>
      <c r="U97" s="15"/>
      <c r="V97" s="15"/>
      <c r="W97" s="15"/>
      <c r="X97" s="15"/>
      <c r="Y97" s="15"/>
      <c r="Z97" s="15"/>
      <c r="AA97" s="15"/>
      <c r="AB97" s="15"/>
      <c r="AC97" s="15"/>
      <c r="AD97" s="15"/>
      <c r="AE97" s="15"/>
      <c r="AF97" s="15"/>
      <c r="AG97" s="15"/>
      <c r="AH97" s="15"/>
    </row>
    <row r="98" ht="16.5" customHeight="1">
      <c r="A98" s="32" t="s">
        <v>5</v>
      </c>
      <c r="E98" s="8" t="s">
        <v>88</v>
      </c>
      <c r="F98" s="8" t="s">
        <v>496</v>
      </c>
      <c r="G98" s="149" t="s">
        <v>1158</v>
      </c>
      <c r="H98" s="31" t="s">
        <v>496</v>
      </c>
      <c r="I98" s="9"/>
      <c r="J98" s="9"/>
      <c r="K98" s="9"/>
      <c r="L98" s="9"/>
      <c r="M98" s="15"/>
      <c r="N98" s="15"/>
      <c r="O98" s="15"/>
      <c r="P98" s="15"/>
      <c r="Q98" s="15"/>
      <c r="R98" s="15"/>
      <c r="S98" s="15"/>
      <c r="T98" s="15"/>
      <c r="U98" s="15"/>
      <c r="V98" s="15"/>
      <c r="W98" s="15"/>
      <c r="X98" s="15"/>
      <c r="Y98" s="15"/>
      <c r="Z98" s="15"/>
      <c r="AA98" s="15"/>
      <c r="AB98" s="15"/>
      <c r="AC98" s="15"/>
      <c r="AD98" s="15"/>
      <c r="AE98" s="15"/>
      <c r="AF98" s="15"/>
      <c r="AG98" s="15"/>
      <c r="AH98" s="15"/>
    </row>
    <row r="99" ht="16.5" customHeight="1">
      <c r="A99" s="32" t="s">
        <v>5</v>
      </c>
      <c r="E99" s="8" t="s">
        <v>88</v>
      </c>
      <c r="F99" s="8" t="s">
        <v>570</v>
      </c>
      <c r="G99" s="155"/>
      <c r="H99" s="31"/>
      <c r="I99" s="9"/>
      <c r="J99" s="9"/>
      <c r="K99" s="9"/>
      <c r="L99" s="9"/>
      <c r="M99" s="15"/>
      <c r="N99" s="15"/>
      <c r="O99" s="15"/>
      <c r="P99" s="15"/>
      <c r="Q99" s="15"/>
      <c r="R99" s="15"/>
      <c r="S99" s="15"/>
      <c r="T99" s="15"/>
      <c r="U99" s="15"/>
      <c r="V99" s="15"/>
      <c r="W99" s="15"/>
      <c r="X99" s="15"/>
      <c r="Y99" s="15"/>
      <c r="Z99" s="15"/>
      <c r="AA99" s="15"/>
      <c r="AB99" s="15"/>
      <c r="AC99" s="15"/>
      <c r="AD99" s="15"/>
      <c r="AE99" s="15"/>
      <c r="AF99" s="15"/>
      <c r="AG99" s="15"/>
      <c r="AH99" s="15"/>
    </row>
    <row r="100" ht="16.5" customHeight="1">
      <c r="A100" s="32" t="s">
        <v>5</v>
      </c>
      <c r="E100" s="8" t="s">
        <v>88</v>
      </c>
      <c r="F100" s="8" t="s">
        <v>598</v>
      </c>
      <c r="G100" s="155"/>
      <c r="H100" s="31"/>
      <c r="I100" s="9"/>
      <c r="J100" s="9"/>
      <c r="K100" s="9"/>
      <c r="L100" s="9"/>
      <c r="M100" s="15"/>
      <c r="N100" s="15"/>
      <c r="O100" s="15"/>
      <c r="P100" s="15"/>
      <c r="Q100" s="15"/>
      <c r="R100" s="15"/>
      <c r="S100" s="15"/>
      <c r="T100" s="15"/>
      <c r="U100" s="15"/>
      <c r="V100" s="15"/>
      <c r="W100" s="15"/>
      <c r="X100" s="15"/>
      <c r="Y100" s="15"/>
      <c r="Z100" s="15"/>
      <c r="AA100" s="15"/>
      <c r="AB100" s="15"/>
      <c r="AC100" s="15"/>
      <c r="AD100" s="15"/>
      <c r="AE100" s="15"/>
      <c r="AF100" s="15"/>
      <c r="AG100" s="15"/>
      <c r="AH100" s="15"/>
    </row>
    <row r="101" ht="16.5" customHeight="1">
      <c r="A101" s="32" t="s">
        <v>5</v>
      </c>
      <c r="E101" s="28" t="s">
        <v>21</v>
      </c>
      <c r="F101" s="8" t="s">
        <v>51</v>
      </c>
      <c r="G101" s="149" t="s">
        <v>1159</v>
      </c>
      <c r="H101" s="31" t="s">
        <v>51</v>
      </c>
      <c r="I101" s="9"/>
      <c r="J101" s="9"/>
      <c r="K101" s="9"/>
      <c r="L101" s="9"/>
      <c r="M101" s="15"/>
      <c r="N101" s="15"/>
      <c r="O101" s="15"/>
      <c r="P101" s="15"/>
      <c r="Q101" s="15"/>
      <c r="R101" s="15"/>
      <c r="S101" s="15"/>
      <c r="T101" s="15"/>
      <c r="U101" s="15"/>
      <c r="V101" s="15"/>
      <c r="W101" s="15"/>
      <c r="X101" s="15"/>
      <c r="Y101" s="15"/>
      <c r="Z101" s="15"/>
      <c r="AA101" s="15"/>
      <c r="AB101" s="15"/>
      <c r="AC101" s="15"/>
      <c r="AD101" s="15"/>
      <c r="AE101" s="15"/>
      <c r="AF101" s="15"/>
      <c r="AG101" s="15"/>
      <c r="AH101" s="15"/>
    </row>
    <row r="102" ht="16.5" customHeight="1">
      <c r="A102" s="32" t="s">
        <v>5</v>
      </c>
      <c r="E102" s="28" t="s">
        <v>88</v>
      </c>
      <c r="F102" s="38" t="s">
        <v>95</v>
      </c>
      <c r="G102" s="149" t="s">
        <v>1160</v>
      </c>
      <c r="H102" s="150" t="s">
        <v>95</v>
      </c>
      <c r="I102" s="9"/>
      <c r="J102" s="9"/>
      <c r="K102" s="9"/>
      <c r="L102" s="9"/>
      <c r="M102" s="15"/>
      <c r="N102" s="15"/>
      <c r="O102" s="15"/>
      <c r="P102" s="15"/>
      <c r="Q102" s="15"/>
      <c r="R102" s="15"/>
      <c r="S102" s="15"/>
      <c r="T102" s="15"/>
      <c r="U102" s="15"/>
      <c r="V102" s="15"/>
      <c r="W102" s="15"/>
      <c r="X102" s="15"/>
      <c r="Y102" s="15"/>
      <c r="Z102" s="15"/>
      <c r="AA102" s="15"/>
      <c r="AB102" s="15"/>
      <c r="AC102" s="15"/>
      <c r="AD102" s="15"/>
      <c r="AE102" s="15"/>
      <c r="AF102" s="15"/>
      <c r="AG102" s="15"/>
      <c r="AH102" s="15"/>
    </row>
    <row r="103" ht="16.5" customHeight="1">
      <c r="A103" s="32" t="s">
        <v>5</v>
      </c>
      <c r="E103" s="28" t="s">
        <v>88</v>
      </c>
      <c r="F103" s="38" t="s">
        <v>96</v>
      </c>
      <c r="G103" s="149" t="s">
        <v>1161</v>
      </c>
      <c r="H103" s="150" t="s">
        <v>96</v>
      </c>
      <c r="I103" s="9"/>
      <c r="J103" s="9"/>
      <c r="K103" s="9"/>
      <c r="L103" s="9"/>
      <c r="M103" s="15"/>
      <c r="N103" s="15"/>
      <c r="O103" s="15"/>
      <c r="P103" s="15"/>
      <c r="Q103" s="15"/>
      <c r="R103" s="15"/>
      <c r="S103" s="15"/>
      <c r="T103" s="15"/>
      <c r="U103" s="15"/>
      <c r="V103" s="15"/>
      <c r="W103" s="15"/>
      <c r="X103" s="15"/>
      <c r="Y103" s="15"/>
      <c r="Z103" s="15"/>
      <c r="AA103" s="15"/>
      <c r="AB103" s="15"/>
      <c r="AC103" s="15"/>
      <c r="AD103" s="15"/>
      <c r="AE103" s="15"/>
      <c r="AF103" s="15"/>
      <c r="AG103" s="15"/>
      <c r="AH103" s="15"/>
    </row>
    <row r="104" ht="16.5" customHeight="1">
      <c r="A104" s="32" t="s">
        <v>5</v>
      </c>
      <c r="E104" s="8" t="s">
        <v>86</v>
      </c>
      <c r="F104" s="8" t="s">
        <v>90</v>
      </c>
      <c r="G104" s="149" t="s">
        <v>1162</v>
      </c>
      <c r="H104" s="31" t="s">
        <v>90</v>
      </c>
      <c r="I104" s="9"/>
      <c r="J104" s="9"/>
      <c r="K104" s="9"/>
      <c r="L104" s="9"/>
      <c r="M104" s="15"/>
      <c r="N104" s="15"/>
      <c r="O104" s="15"/>
      <c r="P104" s="15"/>
      <c r="Q104" s="15"/>
      <c r="R104" s="15"/>
      <c r="S104" s="15"/>
      <c r="T104" s="15"/>
      <c r="U104" s="15"/>
      <c r="V104" s="15"/>
      <c r="W104" s="15"/>
      <c r="X104" s="15"/>
      <c r="Y104" s="15"/>
      <c r="Z104" s="15"/>
      <c r="AA104" s="15"/>
      <c r="AB104" s="15"/>
      <c r="AC104" s="15"/>
      <c r="AD104" s="15"/>
      <c r="AE104" s="15"/>
      <c r="AF104" s="15"/>
      <c r="AG104" s="15"/>
      <c r="AH104" s="15"/>
    </row>
    <row r="105" ht="16.5" customHeight="1">
      <c r="A105" s="32" t="s">
        <v>5</v>
      </c>
      <c r="E105" s="8" t="s">
        <v>86</v>
      </c>
      <c r="F105" s="8" t="s">
        <v>91</v>
      </c>
      <c r="G105" s="149" t="s">
        <v>1163</v>
      </c>
      <c r="H105" s="31" t="s">
        <v>91</v>
      </c>
      <c r="I105" s="9"/>
      <c r="J105" s="9"/>
      <c r="K105" s="9"/>
      <c r="L105" s="9"/>
      <c r="M105" s="15"/>
      <c r="N105" s="15"/>
      <c r="O105" s="15"/>
      <c r="P105" s="15"/>
      <c r="Q105" s="15"/>
      <c r="R105" s="15"/>
      <c r="S105" s="15"/>
      <c r="T105" s="15"/>
      <c r="U105" s="15"/>
      <c r="V105" s="15"/>
      <c r="W105" s="15"/>
      <c r="X105" s="15"/>
      <c r="Y105" s="15"/>
      <c r="Z105" s="15"/>
      <c r="AA105" s="15"/>
      <c r="AB105" s="15"/>
      <c r="AC105" s="15"/>
      <c r="AD105" s="15"/>
      <c r="AE105" s="15"/>
      <c r="AF105" s="15"/>
      <c r="AG105" s="15"/>
      <c r="AH105" s="15"/>
    </row>
    <row r="106" ht="16.5" customHeight="1">
      <c r="A106" s="32" t="s">
        <v>5</v>
      </c>
      <c r="E106" s="8" t="s">
        <v>86</v>
      </c>
      <c r="F106" s="8" t="s">
        <v>338</v>
      </c>
      <c r="G106" s="149" t="s">
        <v>1164</v>
      </c>
      <c r="H106" s="31" t="s">
        <v>338</v>
      </c>
      <c r="I106" s="9"/>
      <c r="J106" s="9"/>
      <c r="K106" s="9"/>
      <c r="L106" s="9"/>
      <c r="M106" s="15"/>
      <c r="N106" s="15"/>
      <c r="O106" s="15"/>
      <c r="P106" s="15"/>
      <c r="Q106" s="15"/>
      <c r="R106" s="15"/>
      <c r="S106" s="15"/>
      <c r="T106" s="15"/>
      <c r="U106" s="15"/>
      <c r="V106" s="15"/>
      <c r="W106" s="15"/>
      <c r="X106" s="15"/>
      <c r="Y106" s="15"/>
      <c r="Z106" s="15"/>
      <c r="AA106" s="15"/>
      <c r="AB106" s="15"/>
      <c r="AC106" s="15"/>
      <c r="AD106" s="15"/>
      <c r="AE106" s="15"/>
      <c r="AF106" s="15"/>
      <c r="AG106" s="15"/>
      <c r="AH106" s="15"/>
    </row>
    <row r="107" ht="16.5" customHeight="1">
      <c r="A107" s="32" t="s">
        <v>5</v>
      </c>
      <c r="E107" s="8" t="s">
        <v>88</v>
      </c>
      <c r="F107" s="8" t="s">
        <v>89</v>
      </c>
      <c r="G107" s="69"/>
      <c r="H107" s="31"/>
      <c r="I107" s="9"/>
      <c r="J107" s="9"/>
      <c r="K107" s="9"/>
      <c r="L107" s="9"/>
      <c r="M107" s="15"/>
      <c r="N107" s="15"/>
      <c r="O107" s="15"/>
      <c r="P107" s="15"/>
      <c r="Q107" s="15"/>
      <c r="R107" s="15"/>
      <c r="S107" s="15"/>
      <c r="T107" s="15"/>
      <c r="U107" s="15"/>
      <c r="V107" s="15"/>
      <c r="W107" s="15"/>
      <c r="X107" s="15"/>
      <c r="Y107" s="15"/>
      <c r="Z107" s="15"/>
      <c r="AA107" s="15"/>
      <c r="AB107" s="15"/>
      <c r="AC107" s="15"/>
      <c r="AD107" s="15"/>
      <c r="AE107" s="15"/>
      <c r="AF107" s="15"/>
      <c r="AG107" s="15"/>
      <c r="AH107" s="15"/>
    </row>
    <row r="108" ht="16.5" customHeight="1">
      <c r="A108" s="32" t="s">
        <v>5</v>
      </c>
      <c r="E108" s="8" t="s">
        <v>88</v>
      </c>
      <c r="F108" s="8" t="s">
        <v>795</v>
      </c>
      <c r="G108" s="69"/>
      <c r="H108" s="31"/>
      <c r="I108" s="9"/>
      <c r="J108" s="9"/>
      <c r="K108" s="9"/>
      <c r="L108" s="9"/>
      <c r="M108" s="15"/>
      <c r="N108" s="15"/>
      <c r="O108" s="15"/>
      <c r="P108" s="15"/>
      <c r="Q108" s="15"/>
      <c r="R108" s="15"/>
      <c r="S108" s="15"/>
      <c r="T108" s="15"/>
      <c r="U108" s="15"/>
      <c r="V108" s="15"/>
      <c r="W108" s="15"/>
      <c r="X108" s="15"/>
      <c r="Y108" s="15"/>
      <c r="Z108" s="15"/>
      <c r="AA108" s="15"/>
      <c r="AB108" s="15"/>
      <c r="AC108" s="15"/>
      <c r="AD108" s="15"/>
      <c r="AE108" s="15"/>
      <c r="AF108" s="15"/>
      <c r="AG108" s="15"/>
      <c r="AH108" s="15"/>
    </row>
    <row r="109" ht="16.5" customHeight="1">
      <c r="A109" s="32" t="s">
        <v>5</v>
      </c>
      <c r="B109" s="56" t="s">
        <v>1165</v>
      </c>
      <c r="C109" s="161" t="s">
        <v>1166</v>
      </c>
      <c r="D109" s="83" t="s">
        <v>42</v>
      </c>
      <c r="E109" s="28" t="s">
        <v>172</v>
      </c>
      <c r="F109" s="8" t="s">
        <v>194</v>
      </c>
      <c r="G109" s="149" t="s">
        <v>1167</v>
      </c>
      <c r="H109" s="31" t="s">
        <v>194</v>
      </c>
      <c r="I109" s="9"/>
      <c r="J109" s="9"/>
      <c r="K109" s="9"/>
      <c r="L109" s="9"/>
      <c r="M109" s="15"/>
      <c r="N109" s="15"/>
      <c r="O109" s="15"/>
      <c r="P109" s="15"/>
      <c r="Q109" s="15"/>
      <c r="R109" s="15"/>
      <c r="S109" s="15"/>
      <c r="T109" s="15"/>
      <c r="U109" s="15"/>
      <c r="V109" s="15"/>
      <c r="W109" s="15"/>
      <c r="X109" s="15"/>
      <c r="Y109" s="15"/>
      <c r="Z109" s="15"/>
      <c r="AA109" s="15"/>
      <c r="AB109" s="15"/>
      <c r="AC109" s="15"/>
      <c r="AD109" s="15"/>
      <c r="AE109" s="15"/>
      <c r="AF109" s="15"/>
      <c r="AG109" s="15"/>
      <c r="AH109" s="15"/>
    </row>
    <row r="110" ht="16.5" customHeight="1">
      <c r="A110" s="32" t="s">
        <v>5</v>
      </c>
      <c r="E110" s="28" t="s">
        <v>172</v>
      </c>
      <c r="F110" s="8" t="s">
        <v>195</v>
      </c>
      <c r="G110" s="149" t="s">
        <v>1168</v>
      </c>
      <c r="H110" s="31" t="s">
        <v>195</v>
      </c>
      <c r="I110" s="9"/>
      <c r="J110" s="9"/>
      <c r="K110" s="9"/>
      <c r="L110" s="9"/>
      <c r="M110" s="15"/>
      <c r="N110" s="15"/>
      <c r="O110" s="15"/>
      <c r="P110" s="15"/>
      <c r="Q110" s="15"/>
      <c r="R110" s="15"/>
      <c r="S110" s="15"/>
      <c r="T110" s="15"/>
      <c r="U110" s="15"/>
      <c r="V110" s="15"/>
      <c r="W110" s="15"/>
      <c r="X110" s="15"/>
      <c r="Y110" s="15"/>
      <c r="Z110" s="15"/>
      <c r="AA110" s="15"/>
      <c r="AB110" s="15"/>
      <c r="AC110" s="15"/>
      <c r="AD110" s="15"/>
      <c r="AE110" s="15"/>
      <c r="AF110" s="15"/>
      <c r="AG110" s="15"/>
      <c r="AH110" s="15"/>
    </row>
    <row r="111" ht="16.5" customHeight="1">
      <c r="A111" s="32" t="s">
        <v>5</v>
      </c>
      <c r="E111" s="28" t="s">
        <v>88</v>
      </c>
      <c r="F111" s="8" t="s">
        <v>154</v>
      </c>
      <c r="G111" s="149" t="s">
        <v>1169</v>
      </c>
      <c r="H111" s="31" t="s">
        <v>154</v>
      </c>
      <c r="I111" s="9"/>
      <c r="J111" s="9"/>
      <c r="K111" s="9"/>
      <c r="L111" s="9"/>
      <c r="M111" s="15"/>
      <c r="N111" s="15"/>
      <c r="O111" s="15"/>
      <c r="P111" s="15"/>
      <c r="Q111" s="15"/>
      <c r="R111" s="15"/>
      <c r="S111" s="15"/>
      <c r="T111" s="15"/>
      <c r="U111" s="15"/>
      <c r="V111" s="15"/>
      <c r="W111" s="15"/>
      <c r="X111" s="15"/>
      <c r="Y111" s="15"/>
      <c r="Z111" s="15"/>
      <c r="AA111" s="15"/>
      <c r="AB111" s="15"/>
      <c r="AC111" s="15"/>
      <c r="AD111" s="15"/>
      <c r="AE111" s="15"/>
      <c r="AF111" s="15"/>
      <c r="AG111" s="15"/>
      <c r="AH111" s="15"/>
    </row>
    <row r="112" ht="16.5" customHeight="1">
      <c r="A112" s="32" t="s">
        <v>5</v>
      </c>
      <c r="E112" s="28" t="s">
        <v>21</v>
      </c>
      <c r="F112" s="38" t="s">
        <v>51</v>
      </c>
      <c r="G112" s="149" t="s">
        <v>1170</v>
      </c>
      <c r="H112" s="150" t="s">
        <v>51</v>
      </c>
      <c r="I112" s="9"/>
      <c r="J112" s="9"/>
      <c r="K112" s="9"/>
      <c r="L112" s="9"/>
      <c r="M112" s="15"/>
      <c r="N112" s="15"/>
      <c r="O112" s="15"/>
      <c r="P112" s="15"/>
      <c r="Q112" s="15"/>
      <c r="R112" s="15"/>
      <c r="S112" s="15"/>
      <c r="T112" s="15"/>
      <c r="U112" s="15"/>
      <c r="V112" s="15"/>
      <c r="W112" s="15"/>
      <c r="X112" s="15"/>
      <c r="Y112" s="15"/>
      <c r="Z112" s="15"/>
      <c r="AA112" s="15"/>
      <c r="AB112" s="15"/>
      <c r="AC112" s="15"/>
      <c r="AD112" s="15"/>
      <c r="AE112" s="15"/>
      <c r="AF112" s="15"/>
      <c r="AG112" s="15"/>
      <c r="AH112" s="15"/>
    </row>
    <row r="113" ht="16.5" customHeight="1">
      <c r="A113" s="32" t="s">
        <v>5</v>
      </c>
      <c r="E113" s="8" t="s">
        <v>88</v>
      </c>
      <c r="F113" s="8" t="s">
        <v>120</v>
      </c>
      <c r="G113" s="149" t="s">
        <v>1171</v>
      </c>
      <c r="H113" s="31" t="s">
        <v>120</v>
      </c>
      <c r="I113" s="31"/>
      <c r="J113" s="9"/>
      <c r="K113" s="9"/>
      <c r="L113" s="9"/>
      <c r="M113" s="15"/>
      <c r="N113" s="15"/>
      <c r="O113" s="15"/>
      <c r="P113" s="15"/>
      <c r="Q113" s="15"/>
      <c r="R113" s="15"/>
      <c r="S113" s="15"/>
      <c r="T113" s="15"/>
      <c r="U113" s="15"/>
      <c r="V113" s="15"/>
      <c r="W113" s="15"/>
      <c r="X113" s="15"/>
      <c r="Y113" s="15"/>
      <c r="Z113" s="15"/>
      <c r="AA113" s="15"/>
      <c r="AB113" s="15"/>
      <c r="AC113" s="15"/>
      <c r="AD113" s="15"/>
      <c r="AE113" s="15"/>
      <c r="AF113" s="15"/>
      <c r="AG113" s="15"/>
      <c r="AH113" s="15"/>
    </row>
    <row r="114" ht="16.5" customHeight="1">
      <c r="A114" s="32" t="s">
        <v>5</v>
      </c>
      <c r="E114" s="8" t="s">
        <v>88</v>
      </c>
      <c r="F114" s="8" t="s">
        <v>544</v>
      </c>
      <c r="G114" s="149" t="s">
        <v>1172</v>
      </c>
      <c r="H114" s="162" t="s">
        <v>544</v>
      </c>
      <c r="I114" s="31"/>
      <c r="J114" s="9"/>
      <c r="K114" s="9"/>
      <c r="L114" s="9"/>
      <c r="M114" s="15"/>
      <c r="N114" s="15"/>
      <c r="O114" s="15"/>
      <c r="P114" s="15"/>
      <c r="Q114" s="15"/>
      <c r="R114" s="15"/>
      <c r="S114" s="15"/>
      <c r="T114" s="15"/>
      <c r="U114" s="15"/>
      <c r="V114" s="15"/>
      <c r="W114" s="15"/>
      <c r="X114" s="15"/>
      <c r="Y114" s="15"/>
      <c r="Z114" s="15"/>
      <c r="AA114" s="15"/>
      <c r="AB114" s="15"/>
      <c r="AC114" s="15"/>
      <c r="AD114" s="15"/>
      <c r="AE114" s="15"/>
      <c r="AF114" s="15"/>
      <c r="AG114" s="15"/>
      <c r="AH114" s="15"/>
    </row>
    <row r="115" ht="16.5" customHeight="1">
      <c r="A115" s="32" t="s">
        <v>5</v>
      </c>
      <c r="E115" s="8" t="s">
        <v>88</v>
      </c>
      <c r="F115" s="8" t="s">
        <v>247</v>
      </c>
      <c r="G115" s="69"/>
      <c r="H115" s="31"/>
      <c r="I115" s="9"/>
      <c r="J115" s="9"/>
      <c r="K115" s="9"/>
      <c r="L115" s="9"/>
      <c r="M115" s="15"/>
      <c r="N115" s="15"/>
      <c r="O115" s="15"/>
      <c r="P115" s="15"/>
      <c r="Q115" s="15"/>
      <c r="R115" s="15"/>
      <c r="S115" s="15"/>
      <c r="T115" s="15"/>
      <c r="U115" s="15"/>
      <c r="V115" s="15"/>
      <c r="W115" s="15"/>
      <c r="X115" s="15"/>
      <c r="Y115" s="15"/>
      <c r="Z115" s="15"/>
      <c r="AA115" s="15"/>
      <c r="AB115" s="15"/>
      <c r="AC115" s="15"/>
      <c r="AD115" s="15"/>
      <c r="AE115" s="15"/>
      <c r="AF115" s="15"/>
      <c r="AG115" s="15"/>
      <c r="AH115" s="15"/>
    </row>
    <row r="116" ht="16.5" customHeight="1">
      <c r="A116" s="32" t="s">
        <v>5</v>
      </c>
      <c r="E116" s="8" t="s">
        <v>88</v>
      </c>
      <c r="F116" s="8" t="s">
        <v>95</v>
      </c>
      <c r="G116" s="149" t="s">
        <v>1173</v>
      </c>
      <c r="H116" s="31" t="s">
        <v>95</v>
      </c>
      <c r="I116" s="9"/>
      <c r="J116" s="9"/>
      <c r="K116" s="9"/>
      <c r="L116" s="9"/>
      <c r="M116" s="15"/>
      <c r="N116" s="15"/>
      <c r="O116" s="15"/>
      <c r="P116" s="15"/>
      <c r="Q116" s="15"/>
      <c r="R116" s="15"/>
      <c r="S116" s="15"/>
      <c r="T116" s="15"/>
      <c r="U116" s="15"/>
      <c r="V116" s="15"/>
      <c r="W116" s="15"/>
      <c r="X116" s="15"/>
      <c r="Y116" s="15"/>
      <c r="Z116" s="15"/>
      <c r="AA116" s="15"/>
      <c r="AB116" s="15"/>
      <c r="AC116" s="15"/>
      <c r="AD116" s="15"/>
      <c r="AE116" s="15"/>
      <c r="AF116" s="15"/>
      <c r="AG116" s="15"/>
      <c r="AH116" s="15"/>
    </row>
    <row r="117" ht="16.5" customHeight="1">
      <c r="A117" s="32" t="s">
        <v>5</v>
      </c>
      <c r="E117" s="8" t="s">
        <v>88</v>
      </c>
      <c r="F117" s="8" t="s">
        <v>96</v>
      </c>
      <c r="G117" s="149" t="s">
        <v>1174</v>
      </c>
      <c r="H117" s="31" t="s">
        <v>96</v>
      </c>
      <c r="I117" s="9"/>
      <c r="J117" s="9"/>
      <c r="K117" s="9"/>
      <c r="L117" s="9"/>
      <c r="M117" s="15"/>
      <c r="N117" s="15"/>
      <c r="O117" s="15"/>
      <c r="P117" s="15"/>
      <c r="Q117" s="15"/>
      <c r="R117" s="15"/>
      <c r="S117" s="15"/>
      <c r="T117" s="15"/>
      <c r="U117" s="15"/>
      <c r="V117" s="15"/>
      <c r="W117" s="15"/>
      <c r="X117" s="15"/>
      <c r="Y117" s="15"/>
      <c r="Z117" s="15"/>
      <c r="AA117" s="15"/>
      <c r="AB117" s="15"/>
      <c r="AC117" s="15"/>
      <c r="AD117" s="15"/>
      <c r="AE117" s="15"/>
      <c r="AF117" s="15"/>
      <c r="AG117" s="15"/>
      <c r="AH117" s="15"/>
    </row>
    <row r="118" ht="16.5" customHeight="1">
      <c r="A118" s="32" t="s">
        <v>5</v>
      </c>
      <c r="E118" s="28" t="s">
        <v>86</v>
      </c>
      <c r="F118" s="8" t="s">
        <v>90</v>
      </c>
      <c r="G118" s="149" t="s">
        <v>1175</v>
      </c>
      <c r="H118" s="31" t="s">
        <v>90</v>
      </c>
      <c r="I118" s="9"/>
      <c r="J118" s="9"/>
      <c r="K118" s="9"/>
      <c r="L118" s="9"/>
      <c r="M118" s="15"/>
      <c r="N118" s="15"/>
      <c r="O118" s="15"/>
      <c r="P118" s="15"/>
      <c r="Q118" s="15"/>
      <c r="R118" s="15"/>
      <c r="S118" s="15"/>
      <c r="T118" s="15"/>
      <c r="U118" s="15"/>
      <c r="V118" s="15"/>
      <c r="W118" s="15"/>
      <c r="X118" s="15"/>
      <c r="Y118" s="15"/>
      <c r="Z118" s="15"/>
      <c r="AA118" s="15"/>
      <c r="AB118" s="15"/>
      <c r="AC118" s="15"/>
      <c r="AD118" s="15"/>
      <c r="AE118" s="15"/>
      <c r="AF118" s="15"/>
      <c r="AG118" s="15"/>
      <c r="AH118" s="15"/>
    </row>
    <row r="119" ht="16.5" customHeight="1">
      <c r="A119" s="32" t="s">
        <v>5</v>
      </c>
      <c r="E119" s="28" t="s">
        <v>86</v>
      </c>
      <c r="F119" s="38" t="s">
        <v>91</v>
      </c>
      <c r="G119" s="149" t="s">
        <v>1176</v>
      </c>
      <c r="H119" s="150" t="s">
        <v>91</v>
      </c>
      <c r="I119" s="9"/>
      <c r="J119" s="9"/>
      <c r="K119" s="9"/>
      <c r="L119" s="9"/>
      <c r="M119" s="15"/>
      <c r="N119" s="15"/>
      <c r="O119" s="15"/>
      <c r="P119" s="15"/>
      <c r="Q119" s="15"/>
      <c r="R119" s="15"/>
      <c r="S119" s="15"/>
      <c r="T119" s="15"/>
      <c r="U119" s="15"/>
      <c r="V119" s="15"/>
      <c r="W119" s="15"/>
      <c r="X119" s="15"/>
      <c r="Y119" s="15"/>
      <c r="Z119" s="15"/>
      <c r="AA119" s="15"/>
      <c r="AB119" s="15"/>
      <c r="AC119" s="15"/>
      <c r="AD119" s="15"/>
      <c r="AE119" s="15"/>
      <c r="AF119" s="15"/>
      <c r="AG119" s="15"/>
      <c r="AH119" s="15"/>
    </row>
    <row r="120" ht="16.5" customHeight="1">
      <c r="A120" s="32" t="s">
        <v>5</v>
      </c>
      <c r="E120" s="28" t="s">
        <v>86</v>
      </c>
      <c r="F120" s="38" t="s">
        <v>338</v>
      </c>
      <c r="G120" s="149" t="s">
        <v>1177</v>
      </c>
      <c r="H120" s="150" t="s">
        <v>338</v>
      </c>
      <c r="I120" s="9"/>
      <c r="J120" s="9"/>
      <c r="K120" s="9"/>
      <c r="L120" s="9"/>
      <c r="M120" s="15"/>
      <c r="N120" s="15"/>
      <c r="O120" s="15"/>
      <c r="P120" s="15"/>
      <c r="Q120" s="15"/>
      <c r="R120" s="15"/>
      <c r="S120" s="15"/>
      <c r="T120" s="15"/>
      <c r="U120" s="15"/>
      <c r="V120" s="15"/>
      <c r="W120" s="15"/>
      <c r="X120" s="15"/>
      <c r="Y120" s="15"/>
      <c r="Z120" s="15"/>
      <c r="AA120" s="15"/>
      <c r="AB120" s="15"/>
      <c r="AC120" s="15"/>
      <c r="AD120" s="15"/>
      <c r="AE120" s="15"/>
      <c r="AF120" s="15"/>
      <c r="AG120" s="15"/>
      <c r="AH120" s="15"/>
    </row>
    <row r="121" ht="16.5" customHeight="1">
      <c r="A121" s="32" t="s">
        <v>5</v>
      </c>
      <c r="E121" s="28" t="s">
        <v>88</v>
      </c>
      <c r="F121" s="28" t="s">
        <v>89</v>
      </c>
      <c r="G121" s="69"/>
      <c r="H121" s="31"/>
      <c r="I121" s="9"/>
      <c r="J121" s="9"/>
      <c r="K121" s="9"/>
      <c r="L121" s="9"/>
      <c r="M121" s="15"/>
      <c r="N121" s="15"/>
      <c r="O121" s="15"/>
      <c r="P121" s="15"/>
      <c r="Q121" s="15"/>
      <c r="R121" s="15"/>
      <c r="S121" s="15"/>
      <c r="T121" s="15"/>
      <c r="U121" s="15"/>
      <c r="V121" s="15"/>
      <c r="W121" s="15"/>
      <c r="X121" s="15"/>
      <c r="Y121" s="15"/>
      <c r="Z121" s="15"/>
      <c r="AA121" s="15"/>
      <c r="AB121" s="15"/>
      <c r="AC121" s="15"/>
      <c r="AD121" s="15"/>
      <c r="AE121" s="15"/>
      <c r="AF121" s="15"/>
      <c r="AG121" s="15"/>
      <c r="AH121" s="15"/>
    </row>
    <row r="122" ht="16.5" customHeight="1">
      <c r="A122" s="32" t="s">
        <v>5</v>
      </c>
      <c r="E122" s="8" t="s">
        <v>88</v>
      </c>
      <c r="F122" s="8" t="s">
        <v>795</v>
      </c>
      <c r="G122" s="69"/>
      <c r="H122" s="31"/>
      <c r="I122" s="31"/>
      <c r="J122" s="9"/>
      <c r="K122" s="9"/>
      <c r="L122" s="9"/>
      <c r="M122" s="15"/>
      <c r="N122" s="15"/>
      <c r="O122" s="15"/>
      <c r="P122" s="15"/>
      <c r="Q122" s="15"/>
      <c r="R122" s="15"/>
      <c r="S122" s="15"/>
      <c r="T122" s="15"/>
      <c r="U122" s="15"/>
      <c r="V122" s="15"/>
      <c r="W122" s="15"/>
      <c r="X122" s="15"/>
      <c r="Y122" s="15"/>
      <c r="Z122" s="15"/>
      <c r="AA122" s="15"/>
      <c r="AB122" s="15"/>
      <c r="AC122" s="15"/>
      <c r="AD122" s="15"/>
      <c r="AE122" s="15"/>
      <c r="AF122" s="15"/>
      <c r="AG122" s="15"/>
      <c r="AH122" s="15"/>
    </row>
    <row r="123" ht="16.5" customHeight="1">
      <c r="A123" s="32" t="s">
        <v>5</v>
      </c>
      <c r="B123" s="56" t="s">
        <v>1178</v>
      </c>
      <c r="C123" s="160" t="s">
        <v>1179</v>
      </c>
      <c r="D123" s="160" t="s">
        <v>42</v>
      </c>
      <c r="E123" s="8" t="s">
        <v>172</v>
      </c>
      <c r="F123" s="8" t="s">
        <v>194</v>
      </c>
      <c r="G123" s="149" t="s">
        <v>1180</v>
      </c>
      <c r="H123" s="31" t="s">
        <v>194</v>
      </c>
      <c r="I123" s="9"/>
      <c r="J123" s="9"/>
      <c r="K123" s="9"/>
      <c r="L123" s="9"/>
      <c r="M123" s="15"/>
      <c r="N123" s="15"/>
      <c r="O123" s="15"/>
      <c r="P123" s="15"/>
      <c r="Q123" s="15"/>
      <c r="R123" s="15"/>
      <c r="S123" s="15"/>
      <c r="T123" s="15"/>
      <c r="U123" s="15"/>
      <c r="V123" s="15"/>
      <c r="W123" s="15"/>
      <c r="X123" s="15"/>
      <c r="Y123" s="15"/>
      <c r="Z123" s="15"/>
      <c r="AA123" s="15"/>
      <c r="AB123" s="15"/>
      <c r="AC123" s="15"/>
      <c r="AD123" s="15"/>
      <c r="AE123" s="15"/>
      <c r="AF123" s="15"/>
      <c r="AG123" s="15"/>
      <c r="AH123" s="15"/>
    </row>
    <row r="124" ht="16.5" customHeight="1">
      <c r="A124" s="32" t="s">
        <v>5</v>
      </c>
      <c r="E124" s="8" t="s">
        <v>172</v>
      </c>
      <c r="F124" s="8" t="s">
        <v>195</v>
      </c>
      <c r="G124" s="149" t="s">
        <v>1181</v>
      </c>
      <c r="H124" s="31" t="s">
        <v>195</v>
      </c>
      <c r="I124" s="9"/>
      <c r="J124" s="9"/>
      <c r="K124" s="9"/>
      <c r="L124" s="9"/>
      <c r="M124" s="15"/>
      <c r="N124" s="15"/>
      <c r="O124" s="15"/>
      <c r="P124" s="15"/>
      <c r="Q124" s="15"/>
      <c r="R124" s="15"/>
      <c r="S124" s="15"/>
      <c r="T124" s="15"/>
      <c r="U124" s="15"/>
      <c r="V124" s="15"/>
      <c r="W124" s="15"/>
      <c r="X124" s="15"/>
      <c r="Y124" s="15"/>
      <c r="Z124" s="15"/>
      <c r="AA124" s="15"/>
      <c r="AB124" s="15"/>
      <c r="AC124" s="15"/>
      <c r="AD124" s="15"/>
      <c r="AE124" s="15"/>
      <c r="AF124" s="15"/>
      <c r="AG124" s="15"/>
      <c r="AH124" s="15"/>
    </row>
    <row r="125" ht="16.5" customHeight="1">
      <c r="A125" s="32" t="s">
        <v>5</v>
      </c>
      <c r="E125" s="8" t="s">
        <v>88</v>
      </c>
      <c r="F125" s="8" t="s">
        <v>154</v>
      </c>
      <c r="G125" s="149" t="s">
        <v>1182</v>
      </c>
      <c r="H125" s="31" t="s">
        <v>154</v>
      </c>
      <c r="I125" s="9"/>
      <c r="J125" s="9"/>
      <c r="K125" s="9"/>
      <c r="L125" s="9"/>
      <c r="M125" s="15"/>
      <c r="N125" s="15"/>
      <c r="O125" s="15"/>
      <c r="P125" s="15"/>
      <c r="Q125" s="15"/>
      <c r="R125" s="15"/>
      <c r="S125" s="15"/>
      <c r="T125" s="15"/>
      <c r="U125" s="15"/>
      <c r="V125" s="15"/>
      <c r="W125" s="15"/>
      <c r="X125" s="15"/>
      <c r="Y125" s="15"/>
      <c r="Z125" s="15"/>
      <c r="AA125" s="15"/>
      <c r="AB125" s="15"/>
      <c r="AC125" s="15"/>
      <c r="AD125" s="15"/>
      <c r="AE125" s="15"/>
      <c r="AF125" s="15"/>
      <c r="AG125" s="15"/>
      <c r="AH125" s="15"/>
    </row>
    <row r="126" ht="16.5" customHeight="1">
      <c r="A126" s="32" t="s">
        <v>5</v>
      </c>
      <c r="E126" s="8" t="s">
        <v>21</v>
      </c>
      <c r="F126" s="8" t="s">
        <v>51</v>
      </c>
      <c r="G126" s="149" t="s">
        <v>1183</v>
      </c>
      <c r="H126" s="31" t="s">
        <v>51</v>
      </c>
      <c r="I126" s="9"/>
      <c r="J126" s="9"/>
      <c r="K126" s="9"/>
      <c r="L126" s="9"/>
      <c r="M126" s="15"/>
      <c r="N126" s="15"/>
      <c r="O126" s="15"/>
      <c r="P126" s="15"/>
      <c r="Q126" s="15"/>
      <c r="R126" s="15"/>
      <c r="S126" s="15"/>
      <c r="T126" s="15"/>
      <c r="U126" s="15"/>
      <c r="V126" s="15"/>
      <c r="W126" s="15"/>
      <c r="X126" s="15"/>
      <c r="Y126" s="15"/>
      <c r="Z126" s="15"/>
      <c r="AA126" s="15"/>
      <c r="AB126" s="15"/>
      <c r="AC126" s="15"/>
      <c r="AD126" s="15"/>
      <c r="AE126" s="15"/>
      <c r="AF126" s="15"/>
      <c r="AG126" s="15"/>
      <c r="AH126" s="15"/>
    </row>
    <row r="127" ht="16.5" customHeight="1">
      <c r="A127" s="32" t="s">
        <v>5</v>
      </c>
      <c r="E127" s="28" t="s">
        <v>88</v>
      </c>
      <c r="F127" s="8" t="s">
        <v>120</v>
      </c>
      <c r="G127" s="149" t="s">
        <v>1184</v>
      </c>
      <c r="H127" s="31" t="s">
        <v>120</v>
      </c>
      <c r="I127" s="9"/>
      <c r="J127" s="9"/>
      <c r="K127" s="9"/>
      <c r="L127" s="9"/>
      <c r="M127" s="15"/>
      <c r="N127" s="15"/>
      <c r="O127" s="15"/>
      <c r="P127" s="15"/>
      <c r="Q127" s="15"/>
      <c r="R127" s="15"/>
      <c r="S127" s="15"/>
      <c r="T127" s="15"/>
      <c r="U127" s="15"/>
      <c r="V127" s="15"/>
      <c r="W127" s="15"/>
      <c r="X127" s="15"/>
      <c r="Y127" s="15"/>
      <c r="Z127" s="15"/>
      <c r="AA127" s="15"/>
      <c r="AB127" s="15"/>
      <c r="AC127" s="15"/>
      <c r="AD127" s="15"/>
      <c r="AE127" s="15"/>
      <c r="AF127" s="15"/>
      <c r="AG127" s="15"/>
      <c r="AH127" s="15"/>
    </row>
    <row r="128" ht="16.5" customHeight="1">
      <c r="A128" s="32" t="s">
        <v>5</v>
      </c>
      <c r="E128" s="28" t="s">
        <v>88</v>
      </c>
      <c r="F128" s="38" t="s">
        <v>544</v>
      </c>
      <c r="G128" s="149" t="s">
        <v>1185</v>
      </c>
      <c r="H128" s="150" t="s">
        <v>544</v>
      </c>
      <c r="I128" s="9"/>
      <c r="J128" s="9"/>
      <c r="K128" s="9"/>
      <c r="L128" s="9"/>
      <c r="M128" s="15"/>
      <c r="N128" s="15"/>
      <c r="O128" s="15"/>
      <c r="P128" s="15"/>
      <c r="Q128" s="15"/>
      <c r="R128" s="15"/>
      <c r="S128" s="15"/>
      <c r="T128" s="15"/>
      <c r="U128" s="15"/>
      <c r="V128" s="15"/>
      <c r="W128" s="15"/>
      <c r="X128" s="15"/>
      <c r="Y128" s="15"/>
      <c r="Z128" s="15"/>
      <c r="AA128" s="15"/>
      <c r="AB128" s="15"/>
      <c r="AC128" s="15"/>
      <c r="AD128" s="15"/>
      <c r="AE128" s="15"/>
      <c r="AF128" s="15"/>
      <c r="AG128" s="15"/>
      <c r="AH128" s="15"/>
    </row>
    <row r="129" ht="16.5" customHeight="1">
      <c r="A129" s="32" t="s">
        <v>5</v>
      </c>
      <c r="E129" s="28" t="s">
        <v>88</v>
      </c>
      <c r="F129" s="28" t="s">
        <v>247</v>
      </c>
      <c r="G129" s="69"/>
      <c r="H129" s="31"/>
      <c r="I129" s="9"/>
      <c r="J129" s="9"/>
      <c r="K129" s="9"/>
      <c r="L129" s="9"/>
      <c r="M129" s="15"/>
      <c r="N129" s="15"/>
      <c r="O129" s="15"/>
      <c r="P129" s="15"/>
      <c r="Q129" s="15"/>
      <c r="R129" s="15"/>
      <c r="S129" s="15"/>
      <c r="T129" s="15"/>
      <c r="U129" s="15"/>
      <c r="V129" s="15"/>
      <c r="W129" s="15"/>
      <c r="X129" s="15"/>
      <c r="Y129" s="15"/>
      <c r="Z129" s="15"/>
      <c r="AA129" s="15"/>
      <c r="AB129" s="15"/>
      <c r="AC129" s="15"/>
      <c r="AD129" s="15"/>
      <c r="AE129" s="15"/>
      <c r="AF129" s="15"/>
      <c r="AG129" s="15"/>
      <c r="AH129" s="15"/>
    </row>
    <row r="130" ht="16.5" customHeight="1">
      <c r="A130" s="32" t="s">
        <v>5</v>
      </c>
      <c r="E130" s="8" t="s">
        <v>88</v>
      </c>
      <c r="F130" s="8" t="s">
        <v>95</v>
      </c>
      <c r="G130" s="149" t="s">
        <v>1186</v>
      </c>
      <c r="H130" s="31" t="s">
        <v>95</v>
      </c>
      <c r="I130" s="31"/>
      <c r="J130" s="9"/>
      <c r="K130" s="9"/>
      <c r="L130" s="9"/>
      <c r="M130" s="15"/>
      <c r="N130" s="15"/>
      <c r="O130" s="15"/>
      <c r="P130" s="15"/>
      <c r="Q130" s="15"/>
      <c r="R130" s="15"/>
      <c r="S130" s="15"/>
      <c r="T130" s="15"/>
      <c r="U130" s="15"/>
      <c r="V130" s="15"/>
      <c r="W130" s="15"/>
      <c r="X130" s="15"/>
      <c r="Y130" s="15"/>
      <c r="Z130" s="15"/>
      <c r="AA130" s="15"/>
      <c r="AB130" s="15"/>
      <c r="AC130" s="15"/>
      <c r="AD130" s="15"/>
      <c r="AE130" s="15"/>
      <c r="AF130" s="15"/>
      <c r="AG130" s="15"/>
      <c r="AH130" s="15"/>
    </row>
    <row r="131" ht="16.5" customHeight="1">
      <c r="A131" s="32" t="s">
        <v>5</v>
      </c>
      <c r="E131" s="8" t="s">
        <v>88</v>
      </c>
      <c r="F131" s="8" t="s">
        <v>96</v>
      </c>
      <c r="G131" s="149" t="s">
        <v>1187</v>
      </c>
      <c r="H131" s="31" t="s">
        <v>96</v>
      </c>
      <c r="I131" s="31"/>
      <c r="J131" s="9"/>
      <c r="K131" s="9"/>
      <c r="L131" s="9"/>
      <c r="M131" s="15"/>
      <c r="N131" s="15"/>
      <c r="O131" s="15"/>
      <c r="P131" s="15"/>
      <c r="Q131" s="15"/>
      <c r="R131" s="15"/>
      <c r="S131" s="15"/>
      <c r="T131" s="15"/>
      <c r="U131" s="15"/>
      <c r="V131" s="15"/>
      <c r="W131" s="15"/>
      <c r="X131" s="15"/>
      <c r="Y131" s="15"/>
      <c r="Z131" s="15"/>
      <c r="AA131" s="15"/>
      <c r="AB131" s="15"/>
      <c r="AC131" s="15"/>
      <c r="AD131" s="15"/>
      <c r="AE131" s="15"/>
      <c r="AF131" s="15"/>
      <c r="AG131" s="15"/>
      <c r="AH131" s="15"/>
    </row>
    <row r="132" ht="16.5" customHeight="1">
      <c r="A132" s="32" t="s">
        <v>5</v>
      </c>
      <c r="E132" s="8" t="s">
        <v>86</v>
      </c>
      <c r="F132" s="8" t="s">
        <v>90</v>
      </c>
      <c r="G132" s="149" t="s">
        <v>1188</v>
      </c>
      <c r="H132" s="31" t="s">
        <v>90</v>
      </c>
      <c r="I132" s="31"/>
      <c r="J132" s="9"/>
      <c r="K132" s="9"/>
      <c r="L132" s="9"/>
      <c r="M132" s="15"/>
      <c r="N132" s="15"/>
      <c r="O132" s="15"/>
      <c r="P132" s="15"/>
      <c r="Q132" s="15"/>
      <c r="R132" s="15"/>
      <c r="S132" s="15"/>
      <c r="T132" s="15"/>
      <c r="U132" s="15"/>
      <c r="V132" s="15"/>
      <c r="W132" s="15"/>
      <c r="X132" s="15"/>
      <c r="Y132" s="15"/>
      <c r="Z132" s="15"/>
      <c r="AA132" s="15"/>
      <c r="AB132" s="15"/>
      <c r="AC132" s="15"/>
      <c r="AD132" s="15"/>
      <c r="AE132" s="15"/>
      <c r="AF132" s="15"/>
      <c r="AG132" s="15"/>
      <c r="AH132" s="15"/>
    </row>
    <row r="133" ht="16.5" customHeight="1">
      <c r="A133" s="32" t="s">
        <v>5</v>
      </c>
      <c r="E133" s="8" t="s">
        <v>86</v>
      </c>
      <c r="F133" s="8" t="s">
        <v>91</v>
      </c>
      <c r="G133" s="149" t="s">
        <v>1189</v>
      </c>
      <c r="H133" s="31" t="s">
        <v>91</v>
      </c>
      <c r="I133" s="9"/>
      <c r="J133" s="9"/>
      <c r="K133" s="9"/>
      <c r="L133" s="9"/>
      <c r="M133" s="15"/>
      <c r="N133" s="15"/>
      <c r="O133" s="15"/>
      <c r="P133" s="15"/>
      <c r="Q133" s="15"/>
      <c r="R133" s="15"/>
      <c r="S133" s="15"/>
      <c r="T133" s="15"/>
      <c r="U133" s="15"/>
      <c r="V133" s="15"/>
      <c r="W133" s="15"/>
      <c r="X133" s="15"/>
      <c r="Y133" s="15"/>
      <c r="Z133" s="15"/>
      <c r="AA133" s="15"/>
      <c r="AB133" s="15"/>
      <c r="AC133" s="15"/>
      <c r="AD133" s="15"/>
      <c r="AE133" s="15"/>
      <c r="AF133" s="15"/>
      <c r="AG133" s="15"/>
      <c r="AH133" s="15"/>
    </row>
    <row r="134" ht="16.5" customHeight="1">
      <c r="A134" s="32" t="s">
        <v>5</v>
      </c>
      <c r="E134" s="8" t="s">
        <v>86</v>
      </c>
      <c r="F134" s="8" t="s">
        <v>338</v>
      </c>
      <c r="G134" s="149" t="s">
        <v>1190</v>
      </c>
      <c r="H134" s="31" t="s">
        <v>338</v>
      </c>
      <c r="I134" s="9"/>
      <c r="J134" s="9"/>
      <c r="K134" s="9"/>
      <c r="L134" s="9"/>
      <c r="M134" s="15"/>
      <c r="N134" s="15"/>
      <c r="O134" s="15"/>
      <c r="P134" s="15"/>
      <c r="Q134" s="15"/>
      <c r="R134" s="15"/>
      <c r="S134" s="15"/>
      <c r="T134" s="15"/>
      <c r="U134" s="15"/>
      <c r="V134" s="15"/>
      <c r="W134" s="15"/>
      <c r="X134" s="15"/>
      <c r="Y134" s="15"/>
      <c r="Z134" s="15"/>
      <c r="AA134" s="15"/>
      <c r="AB134" s="15"/>
      <c r="AC134" s="15"/>
      <c r="AD134" s="15"/>
      <c r="AE134" s="15"/>
      <c r="AF134" s="15"/>
      <c r="AG134" s="15"/>
      <c r="AH134" s="15"/>
    </row>
    <row r="135" ht="16.5" customHeight="1">
      <c r="A135" s="32" t="s">
        <v>5</v>
      </c>
      <c r="E135" s="8" t="s">
        <v>88</v>
      </c>
      <c r="F135" s="8" t="s">
        <v>89</v>
      </c>
      <c r="G135" s="69"/>
      <c r="H135" s="31"/>
      <c r="I135" s="9"/>
      <c r="J135" s="9"/>
      <c r="K135" s="9"/>
      <c r="L135" s="9"/>
      <c r="M135" s="15"/>
      <c r="N135" s="15"/>
      <c r="O135" s="15"/>
      <c r="P135" s="15"/>
      <c r="Q135" s="15"/>
      <c r="R135" s="15"/>
      <c r="S135" s="15"/>
      <c r="T135" s="15"/>
      <c r="U135" s="15"/>
      <c r="V135" s="15"/>
      <c r="W135" s="15"/>
      <c r="X135" s="15"/>
      <c r="Y135" s="15"/>
      <c r="Z135" s="15"/>
      <c r="AA135" s="15"/>
      <c r="AB135" s="15"/>
      <c r="AC135" s="15"/>
      <c r="AD135" s="15"/>
      <c r="AE135" s="15"/>
      <c r="AF135" s="15"/>
      <c r="AG135" s="15"/>
      <c r="AH135" s="15"/>
    </row>
    <row r="136" ht="16.5" customHeight="1">
      <c r="A136" s="32" t="s">
        <v>5</v>
      </c>
      <c r="E136" s="28" t="s">
        <v>88</v>
      </c>
      <c r="F136" s="8" t="s">
        <v>795</v>
      </c>
      <c r="G136" s="69"/>
      <c r="H136" s="31"/>
      <c r="I136" s="9"/>
      <c r="J136" s="9"/>
      <c r="K136" s="9"/>
      <c r="L136" s="9"/>
      <c r="M136" s="15"/>
      <c r="N136" s="15"/>
      <c r="O136" s="15"/>
      <c r="P136" s="15"/>
      <c r="Q136" s="15"/>
      <c r="R136" s="15"/>
      <c r="S136" s="15"/>
      <c r="T136" s="15"/>
      <c r="U136" s="15"/>
      <c r="V136" s="15"/>
      <c r="W136" s="15"/>
      <c r="X136" s="15"/>
      <c r="Y136" s="15"/>
      <c r="Z136" s="15"/>
      <c r="AA136" s="15"/>
      <c r="AB136" s="15"/>
      <c r="AC136" s="15"/>
      <c r="AD136" s="15"/>
      <c r="AE136" s="15"/>
      <c r="AF136" s="15"/>
      <c r="AG136" s="15"/>
      <c r="AH136" s="15"/>
    </row>
    <row r="137" ht="16.5" customHeight="1">
      <c r="A137" s="32" t="s">
        <v>5</v>
      </c>
      <c r="B137" s="56" t="s">
        <v>1191</v>
      </c>
      <c r="C137" s="161" t="s">
        <v>1192</v>
      </c>
      <c r="D137" s="83" t="s">
        <v>42</v>
      </c>
      <c r="E137" s="28" t="s">
        <v>172</v>
      </c>
      <c r="F137" s="38" t="s">
        <v>194</v>
      </c>
      <c r="G137" s="149" t="s">
        <v>1193</v>
      </c>
      <c r="H137" s="150" t="s">
        <v>194</v>
      </c>
      <c r="I137" s="9"/>
      <c r="J137" s="9"/>
      <c r="K137" s="9"/>
      <c r="L137" s="9"/>
      <c r="M137" s="15"/>
      <c r="N137" s="15"/>
      <c r="O137" s="15"/>
      <c r="P137" s="15"/>
      <c r="Q137" s="15"/>
      <c r="R137" s="15"/>
      <c r="S137" s="15"/>
      <c r="T137" s="15"/>
      <c r="U137" s="15"/>
      <c r="V137" s="15"/>
      <c r="W137" s="15"/>
      <c r="X137" s="15"/>
      <c r="Y137" s="15"/>
      <c r="Z137" s="15"/>
      <c r="AA137" s="15"/>
      <c r="AB137" s="15"/>
      <c r="AC137" s="15"/>
      <c r="AD137" s="15"/>
      <c r="AE137" s="15"/>
      <c r="AF137" s="15"/>
      <c r="AG137" s="15"/>
      <c r="AH137" s="15"/>
    </row>
    <row r="138" ht="16.5" customHeight="1">
      <c r="A138" s="32" t="s">
        <v>5</v>
      </c>
      <c r="E138" s="28" t="s">
        <v>172</v>
      </c>
      <c r="F138" s="38" t="s">
        <v>195</v>
      </c>
      <c r="G138" s="149" t="s">
        <v>1194</v>
      </c>
      <c r="H138" s="150" t="s">
        <v>195</v>
      </c>
      <c r="I138" s="9"/>
      <c r="J138" s="9"/>
      <c r="K138" s="9"/>
      <c r="L138" s="9"/>
      <c r="M138" s="15"/>
      <c r="N138" s="15"/>
      <c r="O138" s="15"/>
      <c r="P138" s="15"/>
      <c r="Q138" s="15"/>
      <c r="R138" s="15"/>
      <c r="S138" s="15"/>
      <c r="T138" s="15"/>
      <c r="U138" s="15"/>
      <c r="V138" s="15"/>
      <c r="W138" s="15"/>
      <c r="X138" s="15"/>
      <c r="Y138" s="15"/>
      <c r="Z138" s="15"/>
      <c r="AA138" s="15"/>
      <c r="AB138" s="15"/>
      <c r="AC138" s="15"/>
      <c r="AD138" s="15"/>
      <c r="AE138" s="15"/>
      <c r="AF138" s="15"/>
      <c r="AG138" s="15"/>
      <c r="AH138" s="15"/>
    </row>
    <row r="139" ht="16.5" customHeight="1">
      <c r="A139" s="32" t="s">
        <v>5</v>
      </c>
      <c r="E139" s="28" t="s">
        <v>88</v>
      </c>
      <c r="F139" s="38" t="s">
        <v>154</v>
      </c>
      <c r="G139" s="149" t="s">
        <v>1195</v>
      </c>
      <c r="H139" s="150" t="s">
        <v>154</v>
      </c>
      <c r="I139" s="9"/>
      <c r="J139" s="9"/>
      <c r="K139" s="9"/>
      <c r="L139" s="9"/>
      <c r="M139" s="15"/>
      <c r="N139" s="15"/>
      <c r="O139" s="15"/>
      <c r="P139" s="15"/>
      <c r="Q139" s="15"/>
      <c r="R139" s="15"/>
      <c r="S139" s="15"/>
      <c r="T139" s="15"/>
      <c r="U139" s="15"/>
      <c r="V139" s="15"/>
      <c r="W139" s="15"/>
      <c r="X139" s="15"/>
      <c r="Y139" s="15"/>
      <c r="Z139" s="15"/>
      <c r="AA139" s="15"/>
      <c r="AB139" s="15"/>
      <c r="AC139" s="15"/>
      <c r="AD139" s="15"/>
      <c r="AE139" s="15"/>
      <c r="AF139" s="15"/>
      <c r="AG139" s="15"/>
      <c r="AH139" s="15"/>
    </row>
    <row r="140" ht="16.5" customHeight="1">
      <c r="A140" s="32" t="s">
        <v>5</v>
      </c>
      <c r="E140" s="28" t="s">
        <v>21</v>
      </c>
      <c r="F140" s="28" t="s">
        <v>51</v>
      </c>
      <c r="G140" s="149" t="s">
        <v>1196</v>
      </c>
      <c r="H140" s="150" t="s">
        <v>51</v>
      </c>
      <c r="I140" s="9"/>
      <c r="J140" s="9"/>
      <c r="K140" s="9"/>
      <c r="L140" s="9"/>
      <c r="M140" s="15"/>
      <c r="N140" s="15"/>
      <c r="O140" s="15"/>
      <c r="P140" s="15"/>
      <c r="Q140" s="15"/>
      <c r="R140" s="15"/>
      <c r="S140" s="15"/>
      <c r="T140" s="15"/>
      <c r="U140" s="15"/>
      <c r="V140" s="15"/>
      <c r="W140" s="15"/>
      <c r="X140" s="15"/>
      <c r="Y140" s="15"/>
      <c r="Z140" s="15"/>
      <c r="AA140" s="15"/>
      <c r="AB140" s="15"/>
      <c r="AC140" s="15"/>
      <c r="AD140" s="15"/>
      <c r="AE140" s="15"/>
      <c r="AF140" s="15"/>
      <c r="AG140" s="15"/>
      <c r="AH140" s="15"/>
    </row>
    <row r="141" ht="16.5" customHeight="1">
      <c r="A141" s="32" t="s">
        <v>5</v>
      </c>
      <c r="E141" s="8" t="s">
        <v>88</v>
      </c>
      <c r="F141" s="8" t="s">
        <v>120</v>
      </c>
      <c r="G141" s="149" t="s">
        <v>1197</v>
      </c>
      <c r="H141" s="31" t="s">
        <v>120</v>
      </c>
      <c r="I141" s="9"/>
      <c r="J141" s="9"/>
      <c r="K141" s="9"/>
      <c r="L141" s="9"/>
      <c r="M141" s="15"/>
      <c r="N141" s="15"/>
      <c r="O141" s="15"/>
      <c r="P141" s="15"/>
      <c r="Q141" s="15"/>
      <c r="R141" s="15"/>
      <c r="S141" s="15"/>
      <c r="T141" s="15"/>
      <c r="U141" s="15"/>
      <c r="V141" s="15"/>
      <c r="W141" s="15"/>
      <c r="X141" s="15"/>
      <c r="Y141" s="15"/>
      <c r="Z141" s="15"/>
      <c r="AA141" s="15"/>
      <c r="AB141" s="15"/>
      <c r="AC141" s="15"/>
      <c r="AD141" s="15"/>
      <c r="AE141" s="15"/>
      <c r="AF141" s="15"/>
      <c r="AG141" s="15"/>
      <c r="AH141" s="15"/>
    </row>
    <row r="142" ht="16.5" customHeight="1">
      <c r="A142" s="32" t="s">
        <v>5</v>
      </c>
      <c r="E142" s="8" t="s">
        <v>88</v>
      </c>
      <c r="F142" s="8" t="s">
        <v>544</v>
      </c>
      <c r="G142" s="149" t="s">
        <v>1198</v>
      </c>
      <c r="H142" s="31" t="s">
        <v>544</v>
      </c>
      <c r="I142" s="9"/>
      <c r="J142" s="9"/>
      <c r="K142" s="9"/>
      <c r="L142" s="9"/>
      <c r="M142" s="15"/>
      <c r="N142" s="15"/>
      <c r="O142" s="15"/>
      <c r="P142" s="15"/>
      <c r="Q142" s="15"/>
      <c r="R142" s="15"/>
      <c r="S142" s="15"/>
      <c r="T142" s="15"/>
      <c r="U142" s="15"/>
      <c r="V142" s="15"/>
      <c r="W142" s="15"/>
      <c r="X142" s="15"/>
      <c r="Y142" s="15"/>
      <c r="Z142" s="15"/>
      <c r="AA142" s="15"/>
      <c r="AB142" s="15"/>
      <c r="AC142" s="15"/>
      <c r="AD142" s="15"/>
      <c r="AE142" s="15"/>
      <c r="AF142" s="15"/>
      <c r="AG142" s="15"/>
      <c r="AH142" s="15"/>
    </row>
    <row r="143" ht="16.5" customHeight="1">
      <c r="A143" s="32" t="s">
        <v>5</v>
      </c>
      <c r="E143" s="8" t="s">
        <v>88</v>
      </c>
      <c r="F143" s="8" t="s">
        <v>247</v>
      </c>
      <c r="G143" s="69"/>
      <c r="H143" s="31"/>
      <c r="I143" s="9"/>
      <c r="J143" s="9"/>
      <c r="K143" s="9"/>
      <c r="L143" s="9"/>
      <c r="M143" s="15"/>
      <c r="N143" s="15"/>
      <c r="O143" s="15"/>
      <c r="P143" s="15"/>
      <c r="Q143" s="15"/>
      <c r="R143" s="15"/>
      <c r="S143" s="15"/>
      <c r="T143" s="15"/>
      <c r="U143" s="15"/>
      <c r="V143" s="15"/>
      <c r="W143" s="15"/>
      <c r="X143" s="15"/>
      <c r="Y143" s="15"/>
      <c r="Z143" s="15"/>
      <c r="AA143" s="15"/>
      <c r="AB143" s="15"/>
      <c r="AC143" s="15"/>
      <c r="AD143" s="15"/>
      <c r="AE143" s="15"/>
      <c r="AF143" s="15"/>
      <c r="AG143" s="15"/>
      <c r="AH143" s="15"/>
    </row>
    <row r="144" ht="16.5" customHeight="1">
      <c r="A144" s="32" t="s">
        <v>5</v>
      </c>
      <c r="E144" s="8" t="s">
        <v>88</v>
      </c>
      <c r="F144" s="8" t="s">
        <v>95</v>
      </c>
      <c r="G144" s="149" t="s">
        <v>1199</v>
      </c>
      <c r="H144" s="31" t="s">
        <v>95</v>
      </c>
      <c r="I144" s="9"/>
      <c r="J144" s="9"/>
      <c r="K144" s="9"/>
      <c r="L144" s="9"/>
      <c r="M144" s="15"/>
      <c r="N144" s="15"/>
      <c r="O144" s="15"/>
      <c r="P144" s="15"/>
      <c r="Q144" s="15"/>
      <c r="R144" s="15"/>
      <c r="S144" s="15"/>
      <c r="T144" s="15"/>
      <c r="U144" s="15"/>
      <c r="V144" s="15"/>
      <c r="W144" s="15"/>
      <c r="X144" s="15"/>
      <c r="Y144" s="15"/>
      <c r="Z144" s="15"/>
      <c r="AA144" s="15"/>
      <c r="AB144" s="15"/>
      <c r="AC144" s="15"/>
      <c r="AD144" s="15"/>
      <c r="AE144" s="15"/>
      <c r="AF144" s="15"/>
      <c r="AG144" s="15"/>
      <c r="AH144" s="15"/>
    </row>
    <row r="145" ht="16.5" customHeight="1">
      <c r="A145" s="32" t="s">
        <v>5</v>
      </c>
      <c r="E145" s="8" t="s">
        <v>88</v>
      </c>
      <c r="F145" s="8" t="s">
        <v>96</v>
      </c>
      <c r="G145" s="149" t="s">
        <v>1200</v>
      </c>
      <c r="H145" s="31" t="s">
        <v>96</v>
      </c>
      <c r="I145" s="9"/>
      <c r="J145" s="9"/>
      <c r="K145" s="9"/>
      <c r="L145" s="9"/>
      <c r="M145" s="15"/>
      <c r="N145" s="15"/>
      <c r="O145" s="15"/>
      <c r="P145" s="15"/>
      <c r="Q145" s="15"/>
      <c r="R145" s="15"/>
      <c r="S145" s="15"/>
      <c r="T145" s="15"/>
      <c r="U145" s="15"/>
      <c r="V145" s="15"/>
      <c r="W145" s="15"/>
      <c r="X145" s="15"/>
      <c r="Y145" s="15"/>
      <c r="Z145" s="15"/>
      <c r="AA145" s="15"/>
      <c r="AB145" s="15"/>
      <c r="AC145" s="15"/>
      <c r="AD145" s="15"/>
      <c r="AE145" s="15"/>
      <c r="AF145" s="15"/>
      <c r="AG145" s="15"/>
      <c r="AH145" s="15"/>
    </row>
    <row r="146" ht="16.5" customHeight="1">
      <c r="A146" s="32" t="s">
        <v>5</v>
      </c>
      <c r="E146" s="28" t="s">
        <v>86</v>
      </c>
      <c r="F146" s="8" t="s">
        <v>90</v>
      </c>
      <c r="G146" s="149" t="s">
        <v>1201</v>
      </c>
      <c r="H146" s="31" t="s">
        <v>90</v>
      </c>
      <c r="I146" s="9"/>
      <c r="J146" s="9"/>
      <c r="K146" s="9"/>
      <c r="L146" s="9"/>
      <c r="M146" s="15"/>
      <c r="N146" s="15"/>
      <c r="O146" s="15"/>
      <c r="P146" s="15"/>
      <c r="Q146" s="15"/>
      <c r="R146" s="15"/>
      <c r="S146" s="15"/>
      <c r="T146" s="15"/>
      <c r="U146" s="15"/>
      <c r="V146" s="15"/>
      <c r="W146" s="15"/>
      <c r="X146" s="15"/>
      <c r="Y146" s="15"/>
      <c r="Z146" s="15"/>
      <c r="AA146" s="15"/>
      <c r="AB146" s="15"/>
      <c r="AC146" s="15"/>
      <c r="AD146" s="15"/>
      <c r="AE146" s="15"/>
      <c r="AF146" s="15"/>
      <c r="AG146" s="15"/>
      <c r="AH146" s="15"/>
    </row>
    <row r="147" ht="16.5" customHeight="1">
      <c r="A147" s="32" t="s">
        <v>5</v>
      </c>
      <c r="E147" s="28" t="s">
        <v>86</v>
      </c>
      <c r="F147" s="28" t="s">
        <v>338</v>
      </c>
      <c r="G147" s="149" t="s">
        <v>1202</v>
      </c>
      <c r="H147" s="150" t="s">
        <v>338</v>
      </c>
      <c r="I147" s="9"/>
      <c r="J147" s="9"/>
      <c r="K147" s="9"/>
      <c r="L147" s="9"/>
      <c r="M147" s="15"/>
      <c r="N147" s="15"/>
      <c r="O147" s="15"/>
      <c r="P147" s="15"/>
      <c r="Q147" s="15"/>
      <c r="R147" s="15"/>
      <c r="S147" s="15"/>
      <c r="T147" s="15"/>
      <c r="U147" s="15"/>
      <c r="V147" s="15"/>
      <c r="W147" s="15"/>
      <c r="X147" s="15"/>
      <c r="Y147" s="15"/>
      <c r="Z147" s="15"/>
      <c r="AA147" s="15"/>
      <c r="AB147" s="15"/>
      <c r="AC147" s="15"/>
      <c r="AD147" s="15"/>
      <c r="AE147" s="15"/>
      <c r="AF147" s="15"/>
      <c r="AG147" s="15"/>
      <c r="AH147" s="15"/>
    </row>
    <row r="148" ht="16.5" customHeight="1">
      <c r="A148" s="32" t="s">
        <v>5</v>
      </c>
      <c r="E148" s="8" t="s">
        <v>88</v>
      </c>
      <c r="F148" s="8" t="s">
        <v>89</v>
      </c>
      <c r="G148" s="69"/>
      <c r="H148" s="31"/>
      <c r="I148" s="31"/>
      <c r="J148" s="9"/>
      <c r="K148" s="9"/>
      <c r="L148" s="9"/>
      <c r="M148" s="15"/>
      <c r="N148" s="15"/>
      <c r="O148" s="15"/>
      <c r="P148" s="15"/>
      <c r="Q148" s="15"/>
      <c r="R148" s="15"/>
      <c r="S148" s="15"/>
      <c r="T148" s="15"/>
      <c r="U148" s="15"/>
      <c r="V148" s="15"/>
      <c r="W148" s="15"/>
      <c r="X148" s="15"/>
      <c r="Y148" s="15"/>
      <c r="Z148" s="15"/>
      <c r="AA148" s="15"/>
      <c r="AB148" s="15"/>
      <c r="AC148" s="15"/>
      <c r="AD148" s="15"/>
      <c r="AE148" s="15"/>
      <c r="AF148" s="15"/>
      <c r="AG148" s="15"/>
      <c r="AH148" s="15"/>
    </row>
    <row r="149" ht="16.5" customHeight="1">
      <c r="A149" s="32" t="s">
        <v>5</v>
      </c>
      <c r="E149" s="8" t="s">
        <v>88</v>
      </c>
      <c r="F149" s="8" t="s">
        <v>795</v>
      </c>
      <c r="G149" s="69"/>
      <c r="H149" s="31"/>
      <c r="I149" s="31"/>
      <c r="J149" s="9"/>
      <c r="K149" s="9"/>
      <c r="L149" s="9"/>
      <c r="M149" s="15"/>
      <c r="N149" s="15"/>
      <c r="O149" s="15"/>
      <c r="P149" s="15"/>
      <c r="Q149" s="15"/>
      <c r="R149" s="15"/>
      <c r="S149" s="15"/>
      <c r="T149" s="15"/>
      <c r="U149" s="15"/>
      <c r="V149" s="15"/>
      <c r="W149" s="15"/>
      <c r="X149" s="15"/>
      <c r="Y149" s="15"/>
      <c r="Z149" s="15"/>
      <c r="AA149" s="15"/>
      <c r="AB149" s="15"/>
      <c r="AC149" s="15"/>
      <c r="AD149" s="15"/>
      <c r="AE149" s="15"/>
      <c r="AF149" s="15"/>
      <c r="AG149" s="15"/>
      <c r="AH149" s="15"/>
    </row>
    <row r="150" ht="16.5" customHeight="1">
      <c r="A150" s="32" t="s">
        <v>5</v>
      </c>
      <c r="B150" s="56" t="s">
        <v>1203</v>
      </c>
      <c r="C150" s="160" t="s">
        <v>1204</v>
      </c>
      <c r="D150" s="160" t="s">
        <v>42</v>
      </c>
      <c r="E150" s="8" t="s">
        <v>172</v>
      </c>
      <c r="F150" s="8" t="s">
        <v>194</v>
      </c>
      <c r="G150" s="149" t="s">
        <v>1205</v>
      </c>
      <c r="H150" s="31" t="s">
        <v>194</v>
      </c>
      <c r="I150" s="9"/>
      <c r="J150" s="9"/>
      <c r="K150" s="9"/>
      <c r="L150" s="9"/>
      <c r="M150" s="15"/>
      <c r="N150" s="15"/>
      <c r="O150" s="15"/>
      <c r="P150" s="15"/>
      <c r="Q150" s="15"/>
      <c r="R150" s="15"/>
      <c r="S150" s="15"/>
      <c r="T150" s="15"/>
      <c r="U150" s="15"/>
      <c r="V150" s="15"/>
      <c r="W150" s="15"/>
      <c r="X150" s="15"/>
      <c r="Y150" s="15"/>
      <c r="Z150" s="15"/>
      <c r="AA150" s="15"/>
      <c r="AB150" s="15"/>
      <c r="AC150" s="15"/>
      <c r="AD150" s="15"/>
      <c r="AE150" s="15"/>
      <c r="AF150" s="15"/>
      <c r="AG150" s="15"/>
      <c r="AH150" s="15"/>
    </row>
    <row r="151" ht="16.5" customHeight="1">
      <c r="A151" s="32" t="s">
        <v>5</v>
      </c>
      <c r="E151" s="8" t="s">
        <v>172</v>
      </c>
      <c r="F151" s="8" t="s">
        <v>195</v>
      </c>
      <c r="G151" s="149" t="s">
        <v>1206</v>
      </c>
      <c r="H151" s="31" t="s">
        <v>195</v>
      </c>
      <c r="I151" s="9"/>
      <c r="J151" s="9"/>
      <c r="K151" s="9"/>
      <c r="L151" s="9"/>
      <c r="M151" s="15"/>
      <c r="N151" s="15"/>
      <c r="O151" s="15"/>
      <c r="P151" s="15"/>
      <c r="Q151" s="15"/>
      <c r="R151" s="15"/>
      <c r="S151" s="15"/>
      <c r="T151" s="15"/>
      <c r="U151" s="15"/>
      <c r="V151" s="15"/>
      <c r="W151" s="15"/>
      <c r="X151" s="15"/>
      <c r="Y151" s="15"/>
      <c r="Z151" s="15"/>
      <c r="AA151" s="15"/>
      <c r="AB151" s="15"/>
      <c r="AC151" s="15"/>
      <c r="AD151" s="15"/>
      <c r="AE151" s="15"/>
      <c r="AF151" s="15"/>
      <c r="AG151" s="15"/>
      <c r="AH151" s="15"/>
    </row>
    <row r="152" ht="16.5" customHeight="1">
      <c r="A152" s="32" t="s">
        <v>5</v>
      </c>
      <c r="E152" s="8" t="s">
        <v>21</v>
      </c>
      <c r="F152" s="8" t="s">
        <v>51</v>
      </c>
      <c r="G152" s="149" t="s">
        <v>1207</v>
      </c>
      <c r="H152" s="31" t="s">
        <v>51</v>
      </c>
      <c r="I152" s="9"/>
      <c r="J152" s="9"/>
      <c r="K152" s="9"/>
      <c r="L152" s="9"/>
      <c r="M152" s="15"/>
      <c r="N152" s="15"/>
      <c r="O152" s="15"/>
      <c r="P152" s="15"/>
      <c r="Q152" s="15"/>
      <c r="R152" s="15"/>
      <c r="S152" s="15"/>
      <c r="T152" s="15"/>
      <c r="U152" s="15"/>
      <c r="V152" s="15"/>
      <c r="W152" s="15"/>
      <c r="X152" s="15"/>
      <c r="Y152" s="15"/>
      <c r="Z152" s="15"/>
      <c r="AA152" s="15"/>
      <c r="AB152" s="15"/>
      <c r="AC152" s="15"/>
      <c r="AD152" s="15"/>
      <c r="AE152" s="15"/>
      <c r="AF152" s="15"/>
      <c r="AG152" s="15"/>
      <c r="AH152" s="15"/>
    </row>
    <row r="153" ht="16.5" customHeight="1">
      <c r="A153" s="32" t="s">
        <v>5</v>
      </c>
      <c r="E153" s="28" t="s">
        <v>88</v>
      </c>
      <c r="F153" s="8" t="s">
        <v>120</v>
      </c>
      <c r="G153" s="149" t="s">
        <v>1208</v>
      </c>
      <c r="H153" s="31" t="s">
        <v>120</v>
      </c>
      <c r="I153" s="9"/>
      <c r="J153" s="9"/>
      <c r="K153" s="9"/>
      <c r="L153" s="9"/>
      <c r="M153" s="15"/>
      <c r="N153" s="15"/>
      <c r="O153" s="15"/>
      <c r="P153" s="15"/>
      <c r="Q153" s="15"/>
      <c r="R153" s="15"/>
      <c r="S153" s="15"/>
      <c r="T153" s="15"/>
      <c r="U153" s="15"/>
      <c r="V153" s="15"/>
      <c r="W153" s="15"/>
      <c r="X153" s="15"/>
      <c r="Y153" s="15"/>
      <c r="Z153" s="15"/>
      <c r="AA153" s="15"/>
      <c r="AB153" s="15"/>
      <c r="AC153" s="15"/>
      <c r="AD153" s="15"/>
      <c r="AE153" s="15"/>
      <c r="AF153" s="15"/>
      <c r="AG153" s="15"/>
      <c r="AH153" s="15"/>
    </row>
    <row r="154" ht="16.5" customHeight="1">
      <c r="A154" s="32" t="s">
        <v>5</v>
      </c>
      <c r="E154" s="28" t="s">
        <v>88</v>
      </c>
      <c r="F154" s="8" t="s">
        <v>544</v>
      </c>
      <c r="G154" s="149" t="s">
        <v>1209</v>
      </c>
      <c r="H154" s="31" t="s">
        <v>544</v>
      </c>
      <c r="I154" s="9"/>
      <c r="J154" s="9"/>
      <c r="K154" s="9"/>
      <c r="L154" s="9"/>
      <c r="M154" s="15"/>
      <c r="N154" s="15"/>
      <c r="O154" s="15"/>
      <c r="P154" s="15"/>
      <c r="Q154" s="15"/>
      <c r="R154" s="15"/>
      <c r="S154" s="15"/>
      <c r="T154" s="15"/>
      <c r="U154" s="15"/>
      <c r="V154" s="15"/>
      <c r="W154" s="15"/>
      <c r="X154" s="15"/>
      <c r="Y154" s="15"/>
      <c r="Z154" s="15"/>
      <c r="AA154" s="15"/>
      <c r="AB154" s="15"/>
      <c r="AC154" s="15"/>
      <c r="AD154" s="15"/>
      <c r="AE154" s="15"/>
      <c r="AF154" s="15"/>
      <c r="AG154" s="15"/>
      <c r="AH154" s="15"/>
    </row>
    <row r="155" ht="16.5" customHeight="1">
      <c r="A155" s="32" t="s">
        <v>5</v>
      </c>
      <c r="E155" s="28" t="s">
        <v>88</v>
      </c>
      <c r="F155" s="38" t="s">
        <v>247</v>
      </c>
      <c r="G155" s="69"/>
      <c r="H155" s="31"/>
      <c r="I155" s="9"/>
      <c r="J155" s="9"/>
      <c r="K155" s="9"/>
      <c r="L155" s="9"/>
      <c r="M155" s="15"/>
      <c r="N155" s="15"/>
      <c r="O155" s="15"/>
      <c r="P155" s="15"/>
      <c r="Q155" s="15"/>
      <c r="R155" s="15"/>
      <c r="S155" s="15"/>
      <c r="T155" s="15"/>
      <c r="U155" s="15"/>
      <c r="V155" s="15"/>
      <c r="W155" s="15"/>
      <c r="X155" s="15"/>
      <c r="Y155" s="15"/>
      <c r="Z155" s="15"/>
      <c r="AA155" s="15"/>
      <c r="AB155" s="15"/>
      <c r="AC155" s="15"/>
      <c r="AD155" s="15"/>
      <c r="AE155" s="15"/>
      <c r="AF155" s="15"/>
      <c r="AG155" s="15"/>
      <c r="AH155" s="15"/>
    </row>
    <row r="156" ht="16.5" customHeight="1">
      <c r="A156" s="32" t="s">
        <v>5</v>
      </c>
      <c r="E156" s="28" t="s">
        <v>88</v>
      </c>
      <c r="F156" s="28" t="s">
        <v>95</v>
      </c>
      <c r="G156" s="149" t="s">
        <v>1210</v>
      </c>
      <c r="H156" s="153" t="s">
        <v>95</v>
      </c>
      <c r="I156" s="9"/>
      <c r="J156" s="9"/>
      <c r="K156" s="9"/>
      <c r="L156" s="9"/>
      <c r="M156" s="15"/>
      <c r="N156" s="15"/>
      <c r="O156" s="15"/>
      <c r="P156" s="15"/>
      <c r="Q156" s="15"/>
      <c r="R156" s="15"/>
      <c r="S156" s="15"/>
      <c r="T156" s="15"/>
      <c r="U156" s="15"/>
      <c r="V156" s="15"/>
      <c r="W156" s="15"/>
      <c r="X156" s="15"/>
      <c r="Y156" s="15"/>
      <c r="Z156" s="15"/>
      <c r="AA156" s="15"/>
      <c r="AB156" s="15"/>
      <c r="AC156" s="15"/>
      <c r="AD156" s="15"/>
      <c r="AE156" s="15"/>
      <c r="AF156" s="15"/>
      <c r="AG156" s="15"/>
      <c r="AH156" s="15"/>
    </row>
    <row r="157" ht="16.5" customHeight="1">
      <c r="A157" s="32" t="s">
        <v>5</v>
      </c>
      <c r="E157" s="28" t="s">
        <v>88</v>
      </c>
      <c r="F157" s="28" t="s">
        <v>96</v>
      </c>
      <c r="G157" s="149" t="s">
        <v>1211</v>
      </c>
      <c r="H157" s="150" t="s">
        <v>96</v>
      </c>
      <c r="I157" s="9"/>
      <c r="J157" s="9"/>
      <c r="K157" s="9"/>
      <c r="L157" s="9"/>
      <c r="M157" s="15"/>
      <c r="N157" s="15"/>
      <c r="O157" s="15"/>
      <c r="P157" s="15"/>
      <c r="Q157" s="15"/>
      <c r="R157" s="15"/>
      <c r="S157" s="15"/>
      <c r="T157" s="15"/>
      <c r="U157" s="15"/>
      <c r="V157" s="15"/>
      <c r="W157" s="15"/>
      <c r="X157" s="15"/>
      <c r="Y157" s="15"/>
      <c r="Z157" s="15"/>
      <c r="AA157" s="15"/>
      <c r="AB157" s="15"/>
      <c r="AC157" s="15"/>
      <c r="AD157" s="15"/>
      <c r="AE157" s="15"/>
      <c r="AF157" s="15"/>
      <c r="AG157" s="15"/>
      <c r="AH157" s="15"/>
    </row>
    <row r="158" ht="16.5" customHeight="1">
      <c r="A158" s="32" t="s">
        <v>5</v>
      </c>
      <c r="E158" s="8" t="s">
        <v>86</v>
      </c>
      <c r="F158" s="8" t="s">
        <v>90</v>
      </c>
      <c r="G158" s="149" t="s">
        <v>1212</v>
      </c>
      <c r="H158" s="31" t="s">
        <v>90</v>
      </c>
      <c r="I158" s="31"/>
      <c r="J158" s="9"/>
      <c r="K158" s="9"/>
      <c r="L158" s="9"/>
      <c r="M158" s="15"/>
      <c r="N158" s="15"/>
      <c r="O158" s="15"/>
      <c r="P158" s="15"/>
      <c r="Q158" s="15"/>
      <c r="R158" s="15"/>
      <c r="S158" s="15"/>
      <c r="T158" s="15"/>
      <c r="U158" s="15"/>
      <c r="V158" s="15"/>
      <c r="W158" s="15"/>
      <c r="X158" s="15"/>
      <c r="Y158" s="15"/>
      <c r="Z158" s="15"/>
      <c r="AA158" s="15"/>
      <c r="AB158" s="15"/>
      <c r="AC158" s="15"/>
      <c r="AD158" s="15"/>
      <c r="AE158" s="15"/>
      <c r="AF158" s="15"/>
      <c r="AG158" s="15"/>
      <c r="AH158" s="15"/>
    </row>
    <row r="159" ht="16.5" customHeight="1">
      <c r="A159" s="32" t="s">
        <v>5</v>
      </c>
      <c r="E159" s="8" t="s">
        <v>86</v>
      </c>
      <c r="F159" s="8" t="s">
        <v>91</v>
      </c>
      <c r="G159" s="149" t="s">
        <v>1213</v>
      </c>
      <c r="H159" s="31" t="s">
        <v>91</v>
      </c>
      <c r="I159" s="31"/>
      <c r="J159" s="9"/>
      <c r="K159" s="9"/>
      <c r="L159" s="9"/>
      <c r="M159" s="15"/>
      <c r="N159" s="15"/>
      <c r="O159" s="15"/>
      <c r="P159" s="15"/>
      <c r="Q159" s="15"/>
      <c r="R159" s="15"/>
      <c r="S159" s="15"/>
      <c r="T159" s="15"/>
      <c r="U159" s="15"/>
      <c r="V159" s="15"/>
      <c r="W159" s="15"/>
      <c r="X159" s="15"/>
      <c r="Y159" s="15"/>
      <c r="Z159" s="15"/>
      <c r="AA159" s="15"/>
      <c r="AB159" s="15"/>
      <c r="AC159" s="15"/>
      <c r="AD159" s="15"/>
      <c r="AE159" s="15"/>
      <c r="AF159" s="15"/>
      <c r="AG159" s="15"/>
      <c r="AH159" s="15"/>
    </row>
    <row r="160" ht="16.5" customHeight="1">
      <c r="A160" s="32" t="s">
        <v>5</v>
      </c>
      <c r="E160" s="8" t="s">
        <v>88</v>
      </c>
      <c r="F160" s="8" t="s">
        <v>89</v>
      </c>
      <c r="G160" s="69"/>
      <c r="H160" s="31"/>
      <c r="I160" s="9"/>
      <c r="J160" s="9"/>
      <c r="K160" s="9"/>
      <c r="L160" s="9"/>
      <c r="M160" s="15"/>
      <c r="N160" s="15"/>
      <c r="O160" s="15"/>
      <c r="P160" s="15"/>
      <c r="Q160" s="15"/>
      <c r="R160" s="15"/>
      <c r="S160" s="15"/>
      <c r="T160" s="15"/>
      <c r="U160" s="15"/>
      <c r="V160" s="15"/>
      <c r="W160" s="15"/>
      <c r="X160" s="15"/>
      <c r="Y160" s="15"/>
      <c r="Z160" s="15"/>
      <c r="AA160" s="15"/>
      <c r="AB160" s="15"/>
      <c r="AC160" s="15"/>
      <c r="AD160" s="15"/>
      <c r="AE160" s="15"/>
      <c r="AF160" s="15"/>
      <c r="AG160" s="15"/>
      <c r="AH160" s="15"/>
    </row>
    <row r="161" ht="16.5" customHeight="1">
      <c r="A161" s="32" t="s">
        <v>5</v>
      </c>
      <c r="E161" s="8" t="s">
        <v>88</v>
      </c>
      <c r="F161" s="8" t="s">
        <v>795</v>
      </c>
      <c r="G161" s="69"/>
      <c r="H161" s="31"/>
      <c r="I161" s="9"/>
      <c r="J161" s="9"/>
      <c r="K161" s="9"/>
      <c r="L161" s="9"/>
      <c r="M161" s="15"/>
      <c r="N161" s="15"/>
      <c r="O161" s="15"/>
      <c r="P161" s="15"/>
      <c r="Q161" s="15"/>
      <c r="R161" s="15"/>
      <c r="S161" s="15"/>
      <c r="T161" s="15"/>
      <c r="U161" s="15"/>
      <c r="V161" s="15"/>
      <c r="W161" s="15"/>
      <c r="X161" s="15"/>
      <c r="Y161" s="15"/>
      <c r="Z161" s="15"/>
      <c r="AA161" s="15"/>
      <c r="AB161" s="15"/>
      <c r="AC161" s="15"/>
      <c r="AD161" s="15"/>
      <c r="AE161" s="15"/>
      <c r="AF161" s="15"/>
      <c r="AG161" s="15"/>
      <c r="AH161" s="15"/>
    </row>
    <row r="162" ht="16.5" customHeight="1">
      <c r="A162" s="32" t="s">
        <v>5</v>
      </c>
      <c r="B162" s="56" t="s">
        <v>1214</v>
      </c>
      <c r="C162" s="160" t="s">
        <v>1215</v>
      </c>
      <c r="D162" s="160" t="s">
        <v>42</v>
      </c>
      <c r="E162" s="8" t="s">
        <v>172</v>
      </c>
      <c r="F162" s="8" t="s">
        <v>194</v>
      </c>
      <c r="G162" s="149" t="s">
        <v>1216</v>
      </c>
      <c r="H162" s="31" t="s">
        <v>194</v>
      </c>
      <c r="I162" s="9"/>
      <c r="J162" s="9"/>
      <c r="K162" s="9"/>
      <c r="L162" s="9"/>
      <c r="M162" s="15"/>
      <c r="N162" s="15"/>
      <c r="O162" s="15"/>
      <c r="P162" s="15"/>
      <c r="Q162" s="15"/>
      <c r="R162" s="15"/>
      <c r="S162" s="15"/>
      <c r="T162" s="15"/>
      <c r="U162" s="15"/>
      <c r="V162" s="15"/>
      <c r="W162" s="15"/>
      <c r="X162" s="15"/>
      <c r="Y162" s="15"/>
      <c r="Z162" s="15"/>
      <c r="AA162" s="15"/>
      <c r="AB162" s="15"/>
      <c r="AC162" s="15"/>
      <c r="AD162" s="15"/>
      <c r="AE162" s="15"/>
      <c r="AF162" s="15"/>
      <c r="AG162" s="15"/>
      <c r="AH162" s="15"/>
    </row>
    <row r="163" ht="16.5" customHeight="1">
      <c r="A163" s="32" t="s">
        <v>5</v>
      </c>
      <c r="E163" s="28" t="s">
        <v>172</v>
      </c>
      <c r="F163" s="8" t="s">
        <v>195</v>
      </c>
      <c r="G163" s="149" t="s">
        <v>1217</v>
      </c>
      <c r="H163" s="31" t="s">
        <v>195</v>
      </c>
      <c r="I163" s="9"/>
      <c r="J163" s="9"/>
      <c r="K163" s="9"/>
      <c r="L163" s="9"/>
      <c r="M163" s="15"/>
      <c r="N163" s="15"/>
      <c r="O163" s="15"/>
      <c r="P163" s="15"/>
      <c r="Q163" s="15"/>
      <c r="R163" s="15"/>
      <c r="S163" s="15"/>
      <c r="T163" s="15"/>
      <c r="U163" s="15"/>
      <c r="V163" s="15"/>
      <c r="W163" s="15"/>
      <c r="X163" s="15"/>
      <c r="Y163" s="15"/>
      <c r="Z163" s="15"/>
      <c r="AA163" s="15"/>
      <c r="AB163" s="15"/>
      <c r="AC163" s="15"/>
      <c r="AD163" s="15"/>
      <c r="AE163" s="15"/>
      <c r="AF163" s="15"/>
      <c r="AG163" s="15"/>
      <c r="AH163" s="15"/>
    </row>
    <row r="164" ht="16.5" customHeight="1">
      <c r="A164" s="32" t="s">
        <v>5</v>
      </c>
      <c r="E164" s="28" t="s">
        <v>88</v>
      </c>
      <c r="F164" s="38" t="s">
        <v>521</v>
      </c>
      <c r="G164" s="149" t="s">
        <v>1218</v>
      </c>
      <c r="H164" s="150" t="s">
        <v>521</v>
      </c>
      <c r="I164" s="9"/>
      <c r="J164" s="9"/>
      <c r="K164" s="9"/>
      <c r="L164" s="9"/>
      <c r="M164" s="15"/>
      <c r="N164" s="15"/>
      <c r="O164" s="15"/>
      <c r="P164" s="15"/>
      <c r="Q164" s="15"/>
      <c r="R164" s="15"/>
      <c r="S164" s="15"/>
      <c r="T164" s="15"/>
      <c r="U164" s="15"/>
      <c r="V164" s="15"/>
      <c r="W164" s="15"/>
      <c r="X164" s="15"/>
      <c r="Y164" s="15"/>
      <c r="Z164" s="15"/>
      <c r="AA164" s="15"/>
      <c r="AB164" s="15"/>
      <c r="AC164" s="15"/>
      <c r="AD164" s="15"/>
      <c r="AE164" s="15"/>
      <c r="AF164" s="15"/>
      <c r="AG164" s="15"/>
      <c r="AH164" s="15"/>
    </row>
    <row r="165" ht="16.5" customHeight="1">
      <c r="A165" s="32" t="s">
        <v>5</v>
      </c>
      <c r="E165" s="28" t="s">
        <v>88</v>
      </c>
      <c r="F165" s="28" t="s">
        <v>496</v>
      </c>
      <c r="G165" s="149" t="s">
        <v>1219</v>
      </c>
      <c r="H165" s="150" t="s">
        <v>496</v>
      </c>
      <c r="I165" s="9"/>
      <c r="J165" s="9"/>
      <c r="K165" s="9"/>
      <c r="L165" s="9"/>
      <c r="M165" s="15"/>
      <c r="N165" s="15"/>
      <c r="O165" s="15"/>
      <c r="P165" s="15"/>
      <c r="Q165" s="15"/>
      <c r="R165" s="15"/>
      <c r="S165" s="15"/>
      <c r="T165" s="15"/>
      <c r="U165" s="15"/>
      <c r="V165" s="15"/>
      <c r="W165" s="15"/>
      <c r="X165" s="15"/>
      <c r="Y165" s="15"/>
      <c r="Z165" s="15"/>
      <c r="AA165" s="15"/>
      <c r="AB165" s="15"/>
      <c r="AC165" s="15"/>
      <c r="AD165" s="15"/>
      <c r="AE165" s="15"/>
      <c r="AF165" s="15"/>
      <c r="AG165" s="15"/>
      <c r="AH165" s="15"/>
    </row>
    <row r="166" ht="16.5" customHeight="1">
      <c r="A166" s="32" t="s">
        <v>5</v>
      </c>
      <c r="E166" s="8" t="s">
        <v>88</v>
      </c>
      <c r="F166" s="8" t="s">
        <v>570</v>
      </c>
      <c r="G166" s="69"/>
      <c r="H166" s="31"/>
      <c r="I166" s="9"/>
      <c r="J166" s="9"/>
      <c r="K166" s="9"/>
      <c r="L166" s="9"/>
      <c r="M166" s="15"/>
      <c r="N166" s="15"/>
      <c r="O166" s="15"/>
      <c r="P166" s="15"/>
      <c r="Q166" s="15"/>
      <c r="R166" s="15"/>
      <c r="S166" s="15"/>
      <c r="T166" s="15"/>
      <c r="U166" s="15"/>
      <c r="V166" s="15"/>
      <c r="W166" s="15"/>
      <c r="X166" s="15"/>
      <c r="Y166" s="15"/>
      <c r="Z166" s="15"/>
      <c r="AA166" s="15"/>
      <c r="AB166" s="15"/>
      <c r="AC166" s="15"/>
      <c r="AD166" s="15"/>
      <c r="AE166" s="15"/>
      <c r="AF166" s="15"/>
      <c r="AG166" s="15"/>
      <c r="AH166" s="15"/>
    </row>
    <row r="167" ht="16.5" customHeight="1">
      <c r="A167" s="32" t="s">
        <v>5</v>
      </c>
      <c r="E167" s="8" t="s">
        <v>88</v>
      </c>
      <c r="F167" s="8" t="s">
        <v>598</v>
      </c>
      <c r="G167" s="69"/>
      <c r="H167" s="31"/>
      <c r="I167" s="9"/>
      <c r="J167" s="9"/>
      <c r="K167" s="9"/>
      <c r="L167" s="9"/>
      <c r="M167" s="15"/>
      <c r="N167" s="15"/>
      <c r="O167" s="15"/>
      <c r="P167" s="15"/>
      <c r="Q167" s="15"/>
      <c r="R167" s="15"/>
      <c r="S167" s="15"/>
      <c r="T167" s="15"/>
      <c r="U167" s="15"/>
      <c r="V167" s="15"/>
      <c r="W167" s="15"/>
      <c r="X167" s="15"/>
      <c r="Y167" s="15"/>
      <c r="Z167" s="15"/>
      <c r="AA167" s="15"/>
      <c r="AB167" s="15"/>
      <c r="AC167" s="15"/>
      <c r="AD167" s="15"/>
      <c r="AE167" s="15"/>
      <c r="AF167" s="15"/>
      <c r="AG167" s="15"/>
      <c r="AH167" s="15"/>
    </row>
    <row r="168" ht="16.5" customHeight="1">
      <c r="A168" s="32" t="s">
        <v>5</v>
      </c>
      <c r="E168" s="8" t="s">
        <v>21</v>
      </c>
      <c r="F168" s="8" t="s">
        <v>51</v>
      </c>
      <c r="G168" s="149" t="s">
        <v>1220</v>
      </c>
      <c r="H168" s="31" t="s">
        <v>51</v>
      </c>
      <c r="I168" s="9"/>
      <c r="J168" s="9"/>
      <c r="K168" s="9"/>
      <c r="L168" s="9"/>
      <c r="M168" s="15"/>
      <c r="N168" s="15"/>
      <c r="O168" s="15"/>
      <c r="P168" s="15"/>
      <c r="Q168" s="15"/>
      <c r="R168" s="15"/>
      <c r="S168" s="15"/>
      <c r="T168" s="15"/>
      <c r="U168" s="15"/>
      <c r="V168" s="15"/>
      <c r="W168" s="15"/>
      <c r="X168" s="15"/>
      <c r="Y168" s="15"/>
      <c r="Z168" s="15"/>
      <c r="AA168" s="15"/>
      <c r="AB168" s="15"/>
      <c r="AC168" s="15"/>
      <c r="AD168" s="15"/>
      <c r="AE168" s="15"/>
      <c r="AF168" s="15"/>
      <c r="AG168" s="15"/>
      <c r="AH168" s="15"/>
    </row>
    <row r="169" ht="16.5" customHeight="1">
      <c r="A169" s="32" t="s">
        <v>5</v>
      </c>
      <c r="E169" s="8" t="s">
        <v>88</v>
      </c>
      <c r="F169" s="8" t="s">
        <v>95</v>
      </c>
      <c r="G169" s="149" t="s">
        <v>1221</v>
      </c>
      <c r="H169" s="153" t="s">
        <v>95</v>
      </c>
      <c r="I169" s="9"/>
      <c r="J169" s="9"/>
      <c r="K169" s="9"/>
      <c r="L169" s="9"/>
      <c r="M169" s="15"/>
      <c r="N169" s="15"/>
      <c r="O169" s="15"/>
      <c r="P169" s="15"/>
      <c r="Q169" s="15"/>
      <c r="R169" s="15"/>
      <c r="S169" s="15"/>
      <c r="T169" s="15"/>
      <c r="U169" s="15"/>
      <c r="V169" s="15"/>
      <c r="W169" s="15"/>
      <c r="X169" s="15"/>
      <c r="Y169" s="15"/>
      <c r="Z169" s="15"/>
      <c r="AA169" s="15"/>
      <c r="AB169" s="15"/>
      <c r="AC169" s="15"/>
      <c r="AD169" s="15"/>
      <c r="AE169" s="15"/>
      <c r="AF169" s="15"/>
      <c r="AG169" s="15"/>
      <c r="AH169" s="15"/>
    </row>
    <row r="170" ht="16.5" customHeight="1">
      <c r="A170" s="32" t="s">
        <v>5</v>
      </c>
      <c r="E170" s="8" t="s">
        <v>88</v>
      </c>
      <c r="F170" s="8" t="s">
        <v>96</v>
      </c>
      <c r="G170" s="149" t="s">
        <v>1222</v>
      </c>
      <c r="H170" s="31" t="s">
        <v>96</v>
      </c>
      <c r="I170" s="9"/>
      <c r="J170" s="9"/>
      <c r="K170" s="9"/>
      <c r="L170" s="9"/>
      <c r="M170" s="15"/>
      <c r="N170" s="15"/>
      <c r="O170" s="15"/>
      <c r="P170" s="15"/>
      <c r="Q170" s="15"/>
      <c r="R170" s="15"/>
      <c r="S170" s="15"/>
      <c r="T170" s="15"/>
      <c r="U170" s="15"/>
      <c r="V170" s="15"/>
      <c r="W170" s="15"/>
      <c r="X170" s="15"/>
      <c r="Y170" s="15"/>
      <c r="Z170" s="15"/>
      <c r="AA170" s="15"/>
      <c r="AB170" s="15"/>
      <c r="AC170" s="15"/>
      <c r="AD170" s="15"/>
      <c r="AE170" s="15"/>
      <c r="AF170" s="15"/>
      <c r="AG170" s="15"/>
      <c r="AH170" s="15"/>
    </row>
    <row r="171" ht="16.5" customHeight="1">
      <c r="A171" s="32" t="s">
        <v>5</v>
      </c>
      <c r="E171" s="8" t="s">
        <v>86</v>
      </c>
      <c r="F171" s="8" t="s">
        <v>90</v>
      </c>
      <c r="G171" s="149" t="s">
        <v>1223</v>
      </c>
      <c r="H171" s="31" t="s">
        <v>90</v>
      </c>
      <c r="I171" s="9"/>
      <c r="J171" s="9"/>
      <c r="K171" s="9"/>
      <c r="L171" s="9"/>
      <c r="M171" s="15"/>
      <c r="N171" s="15"/>
      <c r="O171" s="15"/>
      <c r="P171" s="15"/>
      <c r="Q171" s="15"/>
      <c r="R171" s="15"/>
      <c r="S171" s="15"/>
      <c r="T171" s="15"/>
      <c r="U171" s="15"/>
      <c r="V171" s="15"/>
      <c r="W171" s="15"/>
      <c r="X171" s="15"/>
      <c r="Y171" s="15"/>
      <c r="Z171" s="15"/>
      <c r="AA171" s="15"/>
      <c r="AB171" s="15"/>
      <c r="AC171" s="15"/>
      <c r="AD171" s="15"/>
      <c r="AE171" s="15"/>
      <c r="AF171" s="15"/>
      <c r="AG171" s="15"/>
      <c r="AH171" s="15"/>
    </row>
    <row r="172" ht="16.5" customHeight="1">
      <c r="A172" s="32" t="s">
        <v>5</v>
      </c>
      <c r="E172" s="28" t="s">
        <v>86</v>
      </c>
      <c r="F172" s="8" t="s">
        <v>91</v>
      </c>
      <c r="G172" s="149" t="s">
        <v>1224</v>
      </c>
      <c r="H172" s="31" t="s">
        <v>91</v>
      </c>
      <c r="I172" s="9"/>
      <c r="J172" s="9"/>
      <c r="K172" s="9"/>
      <c r="L172" s="9"/>
      <c r="M172" s="15"/>
      <c r="N172" s="15"/>
      <c r="O172" s="15"/>
      <c r="P172" s="15"/>
      <c r="Q172" s="15"/>
      <c r="R172" s="15"/>
      <c r="S172" s="15"/>
      <c r="T172" s="15"/>
      <c r="U172" s="15"/>
      <c r="V172" s="15"/>
      <c r="W172" s="15"/>
      <c r="X172" s="15"/>
      <c r="Y172" s="15"/>
      <c r="Z172" s="15"/>
      <c r="AA172" s="15"/>
      <c r="AB172" s="15"/>
      <c r="AC172" s="15"/>
      <c r="AD172" s="15"/>
      <c r="AE172" s="15"/>
      <c r="AF172" s="15"/>
      <c r="AG172" s="15"/>
      <c r="AH172" s="15"/>
    </row>
    <row r="173" ht="16.5" customHeight="1">
      <c r="A173" s="32" t="s">
        <v>5</v>
      </c>
      <c r="E173" s="28" t="s">
        <v>88</v>
      </c>
      <c r="F173" s="38" t="s">
        <v>89</v>
      </c>
      <c r="G173" s="69"/>
      <c r="H173" s="31"/>
      <c r="I173" s="9"/>
      <c r="J173" s="9"/>
      <c r="K173" s="9"/>
      <c r="L173" s="9"/>
      <c r="M173" s="15"/>
      <c r="N173" s="15"/>
      <c r="O173" s="15"/>
      <c r="P173" s="15"/>
      <c r="Q173" s="15"/>
      <c r="R173" s="15"/>
      <c r="S173" s="15"/>
      <c r="T173" s="15"/>
      <c r="U173" s="15"/>
      <c r="V173" s="15"/>
      <c r="W173" s="15"/>
      <c r="X173" s="15"/>
      <c r="Y173" s="15"/>
      <c r="Z173" s="15"/>
      <c r="AA173" s="15"/>
      <c r="AB173" s="15"/>
      <c r="AC173" s="15"/>
      <c r="AD173" s="15"/>
      <c r="AE173" s="15"/>
      <c r="AF173" s="15"/>
      <c r="AG173" s="15"/>
      <c r="AH173" s="15"/>
    </row>
    <row r="174" ht="16.5" customHeight="1">
      <c r="A174" s="32" t="s">
        <v>5</v>
      </c>
      <c r="E174" s="28" t="s">
        <v>88</v>
      </c>
      <c r="F174" s="28" t="s">
        <v>795</v>
      </c>
      <c r="G174" s="69"/>
      <c r="H174" s="31"/>
      <c r="I174" s="31"/>
      <c r="J174" s="9"/>
      <c r="K174" s="9"/>
      <c r="L174" s="9"/>
      <c r="M174" s="15"/>
      <c r="N174" s="15"/>
      <c r="O174" s="15"/>
      <c r="P174" s="15"/>
      <c r="Q174" s="15"/>
      <c r="R174" s="15"/>
      <c r="S174" s="15"/>
      <c r="T174" s="15"/>
      <c r="U174" s="15"/>
      <c r="V174" s="15"/>
      <c r="W174" s="15"/>
      <c r="X174" s="15"/>
      <c r="Y174" s="15"/>
      <c r="Z174" s="15"/>
      <c r="AA174" s="15"/>
      <c r="AB174" s="15"/>
      <c r="AC174" s="15"/>
      <c r="AD174" s="15"/>
      <c r="AE174" s="15"/>
      <c r="AF174" s="15"/>
      <c r="AG174" s="15"/>
      <c r="AH174" s="15"/>
    </row>
    <row r="175" ht="15.75" customHeight="1">
      <c r="A175" s="32" t="s">
        <v>5</v>
      </c>
      <c r="B175" s="163" t="s">
        <v>1225</v>
      </c>
      <c r="C175" s="164" t="s">
        <v>1226</v>
      </c>
      <c r="D175" s="164" t="s">
        <v>20</v>
      </c>
      <c r="E175" s="35" t="s">
        <v>21</v>
      </c>
      <c r="F175" s="35" t="s">
        <v>51</v>
      </c>
      <c r="G175" s="165" t="s">
        <v>1227</v>
      </c>
      <c r="H175" s="31" t="s">
        <v>51</v>
      </c>
      <c r="I175" s="9"/>
      <c r="J175" s="9"/>
      <c r="K175" s="9"/>
      <c r="L175" s="9"/>
      <c r="M175" s="15"/>
      <c r="N175" s="15"/>
      <c r="O175" s="15"/>
      <c r="P175" s="15"/>
      <c r="Q175" s="15"/>
      <c r="R175" s="15"/>
      <c r="S175" s="15"/>
      <c r="T175" s="15"/>
      <c r="U175" s="15"/>
      <c r="V175" s="15"/>
      <c r="W175" s="15"/>
      <c r="X175" s="15"/>
      <c r="Y175" s="15"/>
      <c r="Z175" s="15"/>
      <c r="AA175" s="15"/>
      <c r="AB175" s="15"/>
      <c r="AC175" s="15"/>
      <c r="AD175" s="15"/>
      <c r="AE175" s="15"/>
      <c r="AF175" s="15"/>
      <c r="AG175" s="15"/>
      <c r="AH175" s="15"/>
    </row>
    <row r="176" ht="15.75" customHeight="1">
      <c r="A176" s="32" t="s">
        <v>5</v>
      </c>
      <c r="E176" s="32" t="s">
        <v>88</v>
      </c>
      <c r="F176" s="35" t="s">
        <v>154</v>
      </c>
      <c r="G176" s="165" t="s">
        <v>1228</v>
      </c>
      <c r="H176" s="31" t="s">
        <v>154</v>
      </c>
      <c r="I176" s="9"/>
      <c r="J176" s="9"/>
      <c r="K176" s="9"/>
      <c r="L176" s="9"/>
      <c r="M176" s="15"/>
      <c r="N176" s="15"/>
      <c r="O176" s="15"/>
      <c r="P176" s="15"/>
      <c r="Q176" s="15"/>
      <c r="R176" s="15"/>
      <c r="S176" s="15"/>
      <c r="T176" s="15"/>
      <c r="U176" s="15"/>
      <c r="V176" s="15"/>
      <c r="W176" s="15"/>
      <c r="X176" s="15"/>
      <c r="Y176" s="15"/>
      <c r="Z176" s="15"/>
      <c r="AA176" s="15"/>
      <c r="AB176" s="15"/>
      <c r="AC176" s="15"/>
      <c r="AD176" s="15"/>
      <c r="AE176" s="15"/>
      <c r="AF176" s="15"/>
      <c r="AG176" s="15"/>
      <c r="AH176" s="15"/>
    </row>
    <row r="177" ht="15.75" customHeight="1">
      <c r="A177" s="32" t="s">
        <v>5</v>
      </c>
      <c r="E177" s="32" t="s">
        <v>88</v>
      </c>
      <c r="F177" s="35" t="s">
        <v>481</v>
      </c>
      <c r="G177" s="165" t="str">
        <f>HYPERLINK("https://docs.google.com/spreadsheets/d/1fMnIQsl_4g6Inj4nzujLbYQT3nGswfGlSdlEV1aa8Uk/edit#gid=1263337771", "https://docs.google.com/spreadsheets/d/1fMnIQsl_4g6Inj4nzujLbYQT3nGswfGlSdlEV1aa8Uk/edit#gid=1263337771")</f>
        <v>https://docs.google.com/spreadsheets/d/1fMnIQsl_4g6Inj4nzujLbYQT3nGswfGlSdlEV1aa8Uk/edit#gid=1263337771</v>
      </c>
      <c r="H177" s="31" t="s">
        <v>481</v>
      </c>
      <c r="I177" s="9"/>
      <c r="J177" s="9"/>
      <c r="K177" s="9"/>
      <c r="L177" s="9"/>
      <c r="M177" s="15"/>
      <c r="N177" s="15"/>
      <c r="O177" s="15"/>
      <c r="P177" s="15"/>
      <c r="Q177" s="15"/>
      <c r="R177" s="15"/>
      <c r="S177" s="15"/>
      <c r="T177" s="15"/>
      <c r="U177" s="15"/>
      <c r="V177" s="15"/>
      <c r="W177" s="15"/>
      <c r="X177" s="15"/>
      <c r="Y177" s="15"/>
      <c r="Z177" s="15"/>
      <c r="AA177" s="15"/>
      <c r="AB177" s="15"/>
      <c r="AC177" s="15"/>
      <c r="AD177" s="15"/>
      <c r="AE177" s="15"/>
      <c r="AF177" s="15"/>
      <c r="AG177" s="15"/>
      <c r="AH177" s="15"/>
    </row>
    <row r="178" ht="15.75" customHeight="1">
      <c r="A178" s="32" t="s">
        <v>5</v>
      </c>
      <c r="E178" s="32" t="s">
        <v>88</v>
      </c>
      <c r="F178" s="35" t="s">
        <v>515</v>
      </c>
      <c r="G178" s="165" t="s">
        <v>1229</v>
      </c>
      <c r="H178" s="31" t="s">
        <v>515</v>
      </c>
      <c r="I178" s="9"/>
      <c r="J178" s="9"/>
      <c r="K178" s="9"/>
      <c r="L178" s="9"/>
      <c r="M178" s="15"/>
      <c r="N178" s="15"/>
      <c r="O178" s="15"/>
      <c r="P178" s="15"/>
      <c r="Q178" s="15"/>
      <c r="R178" s="15"/>
      <c r="S178" s="15"/>
      <c r="T178" s="15"/>
      <c r="U178" s="15"/>
      <c r="V178" s="15"/>
      <c r="W178" s="15"/>
      <c r="X178" s="15"/>
      <c r="Y178" s="15"/>
      <c r="Z178" s="15"/>
      <c r="AA178" s="15"/>
      <c r="AB178" s="15"/>
      <c r="AC178" s="15"/>
      <c r="AD178" s="15"/>
      <c r="AE178" s="15"/>
      <c r="AF178" s="15"/>
      <c r="AG178" s="15"/>
      <c r="AH178" s="15"/>
    </row>
    <row r="179" ht="15.75" customHeight="1">
      <c r="A179" s="32" t="s">
        <v>5</v>
      </c>
      <c r="E179" s="32" t="s">
        <v>88</v>
      </c>
      <c r="F179" s="35" t="s">
        <v>496</v>
      </c>
      <c r="G179" s="165" t="s">
        <v>1230</v>
      </c>
      <c r="H179" s="31" t="s">
        <v>496</v>
      </c>
      <c r="I179" s="9"/>
      <c r="J179" s="9"/>
      <c r="K179" s="9"/>
      <c r="L179" s="9"/>
      <c r="M179" s="15"/>
      <c r="N179" s="15"/>
      <c r="O179" s="15"/>
      <c r="P179" s="15"/>
      <c r="Q179" s="15"/>
      <c r="R179" s="15"/>
      <c r="S179" s="15"/>
      <c r="T179" s="15"/>
      <c r="U179" s="15"/>
      <c r="V179" s="15"/>
      <c r="W179" s="15"/>
      <c r="X179" s="15"/>
      <c r="Y179" s="15"/>
      <c r="Z179" s="15"/>
      <c r="AA179" s="15"/>
      <c r="AB179" s="15"/>
      <c r="AC179" s="15"/>
      <c r="AD179" s="15"/>
      <c r="AE179" s="15"/>
      <c r="AF179" s="15"/>
      <c r="AG179" s="15"/>
      <c r="AH179" s="15"/>
    </row>
    <row r="180" ht="15.75" customHeight="1">
      <c r="A180" s="32" t="s">
        <v>5</v>
      </c>
      <c r="E180" s="35" t="s">
        <v>88</v>
      </c>
      <c r="F180" s="35" t="s">
        <v>570</v>
      </c>
      <c r="G180" s="35"/>
      <c r="H180" s="31"/>
      <c r="I180" s="9"/>
      <c r="J180" s="9"/>
      <c r="K180" s="9"/>
      <c r="L180" s="9"/>
      <c r="M180" s="15"/>
      <c r="N180" s="15"/>
      <c r="O180" s="15"/>
      <c r="P180" s="15"/>
      <c r="Q180" s="15"/>
      <c r="R180" s="15"/>
      <c r="S180" s="15"/>
      <c r="T180" s="15"/>
      <c r="U180" s="15"/>
      <c r="V180" s="15"/>
      <c r="W180" s="15"/>
      <c r="X180" s="15"/>
      <c r="Y180" s="15"/>
      <c r="Z180" s="15"/>
      <c r="AA180" s="15"/>
      <c r="AB180" s="15"/>
      <c r="AC180" s="15"/>
      <c r="AD180" s="15"/>
      <c r="AE180" s="15"/>
      <c r="AF180" s="15"/>
      <c r="AG180" s="15"/>
      <c r="AH180" s="15"/>
    </row>
    <row r="181" ht="15.75" customHeight="1">
      <c r="A181" s="32" t="s">
        <v>5</v>
      </c>
      <c r="E181" s="32" t="s">
        <v>88</v>
      </c>
      <c r="F181" s="35" t="s">
        <v>598</v>
      </c>
      <c r="G181" s="35"/>
      <c r="H181" s="31"/>
      <c r="I181" s="9"/>
      <c r="J181" s="9"/>
      <c r="K181" s="9"/>
      <c r="L181" s="9"/>
      <c r="M181" s="15"/>
      <c r="N181" s="15"/>
      <c r="O181" s="15"/>
      <c r="P181" s="15"/>
      <c r="Q181" s="15"/>
      <c r="R181" s="15"/>
      <c r="S181" s="15"/>
      <c r="T181" s="15"/>
      <c r="U181" s="15"/>
      <c r="V181" s="15"/>
      <c r="W181" s="15"/>
      <c r="X181" s="15"/>
      <c r="Y181" s="15"/>
      <c r="Z181" s="15"/>
      <c r="AA181" s="15"/>
      <c r="AB181" s="15"/>
      <c r="AC181" s="15"/>
      <c r="AD181" s="15"/>
      <c r="AE181" s="15"/>
      <c r="AF181" s="15"/>
      <c r="AG181" s="15"/>
      <c r="AH181" s="15"/>
    </row>
    <row r="182" ht="15.75" customHeight="1">
      <c r="A182" s="32" t="s">
        <v>5</v>
      </c>
      <c r="E182" s="32" t="s">
        <v>88</v>
      </c>
      <c r="F182" s="35" t="s">
        <v>120</v>
      </c>
      <c r="G182" s="165" t="s">
        <v>1231</v>
      </c>
      <c r="H182" s="162" t="s">
        <v>120</v>
      </c>
      <c r="I182" s="9"/>
      <c r="J182" s="9"/>
      <c r="K182" s="9"/>
      <c r="L182" s="9"/>
      <c r="M182" s="15"/>
      <c r="N182" s="15"/>
      <c r="O182" s="15"/>
      <c r="P182" s="15"/>
      <c r="Q182" s="15"/>
      <c r="R182" s="15"/>
      <c r="S182" s="15"/>
      <c r="T182" s="15"/>
      <c r="U182" s="15"/>
      <c r="V182" s="15"/>
      <c r="W182" s="15"/>
      <c r="X182" s="15"/>
      <c r="Y182" s="15"/>
      <c r="Z182" s="15"/>
      <c r="AA182" s="15"/>
      <c r="AB182" s="15"/>
      <c r="AC182" s="15"/>
      <c r="AD182" s="15"/>
      <c r="AE182" s="15"/>
      <c r="AF182" s="15"/>
      <c r="AG182" s="15"/>
      <c r="AH182" s="15"/>
    </row>
    <row r="183" ht="15.75" customHeight="1">
      <c r="A183" s="32" t="s">
        <v>5</v>
      </c>
      <c r="E183" s="32" t="s">
        <v>88</v>
      </c>
      <c r="F183" s="35" t="s">
        <v>544</v>
      </c>
      <c r="G183" s="165" t="s">
        <v>1232</v>
      </c>
      <c r="H183" s="162" t="s">
        <v>544</v>
      </c>
      <c r="I183" s="9"/>
      <c r="J183" s="9"/>
      <c r="K183" s="9"/>
      <c r="L183" s="9"/>
      <c r="M183" s="15"/>
      <c r="N183" s="15"/>
      <c r="O183" s="15"/>
      <c r="P183" s="15"/>
      <c r="Q183" s="15"/>
      <c r="R183" s="15"/>
      <c r="S183" s="15"/>
      <c r="T183" s="15"/>
      <c r="U183" s="15"/>
      <c r="V183" s="15"/>
      <c r="W183" s="15"/>
      <c r="X183" s="15"/>
      <c r="Y183" s="15"/>
      <c r="Z183" s="15"/>
      <c r="AA183" s="15"/>
      <c r="AB183" s="15"/>
      <c r="AC183" s="15"/>
      <c r="AD183" s="15"/>
      <c r="AE183" s="15"/>
      <c r="AF183" s="15"/>
      <c r="AG183" s="15"/>
      <c r="AH183" s="15"/>
    </row>
    <row r="184" ht="15.75" customHeight="1">
      <c r="A184" s="32" t="s">
        <v>5</v>
      </c>
      <c r="E184" s="32" t="s">
        <v>88</v>
      </c>
      <c r="F184" s="35" t="s">
        <v>247</v>
      </c>
      <c r="G184" s="35"/>
      <c r="H184" s="31"/>
      <c r="I184" s="9"/>
      <c r="J184" s="9"/>
      <c r="K184" s="9"/>
      <c r="L184" s="9"/>
      <c r="M184" s="15"/>
      <c r="N184" s="15"/>
      <c r="O184" s="15"/>
      <c r="P184" s="15"/>
      <c r="Q184" s="15"/>
      <c r="R184" s="15"/>
      <c r="S184" s="15"/>
      <c r="T184" s="15"/>
      <c r="U184" s="15"/>
      <c r="V184" s="15"/>
      <c r="W184" s="15"/>
      <c r="X184" s="15"/>
      <c r="Y184" s="15"/>
      <c r="Z184" s="15"/>
      <c r="AA184" s="15"/>
      <c r="AB184" s="15"/>
      <c r="AC184" s="15"/>
      <c r="AD184" s="15"/>
      <c r="AE184" s="15"/>
      <c r="AF184" s="15"/>
      <c r="AG184" s="15"/>
      <c r="AH184" s="15"/>
    </row>
    <row r="185" ht="15.75" customHeight="1">
      <c r="A185" s="32" t="s">
        <v>5</v>
      </c>
      <c r="E185" s="32" t="s">
        <v>88</v>
      </c>
      <c r="F185" s="35" t="s">
        <v>95</v>
      </c>
      <c r="G185" s="165" t="s">
        <v>1233</v>
      </c>
      <c r="H185" s="162" t="s">
        <v>95</v>
      </c>
      <c r="I185" s="9"/>
      <c r="J185" s="9"/>
      <c r="K185" s="9"/>
      <c r="L185" s="9"/>
      <c r="M185" s="15"/>
      <c r="N185" s="15"/>
      <c r="O185" s="15"/>
      <c r="P185" s="15"/>
      <c r="Q185" s="15"/>
      <c r="R185" s="15"/>
      <c r="S185" s="15"/>
      <c r="T185" s="15"/>
      <c r="U185" s="15"/>
      <c r="V185" s="15"/>
      <c r="W185" s="15"/>
      <c r="X185" s="15"/>
      <c r="Y185" s="15"/>
      <c r="Z185" s="15"/>
      <c r="AA185" s="15"/>
      <c r="AB185" s="15"/>
      <c r="AC185" s="15"/>
      <c r="AD185" s="15"/>
      <c r="AE185" s="15"/>
      <c r="AF185" s="15"/>
      <c r="AG185" s="15"/>
      <c r="AH185" s="15"/>
    </row>
    <row r="186" ht="15.75" customHeight="1">
      <c r="A186" s="32" t="s">
        <v>5</v>
      </c>
      <c r="E186" s="32" t="s">
        <v>88</v>
      </c>
      <c r="F186" s="35" t="s">
        <v>96</v>
      </c>
      <c r="G186" s="165" t="s">
        <v>1234</v>
      </c>
      <c r="H186" s="162" t="s">
        <v>96</v>
      </c>
      <c r="I186" s="9"/>
      <c r="J186" s="9"/>
      <c r="K186" s="9"/>
      <c r="L186" s="9"/>
      <c r="M186" s="15"/>
      <c r="N186" s="15"/>
      <c r="O186" s="15"/>
      <c r="P186" s="15"/>
      <c r="Q186" s="15"/>
      <c r="R186" s="15"/>
      <c r="S186" s="15"/>
      <c r="T186" s="15"/>
      <c r="U186" s="15"/>
      <c r="V186" s="15"/>
      <c r="W186" s="15"/>
      <c r="X186" s="15"/>
      <c r="Y186" s="15"/>
      <c r="Z186" s="15"/>
      <c r="AA186" s="15"/>
      <c r="AB186" s="15"/>
      <c r="AC186" s="15"/>
      <c r="AD186" s="15"/>
      <c r="AE186" s="15"/>
      <c r="AF186" s="15"/>
      <c r="AG186" s="15"/>
      <c r="AH186" s="15"/>
    </row>
    <row r="187" ht="15.75" customHeight="1">
      <c r="A187" s="32" t="s">
        <v>5</v>
      </c>
      <c r="E187" s="32" t="s">
        <v>86</v>
      </c>
      <c r="F187" s="35" t="s">
        <v>90</v>
      </c>
      <c r="G187" s="165" t="s">
        <v>1235</v>
      </c>
      <c r="H187" s="162" t="s">
        <v>90</v>
      </c>
      <c r="I187" s="9"/>
      <c r="J187" s="9"/>
      <c r="K187" s="9"/>
      <c r="L187" s="9"/>
      <c r="M187" s="15"/>
      <c r="N187" s="15"/>
      <c r="O187" s="15"/>
      <c r="P187" s="15"/>
      <c r="Q187" s="15"/>
      <c r="R187" s="15"/>
      <c r="S187" s="15"/>
      <c r="T187" s="15"/>
      <c r="U187" s="15"/>
      <c r="V187" s="15"/>
      <c r="W187" s="15"/>
      <c r="X187" s="15"/>
      <c r="Y187" s="15"/>
      <c r="Z187" s="15"/>
      <c r="AA187" s="15"/>
      <c r="AB187" s="15"/>
      <c r="AC187" s="15"/>
      <c r="AD187" s="15"/>
      <c r="AE187" s="15"/>
      <c r="AF187" s="15"/>
      <c r="AG187" s="15"/>
      <c r="AH187" s="15"/>
    </row>
    <row r="188" ht="15.75" customHeight="1">
      <c r="A188" s="32" t="s">
        <v>5</v>
      </c>
      <c r="E188" s="32" t="s">
        <v>86</v>
      </c>
      <c r="F188" s="35" t="s">
        <v>338</v>
      </c>
      <c r="G188" s="165" t="s">
        <v>1236</v>
      </c>
      <c r="H188" s="162" t="s">
        <v>338</v>
      </c>
      <c r="I188" s="9"/>
      <c r="J188" s="9"/>
      <c r="K188" s="9"/>
      <c r="L188" s="9"/>
      <c r="M188" s="15"/>
      <c r="N188" s="15"/>
      <c r="O188" s="15"/>
      <c r="P188" s="15"/>
      <c r="Q188" s="15"/>
      <c r="R188" s="15"/>
      <c r="S188" s="15"/>
      <c r="T188" s="15"/>
      <c r="U188" s="15"/>
      <c r="V188" s="15"/>
      <c r="W188" s="15"/>
      <c r="X188" s="15"/>
      <c r="Y188" s="15"/>
      <c r="Z188" s="15"/>
      <c r="AA188" s="15"/>
      <c r="AB188" s="15"/>
      <c r="AC188" s="15"/>
      <c r="AD188" s="15"/>
      <c r="AE188" s="15"/>
      <c r="AF188" s="15"/>
      <c r="AG188" s="15"/>
      <c r="AH188" s="15"/>
    </row>
    <row r="189" ht="15.75" customHeight="1">
      <c r="A189" s="32" t="s">
        <v>5</v>
      </c>
      <c r="E189" s="32" t="s">
        <v>104</v>
      </c>
      <c r="F189" s="35" t="s">
        <v>250</v>
      </c>
      <c r="G189" s="165" t="s">
        <v>1237</v>
      </c>
      <c r="H189" s="162" t="s">
        <v>250</v>
      </c>
      <c r="I189" s="9"/>
      <c r="J189" s="9"/>
      <c r="K189" s="9"/>
      <c r="L189" s="9"/>
      <c r="M189" s="15"/>
      <c r="N189" s="15"/>
      <c r="O189" s="15"/>
      <c r="P189" s="15"/>
      <c r="Q189" s="15"/>
      <c r="R189" s="15"/>
      <c r="S189" s="15"/>
      <c r="T189" s="15"/>
      <c r="U189" s="15"/>
      <c r="V189" s="15"/>
      <c r="W189" s="15"/>
      <c r="X189" s="15"/>
      <c r="Y189" s="15"/>
      <c r="Z189" s="15"/>
      <c r="AA189" s="15"/>
      <c r="AB189" s="15"/>
      <c r="AC189" s="15"/>
      <c r="AD189" s="15"/>
      <c r="AE189" s="15"/>
      <c r="AF189" s="15"/>
      <c r="AG189" s="15"/>
      <c r="AH189" s="15"/>
    </row>
    <row r="190" ht="15.75" customHeight="1">
      <c r="A190" s="32" t="s">
        <v>5</v>
      </c>
      <c r="E190" s="32" t="s">
        <v>178</v>
      </c>
      <c r="F190" s="35" t="s">
        <v>209</v>
      </c>
      <c r="G190" s="165" t="s">
        <v>1238</v>
      </c>
      <c r="H190" s="162" t="s">
        <v>209</v>
      </c>
      <c r="I190" s="9"/>
      <c r="J190" s="9"/>
      <c r="K190" s="9"/>
      <c r="L190" s="9"/>
      <c r="M190" s="15"/>
      <c r="N190" s="15"/>
      <c r="O190" s="15"/>
      <c r="P190" s="15"/>
      <c r="Q190" s="15"/>
      <c r="R190" s="15"/>
      <c r="S190" s="15"/>
      <c r="T190" s="15"/>
      <c r="U190" s="15"/>
      <c r="V190" s="15"/>
      <c r="W190" s="15"/>
      <c r="X190" s="15"/>
      <c r="Y190" s="15"/>
      <c r="Z190" s="15"/>
      <c r="AA190" s="15"/>
      <c r="AB190" s="15"/>
      <c r="AC190" s="15"/>
      <c r="AD190" s="15"/>
      <c r="AE190" s="15"/>
      <c r="AF190" s="15"/>
      <c r="AG190" s="15"/>
      <c r="AH190" s="15"/>
    </row>
    <row r="191" ht="15.75" customHeight="1">
      <c r="A191" s="32" t="s">
        <v>5</v>
      </c>
      <c r="E191" s="32" t="s">
        <v>178</v>
      </c>
      <c r="F191" s="35" t="s">
        <v>210</v>
      </c>
      <c r="G191" s="165" t="s">
        <v>1239</v>
      </c>
      <c r="H191" s="162" t="s">
        <v>210</v>
      </c>
      <c r="I191" s="9"/>
      <c r="J191" s="9"/>
      <c r="K191" s="9"/>
      <c r="L191" s="9"/>
      <c r="M191" s="15"/>
      <c r="N191" s="15"/>
      <c r="O191" s="15"/>
      <c r="P191" s="15"/>
      <c r="Q191" s="15"/>
      <c r="R191" s="15"/>
      <c r="S191" s="15"/>
      <c r="T191" s="15"/>
      <c r="U191" s="15"/>
      <c r="V191" s="15"/>
      <c r="W191" s="15"/>
      <c r="X191" s="15"/>
      <c r="Y191" s="15"/>
      <c r="Z191" s="15"/>
      <c r="AA191" s="15"/>
      <c r="AB191" s="15"/>
      <c r="AC191" s="15"/>
      <c r="AD191" s="15"/>
      <c r="AE191" s="15"/>
      <c r="AF191" s="15"/>
      <c r="AG191" s="15"/>
      <c r="AH191" s="15"/>
    </row>
    <row r="192" ht="15.75" customHeight="1">
      <c r="A192" s="32" t="s">
        <v>5</v>
      </c>
      <c r="E192" s="8" t="s">
        <v>88</v>
      </c>
      <c r="F192" s="8" t="s">
        <v>89</v>
      </c>
      <c r="G192" s="29"/>
      <c r="H192" s="31"/>
      <c r="I192" s="31"/>
      <c r="J192" s="31"/>
      <c r="K192" s="9"/>
      <c r="L192" s="9"/>
      <c r="M192" s="15"/>
      <c r="N192" s="15"/>
      <c r="O192" s="15"/>
      <c r="P192" s="15"/>
      <c r="Q192" s="15"/>
      <c r="R192" s="15"/>
      <c r="S192" s="15"/>
      <c r="T192" s="15"/>
      <c r="U192" s="15"/>
      <c r="V192" s="15"/>
      <c r="W192" s="15"/>
      <c r="X192" s="15"/>
      <c r="Y192" s="15"/>
      <c r="Z192" s="15"/>
      <c r="AA192" s="15"/>
      <c r="AB192" s="15"/>
      <c r="AC192" s="15"/>
      <c r="AD192" s="15"/>
      <c r="AE192" s="15"/>
      <c r="AF192" s="15"/>
      <c r="AG192" s="15"/>
      <c r="AH192" s="15"/>
    </row>
    <row r="193" ht="15.75" customHeight="1">
      <c r="A193" s="32" t="s">
        <v>5</v>
      </c>
      <c r="E193" s="28" t="s">
        <v>88</v>
      </c>
      <c r="F193" s="8" t="s">
        <v>795</v>
      </c>
      <c r="G193" s="29"/>
      <c r="H193" s="31"/>
      <c r="I193" s="31"/>
      <c r="J193" s="31"/>
      <c r="K193" s="9"/>
      <c r="L193" s="9"/>
      <c r="M193" s="15"/>
      <c r="N193" s="15"/>
      <c r="O193" s="15"/>
      <c r="P193" s="15"/>
      <c r="Q193" s="15"/>
      <c r="R193" s="15"/>
      <c r="S193" s="15"/>
      <c r="T193" s="15"/>
      <c r="U193" s="15"/>
      <c r="V193" s="15"/>
      <c r="W193" s="15"/>
      <c r="X193" s="15"/>
      <c r="Y193" s="15"/>
      <c r="Z193" s="15"/>
      <c r="AA193" s="15"/>
      <c r="AB193" s="15"/>
      <c r="AC193" s="15"/>
      <c r="AD193" s="15"/>
      <c r="AE193" s="15"/>
      <c r="AF193" s="15"/>
      <c r="AG193" s="15"/>
      <c r="AH193" s="15"/>
    </row>
    <row r="194" ht="15.75" customHeight="1">
      <c r="A194" s="28" t="s">
        <v>5</v>
      </c>
      <c r="B194" s="56" t="s">
        <v>1240</v>
      </c>
      <c r="C194" s="83" t="s">
        <v>1241</v>
      </c>
      <c r="D194" s="83" t="s">
        <v>20</v>
      </c>
      <c r="E194" s="28" t="s">
        <v>88</v>
      </c>
      <c r="F194" s="65" t="s">
        <v>89</v>
      </c>
      <c r="G194" s="28"/>
      <c r="H194" s="31"/>
      <c r="I194" s="9"/>
      <c r="J194" s="9"/>
      <c r="K194" s="9"/>
      <c r="L194" s="9"/>
      <c r="M194" s="15"/>
      <c r="N194" s="15"/>
      <c r="O194" s="15"/>
      <c r="P194" s="15"/>
      <c r="Q194" s="15"/>
      <c r="R194" s="15"/>
      <c r="S194" s="15"/>
      <c r="T194" s="15"/>
      <c r="U194" s="15"/>
      <c r="V194" s="15"/>
      <c r="W194" s="15"/>
      <c r="X194" s="15"/>
      <c r="Y194" s="15"/>
      <c r="Z194" s="15"/>
      <c r="AA194" s="15"/>
      <c r="AB194" s="15"/>
      <c r="AC194" s="15"/>
      <c r="AD194" s="15"/>
      <c r="AE194" s="15"/>
      <c r="AF194" s="15"/>
      <c r="AG194" s="15"/>
      <c r="AH194" s="15"/>
    </row>
    <row r="195" ht="15.75" customHeight="1">
      <c r="A195" s="28" t="s">
        <v>5</v>
      </c>
      <c r="E195" s="28" t="s">
        <v>21</v>
      </c>
      <c r="F195" s="65" t="s">
        <v>51</v>
      </c>
      <c r="G195" s="166" t="s">
        <v>1242</v>
      </c>
      <c r="H195" s="31" t="s">
        <v>51</v>
      </c>
      <c r="I195" s="9"/>
      <c r="J195" s="9"/>
      <c r="K195" s="9"/>
      <c r="L195" s="9"/>
      <c r="M195" s="15"/>
      <c r="N195" s="15"/>
      <c r="O195" s="15"/>
      <c r="P195" s="15"/>
      <c r="Q195" s="15"/>
      <c r="R195" s="15"/>
      <c r="S195" s="15"/>
      <c r="T195" s="15"/>
      <c r="U195" s="15"/>
      <c r="V195" s="15"/>
      <c r="W195" s="15"/>
      <c r="X195" s="15"/>
      <c r="Y195" s="15"/>
      <c r="Z195" s="15"/>
      <c r="AA195" s="15"/>
      <c r="AB195" s="15"/>
      <c r="AC195" s="15"/>
      <c r="AD195" s="15"/>
      <c r="AE195" s="15"/>
      <c r="AF195" s="15"/>
      <c r="AG195" s="15"/>
      <c r="AH195" s="15"/>
    </row>
    <row r="196" ht="15.75" customHeight="1">
      <c r="A196" s="28" t="s">
        <v>5</v>
      </c>
      <c r="E196" s="28" t="s">
        <v>88</v>
      </c>
      <c r="F196" s="65" t="s">
        <v>494</v>
      </c>
      <c r="G196" s="166" t="s">
        <v>1243</v>
      </c>
      <c r="H196" s="31" t="s">
        <v>494</v>
      </c>
      <c r="I196" s="9"/>
      <c r="J196" s="9"/>
      <c r="K196" s="9"/>
      <c r="L196" s="9"/>
      <c r="M196" s="15"/>
      <c r="N196" s="15"/>
      <c r="O196" s="15"/>
      <c r="P196" s="15"/>
      <c r="Q196" s="15"/>
      <c r="R196" s="15"/>
      <c r="S196" s="15"/>
      <c r="T196" s="15"/>
      <c r="U196" s="15"/>
      <c r="V196" s="15"/>
      <c r="W196" s="15"/>
      <c r="X196" s="15"/>
      <c r="Y196" s="15"/>
      <c r="Z196" s="15"/>
      <c r="AA196" s="15"/>
      <c r="AB196" s="15"/>
      <c r="AC196" s="15"/>
      <c r="AD196" s="15"/>
      <c r="AE196" s="15"/>
      <c r="AF196" s="15"/>
      <c r="AG196" s="15"/>
      <c r="AH196" s="15"/>
    </row>
    <row r="197" ht="15.75" customHeight="1">
      <c r="A197" s="28" t="s">
        <v>5</v>
      </c>
      <c r="E197" s="28" t="s">
        <v>88</v>
      </c>
      <c r="F197" s="65" t="s">
        <v>479</v>
      </c>
      <c r="G197" s="166" t="s">
        <v>1244</v>
      </c>
      <c r="H197" s="31" t="s">
        <v>479</v>
      </c>
      <c r="I197" s="9"/>
      <c r="J197" s="9"/>
      <c r="K197" s="9"/>
      <c r="L197" s="9"/>
      <c r="M197" s="15"/>
      <c r="N197" s="15"/>
      <c r="O197" s="15"/>
      <c r="P197" s="15"/>
      <c r="Q197" s="15"/>
      <c r="R197" s="15"/>
      <c r="S197" s="15"/>
      <c r="T197" s="15"/>
      <c r="U197" s="15"/>
      <c r="V197" s="15"/>
      <c r="W197" s="15"/>
      <c r="X197" s="15"/>
      <c r="Y197" s="15"/>
      <c r="Z197" s="15"/>
      <c r="AA197" s="15"/>
      <c r="AB197" s="15"/>
      <c r="AC197" s="15"/>
      <c r="AD197" s="15"/>
      <c r="AE197" s="15"/>
      <c r="AF197" s="15"/>
      <c r="AG197" s="15"/>
      <c r="AH197" s="15"/>
    </row>
    <row r="198" ht="15.75" customHeight="1">
      <c r="A198" s="28" t="s">
        <v>5</v>
      </c>
      <c r="E198" s="28" t="s">
        <v>88</v>
      </c>
      <c r="F198" s="65" t="s">
        <v>477</v>
      </c>
      <c r="G198" s="166" t="s">
        <v>1245</v>
      </c>
      <c r="H198" s="31" t="s">
        <v>477</v>
      </c>
      <c r="I198" s="9"/>
      <c r="J198" s="9"/>
      <c r="K198" s="9"/>
      <c r="L198" s="9"/>
      <c r="M198" s="15"/>
      <c r="N198" s="15"/>
      <c r="O198" s="15"/>
      <c r="P198" s="15"/>
      <c r="Q198" s="15"/>
      <c r="R198" s="15"/>
      <c r="S198" s="15"/>
      <c r="T198" s="15"/>
      <c r="U198" s="15"/>
      <c r="V198" s="15"/>
      <c r="W198" s="15"/>
      <c r="X198" s="15"/>
      <c r="Y198" s="15"/>
      <c r="Z198" s="15"/>
      <c r="AA198" s="15"/>
      <c r="AB198" s="15"/>
      <c r="AC198" s="15"/>
      <c r="AD198" s="15"/>
      <c r="AE198" s="15"/>
      <c r="AF198" s="15"/>
      <c r="AG198" s="15"/>
      <c r="AH198" s="15"/>
    </row>
    <row r="199" ht="15.75" customHeight="1">
      <c r="A199" s="28" t="s">
        <v>5</v>
      </c>
      <c r="E199" s="28" t="s">
        <v>88</v>
      </c>
      <c r="F199" s="32" t="s">
        <v>656</v>
      </c>
      <c r="G199" s="166" t="s">
        <v>1246</v>
      </c>
      <c r="H199" s="162" t="s">
        <v>656</v>
      </c>
      <c r="I199" s="31"/>
      <c r="J199" s="31"/>
      <c r="K199" s="9"/>
      <c r="L199" s="9"/>
      <c r="M199" s="15"/>
      <c r="N199" s="15"/>
      <c r="O199" s="15"/>
      <c r="P199" s="15"/>
      <c r="Q199" s="15"/>
      <c r="R199" s="15"/>
      <c r="S199" s="15"/>
      <c r="T199" s="15"/>
      <c r="U199" s="15"/>
      <c r="V199" s="15"/>
      <c r="W199" s="15"/>
      <c r="X199" s="15"/>
      <c r="Y199" s="15"/>
      <c r="Z199" s="15"/>
      <c r="AA199" s="15"/>
      <c r="AB199" s="15"/>
      <c r="AC199" s="15"/>
      <c r="AD199" s="15"/>
      <c r="AE199" s="15"/>
      <c r="AF199" s="15"/>
      <c r="AG199" s="15"/>
      <c r="AH199" s="15"/>
    </row>
    <row r="200" ht="15.75" customHeight="1">
      <c r="A200" s="28" t="s">
        <v>5</v>
      </c>
      <c r="B200" s="56" t="s">
        <v>1247</v>
      </c>
      <c r="C200" s="83" t="s">
        <v>1248</v>
      </c>
      <c r="D200" s="83" t="s">
        <v>20</v>
      </c>
      <c r="E200" s="28" t="s">
        <v>88</v>
      </c>
      <c r="F200" s="32" t="s">
        <v>481</v>
      </c>
      <c r="G200" s="166" t="s">
        <v>1249</v>
      </c>
      <c r="H200" s="31" t="s">
        <v>481</v>
      </c>
      <c r="I200" s="9"/>
      <c r="J200" s="9"/>
      <c r="K200" s="9"/>
      <c r="L200" s="9"/>
      <c r="M200" s="15"/>
      <c r="N200" s="15"/>
      <c r="O200" s="15"/>
      <c r="P200" s="15"/>
      <c r="Q200" s="15"/>
      <c r="R200" s="15"/>
      <c r="S200" s="15"/>
      <c r="T200" s="15"/>
      <c r="U200" s="15"/>
      <c r="V200" s="15"/>
      <c r="W200" s="15"/>
      <c r="X200" s="15"/>
      <c r="Y200" s="15"/>
      <c r="Z200" s="15"/>
      <c r="AA200" s="15"/>
      <c r="AB200" s="15"/>
      <c r="AC200" s="15"/>
      <c r="AD200" s="15"/>
      <c r="AE200" s="15"/>
      <c r="AF200" s="15"/>
      <c r="AG200" s="15"/>
      <c r="AH200" s="15"/>
    </row>
    <row r="201" ht="15.75" customHeight="1">
      <c r="A201" s="28" t="s">
        <v>5</v>
      </c>
      <c r="E201" s="28" t="s">
        <v>88</v>
      </c>
      <c r="F201" s="65" t="s">
        <v>515</v>
      </c>
      <c r="G201" s="166" t="s">
        <v>1250</v>
      </c>
      <c r="H201" s="162" t="s">
        <v>515</v>
      </c>
      <c r="I201" s="9"/>
      <c r="J201" s="9"/>
      <c r="K201" s="9"/>
      <c r="L201" s="9"/>
      <c r="M201" s="15"/>
      <c r="N201" s="15"/>
      <c r="O201" s="15"/>
      <c r="P201" s="15"/>
      <c r="Q201" s="15"/>
      <c r="R201" s="15"/>
      <c r="S201" s="15"/>
      <c r="T201" s="15"/>
      <c r="U201" s="15"/>
      <c r="V201" s="15"/>
      <c r="W201" s="15"/>
      <c r="X201" s="15"/>
      <c r="Y201" s="15"/>
      <c r="Z201" s="15"/>
      <c r="AA201" s="15"/>
      <c r="AB201" s="15"/>
      <c r="AC201" s="15"/>
      <c r="AD201" s="15"/>
      <c r="AE201" s="15"/>
      <c r="AF201" s="15"/>
      <c r="AG201" s="15"/>
      <c r="AH201" s="15"/>
    </row>
    <row r="202" ht="15.75" customHeight="1">
      <c r="A202" s="28" t="s">
        <v>5</v>
      </c>
      <c r="E202" s="28" t="s">
        <v>88</v>
      </c>
      <c r="F202" s="32" t="s">
        <v>570</v>
      </c>
      <c r="G202" s="28"/>
      <c r="H202" s="31"/>
      <c r="I202" s="31"/>
      <c r="J202" s="9"/>
      <c r="K202" s="9"/>
      <c r="L202" s="9"/>
      <c r="M202" s="15"/>
      <c r="N202" s="15"/>
      <c r="O202" s="15"/>
      <c r="P202" s="15"/>
      <c r="Q202" s="15"/>
      <c r="R202" s="15"/>
      <c r="S202" s="15"/>
      <c r="T202" s="15"/>
      <c r="U202" s="15"/>
      <c r="V202" s="15"/>
      <c r="W202" s="15"/>
      <c r="X202" s="15"/>
      <c r="Y202" s="15"/>
      <c r="Z202" s="15"/>
      <c r="AA202" s="15"/>
      <c r="AB202" s="15"/>
      <c r="AC202" s="15"/>
      <c r="AD202" s="15"/>
      <c r="AE202" s="15"/>
      <c r="AF202" s="15"/>
      <c r="AG202" s="15"/>
      <c r="AH202" s="15"/>
    </row>
    <row r="203" ht="15.75" customHeight="1">
      <c r="A203" s="28" t="s">
        <v>5</v>
      </c>
      <c r="E203" s="28" t="s">
        <v>88</v>
      </c>
      <c r="F203" s="32" t="s">
        <v>487</v>
      </c>
      <c r="G203" s="166" t="s">
        <v>1251</v>
      </c>
      <c r="H203" s="162" t="s">
        <v>487</v>
      </c>
      <c r="I203" s="31"/>
      <c r="J203" s="9"/>
      <c r="K203" s="9"/>
      <c r="L203" s="9"/>
      <c r="M203" s="15"/>
      <c r="N203" s="15"/>
      <c r="O203" s="15"/>
      <c r="P203" s="15"/>
      <c r="Q203" s="15"/>
      <c r="R203" s="15"/>
      <c r="S203" s="15"/>
      <c r="T203" s="15"/>
      <c r="U203" s="15"/>
      <c r="V203" s="15"/>
      <c r="W203" s="15"/>
      <c r="X203" s="15"/>
      <c r="Y203" s="15"/>
      <c r="Z203" s="15"/>
      <c r="AA203" s="15"/>
      <c r="AB203" s="15"/>
      <c r="AC203" s="15"/>
      <c r="AD203" s="15"/>
      <c r="AE203" s="15"/>
      <c r="AF203" s="15"/>
      <c r="AG203" s="15"/>
      <c r="AH203" s="15"/>
    </row>
    <row r="204" ht="15.75" customHeight="1">
      <c r="A204" s="28" t="s">
        <v>5</v>
      </c>
      <c r="E204" s="28" t="s">
        <v>88</v>
      </c>
      <c r="F204" s="32" t="s">
        <v>489</v>
      </c>
      <c r="G204" s="166" t="s">
        <v>1252</v>
      </c>
      <c r="H204" s="162" t="s">
        <v>489</v>
      </c>
      <c r="I204" s="9"/>
      <c r="J204" s="9"/>
      <c r="K204" s="9"/>
      <c r="L204" s="9"/>
      <c r="M204" s="15"/>
      <c r="N204" s="15"/>
      <c r="O204" s="15"/>
      <c r="P204" s="15"/>
      <c r="Q204" s="15"/>
      <c r="R204" s="15"/>
      <c r="S204" s="15"/>
      <c r="T204" s="15"/>
      <c r="U204" s="15"/>
      <c r="V204" s="15"/>
      <c r="W204" s="15"/>
      <c r="X204" s="15"/>
      <c r="Y204" s="15"/>
      <c r="Z204" s="15"/>
      <c r="AA204" s="15"/>
      <c r="AB204" s="15"/>
      <c r="AC204" s="15"/>
      <c r="AD204" s="15"/>
      <c r="AE204" s="15"/>
      <c r="AF204" s="15"/>
      <c r="AG204" s="15"/>
      <c r="AH204" s="15"/>
    </row>
    <row r="205" ht="15.75" customHeight="1">
      <c r="A205" s="28" t="s">
        <v>5</v>
      </c>
      <c r="E205" s="28" t="s">
        <v>88</v>
      </c>
      <c r="F205" s="65" t="s">
        <v>620</v>
      </c>
      <c r="G205" s="166" t="s">
        <v>1253</v>
      </c>
      <c r="H205" s="162" t="s">
        <v>620</v>
      </c>
      <c r="I205" s="9"/>
      <c r="J205" s="9"/>
      <c r="K205" s="9"/>
      <c r="L205" s="9"/>
      <c r="M205" s="15"/>
      <c r="N205" s="15"/>
      <c r="O205" s="15"/>
      <c r="P205" s="15"/>
      <c r="Q205" s="15"/>
      <c r="R205" s="15"/>
      <c r="S205" s="15"/>
      <c r="T205" s="15"/>
      <c r="U205" s="15"/>
      <c r="V205" s="15"/>
      <c r="W205" s="15"/>
      <c r="X205" s="15"/>
      <c r="Y205" s="15"/>
      <c r="Z205" s="15"/>
      <c r="AA205" s="15"/>
      <c r="AB205" s="15"/>
      <c r="AC205" s="15"/>
      <c r="AD205" s="15"/>
      <c r="AE205" s="15"/>
      <c r="AF205" s="15"/>
      <c r="AG205" s="15"/>
      <c r="AH205" s="15"/>
    </row>
    <row r="206" ht="15.75" customHeight="1">
      <c r="A206" s="28" t="s">
        <v>5</v>
      </c>
      <c r="E206" s="28" t="s">
        <v>88</v>
      </c>
      <c r="F206" s="32" t="s">
        <v>485</v>
      </c>
      <c r="G206" s="166" t="s">
        <v>1254</v>
      </c>
      <c r="H206" s="162" t="s">
        <v>485</v>
      </c>
      <c r="I206" s="9"/>
      <c r="J206" s="9"/>
      <c r="K206" s="9"/>
      <c r="L206" s="9"/>
      <c r="M206" s="15"/>
      <c r="N206" s="15"/>
      <c r="O206" s="15"/>
      <c r="P206" s="15"/>
      <c r="Q206" s="15"/>
      <c r="R206" s="15"/>
      <c r="S206" s="15"/>
      <c r="T206" s="15"/>
      <c r="U206" s="15"/>
      <c r="V206" s="15"/>
      <c r="W206" s="15"/>
      <c r="X206" s="15"/>
      <c r="Y206" s="15"/>
      <c r="Z206" s="15"/>
      <c r="AA206" s="15"/>
      <c r="AB206" s="15"/>
      <c r="AC206" s="15"/>
      <c r="AD206" s="15"/>
      <c r="AE206" s="15"/>
      <c r="AF206" s="15"/>
      <c r="AG206" s="15"/>
      <c r="AH206" s="15"/>
    </row>
    <row r="207" ht="15.75" customHeight="1">
      <c r="A207" s="28" t="s">
        <v>5</v>
      </c>
      <c r="E207" s="28" t="s">
        <v>88</v>
      </c>
      <c r="F207" s="32" t="s">
        <v>636</v>
      </c>
      <c r="G207" s="166" t="s">
        <v>1255</v>
      </c>
      <c r="H207" s="162" t="s">
        <v>636</v>
      </c>
      <c r="I207" s="31"/>
      <c r="J207" s="31"/>
      <c r="K207" s="9"/>
      <c r="L207" s="9"/>
      <c r="M207" s="15"/>
      <c r="N207" s="15"/>
      <c r="O207" s="15"/>
      <c r="P207" s="15"/>
      <c r="Q207" s="15"/>
      <c r="R207" s="15"/>
      <c r="S207" s="15"/>
      <c r="T207" s="15"/>
      <c r="U207" s="15"/>
      <c r="V207" s="15"/>
      <c r="W207" s="15"/>
      <c r="X207" s="15"/>
      <c r="Y207" s="15"/>
      <c r="Z207" s="15"/>
      <c r="AA207" s="15"/>
      <c r="AB207" s="15"/>
      <c r="AC207" s="15"/>
      <c r="AD207" s="15"/>
      <c r="AE207" s="15"/>
      <c r="AF207" s="15"/>
      <c r="AG207" s="15"/>
      <c r="AH207" s="15"/>
    </row>
    <row r="208" ht="15.75" customHeight="1">
      <c r="A208" s="28" t="s">
        <v>5</v>
      </c>
      <c r="E208" s="28" t="s">
        <v>88</v>
      </c>
      <c r="F208" s="32" t="s">
        <v>598</v>
      </c>
      <c r="G208" s="28"/>
      <c r="H208" s="31"/>
      <c r="I208" s="31"/>
      <c r="J208" s="31"/>
      <c r="K208" s="9"/>
      <c r="L208" s="9"/>
      <c r="M208" s="15"/>
      <c r="N208" s="15"/>
      <c r="O208" s="15"/>
      <c r="P208" s="15"/>
      <c r="Q208" s="15"/>
      <c r="R208" s="15"/>
      <c r="S208" s="15"/>
      <c r="T208" s="15"/>
      <c r="U208" s="15"/>
      <c r="V208" s="15"/>
      <c r="W208" s="15"/>
      <c r="X208" s="15"/>
      <c r="Y208" s="15"/>
      <c r="Z208" s="15"/>
      <c r="AA208" s="15"/>
      <c r="AB208" s="15"/>
      <c r="AC208" s="15"/>
      <c r="AD208" s="15"/>
      <c r="AE208" s="15"/>
      <c r="AF208" s="15"/>
      <c r="AG208" s="15"/>
      <c r="AH208" s="15"/>
    </row>
    <row r="209" ht="15.75" customHeight="1">
      <c r="A209" s="28" t="s">
        <v>5</v>
      </c>
      <c r="B209" s="56" t="s">
        <v>1256</v>
      </c>
      <c r="C209" s="83" t="s">
        <v>1257</v>
      </c>
      <c r="D209" s="83" t="s">
        <v>20</v>
      </c>
      <c r="E209" s="28" t="s">
        <v>88</v>
      </c>
      <c r="F209" s="32" t="s">
        <v>521</v>
      </c>
      <c r="G209" s="166" t="s">
        <v>1258</v>
      </c>
      <c r="H209" s="162" t="s">
        <v>521</v>
      </c>
      <c r="I209" s="9"/>
      <c r="J209" s="9"/>
      <c r="K209" s="9"/>
      <c r="L209" s="9"/>
      <c r="M209" s="15"/>
      <c r="N209" s="15"/>
      <c r="O209" s="15"/>
      <c r="P209" s="15"/>
      <c r="Q209" s="15"/>
      <c r="R209" s="15"/>
      <c r="S209" s="15"/>
      <c r="T209" s="15"/>
      <c r="U209" s="15"/>
      <c r="V209" s="15"/>
      <c r="W209" s="15"/>
      <c r="X209" s="15"/>
      <c r="Y209" s="15"/>
      <c r="Z209" s="15"/>
      <c r="AA209" s="15"/>
      <c r="AB209" s="15"/>
      <c r="AC209" s="15"/>
      <c r="AD209" s="15"/>
      <c r="AE209" s="15"/>
      <c r="AF209" s="15"/>
      <c r="AG209" s="15"/>
      <c r="AH209" s="15"/>
    </row>
    <row r="210" ht="15.75" customHeight="1">
      <c r="A210" s="28" t="s">
        <v>5</v>
      </c>
      <c r="E210" s="28" t="s">
        <v>88</v>
      </c>
      <c r="F210" s="32" t="s">
        <v>515</v>
      </c>
      <c r="G210" s="166" t="s">
        <v>1259</v>
      </c>
      <c r="H210" s="162" t="s">
        <v>515</v>
      </c>
      <c r="I210" s="9"/>
      <c r="J210" s="9"/>
      <c r="K210" s="9"/>
      <c r="L210" s="9"/>
      <c r="M210" s="15"/>
      <c r="N210" s="15"/>
      <c r="O210" s="15"/>
      <c r="P210" s="15"/>
      <c r="Q210" s="15"/>
      <c r="R210" s="15"/>
      <c r="S210" s="15"/>
      <c r="T210" s="15"/>
      <c r="U210" s="15"/>
      <c r="V210" s="15"/>
      <c r="W210" s="15"/>
      <c r="X210" s="15"/>
      <c r="Y210" s="15"/>
      <c r="Z210" s="15"/>
      <c r="AA210" s="15"/>
      <c r="AB210" s="15"/>
      <c r="AC210" s="15"/>
      <c r="AD210" s="15"/>
      <c r="AE210" s="15"/>
      <c r="AF210" s="15"/>
      <c r="AG210" s="15"/>
      <c r="AH210" s="15"/>
    </row>
    <row r="211" ht="15.75" customHeight="1">
      <c r="A211" s="28" t="s">
        <v>5</v>
      </c>
      <c r="E211" s="28" t="s">
        <v>88</v>
      </c>
      <c r="F211" s="32" t="s">
        <v>570</v>
      </c>
      <c r="G211" s="28"/>
      <c r="H211" s="31"/>
      <c r="I211" s="9"/>
      <c r="J211" s="9"/>
      <c r="K211" s="9"/>
      <c r="L211" s="9"/>
      <c r="M211" s="15"/>
      <c r="N211" s="15"/>
      <c r="O211" s="15"/>
      <c r="P211" s="15"/>
      <c r="Q211" s="15"/>
      <c r="R211" s="15"/>
      <c r="S211" s="15"/>
      <c r="T211" s="15"/>
      <c r="U211" s="15"/>
      <c r="V211" s="15"/>
      <c r="W211" s="15"/>
      <c r="X211" s="15"/>
      <c r="Y211" s="15"/>
      <c r="Z211" s="15"/>
      <c r="AA211" s="15"/>
      <c r="AB211" s="15"/>
      <c r="AC211" s="15"/>
      <c r="AD211" s="15"/>
      <c r="AE211" s="15"/>
      <c r="AF211" s="15"/>
      <c r="AG211" s="15"/>
      <c r="AH211" s="15"/>
    </row>
    <row r="212" ht="15.75" customHeight="1">
      <c r="A212" s="28" t="s">
        <v>5</v>
      </c>
      <c r="E212" s="28" t="s">
        <v>88</v>
      </c>
      <c r="F212" s="32" t="s">
        <v>557</v>
      </c>
      <c r="G212" s="166" t="s">
        <v>1260</v>
      </c>
      <c r="H212" s="162" t="s">
        <v>557</v>
      </c>
      <c r="I212" s="9"/>
      <c r="J212" s="9"/>
      <c r="K212" s="9"/>
      <c r="L212" s="9"/>
      <c r="M212" s="15"/>
      <c r="N212" s="15"/>
      <c r="O212" s="15"/>
      <c r="P212" s="15"/>
      <c r="Q212" s="15"/>
      <c r="R212" s="15"/>
      <c r="S212" s="15"/>
      <c r="T212" s="15"/>
      <c r="U212" s="15"/>
      <c r="V212" s="15"/>
      <c r="W212" s="15"/>
      <c r="X212" s="15"/>
      <c r="Y212" s="15"/>
      <c r="Z212" s="15"/>
      <c r="AA212" s="15"/>
      <c r="AB212" s="15"/>
      <c r="AC212" s="15"/>
      <c r="AD212" s="15"/>
      <c r="AE212" s="15"/>
      <c r="AF212" s="15"/>
      <c r="AG212" s="15"/>
      <c r="AH212" s="15"/>
    </row>
    <row r="213" ht="15.75" customHeight="1">
      <c r="A213" s="28" t="s">
        <v>5</v>
      </c>
      <c r="E213" s="28" t="s">
        <v>88</v>
      </c>
      <c r="F213" s="32" t="s">
        <v>643</v>
      </c>
      <c r="G213" s="166" t="s">
        <v>1261</v>
      </c>
      <c r="H213" s="31" t="s">
        <v>643</v>
      </c>
      <c r="I213" s="9"/>
      <c r="J213" s="9"/>
      <c r="K213" s="9"/>
      <c r="L213" s="9"/>
      <c r="M213" s="15"/>
      <c r="N213" s="15"/>
      <c r="O213" s="15"/>
      <c r="P213" s="15"/>
      <c r="Q213" s="15"/>
      <c r="R213" s="15"/>
      <c r="S213" s="15"/>
      <c r="T213" s="15"/>
      <c r="U213" s="15"/>
      <c r="V213" s="15"/>
      <c r="W213" s="15"/>
      <c r="X213" s="15"/>
      <c r="Y213" s="15"/>
      <c r="Z213" s="15"/>
      <c r="AA213" s="15"/>
      <c r="AB213" s="15"/>
      <c r="AC213" s="15"/>
      <c r="AD213" s="15"/>
      <c r="AE213" s="15"/>
      <c r="AF213" s="15"/>
      <c r="AG213" s="15"/>
      <c r="AH213" s="15"/>
    </row>
    <row r="214" ht="15.75" customHeight="1">
      <c r="A214" s="28" t="s">
        <v>5</v>
      </c>
      <c r="E214" s="28" t="s">
        <v>88</v>
      </c>
      <c r="F214" s="32" t="s">
        <v>648</v>
      </c>
      <c r="G214" s="166" t="s">
        <v>1262</v>
      </c>
      <c r="H214" s="162" t="s">
        <v>648</v>
      </c>
      <c r="I214" s="9"/>
      <c r="J214" s="9"/>
      <c r="K214" s="9"/>
      <c r="L214" s="9"/>
      <c r="M214" s="15"/>
      <c r="N214" s="15"/>
      <c r="O214" s="15"/>
      <c r="P214" s="15"/>
      <c r="Q214" s="15"/>
      <c r="R214" s="15"/>
      <c r="S214" s="15"/>
      <c r="T214" s="15"/>
      <c r="U214" s="15"/>
      <c r="V214" s="15"/>
      <c r="W214" s="15"/>
      <c r="X214" s="15"/>
      <c r="Y214" s="15"/>
      <c r="Z214" s="15"/>
      <c r="AA214" s="15"/>
      <c r="AB214" s="15"/>
      <c r="AC214" s="15"/>
      <c r="AD214" s="15"/>
      <c r="AE214" s="15"/>
      <c r="AF214" s="15"/>
      <c r="AG214" s="15"/>
      <c r="AH214" s="15"/>
    </row>
    <row r="215" ht="15.75" customHeight="1">
      <c r="A215" s="28" t="s">
        <v>5</v>
      </c>
      <c r="E215" s="28" t="s">
        <v>88</v>
      </c>
      <c r="F215" s="32" t="s">
        <v>598</v>
      </c>
      <c r="G215" s="28"/>
      <c r="H215" s="31"/>
      <c r="I215" s="9"/>
      <c r="J215" s="9"/>
      <c r="K215" s="9"/>
      <c r="L215" s="9"/>
      <c r="M215" s="15"/>
      <c r="N215" s="15"/>
      <c r="O215" s="15"/>
      <c r="P215" s="15"/>
      <c r="Q215" s="15"/>
      <c r="R215" s="15"/>
      <c r="S215" s="15"/>
      <c r="T215" s="15"/>
      <c r="U215" s="15"/>
      <c r="V215" s="15"/>
      <c r="W215" s="15"/>
      <c r="X215" s="15"/>
      <c r="Y215" s="15"/>
      <c r="Z215" s="15"/>
      <c r="AA215" s="15"/>
      <c r="AB215" s="15"/>
      <c r="AC215" s="15"/>
      <c r="AD215" s="15"/>
      <c r="AE215" s="15"/>
      <c r="AF215" s="15"/>
      <c r="AG215" s="15"/>
      <c r="AH215" s="15"/>
    </row>
    <row r="216" ht="15.75" customHeight="1">
      <c r="A216" s="28" t="s">
        <v>5</v>
      </c>
      <c r="B216" s="56" t="s">
        <v>1263</v>
      </c>
      <c r="C216" s="57" t="s">
        <v>1264</v>
      </c>
      <c r="D216" s="83" t="s">
        <v>20</v>
      </c>
      <c r="E216" s="28" t="s">
        <v>88</v>
      </c>
      <c r="F216" s="32" t="s">
        <v>483</v>
      </c>
      <c r="G216" s="166" t="s">
        <v>1265</v>
      </c>
      <c r="H216" s="162" t="s">
        <v>483</v>
      </c>
      <c r="I216" s="9"/>
      <c r="J216" s="9"/>
      <c r="K216" s="9"/>
      <c r="L216" s="9"/>
      <c r="M216" s="15"/>
      <c r="N216" s="15"/>
      <c r="O216" s="15"/>
      <c r="P216" s="15"/>
      <c r="Q216" s="15"/>
      <c r="R216" s="15"/>
      <c r="S216" s="15"/>
      <c r="T216" s="15"/>
      <c r="U216" s="15"/>
      <c r="V216" s="15"/>
      <c r="W216" s="15"/>
      <c r="X216" s="15"/>
      <c r="Y216" s="15"/>
      <c r="Z216" s="15"/>
      <c r="AA216" s="15"/>
      <c r="AB216" s="15"/>
      <c r="AC216" s="15"/>
      <c r="AD216" s="15"/>
      <c r="AE216" s="15"/>
      <c r="AF216" s="15"/>
      <c r="AG216" s="15"/>
      <c r="AH216" s="15"/>
    </row>
    <row r="217" ht="15.75" customHeight="1">
      <c r="A217" s="28" t="s">
        <v>5</v>
      </c>
      <c r="E217" s="28" t="s">
        <v>88</v>
      </c>
      <c r="F217" s="32" t="s">
        <v>598</v>
      </c>
      <c r="G217" s="28"/>
      <c r="H217" s="31"/>
      <c r="I217" s="9"/>
      <c r="J217" s="9"/>
      <c r="K217" s="9"/>
      <c r="L217" s="9"/>
      <c r="M217" s="15"/>
      <c r="N217" s="15"/>
      <c r="O217" s="15"/>
      <c r="P217" s="15"/>
      <c r="Q217" s="15"/>
      <c r="R217" s="15"/>
      <c r="S217" s="15"/>
      <c r="T217" s="15"/>
      <c r="U217" s="15"/>
      <c r="V217" s="15"/>
      <c r="W217" s="15"/>
      <c r="X217" s="15"/>
      <c r="Y217" s="15"/>
      <c r="Z217" s="15"/>
      <c r="AA217" s="15"/>
      <c r="AB217" s="15"/>
      <c r="AC217" s="15"/>
      <c r="AD217" s="15"/>
      <c r="AE217" s="15"/>
      <c r="AF217" s="15"/>
      <c r="AG217" s="15"/>
      <c r="AH217" s="15"/>
    </row>
    <row r="218" ht="15.75" customHeight="1">
      <c r="A218" s="28" t="s">
        <v>5</v>
      </c>
      <c r="B218" s="56" t="s">
        <v>1266</v>
      </c>
      <c r="C218" s="167" t="s">
        <v>1267</v>
      </c>
      <c r="D218" s="83" t="s">
        <v>20</v>
      </c>
      <c r="E218" s="28" t="s">
        <v>21</v>
      </c>
      <c r="F218" s="32" t="s">
        <v>51</v>
      </c>
      <c r="G218" s="168" t="s">
        <v>1268</v>
      </c>
      <c r="H218" s="36"/>
      <c r="L218" s="9"/>
      <c r="M218" s="15"/>
      <c r="N218" s="15"/>
      <c r="O218" s="15"/>
      <c r="P218" s="15"/>
      <c r="Q218" s="15"/>
      <c r="R218" s="15"/>
      <c r="S218" s="15"/>
      <c r="T218" s="15"/>
      <c r="U218" s="15"/>
      <c r="V218" s="15"/>
      <c r="W218" s="15"/>
      <c r="X218" s="15"/>
      <c r="Y218" s="15"/>
      <c r="Z218" s="15"/>
      <c r="AA218" s="15"/>
      <c r="AB218" s="15"/>
      <c r="AC218" s="15"/>
      <c r="AD218" s="15"/>
      <c r="AE218" s="15"/>
      <c r="AF218" s="15"/>
      <c r="AG218" s="15"/>
      <c r="AH218" s="15"/>
    </row>
    <row r="219" ht="15.75" customHeight="1">
      <c r="A219" s="28" t="s">
        <v>5</v>
      </c>
      <c r="E219" s="28" t="s">
        <v>88</v>
      </c>
      <c r="F219" s="32" t="s">
        <v>120</v>
      </c>
      <c r="G219" s="166" t="s">
        <v>1269</v>
      </c>
      <c r="H219" s="162" t="s">
        <v>120</v>
      </c>
      <c r="I219" s="31"/>
      <c r="J219" s="9"/>
      <c r="K219" s="9"/>
      <c r="L219" s="9"/>
      <c r="M219" s="15"/>
      <c r="N219" s="15"/>
      <c r="O219" s="15"/>
      <c r="P219" s="15"/>
      <c r="Q219" s="15"/>
      <c r="R219" s="15"/>
      <c r="S219" s="15"/>
      <c r="T219" s="15"/>
      <c r="U219" s="15"/>
      <c r="V219" s="15"/>
      <c r="W219" s="15"/>
      <c r="X219" s="15"/>
      <c r="Y219" s="15"/>
      <c r="Z219" s="15"/>
      <c r="AA219" s="15"/>
      <c r="AB219" s="15"/>
      <c r="AC219" s="15"/>
      <c r="AD219" s="15"/>
      <c r="AE219" s="15"/>
      <c r="AF219" s="15"/>
      <c r="AG219" s="15"/>
      <c r="AH219" s="15"/>
    </row>
    <row r="220" ht="15.75" customHeight="1">
      <c r="A220" s="28" t="s">
        <v>5</v>
      </c>
      <c r="E220" s="28" t="s">
        <v>88</v>
      </c>
      <c r="F220" s="32" t="s">
        <v>307</v>
      </c>
      <c r="G220" s="166" t="s">
        <v>1270</v>
      </c>
      <c r="H220" s="162" t="s">
        <v>307</v>
      </c>
      <c r="I220" s="9"/>
      <c r="J220" s="9"/>
      <c r="K220" s="9"/>
      <c r="L220" s="9"/>
      <c r="M220" s="15"/>
      <c r="N220" s="15"/>
      <c r="O220" s="15"/>
      <c r="P220" s="15"/>
      <c r="Q220" s="15"/>
      <c r="R220" s="15"/>
      <c r="S220" s="15"/>
      <c r="T220" s="15"/>
      <c r="U220" s="15"/>
      <c r="V220" s="15"/>
      <c r="W220" s="15"/>
      <c r="X220" s="15"/>
      <c r="Y220" s="15"/>
      <c r="Z220" s="15"/>
      <c r="AA220" s="15"/>
      <c r="AB220" s="15"/>
      <c r="AC220" s="15"/>
      <c r="AD220" s="15"/>
      <c r="AE220" s="15"/>
      <c r="AF220" s="15"/>
      <c r="AG220" s="15"/>
      <c r="AH220" s="15"/>
    </row>
    <row r="221" ht="15.75" customHeight="1">
      <c r="A221" s="28" t="s">
        <v>5</v>
      </c>
      <c r="E221" s="28" t="s">
        <v>88</v>
      </c>
      <c r="F221" s="32" t="s">
        <v>120</v>
      </c>
      <c r="G221" s="166" t="s">
        <v>1269</v>
      </c>
      <c r="H221" s="162" t="s">
        <v>120</v>
      </c>
      <c r="I221" s="9"/>
      <c r="J221" s="9"/>
      <c r="K221" s="9"/>
      <c r="L221" s="9"/>
      <c r="M221" s="15"/>
      <c r="N221" s="15"/>
      <c r="O221" s="15"/>
      <c r="P221" s="15"/>
      <c r="Q221" s="15"/>
      <c r="R221" s="15"/>
      <c r="S221" s="15"/>
      <c r="T221" s="15"/>
      <c r="U221" s="15"/>
      <c r="V221" s="15"/>
      <c r="W221" s="15"/>
      <c r="X221" s="15"/>
      <c r="Y221" s="15"/>
      <c r="Z221" s="15"/>
      <c r="AA221" s="15"/>
      <c r="AB221" s="15"/>
      <c r="AC221" s="15"/>
      <c r="AD221" s="15"/>
      <c r="AE221" s="15"/>
      <c r="AF221" s="15"/>
      <c r="AG221" s="15"/>
      <c r="AH221" s="15"/>
    </row>
    <row r="222" ht="15.75" customHeight="1">
      <c r="A222" s="28" t="s">
        <v>5</v>
      </c>
      <c r="E222" s="28" t="s">
        <v>88</v>
      </c>
      <c r="F222" s="32" t="s">
        <v>307</v>
      </c>
      <c r="G222" s="166" t="s">
        <v>1270</v>
      </c>
      <c r="H222" s="162" t="s">
        <v>307</v>
      </c>
      <c r="I222" s="31"/>
      <c r="J222" s="9"/>
      <c r="K222" s="9"/>
      <c r="L222" s="9"/>
      <c r="M222" s="15"/>
      <c r="N222" s="15"/>
      <c r="O222" s="15"/>
      <c r="P222" s="15"/>
      <c r="Q222" s="15"/>
      <c r="R222" s="15"/>
      <c r="S222" s="15"/>
      <c r="T222" s="15"/>
      <c r="U222" s="15"/>
      <c r="V222" s="15"/>
      <c r="W222" s="15"/>
      <c r="X222" s="15"/>
      <c r="Y222" s="15"/>
      <c r="Z222" s="15"/>
      <c r="AA222" s="15"/>
      <c r="AB222" s="15"/>
      <c r="AC222" s="15"/>
      <c r="AD222" s="15"/>
      <c r="AE222" s="15"/>
      <c r="AF222" s="15"/>
      <c r="AG222" s="15"/>
      <c r="AH222" s="15"/>
    </row>
    <row r="223" ht="15.75" customHeight="1">
      <c r="A223" s="28" t="s">
        <v>5</v>
      </c>
      <c r="E223" s="28" t="s">
        <v>88</v>
      </c>
      <c r="F223" s="65" t="s">
        <v>89</v>
      </c>
      <c r="G223" s="28"/>
      <c r="H223" s="31"/>
      <c r="I223" s="9"/>
      <c r="J223" s="9"/>
      <c r="K223" s="9"/>
      <c r="L223" s="9"/>
      <c r="M223" s="15"/>
      <c r="N223" s="15"/>
      <c r="O223" s="15"/>
      <c r="P223" s="15"/>
      <c r="Q223" s="15"/>
      <c r="R223" s="15"/>
      <c r="S223" s="15"/>
      <c r="T223" s="15"/>
      <c r="U223" s="15"/>
      <c r="V223" s="15"/>
      <c r="W223" s="15"/>
      <c r="X223" s="15"/>
      <c r="Y223" s="15"/>
      <c r="Z223" s="15"/>
      <c r="AA223" s="15"/>
      <c r="AB223" s="15"/>
      <c r="AC223" s="15"/>
      <c r="AD223" s="15"/>
      <c r="AE223" s="15"/>
      <c r="AF223" s="15"/>
      <c r="AG223" s="15"/>
      <c r="AH223" s="15"/>
    </row>
    <row r="224" ht="15.75" customHeight="1">
      <c r="A224" s="28" t="s">
        <v>5</v>
      </c>
      <c r="E224" s="28" t="s">
        <v>88</v>
      </c>
      <c r="F224" s="32" t="s">
        <v>795</v>
      </c>
      <c r="G224" s="28"/>
      <c r="H224" s="31"/>
      <c r="I224" s="9"/>
      <c r="J224" s="9"/>
      <c r="K224" s="9"/>
      <c r="L224" s="9"/>
      <c r="M224" s="15"/>
      <c r="N224" s="15"/>
      <c r="O224" s="15"/>
      <c r="P224" s="15"/>
      <c r="Q224" s="15"/>
      <c r="R224" s="15"/>
      <c r="S224" s="15"/>
      <c r="T224" s="15"/>
      <c r="U224" s="15"/>
      <c r="V224" s="15"/>
      <c r="W224" s="15"/>
      <c r="X224" s="15"/>
      <c r="Y224" s="15"/>
      <c r="Z224" s="15"/>
      <c r="AA224" s="15"/>
      <c r="AB224" s="15"/>
      <c r="AC224" s="15"/>
      <c r="AD224" s="15"/>
      <c r="AE224" s="15"/>
      <c r="AF224" s="15"/>
      <c r="AG224" s="15"/>
      <c r="AH224" s="15"/>
    </row>
    <row r="225" ht="15.75" customHeight="1">
      <c r="A225" s="28" t="s">
        <v>5</v>
      </c>
      <c r="B225" s="56" t="s">
        <v>1271</v>
      </c>
      <c r="C225" s="167" t="s">
        <v>1272</v>
      </c>
      <c r="D225" s="83" t="s">
        <v>20</v>
      </c>
      <c r="E225" s="28" t="s">
        <v>88</v>
      </c>
      <c r="F225" s="32" t="s">
        <v>154</v>
      </c>
      <c r="G225" s="166" t="s">
        <v>1273</v>
      </c>
      <c r="H225" s="31" t="s">
        <v>154</v>
      </c>
      <c r="I225" s="9"/>
      <c r="J225" s="9"/>
      <c r="K225" s="9"/>
      <c r="L225" s="9"/>
      <c r="M225" s="15"/>
      <c r="N225" s="15"/>
      <c r="O225" s="15"/>
      <c r="P225" s="15"/>
      <c r="Q225" s="15"/>
      <c r="R225" s="15"/>
      <c r="S225" s="15"/>
      <c r="T225" s="15"/>
      <c r="U225" s="15"/>
      <c r="V225" s="15"/>
      <c r="W225" s="15"/>
      <c r="X225" s="15"/>
      <c r="Y225" s="15"/>
      <c r="Z225" s="15"/>
      <c r="AA225" s="15"/>
      <c r="AB225" s="15"/>
      <c r="AC225" s="15"/>
      <c r="AD225" s="15"/>
      <c r="AE225" s="15"/>
      <c r="AF225" s="15"/>
      <c r="AG225" s="15"/>
      <c r="AH225" s="15"/>
    </row>
    <row r="226" ht="15.75" customHeight="1">
      <c r="A226" s="28" t="s">
        <v>5</v>
      </c>
      <c r="E226" s="28" t="s">
        <v>88</v>
      </c>
      <c r="F226" s="32" t="s">
        <v>475</v>
      </c>
      <c r="G226" s="166" t="s">
        <v>1274</v>
      </c>
      <c r="H226" s="31" t="s">
        <v>475</v>
      </c>
      <c r="I226" s="9"/>
      <c r="J226" s="9"/>
      <c r="K226" s="9"/>
      <c r="L226" s="9"/>
      <c r="M226" s="15"/>
      <c r="N226" s="15"/>
      <c r="O226" s="15"/>
      <c r="P226" s="15"/>
      <c r="Q226" s="15"/>
      <c r="R226" s="15"/>
      <c r="S226" s="15"/>
      <c r="T226" s="15"/>
      <c r="U226" s="15"/>
      <c r="V226" s="15"/>
      <c r="W226" s="15"/>
      <c r="X226" s="15"/>
      <c r="Y226" s="15"/>
      <c r="Z226" s="15"/>
      <c r="AA226" s="15"/>
      <c r="AB226" s="15"/>
      <c r="AC226" s="15"/>
      <c r="AD226" s="15"/>
      <c r="AE226" s="15"/>
      <c r="AF226" s="15"/>
      <c r="AG226" s="15"/>
      <c r="AH226" s="15"/>
    </row>
    <row r="227" ht="15.75" customHeight="1">
      <c r="A227" s="28" t="s">
        <v>5</v>
      </c>
      <c r="E227" s="28" t="s">
        <v>88</v>
      </c>
      <c r="F227" s="32" t="s">
        <v>89</v>
      </c>
      <c r="G227" s="35"/>
      <c r="H227" s="31"/>
      <c r="I227" s="31"/>
      <c r="J227" s="31"/>
      <c r="K227" s="31"/>
      <c r="L227" s="9"/>
      <c r="M227" s="15"/>
      <c r="N227" s="15"/>
      <c r="O227" s="15"/>
      <c r="P227" s="15"/>
      <c r="Q227" s="15"/>
      <c r="R227" s="15"/>
      <c r="S227" s="15"/>
      <c r="T227" s="15"/>
      <c r="U227" s="15"/>
      <c r="V227" s="15"/>
      <c r="W227" s="15"/>
      <c r="X227" s="15"/>
      <c r="Y227" s="15"/>
      <c r="Z227" s="15"/>
      <c r="AA227" s="15"/>
      <c r="AB227" s="15"/>
      <c r="AC227" s="15"/>
      <c r="AD227" s="15"/>
      <c r="AE227" s="15"/>
      <c r="AF227" s="15"/>
      <c r="AG227" s="15"/>
      <c r="AH227" s="15"/>
    </row>
    <row r="228" ht="15.75" customHeight="1">
      <c r="A228" s="28" t="s">
        <v>5</v>
      </c>
      <c r="E228" s="28" t="s">
        <v>21</v>
      </c>
      <c r="F228" s="32" t="s">
        <v>51</v>
      </c>
      <c r="G228" s="165" t="s">
        <v>1275</v>
      </c>
      <c r="H228" s="162" t="s">
        <v>51</v>
      </c>
      <c r="I228" s="31"/>
      <c r="J228" s="31"/>
      <c r="K228" s="31"/>
      <c r="L228" s="9"/>
      <c r="M228" s="15"/>
      <c r="N228" s="15"/>
      <c r="O228" s="15"/>
      <c r="P228" s="15"/>
      <c r="Q228" s="15"/>
      <c r="R228" s="15"/>
      <c r="S228" s="15"/>
      <c r="T228" s="15"/>
      <c r="U228" s="15"/>
      <c r="V228" s="15"/>
      <c r="W228" s="15"/>
      <c r="X228" s="15"/>
      <c r="Y228" s="15"/>
      <c r="Z228" s="15"/>
      <c r="AA228" s="15"/>
      <c r="AB228" s="15"/>
      <c r="AC228" s="15"/>
      <c r="AD228" s="15"/>
      <c r="AE228" s="15"/>
      <c r="AF228" s="15"/>
      <c r="AG228" s="15"/>
      <c r="AH228" s="15"/>
    </row>
    <row r="229" ht="15.75" customHeight="1">
      <c r="A229" s="28" t="s">
        <v>5</v>
      </c>
      <c r="E229" s="28" t="s">
        <v>88</v>
      </c>
      <c r="F229" s="32" t="s">
        <v>494</v>
      </c>
      <c r="G229" s="165" t="s">
        <v>1276</v>
      </c>
      <c r="H229" s="31" t="s">
        <v>494</v>
      </c>
      <c r="I229" s="31"/>
      <c r="J229" s="31"/>
      <c r="K229" s="31"/>
      <c r="L229" s="9"/>
      <c r="M229" s="15"/>
      <c r="N229" s="15"/>
      <c r="O229" s="15"/>
      <c r="P229" s="15"/>
      <c r="Q229" s="15"/>
      <c r="R229" s="15"/>
      <c r="S229" s="15"/>
      <c r="T229" s="15"/>
      <c r="U229" s="15"/>
      <c r="V229" s="15"/>
      <c r="W229" s="15"/>
      <c r="X229" s="15"/>
      <c r="Y229" s="15"/>
      <c r="Z229" s="15"/>
      <c r="AA229" s="15"/>
      <c r="AB229" s="15"/>
      <c r="AC229" s="15"/>
      <c r="AD229" s="15"/>
      <c r="AE229" s="15"/>
      <c r="AF229" s="15"/>
      <c r="AG229" s="15"/>
      <c r="AH229" s="15"/>
    </row>
    <row r="230" ht="15.75" customHeight="1">
      <c r="A230" s="28" t="s">
        <v>5</v>
      </c>
      <c r="E230" s="28" t="s">
        <v>88</v>
      </c>
      <c r="F230" s="32" t="s">
        <v>479</v>
      </c>
      <c r="G230" s="165" t="s">
        <v>1277</v>
      </c>
      <c r="H230" s="31" t="s">
        <v>479</v>
      </c>
      <c r="I230" s="31"/>
      <c r="J230" s="9"/>
      <c r="K230" s="9"/>
      <c r="L230" s="9"/>
      <c r="M230" s="15"/>
      <c r="N230" s="15"/>
      <c r="O230" s="15"/>
      <c r="P230" s="15"/>
      <c r="Q230" s="15"/>
      <c r="R230" s="15"/>
      <c r="S230" s="15"/>
      <c r="T230" s="15"/>
      <c r="U230" s="15"/>
      <c r="V230" s="15"/>
      <c r="W230" s="15"/>
      <c r="X230" s="15"/>
      <c r="Y230" s="15"/>
      <c r="Z230" s="15"/>
      <c r="AA230" s="15"/>
      <c r="AB230" s="15"/>
      <c r="AC230" s="15"/>
      <c r="AD230" s="15"/>
      <c r="AE230" s="15"/>
      <c r="AF230" s="15"/>
      <c r="AG230" s="15"/>
      <c r="AH230" s="15"/>
    </row>
    <row r="231" ht="15.75" customHeight="1">
      <c r="A231" s="28" t="s">
        <v>5</v>
      </c>
      <c r="E231" s="28" t="s">
        <v>88</v>
      </c>
      <c r="F231" s="32" t="s">
        <v>477</v>
      </c>
      <c r="G231" s="165" t="s">
        <v>1278</v>
      </c>
      <c r="H231" s="31" t="s">
        <v>477</v>
      </c>
      <c r="I231" s="31"/>
      <c r="J231" s="9"/>
      <c r="K231" s="9"/>
      <c r="L231" s="9"/>
      <c r="M231" s="15"/>
      <c r="N231" s="15"/>
      <c r="O231" s="15"/>
      <c r="P231" s="15"/>
      <c r="Q231" s="15"/>
      <c r="R231" s="15"/>
      <c r="S231" s="15"/>
      <c r="T231" s="15"/>
      <c r="U231" s="15"/>
      <c r="V231" s="15"/>
      <c r="W231" s="15"/>
      <c r="X231" s="15"/>
      <c r="Y231" s="15"/>
      <c r="Z231" s="15"/>
      <c r="AA231" s="15"/>
      <c r="AB231" s="15"/>
      <c r="AC231" s="15"/>
      <c r="AD231" s="15"/>
      <c r="AE231" s="15"/>
      <c r="AF231" s="15"/>
      <c r="AG231" s="15"/>
      <c r="AH231" s="15"/>
    </row>
    <row r="232" ht="15.75" customHeight="1">
      <c r="A232" s="28" t="s">
        <v>5</v>
      </c>
      <c r="E232" s="28" t="s">
        <v>88</v>
      </c>
      <c r="F232" s="32" t="s">
        <v>120</v>
      </c>
      <c r="G232" s="165" t="s">
        <v>1279</v>
      </c>
      <c r="H232" s="31" t="s">
        <v>120</v>
      </c>
      <c r="I232" s="31"/>
      <c r="J232" s="9"/>
      <c r="K232" s="9"/>
      <c r="L232" s="9"/>
      <c r="M232" s="15"/>
      <c r="N232" s="15"/>
      <c r="O232" s="15"/>
      <c r="P232" s="15"/>
      <c r="Q232" s="15"/>
      <c r="R232" s="15"/>
      <c r="S232" s="15"/>
      <c r="T232" s="15"/>
      <c r="U232" s="15"/>
      <c r="V232" s="15"/>
      <c r="W232" s="15"/>
      <c r="X232" s="15"/>
      <c r="Y232" s="15"/>
      <c r="Z232" s="15"/>
      <c r="AA232" s="15"/>
      <c r="AB232" s="15"/>
      <c r="AC232" s="15"/>
      <c r="AD232" s="15"/>
      <c r="AE232" s="15"/>
      <c r="AF232" s="15"/>
      <c r="AG232" s="15"/>
      <c r="AH232" s="15"/>
    </row>
    <row r="233" ht="15.75" customHeight="1">
      <c r="A233" s="28" t="s">
        <v>5</v>
      </c>
      <c r="E233" s="28" t="s">
        <v>88</v>
      </c>
      <c r="F233" s="32" t="s">
        <v>544</v>
      </c>
      <c r="G233" s="165" t="s">
        <v>1280</v>
      </c>
      <c r="H233" s="31" t="s">
        <v>544</v>
      </c>
      <c r="I233" s="31"/>
      <c r="J233" s="9"/>
      <c r="K233" s="9"/>
      <c r="L233" s="9"/>
      <c r="M233" s="15"/>
      <c r="N233" s="15"/>
      <c r="O233" s="15"/>
      <c r="P233" s="15"/>
      <c r="Q233" s="15"/>
      <c r="R233" s="15"/>
      <c r="S233" s="15"/>
      <c r="T233" s="15"/>
      <c r="U233" s="15"/>
      <c r="V233" s="15"/>
      <c r="W233" s="15"/>
      <c r="X233" s="15"/>
      <c r="Y233" s="15"/>
      <c r="Z233" s="15"/>
      <c r="AA233" s="15"/>
      <c r="AB233" s="15"/>
      <c r="AC233" s="15"/>
      <c r="AD233" s="15"/>
      <c r="AE233" s="15"/>
      <c r="AF233" s="15"/>
      <c r="AG233" s="15"/>
      <c r="AH233" s="15"/>
    </row>
    <row r="234" ht="15.75" customHeight="1">
      <c r="A234" s="28" t="s">
        <v>5</v>
      </c>
      <c r="E234" s="28" t="s">
        <v>88</v>
      </c>
      <c r="F234" s="32" t="s">
        <v>247</v>
      </c>
      <c r="G234" s="35"/>
      <c r="H234" s="31"/>
      <c r="I234" s="31"/>
      <c r="J234" s="9"/>
      <c r="K234" s="9"/>
      <c r="L234" s="9"/>
      <c r="M234" s="15"/>
      <c r="N234" s="15"/>
      <c r="O234" s="15"/>
      <c r="P234" s="15"/>
      <c r="Q234" s="15"/>
      <c r="R234" s="15"/>
      <c r="S234" s="15"/>
      <c r="T234" s="15"/>
      <c r="U234" s="15"/>
      <c r="V234" s="15"/>
      <c r="W234" s="15"/>
      <c r="X234" s="15"/>
      <c r="Y234" s="15"/>
      <c r="Z234" s="15"/>
      <c r="AA234" s="15"/>
      <c r="AB234" s="15"/>
      <c r="AC234" s="15"/>
      <c r="AD234" s="15"/>
      <c r="AE234" s="15"/>
      <c r="AF234" s="15"/>
      <c r="AG234" s="15"/>
      <c r="AH234" s="15"/>
    </row>
    <row r="235" ht="15.75" customHeight="1">
      <c r="A235" s="28" t="s">
        <v>5</v>
      </c>
      <c r="E235" s="28" t="s">
        <v>88</v>
      </c>
      <c r="F235" s="32" t="s">
        <v>95</v>
      </c>
      <c r="G235" s="165" t="s">
        <v>1281</v>
      </c>
      <c r="H235" s="31" t="s">
        <v>95</v>
      </c>
      <c r="I235" s="31"/>
      <c r="J235" s="9"/>
      <c r="K235" s="9"/>
      <c r="L235" s="9"/>
      <c r="M235" s="15"/>
      <c r="N235" s="15"/>
      <c r="O235" s="15"/>
      <c r="P235" s="15"/>
      <c r="Q235" s="15"/>
      <c r="R235" s="15"/>
      <c r="S235" s="15"/>
      <c r="T235" s="15"/>
      <c r="U235" s="15"/>
      <c r="V235" s="15"/>
      <c r="W235" s="15"/>
      <c r="X235" s="15"/>
      <c r="Y235" s="15"/>
      <c r="Z235" s="15"/>
      <c r="AA235" s="15"/>
      <c r="AB235" s="15"/>
      <c r="AC235" s="15"/>
      <c r="AD235" s="15"/>
      <c r="AE235" s="15"/>
      <c r="AF235" s="15"/>
      <c r="AG235" s="15"/>
      <c r="AH235" s="15"/>
    </row>
    <row r="236" ht="15.75" customHeight="1">
      <c r="A236" s="28" t="s">
        <v>5</v>
      </c>
      <c r="E236" s="28" t="s">
        <v>88</v>
      </c>
      <c r="F236" s="32" t="s">
        <v>96</v>
      </c>
      <c r="G236" s="165" t="s">
        <v>1282</v>
      </c>
      <c r="H236" s="31" t="s">
        <v>96</v>
      </c>
      <c r="I236" s="31"/>
      <c r="J236" s="9"/>
      <c r="K236" s="9"/>
      <c r="L236" s="9"/>
      <c r="M236" s="15"/>
      <c r="N236" s="15"/>
      <c r="O236" s="15"/>
      <c r="P236" s="15"/>
      <c r="Q236" s="15"/>
      <c r="R236" s="15"/>
      <c r="S236" s="15"/>
      <c r="T236" s="15"/>
      <c r="U236" s="15"/>
      <c r="V236" s="15"/>
      <c r="W236" s="15"/>
      <c r="X236" s="15"/>
      <c r="Y236" s="15"/>
      <c r="Z236" s="15"/>
      <c r="AA236" s="15"/>
      <c r="AB236" s="15"/>
      <c r="AC236" s="15"/>
      <c r="AD236" s="15"/>
      <c r="AE236" s="15"/>
      <c r="AF236" s="15"/>
      <c r="AG236" s="15"/>
      <c r="AH236" s="15"/>
    </row>
    <row r="237" ht="15.75" customHeight="1">
      <c r="A237" s="28" t="s">
        <v>5</v>
      </c>
      <c r="E237" s="28" t="s">
        <v>86</v>
      </c>
      <c r="F237" s="32" t="s">
        <v>90</v>
      </c>
      <c r="G237" s="165" t="s">
        <v>1283</v>
      </c>
      <c r="H237" s="31" t="s">
        <v>90</v>
      </c>
      <c r="I237" s="31"/>
      <c r="J237" s="9"/>
      <c r="K237" s="9"/>
      <c r="L237" s="9"/>
      <c r="M237" s="15"/>
      <c r="N237" s="15"/>
      <c r="O237" s="15"/>
      <c r="P237" s="15"/>
      <c r="Q237" s="15"/>
      <c r="R237" s="15"/>
      <c r="S237" s="15"/>
      <c r="T237" s="15"/>
      <c r="U237" s="15"/>
      <c r="V237" s="15"/>
      <c r="W237" s="15"/>
      <c r="X237" s="15"/>
      <c r="Y237" s="15"/>
      <c r="Z237" s="15"/>
      <c r="AA237" s="15"/>
      <c r="AB237" s="15"/>
      <c r="AC237" s="15"/>
      <c r="AD237" s="15"/>
      <c r="AE237" s="15"/>
      <c r="AF237" s="15"/>
      <c r="AG237" s="15"/>
      <c r="AH237" s="15"/>
    </row>
    <row r="238" ht="15.75" customHeight="1">
      <c r="A238" s="28" t="s">
        <v>5</v>
      </c>
      <c r="E238" s="28" t="s">
        <v>86</v>
      </c>
      <c r="F238" s="32" t="s">
        <v>91</v>
      </c>
      <c r="G238" s="165" t="s">
        <v>1284</v>
      </c>
      <c r="H238" s="31" t="s">
        <v>91</v>
      </c>
      <c r="I238" s="31"/>
      <c r="J238" s="9"/>
      <c r="K238" s="9"/>
      <c r="L238" s="9"/>
      <c r="M238" s="15"/>
      <c r="N238" s="15"/>
      <c r="O238" s="15"/>
      <c r="P238" s="15"/>
      <c r="Q238" s="15"/>
      <c r="R238" s="15"/>
      <c r="S238" s="15"/>
      <c r="T238" s="15"/>
      <c r="U238" s="15"/>
      <c r="V238" s="15"/>
      <c r="W238" s="15"/>
      <c r="X238" s="15"/>
      <c r="Y238" s="15"/>
      <c r="Z238" s="15"/>
      <c r="AA238" s="15"/>
      <c r="AB238" s="15"/>
      <c r="AC238" s="15"/>
      <c r="AD238" s="15"/>
      <c r="AE238" s="15"/>
      <c r="AF238" s="15"/>
      <c r="AG238" s="15"/>
      <c r="AH238" s="15"/>
    </row>
    <row r="239" ht="15.75" customHeight="1">
      <c r="A239" s="28" t="s">
        <v>5</v>
      </c>
      <c r="E239" s="28" t="s">
        <v>88</v>
      </c>
      <c r="F239" s="32" t="s">
        <v>154</v>
      </c>
      <c r="G239" s="165" t="s">
        <v>1285</v>
      </c>
      <c r="H239" s="31" t="s">
        <v>1286</v>
      </c>
      <c r="I239" s="31"/>
      <c r="J239" s="9"/>
      <c r="K239" s="9"/>
      <c r="L239" s="9"/>
      <c r="M239" s="15"/>
      <c r="N239" s="15"/>
      <c r="O239" s="15"/>
      <c r="P239" s="15"/>
      <c r="Q239" s="15"/>
      <c r="R239" s="15"/>
      <c r="S239" s="15"/>
      <c r="T239" s="15"/>
      <c r="U239" s="15"/>
      <c r="V239" s="15"/>
      <c r="W239" s="15"/>
      <c r="X239" s="15"/>
      <c r="Y239" s="15"/>
      <c r="Z239" s="15"/>
      <c r="AA239" s="15"/>
      <c r="AB239" s="15"/>
      <c r="AC239" s="15"/>
      <c r="AD239" s="15"/>
      <c r="AE239" s="15"/>
      <c r="AF239" s="15"/>
      <c r="AG239" s="15"/>
      <c r="AH239" s="15"/>
    </row>
    <row r="240" ht="15.75" customHeight="1">
      <c r="A240" s="28" t="s">
        <v>5</v>
      </c>
      <c r="E240" s="28" t="s">
        <v>88</v>
      </c>
      <c r="F240" s="32" t="s">
        <v>89</v>
      </c>
      <c r="G240" s="35"/>
      <c r="H240" s="31"/>
      <c r="I240" s="31"/>
      <c r="J240" s="9"/>
      <c r="K240" s="9"/>
      <c r="L240" s="9"/>
      <c r="M240" s="15"/>
      <c r="N240" s="15"/>
      <c r="O240" s="15"/>
      <c r="P240" s="15"/>
      <c r="Q240" s="15"/>
      <c r="R240" s="15"/>
      <c r="S240" s="15"/>
      <c r="T240" s="15"/>
      <c r="U240" s="15"/>
      <c r="V240" s="15"/>
      <c r="W240" s="15"/>
      <c r="X240" s="15"/>
      <c r="Y240" s="15"/>
      <c r="Z240" s="15"/>
      <c r="AA240" s="15"/>
      <c r="AB240" s="15"/>
      <c r="AC240" s="15"/>
      <c r="AD240" s="15"/>
      <c r="AE240" s="15"/>
      <c r="AF240" s="15"/>
      <c r="AG240" s="15"/>
      <c r="AH240" s="15"/>
    </row>
    <row r="241" ht="15.75" customHeight="1">
      <c r="A241" s="28" t="s">
        <v>5</v>
      </c>
      <c r="E241" s="28" t="s">
        <v>88</v>
      </c>
      <c r="F241" s="32" t="s">
        <v>795</v>
      </c>
      <c r="G241" s="35"/>
      <c r="H241" s="31"/>
      <c r="I241" s="31"/>
      <c r="J241" s="9"/>
      <c r="K241" s="9"/>
      <c r="L241" s="9"/>
      <c r="M241" s="15"/>
      <c r="N241" s="15"/>
      <c r="O241" s="15"/>
      <c r="P241" s="15"/>
      <c r="Q241" s="15"/>
      <c r="R241" s="15"/>
      <c r="S241" s="15"/>
      <c r="T241" s="15"/>
      <c r="U241" s="15"/>
      <c r="V241" s="15"/>
      <c r="W241" s="15"/>
      <c r="X241" s="15"/>
      <c r="Y241" s="15"/>
      <c r="Z241" s="15"/>
      <c r="AA241" s="15"/>
      <c r="AB241" s="15"/>
      <c r="AC241" s="15"/>
      <c r="AD241" s="15"/>
      <c r="AE241" s="15"/>
      <c r="AF241" s="15"/>
      <c r="AG241" s="15"/>
      <c r="AH241" s="15"/>
    </row>
    <row r="242" ht="15.75" customHeight="1">
      <c r="A242" s="28" t="s">
        <v>5</v>
      </c>
      <c r="B242" s="56" t="s">
        <v>1287</v>
      </c>
      <c r="C242" s="83" t="s">
        <v>1288</v>
      </c>
      <c r="D242" s="83" t="s">
        <v>20</v>
      </c>
      <c r="E242" s="28" t="s">
        <v>88</v>
      </c>
      <c r="F242" s="32" t="s">
        <v>471</v>
      </c>
      <c r="G242" s="166" t="s">
        <v>1289</v>
      </c>
      <c r="H242" s="162" t="s">
        <v>471</v>
      </c>
      <c r="I242" s="9"/>
      <c r="J242" s="9"/>
      <c r="K242" s="9"/>
      <c r="L242" s="9"/>
      <c r="M242" s="15"/>
      <c r="N242" s="15"/>
      <c r="O242" s="15"/>
      <c r="P242" s="15"/>
      <c r="Q242" s="15"/>
      <c r="R242" s="15"/>
      <c r="S242" s="15"/>
      <c r="T242" s="15"/>
      <c r="U242" s="15"/>
      <c r="V242" s="15"/>
      <c r="W242" s="15"/>
      <c r="X242" s="15"/>
      <c r="Y242" s="15"/>
      <c r="Z242" s="15"/>
      <c r="AA242" s="15"/>
      <c r="AB242" s="15"/>
      <c r="AC242" s="15"/>
      <c r="AD242" s="15"/>
      <c r="AE242" s="15"/>
      <c r="AF242" s="15"/>
      <c r="AG242" s="15"/>
      <c r="AH242" s="15"/>
    </row>
    <row r="243" ht="15.75" customHeight="1">
      <c r="A243" s="28" t="s">
        <v>5</v>
      </c>
      <c r="E243" s="28" t="s">
        <v>88</v>
      </c>
      <c r="F243" s="32" t="s">
        <v>598</v>
      </c>
      <c r="G243" s="28"/>
      <c r="H243" s="31"/>
      <c r="I243" s="9"/>
      <c r="J243" s="9"/>
      <c r="K243" s="9"/>
      <c r="L243" s="9"/>
      <c r="M243" s="15"/>
      <c r="N243" s="15"/>
      <c r="O243" s="15"/>
      <c r="P243" s="15"/>
      <c r="Q243" s="15"/>
      <c r="R243" s="15"/>
      <c r="S243" s="15"/>
      <c r="T243" s="15"/>
      <c r="U243" s="15"/>
      <c r="V243" s="15"/>
      <c r="W243" s="15"/>
      <c r="X243" s="15"/>
      <c r="Y243" s="15"/>
      <c r="Z243" s="15"/>
      <c r="AA243" s="15"/>
      <c r="AB243" s="15"/>
      <c r="AC243" s="15"/>
      <c r="AD243" s="15"/>
      <c r="AE243" s="15"/>
      <c r="AF243" s="15"/>
      <c r="AG243" s="15"/>
      <c r="AH243" s="15"/>
    </row>
    <row r="244" ht="15.75" customHeight="1">
      <c r="A244" s="28" t="s">
        <v>5</v>
      </c>
      <c r="E244" s="28" t="s">
        <v>88</v>
      </c>
      <c r="F244" s="32" t="s">
        <v>471</v>
      </c>
      <c r="G244" s="166" t="s">
        <v>1290</v>
      </c>
      <c r="H244" s="162" t="s">
        <v>1291</v>
      </c>
      <c r="I244" s="9"/>
      <c r="J244" s="9"/>
      <c r="K244" s="9"/>
      <c r="L244" s="9"/>
      <c r="M244" s="15"/>
      <c r="N244" s="15"/>
      <c r="O244" s="15"/>
      <c r="P244" s="15"/>
      <c r="Q244" s="15"/>
      <c r="R244" s="15"/>
      <c r="S244" s="15"/>
      <c r="T244" s="15"/>
      <c r="U244" s="15"/>
      <c r="V244" s="15"/>
      <c r="W244" s="15"/>
      <c r="X244" s="15"/>
      <c r="Y244" s="15"/>
      <c r="Z244" s="15"/>
      <c r="AA244" s="15"/>
      <c r="AB244" s="15"/>
      <c r="AC244" s="15"/>
      <c r="AD244" s="15"/>
      <c r="AE244" s="15"/>
      <c r="AF244" s="15"/>
      <c r="AG244" s="15"/>
      <c r="AH244" s="15"/>
    </row>
    <row r="245" ht="15.75" customHeight="1">
      <c r="A245" s="28" t="s">
        <v>5</v>
      </c>
      <c r="E245" s="28" t="s">
        <v>88</v>
      </c>
      <c r="F245" s="32" t="s">
        <v>598</v>
      </c>
      <c r="G245" s="28"/>
      <c r="H245" s="31"/>
      <c r="I245" s="9"/>
      <c r="J245" s="9"/>
      <c r="K245" s="9"/>
      <c r="L245" s="9"/>
      <c r="M245" s="15"/>
      <c r="N245" s="15"/>
      <c r="O245" s="15"/>
      <c r="P245" s="15"/>
      <c r="Q245" s="15"/>
      <c r="R245" s="15"/>
      <c r="S245" s="15"/>
      <c r="T245" s="15"/>
      <c r="U245" s="15"/>
      <c r="V245" s="15"/>
      <c r="W245" s="15"/>
      <c r="X245" s="15"/>
      <c r="Y245" s="15"/>
      <c r="Z245" s="15"/>
      <c r="AA245" s="15"/>
      <c r="AB245" s="15"/>
      <c r="AC245" s="15"/>
      <c r="AD245" s="15"/>
      <c r="AE245" s="15"/>
      <c r="AF245" s="15"/>
      <c r="AG245" s="15"/>
      <c r="AH245" s="15"/>
    </row>
    <row r="246" ht="15.75" customHeight="1">
      <c r="A246" s="28" t="s">
        <v>5</v>
      </c>
      <c r="B246" s="56" t="s">
        <v>1292</v>
      </c>
      <c r="C246" s="83" t="s">
        <v>1293</v>
      </c>
      <c r="D246" s="83" t="s">
        <v>20</v>
      </c>
      <c r="E246" s="28" t="s">
        <v>21</v>
      </c>
      <c r="F246" s="32" t="s">
        <v>51</v>
      </c>
      <c r="G246" s="166" t="s">
        <v>1294</v>
      </c>
      <c r="H246" s="162" t="s">
        <v>51</v>
      </c>
      <c r="I246" s="31"/>
      <c r="J246" s="9"/>
      <c r="K246" s="9"/>
      <c r="L246" s="9"/>
      <c r="M246" s="15"/>
      <c r="N246" s="15"/>
      <c r="O246" s="15"/>
      <c r="P246" s="15"/>
      <c r="Q246" s="15"/>
      <c r="R246" s="15"/>
      <c r="S246" s="15"/>
      <c r="T246" s="15"/>
      <c r="U246" s="15"/>
      <c r="V246" s="15"/>
      <c r="W246" s="15"/>
      <c r="X246" s="15"/>
      <c r="Y246" s="15"/>
      <c r="Z246" s="15"/>
      <c r="AA246" s="15"/>
      <c r="AB246" s="15"/>
      <c r="AC246" s="15"/>
      <c r="AD246" s="15"/>
      <c r="AE246" s="15"/>
      <c r="AF246" s="15"/>
      <c r="AG246" s="15"/>
      <c r="AH246" s="15"/>
    </row>
    <row r="247" ht="15.75" customHeight="1">
      <c r="A247" s="28" t="s">
        <v>5</v>
      </c>
      <c r="E247" s="28" t="s">
        <v>88</v>
      </c>
      <c r="F247" s="32" t="s">
        <v>120</v>
      </c>
      <c r="G247" s="166" t="s">
        <v>1295</v>
      </c>
      <c r="H247" s="162" t="s">
        <v>120</v>
      </c>
      <c r="I247" s="9"/>
      <c r="J247" s="9"/>
      <c r="K247" s="9"/>
      <c r="L247" s="9"/>
      <c r="M247" s="15"/>
      <c r="N247" s="15"/>
      <c r="O247" s="15"/>
      <c r="P247" s="15"/>
      <c r="Q247" s="15"/>
      <c r="R247" s="15"/>
      <c r="S247" s="15"/>
      <c r="T247" s="15"/>
      <c r="U247" s="15"/>
      <c r="V247" s="15"/>
      <c r="W247" s="15"/>
      <c r="X247" s="15"/>
      <c r="Y247" s="15"/>
      <c r="Z247" s="15"/>
      <c r="AA247" s="15"/>
      <c r="AB247" s="15"/>
      <c r="AC247" s="15"/>
      <c r="AD247" s="15"/>
      <c r="AE247" s="15"/>
      <c r="AF247" s="15"/>
      <c r="AG247" s="15"/>
      <c r="AH247" s="15"/>
    </row>
    <row r="248" ht="15.75" customHeight="1">
      <c r="A248" s="28" t="s">
        <v>5</v>
      </c>
      <c r="E248" s="28" t="s">
        <v>88</v>
      </c>
      <c r="F248" s="32" t="s">
        <v>307</v>
      </c>
      <c r="G248" s="166" t="s">
        <v>1296</v>
      </c>
      <c r="H248" s="162" t="s">
        <v>307</v>
      </c>
      <c r="I248" s="9"/>
      <c r="J248" s="9"/>
      <c r="K248" s="9"/>
      <c r="L248" s="9"/>
      <c r="M248" s="15"/>
      <c r="N248" s="15"/>
      <c r="O248" s="15"/>
      <c r="P248" s="15"/>
      <c r="Q248" s="15"/>
      <c r="R248" s="15"/>
      <c r="S248" s="15"/>
      <c r="T248" s="15"/>
      <c r="U248" s="15"/>
      <c r="V248" s="15"/>
      <c r="W248" s="15"/>
      <c r="X248" s="15"/>
      <c r="Y248" s="15"/>
      <c r="Z248" s="15"/>
      <c r="AA248" s="15"/>
      <c r="AB248" s="15"/>
      <c r="AC248" s="15"/>
      <c r="AD248" s="15"/>
      <c r="AE248" s="15"/>
      <c r="AF248" s="15"/>
      <c r="AG248" s="15"/>
      <c r="AH248" s="15"/>
    </row>
    <row r="249" ht="15.75" customHeight="1">
      <c r="A249" s="28" t="s">
        <v>5</v>
      </c>
      <c r="E249" s="28" t="s">
        <v>88</v>
      </c>
      <c r="F249" s="32" t="s">
        <v>89</v>
      </c>
      <c r="G249" s="28"/>
      <c r="H249" s="31"/>
      <c r="I249" s="31"/>
      <c r="J249" s="9"/>
      <c r="K249" s="9"/>
      <c r="L249" s="9"/>
      <c r="M249" s="15"/>
      <c r="N249" s="15"/>
      <c r="O249" s="15"/>
      <c r="P249" s="15"/>
      <c r="Q249" s="15"/>
      <c r="R249" s="15"/>
      <c r="S249" s="15"/>
      <c r="T249" s="15"/>
      <c r="U249" s="15"/>
      <c r="V249" s="15"/>
      <c r="W249" s="15"/>
      <c r="X249" s="15"/>
      <c r="Y249" s="15"/>
      <c r="Z249" s="15"/>
      <c r="AA249" s="15"/>
      <c r="AB249" s="15"/>
      <c r="AC249" s="15"/>
      <c r="AD249" s="15"/>
      <c r="AE249" s="15"/>
      <c r="AF249" s="15"/>
      <c r="AG249" s="15"/>
      <c r="AH249" s="15"/>
    </row>
    <row r="250" ht="15.75" customHeight="1">
      <c r="A250" s="28" t="s">
        <v>5</v>
      </c>
      <c r="E250" s="28" t="s">
        <v>88</v>
      </c>
      <c r="F250" s="32" t="s">
        <v>795</v>
      </c>
      <c r="G250" s="28"/>
      <c r="H250" s="31"/>
      <c r="I250" s="31"/>
      <c r="J250" s="9"/>
      <c r="K250" s="9"/>
      <c r="L250" s="9"/>
      <c r="M250" s="15"/>
      <c r="N250" s="15"/>
      <c r="O250" s="15"/>
      <c r="P250" s="15"/>
      <c r="Q250" s="15"/>
      <c r="R250" s="15"/>
      <c r="S250" s="15"/>
      <c r="T250" s="15"/>
      <c r="U250" s="15"/>
      <c r="V250" s="15"/>
      <c r="W250" s="15"/>
      <c r="X250" s="15"/>
      <c r="Y250" s="15"/>
      <c r="Z250" s="15"/>
      <c r="AA250" s="15"/>
      <c r="AB250" s="15"/>
      <c r="AC250" s="15"/>
      <c r="AD250" s="15"/>
      <c r="AE250" s="15"/>
      <c r="AF250" s="15"/>
      <c r="AG250" s="15"/>
      <c r="AH250" s="15"/>
    </row>
    <row r="251" ht="15.75" customHeight="1">
      <c r="A251" s="28" t="s">
        <v>5</v>
      </c>
      <c r="B251" s="56" t="s">
        <v>1297</v>
      </c>
      <c r="C251" s="83" t="s">
        <v>1298</v>
      </c>
      <c r="D251" s="83" t="s">
        <v>20</v>
      </c>
      <c r="E251" s="28" t="s">
        <v>21</v>
      </c>
      <c r="F251" s="32" t="s">
        <v>51</v>
      </c>
      <c r="G251" s="166" t="s">
        <v>1299</v>
      </c>
      <c r="H251" s="162" t="s">
        <v>51</v>
      </c>
      <c r="I251" s="9"/>
      <c r="J251" s="9"/>
      <c r="K251" s="9"/>
      <c r="L251" s="9"/>
      <c r="M251" s="15"/>
      <c r="N251" s="15"/>
      <c r="O251" s="15"/>
      <c r="P251" s="15"/>
      <c r="Q251" s="15"/>
      <c r="R251" s="15"/>
      <c r="S251" s="15"/>
      <c r="T251" s="15"/>
      <c r="U251" s="15"/>
      <c r="V251" s="15"/>
      <c r="W251" s="15"/>
      <c r="X251" s="15"/>
      <c r="Y251" s="15"/>
      <c r="Z251" s="15"/>
      <c r="AA251" s="15"/>
      <c r="AB251" s="15"/>
      <c r="AC251" s="15"/>
      <c r="AD251" s="15"/>
      <c r="AE251" s="15"/>
      <c r="AF251" s="15"/>
      <c r="AG251" s="15"/>
      <c r="AH251" s="15"/>
    </row>
    <row r="252" ht="15.75" customHeight="1">
      <c r="A252" s="28" t="s">
        <v>5</v>
      </c>
      <c r="E252" s="28" t="s">
        <v>88</v>
      </c>
      <c r="F252" s="32" t="s">
        <v>125</v>
      </c>
      <c r="G252" s="166" t="s">
        <v>1300</v>
      </c>
      <c r="H252" s="162" t="s">
        <v>125</v>
      </c>
      <c r="I252" s="9"/>
      <c r="J252" s="9"/>
      <c r="K252" s="9"/>
      <c r="L252" s="9"/>
      <c r="M252" s="15"/>
      <c r="N252" s="15"/>
      <c r="O252" s="15"/>
      <c r="P252" s="15"/>
      <c r="Q252" s="15"/>
      <c r="R252" s="15"/>
      <c r="S252" s="15"/>
      <c r="T252" s="15"/>
      <c r="U252" s="15"/>
      <c r="V252" s="15"/>
      <c r="W252" s="15"/>
      <c r="X252" s="15"/>
      <c r="Y252" s="15"/>
      <c r="Z252" s="15"/>
      <c r="AA252" s="15"/>
      <c r="AB252" s="15"/>
      <c r="AC252" s="15"/>
      <c r="AD252" s="15"/>
      <c r="AE252" s="15"/>
      <c r="AF252" s="15"/>
      <c r="AG252" s="15"/>
      <c r="AH252" s="15"/>
    </row>
    <row r="253" ht="15.75" customHeight="1">
      <c r="A253" s="28" t="s">
        <v>5</v>
      </c>
      <c r="E253" s="28" t="s">
        <v>88</v>
      </c>
      <c r="F253" s="32" t="s">
        <v>307</v>
      </c>
      <c r="G253" s="166" t="s">
        <v>1301</v>
      </c>
      <c r="H253" s="162" t="s">
        <v>307</v>
      </c>
      <c r="I253" s="9"/>
      <c r="J253" s="9"/>
      <c r="K253" s="9"/>
      <c r="L253" s="9"/>
      <c r="M253" s="15"/>
      <c r="N253" s="15"/>
      <c r="O253" s="15"/>
      <c r="P253" s="15"/>
      <c r="Q253" s="15"/>
      <c r="R253" s="15"/>
      <c r="S253" s="15"/>
      <c r="T253" s="15"/>
      <c r="U253" s="15"/>
      <c r="V253" s="15"/>
      <c r="W253" s="15"/>
      <c r="X253" s="15"/>
      <c r="Y253" s="15"/>
      <c r="Z253" s="15"/>
      <c r="AA253" s="15"/>
      <c r="AB253" s="15"/>
      <c r="AC253" s="15"/>
      <c r="AD253" s="15"/>
      <c r="AE253" s="15"/>
      <c r="AF253" s="15"/>
      <c r="AG253" s="15"/>
      <c r="AH253" s="15"/>
    </row>
    <row r="254" ht="15.75" customHeight="1">
      <c r="A254" s="28" t="s">
        <v>5</v>
      </c>
      <c r="E254" s="28" t="s">
        <v>88</v>
      </c>
      <c r="F254" s="32" t="s">
        <v>89</v>
      </c>
      <c r="G254" s="28"/>
      <c r="H254" s="31"/>
      <c r="I254" s="9"/>
      <c r="J254" s="9"/>
      <c r="K254" s="9"/>
      <c r="L254" s="9"/>
      <c r="M254" s="15"/>
      <c r="N254" s="15"/>
      <c r="O254" s="15"/>
      <c r="P254" s="15"/>
      <c r="Q254" s="15"/>
      <c r="R254" s="15"/>
      <c r="S254" s="15"/>
      <c r="T254" s="15"/>
      <c r="U254" s="15"/>
      <c r="V254" s="15"/>
      <c r="W254" s="15"/>
      <c r="X254" s="15"/>
      <c r="Y254" s="15"/>
      <c r="Z254" s="15"/>
      <c r="AA254" s="15"/>
      <c r="AB254" s="15"/>
      <c r="AC254" s="15"/>
      <c r="AD254" s="15"/>
      <c r="AE254" s="15"/>
      <c r="AF254" s="15"/>
      <c r="AG254" s="15"/>
      <c r="AH254" s="15"/>
    </row>
    <row r="255" ht="15.75" customHeight="1">
      <c r="A255" s="28" t="s">
        <v>5</v>
      </c>
      <c r="E255" s="28" t="s">
        <v>88</v>
      </c>
      <c r="F255" s="32" t="s">
        <v>795</v>
      </c>
      <c r="G255" s="28"/>
      <c r="H255" s="31"/>
      <c r="I255" s="9"/>
      <c r="J255" s="9"/>
      <c r="K255" s="9"/>
      <c r="L255" s="9"/>
      <c r="M255" s="15"/>
      <c r="N255" s="15"/>
      <c r="O255" s="15"/>
      <c r="P255" s="15"/>
      <c r="Q255" s="15"/>
      <c r="R255" s="15"/>
      <c r="S255" s="15"/>
      <c r="T255" s="15"/>
      <c r="U255" s="15"/>
      <c r="V255" s="15"/>
      <c r="W255" s="15"/>
      <c r="X255" s="15"/>
      <c r="Y255" s="15"/>
      <c r="Z255" s="15"/>
      <c r="AA255" s="15"/>
      <c r="AB255" s="15"/>
      <c r="AC255" s="15"/>
      <c r="AD255" s="15"/>
      <c r="AE255" s="15"/>
      <c r="AF255" s="15"/>
      <c r="AG255" s="15"/>
      <c r="AH255" s="15"/>
    </row>
    <row r="256" ht="15.75" customHeight="1">
      <c r="A256" s="28" t="s">
        <v>5</v>
      </c>
      <c r="B256" s="56" t="s">
        <v>1302</v>
      </c>
      <c r="C256" s="83" t="s">
        <v>1303</v>
      </c>
      <c r="D256" s="83" t="s">
        <v>20</v>
      </c>
      <c r="E256" s="28" t="s">
        <v>88</v>
      </c>
      <c r="F256" s="32" t="s">
        <v>89</v>
      </c>
      <c r="G256" s="28"/>
      <c r="H256" s="31"/>
      <c r="I256" s="9"/>
      <c r="J256" s="9"/>
      <c r="K256" s="9"/>
      <c r="L256" s="9"/>
      <c r="M256" s="15"/>
      <c r="N256" s="15"/>
      <c r="O256" s="15"/>
      <c r="P256" s="15"/>
      <c r="Q256" s="15"/>
      <c r="R256" s="15"/>
      <c r="S256" s="15"/>
      <c r="T256" s="15"/>
      <c r="U256" s="15"/>
      <c r="V256" s="15"/>
      <c r="W256" s="15"/>
      <c r="X256" s="15"/>
      <c r="Y256" s="15"/>
      <c r="Z256" s="15"/>
      <c r="AA256" s="15"/>
      <c r="AB256" s="15"/>
      <c r="AC256" s="15"/>
      <c r="AD256" s="15"/>
      <c r="AE256" s="15"/>
      <c r="AF256" s="15"/>
      <c r="AG256" s="15"/>
      <c r="AH256" s="15"/>
    </row>
    <row r="257" ht="15.75" customHeight="1">
      <c r="A257" s="28" t="s">
        <v>5</v>
      </c>
      <c r="E257" s="28" t="s">
        <v>21</v>
      </c>
      <c r="F257" s="32" t="s">
        <v>51</v>
      </c>
      <c r="G257" s="166" t="s">
        <v>1304</v>
      </c>
      <c r="H257" s="162" t="s">
        <v>51</v>
      </c>
      <c r="I257" s="9"/>
      <c r="J257" s="9"/>
      <c r="K257" s="9"/>
      <c r="L257" s="9"/>
      <c r="M257" s="15"/>
      <c r="N257" s="15"/>
      <c r="O257" s="15"/>
      <c r="P257" s="15"/>
      <c r="Q257" s="15"/>
      <c r="R257" s="15"/>
      <c r="S257" s="15"/>
      <c r="T257" s="15"/>
      <c r="U257" s="15"/>
      <c r="V257" s="15"/>
      <c r="W257" s="15"/>
      <c r="X257" s="15"/>
      <c r="Y257" s="15"/>
      <c r="Z257" s="15"/>
      <c r="AA257" s="15"/>
      <c r="AB257" s="15"/>
      <c r="AC257" s="15"/>
      <c r="AD257" s="15"/>
      <c r="AE257" s="15"/>
      <c r="AF257" s="15"/>
      <c r="AG257" s="15"/>
      <c r="AH257" s="15"/>
    </row>
    <row r="258" ht="15.75" customHeight="1">
      <c r="A258" s="28" t="s">
        <v>5</v>
      </c>
      <c r="E258" s="28" t="s">
        <v>88</v>
      </c>
      <c r="F258" s="32" t="s">
        <v>494</v>
      </c>
      <c r="G258" s="166" t="s">
        <v>1305</v>
      </c>
      <c r="H258" s="162" t="s">
        <v>494</v>
      </c>
      <c r="I258" s="9"/>
      <c r="J258" s="9"/>
      <c r="K258" s="9"/>
      <c r="L258" s="9"/>
      <c r="M258" s="15"/>
      <c r="N258" s="15"/>
      <c r="O258" s="15"/>
      <c r="P258" s="15"/>
      <c r="Q258" s="15"/>
      <c r="R258" s="15"/>
      <c r="S258" s="15"/>
      <c r="T258" s="15"/>
      <c r="U258" s="15"/>
      <c r="V258" s="15"/>
      <c r="W258" s="15"/>
      <c r="X258" s="15"/>
      <c r="Y258" s="15"/>
      <c r="Z258" s="15"/>
      <c r="AA258" s="15"/>
      <c r="AB258" s="15"/>
      <c r="AC258" s="15"/>
      <c r="AD258" s="15"/>
      <c r="AE258" s="15"/>
      <c r="AF258" s="15"/>
      <c r="AG258" s="15"/>
      <c r="AH258" s="15"/>
    </row>
    <row r="259" ht="15.75" customHeight="1">
      <c r="A259" s="28" t="s">
        <v>5</v>
      </c>
      <c r="E259" s="28" t="s">
        <v>88</v>
      </c>
      <c r="F259" s="32" t="s">
        <v>120</v>
      </c>
      <c r="G259" s="166" t="s">
        <v>1306</v>
      </c>
      <c r="H259" s="162" t="s">
        <v>120</v>
      </c>
      <c r="I259" s="9"/>
      <c r="J259" s="9"/>
      <c r="K259" s="9"/>
      <c r="L259" s="9"/>
      <c r="M259" s="15"/>
      <c r="N259" s="15"/>
      <c r="O259" s="15"/>
      <c r="P259" s="15"/>
      <c r="Q259" s="15"/>
      <c r="R259" s="15"/>
      <c r="S259" s="15"/>
      <c r="T259" s="15"/>
      <c r="U259" s="15"/>
      <c r="V259" s="15"/>
      <c r="W259" s="15"/>
      <c r="X259" s="15"/>
      <c r="Y259" s="15"/>
      <c r="Z259" s="15"/>
      <c r="AA259" s="15"/>
      <c r="AB259" s="15"/>
      <c r="AC259" s="15"/>
      <c r="AD259" s="15"/>
      <c r="AE259" s="15"/>
      <c r="AF259" s="15"/>
      <c r="AG259" s="15"/>
      <c r="AH259" s="15"/>
    </row>
    <row r="260" ht="15.75" customHeight="1">
      <c r="A260" s="28" t="s">
        <v>5</v>
      </c>
      <c r="E260" s="28" t="s">
        <v>88</v>
      </c>
      <c r="F260" s="32" t="s">
        <v>544</v>
      </c>
      <c r="G260" s="166" t="s">
        <v>1307</v>
      </c>
      <c r="H260" s="162" t="s">
        <v>544</v>
      </c>
      <c r="I260" s="31"/>
      <c r="J260" s="9"/>
      <c r="K260" s="9"/>
      <c r="L260" s="9"/>
      <c r="M260" s="15"/>
      <c r="N260" s="15"/>
      <c r="O260" s="15"/>
      <c r="P260" s="15"/>
      <c r="Q260" s="15"/>
      <c r="R260" s="15"/>
      <c r="S260" s="15"/>
      <c r="T260" s="15"/>
      <c r="U260" s="15"/>
      <c r="V260" s="15"/>
      <c r="W260" s="15"/>
      <c r="X260" s="15"/>
      <c r="Y260" s="15"/>
      <c r="Z260" s="15"/>
      <c r="AA260" s="15"/>
      <c r="AB260" s="15"/>
      <c r="AC260" s="15"/>
      <c r="AD260" s="15"/>
      <c r="AE260" s="15"/>
      <c r="AF260" s="15"/>
      <c r="AG260" s="15"/>
      <c r="AH260" s="15"/>
    </row>
    <row r="261" ht="15.75" customHeight="1">
      <c r="A261" s="28" t="s">
        <v>5</v>
      </c>
      <c r="E261" s="28" t="s">
        <v>88</v>
      </c>
      <c r="F261" s="32" t="s">
        <v>247</v>
      </c>
      <c r="G261" s="28"/>
      <c r="H261" s="31"/>
      <c r="I261" s="9"/>
      <c r="J261" s="9"/>
      <c r="K261" s="9"/>
      <c r="L261" s="9"/>
      <c r="M261" s="15"/>
      <c r="N261" s="15"/>
      <c r="O261" s="15"/>
      <c r="P261" s="15"/>
      <c r="Q261" s="15"/>
      <c r="R261" s="15"/>
      <c r="S261" s="15"/>
      <c r="T261" s="15"/>
      <c r="U261" s="15"/>
      <c r="V261" s="15"/>
      <c r="W261" s="15"/>
      <c r="X261" s="15"/>
      <c r="Y261" s="15"/>
      <c r="Z261" s="15"/>
      <c r="AA261" s="15"/>
      <c r="AB261" s="15"/>
      <c r="AC261" s="15"/>
      <c r="AD261" s="15"/>
      <c r="AE261" s="15"/>
      <c r="AF261" s="15"/>
      <c r="AG261" s="15"/>
      <c r="AH261" s="15"/>
    </row>
    <row r="262" ht="15.75" customHeight="1">
      <c r="A262" s="28" t="s">
        <v>5</v>
      </c>
      <c r="E262" s="28" t="s">
        <v>88</v>
      </c>
      <c r="F262" s="32" t="s">
        <v>95</v>
      </c>
      <c r="G262" s="166" t="s">
        <v>1308</v>
      </c>
      <c r="H262" s="162" t="s">
        <v>95</v>
      </c>
      <c r="I262" s="31"/>
      <c r="J262" s="31"/>
      <c r="K262" s="31"/>
      <c r="L262" s="9"/>
      <c r="M262" s="15"/>
      <c r="N262" s="15"/>
      <c r="O262" s="15"/>
      <c r="P262" s="15"/>
      <c r="Q262" s="15"/>
      <c r="R262" s="15"/>
      <c r="S262" s="15"/>
      <c r="T262" s="15"/>
      <c r="U262" s="15"/>
      <c r="V262" s="15"/>
      <c r="W262" s="15"/>
      <c r="X262" s="15"/>
      <c r="Y262" s="15"/>
      <c r="Z262" s="15"/>
      <c r="AA262" s="15"/>
      <c r="AB262" s="15"/>
      <c r="AC262" s="15"/>
      <c r="AD262" s="15"/>
      <c r="AE262" s="15"/>
      <c r="AF262" s="15"/>
      <c r="AG262" s="15"/>
      <c r="AH262" s="15"/>
    </row>
    <row r="263" ht="15.75" customHeight="1">
      <c r="A263" s="28" t="s">
        <v>5</v>
      </c>
      <c r="E263" s="28" t="s">
        <v>88</v>
      </c>
      <c r="F263" s="32" t="s">
        <v>96</v>
      </c>
      <c r="G263" s="166" t="s">
        <v>1309</v>
      </c>
      <c r="H263" s="162" t="s">
        <v>96</v>
      </c>
      <c r="I263" s="31"/>
      <c r="J263" s="31"/>
      <c r="K263" s="31"/>
      <c r="L263" s="9"/>
      <c r="M263" s="15"/>
      <c r="N263" s="15"/>
      <c r="O263" s="15"/>
      <c r="P263" s="15"/>
      <c r="Q263" s="15"/>
      <c r="R263" s="15"/>
      <c r="S263" s="15"/>
      <c r="T263" s="15"/>
      <c r="U263" s="15"/>
      <c r="V263" s="15"/>
      <c r="W263" s="15"/>
      <c r="X263" s="15"/>
      <c r="Y263" s="15"/>
      <c r="Z263" s="15"/>
      <c r="AA263" s="15"/>
      <c r="AB263" s="15"/>
      <c r="AC263" s="15"/>
      <c r="AD263" s="15"/>
      <c r="AE263" s="15"/>
      <c r="AF263" s="15"/>
      <c r="AG263" s="15"/>
      <c r="AH263" s="15"/>
    </row>
    <row r="264" ht="15.75" customHeight="1">
      <c r="A264" s="28" t="s">
        <v>5</v>
      </c>
      <c r="E264" s="28" t="s">
        <v>86</v>
      </c>
      <c r="F264" s="32" t="s">
        <v>90</v>
      </c>
      <c r="G264" s="166" t="s">
        <v>1310</v>
      </c>
      <c r="H264" s="162" t="s">
        <v>90</v>
      </c>
      <c r="I264" s="31"/>
      <c r="J264" s="31"/>
      <c r="K264" s="31"/>
      <c r="L264" s="9"/>
      <c r="M264" s="15"/>
      <c r="N264" s="15"/>
      <c r="O264" s="15"/>
      <c r="P264" s="15"/>
      <c r="Q264" s="15"/>
      <c r="R264" s="15"/>
      <c r="S264" s="15"/>
      <c r="T264" s="15"/>
      <c r="U264" s="15"/>
      <c r="V264" s="15"/>
      <c r="W264" s="15"/>
      <c r="X264" s="15"/>
      <c r="Y264" s="15"/>
      <c r="Z264" s="15"/>
      <c r="AA264" s="15"/>
      <c r="AB264" s="15"/>
      <c r="AC264" s="15"/>
      <c r="AD264" s="15"/>
      <c r="AE264" s="15"/>
      <c r="AF264" s="15"/>
      <c r="AG264" s="15"/>
      <c r="AH264" s="15"/>
    </row>
    <row r="265" ht="15.75" customHeight="1">
      <c r="A265" s="28" t="s">
        <v>5</v>
      </c>
      <c r="E265" s="28" t="s">
        <v>86</v>
      </c>
      <c r="F265" s="32" t="s">
        <v>91</v>
      </c>
      <c r="G265" s="166" t="s">
        <v>1311</v>
      </c>
      <c r="H265" s="162" t="s">
        <v>91</v>
      </c>
      <c r="I265" s="31"/>
      <c r="J265" s="31"/>
      <c r="K265" s="31"/>
      <c r="L265" s="9"/>
      <c r="M265" s="15"/>
      <c r="N265" s="15"/>
      <c r="O265" s="15"/>
      <c r="P265" s="15"/>
      <c r="Q265" s="15"/>
      <c r="R265" s="15"/>
      <c r="S265" s="15"/>
      <c r="T265" s="15"/>
      <c r="U265" s="15"/>
      <c r="V265" s="15"/>
      <c r="W265" s="15"/>
      <c r="X265" s="15"/>
      <c r="Y265" s="15"/>
      <c r="Z265" s="15"/>
      <c r="AA265" s="15"/>
      <c r="AB265" s="15"/>
      <c r="AC265" s="15"/>
      <c r="AD265" s="15"/>
      <c r="AE265" s="15"/>
      <c r="AF265" s="15"/>
      <c r="AG265" s="15"/>
      <c r="AH265" s="15"/>
    </row>
    <row r="266" ht="15.75" customHeight="1">
      <c r="A266" s="28" t="s">
        <v>5</v>
      </c>
      <c r="E266" s="28" t="s">
        <v>104</v>
      </c>
      <c r="F266" s="32" t="s">
        <v>250</v>
      </c>
      <c r="G266" s="166" t="s">
        <v>1312</v>
      </c>
      <c r="H266" s="162" t="s">
        <v>250</v>
      </c>
      <c r="I266" s="31"/>
      <c r="J266" s="31"/>
      <c r="K266" s="31"/>
      <c r="L266" s="9"/>
      <c r="M266" s="15"/>
      <c r="N266" s="15"/>
      <c r="O266" s="15"/>
      <c r="P266" s="15"/>
      <c r="Q266" s="15"/>
      <c r="R266" s="15"/>
      <c r="S266" s="15"/>
      <c r="T266" s="15"/>
      <c r="U266" s="15"/>
      <c r="V266" s="15"/>
      <c r="W266" s="15"/>
      <c r="X266" s="15"/>
      <c r="Y266" s="15"/>
      <c r="Z266" s="15"/>
      <c r="AA266" s="15"/>
      <c r="AB266" s="15"/>
      <c r="AC266" s="15"/>
      <c r="AD266" s="15"/>
      <c r="AE266" s="15"/>
      <c r="AF266" s="15"/>
      <c r="AG266" s="15"/>
      <c r="AH266" s="15"/>
    </row>
    <row r="267" ht="15.75" customHeight="1">
      <c r="A267" s="28" t="s">
        <v>5</v>
      </c>
      <c r="E267" s="28" t="s">
        <v>178</v>
      </c>
      <c r="F267" s="32" t="s">
        <v>209</v>
      </c>
      <c r="G267" s="166" t="s">
        <v>1313</v>
      </c>
      <c r="H267" s="162" t="s">
        <v>209</v>
      </c>
      <c r="I267" s="31"/>
      <c r="J267" s="31"/>
      <c r="K267" s="31"/>
      <c r="L267" s="9"/>
      <c r="M267" s="15"/>
      <c r="N267" s="15"/>
      <c r="O267" s="15"/>
      <c r="P267" s="15"/>
      <c r="Q267" s="15"/>
      <c r="R267" s="15"/>
      <c r="S267" s="15"/>
      <c r="T267" s="15"/>
      <c r="U267" s="15"/>
      <c r="V267" s="15"/>
      <c r="W267" s="15"/>
      <c r="X267" s="15"/>
      <c r="Y267" s="15"/>
      <c r="Z267" s="15"/>
      <c r="AA267" s="15"/>
      <c r="AB267" s="15"/>
      <c r="AC267" s="15"/>
      <c r="AD267" s="15"/>
      <c r="AE267" s="15"/>
      <c r="AF267" s="15"/>
      <c r="AG267" s="15"/>
      <c r="AH267" s="15"/>
    </row>
    <row r="268" ht="15.75" customHeight="1">
      <c r="A268" s="28" t="s">
        <v>5</v>
      </c>
      <c r="E268" s="28" t="s">
        <v>178</v>
      </c>
      <c r="F268" s="32" t="s">
        <v>210</v>
      </c>
      <c r="G268" s="166" t="s">
        <v>1314</v>
      </c>
      <c r="H268" s="162" t="s">
        <v>210</v>
      </c>
      <c r="I268" s="31"/>
      <c r="J268" s="31"/>
      <c r="K268" s="31"/>
      <c r="L268" s="9"/>
      <c r="M268" s="15"/>
      <c r="N268" s="15"/>
      <c r="O268" s="15"/>
      <c r="P268" s="15"/>
      <c r="Q268" s="15"/>
      <c r="R268" s="15"/>
      <c r="S268" s="15"/>
      <c r="T268" s="15"/>
      <c r="U268" s="15"/>
      <c r="V268" s="15"/>
      <c r="W268" s="15"/>
      <c r="X268" s="15"/>
      <c r="Y268" s="15"/>
      <c r="Z268" s="15"/>
      <c r="AA268" s="15"/>
      <c r="AB268" s="15"/>
      <c r="AC268" s="15"/>
      <c r="AD268" s="15"/>
      <c r="AE268" s="15"/>
      <c r="AF268" s="15"/>
      <c r="AG268" s="15"/>
      <c r="AH268" s="15"/>
    </row>
    <row r="269" ht="15.75" customHeight="1">
      <c r="A269" s="28" t="s">
        <v>5</v>
      </c>
      <c r="E269" s="28" t="s">
        <v>88</v>
      </c>
      <c r="F269" s="32" t="s">
        <v>89</v>
      </c>
      <c r="G269" s="28"/>
      <c r="H269" s="31"/>
      <c r="I269" s="9"/>
      <c r="J269" s="9"/>
      <c r="K269" s="9"/>
      <c r="L269" s="9"/>
      <c r="M269" s="15"/>
      <c r="N269" s="15"/>
      <c r="O269" s="15"/>
      <c r="P269" s="15"/>
      <c r="Q269" s="15"/>
      <c r="R269" s="15"/>
      <c r="S269" s="15"/>
      <c r="T269" s="15"/>
      <c r="U269" s="15"/>
      <c r="V269" s="15"/>
      <c r="W269" s="15"/>
      <c r="X269" s="15"/>
      <c r="Y269" s="15"/>
      <c r="Z269" s="15"/>
      <c r="AA269" s="15"/>
      <c r="AB269" s="15"/>
      <c r="AC269" s="15"/>
      <c r="AD269" s="15"/>
      <c r="AE269" s="15"/>
      <c r="AF269" s="15"/>
      <c r="AG269" s="15"/>
      <c r="AH269" s="15"/>
    </row>
    <row r="270" ht="15.75" customHeight="1">
      <c r="A270" s="28" t="s">
        <v>5</v>
      </c>
      <c r="E270" s="28" t="s">
        <v>88</v>
      </c>
      <c r="F270" s="32" t="s">
        <v>795</v>
      </c>
      <c r="G270" s="28"/>
      <c r="H270" s="31"/>
      <c r="I270" s="9"/>
      <c r="J270" s="9"/>
      <c r="K270" s="9"/>
      <c r="L270" s="9"/>
      <c r="M270" s="15"/>
      <c r="N270" s="15"/>
      <c r="O270" s="15"/>
      <c r="P270" s="15"/>
      <c r="Q270" s="15"/>
      <c r="R270" s="15"/>
      <c r="S270" s="15"/>
      <c r="T270" s="15"/>
      <c r="U270" s="15"/>
      <c r="V270" s="15"/>
      <c r="W270" s="15"/>
      <c r="X270" s="15"/>
      <c r="Y270" s="15"/>
      <c r="Z270" s="15"/>
      <c r="AA270" s="15"/>
      <c r="AB270" s="15"/>
      <c r="AC270" s="15"/>
      <c r="AD270" s="15"/>
      <c r="AE270" s="15"/>
      <c r="AF270" s="15"/>
      <c r="AG270" s="15"/>
      <c r="AH270" s="15"/>
    </row>
    <row r="271" ht="15.75" customHeight="1">
      <c r="A271" s="28" t="s">
        <v>5</v>
      </c>
      <c r="B271" s="56" t="s">
        <v>1315</v>
      </c>
      <c r="C271" s="83" t="s">
        <v>1316</v>
      </c>
      <c r="D271" s="83" t="s">
        <v>20</v>
      </c>
      <c r="E271" s="28" t="s">
        <v>88</v>
      </c>
      <c r="F271" s="32" t="s">
        <v>89</v>
      </c>
      <c r="G271" s="28"/>
      <c r="H271" s="31"/>
      <c r="I271" s="31"/>
      <c r="J271" s="9"/>
      <c r="K271" s="9"/>
      <c r="L271" s="9"/>
      <c r="M271" s="15"/>
      <c r="N271" s="15"/>
      <c r="O271" s="15"/>
      <c r="P271" s="15"/>
      <c r="Q271" s="15"/>
      <c r="R271" s="15"/>
      <c r="S271" s="15"/>
      <c r="T271" s="15"/>
      <c r="U271" s="15"/>
      <c r="V271" s="15"/>
      <c r="W271" s="15"/>
      <c r="X271" s="15"/>
      <c r="Y271" s="15"/>
      <c r="Z271" s="15"/>
      <c r="AA271" s="15"/>
      <c r="AB271" s="15"/>
      <c r="AC271" s="15"/>
      <c r="AD271" s="15"/>
      <c r="AE271" s="15"/>
      <c r="AF271" s="15"/>
      <c r="AG271" s="15"/>
      <c r="AH271" s="15"/>
    </row>
    <row r="272" ht="15.75" customHeight="1">
      <c r="A272" s="28" t="s">
        <v>5</v>
      </c>
      <c r="E272" s="28" t="s">
        <v>21</v>
      </c>
      <c r="F272" s="32" t="s">
        <v>51</v>
      </c>
      <c r="G272" s="166" t="s">
        <v>1317</v>
      </c>
      <c r="H272" s="162" t="s">
        <v>51</v>
      </c>
      <c r="I272" s="31"/>
      <c r="J272" s="9"/>
      <c r="K272" s="9"/>
      <c r="L272" s="9"/>
      <c r="M272" s="15"/>
      <c r="N272" s="15"/>
      <c r="O272" s="15"/>
      <c r="P272" s="15"/>
      <c r="Q272" s="15"/>
      <c r="R272" s="15"/>
      <c r="S272" s="15"/>
      <c r="T272" s="15"/>
      <c r="U272" s="15"/>
      <c r="V272" s="15"/>
      <c r="W272" s="15"/>
      <c r="X272" s="15"/>
      <c r="Y272" s="15"/>
      <c r="Z272" s="15"/>
      <c r="AA272" s="15"/>
      <c r="AB272" s="15"/>
      <c r="AC272" s="15"/>
      <c r="AD272" s="15"/>
      <c r="AE272" s="15"/>
      <c r="AF272" s="15"/>
      <c r="AG272" s="15"/>
      <c r="AH272" s="15"/>
    </row>
    <row r="273" ht="15.75" customHeight="1">
      <c r="A273" s="28" t="s">
        <v>5</v>
      </c>
      <c r="E273" s="28" t="s">
        <v>88</v>
      </c>
      <c r="F273" s="32" t="s">
        <v>494</v>
      </c>
      <c r="G273" s="166" t="s">
        <v>1318</v>
      </c>
      <c r="H273" s="162" t="s">
        <v>494</v>
      </c>
      <c r="I273" s="31"/>
      <c r="J273" s="9"/>
      <c r="K273" s="9"/>
      <c r="L273" s="9"/>
      <c r="M273" s="15"/>
      <c r="N273" s="15"/>
      <c r="O273" s="15"/>
      <c r="P273" s="15"/>
      <c r="Q273" s="15"/>
      <c r="R273" s="15"/>
      <c r="S273" s="15"/>
      <c r="T273" s="15"/>
      <c r="U273" s="15"/>
      <c r="V273" s="15"/>
      <c r="W273" s="15"/>
      <c r="X273" s="15"/>
      <c r="Y273" s="15"/>
      <c r="Z273" s="15"/>
      <c r="AA273" s="15"/>
      <c r="AB273" s="15"/>
      <c r="AC273" s="15"/>
      <c r="AD273" s="15"/>
      <c r="AE273" s="15"/>
      <c r="AF273" s="15"/>
      <c r="AG273" s="15"/>
      <c r="AH273" s="15"/>
    </row>
    <row r="274" ht="15.75" customHeight="1">
      <c r="A274" s="28" t="s">
        <v>5</v>
      </c>
      <c r="E274" s="28" t="s">
        <v>88</v>
      </c>
      <c r="F274" s="32" t="s">
        <v>120</v>
      </c>
      <c r="G274" s="166" t="s">
        <v>1319</v>
      </c>
      <c r="H274" s="162" t="s">
        <v>120</v>
      </c>
      <c r="I274" s="31"/>
      <c r="J274" s="9"/>
      <c r="K274" s="9"/>
      <c r="L274" s="9"/>
      <c r="M274" s="15"/>
      <c r="N274" s="15"/>
      <c r="O274" s="15"/>
      <c r="P274" s="15"/>
      <c r="Q274" s="15"/>
      <c r="R274" s="15"/>
      <c r="S274" s="15"/>
      <c r="T274" s="15"/>
      <c r="U274" s="15"/>
      <c r="V274" s="15"/>
      <c r="W274" s="15"/>
      <c r="X274" s="15"/>
      <c r="Y274" s="15"/>
      <c r="Z274" s="15"/>
      <c r="AA274" s="15"/>
      <c r="AB274" s="15"/>
      <c r="AC274" s="15"/>
      <c r="AD274" s="15"/>
      <c r="AE274" s="15"/>
      <c r="AF274" s="15"/>
      <c r="AG274" s="15"/>
      <c r="AH274" s="15"/>
    </row>
    <row r="275" ht="15.75" customHeight="1">
      <c r="A275" s="28" t="s">
        <v>5</v>
      </c>
      <c r="E275" s="28" t="s">
        <v>88</v>
      </c>
      <c r="F275" s="32" t="s">
        <v>544</v>
      </c>
      <c r="G275" s="166" t="s">
        <v>1320</v>
      </c>
      <c r="H275" s="162" t="s">
        <v>544</v>
      </c>
      <c r="I275" s="31"/>
      <c r="J275" s="31"/>
      <c r="K275" s="9"/>
      <c r="L275" s="9"/>
      <c r="M275" s="15"/>
      <c r="N275" s="15"/>
      <c r="O275" s="15"/>
      <c r="P275" s="15"/>
      <c r="Q275" s="15"/>
      <c r="R275" s="15"/>
      <c r="S275" s="15"/>
      <c r="T275" s="15"/>
      <c r="U275" s="15"/>
      <c r="V275" s="15"/>
      <c r="W275" s="15"/>
      <c r="X275" s="15"/>
      <c r="Y275" s="15"/>
      <c r="Z275" s="15"/>
      <c r="AA275" s="15"/>
      <c r="AB275" s="15"/>
      <c r="AC275" s="15"/>
      <c r="AD275" s="15"/>
      <c r="AE275" s="15"/>
      <c r="AF275" s="15"/>
      <c r="AG275" s="15"/>
      <c r="AH275" s="15"/>
    </row>
    <row r="276" ht="15.75" customHeight="1">
      <c r="A276" s="28" t="s">
        <v>5</v>
      </c>
      <c r="E276" s="28" t="s">
        <v>88</v>
      </c>
      <c r="F276" s="32" t="s">
        <v>247</v>
      </c>
      <c r="G276" s="28"/>
      <c r="H276" s="31"/>
      <c r="I276" s="9"/>
      <c r="J276" s="9"/>
      <c r="K276" s="9"/>
      <c r="L276" s="9"/>
      <c r="M276" s="15"/>
      <c r="N276" s="15"/>
      <c r="O276" s="15"/>
      <c r="P276" s="15"/>
      <c r="Q276" s="15"/>
      <c r="R276" s="15"/>
      <c r="S276" s="15"/>
      <c r="T276" s="15"/>
      <c r="U276" s="15"/>
      <c r="V276" s="15"/>
      <c r="W276" s="15"/>
      <c r="X276" s="15"/>
      <c r="Y276" s="15"/>
      <c r="Z276" s="15"/>
      <c r="AA276" s="15"/>
      <c r="AB276" s="15"/>
      <c r="AC276" s="15"/>
      <c r="AD276" s="15"/>
      <c r="AE276" s="15"/>
      <c r="AF276" s="15"/>
      <c r="AG276" s="15"/>
      <c r="AH276" s="15"/>
    </row>
    <row r="277" ht="15.75" customHeight="1">
      <c r="A277" s="28" t="s">
        <v>5</v>
      </c>
      <c r="E277" s="28" t="s">
        <v>88</v>
      </c>
      <c r="F277" s="169" t="s">
        <v>95</v>
      </c>
      <c r="G277" s="166" t="s">
        <v>1321</v>
      </c>
      <c r="H277" s="162" t="s">
        <v>95</v>
      </c>
      <c r="I277" s="31"/>
      <c r="J277" s="9"/>
      <c r="K277" s="9"/>
      <c r="L277" s="9"/>
      <c r="M277" s="15"/>
      <c r="N277" s="15"/>
      <c r="O277" s="15"/>
      <c r="P277" s="15"/>
      <c r="Q277" s="15"/>
      <c r="R277" s="15"/>
      <c r="S277" s="15"/>
      <c r="T277" s="15"/>
      <c r="U277" s="15"/>
      <c r="V277" s="15"/>
      <c r="W277" s="15"/>
      <c r="X277" s="15"/>
      <c r="Y277" s="15"/>
      <c r="Z277" s="15"/>
      <c r="AA277" s="15"/>
      <c r="AB277" s="15"/>
      <c r="AC277" s="15"/>
      <c r="AD277" s="15"/>
      <c r="AE277" s="15"/>
      <c r="AF277" s="15"/>
      <c r="AG277" s="15"/>
      <c r="AH277" s="15"/>
    </row>
    <row r="278" ht="15.75" customHeight="1">
      <c r="A278" s="28" t="s">
        <v>5</v>
      </c>
      <c r="E278" s="28" t="s">
        <v>88</v>
      </c>
      <c r="F278" s="169" t="s">
        <v>96</v>
      </c>
      <c r="G278" s="166" t="s">
        <v>1322</v>
      </c>
      <c r="H278" s="162" t="s">
        <v>96</v>
      </c>
      <c r="I278" s="31"/>
      <c r="J278" s="9"/>
      <c r="K278" s="9"/>
      <c r="L278" s="9"/>
      <c r="M278" s="15"/>
      <c r="N278" s="15"/>
      <c r="O278" s="15"/>
      <c r="P278" s="15"/>
      <c r="Q278" s="15"/>
      <c r="R278" s="15"/>
      <c r="S278" s="15"/>
      <c r="T278" s="15"/>
      <c r="U278" s="15"/>
      <c r="V278" s="15"/>
      <c r="W278" s="15"/>
      <c r="X278" s="15"/>
      <c r="Y278" s="15"/>
      <c r="Z278" s="15"/>
      <c r="AA278" s="15"/>
      <c r="AB278" s="15"/>
      <c r="AC278" s="15"/>
      <c r="AD278" s="15"/>
      <c r="AE278" s="15"/>
      <c r="AF278" s="15"/>
      <c r="AG278" s="15"/>
      <c r="AH278" s="15"/>
    </row>
    <row r="279" ht="15.75" customHeight="1">
      <c r="A279" s="28" t="s">
        <v>5</v>
      </c>
      <c r="E279" s="28" t="s">
        <v>86</v>
      </c>
      <c r="F279" s="169" t="s">
        <v>90</v>
      </c>
      <c r="G279" s="166" t="s">
        <v>1323</v>
      </c>
      <c r="H279" s="162" t="s">
        <v>90</v>
      </c>
      <c r="I279" s="31"/>
      <c r="J279" s="9"/>
      <c r="K279" s="9"/>
      <c r="L279" s="9"/>
      <c r="M279" s="15"/>
      <c r="N279" s="15"/>
      <c r="O279" s="15"/>
      <c r="P279" s="15"/>
      <c r="Q279" s="15"/>
      <c r="R279" s="15"/>
      <c r="S279" s="15"/>
      <c r="T279" s="15"/>
      <c r="U279" s="15"/>
      <c r="V279" s="15"/>
      <c r="W279" s="15"/>
      <c r="X279" s="15"/>
      <c r="Y279" s="15"/>
      <c r="Z279" s="15"/>
      <c r="AA279" s="15"/>
      <c r="AB279" s="15"/>
      <c r="AC279" s="15"/>
      <c r="AD279" s="15"/>
      <c r="AE279" s="15"/>
      <c r="AF279" s="15"/>
      <c r="AG279" s="15"/>
      <c r="AH279" s="15"/>
    </row>
    <row r="280" ht="15.75" customHeight="1">
      <c r="A280" s="28" t="s">
        <v>5</v>
      </c>
      <c r="E280" s="28" t="s">
        <v>86</v>
      </c>
      <c r="F280" s="169" t="s">
        <v>91</v>
      </c>
      <c r="G280" s="166" t="s">
        <v>1324</v>
      </c>
      <c r="H280" s="162" t="s">
        <v>91</v>
      </c>
      <c r="I280" s="31"/>
      <c r="J280" s="9"/>
      <c r="K280" s="9"/>
      <c r="L280" s="9"/>
      <c r="M280" s="15"/>
      <c r="N280" s="15"/>
      <c r="O280" s="15"/>
      <c r="P280" s="15"/>
      <c r="Q280" s="15"/>
      <c r="R280" s="15"/>
      <c r="S280" s="15"/>
      <c r="T280" s="15"/>
      <c r="U280" s="15"/>
      <c r="V280" s="15"/>
      <c r="W280" s="15"/>
      <c r="X280" s="15"/>
      <c r="Y280" s="15"/>
      <c r="Z280" s="15"/>
      <c r="AA280" s="15"/>
      <c r="AB280" s="15"/>
      <c r="AC280" s="15"/>
      <c r="AD280" s="15"/>
      <c r="AE280" s="15"/>
      <c r="AF280" s="15"/>
      <c r="AG280" s="15"/>
      <c r="AH280" s="15"/>
    </row>
    <row r="281" ht="15.75" customHeight="1">
      <c r="A281" s="28" t="s">
        <v>5</v>
      </c>
      <c r="E281" s="28" t="s">
        <v>104</v>
      </c>
      <c r="F281" s="169" t="s">
        <v>250</v>
      </c>
      <c r="G281" s="166" t="s">
        <v>1325</v>
      </c>
      <c r="H281" s="162" t="s">
        <v>250</v>
      </c>
      <c r="I281" s="31"/>
      <c r="J281" s="9"/>
      <c r="K281" s="9"/>
      <c r="L281" s="9"/>
      <c r="M281" s="15"/>
      <c r="N281" s="15"/>
      <c r="O281" s="15"/>
      <c r="P281" s="15"/>
      <c r="Q281" s="15"/>
      <c r="R281" s="15"/>
      <c r="S281" s="15"/>
      <c r="T281" s="15"/>
      <c r="U281" s="15"/>
      <c r="V281" s="15"/>
      <c r="W281" s="15"/>
      <c r="X281" s="15"/>
      <c r="Y281" s="15"/>
      <c r="Z281" s="15"/>
      <c r="AA281" s="15"/>
      <c r="AB281" s="15"/>
      <c r="AC281" s="15"/>
      <c r="AD281" s="15"/>
      <c r="AE281" s="15"/>
      <c r="AF281" s="15"/>
      <c r="AG281" s="15"/>
      <c r="AH281" s="15"/>
    </row>
    <row r="282" ht="15.75" customHeight="1">
      <c r="A282" s="28" t="s">
        <v>5</v>
      </c>
      <c r="E282" s="28" t="s">
        <v>178</v>
      </c>
      <c r="F282" s="169" t="s">
        <v>209</v>
      </c>
      <c r="G282" s="166" t="s">
        <v>1326</v>
      </c>
      <c r="H282" s="162" t="s">
        <v>209</v>
      </c>
      <c r="I282" s="31"/>
      <c r="J282" s="9"/>
      <c r="K282" s="9"/>
      <c r="L282" s="9"/>
      <c r="M282" s="15"/>
      <c r="N282" s="15"/>
      <c r="O282" s="15"/>
      <c r="P282" s="15"/>
      <c r="Q282" s="15"/>
      <c r="R282" s="15"/>
      <c r="S282" s="15"/>
      <c r="T282" s="15"/>
      <c r="U282" s="15"/>
      <c r="V282" s="15"/>
      <c r="W282" s="15"/>
      <c r="X282" s="15"/>
      <c r="Y282" s="15"/>
      <c r="Z282" s="15"/>
      <c r="AA282" s="15"/>
      <c r="AB282" s="15"/>
      <c r="AC282" s="15"/>
      <c r="AD282" s="15"/>
      <c r="AE282" s="15"/>
      <c r="AF282" s="15"/>
      <c r="AG282" s="15"/>
      <c r="AH282" s="15"/>
    </row>
    <row r="283" ht="15.75" customHeight="1">
      <c r="A283" s="28" t="s">
        <v>5</v>
      </c>
      <c r="E283" s="28" t="s">
        <v>178</v>
      </c>
      <c r="F283" s="169" t="s">
        <v>210</v>
      </c>
      <c r="G283" s="166" t="s">
        <v>1327</v>
      </c>
      <c r="H283" s="162" t="s">
        <v>210</v>
      </c>
      <c r="I283" s="31"/>
      <c r="J283" s="9"/>
      <c r="K283" s="9"/>
      <c r="L283" s="9"/>
      <c r="M283" s="15"/>
      <c r="N283" s="15"/>
      <c r="O283" s="15"/>
      <c r="P283" s="15"/>
      <c r="Q283" s="15"/>
      <c r="R283" s="15"/>
      <c r="S283" s="15"/>
      <c r="T283" s="15"/>
      <c r="U283" s="15"/>
      <c r="V283" s="15"/>
      <c r="W283" s="15"/>
      <c r="X283" s="15"/>
      <c r="Y283" s="15"/>
      <c r="Z283" s="15"/>
      <c r="AA283" s="15"/>
      <c r="AB283" s="15"/>
      <c r="AC283" s="15"/>
      <c r="AD283" s="15"/>
      <c r="AE283" s="15"/>
      <c r="AF283" s="15"/>
      <c r="AG283" s="15"/>
      <c r="AH283" s="15"/>
    </row>
    <row r="284" ht="15.75" customHeight="1">
      <c r="A284" s="28" t="s">
        <v>5</v>
      </c>
      <c r="E284" s="28" t="s">
        <v>88</v>
      </c>
      <c r="F284" s="32" t="s">
        <v>89</v>
      </c>
      <c r="G284" s="28"/>
      <c r="H284" s="31"/>
      <c r="I284" s="31"/>
      <c r="J284" s="9"/>
      <c r="K284" s="9"/>
      <c r="L284" s="9"/>
      <c r="M284" s="15"/>
      <c r="N284" s="15"/>
      <c r="O284" s="15"/>
      <c r="P284" s="15"/>
      <c r="Q284" s="15"/>
      <c r="R284" s="15"/>
      <c r="S284" s="15"/>
      <c r="T284" s="15"/>
      <c r="U284" s="15"/>
      <c r="V284" s="15"/>
      <c r="W284" s="15"/>
      <c r="X284" s="15"/>
      <c r="Y284" s="15"/>
      <c r="Z284" s="15"/>
      <c r="AA284" s="15"/>
      <c r="AB284" s="15"/>
      <c r="AC284" s="15"/>
      <c r="AD284" s="15"/>
      <c r="AE284" s="15"/>
      <c r="AF284" s="15"/>
      <c r="AG284" s="15"/>
      <c r="AH284" s="15"/>
    </row>
    <row r="285" ht="15.75" customHeight="1">
      <c r="A285" s="28" t="s">
        <v>5</v>
      </c>
      <c r="E285" s="28" t="s">
        <v>88</v>
      </c>
      <c r="F285" s="32" t="s">
        <v>795</v>
      </c>
      <c r="G285" s="28"/>
      <c r="H285" s="31"/>
      <c r="I285" s="9"/>
      <c r="J285" s="9"/>
      <c r="K285" s="9"/>
      <c r="L285" s="9"/>
      <c r="M285" s="15"/>
      <c r="N285" s="15"/>
      <c r="O285" s="15"/>
      <c r="P285" s="15"/>
      <c r="Q285" s="15"/>
      <c r="R285" s="15"/>
      <c r="S285" s="15"/>
      <c r="T285" s="15"/>
      <c r="U285" s="15"/>
      <c r="V285" s="15"/>
      <c r="W285" s="15"/>
      <c r="X285" s="15"/>
      <c r="Y285" s="15"/>
      <c r="Z285" s="15"/>
      <c r="AA285" s="15"/>
      <c r="AB285" s="15"/>
      <c r="AC285" s="15"/>
      <c r="AD285" s="15"/>
      <c r="AE285" s="15"/>
      <c r="AF285" s="15"/>
      <c r="AG285" s="15"/>
      <c r="AH285" s="15"/>
    </row>
    <row r="286" ht="15.75" customHeight="1">
      <c r="A286" s="28" t="s">
        <v>5</v>
      </c>
      <c r="B286" s="56" t="s">
        <v>1328</v>
      </c>
      <c r="C286" s="83" t="s">
        <v>1329</v>
      </c>
      <c r="D286" s="83" t="s">
        <v>20</v>
      </c>
      <c r="E286" s="28" t="s">
        <v>21</v>
      </c>
      <c r="F286" s="32" t="s">
        <v>51</v>
      </c>
      <c r="G286" s="170" t="s">
        <v>1330</v>
      </c>
      <c r="H286" s="162" t="s">
        <v>51</v>
      </c>
      <c r="I286" s="31"/>
      <c r="J286" s="9"/>
      <c r="K286" s="9"/>
      <c r="L286" s="9"/>
      <c r="M286" s="15"/>
      <c r="N286" s="15"/>
      <c r="O286" s="15"/>
      <c r="P286" s="15"/>
      <c r="Q286" s="15"/>
      <c r="R286" s="15"/>
      <c r="S286" s="15"/>
      <c r="T286" s="15"/>
      <c r="U286" s="15"/>
      <c r="V286" s="15"/>
      <c r="W286" s="15"/>
      <c r="X286" s="15"/>
      <c r="Y286" s="15"/>
      <c r="Z286" s="15"/>
      <c r="AA286" s="15"/>
      <c r="AB286" s="15"/>
      <c r="AC286" s="15"/>
      <c r="AD286" s="15"/>
      <c r="AE286" s="15"/>
      <c r="AF286" s="15"/>
      <c r="AG286" s="15"/>
      <c r="AH286" s="15"/>
    </row>
    <row r="287" ht="15.75" customHeight="1">
      <c r="A287" s="28" t="s">
        <v>5</v>
      </c>
      <c r="E287" s="28" t="s">
        <v>88</v>
      </c>
      <c r="F287" s="32" t="s">
        <v>521</v>
      </c>
      <c r="G287" s="166" t="s">
        <v>1331</v>
      </c>
      <c r="H287" s="162" t="s">
        <v>521</v>
      </c>
      <c r="I287" s="9"/>
      <c r="J287" s="9"/>
      <c r="K287" s="9"/>
      <c r="L287" s="9"/>
      <c r="M287" s="15"/>
      <c r="N287" s="15"/>
      <c r="O287" s="15"/>
      <c r="P287" s="15"/>
      <c r="Q287" s="15"/>
      <c r="R287" s="15"/>
      <c r="S287" s="15"/>
      <c r="T287" s="15"/>
      <c r="U287" s="15"/>
      <c r="V287" s="15"/>
      <c r="W287" s="15"/>
      <c r="X287" s="15"/>
      <c r="Y287" s="15"/>
      <c r="Z287" s="15"/>
      <c r="AA287" s="15"/>
      <c r="AB287" s="15"/>
      <c r="AC287" s="15"/>
      <c r="AD287" s="15"/>
      <c r="AE287" s="15"/>
      <c r="AF287" s="15"/>
      <c r="AG287" s="15"/>
      <c r="AH287" s="15"/>
    </row>
    <row r="288" ht="15.75" customHeight="1">
      <c r="A288" s="28" t="s">
        <v>5</v>
      </c>
      <c r="E288" s="28" t="s">
        <v>88</v>
      </c>
      <c r="F288" s="32" t="s">
        <v>515</v>
      </c>
      <c r="G288" s="166" t="s">
        <v>1332</v>
      </c>
      <c r="H288" s="162" t="s">
        <v>515</v>
      </c>
      <c r="I288" s="9"/>
      <c r="J288" s="9"/>
      <c r="K288" s="9"/>
      <c r="L288" s="9"/>
      <c r="M288" s="15"/>
      <c r="N288" s="15"/>
      <c r="O288" s="15"/>
      <c r="P288" s="15"/>
      <c r="Q288" s="15"/>
      <c r="R288" s="15"/>
      <c r="S288" s="15"/>
      <c r="T288" s="15"/>
      <c r="U288" s="15"/>
      <c r="V288" s="15"/>
      <c r="W288" s="15"/>
      <c r="X288" s="15"/>
      <c r="Y288" s="15"/>
      <c r="Z288" s="15"/>
      <c r="AA288" s="15"/>
      <c r="AB288" s="15"/>
      <c r="AC288" s="15"/>
      <c r="AD288" s="15"/>
      <c r="AE288" s="15"/>
      <c r="AF288" s="15"/>
      <c r="AG288" s="15"/>
      <c r="AH288" s="15"/>
    </row>
    <row r="289" ht="15.75" customHeight="1">
      <c r="A289" s="28" t="s">
        <v>5</v>
      </c>
      <c r="E289" s="28" t="s">
        <v>88</v>
      </c>
      <c r="F289" s="32" t="s">
        <v>570</v>
      </c>
      <c r="G289" s="28"/>
      <c r="H289" s="31"/>
      <c r="I289" s="9"/>
      <c r="J289" s="9"/>
      <c r="K289" s="9"/>
      <c r="L289" s="9"/>
      <c r="M289" s="15"/>
      <c r="N289" s="15"/>
      <c r="O289" s="15"/>
      <c r="P289" s="15"/>
      <c r="Q289" s="15"/>
      <c r="R289" s="15"/>
      <c r="S289" s="15"/>
      <c r="T289" s="15"/>
      <c r="U289" s="15"/>
      <c r="V289" s="15"/>
      <c r="W289" s="15"/>
      <c r="X289" s="15"/>
      <c r="Y289" s="15"/>
      <c r="Z289" s="15"/>
      <c r="AA289" s="15"/>
      <c r="AB289" s="15"/>
      <c r="AC289" s="15"/>
      <c r="AD289" s="15"/>
      <c r="AE289" s="15"/>
      <c r="AF289" s="15"/>
      <c r="AG289" s="15"/>
      <c r="AH289" s="15"/>
    </row>
    <row r="290" ht="15.75" customHeight="1">
      <c r="A290" s="28" t="s">
        <v>5</v>
      </c>
      <c r="E290" s="28" t="s">
        <v>88</v>
      </c>
      <c r="F290" s="32" t="s">
        <v>598</v>
      </c>
      <c r="G290" s="28"/>
      <c r="H290" s="31"/>
      <c r="I290" s="9"/>
      <c r="J290" s="9"/>
      <c r="K290" s="9"/>
      <c r="L290" s="9"/>
      <c r="M290" s="15"/>
      <c r="N290" s="15"/>
      <c r="O290" s="15"/>
      <c r="P290" s="15"/>
      <c r="Q290" s="15"/>
      <c r="R290" s="15"/>
      <c r="S290" s="15"/>
      <c r="T290" s="15"/>
      <c r="U290" s="15"/>
      <c r="V290" s="15"/>
      <c r="W290" s="15"/>
      <c r="X290" s="15"/>
      <c r="Y290" s="15"/>
      <c r="Z290" s="15"/>
      <c r="AA290" s="15"/>
      <c r="AB290" s="15"/>
      <c r="AC290" s="15"/>
      <c r="AD290" s="15"/>
      <c r="AE290" s="15"/>
      <c r="AF290" s="15"/>
      <c r="AG290" s="15"/>
      <c r="AH290" s="15"/>
    </row>
    <row r="291" ht="15.75" customHeight="1">
      <c r="A291" s="28" t="s">
        <v>5</v>
      </c>
      <c r="E291" s="28" t="s">
        <v>88</v>
      </c>
      <c r="F291" s="32" t="s">
        <v>120</v>
      </c>
      <c r="G291" s="166" t="s">
        <v>1333</v>
      </c>
      <c r="H291" s="162" t="s">
        <v>120</v>
      </c>
      <c r="I291" s="9"/>
      <c r="J291" s="9"/>
      <c r="K291" s="9"/>
      <c r="L291" s="9"/>
      <c r="M291" s="15"/>
      <c r="N291" s="15"/>
      <c r="O291" s="15"/>
      <c r="P291" s="15"/>
      <c r="Q291" s="15"/>
      <c r="R291" s="15"/>
      <c r="S291" s="15"/>
      <c r="T291" s="15"/>
      <c r="U291" s="15"/>
      <c r="V291" s="15"/>
      <c r="W291" s="15"/>
      <c r="X291" s="15"/>
      <c r="Y291" s="15"/>
      <c r="Z291" s="15"/>
      <c r="AA291" s="15"/>
      <c r="AB291" s="15"/>
      <c r="AC291" s="15"/>
      <c r="AD291" s="15"/>
      <c r="AE291" s="15"/>
      <c r="AF291" s="15"/>
      <c r="AG291" s="15"/>
      <c r="AH291" s="15"/>
    </row>
    <row r="292" ht="15.75" customHeight="1">
      <c r="A292" s="32" t="s">
        <v>5</v>
      </c>
      <c r="E292" s="32" t="s">
        <v>88</v>
      </c>
      <c r="F292" s="32" t="s">
        <v>544</v>
      </c>
      <c r="G292" s="171" t="s">
        <v>1334</v>
      </c>
      <c r="H292" s="162" t="s">
        <v>544</v>
      </c>
      <c r="I292" s="9"/>
      <c r="J292" s="9"/>
      <c r="K292" s="9"/>
      <c r="L292" s="9"/>
      <c r="M292" s="15"/>
      <c r="N292" s="15"/>
      <c r="O292" s="15"/>
      <c r="P292" s="15"/>
      <c r="Q292" s="15"/>
      <c r="R292" s="15"/>
      <c r="S292" s="15"/>
      <c r="T292" s="15"/>
      <c r="U292" s="15"/>
      <c r="V292" s="15"/>
      <c r="W292" s="15"/>
      <c r="X292" s="15"/>
      <c r="Y292" s="15"/>
      <c r="Z292" s="15"/>
      <c r="AA292" s="15"/>
      <c r="AB292" s="15"/>
      <c r="AC292" s="15"/>
      <c r="AD292" s="15"/>
      <c r="AE292" s="15"/>
      <c r="AF292" s="15"/>
      <c r="AG292" s="15"/>
      <c r="AH292" s="15"/>
    </row>
    <row r="293" ht="15.75" customHeight="1">
      <c r="A293" s="32" t="s">
        <v>5</v>
      </c>
      <c r="E293" s="32" t="s">
        <v>88</v>
      </c>
      <c r="F293" s="32" t="s">
        <v>247</v>
      </c>
      <c r="G293" s="172"/>
      <c r="H293" s="31"/>
      <c r="I293" s="9"/>
      <c r="J293" s="9"/>
      <c r="K293" s="9"/>
      <c r="L293" s="9"/>
      <c r="M293" s="15"/>
      <c r="N293" s="15"/>
      <c r="O293" s="15"/>
      <c r="P293" s="15"/>
      <c r="Q293" s="15"/>
      <c r="R293" s="15"/>
      <c r="S293" s="15"/>
      <c r="T293" s="15"/>
      <c r="U293" s="15"/>
      <c r="V293" s="15"/>
      <c r="W293" s="15"/>
      <c r="X293" s="15"/>
      <c r="Y293" s="15"/>
      <c r="Z293" s="15"/>
      <c r="AA293" s="15"/>
      <c r="AB293" s="15"/>
      <c r="AC293" s="15"/>
      <c r="AD293" s="15"/>
      <c r="AE293" s="15"/>
      <c r="AF293" s="15"/>
      <c r="AG293" s="15"/>
      <c r="AH293" s="15"/>
    </row>
    <row r="294" ht="15.75" customHeight="1">
      <c r="A294" s="32" t="s">
        <v>5</v>
      </c>
      <c r="E294" s="32" t="s">
        <v>88</v>
      </c>
      <c r="F294" s="32" t="s">
        <v>95</v>
      </c>
      <c r="G294" s="171" t="s">
        <v>1335</v>
      </c>
      <c r="H294" s="162" t="s">
        <v>95</v>
      </c>
      <c r="I294" s="9"/>
      <c r="J294" s="9"/>
      <c r="K294" s="9"/>
      <c r="L294" s="9"/>
      <c r="M294" s="15"/>
      <c r="N294" s="15"/>
      <c r="O294" s="15"/>
      <c r="P294" s="15"/>
      <c r="Q294" s="15"/>
      <c r="R294" s="15"/>
      <c r="S294" s="15"/>
      <c r="T294" s="15"/>
      <c r="U294" s="15"/>
      <c r="V294" s="15"/>
      <c r="W294" s="15"/>
      <c r="X294" s="15"/>
      <c r="Y294" s="15"/>
      <c r="Z294" s="15"/>
      <c r="AA294" s="15"/>
      <c r="AB294" s="15"/>
      <c r="AC294" s="15"/>
      <c r="AD294" s="15"/>
      <c r="AE294" s="15"/>
      <c r="AF294" s="15"/>
      <c r="AG294" s="15"/>
      <c r="AH294" s="15"/>
    </row>
    <row r="295" ht="15.75" customHeight="1">
      <c r="A295" s="32" t="s">
        <v>5</v>
      </c>
      <c r="E295" s="32" t="s">
        <v>88</v>
      </c>
      <c r="F295" s="32" t="s">
        <v>96</v>
      </c>
      <c r="G295" s="171" t="s">
        <v>1336</v>
      </c>
      <c r="H295" s="162" t="s">
        <v>96</v>
      </c>
      <c r="I295" s="9"/>
      <c r="J295" s="9"/>
      <c r="K295" s="9"/>
      <c r="L295" s="9"/>
      <c r="M295" s="15"/>
      <c r="N295" s="15"/>
      <c r="O295" s="15"/>
      <c r="P295" s="15"/>
      <c r="Q295" s="15"/>
      <c r="R295" s="15"/>
      <c r="S295" s="15"/>
      <c r="T295" s="15"/>
      <c r="U295" s="15"/>
      <c r="V295" s="15"/>
      <c r="W295" s="15"/>
      <c r="X295" s="15"/>
      <c r="Y295" s="15"/>
      <c r="Z295" s="15"/>
      <c r="AA295" s="15"/>
      <c r="AB295" s="15"/>
      <c r="AC295" s="15"/>
      <c r="AD295" s="15"/>
      <c r="AE295" s="15"/>
      <c r="AF295" s="15"/>
      <c r="AG295" s="15"/>
      <c r="AH295" s="15"/>
    </row>
    <row r="296" ht="15.75" customHeight="1">
      <c r="A296" s="32" t="s">
        <v>5</v>
      </c>
      <c r="E296" s="32" t="s">
        <v>88</v>
      </c>
      <c r="F296" s="35" t="s">
        <v>89</v>
      </c>
      <c r="G296" s="172"/>
      <c r="H296" s="31"/>
      <c r="I296" s="9"/>
      <c r="J296" s="9"/>
      <c r="K296" s="9"/>
      <c r="L296" s="9"/>
      <c r="M296" s="15"/>
      <c r="N296" s="15"/>
      <c r="O296" s="15"/>
      <c r="P296" s="15"/>
      <c r="Q296" s="15"/>
      <c r="R296" s="15"/>
      <c r="S296" s="15"/>
      <c r="T296" s="15"/>
      <c r="U296" s="15"/>
      <c r="V296" s="15"/>
      <c r="W296" s="15"/>
      <c r="X296" s="15"/>
      <c r="Y296" s="15"/>
      <c r="Z296" s="15"/>
      <c r="AA296" s="15"/>
      <c r="AB296" s="15"/>
      <c r="AC296" s="15"/>
      <c r="AD296" s="15"/>
      <c r="AE296" s="15"/>
      <c r="AF296" s="15"/>
      <c r="AG296" s="15"/>
      <c r="AH296" s="15"/>
    </row>
    <row r="297" ht="15.75" customHeight="1">
      <c r="A297" s="32" t="s">
        <v>5</v>
      </c>
      <c r="E297" s="32" t="s">
        <v>88</v>
      </c>
      <c r="F297" s="32" t="s">
        <v>795</v>
      </c>
      <c r="G297" s="32"/>
      <c r="H297" s="9"/>
      <c r="I297" s="31"/>
      <c r="J297" s="9"/>
      <c r="K297" s="9"/>
      <c r="L297" s="9"/>
      <c r="M297" s="15"/>
      <c r="N297" s="15"/>
      <c r="O297" s="15"/>
      <c r="P297" s="15"/>
      <c r="Q297" s="15"/>
      <c r="R297" s="15"/>
      <c r="S297" s="15"/>
      <c r="T297" s="15"/>
      <c r="U297" s="15"/>
      <c r="V297" s="15"/>
      <c r="W297" s="15"/>
      <c r="X297" s="15"/>
      <c r="Y297" s="15"/>
      <c r="Z297" s="15"/>
      <c r="AA297" s="15"/>
      <c r="AB297" s="15"/>
      <c r="AC297" s="15"/>
      <c r="AD297" s="15"/>
      <c r="AE297" s="15"/>
      <c r="AF297" s="15"/>
      <c r="AG297" s="15"/>
      <c r="AH297" s="15"/>
    </row>
    <row r="298" ht="15.75" customHeight="1">
      <c r="A298" s="8" t="s">
        <v>5</v>
      </c>
      <c r="B298" s="56" t="s">
        <v>1337</v>
      </c>
      <c r="C298" s="83" t="s">
        <v>1338</v>
      </c>
      <c r="D298" s="83" t="s">
        <v>20</v>
      </c>
      <c r="E298" s="8" t="s">
        <v>21</v>
      </c>
      <c r="F298" s="173" t="s">
        <v>51</v>
      </c>
      <c r="G298" s="34" t="s">
        <v>1339</v>
      </c>
      <c r="H298" s="150" t="s">
        <v>51</v>
      </c>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row>
    <row r="299" ht="15.75" customHeight="1">
      <c r="A299" s="8" t="s">
        <v>5</v>
      </c>
      <c r="E299" s="8" t="s">
        <v>88</v>
      </c>
      <c r="F299" s="8" t="s">
        <v>481</v>
      </c>
      <c r="G299" s="34" t="s">
        <v>1340</v>
      </c>
      <c r="H299" s="150" t="s">
        <v>481</v>
      </c>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row>
    <row r="300" ht="15.75" customHeight="1">
      <c r="A300" s="8" t="s">
        <v>5</v>
      </c>
      <c r="E300" s="8" t="s">
        <v>88</v>
      </c>
      <c r="F300" s="173" t="s">
        <v>515</v>
      </c>
      <c r="G300" s="34" t="s">
        <v>1341</v>
      </c>
      <c r="H300" s="150" t="s">
        <v>515</v>
      </c>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row>
    <row r="301" ht="15.75" customHeight="1">
      <c r="A301" s="8" t="s">
        <v>5</v>
      </c>
      <c r="E301" s="8" t="s">
        <v>88</v>
      </c>
      <c r="F301" s="8" t="s">
        <v>496</v>
      </c>
      <c r="G301" s="34" t="s">
        <v>1342</v>
      </c>
      <c r="H301" s="150" t="s">
        <v>496</v>
      </c>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row>
    <row r="302" ht="15.75" customHeight="1">
      <c r="A302" s="8" t="s">
        <v>5</v>
      </c>
      <c r="E302" s="8" t="s">
        <v>88</v>
      </c>
      <c r="F302" s="173" t="s">
        <v>570</v>
      </c>
      <c r="G302" s="42"/>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row>
    <row r="303" ht="15.75" customHeight="1">
      <c r="A303" s="8" t="s">
        <v>5</v>
      </c>
      <c r="E303" s="8" t="s">
        <v>88</v>
      </c>
      <c r="F303" s="8" t="s">
        <v>598</v>
      </c>
      <c r="G303" s="42"/>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row>
    <row r="304" ht="15.75" customHeight="1">
      <c r="A304" s="8" t="s">
        <v>5</v>
      </c>
      <c r="E304" s="8" t="s">
        <v>88</v>
      </c>
      <c r="F304" s="8" t="s">
        <v>120</v>
      </c>
      <c r="G304" s="34" t="s">
        <v>1343</v>
      </c>
      <c r="H304" s="31" t="s">
        <v>120</v>
      </c>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row>
    <row r="305" ht="15.75" customHeight="1">
      <c r="A305" s="8" t="s">
        <v>5</v>
      </c>
      <c r="E305" s="8" t="s">
        <v>88</v>
      </c>
      <c r="F305" s="8" t="s">
        <v>544</v>
      </c>
      <c r="G305" s="34" t="s">
        <v>1344</v>
      </c>
      <c r="H305" s="31" t="s">
        <v>544</v>
      </c>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row>
    <row r="306" ht="15.75" customHeight="1">
      <c r="A306" s="8" t="s">
        <v>5</v>
      </c>
      <c r="E306" s="8" t="s">
        <v>88</v>
      </c>
      <c r="F306" s="8" t="s">
        <v>247</v>
      </c>
      <c r="G306" s="42"/>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row>
    <row r="307" ht="15.75" customHeight="1">
      <c r="A307" s="8" t="s">
        <v>5</v>
      </c>
      <c r="E307" s="8" t="s">
        <v>88</v>
      </c>
      <c r="F307" s="8" t="s">
        <v>95</v>
      </c>
      <c r="G307" s="34" t="s">
        <v>1345</v>
      </c>
      <c r="H307" s="31" t="s">
        <v>95</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row>
    <row r="308" ht="15.75" customHeight="1">
      <c r="A308" s="8" t="s">
        <v>5</v>
      </c>
      <c r="E308" s="8" t="s">
        <v>88</v>
      </c>
      <c r="F308" s="8" t="s">
        <v>96</v>
      </c>
      <c r="G308" s="34" t="s">
        <v>1346</v>
      </c>
      <c r="H308" s="31" t="s">
        <v>96</v>
      </c>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row>
    <row r="309" ht="15.75" customHeight="1">
      <c r="A309" s="8" t="s">
        <v>5</v>
      </c>
      <c r="E309" s="8" t="s">
        <v>86</v>
      </c>
      <c r="F309" s="8" t="s">
        <v>90</v>
      </c>
      <c r="G309" s="174" t="s">
        <v>1347</v>
      </c>
      <c r="H309" s="153" t="s">
        <v>90</v>
      </c>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row>
    <row r="310" ht="15.75" customHeight="1">
      <c r="A310" s="8" t="s">
        <v>5</v>
      </c>
      <c r="E310" s="8" t="s">
        <v>86</v>
      </c>
      <c r="F310" s="8" t="s">
        <v>338</v>
      </c>
      <c r="G310" s="34" t="s">
        <v>1348</v>
      </c>
      <c r="H310" s="31" t="s">
        <v>338</v>
      </c>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row>
    <row r="311" ht="15.75" customHeight="1">
      <c r="A311" s="8" t="s">
        <v>5</v>
      </c>
      <c r="E311" s="8" t="s">
        <v>104</v>
      </c>
      <c r="F311" s="8" t="s">
        <v>250</v>
      </c>
      <c r="G311" s="34" t="s">
        <v>1349</v>
      </c>
      <c r="H311" s="31" t="s">
        <v>250</v>
      </c>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row>
    <row r="312" ht="15.75" customHeight="1">
      <c r="A312" s="8" t="s">
        <v>5</v>
      </c>
      <c r="E312" s="8" t="s">
        <v>88</v>
      </c>
      <c r="F312" s="8" t="s">
        <v>89</v>
      </c>
      <c r="G312" s="42"/>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row>
    <row r="313" ht="15.75" customHeight="1">
      <c r="A313" s="8" t="s">
        <v>5</v>
      </c>
      <c r="E313" s="8" t="s">
        <v>88</v>
      </c>
      <c r="F313" s="173" t="s">
        <v>795</v>
      </c>
      <c r="G313" s="42"/>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row>
    <row r="314" ht="15.75" customHeight="1">
      <c r="A314" s="8" t="s">
        <v>5</v>
      </c>
      <c r="B314" s="56" t="s">
        <v>1350</v>
      </c>
      <c r="C314" s="83" t="s">
        <v>1351</v>
      </c>
      <c r="D314" s="83" t="s">
        <v>20</v>
      </c>
      <c r="E314" s="8" t="s">
        <v>21</v>
      </c>
      <c r="F314" s="8" t="s">
        <v>51</v>
      </c>
      <c r="G314" s="34" t="s">
        <v>1352</v>
      </c>
      <c r="H314" s="31" t="s">
        <v>51</v>
      </c>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row>
    <row r="315" ht="15.75" customHeight="1">
      <c r="A315" s="8" t="s">
        <v>5</v>
      </c>
      <c r="E315" s="8" t="s">
        <v>88</v>
      </c>
      <c r="F315" s="173" t="s">
        <v>893</v>
      </c>
      <c r="G315" s="34" t="s">
        <v>1353</v>
      </c>
      <c r="H315" s="31" t="s">
        <v>893</v>
      </c>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row>
    <row r="316" ht="15.75" customHeight="1">
      <c r="A316" s="8" t="s">
        <v>5</v>
      </c>
      <c r="E316" s="8" t="s">
        <v>88</v>
      </c>
      <c r="F316" s="173" t="s">
        <v>122</v>
      </c>
      <c r="G316" s="34" t="s">
        <v>1354</v>
      </c>
      <c r="H316" s="31" t="s">
        <v>122</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row>
    <row r="317" ht="15.75" customHeight="1">
      <c r="A317" s="8" t="s">
        <v>5</v>
      </c>
      <c r="E317" s="8" t="s">
        <v>88</v>
      </c>
      <c r="F317" s="173" t="s">
        <v>120</v>
      </c>
      <c r="G317" s="34" t="s">
        <v>1355</v>
      </c>
      <c r="H317" s="31" t="s">
        <v>120</v>
      </c>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row>
    <row r="318" ht="15.75" customHeight="1">
      <c r="A318" s="8" t="s">
        <v>5</v>
      </c>
      <c r="E318" s="8" t="s">
        <v>88</v>
      </c>
      <c r="F318" s="8" t="s">
        <v>460</v>
      </c>
      <c r="G318" s="34" t="s">
        <v>1356</v>
      </c>
      <c r="H318" s="150" t="s">
        <v>460</v>
      </c>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row>
    <row r="319" ht="15.75" customHeight="1">
      <c r="A319" s="8" t="s">
        <v>5</v>
      </c>
      <c r="E319" s="8" t="s">
        <v>88</v>
      </c>
      <c r="F319" s="8" t="s">
        <v>120</v>
      </c>
      <c r="G319" s="34" t="s">
        <v>1355</v>
      </c>
      <c r="H319" s="31" t="s">
        <v>120</v>
      </c>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row>
    <row r="320" ht="15.75" customHeight="1">
      <c r="A320" s="8" t="s">
        <v>5</v>
      </c>
      <c r="E320" s="8" t="s">
        <v>88</v>
      </c>
      <c r="F320" s="8" t="s">
        <v>246</v>
      </c>
      <c r="G320" s="34" t="s">
        <v>1357</v>
      </c>
      <c r="H320" s="31" t="s">
        <v>246</v>
      </c>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row>
    <row r="321" ht="15.75" customHeight="1">
      <c r="A321" s="8" t="s">
        <v>5</v>
      </c>
      <c r="E321" s="8" t="s">
        <v>88</v>
      </c>
      <c r="F321" s="8" t="s">
        <v>247</v>
      </c>
      <c r="G321" s="42"/>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row>
    <row r="322" ht="15.75" customHeight="1">
      <c r="A322" s="8" t="s">
        <v>5</v>
      </c>
      <c r="E322" s="8" t="s">
        <v>88</v>
      </c>
      <c r="F322" s="8" t="s">
        <v>96</v>
      </c>
      <c r="G322" s="34" t="s">
        <v>1358</v>
      </c>
      <c r="H322" s="31" t="s">
        <v>96</v>
      </c>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row>
    <row r="323" ht="15.75" customHeight="1">
      <c r="A323" s="8" t="s">
        <v>5</v>
      </c>
      <c r="E323" s="8" t="s">
        <v>178</v>
      </c>
      <c r="F323" s="8" t="s">
        <v>209</v>
      </c>
      <c r="G323" s="34" t="s">
        <v>1359</v>
      </c>
      <c r="H323" s="31" t="s">
        <v>209</v>
      </c>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row>
    <row r="324" ht="15.75" customHeight="1">
      <c r="A324" s="8" t="s">
        <v>5</v>
      </c>
      <c r="E324" s="8" t="s">
        <v>178</v>
      </c>
      <c r="F324" s="8" t="s">
        <v>210</v>
      </c>
      <c r="G324" s="34" t="s">
        <v>1360</v>
      </c>
      <c r="H324" s="31" t="s">
        <v>210</v>
      </c>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row>
    <row r="325" ht="15.75" customHeight="1">
      <c r="A325" s="8" t="s">
        <v>5</v>
      </c>
      <c r="E325" s="8" t="s">
        <v>88</v>
      </c>
      <c r="F325" s="8" t="s">
        <v>89</v>
      </c>
      <c r="G325" s="42"/>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row>
    <row r="326" ht="15.75" customHeight="1">
      <c r="A326" s="8" t="s">
        <v>5</v>
      </c>
      <c r="B326" s="56" t="s">
        <v>1361</v>
      </c>
      <c r="C326" s="175" t="s">
        <v>1362</v>
      </c>
      <c r="D326" s="83" t="s">
        <v>20</v>
      </c>
      <c r="E326" s="8" t="s">
        <v>88</v>
      </c>
      <c r="F326" s="8" t="s">
        <v>89</v>
      </c>
      <c r="G326" s="34" t="s">
        <v>1363</v>
      </c>
      <c r="H326" s="31" t="s">
        <v>89</v>
      </c>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row>
    <row r="327" ht="15.75" customHeight="1">
      <c r="A327" s="8" t="s">
        <v>5</v>
      </c>
      <c r="E327" s="8" t="s">
        <v>21</v>
      </c>
      <c r="F327" s="8" t="s">
        <v>51</v>
      </c>
      <c r="G327" s="34" t="s">
        <v>1364</v>
      </c>
      <c r="H327" s="31" t="s">
        <v>51</v>
      </c>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row>
    <row r="328" ht="15.75" customHeight="1">
      <c r="A328" s="8" t="s">
        <v>5</v>
      </c>
      <c r="E328" s="8" t="s">
        <v>88</v>
      </c>
      <c r="F328" s="173" t="s">
        <v>95</v>
      </c>
      <c r="G328" s="34" t="s">
        <v>1365</v>
      </c>
      <c r="H328" s="150" t="s">
        <v>95</v>
      </c>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row>
    <row r="329" ht="15.75" customHeight="1">
      <c r="A329" s="8" t="s">
        <v>5</v>
      </c>
      <c r="E329" s="8" t="s">
        <v>88</v>
      </c>
      <c r="F329" s="173" t="s">
        <v>96</v>
      </c>
      <c r="G329" s="34" t="s">
        <v>1366</v>
      </c>
      <c r="H329" s="31" t="s">
        <v>96</v>
      </c>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row>
    <row r="330" ht="15.75" customHeight="1">
      <c r="A330" s="8" t="s">
        <v>5</v>
      </c>
      <c r="E330" s="8" t="s">
        <v>88</v>
      </c>
      <c r="F330" s="8" t="s">
        <v>125</v>
      </c>
      <c r="G330" s="34" t="s">
        <v>1367</v>
      </c>
      <c r="H330" s="150" t="s">
        <v>125</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row>
    <row r="331" ht="15.75" customHeight="1">
      <c r="A331" s="8" t="s">
        <v>5</v>
      </c>
      <c r="E331" s="8" t="s">
        <v>88</v>
      </c>
      <c r="F331" s="8" t="s">
        <v>464</v>
      </c>
      <c r="G331" s="34" t="s">
        <v>1368</v>
      </c>
      <c r="H331" s="31" t="s">
        <v>464</v>
      </c>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row>
    <row r="332" ht="15.75" customHeight="1">
      <c r="A332" s="8" t="s">
        <v>5</v>
      </c>
      <c r="E332" s="8" t="s">
        <v>88</v>
      </c>
      <c r="F332" s="8" t="s">
        <v>892</v>
      </c>
      <c r="G332" s="42"/>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row>
    <row r="333" ht="15.75" customHeight="1">
      <c r="A333" s="8" t="s">
        <v>5</v>
      </c>
      <c r="E333" s="8" t="s">
        <v>88</v>
      </c>
      <c r="F333" s="8" t="s">
        <v>96</v>
      </c>
      <c r="G333" s="34" t="s">
        <v>1369</v>
      </c>
      <c r="H333" s="31" t="s">
        <v>177</v>
      </c>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row>
    <row r="334" ht="15.75" customHeight="1">
      <c r="A334" s="8" t="s">
        <v>5</v>
      </c>
      <c r="E334" s="8" t="s">
        <v>86</v>
      </c>
      <c r="F334" s="8" t="s">
        <v>90</v>
      </c>
      <c r="G334" s="34" t="s">
        <v>1370</v>
      </c>
      <c r="H334" s="31" t="s">
        <v>90</v>
      </c>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row>
    <row r="335" ht="15.75" customHeight="1">
      <c r="A335" s="8" t="s">
        <v>5</v>
      </c>
      <c r="E335" s="8" t="s">
        <v>86</v>
      </c>
      <c r="F335" s="8" t="s">
        <v>91</v>
      </c>
      <c r="G335" s="34" t="s">
        <v>1371</v>
      </c>
      <c r="H335" s="31" t="s">
        <v>91</v>
      </c>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row>
    <row r="336" ht="15.75" customHeight="1">
      <c r="A336" s="8" t="s">
        <v>5</v>
      </c>
      <c r="E336" s="8" t="s">
        <v>86</v>
      </c>
      <c r="F336" s="8" t="s">
        <v>338</v>
      </c>
      <c r="G336" s="34" t="s">
        <v>1372</v>
      </c>
      <c r="H336" s="31" t="s">
        <v>338</v>
      </c>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row>
    <row r="337" ht="15.75" customHeight="1">
      <c r="A337" s="8" t="s">
        <v>5</v>
      </c>
      <c r="E337" s="8" t="s">
        <v>104</v>
      </c>
      <c r="F337" s="173" t="s">
        <v>250</v>
      </c>
      <c r="G337" s="34" t="s">
        <v>1373</v>
      </c>
      <c r="H337" s="150" t="s">
        <v>250</v>
      </c>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row>
    <row r="338" ht="15.75" customHeight="1">
      <c r="A338" s="8" t="s">
        <v>5</v>
      </c>
      <c r="E338" s="8" t="s">
        <v>178</v>
      </c>
      <c r="F338" s="8" t="s">
        <v>209</v>
      </c>
      <c r="G338" s="34" t="s">
        <v>1374</v>
      </c>
      <c r="H338" s="150" t="s">
        <v>209</v>
      </c>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row>
    <row r="339" ht="15.75" customHeight="1">
      <c r="A339" s="8" t="s">
        <v>5</v>
      </c>
      <c r="E339" s="8" t="s">
        <v>178</v>
      </c>
      <c r="F339" s="8" t="s">
        <v>210</v>
      </c>
      <c r="G339" s="34" t="s">
        <v>1375</v>
      </c>
      <c r="H339" s="31" t="s">
        <v>210</v>
      </c>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row>
    <row r="340" ht="15.75" customHeight="1">
      <c r="A340" s="8" t="s">
        <v>5</v>
      </c>
      <c r="B340" s="56" t="s">
        <v>1376</v>
      </c>
      <c r="C340" s="175" t="s">
        <v>1377</v>
      </c>
      <c r="D340" s="83" t="s">
        <v>20</v>
      </c>
      <c r="E340" s="176" t="s">
        <v>88</v>
      </c>
      <c r="F340" s="176" t="s">
        <v>89</v>
      </c>
      <c r="G340" s="177" t="s">
        <v>1378</v>
      </c>
      <c r="H340" s="36"/>
      <c r="L340" s="9"/>
      <c r="M340" s="9"/>
      <c r="N340" s="9"/>
      <c r="O340" s="9"/>
      <c r="P340" s="9"/>
      <c r="Q340" s="9"/>
      <c r="R340" s="9"/>
      <c r="S340" s="9"/>
      <c r="T340" s="9"/>
      <c r="U340" s="9"/>
      <c r="V340" s="9"/>
      <c r="W340" s="9"/>
      <c r="X340" s="9"/>
      <c r="Y340" s="9"/>
      <c r="Z340" s="9"/>
      <c r="AA340" s="9"/>
      <c r="AB340" s="9"/>
      <c r="AC340" s="9"/>
      <c r="AD340" s="9"/>
      <c r="AE340" s="9"/>
      <c r="AF340" s="9"/>
      <c r="AG340" s="9"/>
      <c r="AH340" s="9"/>
    </row>
    <row r="341" ht="15.75" customHeight="1">
      <c r="A341" s="8" t="s">
        <v>5</v>
      </c>
      <c r="E341" s="176" t="s">
        <v>21</v>
      </c>
      <c r="F341" s="176" t="s">
        <v>51</v>
      </c>
      <c r="G341" s="178" t="s">
        <v>1379</v>
      </c>
      <c r="H341" s="31" t="s">
        <v>51</v>
      </c>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row>
    <row r="342" ht="15.75" customHeight="1">
      <c r="A342" s="8" t="s">
        <v>5</v>
      </c>
      <c r="E342" s="176" t="s">
        <v>88</v>
      </c>
      <c r="F342" s="176" t="s">
        <v>154</v>
      </c>
      <c r="G342" s="178" t="s">
        <v>1380</v>
      </c>
      <c r="H342" s="31" t="s">
        <v>154</v>
      </c>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row>
    <row r="343" ht="15.75" customHeight="1">
      <c r="A343" s="8" t="s">
        <v>5</v>
      </c>
      <c r="E343" s="176" t="s">
        <v>88</v>
      </c>
      <c r="F343" s="176" t="s">
        <v>494</v>
      </c>
      <c r="G343" s="178" t="s">
        <v>1381</v>
      </c>
      <c r="H343" s="31" t="s">
        <v>494</v>
      </c>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row>
    <row r="344" ht="15.75" customHeight="1">
      <c r="A344" s="8" t="s">
        <v>5</v>
      </c>
      <c r="E344" s="176" t="s">
        <v>21</v>
      </c>
      <c r="F344" s="176" t="s">
        <v>51</v>
      </c>
      <c r="G344" s="178" t="s">
        <v>1382</v>
      </c>
      <c r="H344" s="31" t="s">
        <v>1383</v>
      </c>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row>
    <row r="345" ht="15.75" customHeight="1">
      <c r="A345" s="8" t="s">
        <v>5</v>
      </c>
      <c r="E345" s="176" t="s">
        <v>88</v>
      </c>
      <c r="F345" s="176" t="s">
        <v>479</v>
      </c>
      <c r="G345" s="178" t="s">
        <v>1384</v>
      </c>
      <c r="H345" s="31" t="s">
        <v>479</v>
      </c>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row>
    <row r="346" ht="15.75" customHeight="1">
      <c r="A346" s="8" t="s">
        <v>5</v>
      </c>
      <c r="E346" s="176" t="s">
        <v>88</v>
      </c>
      <c r="F346" s="179" t="s">
        <v>477</v>
      </c>
      <c r="G346" s="178" t="s">
        <v>1385</v>
      </c>
      <c r="H346" s="150" t="s">
        <v>477</v>
      </c>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row>
    <row r="347" ht="15.75" customHeight="1">
      <c r="A347" s="8" t="s">
        <v>5</v>
      </c>
      <c r="E347" s="176" t="s">
        <v>88</v>
      </c>
      <c r="F347" s="176" t="s">
        <v>120</v>
      </c>
      <c r="G347" s="178" t="s">
        <v>1386</v>
      </c>
      <c r="H347" s="150" t="s">
        <v>120</v>
      </c>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row>
    <row r="348" ht="15.75" customHeight="1">
      <c r="A348" s="8" t="s">
        <v>5</v>
      </c>
      <c r="E348" s="176" t="s">
        <v>88</v>
      </c>
      <c r="F348" s="176" t="s">
        <v>544</v>
      </c>
      <c r="G348" s="178" t="s">
        <v>1387</v>
      </c>
      <c r="H348" s="31" t="s">
        <v>544</v>
      </c>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row>
    <row r="349" ht="15.75" customHeight="1">
      <c r="A349" s="8" t="s">
        <v>5</v>
      </c>
      <c r="E349" s="176" t="s">
        <v>88</v>
      </c>
      <c r="F349" s="176" t="s">
        <v>247</v>
      </c>
      <c r="G349" s="180"/>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row>
    <row r="350" ht="15.75" customHeight="1">
      <c r="A350" s="8" t="s">
        <v>5</v>
      </c>
      <c r="E350" s="176" t="s">
        <v>43</v>
      </c>
      <c r="F350" s="176" t="s">
        <v>79</v>
      </c>
      <c r="G350" s="178" t="s">
        <v>1388</v>
      </c>
      <c r="H350" s="31" t="s">
        <v>79</v>
      </c>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row>
    <row r="351" ht="15.75" customHeight="1">
      <c r="A351" s="8" t="s">
        <v>5</v>
      </c>
      <c r="E351" s="176" t="s">
        <v>88</v>
      </c>
      <c r="F351" s="176" t="s">
        <v>96</v>
      </c>
      <c r="G351" s="178" t="s">
        <v>1389</v>
      </c>
      <c r="H351" s="31" t="s">
        <v>96</v>
      </c>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row>
    <row r="352" ht="15.75" customHeight="1">
      <c r="A352" s="8" t="s">
        <v>5</v>
      </c>
      <c r="E352" s="176" t="s">
        <v>86</v>
      </c>
      <c r="F352" s="176" t="s">
        <v>90</v>
      </c>
      <c r="G352" s="178" t="s">
        <v>1390</v>
      </c>
      <c r="H352" s="31" t="s">
        <v>90</v>
      </c>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row>
    <row r="353" ht="15.75" customHeight="1">
      <c r="A353" s="8" t="s">
        <v>5</v>
      </c>
      <c r="E353" s="176" t="s">
        <v>86</v>
      </c>
      <c r="F353" s="179" t="s">
        <v>91</v>
      </c>
      <c r="G353" s="178" t="s">
        <v>1391</v>
      </c>
      <c r="H353" s="150" t="s">
        <v>91</v>
      </c>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row>
    <row r="354" ht="15.75" customHeight="1">
      <c r="A354" s="8" t="s">
        <v>5</v>
      </c>
      <c r="E354" s="176" t="s">
        <v>86</v>
      </c>
      <c r="F354" s="176" t="s">
        <v>338</v>
      </c>
      <c r="G354" s="178" t="s">
        <v>1392</v>
      </c>
      <c r="H354" s="150" t="s">
        <v>338</v>
      </c>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row>
    <row r="355" ht="15.75" customHeight="1">
      <c r="A355" s="8" t="s">
        <v>5</v>
      </c>
      <c r="E355" s="176" t="s">
        <v>104</v>
      </c>
      <c r="F355" s="176" t="s">
        <v>250</v>
      </c>
      <c r="G355" s="178" t="s">
        <v>1393</v>
      </c>
      <c r="H355" s="31" t="s">
        <v>250</v>
      </c>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row>
    <row r="356" ht="15.75" customHeight="1">
      <c r="A356" s="8" t="s">
        <v>5</v>
      </c>
      <c r="E356" s="176" t="s">
        <v>178</v>
      </c>
      <c r="F356" s="176" t="s">
        <v>209</v>
      </c>
      <c r="G356" s="178" t="s">
        <v>1394</v>
      </c>
      <c r="H356" s="31" t="s">
        <v>209</v>
      </c>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row>
    <row r="357" ht="15.75" customHeight="1">
      <c r="A357" s="8" t="s">
        <v>5</v>
      </c>
      <c r="E357" s="176" t="s">
        <v>178</v>
      </c>
      <c r="F357" s="176" t="s">
        <v>210</v>
      </c>
      <c r="G357" s="178" t="s">
        <v>1395</v>
      </c>
      <c r="H357" s="31" t="s">
        <v>210</v>
      </c>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row>
    <row r="358" ht="15.75" customHeight="1">
      <c r="A358" s="8" t="s">
        <v>5</v>
      </c>
      <c r="E358" s="176" t="s">
        <v>88</v>
      </c>
      <c r="F358" s="176" t="s">
        <v>154</v>
      </c>
      <c r="G358" s="177" t="s">
        <v>1396</v>
      </c>
      <c r="H358" s="36"/>
      <c r="L358" s="9"/>
      <c r="M358" s="9"/>
      <c r="N358" s="9"/>
      <c r="O358" s="9"/>
      <c r="P358" s="9"/>
      <c r="Q358" s="9"/>
      <c r="R358" s="9"/>
      <c r="S358" s="9"/>
      <c r="T358" s="9"/>
      <c r="U358" s="9"/>
      <c r="V358" s="9"/>
      <c r="W358" s="9"/>
      <c r="X358" s="9"/>
      <c r="Y358" s="9"/>
      <c r="Z358" s="9"/>
      <c r="AA358" s="9"/>
      <c r="AB358" s="9"/>
      <c r="AC358" s="9"/>
      <c r="AD358" s="9"/>
      <c r="AE358" s="9"/>
      <c r="AF358" s="9"/>
      <c r="AG358" s="9"/>
      <c r="AH358" s="9"/>
    </row>
    <row r="359" ht="15.75" customHeight="1">
      <c r="A359" s="8" t="s">
        <v>5</v>
      </c>
      <c r="B359" s="181" t="s">
        <v>1397</v>
      </c>
      <c r="C359" s="182" t="s">
        <v>1398</v>
      </c>
      <c r="D359" s="83" t="s">
        <v>20</v>
      </c>
      <c r="E359" s="176" t="s">
        <v>88</v>
      </c>
      <c r="F359" s="176" t="s">
        <v>89</v>
      </c>
      <c r="G359" s="177" t="s">
        <v>1399</v>
      </c>
      <c r="H359" s="36"/>
      <c r="L359" s="9"/>
      <c r="M359" s="9"/>
      <c r="N359" s="9"/>
      <c r="O359" s="9"/>
      <c r="P359" s="9"/>
      <c r="Q359" s="9"/>
      <c r="R359" s="9"/>
      <c r="S359" s="9"/>
      <c r="T359" s="9"/>
      <c r="U359" s="9"/>
      <c r="V359" s="9"/>
      <c r="W359" s="9"/>
      <c r="X359" s="9"/>
      <c r="Y359" s="9"/>
      <c r="Z359" s="9"/>
      <c r="AA359" s="9"/>
      <c r="AB359" s="9"/>
      <c r="AC359" s="9"/>
      <c r="AD359" s="9"/>
      <c r="AE359" s="9"/>
      <c r="AF359" s="9"/>
      <c r="AG359" s="9"/>
      <c r="AH359" s="9"/>
    </row>
    <row r="360" ht="15.75" customHeight="1">
      <c r="A360" s="8" t="s">
        <v>5</v>
      </c>
      <c r="E360" s="176" t="s">
        <v>21</v>
      </c>
      <c r="F360" s="176" t="s">
        <v>51</v>
      </c>
      <c r="G360" s="177" t="s">
        <v>1400</v>
      </c>
      <c r="H360" s="36"/>
      <c r="L360" s="9"/>
      <c r="M360" s="9"/>
      <c r="N360" s="9"/>
      <c r="O360" s="9"/>
      <c r="P360" s="9"/>
      <c r="Q360" s="9"/>
      <c r="R360" s="9"/>
      <c r="S360" s="9"/>
      <c r="T360" s="9"/>
      <c r="U360" s="9"/>
      <c r="V360" s="9"/>
      <c r="W360" s="9"/>
      <c r="X360" s="9"/>
      <c r="Y360" s="9"/>
      <c r="Z360" s="9"/>
      <c r="AA360" s="9"/>
      <c r="AB360" s="9"/>
      <c r="AC360" s="9"/>
      <c r="AD360" s="9"/>
      <c r="AE360" s="9"/>
      <c r="AF360" s="9"/>
      <c r="AG360" s="9"/>
      <c r="AH360" s="9"/>
    </row>
    <row r="361" ht="15.75" customHeight="1">
      <c r="A361" s="8" t="s">
        <v>5</v>
      </c>
      <c r="E361" s="176" t="s">
        <v>88</v>
      </c>
      <c r="F361" s="179" t="s">
        <v>120</v>
      </c>
      <c r="G361" s="178" t="s">
        <v>1401</v>
      </c>
      <c r="H361" s="150" t="s">
        <v>120</v>
      </c>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row>
    <row r="362" ht="15.75" customHeight="1">
      <c r="A362" s="8" t="s">
        <v>5</v>
      </c>
      <c r="E362" s="176" t="s">
        <v>88</v>
      </c>
      <c r="F362" s="183" t="s">
        <v>121</v>
      </c>
      <c r="G362" s="178" t="s">
        <v>1402</v>
      </c>
      <c r="H362" s="150" t="s">
        <v>121</v>
      </c>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row>
    <row r="363" ht="15.75" customHeight="1">
      <c r="A363" s="8" t="s">
        <v>5</v>
      </c>
      <c r="E363" s="176" t="s">
        <v>88</v>
      </c>
      <c r="F363" s="176" t="s">
        <v>122</v>
      </c>
      <c r="G363" s="178" t="s">
        <v>1403</v>
      </c>
      <c r="H363" s="31" t="s">
        <v>122</v>
      </c>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row>
    <row r="364" ht="15.75" customHeight="1">
      <c r="A364" s="8" t="s">
        <v>5</v>
      </c>
      <c r="E364" s="176" t="s">
        <v>88</v>
      </c>
      <c r="F364" s="176" t="s">
        <v>125</v>
      </c>
      <c r="G364" s="178" t="s">
        <v>1404</v>
      </c>
      <c r="H364" s="31" t="s">
        <v>125</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row>
    <row r="365" ht="15.75" customHeight="1">
      <c r="A365" s="8" t="s">
        <v>5</v>
      </c>
      <c r="E365" s="176" t="s">
        <v>88</v>
      </c>
      <c r="F365" s="183" t="s">
        <v>126</v>
      </c>
      <c r="G365" s="178" t="s">
        <v>1405</v>
      </c>
      <c r="H365" s="31" t="s">
        <v>126</v>
      </c>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row>
    <row r="366" ht="15.75" customHeight="1">
      <c r="A366" s="8" t="s">
        <v>5</v>
      </c>
      <c r="E366" s="176" t="s">
        <v>88</v>
      </c>
      <c r="F366" s="176" t="s">
        <v>96</v>
      </c>
      <c r="G366" s="178" t="s">
        <v>1406</v>
      </c>
      <c r="H366" s="31" t="s">
        <v>96</v>
      </c>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row>
    <row r="367" ht="15.75" customHeight="1">
      <c r="A367" s="8" t="s">
        <v>5</v>
      </c>
      <c r="E367" s="176" t="s">
        <v>86</v>
      </c>
      <c r="F367" s="179" t="s">
        <v>90</v>
      </c>
      <c r="G367" s="178" t="s">
        <v>1407</v>
      </c>
      <c r="H367" s="150" t="s">
        <v>90</v>
      </c>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row>
    <row r="368" ht="15.75" customHeight="1">
      <c r="A368" s="8" t="s">
        <v>5</v>
      </c>
      <c r="E368" s="176" t="s">
        <v>86</v>
      </c>
      <c r="F368" s="176" t="s">
        <v>91</v>
      </c>
      <c r="G368" s="178" t="s">
        <v>1408</v>
      </c>
      <c r="H368" s="150" t="s">
        <v>91</v>
      </c>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row>
    <row r="369" ht="15.75" customHeight="1">
      <c r="A369" s="8" t="s">
        <v>5</v>
      </c>
      <c r="E369" s="176" t="s">
        <v>104</v>
      </c>
      <c r="F369" s="176" t="s">
        <v>250</v>
      </c>
      <c r="G369" s="178" t="s">
        <v>1409</v>
      </c>
      <c r="H369" s="31" t="s">
        <v>250</v>
      </c>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row>
    <row r="370" ht="15.75" customHeight="1">
      <c r="A370" s="8" t="s">
        <v>5</v>
      </c>
      <c r="E370" s="176" t="s">
        <v>178</v>
      </c>
      <c r="F370" s="176" t="s">
        <v>209</v>
      </c>
      <c r="G370" s="178" t="s">
        <v>1410</v>
      </c>
      <c r="H370" s="31" t="s">
        <v>209</v>
      </c>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row>
    <row r="371" ht="15.75" customHeight="1">
      <c r="A371" s="8" t="s">
        <v>5</v>
      </c>
      <c r="E371" s="176" t="s">
        <v>178</v>
      </c>
      <c r="F371" s="176" t="s">
        <v>210</v>
      </c>
      <c r="G371" s="178" t="s">
        <v>1411</v>
      </c>
      <c r="H371" s="31" t="s">
        <v>210</v>
      </c>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row>
    <row r="372" ht="15.75" customHeight="1">
      <c r="A372" s="8" t="s">
        <v>5</v>
      </c>
      <c r="B372" s="56" t="s">
        <v>1412</v>
      </c>
      <c r="C372" s="175" t="s">
        <v>1413</v>
      </c>
      <c r="D372" s="184" t="s">
        <v>20</v>
      </c>
      <c r="E372" s="8" t="s">
        <v>88</v>
      </c>
      <c r="F372" s="8" t="s">
        <v>89</v>
      </c>
      <c r="G372" s="34" t="s">
        <v>1414</v>
      </c>
      <c r="H372" s="31" t="s">
        <v>89</v>
      </c>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row>
    <row r="373" ht="15.75" customHeight="1">
      <c r="A373" s="8" t="s">
        <v>5</v>
      </c>
      <c r="E373" s="8" t="s">
        <v>21</v>
      </c>
      <c r="F373" s="8" t="s">
        <v>51</v>
      </c>
      <c r="G373" s="34" t="s">
        <v>1415</v>
      </c>
      <c r="H373" s="31" t="s">
        <v>51</v>
      </c>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row>
    <row r="374" ht="15.75" customHeight="1">
      <c r="A374" s="8" t="s">
        <v>5</v>
      </c>
      <c r="E374" s="8" t="s">
        <v>88</v>
      </c>
      <c r="F374" s="176" t="s">
        <v>154</v>
      </c>
      <c r="G374" s="34" t="s">
        <v>1416</v>
      </c>
      <c r="H374" s="31" t="s">
        <v>154</v>
      </c>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row>
    <row r="375" ht="15.75" customHeight="1">
      <c r="A375" s="8" t="s">
        <v>5</v>
      </c>
      <c r="E375" s="176" t="s">
        <v>88</v>
      </c>
      <c r="F375" s="176" t="s">
        <v>494</v>
      </c>
      <c r="G375" s="34" t="s">
        <v>1417</v>
      </c>
      <c r="H375" s="31" t="s">
        <v>494</v>
      </c>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row>
    <row r="376" ht="15.75" customHeight="1">
      <c r="A376" s="8" t="s">
        <v>5</v>
      </c>
      <c r="E376" s="176" t="s">
        <v>21</v>
      </c>
      <c r="F376" s="176" t="s">
        <v>22</v>
      </c>
      <c r="G376" s="34" t="s">
        <v>1418</v>
      </c>
      <c r="H376" s="31" t="s">
        <v>22</v>
      </c>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row>
    <row r="377" ht="15.75" customHeight="1">
      <c r="A377" s="8" t="s">
        <v>5</v>
      </c>
      <c r="E377" s="176" t="s">
        <v>43</v>
      </c>
      <c r="F377" s="176" t="s">
        <v>855</v>
      </c>
      <c r="G377" s="34" t="s">
        <v>1419</v>
      </c>
      <c r="H377" s="31" t="s">
        <v>855</v>
      </c>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row>
    <row r="378" ht="15.75" customHeight="1">
      <c r="A378" s="8" t="s">
        <v>5</v>
      </c>
      <c r="E378" s="176" t="s">
        <v>610</v>
      </c>
      <c r="F378" s="176" t="s">
        <v>842</v>
      </c>
      <c r="G378" s="34" t="s">
        <v>1420</v>
      </c>
      <c r="H378" s="31" t="s">
        <v>842</v>
      </c>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row>
    <row r="379" ht="15.75" customHeight="1">
      <c r="A379" s="8" t="s">
        <v>5</v>
      </c>
      <c r="E379" s="176" t="s">
        <v>397</v>
      </c>
      <c r="F379" s="176" t="s">
        <v>397</v>
      </c>
      <c r="G379" s="34" t="s">
        <v>1421</v>
      </c>
      <c r="H379" s="31" t="s">
        <v>397</v>
      </c>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row>
    <row r="380" ht="15.75" customHeight="1">
      <c r="A380" s="8" t="s">
        <v>5</v>
      </c>
      <c r="E380" s="176" t="s">
        <v>397</v>
      </c>
      <c r="F380" s="176" t="s">
        <v>924</v>
      </c>
      <c r="G380" s="42"/>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row>
    <row r="381" ht="15.75" customHeight="1">
      <c r="A381" s="8" t="s">
        <v>5</v>
      </c>
      <c r="E381" s="176" t="s">
        <v>88</v>
      </c>
      <c r="F381" s="176" t="s">
        <v>479</v>
      </c>
      <c r="G381" s="34" t="s">
        <v>1422</v>
      </c>
      <c r="H381" s="31" t="s">
        <v>479</v>
      </c>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row>
    <row r="382" ht="15.75" customHeight="1">
      <c r="A382" s="8" t="s">
        <v>5</v>
      </c>
      <c r="E382" s="176" t="s">
        <v>88</v>
      </c>
      <c r="F382" s="179" t="s">
        <v>477</v>
      </c>
      <c r="G382" s="34" t="s">
        <v>1423</v>
      </c>
      <c r="H382" s="150" t="s">
        <v>477</v>
      </c>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row>
    <row r="383" ht="15.75" customHeight="1">
      <c r="A383" s="8" t="s">
        <v>5</v>
      </c>
      <c r="E383" s="176" t="s">
        <v>43</v>
      </c>
      <c r="F383" s="176" t="s">
        <v>79</v>
      </c>
      <c r="G383" s="34" t="s">
        <v>1424</v>
      </c>
      <c r="H383" s="31" t="s">
        <v>79</v>
      </c>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row>
    <row r="384" ht="15.75" customHeight="1">
      <c r="A384" s="8" t="s">
        <v>5</v>
      </c>
      <c r="E384" s="176" t="s">
        <v>88</v>
      </c>
      <c r="F384" s="176" t="s">
        <v>96</v>
      </c>
      <c r="G384" s="34" t="s">
        <v>1425</v>
      </c>
      <c r="H384" s="31" t="s">
        <v>96</v>
      </c>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row>
    <row r="385" ht="15.75" customHeight="1">
      <c r="A385" s="8" t="s">
        <v>5</v>
      </c>
      <c r="E385" s="176" t="s">
        <v>88</v>
      </c>
      <c r="F385" s="176" t="s">
        <v>122</v>
      </c>
      <c r="G385" s="34" t="s">
        <v>1426</v>
      </c>
      <c r="H385" s="31" t="s">
        <v>122</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row>
    <row r="386" ht="15.75" customHeight="1">
      <c r="A386" s="8" t="s">
        <v>5</v>
      </c>
      <c r="E386" s="176" t="s">
        <v>86</v>
      </c>
      <c r="F386" s="176" t="s">
        <v>90</v>
      </c>
      <c r="G386" s="34" t="s">
        <v>1427</v>
      </c>
      <c r="H386" s="31" t="s">
        <v>90</v>
      </c>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row>
    <row r="387" ht="15.75" customHeight="1">
      <c r="A387" s="8" t="s">
        <v>5</v>
      </c>
      <c r="E387" s="176" t="s">
        <v>86</v>
      </c>
      <c r="F387" s="179" t="s">
        <v>91</v>
      </c>
      <c r="G387" s="34" t="s">
        <v>1428</v>
      </c>
      <c r="H387" s="150" t="s">
        <v>91</v>
      </c>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row>
    <row r="388" ht="15.75" customHeight="1">
      <c r="A388" s="8" t="s">
        <v>5</v>
      </c>
      <c r="E388" s="176" t="s">
        <v>86</v>
      </c>
      <c r="F388" s="176" t="s">
        <v>338</v>
      </c>
      <c r="G388" s="34" t="s">
        <v>1429</v>
      </c>
      <c r="H388" s="31" t="s">
        <v>338</v>
      </c>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row>
    <row r="389" ht="15.75" customHeight="1">
      <c r="A389" s="8" t="s">
        <v>5</v>
      </c>
      <c r="E389" s="176" t="s">
        <v>104</v>
      </c>
      <c r="F389" s="176" t="s">
        <v>250</v>
      </c>
      <c r="G389" s="34" t="s">
        <v>1430</v>
      </c>
      <c r="H389" s="31" t="s">
        <v>250</v>
      </c>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row>
    <row r="390" ht="15.75" customHeight="1">
      <c r="A390" s="8" t="s">
        <v>5</v>
      </c>
      <c r="E390" s="176" t="s">
        <v>178</v>
      </c>
      <c r="F390" s="176" t="s">
        <v>209</v>
      </c>
      <c r="G390" s="34" t="s">
        <v>1431</v>
      </c>
      <c r="H390" s="31" t="s">
        <v>209</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row>
    <row r="391" ht="15.75" customHeight="1">
      <c r="A391" s="8" t="s">
        <v>5</v>
      </c>
      <c r="E391" s="176" t="s">
        <v>178</v>
      </c>
      <c r="F391" s="176" t="s">
        <v>210</v>
      </c>
      <c r="G391" s="34" t="s">
        <v>1432</v>
      </c>
      <c r="H391" s="31" t="s">
        <v>210</v>
      </c>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row>
    <row r="392" ht="15.75" customHeight="1">
      <c r="A392" s="8" t="s">
        <v>5</v>
      </c>
      <c r="E392" s="176" t="s">
        <v>88</v>
      </c>
      <c r="F392" s="176" t="s">
        <v>154</v>
      </c>
      <c r="G392" s="34" t="s">
        <v>1433</v>
      </c>
      <c r="H392" s="31" t="s">
        <v>1434</v>
      </c>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row>
    <row r="393" ht="15.75" customHeight="1">
      <c r="A393" s="8" t="s">
        <v>5</v>
      </c>
      <c r="B393" s="56" t="s">
        <v>1435</v>
      </c>
      <c r="C393" s="184" t="s">
        <v>1436</v>
      </c>
      <c r="D393" s="184" t="s">
        <v>20</v>
      </c>
      <c r="E393" s="8" t="s">
        <v>88</v>
      </c>
      <c r="F393" s="8" t="s">
        <v>89</v>
      </c>
      <c r="G393" s="185" t="s">
        <v>1437</v>
      </c>
      <c r="H393" s="36"/>
      <c r="L393" s="9"/>
      <c r="M393" s="9"/>
      <c r="N393" s="9"/>
      <c r="O393" s="9"/>
      <c r="P393" s="9"/>
      <c r="Q393" s="9"/>
      <c r="R393" s="9"/>
      <c r="S393" s="9"/>
      <c r="T393" s="9"/>
      <c r="U393" s="9"/>
      <c r="V393" s="9"/>
      <c r="W393" s="9"/>
      <c r="X393" s="9"/>
      <c r="Y393" s="9"/>
      <c r="Z393" s="9"/>
      <c r="AA393" s="9"/>
      <c r="AB393" s="9"/>
      <c r="AC393" s="9"/>
      <c r="AD393" s="9"/>
      <c r="AE393" s="9"/>
      <c r="AF393" s="9"/>
      <c r="AG393" s="9"/>
      <c r="AH393" s="9"/>
    </row>
    <row r="394" ht="15.75" customHeight="1">
      <c r="A394" s="8" t="s">
        <v>5</v>
      </c>
      <c r="E394" s="8" t="s">
        <v>21</v>
      </c>
      <c r="F394" s="8" t="s">
        <v>51</v>
      </c>
      <c r="G394" s="34" t="s">
        <v>1438</v>
      </c>
      <c r="H394" s="31" t="s">
        <v>51</v>
      </c>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row>
    <row r="395" ht="15.75" customHeight="1">
      <c r="A395" s="8" t="s">
        <v>5</v>
      </c>
      <c r="E395" s="8" t="s">
        <v>88</v>
      </c>
      <c r="F395" s="8" t="s">
        <v>154</v>
      </c>
      <c r="G395" s="34" t="s">
        <v>1439</v>
      </c>
      <c r="H395" s="31" t="s">
        <v>154</v>
      </c>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row>
    <row r="396" ht="15.75" customHeight="1">
      <c r="A396" s="8" t="s">
        <v>5</v>
      </c>
      <c r="E396" s="8" t="s">
        <v>88</v>
      </c>
      <c r="F396" s="173" t="s">
        <v>494</v>
      </c>
      <c r="G396" s="34" t="s">
        <v>1440</v>
      </c>
      <c r="H396" s="150" t="s">
        <v>494</v>
      </c>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row>
    <row r="397" ht="15.75" customHeight="1">
      <c r="A397" s="8" t="s">
        <v>5</v>
      </c>
      <c r="E397" s="8" t="s">
        <v>88</v>
      </c>
      <c r="F397" s="8" t="s">
        <v>120</v>
      </c>
      <c r="G397" s="34" t="s">
        <v>1441</v>
      </c>
      <c r="H397" s="31" t="s">
        <v>120</v>
      </c>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row>
    <row r="398" ht="15.75" customHeight="1">
      <c r="A398" s="8" t="s">
        <v>5</v>
      </c>
      <c r="E398" s="8" t="s">
        <v>88</v>
      </c>
      <c r="F398" s="8" t="s">
        <v>544</v>
      </c>
      <c r="G398" s="34" t="s">
        <v>1442</v>
      </c>
      <c r="H398" s="31" t="s">
        <v>544</v>
      </c>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row>
    <row r="399" ht="15.75" customHeight="1">
      <c r="A399" s="8" t="s">
        <v>5</v>
      </c>
      <c r="E399" s="8" t="s">
        <v>88</v>
      </c>
      <c r="F399" s="8" t="s">
        <v>247</v>
      </c>
      <c r="G399" s="42"/>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row>
    <row r="400" ht="15.75" customHeight="1">
      <c r="A400" s="8" t="s">
        <v>5</v>
      </c>
      <c r="E400" s="8" t="s">
        <v>43</v>
      </c>
      <c r="F400" s="8" t="s">
        <v>79</v>
      </c>
      <c r="G400" s="34" t="s">
        <v>1443</v>
      </c>
      <c r="H400" s="31" t="s">
        <v>79</v>
      </c>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row>
    <row r="401" ht="15.75" customHeight="1">
      <c r="A401" s="8" t="s">
        <v>5</v>
      </c>
      <c r="E401" s="8" t="s">
        <v>88</v>
      </c>
      <c r="F401" s="8" t="s">
        <v>96</v>
      </c>
      <c r="G401" s="34" t="s">
        <v>1444</v>
      </c>
      <c r="H401" s="31" t="s">
        <v>96</v>
      </c>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row>
    <row r="402" ht="15.75" customHeight="1">
      <c r="A402" s="8" t="s">
        <v>5</v>
      </c>
      <c r="E402" s="8" t="s">
        <v>88</v>
      </c>
      <c r="F402" s="8" t="s">
        <v>479</v>
      </c>
      <c r="G402" s="34" t="s">
        <v>1445</v>
      </c>
      <c r="H402" s="31" t="s">
        <v>479</v>
      </c>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row>
    <row r="403" ht="15.75" customHeight="1">
      <c r="A403" s="8" t="s">
        <v>5</v>
      </c>
      <c r="E403" s="8" t="s">
        <v>88</v>
      </c>
      <c r="F403" s="8" t="s">
        <v>477</v>
      </c>
      <c r="G403" s="34" t="s">
        <v>1446</v>
      </c>
      <c r="H403" s="31" t="s">
        <v>477</v>
      </c>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row>
    <row r="404" ht="15.75" customHeight="1">
      <c r="A404" s="8" t="s">
        <v>5</v>
      </c>
      <c r="E404" s="8" t="s">
        <v>86</v>
      </c>
      <c r="F404" s="8" t="s">
        <v>90</v>
      </c>
      <c r="G404" s="34" t="s">
        <v>1447</v>
      </c>
      <c r="H404" s="31" t="s">
        <v>90</v>
      </c>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row>
    <row r="405" ht="15.75" customHeight="1">
      <c r="A405" s="8" t="s">
        <v>5</v>
      </c>
      <c r="E405" s="8" t="s">
        <v>86</v>
      </c>
      <c r="F405" s="8" t="s">
        <v>91</v>
      </c>
      <c r="G405" s="34" t="s">
        <v>1448</v>
      </c>
      <c r="H405" s="31" t="s">
        <v>91</v>
      </c>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row>
    <row r="406" ht="15.75" customHeight="1">
      <c r="A406" s="8" t="s">
        <v>5</v>
      </c>
      <c r="E406" s="8" t="s">
        <v>86</v>
      </c>
      <c r="F406" s="8" t="s">
        <v>338</v>
      </c>
      <c r="G406" s="34" t="s">
        <v>1449</v>
      </c>
      <c r="H406" s="31" t="s">
        <v>338</v>
      </c>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row>
    <row r="407" ht="15.75" customHeight="1">
      <c r="A407" s="8" t="s">
        <v>5</v>
      </c>
      <c r="E407" s="8" t="s">
        <v>104</v>
      </c>
      <c r="F407" s="8" t="s">
        <v>250</v>
      </c>
      <c r="G407" s="34" t="s">
        <v>1450</v>
      </c>
      <c r="H407" s="31" t="s">
        <v>250</v>
      </c>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row>
    <row r="408" ht="15.75" customHeight="1">
      <c r="A408" s="8" t="s">
        <v>5</v>
      </c>
      <c r="E408" s="8" t="s">
        <v>178</v>
      </c>
      <c r="F408" s="173" t="s">
        <v>209</v>
      </c>
      <c r="G408" s="34" t="s">
        <v>1451</v>
      </c>
      <c r="H408" s="150" t="s">
        <v>209</v>
      </c>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row>
    <row r="409" ht="15.75" customHeight="1">
      <c r="A409" s="8" t="s">
        <v>5</v>
      </c>
      <c r="E409" s="8" t="s">
        <v>178</v>
      </c>
      <c r="F409" s="8" t="s">
        <v>210</v>
      </c>
      <c r="G409" s="34" t="s">
        <v>1452</v>
      </c>
      <c r="H409" s="150" t="s">
        <v>210</v>
      </c>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row>
    <row r="410" ht="15.75" customHeight="1">
      <c r="A410" s="8" t="s">
        <v>5</v>
      </c>
      <c r="E410" s="8" t="s">
        <v>88</v>
      </c>
      <c r="F410" s="8" t="s">
        <v>154</v>
      </c>
      <c r="G410" s="185" t="s">
        <v>1453</v>
      </c>
      <c r="H410" s="36"/>
      <c r="L410" s="9"/>
      <c r="M410" s="9"/>
      <c r="N410" s="9"/>
      <c r="O410" s="9"/>
      <c r="P410" s="9"/>
      <c r="Q410" s="9"/>
      <c r="R410" s="9"/>
      <c r="S410" s="9"/>
      <c r="T410" s="9"/>
      <c r="U410" s="9"/>
      <c r="V410" s="9"/>
      <c r="W410" s="9"/>
      <c r="X410" s="9"/>
      <c r="Y410" s="9"/>
      <c r="Z410" s="9"/>
      <c r="AA410" s="9"/>
      <c r="AB410" s="9"/>
      <c r="AC410" s="9"/>
      <c r="AD410" s="9"/>
      <c r="AE410" s="9"/>
      <c r="AF410" s="9"/>
      <c r="AG410" s="9"/>
      <c r="AH410" s="9"/>
    </row>
    <row r="411" ht="15.75" customHeight="1">
      <c r="A411" s="8" t="s">
        <v>5</v>
      </c>
      <c r="B411" s="56" t="s">
        <v>1454</v>
      </c>
      <c r="C411" s="56" t="s">
        <v>1455</v>
      </c>
      <c r="D411" s="184" t="s">
        <v>20</v>
      </c>
      <c r="E411" s="8" t="s">
        <v>88</v>
      </c>
      <c r="F411" s="8" t="s">
        <v>89</v>
      </c>
      <c r="G411" s="185" t="s">
        <v>1456</v>
      </c>
      <c r="H411" s="36"/>
      <c r="L411" s="9"/>
      <c r="M411" s="9"/>
      <c r="N411" s="9"/>
      <c r="O411" s="9"/>
      <c r="P411" s="9"/>
      <c r="Q411" s="9"/>
      <c r="R411" s="9"/>
      <c r="S411" s="9"/>
      <c r="T411" s="9"/>
      <c r="U411" s="9"/>
      <c r="V411" s="9"/>
      <c r="W411" s="9"/>
      <c r="X411" s="9"/>
      <c r="Y411" s="9"/>
      <c r="Z411" s="9"/>
      <c r="AA411" s="9"/>
      <c r="AB411" s="9"/>
      <c r="AC411" s="9"/>
      <c r="AD411" s="9"/>
      <c r="AE411" s="9"/>
      <c r="AF411" s="9"/>
      <c r="AG411" s="9"/>
      <c r="AH411" s="9"/>
    </row>
    <row r="412" ht="15.75" customHeight="1">
      <c r="A412" s="8" t="s">
        <v>5</v>
      </c>
      <c r="E412" s="8" t="s">
        <v>21</v>
      </c>
      <c r="F412" s="8" t="s">
        <v>51</v>
      </c>
      <c r="G412" s="34" t="s">
        <v>1457</v>
      </c>
      <c r="H412" s="150" t="s">
        <v>51</v>
      </c>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row>
    <row r="413" ht="15.75" customHeight="1">
      <c r="A413" s="8" t="s">
        <v>5</v>
      </c>
      <c r="E413" s="8" t="s">
        <v>43</v>
      </c>
      <c r="F413" s="8" t="s">
        <v>79</v>
      </c>
      <c r="G413" s="34" t="s">
        <v>1458</v>
      </c>
      <c r="H413" s="150" t="s">
        <v>79</v>
      </c>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row>
    <row r="414" ht="15.75" customHeight="1">
      <c r="A414" s="8" t="s">
        <v>5</v>
      </c>
      <c r="E414" s="8" t="s">
        <v>88</v>
      </c>
      <c r="F414" s="8" t="s">
        <v>652</v>
      </c>
      <c r="G414" s="34" t="s">
        <v>1459</v>
      </c>
      <c r="H414" s="150" t="s">
        <v>652</v>
      </c>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row>
    <row r="415" ht="15.75" customHeight="1">
      <c r="A415" s="8" t="s">
        <v>5</v>
      </c>
      <c r="E415" s="8" t="s">
        <v>412</v>
      </c>
      <c r="F415" s="8" t="s">
        <v>413</v>
      </c>
      <c r="G415" s="34" t="s">
        <v>1460</v>
      </c>
      <c r="H415" s="150" t="s">
        <v>413</v>
      </c>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row>
    <row r="416" ht="15.75" customHeight="1">
      <c r="A416" s="8" t="s">
        <v>5</v>
      </c>
      <c r="E416" s="8" t="s">
        <v>88</v>
      </c>
      <c r="F416" s="8" t="s">
        <v>795</v>
      </c>
      <c r="G416" s="42"/>
      <c r="H416" s="31"/>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row>
    <row r="417" ht="15.75" customHeight="1">
      <c r="A417" s="8" t="s">
        <v>5</v>
      </c>
      <c r="E417" s="8" t="s">
        <v>88</v>
      </c>
      <c r="F417" s="8" t="s">
        <v>652</v>
      </c>
      <c r="G417" s="34" t="s">
        <v>1461</v>
      </c>
      <c r="H417" s="150" t="s">
        <v>1462</v>
      </c>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row>
    <row r="418" ht="15.75" customHeight="1">
      <c r="A418" s="8" t="s">
        <v>5</v>
      </c>
      <c r="E418" s="8" t="s">
        <v>412</v>
      </c>
      <c r="F418" s="8" t="s">
        <v>413</v>
      </c>
      <c r="G418" s="185" t="s">
        <v>1463</v>
      </c>
      <c r="H418" s="36"/>
      <c r="L418" s="9"/>
      <c r="M418" s="9"/>
      <c r="N418" s="9"/>
      <c r="O418" s="9"/>
      <c r="P418" s="9"/>
      <c r="Q418" s="9"/>
      <c r="R418" s="9"/>
      <c r="S418" s="9"/>
      <c r="T418" s="9"/>
      <c r="U418" s="9"/>
      <c r="V418" s="9"/>
      <c r="W418" s="9"/>
      <c r="X418" s="9"/>
      <c r="Y418" s="9"/>
      <c r="Z418" s="9"/>
      <c r="AA418" s="9"/>
      <c r="AB418" s="9"/>
      <c r="AC418" s="9"/>
      <c r="AD418" s="9"/>
      <c r="AE418" s="9"/>
      <c r="AF418" s="9"/>
      <c r="AG418" s="9"/>
      <c r="AH418" s="9"/>
    </row>
    <row r="419" ht="15.75" customHeight="1">
      <c r="A419" s="8" t="s">
        <v>5</v>
      </c>
      <c r="B419" s="56" t="s">
        <v>1464</v>
      </c>
      <c r="C419" s="186" t="s">
        <v>1465</v>
      </c>
      <c r="D419" s="184" t="s">
        <v>20</v>
      </c>
      <c r="E419" s="8" t="s">
        <v>88</v>
      </c>
      <c r="F419" s="8" t="s">
        <v>89</v>
      </c>
      <c r="G419" s="185" t="s">
        <v>1466</v>
      </c>
      <c r="H419" s="36"/>
      <c r="L419" s="9"/>
      <c r="M419" s="9"/>
      <c r="N419" s="9"/>
      <c r="O419" s="9"/>
      <c r="P419" s="9"/>
      <c r="Q419" s="9"/>
      <c r="R419" s="9"/>
      <c r="S419" s="9"/>
      <c r="T419" s="9"/>
      <c r="U419" s="9"/>
      <c r="V419" s="9"/>
      <c r="W419" s="9"/>
      <c r="X419" s="9"/>
      <c r="Y419" s="9"/>
      <c r="Z419" s="9"/>
      <c r="AA419" s="9"/>
      <c r="AB419" s="9"/>
      <c r="AC419" s="9"/>
      <c r="AD419" s="9"/>
      <c r="AE419" s="9"/>
      <c r="AF419" s="9"/>
      <c r="AG419" s="9"/>
      <c r="AH419" s="9"/>
    </row>
    <row r="420" ht="15.75" customHeight="1">
      <c r="A420" s="8" t="s">
        <v>5</v>
      </c>
      <c r="E420" s="8" t="s">
        <v>21</v>
      </c>
      <c r="F420" s="8" t="s">
        <v>51</v>
      </c>
      <c r="G420" s="34" t="s">
        <v>1467</v>
      </c>
      <c r="H420" s="31" t="s">
        <v>51</v>
      </c>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row>
    <row r="421" ht="15.75" customHeight="1">
      <c r="A421" s="8" t="s">
        <v>5</v>
      </c>
      <c r="E421" s="8" t="s">
        <v>43</v>
      </c>
      <c r="F421" s="8" t="s">
        <v>79</v>
      </c>
      <c r="G421" s="34" t="s">
        <v>1468</v>
      </c>
      <c r="H421" s="150" t="s">
        <v>79</v>
      </c>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row>
    <row r="422" ht="15.75" customHeight="1">
      <c r="A422" s="8" t="s">
        <v>5</v>
      </c>
      <c r="E422" s="8" t="s">
        <v>88</v>
      </c>
      <c r="F422" s="8" t="s">
        <v>654</v>
      </c>
      <c r="G422" s="34" t="s">
        <v>1469</v>
      </c>
      <c r="H422" s="31" t="s">
        <v>654</v>
      </c>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row>
    <row r="423" ht="15.75" customHeight="1">
      <c r="A423" s="8" t="s">
        <v>5</v>
      </c>
      <c r="E423" s="8" t="s">
        <v>412</v>
      </c>
      <c r="F423" s="8" t="s">
        <v>413</v>
      </c>
      <c r="G423" s="34" t="s">
        <v>1470</v>
      </c>
      <c r="H423" s="31" t="s">
        <v>413</v>
      </c>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row>
    <row r="424" ht="15.75" customHeight="1">
      <c r="A424" s="8" t="s">
        <v>5</v>
      </c>
      <c r="E424" s="8" t="s">
        <v>88</v>
      </c>
      <c r="F424" s="8" t="s">
        <v>654</v>
      </c>
      <c r="G424" s="34" t="s">
        <v>1471</v>
      </c>
      <c r="H424" s="150" t="s">
        <v>1472</v>
      </c>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row>
    <row r="425" ht="15.75" customHeight="1">
      <c r="A425" s="8" t="s">
        <v>5</v>
      </c>
      <c r="E425" s="8" t="s">
        <v>412</v>
      </c>
      <c r="F425" s="8" t="s">
        <v>413</v>
      </c>
      <c r="G425" s="185" t="s">
        <v>1473</v>
      </c>
      <c r="H425" s="36"/>
      <c r="L425" s="9"/>
      <c r="M425" s="9"/>
      <c r="N425" s="9"/>
      <c r="O425" s="9"/>
      <c r="P425" s="9"/>
      <c r="Q425" s="9"/>
      <c r="R425" s="9"/>
      <c r="S425" s="9"/>
      <c r="T425" s="9"/>
      <c r="U425" s="9"/>
      <c r="V425" s="9"/>
      <c r="W425" s="9"/>
      <c r="X425" s="9"/>
      <c r="Y425" s="9"/>
      <c r="Z425" s="9"/>
      <c r="AA425" s="9"/>
      <c r="AB425" s="9"/>
      <c r="AC425" s="9"/>
      <c r="AD425" s="9"/>
      <c r="AE425" s="9"/>
      <c r="AF425" s="9"/>
      <c r="AG425" s="9"/>
      <c r="AH425" s="9"/>
    </row>
    <row r="426" ht="15.75" customHeight="1">
      <c r="A426" s="28" t="s">
        <v>5</v>
      </c>
      <c r="B426" s="56" t="s">
        <v>1474</v>
      </c>
      <c r="C426" s="57" t="s">
        <v>1475</v>
      </c>
      <c r="D426" s="83" t="s">
        <v>20</v>
      </c>
      <c r="E426" s="28" t="s">
        <v>21</v>
      </c>
      <c r="F426" s="65" t="s">
        <v>51</v>
      </c>
      <c r="G426" s="168" t="s">
        <v>1476</v>
      </c>
      <c r="H426" s="36"/>
      <c r="L426" s="9"/>
      <c r="M426" s="15"/>
      <c r="N426" s="15"/>
      <c r="O426" s="15"/>
      <c r="P426" s="15"/>
      <c r="Q426" s="15"/>
      <c r="R426" s="15"/>
      <c r="S426" s="15"/>
      <c r="T426" s="15"/>
      <c r="U426" s="15"/>
      <c r="V426" s="15"/>
      <c r="W426" s="15"/>
      <c r="X426" s="15"/>
      <c r="Y426" s="15"/>
      <c r="Z426" s="15"/>
      <c r="AA426" s="15"/>
      <c r="AB426" s="15"/>
      <c r="AC426" s="15"/>
      <c r="AD426" s="15"/>
      <c r="AE426" s="15"/>
      <c r="AF426" s="15"/>
      <c r="AG426" s="15"/>
      <c r="AH426" s="15"/>
    </row>
    <row r="427" ht="15.75" customHeight="1">
      <c r="A427" s="28" t="s">
        <v>5</v>
      </c>
      <c r="E427" s="28" t="s">
        <v>43</v>
      </c>
      <c r="F427" s="65" t="s">
        <v>53</v>
      </c>
      <c r="G427" s="166" t="s">
        <v>1477</v>
      </c>
      <c r="H427" s="31" t="s">
        <v>53</v>
      </c>
      <c r="I427" s="9"/>
      <c r="J427" s="9"/>
      <c r="K427" s="9"/>
      <c r="L427" s="9"/>
      <c r="M427" s="15"/>
      <c r="N427" s="15"/>
      <c r="O427" s="15"/>
      <c r="P427" s="15"/>
      <c r="Q427" s="15"/>
      <c r="R427" s="15"/>
      <c r="S427" s="15"/>
      <c r="T427" s="15"/>
      <c r="U427" s="15"/>
      <c r="V427" s="15"/>
      <c r="W427" s="15"/>
      <c r="X427" s="15"/>
      <c r="Y427" s="15"/>
      <c r="Z427" s="15"/>
      <c r="AA427" s="15"/>
      <c r="AB427" s="15"/>
      <c r="AC427" s="15"/>
      <c r="AD427" s="15"/>
      <c r="AE427" s="15"/>
      <c r="AF427" s="15"/>
      <c r="AG427" s="15"/>
      <c r="AH427" s="15"/>
    </row>
    <row r="428" ht="15.75" customHeight="1">
      <c r="A428" s="28" t="s">
        <v>5</v>
      </c>
      <c r="E428" s="28" t="s">
        <v>43</v>
      </c>
      <c r="F428" s="65" t="s">
        <v>79</v>
      </c>
      <c r="G428" s="166" t="s">
        <v>1478</v>
      </c>
      <c r="H428" s="31" t="s">
        <v>79</v>
      </c>
      <c r="I428" s="9"/>
      <c r="J428" s="9"/>
      <c r="K428" s="9"/>
      <c r="L428" s="9"/>
      <c r="M428" s="15"/>
      <c r="N428" s="15"/>
      <c r="O428" s="15"/>
      <c r="P428" s="15"/>
      <c r="Q428" s="15"/>
      <c r="R428" s="15"/>
      <c r="S428" s="15"/>
      <c r="T428" s="15"/>
      <c r="U428" s="15"/>
      <c r="V428" s="15"/>
      <c r="W428" s="15"/>
      <c r="X428" s="15"/>
      <c r="Y428" s="15"/>
      <c r="Z428" s="15"/>
      <c r="AA428" s="15"/>
      <c r="AB428" s="15"/>
      <c r="AC428" s="15"/>
      <c r="AD428" s="15"/>
      <c r="AE428" s="15"/>
      <c r="AF428" s="15"/>
      <c r="AG428" s="15"/>
      <c r="AH428" s="15"/>
    </row>
    <row r="429" ht="15.75" customHeight="1">
      <c r="A429" s="28" t="s">
        <v>5</v>
      </c>
      <c r="E429" s="28" t="s">
        <v>88</v>
      </c>
      <c r="F429" s="65" t="s">
        <v>125</v>
      </c>
      <c r="G429" s="166" t="s">
        <v>1479</v>
      </c>
      <c r="H429" s="31" t="s">
        <v>125</v>
      </c>
      <c r="I429" s="9"/>
      <c r="J429" s="9"/>
      <c r="K429" s="9"/>
      <c r="L429" s="9"/>
      <c r="M429" s="15"/>
      <c r="N429" s="15"/>
      <c r="O429" s="15"/>
      <c r="P429" s="15"/>
      <c r="Q429" s="15"/>
      <c r="R429" s="15"/>
      <c r="S429" s="15"/>
      <c r="T429" s="15"/>
      <c r="U429" s="15"/>
      <c r="V429" s="15"/>
      <c r="W429" s="15"/>
      <c r="X429" s="15"/>
      <c r="Y429" s="15"/>
      <c r="Z429" s="15"/>
      <c r="AA429" s="15"/>
      <c r="AB429" s="15"/>
      <c r="AC429" s="15"/>
      <c r="AD429" s="15"/>
      <c r="AE429" s="15"/>
      <c r="AF429" s="15"/>
      <c r="AG429" s="15"/>
      <c r="AH429" s="15"/>
    </row>
    <row r="430" ht="15.75" customHeight="1">
      <c r="A430" s="28" t="s">
        <v>5</v>
      </c>
      <c r="E430" s="28" t="s">
        <v>88</v>
      </c>
      <c r="F430" s="65" t="s">
        <v>307</v>
      </c>
      <c r="G430" s="166" t="s">
        <v>1480</v>
      </c>
      <c r="H430" s="31" t="s">
        <v>307</v>
      </c>
      <c r="I430" s="9"/>
      <c r="J430" s="9"/>
      <c r="K430" s="9"/>
      <c r="L430" s="9"/>
      <c r="M430" s="15"/>
      <c r="N430" s="15"/>
      <c r="O430" s="15"/>
      <c r="P430" s="15"/>
      <c r="Q430" s="15"/>
      <c r="R430" s="15"/>
      <c r="S430" s="15"/>
      <c r="T430" s="15"/>
      <c r="U430" s="15"/>
      <c r="V430" s="15"/>
      <c r="W430" s="15"/>
      <c r="X430" s="15"/>
      <c r="Y430" s="15"/>
      <c r="Z430" s="15"/>
      <c r="AA430" s="15"/>
      <c r="AB430" s="15"/>
      <c r="AC430" s="15"/>
      <c r="AD430" s="15"/>
      <c r="AE430" s="15"/>
      <c r="AF430" s="15"/>
      <c r="AG430" s="15"/>
      <c r="AH430" s="15"/>
    </row>
    <row r="431" ht="15.75" customHeight="1">
      <c r="A431" s="28" t="s">
        <v>5</v>
      </c>
      <c r="E431" s="28" t="s">
        <v>88</v>
      </c>
      <c r="F431" s="65" t="s">
        <v>125</v>
      </c>
      <c r="G431" s="166" t="s">
        <v>1479</v>
      </c>
      <c r="H431" s="31" t="s">
        <v>125</v>
      </c>
      <c r="I431" s="9"/>
      <c r="J431" s="9"/>
      <c r="K431" s="9"/>
      <c r="L431" s="9"/>
      <c r="M431" s="15"/>
      <c r="N431" s="15"/>
      <c r="O431" s="15"/>
      <c r="P431" s="15"/>
      <c r="Q431" s="15"/>
      <c r="R431" s="15"/>
      <c r="S431" s="15"/>
      <c r="T431" s="15"/>
      <c r="U431" s="15"/>
      <c r="V431" s="15"/>
      <c r="W431" s="15"/>
      <c r="X431" s="15"/>
      <c r="Y431" s="15"/>
      <c r="Z431" s="15"/>
      <c r="AA431" s="15"/>
      <c r="AB431" s="15"/>
      <c r="AC431" s="15"/>
      <c r="AD431" s="15"/>
      <c r="AE431" s="15"/>
      <c r="AF431" s="15"/>
      <c r="AG431" s="15"/>
      <c r="AH431" s="15"/>
    </row>
    <row r="432" ht="15.75" customHeight="1">
      <c r="A432" s="28" t="s">
        <v>5</v>
      </c>
      <c r="E432" s="28" t="s">
        <v>88</v>
      </c>
      <c r="F432" s="65" t="s">
        <v>307</v>
      </c>
      <c r="G432" s="168" t="s">
        <v>1480</v>
      </c>
      <c r="H432" s="36"/>
      <c r="L432" s="9"/>
      <c r="M432" s="15"/>
      <c r="N432" s="15"/>
      <c r="O432" s="15"/>
      <c r="P432" s="15"/>
      <c r="Q432" s="15"/>
      <c r="R432" s="15"/>
      <c r="S432" s="15"/>
      <c r="T432" s="15"/>
      <c r="U432" s="15"/>
      <c r="V432" s="15"/>
      <c r="W432" s="15"/>
      <c r="X432" s="15"/>
      <c r="Y432" s="15"/>
      <c r="Z432" s="15"/>
      <c r="AA432" s="15"/>
      <c r="AB432" s="15"/>
      <c r="AC432" s="15"/>
      <c r="AD432" s="15"/>
      <c r="AE432" s="15"/>
      <c r="AF432" s="15"/>
      <c r="AG432" s="15"/>
      <c r="AH432" s="15"/>
    </row>
    <row r="433" ht="15.75" customHeight="1">
      <c r="A433" s="28" t="s">
        <v>5</v>
      </c>
      <c r="E433" s="28" t="s">
        <v>88</v>
      </c>
      <c r="F433" s="65" t="s">
        <v>89</v>
      </c>
      <c r="G433" s="28"/>
      <c r="H433" s="31"/>
      <c r="I433" s="9"/>
      <c r="J433" s="9"/>
      <c r="K433" s="9"/>
      <c r="L433" s="9"/>
      <c r="M433" s="15"/>
      <c r="N433" s="15"/>
      <c r="O433" s="15"/>
      <c r="P433" s="15"/>
      <c r="Q433" s="15"/>
      <c r="R433" s="15"/>
      <c r="S433" s="15"/>
      <c r="T433" s="15"/>
      <c r="U433" s="15"/>
      <c r="V433" s="15"/>
      <c r="W433" s="15"/>
      <c r="X433" s="15"/>
      <c r="Y433" s="15"/>
      <c r="Z433" s="15"/>
      <c r="AA433" s="15"/>
      <c r="AB433" s="15"/>
      <c r="AC433" s="15"/>
      <c r="AD433" s="15"/>
      <c r="AE433" s="15"/>
      <c r="AF433" s="15"/>
      <c r="AG433" s="15"/>
      <c r="AH433" s="15"/>
    </row>
    <row r="434" ht="15.75" customHeight="1">
      <c r="A434" s="28" t="s">
        <v>5</v>
      </c>
      <c r="E434" s="28" t="s">
        <v>88</v>
      </c>
      <c r="F434" s="65" t="s">
        <v>795</v>
      </c>
      <c r="G434" s="28"/>
      <c r="H434" s="31"/>
      <c r="I434" s="9"/>
      <c r="J434" s="9"/>
      <c r="K434" s="9"/>
      <c r="L434" s="9"/>
      <c r="M434" s="15"/>
      <c r="N434" s="15"/>
      <c r="O434" s="15"/>
      <c r="P434" s="15"/>
      <c r="Q434" s="15"/>
      <c r="R434" s="15"/>
      <c r="S434" s="15"/>
      <c r="T434" s="15"/>
      <c r="U434" s="15"/>
      <c r="V434" s="15"/>
      <c r="W434" s="15"/>
      <c r="X434" s="15"/>
      <c r="Y434" s="15"/>
      <c r="Z434" s="15"/>
      <c r="AA434" s="15"/>
      <c r="AB434" s="15"/>
      <c r="AC434" s="15"/>
      <c r="AD434" s="15"/>
      <c r="AE434" s="15"/>
      <c r="AF434" s="15"/>
      <c r="AG434" s="15"/>
      <c r="AH434" s="15"/>
    </row>
    <row r="435" ht="15.75" customHeight="1">
      <c r="A435" s="32" t="s">
        <v>5</v>
      </c>
      <c r="B435" s="163" t="s">
        <v>1481</v>
      </c>
      <c r="C435" s="164" t="s">
        <v>1482</v>
      </c>
      <c r="D435" s="164" t="s">
        <v>20</v>
      </c>
      <c r="E435" s="32" t="s">
        <v>21</v>
      </c>
      <c r="F435" s="32" t="s">
        <v>51</v>
      </c>
      <c r="G435" s="74" t="s">
        <v>1483</v>
      </c>
      <c r="H435" s="162" t="s">
        <v>51</v>
      </c>
      <c r="I435" s="31"/>
      <c r="J435" s="31"/>
      <c r="K435" s="9"/>
      <c r="L435" s="9"/>
      <c r="M435" s="15"/>
      <c r="N435" s="15"/>
      <c r="O435" s="15"/>
      <c r="P435" s="15"/>
      <c r="Q435" s="15"/>
      <c r="R435" s="15"/>
      <c r="S435" s="15"/>
      <c r="T435" s="15"/>
      <c r="U435" s="15"/>
      <c r="V435" s="15"/>
      <c r="W435" s="15"/>
      <c r="X435" s="15"/>
      <c r="Y435" s="15"/>
      <c r="Z435" s="15"/>
      <c r="AA435" s="15"/>
      <c r="AB435" s="15"/>
      <c r="AC435" s="15"/>
      <c r="AD435" s="15"/>
      <c r="AE435" s="15"/>
      <c r="AF435" s="15"/>
      <c r="AG435" s="15"/>
      <c r="AH435" s="15"/>
    </row>
    <row r="436" ht="15.75" customHeight="1">
      <c r="A436" s="32" t="s">
        <v>5</v>
      </c>
      <c r="E436" s="32" t="s">
        <v>88</v>
      </c>
      <c r="F436" s="32" t="s">
        <v>481</v>
      </c>
      <c r="G436" s="74" t="s">
        <v>1484</v>
      </c>
      <c r="H436" s="162" t="s">
        <v>481</v>
      </c>
      <c r="I436" s="31"/>
      <c r="J436" s="31"/>
      <c r="K436" s="9"/>
      <c r="L436" s="9"/>
      <c r="M436" s="15"/>
      <c r="N436" s="15"/>
      <c r="O436" s="15"/>
      <c r="P436" s="15"/>
      <c r="Q436" s="15"/>
      <c r="R436" s="15"/>
      <c r="S436" s="15"/>
      <c r="T436" s="15"/>
      <c r="U436" s="15"/>
      <c r="V436" s="15"/>
      <c r="W436" s="15"/>
      <c r="X436" s="15"/>
      <c r="Y436" s="15"/>
      <c r="Z436" s="15"/>
      <c r="AA436" s="15"/>
      <c r="AB436" s="15"/>
      <c r="AC436" s="15"/>
      <c r="AD436" s="15"/>
      <c r="AE436" s="15"/>
      <c r="AF436" s="15"/>
      <c r="AG436" s="15"/>
      <c r="AH436" s="15"/>
    </row>
    <row r="437" ht="15.75" customHeight="1">
      <c r="A437" s="32" t="s">
        <v>5</v>
      </c>
      <c r="E437" s="32" t="s">
        <v>88</v>
      </c>
      <c r="F437" s="32" t="s">
        <v>496</v>
      </c>
      <c r="G437" s="74" t="s">
        <v>1485</v>
      </c>
      <c r="H437" s="31" t="s">
        <v>496</v>
      </c>
      <c r="I437" s="31"/>
      <c r="J437" s="31"/>
      <c r="K437" s="9"/>
      <c r="L437" s="9"/>
      <c r="M437" s="15"/>
      <c r="N437" s="15"/>
      <c r="O437" s="15"/>
      <c r="P437" s="15"/>
      <c r="Q437" s="15"/>
      <c r="R437" s="15"/>
      <c r="S437" s="15"/>
      <c r="T437" s="15"/>
      <c r="U437" s="15"/>
      <c r="V437" s="15"/>
      <c r="W437" s="15"/>
      <c r="X437" s="15"/>
      <c r="Y437" s="15"/>
      <c r="Z437" s="15"/>
      <c r="AA437" s="15"/>
      <c r="AB437" s="15"/>
      <c r="AC437" s="15"/>
      <c r="AD437" s="15"/>
      <c r="AE437" s="15"/>
      <c r="AF437" s="15"/>
      <c r="AG437" s="15"/>
      <c r="AH437" s="15"/>
    </row>
    <row r="438" ht="15.75" customHeight="1">
      <c r="A438" s="32" t="s">
        <v>5</v>
      </c>
      <c r="E438" s="32" t="s">
        <v>88</v>
      </c>
      <c r="F438" s="32" t="s">
        <v>515</v>
      </c>
      <c r="G438" s="74" t="s">
        <v>1486</v>
      </c>
      <c r="H438" s="162" t="s">
        <v>515</v>
      </c>
      <c r="I438" s="31"/>
      <c r="J438" s="31"/>
      <c r="K438" s="9"/>
      <c r="L438" s="9"/>
      <c r="M438" s="15"/>
      <c r="N438" s="15"/>
      <c r="O438" s="15"/>
      <c r="P438" s="15"/>
      <c r="Q438" s="15"/>
      <c r="R438" s="15"/>
      <c r="S438" s="15"/>
      <c r="T438" s="15"/>
      <c r="U438" s="15"/>
      <c r="V438" s="15"/>
      <c r="W438" s="15"/>
      <c r="X438" s="15"/>
      <c r="Y438" s="15"/>
      <c r="Z438" s="15"/>
      <c r="AA438" s="15"/>
      <c r="AB438" s="15"/>
      <c r="AC438" s="15"/>
      <c r="AD438" s="15"/>
      <c r="AE438" s="15"/>
      <c r="AF438" s="15"/>
      <c r="AG438" s="15"/>
      <c r="AH438" s="15"/>
    </row>
    <row r="439" ht="15.75" customHeight="1">
      <c r="A439" s="32" t="s">
        <v>5</v>
      </c>
      <c r="E439" s="32" t="s">
        <v>88</v>
      </c>
      <c r="F439" s="32" t="s">
        <v>570</v>
      </c>
      <c r="G439" s="32"/>
      <c r="H439" s="31"/>
      <c r="I439" s="31"/>
      <c r="J439" s="31"/>
      <c r="K439" s="9"/>
      <c r="L439" s="9"/>
      <c r="M439" s="15"/>
      <c r="N439" s="15"/>
      <c r="O439" s="15"/>
      <c r="P439" s="15"/>
      <c r="Q439" s="15"/>
      <c r="R439" s="15"/>
      <c r="S439" s="15"/>
      <c r="T439" s="15"/>
      <c r="U439" s="15"/>
      <c r="V439" s="15"/>
      <c r="W439" s="15"/>
      <c r="X439" s="15"/>
      <c r="Y439" s="15"/>
      <c r="Z439" s="15"/>
      <c r="AA439" s="15"/>
      <c r="AB439" s="15"/>
      <c r="AC439" s="15"/>
      <c r="AD439" s="15"/>
      <c r="AE439" s="15"/>
      <c r="AF439" s="15"/>
      <c r="AG439" s="15"/>
      <c r="AH439" s="15"/>
    </row>
    <row r="440" ht="15.75" customHeight="1">
      <c r="A440" s="32" t="s">
        <v>5</v>
      </c>
      <c r="E440" s="32" t="s">
        <v>88</v>
      </c>
      <c r="F440" s="32" t="s">
        <v>598</v>
      </c>
      <c r="G440" s="32"/>
      <c r="H440" s="31"/>
      <c r="I440" s="31"/>
      <c r="J440" s="31"/>
      <c r="K440" s="9"/>
      <c r="L440" s="9"/>
      <c r="M440" s="15"/>
      <c r="N440" s="15"/>
      <c r="O440" s="15"/>
      <c r="P440" s="15"/>
      <c r="Q440" s="15"/>
      <c r="R440" s="15"/>
      <c r="S440" s="15"/>
      <c r="T440" s="15"/>
      <c r="U440" s="15"/>
      <c r="V440" s="15"/>
      <c r="W440" s="15"/>
      <c r="X440" s="15"/>
      <c r="Y440" s="15"/>
      <c r="Z440" s="15"/>
      <c r="AA440" s="15"/>
      <c r="AB440" s="15"/>
      <c r="AC440" s="15"/>
      <c r="AD440" s="15"/>
      <c r="AE440" s="15"/>
      <c r="AF440" s="15"/>
      <c r="AG440" s="15"/>
      <c r="AH440" s="15"/>
    </row>
    <row r="441" ht="15.75" customHeight="1">
      <c r="A441" s="32" t="s">
        <v>5</v>
      </c>
      <c r="E441" s="32" t="s">
        <v>88</v>
      </c>
      <c r="F441" s="32" t="s">
        <v>120</v>
      </c>
      <c r="G441" s="74" t="s">
        <v>1487</v>
      </c>
      <c r="H441" s="162" t="s">
        <v>120</v>
      </c>
      <c r="I441" s="31"/>
      <c r="J441" s="31"/>
      <c r="K441" s="9"/>
      <c r="L441" s="9"/>
      <c r="M441" s="15"/>
      <c r="N441" s="15"/>
      <c r="O441" s="15"/>
      <c r="P441" s="15"/>
      <c r="Q441" s="15"/>
      <c r="R441" s="15"/>
      <c r="S441" s="15"/>
      <c r="T441" s="15"/>
      <c r="U441" s="15"/>
      <c r="V441" s="15"/>
      <c r="W441" s="15"/>
      <c r="X441" s="15"/>
      <c r="Y441" s="15"/>
      <c r="Z441" s="15"/>
      <c r="AA441" s="15"/>
      <c r="AB441" s="15"/>
      <c r="AC441" s="15"/>
      <c r="AD441" s="15"/>
      <c r="AE441" s="15"/>
      <c r="AF441" s="15"/>
      <c r="AG441" s="15"/>
      <c r="AH441" s="15"/>
    </row>
    <row r="442" ht="15.75" customHeight="1">
      <c r="A442" s="32" t="s">
        <v>5</v>
      </c>
      <c r="E442" s="32" t="s">
        <v>88</v>
      </c>
      <c r="F442" s="32" t="s">
        <v>544</v>
      </c>
      <c r="G442" s="74" t="s">
        <v>1488</v>
      </c>
      <c r="H442" s="162" t="s">
        <v>544</v>
      </c>
      <c r="I442" s="31"/>
      <c r="J442" s="31"/>
      <c r="K442" s="9"/>
      <c r="L442" s="9"/>
      <c r="M442" s="15"/>
      <c r="N442" s="15"/>
      <c r="O442" s="15"/>
      <c r="P442" s="15"/>
      <c r="Q442" s="15"/>
      <c r="R442" s="15"/>
      <c r="S442" s="15"/>
      <c r="T442" s="15"/>
      <c r="U442" s="15"/>
      <c r="V442" s="15"/>
      <c r="W442" s="15"/>
      <c r="X442" s="15"/>
      <c r="Y442" s="15"/>
      <c r="Z442" s="15"/>
      <c r="AA442" s="15"/>
      <c r="AB442" s="15"/>
      <c r="AC442" s="15"/>
      <c r="AD442" s="15"/>
      <c r="AE442" s="15"/>
      <c r="AF442" s="15"/>
      <c r="AG442" s="15"/>
      <c r="AH442" s="15"/>
    </row>
    <row r="443" ht="15.75" customHeight="1">
      <c r="A443" s="32" t="s">
        <v>5</v>
      </c>
      <c r="E443" s="35" t="s">
        <v>88</v>
      </c>
      <c r="F443" s="35" t="s">
        <v>247</v>
      </c>
      <c r="G443" s="65"/>
      <c r="H443" s="31"/>
      <c r="I443" s="31"/>
      <c r="J443" s="9"/>
      <c r="K443" s="9"/>
      <c r="L443" s="9"/>
      <c r="M443" s="15"/>
      <c r="N443" s="15"/>
      <c r="O443" s="15"/>
      <c r="P443" s="15"/>
      <c r="Q443" s="15"/>
      <c r="R443" s="15"/>
      <c r="S443" s="15"/>
      <c r="T443" s="15"/>
      <c r="U443" s="15"/>
      <c r="V443" s="15"/>
      <c r="W443" s="15"/>
      <c r="X443" s="15"/>
      <c r="Y443" s="15"/>
      <c r="Z443" s="15"/>
      <c r="AA443" s="15"/>
      <c r="AB443" s="15"/>
      <c r="AC443" s="15"/>
      <c r="AD443" s="15"/>
      <c r="AE443" s="15"/>
      <c r="AF443" s="15"/>
      <c r="AG443" s="15"/>
      <c r="AH443" s="15"/>
    </row>
    <row r="444" ht="15.75" customHeight="1">
      <c r="E444" s="35" t="s">
        <v>88</v>
      </c>
      <c r="F444" s="35" t="s">
        <v>95</v>
      </c>
      <c r="G444" s="187" t="s">
        <v>1489</v>
      </c>
      <c r="H444" s="162" t="s">
        <v>95</v>
      </c>
      <c r="I444" s="31"/>
      <c r="J444" s="9"/>
      <c r="K444" s="9"/>
      <c r="L444" s="9"/>
      <c r="M444" s="15"/>
      <c r="N444" s="15"/>
      <c r="O444" s="15"/>
      <c r="P444" s="15"/>
      <c r="Q444" s="15"/>
      <c r="R444" s="15"/>
      <c r="S444" s="15"/>
      <c r="T444" s="15"/>
      <c r="U444" s="15"/>
      <c r="V444" s="15"/>
      <c r="W444" s="15"/>
      <c r="X444" s="15"/>
      <c r="Y444" s="15"/>
      <c r="Z444" s="15"/>
      <c r="AA444" s="15"/>
      <c r="AB444" s="15"/>
      <c r="AC444" s="15"/>
      <c r="AD444" s="15"/>
      <c r="AE444" s="15"/>
      <c r="AF444" s="15"/>
      <c r="AG444" s="15"/>
      <c r="AH444" s="15"/>
    </row>
    <row r="445" ht="15.75" customHeight="1">
      <c r="E445" s="35" t="s">
        <v>88</v>
      </c>
      <c r="F445" s="35" t="s">
        <v>96</v>
      </c>
      <c r="G445" s="187" t="s">
        <v>1490</v>
      </c>
      <c r="H445" s="162" t="s">
        <v>96</v>
      </c>
      <c r="I445" s="31"/>
      <c r="J445" s="9"/>
      <c r="K445" s="9"/>
      <c r="L445" s="9"/>
      <c r="M445" s="15"/>
      <c r="N445" s="15"/>
      <c r="O445" s="15"/>
      <c r="P445" s="15"/>
      <c r="Q445" s="15"/>
      <c r="R445" s="15"/>
      <c r="S445" s="15"/>
      <c r="T445" s="15"/>
      <c r="U445" s="15"/>
      <c r="V445" s="15"/>
      <c r="W445" s="15"/>
      <c r="X445" s="15"/>
      <c r="Y445" s="15"/>
      <c r="Z445" s="15"/>
      <c r="AA445" s="15"/>
      <c r="AB445" s="15"/>
      <c r="AC445" s="15"/>
      <c r="AD445" s="15"/>
      <c r="AE445" s="15"/>
      <c r="AF445" s="15"/>
      <c r="AG445" s="15"/>
      <c r="AH445" s="15"/>
    </row>
    <row r="446" ht="15.75" customHeight="1">
      <c r="E446" s="35" t="s">
        <v>86</v>
      </c>
      <c r="F446" s="35" t="s">
        <v>90</v>
      </c>
      <c r="G446" s="187" t="s">
        <v>1491</v>
      </c>
      <c r="H446" s="162" t="s">
        <v>90</v>
      </c>
      <c r="I446" s="31"/>
      <c r="J446" s="9"/>
      <c r="K446" s="9"/>
      <c r="L446" s="9"/>
      <c r="M446" s="15"/>
      <c r="N446" s="15"/>
      <c r="O446" s="15"/>
      <c r="P446" s="15"/>
      <c r="Q446" s="15"/>
      <c r="R446" s="15"/>
      <c r="S446" s="15"/>
      <c r="T446" s="15"/>
      <c r="U446" s="15"/>
      <c r="V446" s="15"/>
      <c r="W446" s="15"/>
      <c r="X446" s="15"/>
      <c r="Y446" s="15"/>
      <c r="Z446" s="15"/>
      <c r="AA446" s="15"/>
      <c r="AB446" s="15"/>
      <c r="AC446" s="15"/>
      <c r="AD446" s="15"/>
      <c r="AE446" s="15"/>
      <c r="AF446" s="15"/>
      <c r="AG446" s="15"/>
      <c r="AH446" s="15"/>
    </row>
    <row r="447" ht="15.75" customHeight="1">
      <c r="E447" s="35" t="s">
        <v>86</v>
      </c>
      <c r="F447" s="35" t="s">
        <v>91</v>
      </c>
      <c r="G447" s="187" t="s">
        <v>1492</v>
      </c>
      <c r="H447" s="162" t="s">
        <v>91</v>
      </c>
      <c r="I447" s="31"/>
      <c r="J447" s="9"/>
      <c r="K447" s="9"/>
      <c r="L447" s="9"/>
      <c r="M447" s="15"/>
      <c r="N447" s="15"/>
      <c r="O447" s="15"/>
      <c r="P447" s="15"/>
      <c r="Q447" s="15"/>
      <c r="R447" s="15"/>
      <c r="S447" s="15"/>
      <c r="T447" s="15"/>
      <c r="U447" s="15"/>
      <c r="V447" s="15"/>
      <c r="W447" s="15"/>
      <c r="X447" s="15"/>
      <c r="Y447" s="15"/>
      <c r="Z447" s="15"/>
      <c r="AA447" s="15"/>
      <c r="AB447" s="15"/>
      <c r="AC447" s="15"/>
      <c r="AD447" s="15"/>
      <c r="AE447" s="15"/>
      <c r="AF447" s="15"/>
      <c r="AG447" s="15"/>
      <c r="AH447" s="15"/>
    </row>
    <row r="448" ht="15.75" customHeight="1">
      <c r="E448" s="35" t="s">
        <v>104</v>
      </c>
      <c r="F448" s="35" t="s">
        <v>250</v>
      </c>
      <c r="G448" s="187" t="s">
        <v>1493</v>
      </c>
      <c r="H448" s="162" t="s">
        <v>250</v>
      </c>
      <c r="I448" s="31"/>
      <c r="J448" s="9"/>
      <c r="K448" s="9"/>
      <c r="L448" s="9"/>
      <c r="M448" s="15"/>
      <c r="N448" s="15"/>
      <c r="O448" s="15"/>
      <c r="P448" s="15"/>
      <c r="Q448" s="15"/>
      <c r="R448" s="15"/>
      <c r="S448" s="15"/>
      <c r="T448" s="15"/>
      <c r="U448" s="15"/>
      <c r="V448" s="15"/>
      <c r="W448" s="15"/>
      <c r="X448" s="15"/>
      <c r="Y448" s="15"/>
      <c r="Z448" s="15"/>
      <c r="AA448" s="15"/>
      <c r="AB448" s="15"/>
      <c r="AC448" s="15"/>
      <c r="AD448" s="15"/>
      <c r="AE448" s="15"/>
      <c r="AF448" s="15"/>
      <c r="AG448" s="15"/>
      <c r="AH448" s="15"/>
    </row>
    <row r="449" ht="15.75" customHeight="1">
      <c r="E449" s="35" t="s">
        <v>178</v>
      </c>
      <c r="F449" s="35" t="s">
        <v>209</v>
      </c>
      <c r="G449" s="187" t="s">
        <v>1494</v>
      </c>
      <c r="H449" s="162" t="s">
        <v>209</v>
      </c>
      <c r="I449" s="31"/>
      <c r="J449" s="9"/>
      <c r="K449" s="9"/>
      <c r="L449" s="9"/>
      <c r="M449" s="15"/>
      <c r="N449" s="15"/>
      <c r="O449" s="15"/>
      <c r="P449" s="15"/>
      <c r="Q449" s="15"/>
      <c r="R449" s="15"/>
      <c r="S449" s="15"/>
      <c r="T449" s="15"/>
      <c r="U449" s="15"/>
      <c r="V449" s="15"/>
      <c r="W449" s="15"/>
      <c r="X449" s="15"/>
      <c r="Y449" s="15"/>
      <c r="Z449" s="15"/>
      <c r="AA449" s="15"/>
      <c r="AB449" s="15"/>
      <c r="AC449" s="15"/>
      <c r="AD449" s="15"/>
      <c r="AE449" s="15"/>
      <c r="AF449" s="15"/>
      <c r="AG449" s="15"/>
      <c r="AH449" s="15"/>
    </row>
    <row r="450" ht="15.75" customHeight="1">
      <c r="E450" s="35" t="s">
        <v>178</v>
      </c>
      <c r="F450" s="35" t="s">
        <v>210</v>
      </c>
      <c r="G450" s="187" t="s">
        <v>1495</v>
      </c>
      <c r="H450" s="162" t="s">
        <v>210</v>
      </c>
      <c r="I450" s="31"/>
      <c r="J450" s="9"/>
      <c r="K450" s="9"/>
      <c r="L450" s="9"/>
      <c r="M450" s="15"/>
      <c r="N450" s="15"/>
      <c r="O450" s="15"/>
      <c r="P450" s="15"/>
      <c r="Q450" s="15"/>
      <c r="R450" s="15"/>
      <c r="S450" s="15"/>
      <c r="T450" s="15"/>
      <c r="U450" s="15"/>
      <c r="V450" s="15"/>
      <c r="W450" s="15"/>
      <c r="X450" s="15"/>
      <c r="Y450" s="15"/>
      <c r="Z450" s="15"/>
      <c r="AA450" s="15"/>
      <c r="AB450" s="15"/>
      <c r="AC450" s="15"/>
      <c r="AD450" s="15"/>
      <c r="AE450" s="15"/>
      <c r="AF450" s="15"/>
      <c r="AG450" s="15"/>
      <c r="AH450" s="15"/>
    </row>
    <row r="451" ht="15.75" customHeight="1">
      <c r="E451" s="32" t="s">
        <v>88</v>
      </c>
      <c r="F451" s="32" t="s">
        <v>89</v>
      </c>
      <c r="G451" s="32"/>
      <c r="H451" s="31"/>
      <c r="I451" s="31"/>
      <c r="J451" s="9"/>
      <c r="K451" s="9"/>
      <c r="L451" s="9"/>
      <c r="M451" s="15"/>
      <c r="N451" s="15"/>
      <c r="O451" s="15"/>
      <c r="P451" s="15"/>
      <c r="Q451" s="15"/>
      <c r="R451" s="15"/>
      <c r="S451" s="15"/>
      <c r="T451" s="15"/>
      <c r="U451" s="15"/>
      <c r="V451" s="15"/>
      <c r="W451" s="15"/>
      <c r="X451" s="15"/>
      <c r="Y451" s="15"/>
      <c r="Z451" s="15"/>
      <c r="AA451" s="15"/>
      <c r="AB451" s="15"/>
      <c r="AC451" s="15"/>
      <c r="AD451" s="15"/>
      <c r="AE451" s="15"/>
      <c r="AF451" s="15"/>
      <c r="AG451" s="15"/>
      <c r="AH451" s="15"/>
    </row>
    <row r="452" ht="15.75" customHeight="1">
      <c r="E452" s="32" t="s">
        <v>88</v>
      </c>
      <c r="F452" s="32" t="s">
        <v>795</v>
      </c>
      <c r="G452" s="32"/>
      <c r="H452" s="31"/>
      <c r="I452" s="31"/>
      <c r="J452" s="9"/>
      <c r="K452" s="9"/>
      <c r="L452" s="9"/>
      <c r="M452" s="15"/>
      <c r="N452" s="15"/>
      <c r="O452" s="15"/>
      <c r="P452" s="15"/>
      <c r="Q452" s="15"/>
      <c r="R452" s="15"/>
      <c r="S452" s="15"/>
      <c r="T452" s="15"/>
      <c r="U452" s="15"/>
      <c r="V452" s="15"/>
      <c r="W452" s="15"/>
      <c r="X452" s="15"/>
      <c r="Y452" s="15"/>
      <c r="Z452" s="15"/>
      <c r="AA452" s="15"/>
      <c r="AB452" s="15"/>
      <c r="AC452" s="15"/>
      <c r="AD452" s="15"/>
      <c r="AE452" s="15"/>
      <c r="AF452" s="15"/>
      <c r="AG452" s="15"/>
      <c r="AH452" s="15"/>
    </row>
    <row r="453" ht="15.75" customHeight="1">
      <c r="B453" s="163" t="s">
        <v>1496</v>
      </c>
      <c r="C453" s="164" t="s">
        <v>1497</v>
      </c>
      <c r="D453" s="164" t="s">
        <v>20</v>
      </c>
      <c r="E453" s="32" t="s">
        <v>21</v>
      </c>
      <c r="F453" s="32" t="s">
        <v>51</v>
      </c>
      <c r="G453" s="74" t="s">
        <v>1498</v>
      </c>
      <c r="H453" s="162" t="s">
        <v>51</v>
      </c>
      <c r="I453" s="31"/>
      <c r="J453" s="9"/>
      <c r="K453" s="9"/>
      <c r="L453" s="9"/>
      <c r="M453" s="15"/>
      <c r="N453" s="15"/>
      <c r="O453" s="15"/>
      <c r="P453" s="15"/>
      <c r="Q453" s="15"/>
      <c r="R453" s="15"/>
      <c r="S453" s="15"/>
      <c r="T453" s="15"/>
      <c r="U453" s="15"/>
      <c r="V453" s="15"/>
      <c r="W453" s="15"/>
      <c r="X453" s="15"/>
      <c r="Y453" s="15"/>
      <c r="Z453" s="15"/>
      <c r="AA453" s="15"/>
      <c r="AB453" s="15"/>
      <c r="AC453" s="15"/>
      <c r="AD453" s="15"/>
      <c r="AE453" s="15"/>
      <c r="AF453" s="15"/>
      <c r="AG453" s="15"/>
      <c r="AH453" s="15"/>
    </row>
    <row r="454" ht="15.75" customHeight="1">
      <c r="A454" s="32" t="s">
        <v>5</v>
      </c>
      <c r="E454" s="32" t="s">
        <v>88</v>
      </c>
      <c r="F454" s="32" t="s">
        <v>120</v>
      </c>
      <c r="G454" s="171" t="s">
        <v>1499</v>
      </c>
      <c r="H454" s="162" t="s">
        <v>120</v>
      </c>
      <c r="I454" s="31"/>
      <c r="J454" s="9"/>
      <c r="K454" s="9"/>
      <c r="L454" s="9"/>
      <c r="M454" s="15"/>
      <c r="N454" s="15"/>
      <c r="O454" s="15"/>
      <c r="P454" s="15"/>
      <c r="Q454" s="15"/>
      <c r="R454" s="15"/>
      <c r="S454" s="15"/>
      <c r="T454" s="15"/>
      <c r="U454" s="15"/>
      <c r="V454" s="15"/>
      <c r="W454" s="15"/>
      <c r="X454" s="15"/>
      <c r="Y454" s="15"/>
      <c r="Z454" s="15"/>
      <c r="AA454" s="15"/>
      <c r="AB454" s="15"/>
      <c r="AC454" s="15"/>
      <c r="AD454" s="15"/>
      <c r="AE454" s="15"/>
      <c r="AF454" s="15"/>
      <c r="AG454" s="15"/>
      <c r="AH454" s="15"/>
    </row>
    <row r="455" ht="15.75" customHeight="1">
      <c r="A455" s="32" t="s">
        <v>5</v>
      </c>
      <c r="E455" s="35" t="s">
        <v>88</v>
      </c>
      <c r="F455" s="35" t="s">
        <v>154</v>
      </c>
      <c r="G455" s="165" t="s">
        <v>1500</v>
      </c>
      <c r="H455" s="162" t="s">
        <v>154</v>
      </c>
      <c r="I455" s="9"/>
      <c r="J455" s="9"/>
      <c r="K455" s="9"/>
      <c r="L455" s="9"/>
      <c r="M455" s="15"/>
      <c r="N455" s="15"/>
      <c r="O455" s="15"/>
      <c r="P455" s="15"/>
      <c r="Q455" s="15"/>
      <c r="R455" s="15"/>
      <c r="S455" s="15"/>
      <c r="T455" s="15"/>
      <c r="U455" s="15"/>
      <c r="V455" s="15"/>
      <c r="W455" s="15"/>
      <c r="X455" s="15"/>
      <c r="Y455" s="15"/>
      <c r="Z455" s="15"/>
      <c r="AA455" s="15"/>
      <c r="AB455" s="15"/>
      <c r="AC455" s="15"/>
      <c r="AD455" s="15"/>
      <c r="AE455" s="15"/>
      <c r="AF455" s="15"/>
      <c r="AG455" s="15"/>
      <c r="AH455" s="15"/>
    </row>
    <row r="456" ht="15.75" customHeight="1">
      <c r="A456" s="32" t="s">
        <v>5</v>
      </c>
      <c r="E456" s="35" t="s">
        <v>88</v>
      </c>
      <c r="F456" s="35" t="s">
        <v>246</v>
      </c>
      <c r="G456" s="165" t="s">
        <v>1501</v>
      </c>
      <c r="H456" s="162" t="s">
        <v>246</v>
      </c>
      <c r="I456" s="9"/>
      <c r="J456" s="9"/>
      <c r="K456" s="9"/>
      <c r="L456" s="9"/>
      <c r="M456" s="15"/>
      <c r="N456" s="15"/>
      <c r="O456" s="15"/>
      <c r="P456" s="15"/>
      <c r="Q456" s="15"/>
      <c r="R456" s="15"/>
      <c r="S456" s="15"/>
      <c r="T456" s="15"/>
      <c r="U456" s="15"/>
      <c r="V456" s="15"/>
      <c r="W456" s="15"/>
      <c r="X456" s="15"/>
      <c r="Y456" s="15"/>
      <c r="Z456" s="15"/>
      <c r="AA456" s="15"/>
      <c r="AB456" s="15"/>
      <c r="AC456" s="15"/>
      <c r="AD456" s="15"/>
      <c r="AE456" s="15"/>
      <c r="AF456" s="15"/>
      <c r="AG456" s="15"/>
      <c r="AH456" s="15"/>
    </row>
    <row r="457" ht="15.75" customHeight="1">
      <c r="A457" s="32" t="s">
        <v>5</v>
      </c>
      <c r="E457" s="35" t="s">
        <v>88</v>
      </c>
      <c r="F457" s="35" t="s">
        <v>551</v>
      </c>
      <c r="G457" s="165" t="s">
        <v>1502</v>
      </c>
      <c r="H457" s="162" t="s">
        <v>551</v>
      </c>
      <c r="I457" s="9"/>
      <c r="J457" s="9"/>
      <c r="K457" s="9"/>
      <c r="L457" s="9"/>
      <c r="M457" s="15"/>
      <c r="N457" s="15"/>
      <c r="O457" s="15"/>
      <c r="P457" s="15"/>
      <c r="Q457" s="15"/>
      <c r="R457" s="15"/>
      <c r="S457" s="15"/>
      <c r="T457" s="15"/>
      <c r="U457" s="15"/>
      <c r="V457" s="15"/>
      <c r="W457" s="15"/>
      <c r="X457" s="15"/>
      <c r="Y457" s="15"/>
      <c r="Z457" s="15"/>
      <c r="AA457" s="15"/>
      <c r="AB457" s="15"/>
      <c r="AC457" s="15"/>
      <c r="AD457" s="15"/>
      <c r="AE457" s="15"/>
      <c r="AF457" s="15"/>
      <c r="AG457" s="15"/>
      <c r="AH457" s="15"/>
    </row>
    <row r="458" ht="15.75" customHeight="1">
      <c r="A458" s="32" t="s">
        <v>5</v>
      </c>
      <c r="E458" s="32" t="s">
        <v>88</v>
      </c>
      <c r="F458" s="32" t="s">
        <v>247</v>
      </c>
      <c r="G458" s="172"/>
      <c r="H458" s="31"/>
      <c r="I458" s="9"/>
      <c r="J458" s="9"/>
      <c r="K458" s="9"/>
      <c r="L458" s="9"/>
      <c r="M458" s="15"/>
      <c r="N458" s="15"/>
      <c r="O458" s="15"/>
      <c r="P458" s="15"/>
      <c r="Q458" s="15"/>
      <c r="R458" s="15"/>
      <c r="S458" s="15"/>
      <c r="T458" s="15"/>
      <c r="U458" s="15"/>
      <c r="V458" s="15"/>
      <c r="W458" s="15"/>
      <c r="X458" s="15"/>
      <c r="Y458" s="15"/>
      <c r="Z458" s="15"/>
      <c r="AA458" s="15"/>
      <c r="AB458" s="15"/>
      <c r="AC458" s="15"/>
      <c r="AD458" s="15"/>
      <c r="AE458" s="15"/>
      <c r="AF458" s="15"/>
      <c r="AG458" s="15"/>
      <c r="AH458" s="15"/>
    </row>
    <row r="459" ht="15.75" customHeight="1">
      <c r="A459" s="32" t="s">
        <v>5</v>
      </c>
      <c r="E459" s="32" t="s">
        <v>88</v>
      </c>
      <c r="F459" s="32" t="s">
        <v>95</v>
      </c>
      <c r="G459" s="171" t="s">
        <v>1503</v>
      </c>
      <c r="H459" s="162" t="s">
        <v>95</v>
      </c>
      <c r="I459" s="9"/>
      <c r="J459" s="9"/>
      <c r="K459" s="9"/>
      <c r="L459" s="9"/>
      <c r="M459" s="15"/>
      <c r="N459" s="15"/>
      <c r="O459" s="15"/>
      <c r="P459" s="15"/>
      <c r="Q459" s="15"/>
      <c r="R459" s="15"/>
      <c r="S459" s="15"/>
      <c r="T459" s="15"/>
      <c r="U459" s="15"/>
      <c r="V459" s="15"/>
      <c r="W459" s="15"/>
      <c r="X459" s="15"/>
      <c r="Y459" s="15"/>
      <c r="Z459" s="15"/>
      <c r="AA459" s="15"/>
      <c r="AB459" s="15"/>
      <c r="AC459" s="15"/>
      <c r="AD459" s="15"/>
      <c r="AE459" s="15"/>
      <c r="AF459" s="15"/>
      <c r="AG459" s="15"/>
      <c r="AH459" s="15"/>
    </row>
    <row r="460" ht="15.75" customHeight="1">
      <c r="A460" s="32" t="s">
        <v>5</v>
      </c>
      <c r="E460" s="32" t="s">
        <v>88</v>
      </c>
      <c r="F460" s="32" t="s">
        <v>96</v>
      </c>
      <c r="G460" s="171" t="s">
        <v>1504</v>
      </c>
      <c r="H460" s="162" t="s">
        <v>96</v>
      </c>
      <c r="I460" s="9"/>
      <c r="J460" s="9"/>
      <c r="K460" s="9"/>
      <c r="L460" s="9"/>
      <c r="M460" s="15"/>
      <c r="N460" s="15"/>
      <c r="O460" s="15"/>
      <c r="P460" s="15"/>
      <c r="Q460" s="15"/>
      <c r="R460" s="15"/>
      <c r="S460" s="15"/>
      <c r="T460" s="15"/>
      <c r="U460" s="15"/>
      <c r="V460" s="15"/>
      <c r="W460" s="15"/>
      <c r="X460" s="15"/>
      <c r="Y460" s="15"/>
      <c r="Z460" s="15"/>
      <c r="AA460" s="15"/>
      <c r="AB460" s="15"/>
      <c r="AC460" s="15"/>
      <c r="AD460" s="15"/>
      <c r="AE460" s="15"/>
      <c r="AF460" s="15"/>
      <c r="AG460" s="15"/>
      <c r="AH460" s="15"/>
    </row>
    <row r="461" ht="15.75" customHeight="1">
      <c r="A461" s="32" t="s">
        <v>5</v>
      </c>
      <c r="E461" s="32" t="s">
        <v>86</v>
      </c>
      <c r="F461" s="32" t="s">
        <v>90</v>
      </c>
      <c r="G461" s="171" t="s">
        <v>1505</v>
      </c>
      <c r="H461" s="162" t="s">
        <v>90</v>
      </c>
      <c r="I461" s="9"/>
      <c r="J461" s="9"/>
      <c r="K461" s="9"/>
      <c r="L461" s="9"/>
      <c r="M461" s="15"/>
      <c r="N461" s="15"/>
      <c r="O461" s="15"/>
      <c r="P461" s="15"/>
      <c r="Q461" s="15"/>
      <c r="R461" s="15"/>
      <c r="S461" s="15"/>
      <c r="T461" s="15"/>
      <c r="U461" s="15"/>
      <c r="V461" s="15"/>
      <c r="W461" s="15"/>
      <c r="X461" s="15"/>
      <c r="Y461" s="15"/>
      <c r="Z461" s="15"/>
      <c r="AA461" s="15"/>
      <c r="AB461" s="15"/>
      <c r="AC461" s="15"/>
      <c r="AD461" s="15"/>
      <c r="AE461" s="15"/>
      <c r="AF461" s="15"/>
      <c r="AG461" s="15"/>
      <c r="AH461" s="15"/>
    </row>
    <row r="462" ht="15.75" customHeight="1">
      <c r="A462" s="32" t="s">
        <v>5</v>
      </c>
      <c r="E462" s="32" t="s">
        <v>86</v>
      </c>
      <c r="F462" s="32" t="s">
        <v>91</v>
      </c>
      <c r="G462" s="171" t="s">
        <v>1506</v>
      </c>
      <c r="H462" s="162" t="s">
        <v>91</v>
      </c>
      <c r="I462" s="9"/>
      <c r="J462" s="9"/>
      <c r="K462" s="9"/>
      <c r="L462" s="9"/>
      <c r="M462" s="15"/>
      <c r="N462" s="15"/>
      <c r="O462" s="15"/>
      <c r="P462" s="15"/>
      <c r="Q462" s="15"/>
      <c r="R462" s="15"/>
      <c r="S462" s="15"/>
      <c r="T462" s="15"/>
      <c r="U462" s="15"/>
      <c r="V462" s="15"/>
      <c r="W462" s="15"/>
      <c r="X462" s="15"/>
      <c r="Y462" s="15"/>
      <c r="Z462" s="15"/>
      <c r="AA462" s="15"/>
      <c r="AB462" s="15"/>
      <c r="AC462" s="15"/>
      <c r="AD462" s="15"/>
      <c r="AE462" s="15"/>
      <c r="AF462" s="15"/>
      <c r="AG462" s="15"/>
      <c r="AH462" s="15"/>
    </row>
    <row r="463" ht="15.75" customHeight="1">
      <c r="A463" s="32" t="s">
        <v>5</v>
      </c>
      <c r="E463" s="32" t="s">
        <v>104</v>
      </c>
      <c r="F463" s="32" t="s">
        <v>250</v>
      </c>
      <c r="G463" s="171" t="s">
        <v>1507</v>
      </c>
      <c r="H463" s="162" t="s">
        <v>250</v>
      </c>
      <c r="I463" s="9"/>
      <c r="J463" s="9"/>
      <c r="K463" s="9"/>
      <c r="L463" s="9"/>
      <c r="M463" s="15"/>
      <c r="N463" s="15"/>
      <c r="O463" s="15"/>
      <c r="P463" s="15"/>
      <c r="Q463" s="15"/>
      <c r="R463" s="15"/>
      <c r="S463" s="15"/>
      <c r="T463" s="15"/>
      <c r="U463" s="15"/>
      <c r="V463" s="15"/>
      <c r="W463" s="15"/>
      <c r="X463" s="15"/>
      <c r="Y463" s="15"/>
      <c r="Z463" s="15"/>
      <c r="AA463" s="15"/>
      <c r="AB463" s="15"/>
      <c r="AC463" s="15"/>
      <c r="AD463" s="15"/>
      <c r="AE463" s="15"/>
      <c r="AF463" s="15"/>
      <c r="AG463" s="15"/>
      <c r="AH463" s="15"/>
    </row>
    <row r="464" ht="15.75" customHeight="1">
      <c r="A464" s="32" t="s">
        <v>5</v>
      </c>
      <c r="E464" s="32" t="s">
        <v>178</v>
      </c>
      <c r="F464" s="32" t="s">
        <v>209</v>
      </c>
      <c r="G464" s="171" t="s">
        <v>1508</v>
      </c>
      <c r="H464" s="162" t="s">
        <v>209</v>
      </c>
      <c r="I464" s="9"/>
      <c r="J464" s="9"/>
      <c r="K464" s="9"/>
      <c r="L464" s="9"/>
      <c r="M464" s="15"/>
      <c r="N464" s="15"/>
      <c r="O464" s="15"/>
      <c r="P464" s="15"/>
      <c r="Q464" s="15"/>
      <c r="R464" s="15"/>
      <c r="S464" s="15"/>
      <c r="T464" s="15"/>
      <c r="U464" s="15"/>
      <c r="V464" s="15"/>
      <c r="W464" s="15"/>
      <c r="X464" s="15"/>
      <c r="Y464" s="15"/>
      <c r="Z464" s="15"/>
      <c r="AA464" s="15"/>
      <c r="AB464" s="15"/>
      <c r="AC464" s="15"/>
      <c r="AD464" s="15"/>
      <c r="AE464" s="15"/>
      <c r="AF464" s="15"/>
      <c r="AG464" s="15"/>
      <c r="AH464" s="15"/>
    </row>
    <row r="465" ht="15.75" customHeight="1">
      <c r="A465" s="32" t="s">
        <v>5</v>
      </c>
      <c r="E465" s="32" t="s">
        <v>178</v>
      </c>
      <c r="F465" s="32" t="s">
        <v>210</v>
      </c>
      <c r="G465" s="171" t="s">
        <v>1509</v>
      </c>
      <c r="H465" s="162" t="s">
        <v>210</v>
      </c>
      <c r="I465" s="9"/>
      <c r="J465" s="9"/>
      <c r="K465" s="9"/>
      <c r="L465" s="9"/>
      <c r="M465" s="15"/>
      <c r="N465" s="15"/>
      <c r="O465" s="15"/>
      <c r="P465" s="15"/>
      <c r="Q465" s="15"/>
      <c r="R465" s="15"/>
      <c r="S465" s="15"/>
      <c r="T465" s="15"/>
      <c r="U465" s="15"/>
      <c r="V465" s="15"/>
      <c r="W465" s="15"/>
      <c r="X465" s="15"/>
      <c r="Y465" s="15"/>
      <c r="Z465" s="15"/>
      <c r="AA465" s="15"/>
      <c r="AB465" s="15"/>
      <c r="AC465" s="15"/>
      <c r="AD465" s="15"/>
      <c r="AE465" s="15"/>
      <c r="AF465" s="15"/>
      <c r="AG465" s="15"/>
      <c r="AH465" s="15"/>
    </row>
    <row r="466" ht="15.75" customHeight="1">
      <c r="A466" s="32" t="s">
        <v>5</v>
      </c>
      <c r="E466" s="32" t="s">
        <v>88</v>
      </c>
      <c r="F466" s="32" t="s">
        <v>89</v>
      </c>
      <c r="G466" s="172"/>
      <c r="H466" s="31"/>
      <c r="I466" s="9"/>
      <c r="J466" s="9"/>
      <c r="K466" s="9"/>
      <c r="L466" s="9"/>
      <c r="M466" s="15"/>
      <c r="N466" s="15"/>
      <c r="O466" s="15"/>
      <c r="P466" s="15"/>
      <c r="Q466" s="15"/>
      <c r="R466" s="15"/>
      <c r="S466" s="15"/>
      <c r="T466" s="15"/>
      <c r="U466" s="15"/>
      <c r="V466" s="15"/>
      <c r="W466" s="15"/>
      <c r="X466" s="15"/>
      <c r="Y466" s="15"/>
      <c r="Z466" s="15"/>
      <c r="AA466" s="15"/>
      <c r="AB466" s="15"/>
      <c r="AC466" s="15"/>
      <c r="AD466" s="15"/>
      <c r="AE466" s="15"/>
      <c r="AF466" s="15"/>
      <c r="AG466" s="15"/>
      <c r="AH466" s="15"/>
    </row>
    <row r="467" ht="15.75" customHeight="1">
      <c r="A467" s="32" t="s">
        <v>5</v>
      </c>
      <c r="E467" s="32" t="s">
        <v>88</v>
      </c>
      <c r="F467" s="32" t="s">
        <v>795</v>
      </c>
      <c r="G467" s="172"/>
      <c r="H467" s="31"/>
      <c r="I467" s="9"/>
      <c r="J467" s="9"/>
      <c r="K467" s="9"/>
      <c r="L467" s="9"/>
      <c r="M467" s="15"/>
      <c r="N467" s="15"/>
      <c r="O467" s="15"/>
      <c r="P467" s="15"/>
      <c r="Q467" s="15"/>
      <c r="R467" s="15"/>
      <c r="S467" s="15"/>
      <c r="T467" s="15"/>
      <c r="U467" s="15"/>
      <c r="V467" s="15"/>
      <c r="W467" s="15"/>
      <c r="X467" s="15"/>
      <c r="Y467" s="15"/>
      <c r="Z467" s="15"/>
      <c r="AA467" s="15"/>
      <c r="AB467" s="15"/>
      <c r="AC467" s="15"/>
      <c r="AD467" s="15"/>
      <c r="AE467" s="15"/>
      <c r="AF467" s="15"/>
      <c r="AG467" s="15"/>
      <c r="AH467" s="15"/>
    </row>
    <row r="468" ht="15.75" customHeight="1">
      <c r="A468" s="28" t="s">
        <v>5</v>
      </c>
      <c r="B468" s="56" t="s">
        <v>1510</v>
      </c>
      <c r="C468" s="175" t="s">
        <v>1511</v>
      </c>
      <c r="D468" s="83" t="s">
        <v>20</v>
      </c>
      <c r="E468" s="65" t="s">
        <v>21</v>
      </c>
      <c r="F468" s="62" t="s">
        <v>51</v>
      </c>
      <c r="G468" s="166" t="s">
        <v>1512</v>
      </c>
      <c r="H468" s="31" t="s">
        <v>51</v>
      </c>
      <c r="I468" s="31"/>
      <c r="J468" s="31"/>
      <c r="K468" s="9"/>
      <c r="L468" s="9"/>
      <c r="M468" s="15"/>
      <c r="N468" s="15"/>
      <c r="O468" s="15"/>
      <c r="P468" s="15"/>
      <c r="Q468" s="15"/>
      <c r="R468" s="15"/>
      <c r="S468" s="15"/>
      <c r="T468" s="15"/>
      <c r="U468" s="15"/>
      <c r="V468" s="15"/>
      <c r="W468" s="15"/>
      <c r="X468" s="15"/>
      <c r="Y468" s="15"/>
      <c r="Z468" s="15"/>
      <c r="AA468" s="15"/>
      <c r="AB468" s="15"/>
      <c r="AC468" s="15"/>
      <c r="AD468" s="15"/>
      <c r="AE468" s="15"/>
      <c r="AF468" s="15"/>
      <c r="AG468" s="15"/>
      <c r="AH468" s="15"/>
    </row>
    <row r="469" ht="15.75" customHeight="1">
      <c r="A469" s="28" t="s">
        <v>5</v>
      </c>
      <c r="E469" s="65" t="s">
        <v>88</v>
      </c>
      <c r="F469" s="62" t="s">
        <v>473</v>
      </c>
      <c r="G469" s="166" t="s">
        <v>1513</v>
      </c>
      <c r="H469" s="31" t="s">
        <v>473</v>
      </c>
      <c r="I469" s="31"/>
      <c r="J469" s="31"/>
      <c r="K469" s="9"/>
      <c r="L469" s="9"/>
      <c r="M469" s="15"/>
      <c r="N469" s="15"/>
      <c r="O469" s="15"/>
      <c r="P469" s="15"/>
      <c r="Q469" s="15"/>
      <c r="R469" s="15"/>
      <c r="S469" s="15"/>
      <c r="T469" s="15"/>
      <c r="U469" s="15"/>
      <c r="V469" s="15"/>
      <c r="W469" s="15"/>
      <c r="X469" s="15"/>
      <c r="Y469" s="15"/>
      <c r="Z469" s="15"/>
      <c r="AA469" s="15"/>
      <c r="AB469" s="15"/>
      <c r="AC469" s="15"/>
      <c r="AD469" s="15"/>
      <c r="AE469" s="15"/>
      <c r="AF469" s="15"/>
      <c r="AG469" s="15"/>
      <c r="AH469" s="15"/>
    </row>
    <row r="470" ht="15.75" customHeight="1">
      <c r="A470" s="28" t="s">
        <v>5</v>
      </c>
      <c r="E470" s="65" t="s">
        <v>88</v>
      </c>
      <c r="F470" s="65" t="s">
        <v>95</v>
      </c>
      <c r="G470" s="166" t="s">
        <v>1514</v>
      </c>
      <c r="H470" s="31" t="s">
        <v>95</v>
      </c>
      <c r="I470" s="31"/>
      <c r="J470" s="31"/>
      <c r="K470" s="9"/>
      <c r="L470" s="9"/>
      <c r="M470" s="15"/>
      <c r="N470" s="15"/>
      <c r="O470" s="15"/>
      <c r="P470" s="15"/>
      <c r="Q470" s="15"/>
      <c r="R470" s="15"/>
      <c r="S470" s="15"/>
      <c r="T470" s="15"/>
      <c r="U470" s="15"/>
      <c r="V470" s="15"/>
      <c r="W470" s="15"/>
      <c r="X470" s="15"/>
      <c r="Y470" s="15"/>
      <c r="Z470" s="15"/>
      <c r="AA470" s="15"/>
      <c r="AB470" s="15"/>
      <c r="AC470" s="15"/>
      <c r="AD470" s="15"/>
      <c r="AE470" s="15"/>
      <c r="AF470" s="15"/>
      <c r="AG470" s="15"/>
      <c r="AH470" s="15"/>
    </row>
    <row r="471" ht="15.75" customHeight="1">
      <c r="A471" s="28" t="s">
        <v>5</v>
      </c>
      <c r="E471" s="65" t="s">
        <v>88</v>
      </c>
      <c r="F471" s="65" t="s">
        <v>491</v>
      </c>
      <c r="G471" s="28"/>
      <c r="H471" s="31"/>
      <c r="I471" s="31"/>
      <c r="J471" s="9"/>
      <c r="K471" s="9"/>
      <c r="L471" s="9"/>
      <c r="M471" s="15"/>
      <c r="N471" s="15"/>
      <c r="O471" s="15"/>
      <c r="P471" s="15"/>
      <c r="Q471" s="15"/>
      <c r="R471" s="15"/>
      <c r="S471" s="15"/>
      <c r="T471" s="15"/>
      <c r="U471" s="15"/>
      <c r="V471" s="15"/>
      <c r="W471" s="15"/>
      <c r="X471" s="15"/>
      <c r="Y471" s="15"/>
      <c r="Z471" s="15"/>
      <c r="AA471" s="15"/>
      <c r="AB471" s="15"/>
      <c r="AC471" s="15"/>
      <c r="AD471" s="15"/>
      <c r="AE471" s="15"/>
      <c r="AF471" s="15"/>
      <c r="AG471" s="15"/>
      <c r="AH471" s="15"/>
    </row>
    <row r="472" ht="15.75" customHeight="1">
      <c r="A472" s="28" t="s">
        <v>5</v>
      </c>
      <c r="E472" s="65" t="s">
        <v>88</v>
      </c>
      <c r="F472" s="65" t="s">
        <v>122</v>
      </c>
      <c r="G472" s="166" t="s">
        <v>1515</v>
      </c>
      <c r="H472" s="31" t="s">
        <v>122</v>
      </c>
      <c r="I472" s="31"/>
      <c r="J472" s="9"/>
      <c r="K472" s="9"/>
      <c r="L472" s="9"/>
      <c r="M472" s="15"/>
      <c r="N472" s="15"/>
      <c r="O472" s="15"/>
      <c r="P472" s="15"/>
      <c r="Q472" s="15"/>
      <c r="R472" s="15"/>
      <c r="S472" s="15"/>
      <c r="T472" s="15"/>
      <c r="U472" s="15"/>
      <c r="V472" s="15"/>
      <c r="W472" s="15"/>
      <c r="X472" s="15"/>
      <c r="Y472" s="15"/>
      <c r="Z472" s="15"/>
      <c r="AA472" s="15"/>
      <c r="AB472" s="15"/>
      <c r="AC472" s="15"/>
      <c r="AD472" s="15"/>
      <c r="AE472" s="15"/>
      <c r="AF472" s="15"/>
      <c r="AG472" s="15"/>
      <c r="AH472" s="15"/>
    </row>
    <row r="473" ht="15.75" customHeight="1">
      <c r="A473" s="28" t="s">
        <v>5</v>
      </c>
      <c r="E473" s="65" t="s">
        <v>88</v>
      </c>
      <c r="F473" s="65" t="s">
        <v>89</v>
      </c>
      <c r="G473" s="28"/>
      <c r="H473" s="31"/>
      <c r="I473" s="9"/>
      <c r="J473" s="9"/>
      <c r="K473" s="9"/>
      <c r="L473" s="9"/>
      <c r="M473" s="15"/>
      <c r="N473" s="15"/>
      <c r="O473" s="15"/>
      <c r="P473" s="15"/>
      <c r="Q473" s="15"/>
      <c r="R473" s="15"/>
      <c r="S473" s="15"/>
      <c r="T473" s="15"/>
      <c r="U473" s="15"/>
      <c r="V473" s="15"/>
      <c r="W473" s="15"/>
      <c r="X473" s="15"/>
      <c r="Y473" s="15"/>
      <c r="Z473" s="15"/>
      <c r="AA473" s="15"/>
      <c r="AB473" s="15"/>
      <c r="AC473" s="15"/>
      <c r="AD473" s="15"/>
      <c r="AE473" s="15"/>
      <c r="AF473" s="15"/>
      <c r="AG473" s="15"/>
      <c r="AH473" s="15"/>
    </row>
    <row r="474" ht="15.75" customHeight="1">
      <c r="A474" s="28" t="s">
        <v>5</v>
      </c>
      <c r="E474" s="65" t="s">
        <v>88</v>
      </c>
      <c r="F474" s="65" t="s">
        <v>795</v>
      </c>
      <c r="G474" s="28"/>
      <c r="H474" s="31"/>
      <c r="I474" s="9"/>
      <c r="J474" s="9"/>
      <c r="K474" s="9"/>
      <c r="L474" s="9"/>
      <c r="M474" s="15"/>
      <c r="N474" s="15"/>
      <c r="O474" s="15"/>
      <c r="P474" s="15"/>
      <c r="Q474" s="15"/>
      <c r="R474" s="15"/>
      <c r="S474" s="15"/>
      <c r="T474" s="15"/>
      <c r="U474" s="15"/>
      <c r="V474" s="15"/>
      <c r="W474" s="15"/>
      <c r="X474" s="15"/>
      <c r="Y474" s="15"/>
      <c r="Z474" s="15"/>
      <c r="AA474" s="15"/>
      <c r="AB474" s="15"/>
      <c r="AC474" s="15"/>
      <c r="AD474" s="15"/>
      <c r="AE474" s="15"/>
      <c r="AF474" s="15"/>
      <c r="AG474" s="15"/>
      <c r="AH474" s="15"/>
    </row>
    <row r="475" ht="16.5" customHeight="1">
      <c r="A475" s="32" t="s">
        <v>5</v>
      </c>
      <c r="B475" s="56" t="s">
        <v>1140</v>
      </c>
      <c r="C475" s="83" t="s">
        <v>5</v>
      </c>
      <c r="D475" s="83" t="s">
        <v>20</v>
      </c>
      <c r="E475" s="28" t="s">
        <v>89</v>
      </c>
      <c r="F475" s="38" t="s">
        <v>291</v>
      </c>
      <c r="G475" s="69"/>
      <c r="H475" s="31"/>
      <c r="I475" s="31"/>
      <c r="J475" s="31"/>
      <c r="K475" s="9"/>
      <c r="L475" s="9"/>
      <c r="M475" s="15"/>
      <c r="N475" s="15"/>
      <c r="O475" s="15"/>
      <c r="P475" s="15"/>
      <c r="Q475" s="15"/>
      <c r="R475" s="15"/>
      <c r="S475" s="15"/>
      <c r="T475" s="15"/>
      <c r="U475" s="15"/>
      <c r="V475" s="15"/>
      <c r="W475" s="15"/>
      <c r="X475" s="15"/>
      <c r="Y475" s="15"/>
      <c r="Z475" s="15"/>
      <c r="AA475" s="15"/>
      <c r="AB475" s="15"/>
      <c r="AC475" s="15"/>
      <c r="AD475" s="15"/>
      <c r="AE475" s="15"/>
      <c r="AF475" s="15"/>
      <c r="AG475" s="15"/>
      <c r="AH475" s="15"/>
    </row>
    <row r="476" ht="15.75" customHeight="1">
      <c r="A476" s="28" t="s">
        <v>5</v>
      </c>
      <c r="B476" s="56" t="s">
        <v>1516</v>
      </c>
      <c r="C476" s="175" t="s">
        <v>1517</v>
      </c>
      <c r="D476" s="83" t="s">
        <v>20</v>
      </c>
      <c r="E476" s="65" t="s">
        <v>21</v>
      </c>
      <c r="F476" s="65" t="s">
        <v>51</v>
      </c>
      <c r="G476" s="166" t="s">
        <v>1518</v>
      </c>
      <c r="H476" s="31" t="s">
        <v>51</v>
      </c>
      <c r="I476" s="31"/>
      <c r="J476" s="31"/>
      <c r="K476" s="31"/>
      <c r="L476" s="9"/>
      <c r="M476" s="15"/>
      <c r="N476" s="15"/>
      <c r="O476" s="15"/>
      <c r="P476" s="15"/>
      <c r="Q476" s="15"/>
      <c r="R476" s="15"/>
      <c r="S476" s="15"/>
      <c r="T476" s="15"/>
      <c r="U476" s="15"/>
      <c r="V476" s="15"/>
      <c r="W476" s="15"/>
      <c r="X476" s="15"/>
      <c r="Y476" s="15"/>
      <c r="Z476" s="15"/>
      <c r="AA476" s="15"/>
      <c r="AB476" s="15"/>
      <c r="AC476" s="15"/>
      <c r="AD476" s="15"/>
      <c r="AE476" s="15"/>
      <c r="AF476" s="15"/>
      <c r="AG476" s="15"/>
      <c r="AH476" s="15"/>
    </row>
    <row r="477" ht="15.75" customHeight="1">
      <c r="A477" s="28" t="s">
        <v>5</v>
      </c>
      <c r="E477" s="65" t="s">
        <v>88</v>
      </c>
      <c r="F477" s="65" t="s">
        <v>473</v>
      </c>
      <c r="G477" s="166" t="s">
        <v>1519</v>
      </c>
      <c r="H477" s="31" t="s">
        <v>473</v>
      </c>
      <c r="I477" s="31"/>
      <c r="J477" s="31"/>
      <c r="K477" s="31"/>
      <c r="L477" s="9"/>
      <c r="M477" s="15"/>
      <c r="N477" s="15"/>
      <c r="O477" s="15"/>
      <c r="P477" s="15"/>
      <c r="Q477" s="15"/>
      <c r="R477" s="15"/>
      <c r="S477" s="15"/>
      <c r="T477" s="15"/>
      <c r="U477" s="15"/>
      <c r="V477" s="15"/>
      <c r="W477" s="15"/>
      <c r="X477" s="15"/>
      <c r="Y477" s="15"/>
      <c r="Z477" s="15"/>
      <c r="AA477" s="15"/>
      <c r="AB477" s="15"/>
      <c r="AC477" s="15"/>
      <c r="AD477" s="15"/>
      <c r="AE477" s="15"/>
      <c r="AF477" s="15"/>
      <c r="AG477" s="15"/>
      <c r="AH477" s="15"/>
    </row>
    <row r="478" ht="15.75" customHeight="1">
      <c r="A478" s="28" t="s">
        <v>5</v>
      </c>
      <c r="E478" s="65" t="s">
        <v>88</v>
      </c>
      <c r="F478" s="65" t="s">
        <v>491</v>
      </c>
      <c r="G478" s="28"/>
      <c r="H478" s="31"/>
      <c r="I478" s="31"/>
      <c r="J478" s="9"/>
      <c r="K478" s="9"/>
      <c r="L478" s="9"/>
      <c r="M478" s="15"/>
      <c r="N478" s="15"/>
      <c r="O478" s="15"/>
      <c r="P478" s="15"/>
      <c r="Q478" s="15"/>
      <c r="R478" s="15"/>
      <c r="S478" s="15"/>
      <c r="T478" s="15"/>
      <c r="U478" s="15"/>
      <c r="V478" s="15"/>
      <c r="W478" s="15"/>
      <c r="X478" s="15"/>
      <c r="Y478" s="15"/>
      <c r="Z478" s="15"/>
      <c r="AA478" s="15"/>
      <c r="AB478" s="15"/>
      <c r="AC478" s="15"/>
      <c r="AD478" s="15"/>
      <c r="AE478" s="15"/>
      <c r="AF478" s="15"/>
      <c r="AG478" s="15"/>
      <c r="AH478" s="15"/>
    </row>
    <row r="479" ht="15.75" customHeight="1">
      <c r="A479" s="28" t="s">
        <v>5</v>
      </c>
      <c r="E479" s="65" t="s">
        <v>88</v>
      </c>
      <c r="F479" s="65" t="s">
        <v>95</v>
      </c>
      <c r="G479" s="166" t="s">
        <v>1520</v>
      </c>
      <c r="H479" s="31" t="s">
        <v>95</v>
      </c>
      <c r="I479" s="31"/>
      <c r="J479" s="9"/>
      <c r="K479" s="9"/>
      <c r="L479" s="9"/>
      <c r="M479" s="15"/>
      <c r="N479" s="15"/>
      <c r="O479" s="15"/>
      <c r="P479" s="15"/>
      <c r="Q479" s="15"/>
      <c r="R479" s="15"/>
      <c r="S479" s="15"/>
      <c r="T479" s="15"/>
      <c r="U479" s="15"/>
      <c r="V479" s="15"/>
      <c r="W479" s="15"/>
      <c r="X479" s="15"/>
      <c r="Y479" s="15"/>
      <c r="Z479" s="15"/>
      <c r="AA479" s="15"/>
      <c r="AB479" s="15"/>
      <c r="AC479" s="15"/>
      <c r="AD479" s="15"/>
      <c r="AE479" s="15"/>
      <c r="AF479" s="15"/>
      <c r="AG479" s="15"/>
      <c r="AH479" s="15"/>
    </row>
    <row r="480" ht="15.75" customHeight="1">
      <c r="A480" s="28" t="s">
        <v>5</v>
      </c>
      <c r="E480" s="65" t="s">
        <v>88</v>
      </c>
      <c r="F480" s="65" t="s">
        <v>122</v>
      </c>
      <c r="G480" s="166" t="s">
        <v>1521</v>
      </c>
      <c r="H480" s="31" t="s">
        <v>122</v>
      </c>
      <c r="I480" s="31"/>
      <c r="J480" s="9"/>
      <c r="K480" s="9"/>
      <c r="L480" s="9"/>
      <c r="M480" s="15"/>
      <c r="N480" s="15"/>
      <c r="O480" s="15"/>
      <c r="P480" s="15"/>
      <c r="Q480" s="15"/>
      <c r="R480" s="15"/>
      <c r="S480" s="15"/>
      <c r="T480" s="15"/>
      <c r="U480" s="15"/>
      <c r="V480" s="15"/>
      <c r="W480" s="15"/>
      <c r="X480" s="15"/>
      <c r="Y480" s="15"/>
      <c r="Z480" s="15"/>
      <c r="AA480" s="15"/>
      <c r="AB480" s="15"/>
      <c r="AC480" s="15"/>
      <c r="AD480" s="15"/>
      <c r="AE480" s="15"/>
      <c r="AF480" s="15"/>
      <c r="AG480" s="15"/>
      <c r="AH480" s="15"/>
    </row>
    <row r="481" ht="15.75" customHeight="1">
      <c r="A481" s="28" t="s">
        <v>5</v>
      </c>
      <c r="E481" s="65" t="s">
        <v>88</v>
      </c>
      <c r="F481" s="65" t="s">
        <v>89</v>
      </c>
      <c r="G481" s="28"/>
      <c r="H481" s="31"/>
      <c r="I481" s="31"/>
      <c r="J481" s="9"/>
      <c r="K481" s="9"/>
      <c r="L481" s="9"/>
      <c r="M481" s="15"/>
      <c r="N481" s="15"/>
      <c r="O481" s="15"/>
      <c r="P481" s="15"/>
      <c r="Q481" s="15"/>
      <c r="R481" s="15"/>
      <c r="S481" s="15"/>
      <c r="T481" s="15"/>
      <c r="U481" s="15"/>
      <c r="V481" s="15"/>
      <c r="W481" s="15"/>
      <c r="X481" s="15"/>
      <c r="Y481" s="15"/>
      <c r="Z481" s="15"/>
      <c r="AA481" s="15"/>
      <c r="AB481" s="15"/>
      <c r="AC481" s="15"/>
      <c r="AD481" s="15"/>
      <c r="AE481" s="15"/>
      <c r="AF481" s="15"/>
      <c r="AG481" s="15"/>
      <c r="AH481" s="15"/>
    </row>
    <row r="482" ht="15.75" customHeight="1">
      <c r="A482" s="28" t="s">
        <v>5</v>
      </c>
      <c r="E482" s="65" t="s">
        <v>88</v>
      </c>
      <c r="F482" s="65" t="s">
        <v>795</v>
      </c>
      <c r="G482" s="28"/>
      <c r="H482" s="31"/>
      <c r="I482" s="31"/>
      <c r="J482" s="9"/>
      <c r="K482" s="9"/>
      <c r="L482" s="9"/>
      <c r="M482" s="15"/>
      <c r="N482" s="15"/>
      <c r="O482" s="15"/>
      <c r="P482" s="15"/>
      <c r="Q482" s="15"/>
      <c r="R482" s="15"/>
      <c r="S482" s="15"/>
      <c r="T482" s="15"/>
      <c r="U482" s="15"/>
      <c r="V482" s="15"/>
      <c r="W482" s="15"/>
      <c r="X482" s="15"/>
      <c r="Y482" s="15"/>
      <c r="Z482" s="15"/>
      <c r="AA482" s="15"/>
      <c r="AB482" s="15"/>
      <c r="AC482" s="15"/>
      <c r="AD482" s="15"/>
      <c r="AE482" s="15"/>
      <c r="AF482" s="15"/>
      <c r="AG482" s="15"/>
      <c r="AH482" s="15"/>
    </row>
    <row r="483" ht="15.75" customHeight="1">
      <c r="A483" s="28" t="s">
        <v>5</v>
      </c>
      <c r="B483" s="56" t="s">
        <v>1522</v>
      </c>
      <c r="C483" s="188" t="s">
        <v>1523</v>
      </c>
      <c r="D483" s="83" t="s">
        <v>20</v>
      </c>
      <c r="E483" s="65" t="s">
        <v>21</v>
      </c>
      <c r="F483" s="65" t="s">
        <v>51</v>
      </c>
      <c r="G483" s="166" t="s">
        <v>1524</v>
      </c>
      <c r="H483" s="31" t="s">
        <v>51</v>
      </c>
      <c r="I483" s="9"/>
      <c r="J483" s="9"/>
      <c r="K483" s="9"/>
      <c r="L483" s="9"/>
      <c r="M483" s="15"/>
      <c r="N483" s="15"/>
      <c r="O483" s="15"/>
      <c r="P483" s="15"/>
      <c r="Q483" s="15"/>
      <c r="R483" s="15"/>
      <c r="S483" s="15"/>
      <c r="T483" s="15"/>
      <c r="U483" s="15"/>
      <c r="V483" s="15"/>
      <c r="W483" s="15"/>
      <c r="X483" s="15"/>
      <c r="Y483" s="15"/>
      <c r="Z483" s="15"/>
      <c r="AA483" s="15"/>
      <c r="AB483" s="15"/>
      <c r="AC483" s="15"/>
      <c r="AD483" s="15"/>
      <c r="AE483" s="15"/>
      <c r="AF483" s="15"/>
      <c r="AG483" s="15"/>
      <c r="AH483" s="15"/>
    </row>
    <row r="484" ht="15.75" customHeight="1">
      <c r="A484" s="28" t="s">
        <v>5</v>
      </c>
      <c r="E484" s="65" t="s">
        <v>88</v>
      </c>
      <c r="F484" s="65" t="s">
        <v>494</v>
      </c>
      <c r="G484" s="170" t="s">
        <v>1525</v>
      </c>
      <c r="H484" s="31" t="s">
        <v>494</v>
      </c>
      <c r="I484" s="31"/>
      <c r="J484" s="31"/>
      <c r="K484" s="9"/>
      <c r="L484" s="9"/>
      <c r="M484" s="15"/>
      <c r="N484" s="15"/>
      <c r="O484" s="15"/>
      <c r="P484" s="15"/>
      <c r="Q484" s="15"/>
      <c r="R484" s="15"/>
      <c r="S484" s="15"/>
      <c r="T484" s="15"/>
      <c r="U484" s="15"/>
      <c r="V484" s="15"/>
      <c r="W484" s="15"/>
      <c r="X484" s="15"/>
      <c r="Y484" s="15"/>
      <c r="Z484" s="15"/>
      <c r="AA484" s="15"/>
      <c r="AB484" s="15"/>
      <c r="AC484" s="15"/>
      <c r="AD484" s="15"/>
      <c r="AE484" s="15"/>
      <c r="AF484" s="15"/>
      <c r="AG484" s="15"/>
      <c r="AH484" s="15"/>
    </row>
    <row r="485" ht="15.75" customHeight="1">
      <c r="A485" s="28" t="s">
        <v>5</v>
      </c>
      <c r="E485" s="65" t="s">
        <v>88</v>
      </c>
      <c r="F485" s="65" t="s">
        <v>89</v>
      </c>
      <c r="G485" s="189"/>
      <c r="H485" s="31"/>
      <c r="I485" s="31"/>
      <c r="J485" s="31"/>
      <c r="K485" s="9"/>
      <c r="L485" s="9"/>
      <c r="M485" s="15"/>
      <c r="N485" s="15"/>
      <c r="O485" s="15"/>
      <c r="P485" s="15"/>
      <c r="Q485" s="15"/>
      <c r="R485" s="15"/>
      <c r="S485" s="15"/>
      <c r="T485" s="15"/>
      <c r="U485" s="15"/>
      <c r="V485" s="15"/>
      <c r="W485" s="15"/>
      <c r="X485" s="15"/>
      <c r="Y485" s="15"/>
      <c r="Z485" s="15"/>
      <c r="AA485" s="15"/>
      <c r="AB485" s="15"/>
      <c r="AC485" s="15"/>
      <c r="AD485" s="15"/>
      <c r="AE485" s="15"/>
      <c r="AF485" s="15"/>
      <c r="AG485" s="15"/>
      <c r="AH485" s="15"/>
    </row>
    <row r="486" ht="15.75" customHeight="1">
      <c r="A486" s="28" t="s">
        <v>5</v>
      </c>
      <c r="E486" s="65" t="s">
        <v>88</v>
      </c>
      <c r="F486" s="65" t="s">
        <v>795</v>
      </c>
      <c r="G486" s="189"/>
      <c r="H486" s="31"/>
      <c r="I486" s="31"/>
      <c r="J486" s="31"/>
      <c r="K486" s="9"/>
      <c r="L486" s="9"/>
      <c r="M486" s="15"/>
      <c r="N486" s="15"/>
      <c r="O486" s="15"/>
      <c r="P486" s="15"/>
      <c r="Q486" s="15"/>
      <c r="R486" s="15"/>
      <c r="S486" s="15"/>
      <c r="T486" s="15"/>
      <c r="U486" s="15"/>
      <c r="V486" s="15"/>
      <c r="W486" s="15"/>
      <c r="X486" s="15"/>
      <c r="Y486" s="15"/>
      <c r="Z486" s="15"/>
      <c r="AA486" s="15"/>
      <c r="AB486" s="15"/>
      <c r="AC486" s="15"/>
      <c r="AD486" s="15"/>
      <c r="AE486" s="15"/>
      <c r="AF486" s="15"/>
      <c r="AG486" s="15"/>
      <c r="AH486" s="15"/>
    </row>
    <row r="487" ht="15.75" customHeight="1">
      <c r="A487" s="28" t="s">
        <v>5</v>
      </c>
      <c r="B487" s="56" t="s">
        <v>1526</v>
      </c>
      <c r="C487" s="175" t="s">
        <v>1527</v>
      </c>
      <c r="D487" s="83" t="s">
        <v>20</v>
      </c>
      <c r="E487" s="65" t="s">
        <v>21</v>
      </c>
      <c r="F487" s="65" t="s">
        <v>51</v>
      </c>
      <c r="G487" s="166" t="s">
        <v>1528</v>
      </c>
      <c r="H487" s="31" t="s">
        <v>51</v>
      </c>
      <c r="I487" s="31"/>
      <c r="J487" s="9"/>
      <c r="K487" s="9"/>
      <c r="L487" s="9"/>
      <c r="M487" s="15"/>
      <c r="N487" s="15"/>
      <c r="O487" s="15"/>
      <c r="P487" s="15"/>
      <c r="Q487" s="15"/>
      <c r="R487" s="15"/>
      <c r="S487" s="15"/>
      <c r="T487" s="15"/>
      <c r="U487" s="15"/>
      <c r="V487" s="15"/>
      <c r="W487" s="15"/>
      <c r="X487" s="15"/>
      <c r="Y487" s="15"/>
      <c r="Z487" s="15"/>
      <c r="AA487" s="15"/>
      <c r="AB487" s="15"/>
      <c r="AC487" s="15"/>
      <c r="AD487" s="15"/>
      <c r="AE487" s="15"/>
      <c r="AF487" s="15"/>
      <c r="AG487" s="15"/>
      <c r="AH487" s="15"/>
    </row>
    <row r="488" ht="15.75" customHeight="1">
      <c r="A488" s="28" t="s">
        <v>5</v>
      </c>
      <c r="E488" s="65" t="s">
        <v>88</v>
      </c>
      <c r="F488" s="65" t="s">
        <v>95</v>
      </c>
      <c r="G488" s="166" t="s">
        <v>1529</v>
      </c>
      <c r="H488" s="31" t="s">
        <v>95</v>
      </c>
      <c r="I488" s="31"/>
      <c r="J488" s="9"/>
      <c r="K488" s="9"/>
      <c r="L488" s="9"/>
      <c r="M488" s="15"/>
      <c r="N488" s="15"/>
      <c r="O488" s="15"/>
      <c r="P488" s="15"/>
      <c r="Q488" s="15"/>
      <c r="R488" s="15"/>
      <c r="S488" s="15"/>
      <c r="T488" s="15"/>
      <c r="U488" s="15"/>
      <c r="V488" s="15"/>
      <c r="W488" s="15"/>
      <c r="X488" s="15"/>
      <c r="Y488" s="15"/>
      <c r="Z488" s="15"/>
      <c r="AA488" s="15"/>
      <c r="AB488" s="15"/>
      <c r="AC488" s="15"/>
      <c r="AD488" s="15"/>
      <c r="AE488" s="15"/>
      <c r="AF488" s="15"/>
      <c r="AG488" s="15"/>
      <c r="AH488" s="15"/>
    </row>
    <row r="489" ht="15.75" customHeight="1">
      <c r="A489" s="28" t="s">
        <v>5</v>
      </c>
      <c r="E489" s="65" t="s">
        <v>88</v>
      </c>
      <c r="F489" s="65" t="s">
        <v>122</v>
      </c>
      <c r="G489" s="166" t="s">
        <v>1530</v>
      </c>
      <c r="H489" s="31" t="s">
        <v>1531</v>
      </c>
      <c r="I489" s="31"/>
      <c r="J489" s="9"/>
      <c r="K489" s="9"/>
      <c r="L489" s="9"/>
      <c r="M489" s="15"/>
      <c r="N489" s="15"/>
      <c r="O489" s="15"/>
      <c r="P489" s="15"/>
      <c r="Q489" s="15"/>
      <c r="R489" s="15"/>
      <c r="S489" s="15"/>
      <c r="T489" s="15"/>
      <c r="U489" s="15"/>
      <c r="V489" s="15"/>
      <c r="W489" s="15"/>
      <c r="X489" s="15"/>
      <c r="Y489" s="15"/>
      <c r="Z489" s="15"/>
      <c r="AA489" s="15"/>
      <c r="AB489" s="15"/>
      <c r="AC489" s="15"/>
      <c r="AD489" s="15"/>
      <c r="AE489" s="15"/>
      <c r="AF489" s="15"/>
      <c r="AG489" s="15"/>
      <c r="AH489" s="15"/>
    </row>
    <row r="490" ht="15.75" customHeight="1">
      <c r="A490" s="28" t="s">
        <v>5</v>
      </c>
      <c r="E490" s="65" t="s">
        <v>88</v>
      </c>
      <c r="F490" s="65" t="s">
        <v>120</v>
      </c>
      <c r="G490" s="166" t="s">
        <v>1532</v>
      </c>
      <c r="H490" s="31" t="s">
        <v>120</v>
      </c>
      <c r="I490" s="31"/>
      <c r="J490" s="9"/>
      <c r="K490" s="9"/>
      <c r="L490" s="9"/>
      <c r="M490" s="15"/>
      <c r="N490" s="15"/>
      <c r="O490" s="15"/>
      <c r="P490" s="15"/>
      <c r="Q490" s="15"/>
      <c r="R490" s="15"/>
      <c r="S490" s="15"/>
      <c r="T490" s="15"/>
      <c r="U490" s="15"/>
      <c r="V490" s="15"/>
      <c r="W490" s="15"/>
      <c r="X490" s="15"/>
      <c r="Y490" s="15"/>
      <c r="Z490" s="15"/>
      <c r="AA490" s="15"/>
      <c r="AB490" s="15"/>
      <c r="AC490" s="15"/>
      <c r="AD490" s="15"/>
      <c r="AE490" s="15"/>
      <c r="AF490" s="15"/>
      <c r="AG490" s="15"/>
      <c r="AH490" s="15"/>
    </row>
    <row r="491" ht="15.75" customHeight="1">
      <c r="A491" s="28" t="s">
        <v>5</v>
      </c>
      <c r="E491" s="65" t="s">
        <v>88</v>
      </c>
      <c r="F491" s="65" t="s">
        <v>460</v>
      </c>
      <c r="G491" s="166" t="s">
        <v>1533</v>
      </c>
      <c r="H491" s="31" t="s">
        <v>460</v>
      </c>
      <c r="I491" s="9"/>
      <c r="J491" s="9"/>
      <c r="K491" s="9"/>
      <c r="L491" s="9"/>
      <c r="M491" s="15"/>
      <c r="N491" s="15"/>
      <c r="O491" s="15"/>
      <c r="P491" s="15"/>
      <c r="Q491" s="15"/>
      <c r="R491" s="15"/>
      <c r="S491" s="15"/>
      <c r="T491" s="15"/>
      <c r="U491" s="15"/>
      <c r="V491" s="15"/>
      <c r="W491" s="15"/>
      <c r="X491" s="15"/>
      <c r="Y491" s="15"/>
      <c r="Z491" s="15"/>
      <c r="AA491" s="15"/>
      <c r="AB491" s="15"/>
      <c r="AC491" s="15"/>
      <c r="AD491" s="15"/>
      <c r="AE491" s="15"/>
      <c r="AF491" s="15"/>
      <c r="AG491" s="15"/>
      <c r="AH491" s="15"/>
    </row>
    <row r="492" ht="15.75" customHeight="1">
      <c r="A492" s="28" t="s">
        <v>5</v>
      </c>
      <c r="E492" s="65" t="s">
        <v>88</v>
      </c>
      <c r="F492" s="65" t="s">
        <v>122</v>
      </c>
      <c r="G492" s="166" t="s">
        <v>1534</v>
      </c>
      <c r="H492" s="31" t="s">
        <v>122</v>
      </c>
      <c r="I492" s="31"/>
      <c r="J492" s="31"/>
      <c r="K492" s="31"/>
      <c r="L492" s="9"/>
      <c r="M492" s="15"/>
      <c r="N492" s="15"/>
      <c r="O492" s="15"/>
      <c r="P492" s="15"/>
      <c r="Q492" s="15"/>
      <c r="R492" s="15"/>
      <c r="S492" s="15"/>
      <c r="T492" s="15"/>
      <c r="U492" s="15"/>
      <c r="V492" s="15"/>
      <c r="W492" s="15"/>
      <c r="X492" s="15"/>
      <c r="Y492" s="15"/>
      <c r="Z492" s="15"/>
      <c r="AA492" s="15"/>
      <c r="AB492" s="15"/>
      <c r="AC492" s="15"/>
      <c r="AD492" s="15"/>
      <c r="AE492" s="15"/>
      <c r="AF492" s="15"/>
      <c r="AG492" s="15"/>
      <c r="AH492" s="15"/>
    </row>
    <row r="493" ht="15.75" customHeight="1">
      <c r="A493" s="28" t="s">
        <v>5</v>
      </c>
      <c r="E493" s="65" t="s">
        <v>104</v>
      </c>
      <c r="F493" s="65" t="s">
        <v>250</v>
      </c>
      <c r="G493" s="166" t="s">
        <v>1535</v>
      </c>
      <c r="H493" s="31" t="s">
        <v>250</v>
      </c>
      <c r="I493" s="31"/>
      <c r="J493" s="31"/>
      <c r="K493" s="31"/>
      <c r="L493" s="9"/>
      <c r="M493" s="15"/>
      <c r="N493" s="15"/>
      <c r="O493" s="15"/>
      <c r="P493" s="15"/>
      <c r="Q493" s="15"/>
      <c r="R493" s="15"/>
      <c r="S493" s="15"/>
      <c r="T493" s="15"/>
      <c r="U493" s="15"/>
      <c r="V493" s="15"/>
      <c r="W493" s="15"/>
      <c r="X493" s="15"/>
      <c r="Y493" s="15"/>
      <c r="Z493" s="15"/>
      <c r="AA493" s="15"/>
      <c r="AB493" s="15"/>
      <c r="AC493" s="15"/>
      <c r="AD493" s="15"/>
      <c r="AE493" s="15"/>
      <c r="AF493" s="15"/>
      <c r="AG493" s="15"/>
      <c r="AH493" s="15"/>
    </row>
    <row r="494" ht="15.75" customHeight="1">
      <c r="A494" s="28" t="s">
        <v>5</v>
      </c>
      <c r="E494" s="65" t="s">
        <v>88</v>
      </c>
      <c r="F494" s="65" t="s">
        <v>89</v>
      </c>
      <c r="G494" s="28"/>
      <c r="H494" s="31"/>
      <c r="I494" s="31"/>
      <c r="J494" s="31"/>
      <c r="K494" s="31"/>
      <c r="L494" s="9"/>
      <c r="M494" s="15"/>
      <c r="N494" s="15"/>
      <c r="O494" s="15"/>
      <c r="P494" s="15"/>
      <c r="Q494" s="15"/>
      <c r="R494" s="15"/>
      <c r="S494" s="15"/>
      <c r="T494" s="15"/>
      <c r="U494" s="15"/>
      <c r="V494" s="15"/>
      <c r="W494" s="15"/>
      <c r="X494" s="15"/>
      <c r="Y494" s="15"/>
      <c r="Z494" s="15"/>
      <c r="AA494" s="15"/>
      <c r="AB494" s="15"/>
      <c r="AC494" s="15"/>
      <c r="AD494" s="15"/>
      <c r="AE494" s="15"/>
      <c r="AF494" s="15"/>
      <c r="AG494" s="15"/>
      <c r="AH494" s="15"/>
    </row>
    <row r="495" ht="15.75" customHeight="1">
      <c r="A495" s="28" t="s">
        <v>5</v>
      </c>
      <c r="E495" s="65" t="s">
        <v>88</v>
      </c>
      <c r="F495" s="65" t="s">
        <v>795</v>
      </c>
      <c r="G495" s="28"/>
      <c r="H495" s="31"/>
      <c r="I495" s="31"/>
      <c r="J495" s="31"/>
      <c r="K495" s="31"/>
      <c r="L495" s="9"/>
      <c r="M495" s="15"/>
      <c r="N495" s="15"/>
      <c r="O495" s="15"/>
      <c r="P495" s="15"/>
      <c r="Q495" s="15"/>
      <c r="R495" s="15"/>
      <c r="S495" s="15"/>
      <c r="T495" s="15"/>
      <c r="U495" s="15"/>
      <c r="V495" s="15"/>
      <c r="W495" s="15"/>
      <c r="X495" s="15"/>
      <c r="Y495" s="15"/>
      <c r="Z495" s="15"/>
      <c r="AA495" s="15"/>
      <c r="AB495" s="15"/>
      <c r="AC495" s="15"/>
      <c r="AD495" s="15"/>
      <c r="AE495" s="15"/>
      <c r="AF495" s="15"/>
      <c r="AG495" s="15"/>
      <c r="AH495" s="15"/>
    </row>
    <row r="496" ht="15.75" customHeight="1">
      <c r="A496" s="28" t="s">
        <v>5</v>
      </c>
      <c r="B496" s="56" t="s">
        <v>1536</v>
      </c>
      <c r="C496" s="175" t="s">
        <v>1537</v>
      </c>
      <c r="D496" s="83" t="s">
        <v>20</v>
      </c>
      <c r="E496" s="65" t="s">
        <v>21</v>
      </c>
      <c r="F496" s="65" t="s">
        <v>51</v>
      </c>
      <c r="G496" s="166" t="s">
        <v>1538</v>
      </c>
      <c r="H496" s="31" t="s">
        <v>51</v>
      </c>
      <c r="I496" s="9"/>
      <c r="J496" s="9"/>
      <c r="K496" s="9"/>
      <c r="L496" s="9"/>
      <c r="M496" s="15"/>
      <c r="N496" s="15"/>
      <c r="O496" s="15"/>
      <c r="P496" s="15"/>
      <c r="Q496" s="15"/>
      <c r="R496" s="15"/>
      <c r="S496" s="15"/>
      <c r="T496" s="15"/>
      <c r="U496" s="15"/>
      <c r="V496" s="15"/>
      <c r="W496" s="15"/>
      <c r="X496" s="15"/>
      <c r="Y496" s="15"/>
      <c r="Z496" s="15"/>
      <c r="AA496" s="15"/>
      <c r="AB496" s="15"/>
      <c r="AC496" s="15"/>
      <c r="AD496" s="15"/>
      <c r="AE496" s="15"/>
      <c r="AF496" s="15"/>
      <c r="AG496" s="15"/>
      <c r="AH496" s="15"/>
    </row>
    <row r="497" ht="15.75" customHeight="1">
      <c r="A497" s="28" t="s">
        <v>5</v>
      </c>
      <c r="E497" s="65" t="s">
        <v>88</v>
      </c>
      <c r="F497" s="65" t="s">
        <v>95</v>
      </c>
      <c r="G497" s="166" t="s">
        <v>1539</v>
      </c>
      <c r="H497" s="31" t="s">
        <v>95</v>
      </c>
      <c r="I497" s="9"/>
      <c r="J497" s="9"/>
      <c r="K497" s="9"/>
      <c r="L497" s="9"/>
      <c r="M497" s="15"/>
      <c r="N497" s="15"/>
      <c r="O497" s="15"/>
      <c r="P497" s="15"/>
      <c r="Q497" s="15"/>
      <c r="R497" s="15"/>
      <c r="S497" s="15"/>
      <c r="T497" s="15"/>
      <c r="U497" s="15"/>
      <c r="V497" s="15"/>
      <c r="W497" s="15"/>
      <c r="X497" s="15"/>
      <c r="Y497" s="15"/>
      <c r="Z497" s="15"/>
      <c r="AA497" s="15"/>
      <c r="AB497" s="15"/>
      <c r="AC497" s="15"/>
      <c r="AD497" s="15"/>
      <c r="AE497" s="15"/>
      <c r="AF497" s="15"/>
      <c r="AG497" s="15"/>
      <c r="AH497" s="15"/>
    </row>
    <row r="498" ht="15.75" customHeight="1">
      <c r="A498" s="28" t="s">
        <v>5</v>
      </c>
      <c r="E498" s="65" t="s">
        <v>88</v>
      </c>
      <c r="F498" s="65" t="s">
        <v>96</v>
      </c>
      <c r="G498" s="166" t="s">
        <v>1540</v>
      </c>
      <c r="H498" s="31" t="s">
        <v>177</v>
      </c>
      <c r="I498" s="9"/>
      <c r="J498" s="9"/>
      <c r="K498" s="9"/>
      <c r="L498" s="9"/>
      <c r="M498" s="15"/>
      <c r="N498" s="15"/>
      <c r="O498" s="15"/>
      <c r="P498" s="15"/>
      <c r="Q498" s="15"/>
      <c r="R498" s="15"/>
      <c r="S498" s="15"/>
      <c r="T498" s="15"/>
      <c r="U498" s="15"/>
      <c r="V498" s="15"/>
      <c r="W498" s="15"/>
      <c r="X498" s="15"/>
      <c r="Y498" s="15"/>
      <c r="Z498" s="15"/>
      <c r="AA498" s="15"/>
      <c r="AB498" s="15"/>
      <c r="AC498" s="15"/>
      <c r="AD498" s="15"/>
      <c r="AE498" s="15"/>
      <c r="AF498" s="15"/>
      <c r="AG498" s="15"/>
      <c r="AH498" s="15"/>
    </row>
    <row r="499" ht="15.75" customHeight="1">
      <c r="A499" s="28" t="s">
        <v>5</v>
      </c>
      <c r="E499" s="65" t="s">
        <v>88</v>
      </c>
      <c r="F499" s="65" t="s">
        <v>125</v>
      </c>
      <c r="G499" s="166" t="s">
        <v>1541</v>
      </c>
      <c r="H499" s="31" t="s">
        <v>125</v>
      </c>
      <c r="I499" s="9"/>
      <c r="J499" s="9"/>
      <c r="K499" s="9"/>
      <c r="L499" s="9"/>
      <c r="M499" s="15"/>
      <c r="N499" s="15"/>
      <c r="O499" s="15"/>
      <c r="P499" s="15"/>
      <c r="Q499" s="15"/>
      <c r="R499" s="15"/>
      <c r="S499" s="15"/>
      <c r="T499" s="15"/>
      <c r="U499" s="15"/>
      <c r="V499" s="15"/>
      <c r="W499" s="15"/>
      <c r="X499" s="15"/>
      <c r="Y499" s="15"/>
      <c r="Z499" s="15"/>
      <c r="AA499" s="15"/>
      <c r="AB499" s="15"/>
      <c r="AC499" s="15"/>
      <c r="AD499" s="15"/>
      <c r="AE499" s="15"/>
      <c r="AF499" s="15"/>
      <c r="AG499" s="15"/>
      <c r="AH499" s="15"/>
    </row>
    <row r="500" ht="15.75" customHeight="1">
      <c r="A500" s="28" t="s">
        <v>5</v>
      </c>
      <c r="E500" s="65" t="s">
        <v>88</v>
      </c>
      <c r="F500" s="65" t="s">
        <v>675</v>
      </c>
      <c r="G500" s="166" t="s">
        <v>1542</v>
      </c>
      <c r="H500" s="31" t="s">
        <v>675</v>
      </c>
      <c r="I500" s="9"/>
      <c r="J500" s="9"/>
      <c r="K500" s="9"/>
      <c r="L500" s="9"/>
      <c r="M500" s="15"/>
      <c r="N500" s="15"/>
      <c r="O500" s="15"/>
      <c r="P500" s="15"/>
      <c r="Q500" s="15"/>
      <c r="R500" s="15"/>
      <c r="S500" s="15"/>
      <c r="T500" s="15"/>
      <c r="U500" s="15"/>
      <c r="V500" s="15"/>
      <c r="W500" s="15"/>
      <c r="X500" s="15"/>
      <c r="Y500" s="15"/>
      <c r="Z500" s="15"/>
      <c r="AA500" s="15"/>
      <c r="AB500" s="15"/>
      <c r="AC500" s="15"/>
      <c r="AD500" s="15"/>
      <c r="AE500" s="15"/>
      <c r="AF500" s="15"/>
      <c r="AG500" s="15"/>
      <c r="AH500" s="15"/>
    </row>
    <row r="501" ht="15.75" customHeight="1">
      <c r="A501" s="28" t="s">
        <v>5</v>
      </c>
      <c r="E501" s="65" t="s">
        <v>88</v>
      </c>
      <c r="F501" s="65" t="s">
        <v>96</v>
      </c>
      <c r="G501" s="166" t="s">
        <v>1543</v>
      </c>
      <c r="H501" s="31" t="s">
        <v>96</v>
      </c>
      <c r="I501" s="9"/>
      <c r="J501" s="9"/>
      <c r="K501" s="9"/>
      <c r="L501" s="9"/>
      <c r="M501" s="15"/>
      <c r="N501" s="15"/>
      <c r="O501" s="15"/>
      <c r="P501" s="15"/>
      <c r="Q501" s="15"/>
      <c r="R501" s="15"/>
      <c r="S501" s="15"/>
      <c r="T501" s="15"/>
      <c r="U501" s="15"/>
      <c r="V501" s="15"/>
      <c r="W501" s="15"/>
      <c r="X501" s="15"/>
      <c r="Y501" s="15"/>
      <c r="Z501" s="15"/>
      <c r="AA501" s="15"/>
      <c r="AB501" s="15"/>
      <c r="AC501" s="15"/>
      <c r="AD501" s="15"/>
      <c r="AE501" s="15"/>
      <c r="AF501" s="15"/>
      <c r="AG501" s="15"/>
      <c r="AH501" s="15"/>
    </row>
    <row r="502" ht="15.75" customHeight="1">
      <c r="A502" s="28" t="s">
        <v>5</v>
      </c>
      <c r="E502" s="65" t="s">
        <v>104</v>
      </c>
      <c r="F502" s="65" t="s">
        <v>250</v>
      </c>
      <c r="G502" s="166" t="s">
        <v>1544</v>
      </c>
      <c r="H502" s="31" t="s">
        <v>250</v>
      </c>
      <c r="I502" s="9"/>
      <c r="J502" s="9"/>
      <c r="K502" s="9"/>
      <c r="L502" s="9"/>
      <c r="M502" s="15"/>
      <c r="N502" s="15"/>
      <c r="O502" s="15"/>
      <c r="P502" s="15"/>
      <c r="Q502" s="15"/>
      <c r="R502" s="15"/>
      <c r="S502" s="15"/>
      <c r="T502" s="15"/>
      <c r="U502" s="15"/>
      <c r="V502" s="15"/>
      <c r="W502" s="15"/>
      <c r="X502" s="15"/>
      <c r="Y502" s="15"/>
      <c r="Z502" s="15"/>
      <c r="AA502" s="15"/>
      <c r="AB502" s="15"/>
      <c r="AC502" s="15"/>
      <c r="AD502" s="15"/>
      <c r="AE502" s="15"/>
      <c r="AF502" s="15"/>
      <c r="AG502" s="15"/>
      <c r="AH502" s="15"/>
    </row>
    <row r="503" ht="15.75" customHeight="1">
      <c r="A503" s="28" t="s">
        <v>5</v>
      </c>
      <c r="E503" s="65" t="s">
        <v>88</v>
      </c>
      <c r="F503" s="65" t="s">
        <v>89</v>
      </c>
      <c r="G503" s="28"/>
      <c r="H503" s="31"/>
      <c r="I503" s="31"/>
      <c r="J503" s="9"/>
      <c r="K503" s="9"/>
      <c r="L503" s="9"/>
      <c r="M503" s="15"/>
      <c r="N503" s="15"/>
      <c r="O503" s="15"/>
      <c r="P503" s="15"/>
      <c r="Q503" s="15"/>
      <c r="R503" s="15"/>
      <c r="S503" s="15"/>
      <c r="T503" s="15"/>
      <c r="U503" s="15"/>
      <c r="V503" s="15"/>
      <c r="W503" s="15"/>
      <c r="X503" s="15"/>
      <c r="Y503" s="15"/>
      <c r="Z503" s="15"/>
      <c r="AA503" s="15"/>
      <c r="AB503" s="15"/>
      <c r="AC503" s="15"/>
      <c r="AD503" s="15"/>
      <c r="AE503" s="15"/>
      <c r="AF503" s="15"/>
      <c r="AG503" s="15"/>
      <c r="AH503" s="15"/>
    </row>
    <row r="504" ht="15.75" customHeight="1">
      <c r="A504" s="28" t="s">
        <v>5</v>
      </c>
      <c r="E504" s="65" t="s">
        <v>88</v>
      </c>
      <c r="F504" s="65" t="s">
        <v>795</v>
      </c>
      <c r="G504" s="28"/>
      <c r="H504" s="31"/>
      <c r="I504" s="31"/>
      <c r="J504" s="9"/>
      <c r="K504" s="9"/>
      <c r="L504" s="9"/>
      <c r="M504" s="15"/>
      <c r="N504" s="15"/>
      <c r="O504" s="15"/>
      <c r="P504" s="15"/>
      <c r="Q504" s="15"/>
      <c r="R504" s="15"/>
      <c r="S504" s="15"/>
      <c r="T504" s="15"/>
      <c r="U504" s="15"/>
      <c r="V504" s="15"/>
      <c r="W504" s="15"/>
      <c r="X504" s="15"/>
      <c r="Y504" s="15"/>
      <c r="Z504" s="15"/>
      <c r="AA504" s="15"/>
      <c r="AB504" s="15"/>
      <c r="AC504" s="15"/>
      <c r="AD504" s="15"/>
      <c r="AE504" s="15"/>
      <c r="AF504" s="15"/>
      <c r="AG504" s="15"/>
      <c r="AH504" s="15"/>
    </row>
    <row r="505" ht="15.75" customHeight="1">
      <c r="A505" s="28" t="s">
        <v>5</v>
      </c>
      <c r="B505" s="56" t="s">
        <v>1545</v>
      </c>
      <c r="C505" s="188" t="s">
        <v>1546</v>
      </c>
      <c r="D505" s="83" t="s">
        <v>20</v>
      </c>
      <c r="E505" s="65" t="s">
        <v>21</v>
      </c>
      <c r="F505" s="65" t="s">
        <v>51</v>
      </c>
      <c r="G505" s="166" t="s">
        <v>1547</v>
      </c>
      <c r="H505" s="31" t="s">
        <v>51</v>
      </c>
      <c r="I505" s="31"/>
      <c r="J505" s="9"/>
      <c r="K505" s="9"/>
      <c r="L505" s="9"/>
      <c r="M505" s="15"/>
      <c r="N505" s="15"/>
      <c r="O505" s="15"/>
      <c r="P505" s="15"/>
      <c r="Q505" s="15"/>
      <c r="R505" s="15"/>
      <c r="S505" s="15"/>
      <c r="T505" s="15"/>
      <c r="U505" s="15"/>
      <c r="V505" s="15"/>
      <c r="W505" s="15"/>
      <c r="X505" s="15"/>
      <c r="Y505" s="15"/>
      <c r="Z505" s="15"/>
      <c r="AA505" s="15"/>
      <c r="AB505" s="15"/>
      <c r="AC505" s="15"/>
      <c r="AD505" s="15"/>
      <c r="AE505" s="15"/>
      <c r="AF505" s="15"/>
      <c r="AG505" s="15"/>
      <c r="AH505" s="15"/>
    </row>
    <row r="506" ht="15.75" customHeight="1">
      <c r="A506" s="28" t="s">
        <v>5</v>
      </c>
      <c r="E506" s="65" t="s">
        <v>88</v>
      </c>
      <c r="F506" s="65" t="s">
        <v>125</v>
      </c>
      <c r="G506" s="166" t="s">
        <v>1548</v>
      </c>
      <c r="H506" s="31" t="s">
        <v>125</v>
      </c>
      <c r="I506" s="31"/>
      <c r="J506" s="9"/>
      <c r="K506" s="9"/>
      <c r="L506" s="9"/>
      <c r="M506" s="15"/>
      <c r="N506" s="15"/>
      <c r="O506" s="15"/>
      <c r="P506" s="15"/>
      <c r="Q506" s="15"/>
      <c r="R506" s="15"/>
      <c r="S506" s="15"/>
      <c r="T506" s="15"/>
      <c r="U506" s="15"/>
      <c r="V506" s="15"/>
      <c r="W506" s="15"/>
      <c r="X506" s="15"/>
      <c r="Y506" s="15"/>
      <c r="Z506" s="15"/>
      <c r="AA506" s="15"/>
      <c r="AB506" s="15"/>
      <c r="AC506" s="15"/>
      <c r="AD506" s="15"/>
      <c r="AE506" s="15"/>
      <c r="AF506" s="15"/>
      <c r="AG506" s="15"/>
      <c r="AH506" s="15"/>
    </row>
    <row r="507" ht="15.75" customHeight="1">
      <c r="A507" s="28" t="s">
        <v>5</v>
      </c>
      <c r="E507" s="65" t="s">
        <v>88</v>
      </c>
      <c r="F507" s="65" t="s">
        <v>517</v>
      </c>
      <c r="G507" s="166" t="s">
        <v>1549</v>
      </c>
      <c r="H507" s="31" t="s">
        <v>517</v>
      </c>
      <c r="I507" s="9"/>
      <c r="J507" s="9"/>
      <c r="K507" s="9"/>
      <c r="L507" s="9"/>
      <c r="M507" s="15"/>
      <c r="N507" s="15"/>
      <c r="O507" s="15"/>
      <c r="P507" s="15"/>
      <c r="Q507" s="15"/>
      <c r="R507" s="15"/>
      <c r="S507" s="15"/>
      <c r="T507" s="15"/>
      <c r="U507" s="15"/>
      <c r="V507" s="15"/>
      <c r="W507" s="15"/>
      <c r="X507" s="15"/>
      <c r="Y507" s="15"/>
      <c r="Z507" s="15"/>
      <c r="AA507" s="15"/>
      <c r="AB507" s="15"/>
      <c r="AC507" s="15"/>
      <c r="AD507" s="15"/>
      <c r="AE507" s="15"/>
      <c r="AF507" s="15"/>
      <c r="AG507" s="15"/>
      <c r="AH507" s="15"/>
    </row>
    <row r="508" ht="15.75" customHeight="1">
      <c r="A508" s="28" t="s">
        <v>5</v>
      </c>
      <c r="E508" s="28" t="s">
        <v>88</v>
      </c>
      <c r="F508" s="65" t="s">
        <v>95</v>
      </c>
      <c r="G508" s="166" t="s">
        <v>1550</v>
      </c>
      <c r="H508" s="31" t="s">
        <v>95</v>
      </c>
      <c r="I508" s="9"/>
      <c r="J508" s="9"/>
      <c r="K508" s="9"/>
      <c r="L508" s="9"/>
      <c r="M508" s="15"/>
      <c r="N508" s="15"/>
      <c r="O508" s="15"/>
      <c r="P508" s="15"/>
      <c r="Q508" s="15"/>
      <c r="R508" s="15"/>
      <c r="S508" s="15"/>
      <c r="T508" s="15"/>
      <c r="U508" s="15"/>
      <c r="V508" s="15"/>
      <c r="W508" s="15"/>
      <c r="X508" s="15"/>
      <c r="Y508" s="15"/>
      <c r="Z508" s="15"/>
      <c r="AA508" s="15"/>
      <c r="AB508" s="15"/>
      <c r="AC508" s="15"/>
      <c r="AD508" s="15"/>
      <c r="AE508" s="15"/>
      <c r="AF508" s="15"/>
      <c r="AG508" s="15"/>
      <c r="AH508" s="15"/>
    </row>
    <row r="509" ht="15.75" customHeight="1">
      <c r="A509" s="28" t="s">
        <v>5</v>
      </c>
      <c r="E509" s="28" t="s">
        <v>88</v>
      </c>
      <c r="F509" s="65" t="s">
        <v>96</v>
      </c>
      <c r="G509" s="166" t="s">
        <v>1551</v>
      </c>
      <c r="H509" s="31" t="s">
        <v>96</v>
      </c>
      <c r="I509" s="9"/>
      <c r="J509" s="9"/>
      <c r="K509" s="9"/>
      <c r="L509" s="9"/>
      <c r="M509" s="15"/>
      <c r="N509" s="15"/>
      <c r="O509" s="15"/>
      <c r="P509" s="15"/>
      <c r="Q509" s="15"/>
      <c r="R509" s="15"/>
      <c r="S509" s="15"/>
      <c r="T509" s="15"/>
      <c r="U509" s="15"/>
      <c r="V509" s="15"/>
      <c r="W509" s="15"/>
      <c r="X509" s="15"/>
      <c r="Y509" s="15"/>
      <c r="Z509" s="15"/>
      <c r="AA509" s="15"/>
      <c r="AB509" s="15"/>
      <c r="AC509" s="15"/>
      <c r="AD509" s="15"/>
      <c r="AE509" s="15"/>
      <c r="AF509" s="15"/>
      <c r="AG509" s="15"/>
      <c r="AH509" s="15"/>
    </row>
    <row r="510" ht="15.75" customHeight="1">
      <c r="A510" s="28" t="s">
        <v>5</v>
      </c>
      <c r="E510" s="28" t="s">
        <v>88</v>
      </c>
      <c r="F510" s="65" t="s">
        <v>89</v>
      </c>
      <c r="G510" s="28"/>
      <c r="H510" s="31"/>
      <c r="I510" s="9"/>
      <c r="J510" s="9"/>
      <c r="K510" s="9"/>
      <c r="L510" s="9"/>
      <c r="M510" s="15"/>
      <c r="N510" s="15"/>
      <c r="O510" s="15"/>
      <c r="P510" s="15"/>
      <c r="Q510" s="15"/>
      <c r="R510" s="15"/>
      <c r="S510" s="15"/>
      <c r="T510" s="15"/>
      <c r="U510" s="15"/>
      <c r="V510" s="15"/>
      <c r="W510" s="15"/>
      <c r="X510" s="15"/>
      <c r="Y510" s="15"/>
      <c r="Z510" s="15"/>
      <c r="AA510" s="15"/>
      <c r="AB510" s="15"/>
      <c r="AC510" s="15"/>
      <c r="AD510" s="15"/>
      <c r="AE510" s="15"/>
      <c r="AF510" s="15"/>
      <c r="AG510" s="15"/>
      <c r="AH510" s="15"/>
    </row>
    <row r="511" ht="15.75" customHeight="1">
      <c r="A511" s="28" t="s">
        <v>5</v>
      </c>
      <c r="E511" s="28" t="s">
        <v>88</v>
      </c>
      <c r="F511" s="65" t="s">
        <v>795</v>
      </c>
      <c r="G511" s="28"/>
      <c r="H511" s="31"/>
      <c r="I511" s="9"/>
      <c r="J511" s="9"/>
      <c r="K511" s="9"/>
      <c r="L511" s="9"/>
      <c r="M511" s="15"/>
      <c r="N511" s="15"/>
      <c r="O511" s="15"/>
      <c r="P511" s="15"/>
      <c r="Q511" s="15"/>
      <c r="R511" s="15"/>
      <c r="S511" s="15"/>
      <c r="T511" s="15"/>
      <c r="U511" s="15"/>
      <c r="V511" s="15"/>
      <c r="W511" s="15"/>
      <c r="X511" s="15"/>
      <c r="Y511" s="15"/>
      <c r="Z511" s="15"/>
      <c r="AA511" s="15"/>
      <c r="AB511" s="15"/>
      <c r="AC511" s="15"/>
      <c r="AD511" s="15"/>
      <c r="AE511" s="15"/>
      <c r="AF511" s="15"/>
      <c r="AG511" s="15"/>
      <c r="AH511" s="15"/>
    </row>
    <row r="512" ht="15.75" customHeight="1">
      <c r="A512" s="28" t="s">
        <v>5</v>
      </c>
      <c r="B512" s="56" t="s">
        <v>1552</v>
      </c>
      <c r="C512" s="188" t="s">
        <v>1553</v>
      </c>
      <c r="D512" s="83" t="s">
        <v>20</v>
      </c>
      <c r="E512" s="28" t="s">
        <v>21</v>
      </c>
      <c r="F512" s="65" t="s">
        <v>51</v>
      </c>
      <c r="G512" s="166" t="s">
        <v>1554</v>
      </c>
      <c r="H512" s="31" t="s">
        <v>51</v>
      </c>
      <c r="I512" s="9"/>
      <c r="J512" s="9"/>
      <c r="K512" s="9"/>
      <c r="L512" s="9"/>
      <c r="M512" s="15"/>
      <c r="N512" s="15"/>
      <c r="O512" s="15"/>
      <c r="P512" s="15"/>
      <c r="Q512" s="15"/>
      <c r="R512" s="15"/>
      <c r="S512" s="15"/>
      <c r="T512" s="15"/>
      <c r="U512" s="15"/>
      <c r="V512" s="15"/>
      <c r="W512" s="15"/>
      <c r="X512" s="15"/>
      <c r="Y512" s="15"/>
      <c r="Z512" s="15"/>
      <c r="AA512" s="15"/>
      <c r="AB512" s="15"/>
      <c r="AC512" s="15"/>
      <c r="AD512" s="15"/>
      <c r="AE512" s="15"/>
      <c r="AF512" s="15"/>
      <c r="AG512" s="15"/>
      <c r="AH512" s="15"/>
    </row>
    <row r="513" ht="15.75" customHeight="1">
      <c r="A513" s="28" t="s">
        <v>5</v>
      </c>
      <c r="E513" s="28" t="s">
        <v>88</v>
      </c>
      <c r="F513" s="65" t="s">
        <v>125</v>
      </c>
      <c r="G513" s="166" t="s">
        <v>1555</v>
      </c>
      <c r="H513" s="31" t="s">
        <v>125</v>
      </c>
      <c r="I513" s="9"/>
      <c r="J513" s="9"/>
      <c r="K513" s="9"/>
      <c r="L513" s="9"/>
      <c r="M513" s="15"/>
      <c r="N513" s="15"/>
      <c r="O513" s="15"/>
      <c r="P513" s="15"/>
      <c r="Q513" s="15"/>
      <c r="R513" s="15"/>
      <c r="S513" s="15"/>
      <c r="T513" s="15"/>
      <c r="U513" s="15"/>
      <c r="V513" s="15"/>
      <c r="W513" s="15"/>
      <c r="X513" s="15"/>
      <c r="Y513" s="15"/>
      <c r="Z513" s="15"/>
      <c r="AA513" s="15"/>
      <c r="AB513" s="15"/>
      <c r="AC513" s="15"/>
      <c r="AD513" s="15"/>
      <c r="AE513" s="15"/>
      <c r="AF513" s="15"/>
      <c r="AG513" s="15"/>
      <c r="AH513" s="15"/>
    </row>
    <row r="514" ht="15.75" customHeight="1">
      <c r="A514" s="28" t="s">
        <v>5</v>
      </c>
      <c r="E514" s="28" t="s">
        <v>88</v>
      </c>
      <c r="F514" s="65" t="s">
        <v>531</v>
      </c>
      <c r="G514" s="166" t="s">
        <v>1556</v>
      </c>
      <c r="H514" s="31" t="s">
        <v>531</v>
      </c>
      <c r="I514" s="9"/>
      <c r="J514" s="9"/>
      <c r="K514" s="9"/>
      <c r="L514" s="9"/>
      <c r="M514" s="15"/>
      <c r="N514" s="15"/>
      <c r="O514" s="15"/>
      <c r="P514" s="15"/>
      <c r="Q514" s="15"/>
      <c r="R514" s="15"/>
      <c r="S514" s="15"/>
      <c r="T514" s="15"/>
      <c r="U514" s="15"/>
      <c r="V514" s="15"/>
      <c r="W514" s="15"/>
      <c r="X514" s="15"/>
      <c r="Y514" s="15"/>
      <c r="Z514" s="15"/>
      <c r="AA514" s="15"/>
      <c r="AB514" s="15"/>
      <c r="AC514" s="15"/>
      <c r="AD514" s="15"/>
      <c r="AE514" s="15"/>
      <c r="AF514" s="15"/>
      <c r="AG514" s="15"/>
      <c r="AH514" s="15"/>
    </row>
    <row r="515" ht="15.75" customHeight="1">
      <c r="A515" s="28" t="s">
        <v>5</v>
      </c>
      <c r="E515" s="28" t="s">
        <v>88</v>
      </c>
      <c r="F515" s="65" t="s">
        <v>464</v>
      </c>
      <c r="G515" s="166" t="s">
        <v>1557</v>
      </c>
      <c r="H515" s="31" t="s">
        <v>464</v>
      </c>
      <c r="I515" s="9"/>
      <c r="J515" s="9"/>
      <c r="K515" s="9"/>
      <c r="L515" s="9"/>
      <c r="M515" s="15"/>
      <c r="N515" s="15"/>
      <c r="O515" s="15"/>
      <c r="P515" s="15"/>
      <c r="Q515" s="15"/>
      <c r="R515" s="15"/>
      <c r="S515" s="15"/>
      <c r="T515" s="15"/>
      <c r="U515" s="15"/>
      <c r="V515" s="15"/>
      <c r="W515" s="15"/>
      <c r="X515" s="15"/>
      <c r="Y515" s="15"/>
      <c r="Z515" s="15"/>
      <c r="AA515" s="15"/>
      <c r="AB515" s="15"/>
      <c r="AC515" s="15"/>
      <c r="AD515" s="15"/>
      <c r="AE515" s="15"/>
      <c r="AF515" s="15"/>
      <c r="AG515" s="15"/>
      <c r="AH515" s="15"/>
    </row>
    <row r="516" ht="15.75" customHeight="1">
      <c r="A516" s="28" t="s">
        <v>5</v>
      </c>
      <c r="E516" s="28" t="s">
        <v>88</v>
      </c>
      <c r="F516" s="65" t="s">
        <v>95</v>
      </c>
      <c r="G516" s="166" t="s">
        <v>1558</v>
      </c>
      <c r="H516" s="31" t="s">
        <v>95</v>
      </c>
      <c r="I516" s="31"/>
      <c r="J516" s="31"/>
      <c r="K516" s="9"/>
      <c r="L516" s="9"/>
      <c r="M516" s="15"/>
      <c r="N516" s="15"/>
      <c r="O516" s="15"/>
      <c r="P516" s="15"/>
      <c r="Q516" s="15"/>
      <c r="R516" s="15"/>
      <c r="S516" s="15"/>
      <c r="T516" s="15"/>
      <c r="U516" s="15"/>
      <c r="V516" s="15"/>
      <c r="W516" s="15"/>
      <c r="X516" s="15"/>
      <c r="Y516" s="15"/>
      <c r="Z516" s="15"/>
      <c r="AA516" s="15"/>
      <c r="AB516" s="15"/>
      <c r="AC516" s="15"/>
      <c r="AD516" s="15"/>
      <c r="AE516" s="15"/>
      <c r="AF516" s="15"/>
      <c r="AG516" s="15"/>
      <c r="AH516" s="15"/>
    </row>
    <row r="517" ht="15.75" customHeight="1">
      <c r="A517" s="28" t="s">
        <v>5</v>
      </c>
      <c r="E517" s="28" t="s">
        <v>88</v>
      </c>
      <c r="F517" s="65" t="s">
        <v>96</v>
      </c>
      <c r="G517" s="166" t="s">
        <v>1559</v>
      </c>
      <c r="H517" s="31" t="s">
        <v>96</v>
      </c>
      <c r="I517" s="31"/>
      <c r="J517" s="31"/>
      <c r="K517" s="9"/>
      <c r="L517" s="9"/>
      <c r="M517" s="15"/>
      <c r="N517" s="15"/>
      <c r="O517" s="15"/>
      <c r="P517" s="15"/>
      <c r="Q517" s="15"/>
      <c r="R517" s="15"/>
      <c r="S517" s="15"/>
      <c r="T517" s="15"/>
      <c r="U517" s="15"/>
      <c r="V517" s="15"/>
      <c r="W517" s="15"/>
      <c r="X517" s="15"/>
      <c r="Y517" s="15"/>
      <c r="Z517" s="15"/>
      <c r="AA517" s="15"/>
      <c r="AB517" s="15"/>
      <c r="AC517" s="15"/>
      <c r="AD517" s="15"/>
      <c r="AE517" s="15"/>
      <c r="AF517" s="15"/>
      <c r="AG517" s="15"/>
      <c r="AH517" s="15"/>
    </row>
    <row r="518" ht="15.75" customHeight="1">
      <c r="A518" s="28" t="s">
        <v>5</v>
      </c>
      <c r="E518" s="28" t="s">
        <v>88</v>
      </c>
      <c r="F518" s="65" t="s">
        <v>89</v>
      </c>
      <c r="G518" s="28"/>
      <c r="H518" s="31"/>
      <c r="I518" s="31"/>
      <c r="J518" s="31"/>
      <c r="K518" s="9"/>
      <c r="L518" s="9"/>
      <c r="M518" s="15"/>
      <c r="N518" s="15"/>
      <c r="O518" s="15"/>
      <c r="P518" s="15"/>
      <c r="Q518" s="15"/>
      <c r="R518" s="15"/>
      <c r="S518" s="15"/>
      <c r="T518" s="15"/>
      <c r="U518" s="15"/>
      <c r="V518" s="15"/>
      <c r="W518" s="15"/>
      <c r="X518" s="15"/>
      <c r="Y518" s="15"/>
      <c r="Z518" s="15"/>
      <c r="AA518" s="15"/>
      <c r="AB518" s="15"/>
      <c r="AC518" s="15"/>
      <c r="AD518" s="15"/>
      <c r="AE518" s="15"/>
      <c r="AF518" s="15"/>
      <c r="AG518" s="15"/>
      <c r="AH518" s="15"/>
    </row>
    <row r="519" ht="15.75" customHeight="1">
      <c r="A519" s="28" t="s">
        <v>5</v>
      </c>
      <c r="E519" s="28" t="s">
        <v>88</v>
      </c>
      <c r="F519" s="65" t="s">
        <v>795</v>
      </c>
      <c r="G519" s="28"/>
      <c r="H519" s="31"/>
      <c r="I519" s="31"/>
      <c r="J519" s="31"/>
      <c r="K519" s="9"/>
      <c r="L519" s="9"/>
      <c r="M519" s="15"/>
      <c r="N519" s="15"/>
      <c r="O519" s="15"/>
      <c r="P519" s="15"/>
      <c r="Q519" s="15"/>
      <c r="R519" s="15"/>
      <c r="S519" s="15"/>
      <c r="T519" s="15"/>
      <c r="U519" s="15"/>
      <c r="V519" s="15"/>
      <c r="W519" s="15"/>
      <c r="X519" s="15"/>
      <c r="Y519" s="15"/>
      <c r="Z519" s="15"/>
      <c r="AA519" s="15"/>
      <c r="AB519" s="15"/>
      <c r="AC519" s="15"/>
      <c r="AD519" s="15"/>
      <c r="AE519" s="15"/>
      <c r="AF519" s="15"/>
      <c r="AG519" s="15"/>
      <c r="AH519" s="15"/>
    </row>
    <row r="520" ht="15.75" customHeight="1">
      <c r="A520" s="28" t="s">
        <v>5</v>
      </c>
      <c r="B520" s="56" t="s">
        <v>1560</v>
      </c>
      <c r="C520" s="175" t="s">
        <v>1561</v>
      </c>
      <c r="D520" s="83" t="s">
        <v>20</v>
      </c>
      <c r="E520" s="28" t="s">
        <v>21</v>
      </c>
      <c r="F520" s="65" t="s">
        <v>51</v>
      </c>
      <c r="G520" s="166" t="s">
        <v>1562</v>
      </c>
      <c r="H520" s="31" t="s">
        <v>51</v>
      </c>
      <c r="I520" s="9"/>
      <c r="J520" s="9"/>
      <c r="K520" s="9"/>
      <c r="L520" s="9"/>
      <c r="M520" s="15"/>
      <c r="N520" s="15"/>
      <c r="O520" s="15"/>
      <c r="P520" s="15"/>
      <c r="Q520" s="15"/>
      <c r="R520" s="15"/>
      <c r="S520" s="15"/>
      <c r="T520" s="15"/>
      <c r="U520" s="15"/>
      <c r="V520" s="15"/>
      <c r="W520" s="15"/>
      <c r="X520" s="15"/>
      <c r="Y520" s="15"/>
      <c r="Z520" s="15"/>
      <c r="AA520" s="15"/>
      <c r="AB520" s="15"/>
      <c r="AC520" s="15"/>
      <c r="AD520" s="15"/>
      <c r="AE520" s="15"/>
      <c r="AF520" s="15"/>
      <c r="AG520" s="15"/>
      <c r="AH520" s="15"/>
    </row>
    <row r="521" ht="15.75" customHeight="1">
      <c r="A521" s="28" t="s">
        <v>5</v>
      </c>
      <c r="E521" s="28" t="s">
        <v>88</v>
      </c>
      <c r="F521" s="65" t="s">
        <v>700</v>
      </c>
      <c r="G521" s="166" t="s">
        <v>1563</v>
      </c>
      <c r="H521" s="31" t="s">
        <v>700</v>
      </c>
      <c r="I521" s="9"/>
      <c r="J521" s="9"/>
      <c r="K521" s="9"/>
      <c r="L521" s="9"/>
      <c r="M521" s="15"/>
      <c r="N521" s="15"/>
      <c r="O521" s="15"/>
      <c r="P521" s="15"/>
      <c r="Q521" s="15"/>
      <c r="R521" s="15"/>
      <c r="S521" s="15"/>
      <c r="T521" s="15"/>
      <c r="U521" s="15"/>
      <c r="V521" s="15"/>
      <c r="W521" s="15"/>
      <c r="X521" s="15"/>
      <c r="Y521" s="15"/>
      <c r="Z521" s="15"/>
      <c r="AA521" s="15"/>
      <c r="AB521" s="15"/>
      <c r="AC521" s="15"/>
      <c r="AD521" s="15"/>
      <c r="AE521" s="15"/>
      <c r="AF521" s="15"/>
      <c r="AG521" s="15"/>
      <c r="AH521" s="15"/>
    </row>
    <row r="522" ht="15.75" customHeight="1">
      <c r="A522" s="28" t="s">
        <v>5</v>
      </c>
      <c r="E522" s="28" t="s">
        <v>88</v>
      </c>
      <c r="F522" s="65" t="s">
        <v>95</v>
      </c>
      <c r="G522" s="166" t="s">
        <v>1564</v>
      </c>
      <c r="H522" s="31" t="s">
        <v>95</v>
      </c>
      <c r="I522" s="9"/>
      <c r="J522" s="9"/>
      <c r="K522" s="9"/>
      <c r="L522" s="9"/>
      <c r="M522" s="15"/>
      <c r="N522" s="15"/>
      <c r="O522" s="15"/>
      <c r="P522" s="15"/>
      <c r="Q522" s="15"/>
      <c r="R522" s="15"/>
      <c r="S522" s="15"/>
      <c r="T522" s="15"/>
      <c r="U522" s="15"/>
      <c r="V522" s="15"/>
      <c r="W522" s="15"/>
      <c r="X522" s="15"/>
      <c r="Y522" s="15"/>
      <c r="Z522" s="15"/>
      <c r="AA522" s="15"/>
      <c r="AB522" s="15"/>
      <c r="AC522" s="15"/>
      <c r="AD522" s="15"/>
      <c r="AE522" s="15"/>
      <c r="AF522" s="15"/>
      <c r="AG522" s="15"/>
      <c r="AH522" s="15"/>
    </row>
    <row r="523" ht="15.75" customHeight="1">
      <c r="A523" s="28" t="s">
        <v>5</v>
      </c>
      <c r="E523" s="28" t="s">
        <v>88</v>
      </c>
      <c r="F523" s="65" t="s">
        <v>122</v>
      </c>
      <c r="G523" s="166" t="s">
        <v>1565</v>
      </c>
      <c r="H523" s="31" t="s">
        <v>122</v>
      </c>
      <c r="I523" s="9"/>
      <c r="J523" s="9"/>
      <c r="K523" s="9"/>
      <c r="L523" s="9"/>
      <c r="M523" s="15"/>
      <c r="N523" s="15"/>
      <c r="O523" s="15"/>
      <c r="P523" s="15"/>
      <c r="Q523" s="15"/>
      <c r="R523" s="15"/>
      <c r="S523" s="15"/>
      <c r="T523" s="15"/>
      <c r="U523" s="15"/>
      <c r="V523" s="15"/>
      <c r="W523" s="15"/>
      <c r="X523" s="15"/>
      <c r="Y523" s="15"/>
      <c r="Z523" s="15"/>
      <c r="AA523" s="15"/>
      <c r="AB523" s="15"/>
      <c r="AC523" s="15"/>
      <c r="AD523" s="15"/>
      <c r="AE523" s="15"/>
      <c r="AF523" s="15"/>
      <c r="AG523" s="15"/>
      <c r="AH523" s="15"/>
    </row>
    <row r="524" ht="15.75" customHeight="1">
      <c r="A524" s="28" t="s">
        <v>5</v>
      </c>
      <c r="E524" s="28" t="s">
        <v>88</v>
      </c>
      <c r="F524" s="65" t="s">
        <v>89</v>
      </c>
      <c r="G524" s="28"/>
      <c r="H524" s="31"/>
      <c r="I524" s="9"/>
      <c r="J524" s="9"/>
      <c r="K524" s="9"/>
      <c r="L524" s="9"/>
      <c r="M524" s="15"/>
      <c r="N524" s="15"/>
      <c r="O524" s="15"/>
      <c r="P524" s="15"/>
      <c r="Q524" s="15"/>
      <c r="R524" s="15"/>
      <c r="S524" s="15"/>
      <c r="T524" s="15"/>
      <c r="U524" s="15"/>
      <c r="V524" s="15"/>
      <c r="W524" s="15"/>
      <c r="X524" s="15"/>
      <c r="Y524" s="15"/>
      <c r="Z524" s="15"/>
      <c r="AA524" s="15"/>
      <c r="AB524" s="15"/>
      <c r="AC524" s="15"/>
      <c r="AD524" s="15"/>
      <c r="AE524" s="15"/>
      <c r="AF524" s="15"/>
      <c r="AG524" s="15"/>
      <c r="AH524" s="15"/>
    </row>
    <row r="525" ht="15.75" customHeight="1">
      <c r="A525" s="28" t="s">
        <v>5</v>
      </c>
      <c r="E525" s="28" t="s">
        <v>88</v>
      </c>
      <c r="F525" s="65" t="s">
        <v>795</v>
      </c>
      <c r="G525" s="28"/>
      <c r="H525" s="31"/>
      <c r="I525" s="9"/>
      <c r="J525" s="9"/>
      <c r="K525" s="9"/>
      <c r="L525" s="9"/>
      <c r="M525" s="15"/>
      <c r="N525" s="15"/>
      <c r="O525" s="15"/>
      <c r="P525" s="15"/>
      <c r="Q525" s="15"/>
      <c r="R525" s="15"/>
      <c r="S525" s="15"/>
      <c r="T525" s="15"/>
      <c r="U525" s="15"/>
      <c r="V525" s="15"/>
      <c r="W525" s="15"/>
      <c r="X525" s="15"/>
      <c r="Y525" s="15"/>
      <c r="Z525" s="15"/>
      <c r="AA525" s="15"/>
      <c r="AB525" s="15"/>
      <c r="AC525" s="15"/>
      <c r="AD525" s="15"/>
      <c r="AE525" s="15"/>
      <c r="AF525" s="15"/>
      <c r="AG525" s="15"/>
      <c r="AH525" s="15"/>
    </row>
    <row r="526" ht="15.75" customHeight="1">
      <c r="A526" s="28" t="s">
        <v>5</v>
      </c>
      <c r="B526" s="190" t="s">
        <v>1566</v>
      </c>
      <c r="C526" s="175" t="s">
        <v>1567</v>
      </c>
      <c r="D526" s="83" t="s">
        <v>20</v>
      </c>
      <c r="E526" s="28" t="s">
        <v>21</v>
      </c>
      <c r="F526" s="191" t="s">
        <v>51</v>
      </c>
      <c r="G526" s="166" t="s">
        <v>1568</v>
      </c>
      <c r="H526" s="31" t="s">
        <v>51</v>
      </c>
      <c r="I526" s="31"/>
      <c r="J526" s="9"/>
      <c r="K526" s="9"/>
      <c r="L526" s="9"/>
      <c r="M526" s="15"/>
      <c r="N526" s="15"/>
      <c r="O526" s="15"/>
      <c r="P526" s="15"/>
      <c r="Q526" s="15"/>
      <c r="R526" s="15"/>
      <c r="S526" s="15"/>
      <c r="T526" s="15"/>
      <c r="U526" s="15"/>
      <c r="V526" s="15"/>
      <c r="W526" s="15"/>
      <c r="X526" s="15"/>
      <c r="Y526" s="15"/>
      <c r="Z526" s="15"/>
      <c r="AA526" s="15"/>
      <c r="AB526" s="15"/>
      <c r="AC526" s="15"/>
      <c r="AD526" s="15"/>
      <c r="AE526" s="15"/>
      <c r="AF526" s="15"/>
      <c r="AG526" s="15"/>
      <c r="AH526" s="15"/>
    </row>
    <row r="527" ht="15.75" customHeight="1">
      <c r="A527" s="28" t="s">
        <v>5</v>
      </c>
      <c r="E527" s="28" t="s">
        <v>88</v>
      </c>
      <c r="F527" s="191" t="s">
        <v>700</v>
      </c>
      <c r="G527" s="166" t="s">
        <v>1569</v>
      </c>
      <c r="H527" s="31" t="s">
        <v>700</v>
      </c>
      <c r="I527" s="31"/>
      <c r="J527" s="9"/>
      <c r="K527" s="9"/>
      <c r="L527" s="9"/>
      <c r="M527" s="15"/>
      <c r="N527" s="15"/>
      <c r="O527" s="15"/>
      <c r="P527" s="15"/>
      <c r="Q527" s="15"/>
      <c r="R527" s="15"/>
      <c r="S527" s="15"/>
      <c r="T527" s="15"/>
      <c r="U527" s="15"/>
      <c r="V527" s="15"/>
      <c r="W527" s="15"/>
      <c r="X527" s="15"/>
      <c r="Y527" s="15"/>
      <c r="Z527" s="15"/>
      <c r="AA527" s="15"/>
      <c r="AB527" s="15"/>
      <c r="AC527" s="15"/>
      <c r="AD527" s="15"/>
      <c r="AE527" s="15"/>
      <c r="AF527" s="15"/>
      <c r="AG527" s="15"/>
      <c r="AH527" s="15"/>
    </row>
    <row r="528" ht="15.75" customHeight="1">
      <c r="A528" s="28" t="s">
        <v>5</v>
      </c>
      <c r="E528" s="28" t="s">
        <v>88</v>
      </c>
      <c r="F528" s="65" t="s">
        <v>89</v>
      </c>
      <c r="G528" s="28"/>
      <c r="H528" s="31"/>
      <c r="I528" s="31"/>
      <c r="J528" s="9"/>
      <c r="K528" s="9"/>
      <c r="L528" s="9"/>
      <c r="M528" s="15"/>
      <c r="N528" s="15"/>
      <c r="O528" s="15"/>
      <c r="P528" s="15"/>
      <c r="Q528" s="15"/>
      <c r="R528" s="15"/>
      <c r="S528" s="15"/>
      <c r="T528" s="15"/>
      <c r="U528" s="15"/>
      <c r="V528" s="15"/>
      <c r="W528" s="15"/>
      <c r="X528" s="15"/>
      <c r="Y528" s="15"/>
      <c r="Z528" s="15"/>
      <c r="AA528" s="15"/>
      <c r="AB528" s="15"/>
      <c r="AC528" s="15"/>
      <c r="AD528" s="15"/>
      <c r="AE528" s="15"/>
      <c r="AF528" s="15"/>
      <c r="AG528" s="15"/>
      <c r="AH528" s="15"/>
    </row>
    <row r="529" ht="15.75" customHeight="1">
      <c r="A529" s="28" t="s">
        <v>5</v>
      </c>
      <c r="E529" s="28" t="s">
        <v>88</v>
      </c>
      <c r="F529" s="65" t="s">
        <v>795</v>
      </c>
      <c r="G529" s="28"/>
      <c r="H529" s="31"/>
      <c r="I529" s="31"/>
      <c r="J529" s="9"/>
      <c r="K529" s="9"/>
      <c r="L529" s="9"/>
      <c r="M529" s="15"/>
      <c r="N529" s="15"/>
      <c r="O529" s="15"/>
      <c r="P529" s="15"/>
      <c r="Q529" s="15"/>
      <c r="R529" s="15"/>
      <c r="S529" s="15"/>
      <c r="T529" s="15"/>
      <c r="U529" s="15"/>
      <c r="V529" s="15"/>
      <c r="W529" s="15"/>
      <c r="X529" s="15"/>
      <c r="Y529" s="15"/>
      <c r="Z529" s="15"/>
      <c r="AA529" s="15"/>
      <c r="AB529" s="15"/>
      <c r="AC529" s="15"/>
      <c r="AD529" s="15"/>
      <c r="AE529" s="15"/>
      <c r="AF529" s="15"/>
      <c r="AG529" s="15"/>
      <c r="AH529" s="15"/>
    </row>
    <row r="530" ht="15.75" customHeight="1">
      <c r="A530" s="28" t="s">
        <v>5</v>
      </c>
      <c r="B530" s="56" t="s">
        <v>1570</v>
      </c>
      <c r="C530" s="175" t="s">
        <v>1571</v>
      </c>
      <c r="D530" s="83" t="s">
        <v>20</v>
      </c>
      <c r="E530" s="28" t="s">
        <v>21</v>
      </c>
      <c r="F530" s="65" t="s">
        <v>51</v>
      </c>
      <c r="G530" s="166" t="s">
        <v>1572</v>
      </c>
      <c r="H530" s="31" t="s">
        <v>51</v>
      </c>
      <c r="I530" s="31"/>
      <c r="J530" s="9"/>
      <c r="K530" s="9"/>
      <c r="L530" s="9"/>
      <c r="M530" s="15"/>
      <c r="N530" s="15"/>
      <c r="O530" s="15"/>
      <c r="P530" s="15"/>
      <c r="Q530" s="15"/>
      <c r="R530" s="15"/>
      <c r="S530" s="15"/>
      <c r="T530" s="15"/>
      <c r="U530" s="15"/>
      <c r="V530" s="15"/>
      <c r="W530" s="15"/>
      <c r="X530" s="15"/>
      <c r="Y530" s="15"/>
      <c r="Z530" s="15"/>
      <c r="AA530" s="15"/>
      <c r="AB530" s="15"/>
      <c r="AC530" s="15"/>
      <c r="AD530" s="15"/>
      <c r="AE530" s="15"/>
      <c r="AF530" s="15"/>
      <c r="AG530" s="15"/>
      <c r="AH530" s="15"/>
    </row>
    <row r="531" ht="15.75" customHeight="1">
      <c r="A531" s="28" t="s">
        <v>5</v>
      </c>
      <c r="E531" s="28" t="s">
        <v>88</v>
      </c>
      <c r="F531" s="65" t="s">
        <v>700</v>
      </c>
      <c r="G531" s="166" t="s">
        <v>1573</v>
      </c>
      <c r="H531" s="31" t="s">
        <v>700</v>
      </c>
      <c r="I531" s="31"/>
      <c r="J531" s="9"/>
      <c r="K531" s="9"/>
      <c r="L531" s="9"/>
      <c r="M531" s="15"/>
      <c r="N531" s="15"/>
      <c r="O531" s="15"/>
      <c r="P531" s="15"/>
      <c r="Q531" s="15"/>
      <c r="R531" s="15"/>
      <c r="S531" s="15"/>
      <c r="T531" s="15"/>
      <c r="U531" s="15"/>
      <c r="V531" s="15"/>
      <c r="W531" s="15"/>
      <c r="X531" s="15"/>
      <c r="Y531" s="15"/>
      <c r="Z531" s="15"/>
      <c r="AA531" s="15"/>
      <c r="AB531" s="15"/>
      <c r="AC531" s="15"/>
      <c r="AD531" s="15"/>
      <c r="AE531" s="15"/>
      <c r="AF531" s="15"/>
      <c r="AG531" s="15"/>
      <c r="AH531" s="15"/>
    </row>
    <row r="532" ht="15.75" customHeight="1">
      <c r="E532" s="28" t="s">
        <v>88</v>
      </c>
      <c r="F532" s="65" t="s">
        <v>95</v>
      </c>
      <c r="G532" s="166" t="s">
        <v>1574</v>
      </c>
      <c r="H532" s="31" t="s">
        <v>95</v>
      </c>
      <c r="I532" s="31"/>
      <c r="J532" s="9"/>
      <c r="K532" s="9"/>
      <c r="L532" s="9"/>
      <c r="M532" s="15"/>
      <c r="N532" s="15"/>
      <c r="O532" s="15"/>
      <c r="P532" s="15"/>
      <c r="Q532" s="15"/>
      <c r="R532" s="15"/>
      <c r="S532" s="15"/>
      <c r="T532" s="15"/>
      <c r="U532" s="15"/>
      <c r="V532" s="15"/>
      <c r="W532" s="15"/>
      <c r="X532" s="15"/>
      <c r="Y532" s="15"/>
      <c r="Z532" s="15"/>
      <c r="AA532" s="15"/>
      <c r="AB532" s="15"/>
      <c r="AC532" s="15"/>
      <c r="AD532" s="15"/>
      <c r="AE532" s="15"/>
      <c r="AF532" s="15"/>
      <c r="AG532" s="15"/>
      <c r="AH532" s="15"/>
    </row>
    <row r="533" ht="15.75" customHeight="1">
      <c r="E533" s="28" t="s">
        <v>88</v>
      </c>
      <c r="F533" s="65" t="s">
        <v>122</v>
      </c>
      <c r="G533" s="166" t="s">
        <v>1575</v>
      </c>
      <c r="H533" s="31" t="s">
        <v>122</v>
      </c>
      <c r="I533" s="31"/>
      <c r="J533" s="9"/>
      <c r="K533" s="9"/>
      <c r="L533" s="9"/>
      <c r="M533" s="15"/>
      <c r="N533" s="15"/>
      <c r="O533" s="15"/>
      <c r="P533" s="15"/>
      <c r="Q533" s="15"/>
      <c r="R533" s="15"/>
      <c r="S533" s="15"/>
      <c r="T533" s="15"/>
      <c r="U533" s="15"/>
      <c r="V533" s="15"/>
      <c r="W533" s="15"/>
      <c r="X533" s="15"/>
      <c r="Y533" s="15"/>
      <c r="Z533" s="15"/>
      <c r="AA533" s="15"/>
      <c r="AB533" s="15"/>
      <c r="AC533" s="15"/>
      <c r="AD533" s="15"/>
      <c r="AE533" s="15"/>
      <c r="AF533" s="15"/>
      <c r="AG533" s="15"/>
      <c r="AH533" s="15"/>
    </row>
    <row r="534" ht="15.75" customHeight="1">
      <c r="E534" s="28" t="s">
        <v>88</v>
      </c>
      <c r="F534" s="65" t="s">
        <v>89</v>
      </c>
      <c r="G534" s="28"/>
      <c r="H534" s="31"/>
      <c r="I534" s="31"/>
      <c r="J534" s="9"/>
      <c r="K534" s="9"/>
      <c r="L534" s="9"/>
      <c r="M534" s="15"/>
      <c r="N534" s="15"/>
      <c r="O534" s="15"/>
      <c r="P534" s="15"/>
      <c r="Q534" s="15"/>
      <c r="R534" s="15"/>
      <c r="S534" s="15"/>
      <c r="T534" s="15"/>
      <c r="U534" s="15"/>
      <c r="V534" s="15"/>
      <c r="W534" s="15"/>
      <c r="X534" s="15"/>
      <c r="Y534" s="15"/>
      <c r="Z534" s="15"/>
      <c r="AA534" s="15"/>
      <c r="AB534" s="15"/>
      <c r="AC534" s="15"/>
      <c r="AD534" s="15"/>
      <c r="AE534" s="15"/>
      <c r="AF534" s="15"/>
      <c r="AG534" s="15"/>
      <c r="AH534" s="15"/>
    </row>
    <row r="535" ht="15.75" customHeight="1">
      <c r="E535" s="28" t="s">
        <v>88</v>
      </c>
      <c r="F535" s="65" t="s">
        <v>795</v>
      </c>
      <c r="G535" s="28"/>
      <c r="H535" s="31"/>
      <c r="I535" s="9"/>
      <c r="J535" s="9"/>
      <c r="K535" s="9"/>
      <c r="L535" s="9"/>
      <c r="M535" s="15"/>
      <c r="N535" s="15"/>
      <c r="O535" s="15"/>
      <c r="P535" s="15"/>
      <c r="Q535" s="15"/>
      <c r="R535" s="15"/>
      <c r="S535" s="15"/>
      <c r="T535" s="15"/>
      <c r="U535" s="15"/>
      <c r="V535" s="15"/>
      <c r="W535" s="15"/>
      <c r="X535" s="15"/>
      <c r="Y535" s="15"/>
      <c r="Z535" s="15"/>
      <c r="AA535" s="15"/>
      <c r="AB535" s="15"/>
      <c r="AC535" s="15"/>
      <c r="AD535" s="15"/>
      <c r="AE535" s="15"/>
      <c r="AF535" s="15"/>
      <c r="AG535" s="15"/>
      <c r="AH535" s="15"/>
    </row>
    <row r="536" ht="15.75" customHeight="1">
      <c r="A536" s="28" t="s">
        <v>5</v>
      </c>
      <c r="B536" s="56" t="s">
        <v>1576</v>
      </c>
      <c r="C536" s="175" t="s">
        <v>1577</v>
      </c>
      <c r="D536" s="83" t="s">
        <v>20</v>
      </c>
      <c r="E536" s="28" t="s">
        <v>88</v>
      </c>
      <c r="F536" s="65" t="s">
        <v>89</v>
      </c>
      <c r="G536" s="28"/>
      <c r="H536" s="31"/>
      <c r="I536" s="9"/>
      <c r="J536" s="9"/>
      <c r="K536" s="9"/>
      <c r="L536" s="9"/>
      <c r="M536" s="15"/>
      <c r="N536" s="15"/>
      <c r="O536" s="15"/>
      <c r="P536" s="15"/>
      <c r="Q536" s="15"/>
      <c r="R536" s="15"/>
      <c r="S536" s="15"/>
      <c r="T536" s="15"/>
      <c r="U536" s="15"/>
      <c r="V536" s="15"/>
      <c r="W536" s="15"/>
      <c r="X536" s="15"/>
      <c r="Y536" s="15"/>
      <c r="Z536" s="15"/>
      <c r="AA536" s="15"/>
      <c r="AB536" s="15"/>
      <c r="AC536" s="15"/>
      <c r="AD536" s="15"/>
      <c r="AE536" s="15"/>
      <c r="AF536" s="15"/>
      <c r="AG536" s="15"/>
      <c r="AH536" s="15"/>
    </row>
    <row r="537" ht="15.75" customHeight="1">
      <c r="A537" s="28" t="s">
        <v>5</v>
      </c>
      <c r="E537" s="28" t="s">
        <v>21</v>
      </c>
      <c r="F537" s="65" t="s">
        <v>51</v>
      </c>
      <c r="G537" s="166" t="s">
        <v>1578</v>
      </c>
      <c r="H537" s="31" t="s">
        <v>51</v>
      </c>
      <c r="I537" s="9"/>
      <c r="J537" s="9"/>
      <c r="K537" s="9"/>
      <c r="L537" s="9"/>
      <c r="M537" s="15"/>
      <c r="N537" s="15"/>
      <c r="O537" s="15"/>
      <c r="P537" s="15"/>
      <c r="Q537" s="15"/>
      <c r="R537" s="15"/>
      <c r="S537" s="15"/>
      <c r="T537" s="15"/>
      <c r="U537" s="15"/>
      <c r="V537" s="15"/>
      <c r="W537" s="15"/>
      <c r="X537" s="15"/>
      <c r="Y537" s="15"/>
      <c r="Z537" s="15"/>
      <c r="AA537" s="15"/>
      <c r="AB537" s="15"/>
      <c r="AC537" s="15"/>
      <c r="AD537" s="15"/>
      <c r="AE537" s="15"/>
      <c r="AF537" s="15"/>
      <c r="AG537" s="15"/>
      <c r="AH537" s="15"/>
    </row>
    <row r="538" ht="15.75" customHeight="1">
      <c r="A538" s="28" t="s">
        <v>5</v>
      </c>
      <c r="E538" s="28" t="s">
        <v>88</v>
      </c>
      <c r="F538" s="65" t="s">
        <v>696</v>
      </c>
      <c r="G538" s="166" t="s">
        <v>1579</v>
      </c>
      <c r="H538" s="31" t="s">
        <v>696</v>
      </c>
      <c r="I538" s="9"/>
      <c r="J538" s="9"/>
      <c r="K538" s="9"/>
      <c r="L538" s="9"/>
      <c r="M538" s="15"/>
      <c r="N538" s="15"/>
      <c r="O538" s="15"/>
      <c r="P538" s="15"/>
      <c r="Q538" s="15"/>
      <c r="R538" s="15"/>
      <c r="S538" s="15"/>
      <c r="T538" s="15"/>
      <c r="U538" s="15"/>
      <c r="V538" s="15"/>
      <c r="W538" s="15"/>
      <c r="X538" s="15"/>
      <c r="Y538" s="15"/>
      <c r="Z538" s="15"/>
      <c r="AA538" s="15"/>
      <c r="AB538" s="15"/>
      <c r="AC538" s="15"/>
      <c r="AD538" s="15"/>
      <c r="AE538" s="15"/>
      <c r="AF538" s="15"/>
      <c r="AG538" s="15"/>
      <c r="AH538" s="15"/>
    </row>
    <row r="539" ht="15.75" customHeight="1">
      <c r="A539" s="28" t="s">
        <v>5</v>
      </c>
      <c r="E539" s="28" t="s">
        <v>88</v>
      </c>
      <c r="F539" s="65" t="s">
        <v>95</v>
      </c>
      <c r="G539" s="166" t="s">
        <v>1580</v>
      </c>
      <c r="H539" s="31" t="s">
        <v>95</v>
      </c>
      <c r="I539" s="9"/>
      <c r="J539" s="9"/>
      <c r="K539" s="9"/>
      <c r="L539" s="9"/>
      <c r="M539" s="15"/>
      <c r="N539" s="15"/>
      <c r="O539" s="15"/>
      <c r="P539" s="15"/>
      <c r="Q539" s="15"/>
      <c r="R539" s="15"/>
      <c r="S539" s="15"/>
      <c r="T539" s="15"/>
      <c r="U539" s="15"/>
      <c r="V539" s="15"/>
      <c r="W539" s="15"/>
      <c r="X539" s="15"/>
      <c r="Y539" s="15"/>
      <c r="Z539" s="15"/>
      <c r="AA539" s="15"/>
      <c r="AB539" s="15"/>
      <c r="AC539" s="15"/>
      <c r="AD539" s="15"/>
      <c r="AE539" s="15"/>
      <c r="AF539" s="15"/>
      <c r="AG539" s="15"/>
      <c r="AH539" s="15"/>
    </row>
    <row r="540" ht="15.75" customHeight="1">
      <c r="A540" s="28" t="s">
        <v>5</v>
      </c>
      <c r="E540" s="28" t="s">
        <v>88</v>
      </c>
      <c r="F540" s="65" t="s">
        <v>122</v>
      </c>
      <c r="G540" s="166" t="s">
        <v>1581</v>
      </c>
      <c r="H540" s="31" t="s">
        <v>122</v>
      </c>
      <c r="I540" s="9"/>
      <c r="J540" s="9"/>
      <c r="K540" s="9"/>
      <c r="L540" s="9"/>
      <c r="M540" s="15"/>
      <c r="N540" s="15"/>
      <c r="O540" s="15"/>
      <c r="P540" s="15"/>
      <c r="Q540" s="15"/>
      <c r="R540" s="15"/>
      <c r="S540" s="15"/>
      <c r="T540" s="15"/>
      <c r="U540" s="15"/>
      <c r="V540" s="15"/>
      <c r="W540" s="15"/>
      <c r="X540" s="15"/>
      <c r="Y540" s="15"/>
      <c r="Z540" s="15"/>
      <c r="AA540" s="15"/>
      <c r="AB540" s="15"/>
      <c r="AC540" s="15"/>
      <c r="AD540" s="15"/>
      <c r="AE540" s="15"/>
      <c r="AF540" s="15"/>
      <c r="AG540" s="15"/>
      <c r="AH540" s="15"/>
    </row>
    <row r="541" ht="15.75" customHeight="1">
      <c r="A541" s="28" t="s">
        <v>5</v>
      </c>
      <c r="E541" s="28" t="s">
        <v>88</v>
      </c>
      <c r="F541" s="65" t="s">
        <v>89</v>
      </c>
      <c r="G541" s="28"/>
      <c r="H541" s="31"/>
      <c r="I541" s="9"/>
      <c r="J541" s="9"/>
      <c r="K541" s="9"/>
      <c r="L541" s="9"/>
      <c r="M541" s="15"/>
      <c r="N541" s="15"/>
      <c r="O541" s="15"/>
      <c r="P541" s="15"/>
      <c r="Q541" s="15"/>
      <c r="R541" s="15"/>
      <c r="S541" s="15"/>
      <c r="T541" s="15"/>
      <c r="U541" s="15"/>
      <c r="V541" s="15"/>
      <c r="W541" s="15"/>
      <c r="X541" s="15"/>
      <c r="Y541" s="15"/>
      <c r="Z541" s="15"/>
      <c r="AA541" s="15"/>
      <c r="AB541" s="15"/>
      <c r="AC541" s="15"/>
      <c r="AD541" s="15"/>
      <c r="AE541" s="15"/>
      <c r="AF541" s="15"/>
      <c r="AG541" s="15"/>
      <c r="AH541" s="15"/>
    </row>
    <row r="542" ht="15.75" customHeight="1">
      <c r="A542" s="28" t="s">
        <v>5</v>
      </c>
      <c r="E542" s="28" t="s">
        <v>88</v>
      </c>
      <c r="F542" s="65" t="s">
        <v>795</v>
      </c>
      <c r="G542" s="28"/>
      <c r="H542" s="31"/>
      <c r="I542" s="31"/>
      <c r="J542" s="31"/>
      <c r="K542" s="9"/>
      <c r="L542" s="9"/>
      <c r="M542" s="15"/>
      <c r="N542" s="15"/>
      <c r="O542" s="15"/>
      <c r="P542" s="15"/>
      <c r="Q542" s="15"/>
      <c r="R542" s="15"/>
      <c r="S542" s="15"/>
      <c r="T542" s="15"/>
      <c r="U542" s="15"/>
      <c r="V542" s="15"/>
      <c r="W542" s="15"/>
      <c r="X542" s="15"/>
      <c r="Y542" s="15"/>
      <c r="Z542" s="15"/>
      <c r="AA542" s="15"/>
      <c r="AB542" s="15"/>
      <c r="AC542" s="15"/>
      <c r="AD542" s="15"/>
      <c r="AE542" s="15"/>
      <c r="AF542" s="15"/>
      <c r="AG542" s="15"/>
      <c r="AH542" s="15"/>
    </row>
    <row r="543" ht="15.75" customHeight="1">
      <c r="A543" s="28" t="s">
        <v>5</v>
      </c>
      <c r="B543" s="190" t="s">
        <v>1582</v>
      </c>
      <c r="C543" s="175" t="s">
        <v>1583</v>
      </c>
      <c r="D543" s="83" t="s">
        <v>20</v>
      </c>
      <c r="E543" s="28" t="s">
        <v>21</v>
      </c>
      <c r="F543" s="65" t="s">
        <v>51</v>
      </c>
      <c r="G543" s="166" t="s">
        <v>1584</v>
      </c>
      <c r="H543" s="31" t="s">
        <v>51</v>
      </c>
      <c r="I543" s="9"/>
      <c r="J543" s="9"/>
      <c r="K543" s="9"/>
      <c r="L543" s="9"/>
      <c r="M543" s="15"/>
      <c r="N543" s="15"/>
      <c r="O543" s="15"/>
      <c r="P543" s="15"/>
      <c r="Q543" s="15"/>
      <c r="R543" s="15"/>
      <c r="S543" s="15"/>
      <c r="T543" s="15"/>
      <c r="U543" s="15"/>
      <c r="V543" s="15"/>
      <c r="W543" s="15"/>
      <c r="X543" s="15"/>
      <c r="Y543" s="15"/>
      <c r="Z543" s="15"/>
      <c r="AA543" s="15"/>
      <c r="AB543" s="15"/>
      <c r="AC543" s="15"/>
      <c r="AD543" s="15"/>
      <c r="AE543" s="15"/>
      <c r="AF543" s="15"/>
      <c r="AG543" s="15"/>
      <c r="AH543" s="15"/>
    </row>
    <row r="544" ht="15.75" customHeight="1">
      <c r="A544" s="28" t="s">
        <v>5</v>
      </c>
      <c r="E544" s="28" t="s">
        <v>88</v>
      </c>
      <c r="F544" s="65" t="s">
        <v>696</v>
      </c>
      <c r="G544" s="166" t="s">
        <v>1585</v>
      </c>
      <c r="H544" s="31" t="s">
        <v>696</v>
      </c>
      <c r="I544" s="9"/>
      <c r="J544" s="9"/>
      <c r="K544" s="9"/>
      <c r="L544" s="9"/>
      <c r="M544" s="15"/>
      <c r="N544" s="15"/>
      <c r="O544" s="15"/>
      <c r="P544" s="15"/>
      <c r="Q544" s="15"/>
      <c r="R544" s="15"/>
      <c r="S544" s="15"/>
      <c r="T544" s="15"/>
      <c r="U544" s="15"/>
      <c r="V544" s="15"/>
      <c r="W544" s="15"/>
      <c r="X544" s="15"/>
      <c r="Y544" s="15"/>
      <c r="Z544" s="15"/>
      <c r="AA544" s="15"/>
      <c r="AB544" s="15"/>
      <c r="AC544" s="15"/>
      <c r="AD544" s="15"/>
      <c r="AE544" s="15"/>
      <c r="AF544" s="15"/>
      <c r="AG544" s="15"/>
      <c r="AH544" s="15"/>
    </row>
    <row r="545" ht="15.75" customHeight="1">
      <c r="A545" s="28" t="s">
        <v>5</v>
      </c>
      <c r="E545" s="28" t="s">
        <v>88</v>
      </c>
      <c r="F545" s="65" t="s">
        <v>698</v>
      </c>
      <c r="G545" s="166" t="s">
        <v>1586</v>
      </c>
      <c r="H545" s="31" t="s">
        <v>698</v>
      </c>
      <c r="I545" s="9"/>
      <c r="J545" s="9"/>
      <c r="K545" s="9"/>
      <c r="L545" s="9"/>
      <c r="M545" s="15"/>
      <c r="N545" s="15"/>
      <c r="O545" s="15"/>
      <c r="P545" s="15"/>
      <c r="Q545" s="15"/>
      <c r="R545" s="15"/>
      <c r="S545" s="15"/>
      <c r="T545" s="15"/>
      <c r="U545" s="15"/>
      <c r="V545" s="15"/>
      <c r="W545" s="15"/>
      <c r="X545" s="15"/>
      <c r="Y545" s="15"/>
      <c r="Z545" s="15"/>
      <c r="AA545" s="15"/>
      <c r="AB545" s="15"/>
      <c r="AC545" s="15"/>
      <c r="AD545" s="15"/>
      <c r="AE545" s="15"/>
      <c r="AF545" s="15"/>
      <c r="AG545" s="15"/>
      <c r="AH545" s="15"/>
    </row>
    <row r="546" ht="15.75" customHeight="1">
      <c r="A546" s="28" t="s">
        <v>5</v>
      </c>
      <c r="E546" s="28" t="s">
        <v>88</v>
      </c>
      <c r="F546" s="65" t="s">
        <v>95</v>
      </c>
      <c r="G546" s="166" t="s">
        <v>1587</v>
      </c>
      <c r="H546" s="31" t="s">
        <v>95</v>
      </c>
      <c r="I546" s="9"/>
      <c r="J546" s="9"/>
      <c r="K546" s="9"/>
      <c r="L546" s="9"/>
      <c r="M546" s="15"/>
      <c r="N546" s="15"/>
      <c r="O546" s="15"/>
      <c r="P546" s="15"/>
      <c r="Q546" s="15"/>
      <c r="R546" s="15"/>
      <c r="S546" s="15"/>
      <c r="T546" s="15"/>
      <c r="U546" s="15"/>
      <c r="V546" s="15"/>
      <c r="W546" s="15"/>
      <c r="X546" s="15"/>
      <c r="Y546" s="15"/>
      <c r="Z546" s="15"/>
      <c r="AA546" s="15"/>
      <c r="AB546" s="15"/>
      <c r="AC546" s="15"/>
      <c r="AD546" s="15"/>
      <c r="AE546" s="15"/>
      <c r="AF546" s="15"/>
      <c r="AG546" s="15"/>
      <c r="AH546" s="15"/>
    </row>
    <row r="547" ht="15.75" customHeight="1">
      <c r="A547" s="28" t="s">
        <v>5</v>
      </c>
      <c r="E547" s="28" t="s">
        <v>88</v>
      </c>
      <c r="F547" s="65" t="s">
        <v>122</v>
      </c>
      <c r="G547" s="166" t="s">
        <v>1588</v>
      </c>
      <c r="H547" s="31" t="s">
        <v>122</v>
      </c>
      <c r="I547" s="9"/>
      <c r="J547" s="9"/>
      <c r="K547" s="9"/>
      <c r="L547" s="9"/>
      <c r="M547" s="15"/>
      <c r="N547" s="15"/>
      <c r="O547" s="15"/>
      <c r="P547" s="15"/>
      <c r="Q547" s="15"/>
      <c r="R547" s="15"/>
      <c r="S547" s="15"/>
      <c r="T547" s="15"/>
      <c r="U547" s="15"/>
      <c r="V547" s="15"/>
      <c r="W547" s="15"/>
      <c r="X547" s="15"/>
      <c r="Y547" s="15"/>
      <c r="Z547" s="15"/>
      <c r="AA547" s="15"/>
      <c r="AB547" s="15"/>
      <c r="AC547" s="15"/>
      <c r="AD547" s="15"/>
      <c r="AE547" s="15"/>
      <c r="AF547" s="15"/>
      <c r="AG547" s="15"/>
      <c r="AH547" s="15"/>
    </row>
    <row r="548" ht="15.75" customHeight="1">
      <c r="A548" s="28" t="s">
        <v>5</v>
      </c>
      <c r="E548" s="28" t="s">
        <v>88</v>
      </c>
      <c r="F548" s="65" t="s">
        <v>89</v>
      </c>
      <c r="G548" s="28"/>
      <c r="H548" s="31"/>
      <c r="I548" s="9"/>
      <c r="J548" s="9"/>
      <c r="K548" s="9"/>
      <c r="L548" s="9"/>
      <c r="M548" s="15"/>
      <c r="N548" s="15"/>
      <c r="O548" s="15"/>
      <c r="P548" s="15"/>
      <c r="Q548" s="15"/>
      <c r="R548" s="15"/>
      <c r="S548" s="15"/>
      <c r="T548" s="15"/>
      <c r="U548" s="15"/>
      <c r="V548" s="15"/>
      <c r="W548" s="15"/>
      <c r="X548" s="15"/>
      <c r="Y548" s="15"/>
      <c r="Z548" s="15"/>
      <c r="AA548" s="15"/>
      <c r="AB548" s="15"/>
      <c r="AC548" s="15"/>
      <c r="AD548" s="15"/>
      <c r="AE548" s="15"/>
      <c r="AF548" s="15"/>
      <c r="AG548" s="15"/>
      <c r="AH548" s="15"/>
    </row>
    <row r="549" ht="15.75" customHeight="1">
      <c r="A549" s="28" t="s">
        <v>5</v>
      </c>
      <c r="E549" s="28" t="s">
        <v>88</v>
      </c>
      <c r="F549" s="65" t="s">
        <v>795</v>
      </c>
      <c r="G549" s="28"/>
      <c r="H549" s="31"/>
      <c r="I549" s="9"/>
      <c r="J549" s="9"/>
      <c r="K549" s="9"/>
      <c r="L549" s="9"/>
      <c r="M549" s="15"/>
      <c r="N549" s="15"/>
      <c r="O549" s="15"/>
      <c r="P549" s="15"/>
      <c r="Q549" s="15"/>
      <c r="R549" s="15"/>
      <c r="S549" s="15"/>
      <c r="T549" s="15"/>
      <c r="U549" s="15"/>
      <c r="V549" s="15"/>
      <c r="W549" s="15"/>
      <c r="X549" s="15"/>
      <c r="Y549" s="15"/>
      <c r="Z549" s="15"/>
      <c r="AA549" s="15"/>
      <c r="AB549" s="15"/>
      <c r="AC549" s="15"/>
      <c r="AD549" s="15"/>
      <c r="AE549" s="15"/>
      <c r="AF549" s="15"/>
      <c r="AG549" s="15"/>
      <c r="AH549" s="15"/>
    </row>
    <row r="550" ht="15.75" customHeight="1">
      <c r="A550" s="28" t="s">
        <v>5</v>
      </c>
      <c r="B550" s="190" t="s">
        <v>1589</v>
      </c>
      <c r="C550" s="175" t="s">
        <v>245</v>
      </c>
      <c r="D550" s="83" t="s">
        <v>20</v>
      </c>
      <c r="E550" s="28" t="s">
        <v>21</v>
      </c>
      <c r="F550" s="65" t="s">
        <v>51</v>
      </c>
      <c r="G550" s="168" t="s">
        <v>1590</v>
      </c>
      <c r="H550" s="36"/>
      <c r="L550" s="9"/>
      <c r="M550" s="15"/>
      <c r="N550" s="15"/>
      <c r="O550" s="15"/>
      <c r="P550" s="15"/>
      <c r="Q550" s="15"/>
      <c r="R550" s="15"/>
      <c r="S550" s="15"/>
      <c r="T550" s="15"/>
      <c r="U550" s="15"/>
      <c r="V550" s="15"/>
      <c r="W550" s="15"/>
      <c r="X550" s="15"/>
      <c r="Y550" s="15"/>
      <c r="Z550" s="15"/>
      <c r="AA550" s="15"/>
      <c r="AB550" s="15"/>
      <c r="AC550" s="15"/>
      <c r="AD550" s="15"/>
      <c r="AE550" s="15"/>
      <c r="AF550" s="15"/>
      <c r="AG550" s="15"/>
      <c r="AH550" s="15"/>
    </row>
    <row r="551" ht="15.75" customHeight="1">
      <c r="A551" s="28" t="s">
        <v>5</v>
      </c>
      <c r="E551" s="28" t="s">
        <v>88</v>
      </c>
      <c r="F551" s="65" t="s">
        <v>245</v>
      </c>
      <c r="G551" s="166" t="s">
        <v>1591</v>
      </c>
      <c r="H551" s="31" t="s">
        <v>245</v>
      </c>
      <c r="I551" s="9"/>
      <c r="J551" s="9"/>
      <c r="K551" s="9"/>
      <c r="L551" s="9"/>
      <c r="M551" s="15"/>
      <c r="N551" s="15"/>
      <c r="O551" s="15"/>
      <c r="P551" s="15"/>
      <c r="Q551" s="15"/>
      <c r="R551" s="15"/>
      <c r="S551" s="15"/>
      <c r="T551" s="15"/>
      <c r="U551" s="15"/>
      <c r="V551" s="15"/>
      <c r="W551" s="15"/>
      <c r="X551" s="15"/>
      <c r="Y551" s="15"/>
      <c r="Z551" s="15"/>
      <c r="AA551" s="15"/>
      <c r="AB551" s="15"/>
      <c r="AC551" s="15"/>
      <c r="AD551" s="15"/>
      <c r="AE551" s="15"/>
      <c r="AF551" s="15"/>
      <c r="AG551" s="15"/>
      <c r="AH551" s="15"/>
    </row>
    <row r="552" ht="15.75" customHeight="1">
      <c r="A552" s="28" t="s">
        <v>5</v>
      </c>
      <c r="E552" s="28" t="s">
        <v>88</v>
      </c>
      <c r="F552" s="65" t="s">
        <v>95</v>
      </c>
      <c r="G552" s="166" t="s">
        <v>1592</v>
      </c>
      <c r="H552" s="31" t="s">
        <v>95</v>
      </c>
      <c r="I552" s="9"/>
      <c r="J552" s="9"/>
      <c r="K552" s="9"/>
      <c r="L552" s="9"/>
      <c r="M552" s="15"/>
      <c r="N552" s="15"/>
      <c r="O552" s="15"/>
      <c r="P552" s="15"/>
      <c r="Q552" s="15"/>
      <c r="R552" s="15"/>
      <c r="S552" s="15"/>
      <c r="T552" s="15"/>
      <c r="U552" s="15"/>
      <c r="V552" s="15"/>
      <c r="W552" s="15"/>
      <c r="X552" s="15"/>
      <c r="Y552" s="15"/>
      <c r="Z552" s="15"/>
      <c r="AA552" s="15"/>
      <c r="AB552" s="15"/>
      <c r="AC552" s="15"/>
      <c r="AD552" s="15"/>
      <c r="AE552" s="15"/>
      <c r="AF552" s="15"/>
      <c r="AG552" s="15"/>
      <c r="AH552" s="15"/>
    </row>
    <row r="553" ht="15.75" customHeight="1">
      <c r="A553" s="28" t="s">
        <v>5</v>
      </c>
      <c r="E553" s="28" t="s">
        <v>88</v>
      </c>
      <c r="F553" s="65" t="s">
        <v>122</v>
      </c>
      <c r="G553" s="166" t="s">
        <v>1593</v>
      </c>
      <c r="H553" s="31" t="s">
        <v>122</v>
      </c>
      <c r="I553" s="9"/>
      <c r="J553" s="9"/>
      <c r="K553" s="9"/>
      <c r="L553" s="9"/>
      <c r="M553" s="15"/>
      <c r="N553" s="15"/>
      <c r="O553" s="15"/>
      <c r="P553" s="15"/>
      <c r="Q553" s="15"/>
      <c r="R553" s="15"/>
      <c r="S553" s="15"/>
      <c r="T553" s="15"/>
      <c r="U553" s="15"/>
      <c r="V553" s="15"/>
      <c r="W553" s="15"/>
      <c r="X553" s="15"/>
      <c r="Y553" s="15"/>
      <c r="Z553" s="15"/>
      <c r="AA553" s="15"/>
      <c r="AB553" s="15"/>
      <c r="AC553" s="15"/>
      <c r="AD553" s="15"/>
      <c r="AE553" s="15"/>
      <c r="AF553" s="15"/>
      <c r="AG553" s="15"/>
      <c r="AH553" s="15"/>
    </row>
    <row r="554" ht="15.75" customHeight="1">
      <c r="A554" s="28" t="s">
        <v>5</v>
      </c>
      <c r="E554" s="28" t="s">
        <v>88</v>
      </c>
      <c r="F554" s="65" t="s">
        <v>89</v>
      </c>
      <c r="G554" s="28"/>
      <c r="H554" s="31"/>
      <c r="I554" s="9"/>
      <c r="J554" s="9"/>
      <c r="K554" s="9"/>
      <c r="L554" s="9"/>
      <c r="M554" s="15"/>
      <c r="N554" s="15"/>
      <c r="O554" s="15"/>
      <c r="P554" s="15"/>
      <c r="Q554" s="15"/>
      <c r="R554" s="15"/>
      <c r="S554" s="15"/>
      <c r="T554" s="15"/>
      <c r="U554" s="15"/>
      <c r="V554" s="15"/>
      <c r="W554" s="15"/>
      <c r="X554" s="15"/>
      <c r="Y554" s="15"/>
      <c r="Z554" s="15"/>
      <c r="AA554" s="15"/>
      <c r="AB554" s="15"/>
      <c r="AC554" s="15"/>
      <c r="AD554" s="15"/>
      <c r="AE554" s="15"/>
      <c r="AF554" s="15"/>
      <c r="AG554" s="15"/>
      <c r="AH554" s="15"/>
    </row>
    <row r="555" ht="15.75" customHeight="1">
      <c r="A555" s="28" t="s">
        <v>5</v>
      </c>
      <c r="E555" s="28" t="s">
        <v>88</v>
      </c>
      <c r="F555" s="65" t="s">
        <v>795</v>
      </c>
      <c r="G555" s="28"/>
      <c r="H555" s="31"/>
      <c r="I555" s="9"/>
      <c r="J555" s="9"/>
      <c r="K555" s="9"/>
      <c r="L555" s="9"/>
      <c r="M555" s="15"/>
      <c r="N555" s="15"/>
      <c r="O555" s="15"/>
      <c r="P555" s="15"/>
      <c r="Q555" s="15"/>
      <c r="R555" s="15"/>
      <c r="S555" s="15"/>
      <c r="T555" s="15"/>
      <c r="U555" s="15"/>
      <c r="V555" s="15"/>
      <c r="W555" s="15"/>
      <c r="X555" s="15"/>
      <c r="Y555" s="15"/>
      <c r="Z555" s="15"/>
      <c r="AA555" s="15"/>
      <c r="AB555" s="15"/>
      <c r="AC555" s="15"/>
      <c r="AD555" s="15"/>
      <c r="AE555" s="15"/>
      <c r="AF555" s="15"/>
      <c r="AG555" s="15"/>
      <c r="AH555" s="15"/>
    </row>
    <row r="556" ht="15.75" customHeight="1">
      <c r="A556" s="28" t="s">
        <v>5</v>
      </c>
      <c r="B556" s="190" t="s">
        <v>1594</v>
      </c>
      <c r="C556" s="175" t="s">
        <v>1595</v>
      </c>
      <c r="D556" s="83" t="s">
        <v>20</v>
      </c>
      <c r="E556" s="28" t="s">
        <v>21</v>
      </c>
      <c r="F556" s="65" t="s">
        <v>51</v>
      </c>
      <c r="G556" s="192" t="s">
        <v>1596</v>
      </c>
      <c r="H556" s="36"/>
      <c r="I556" s="36"/>
      <c r="L556" s="9"/>
      <c r="M556" s="15"/>
      <c r="N556" s="15"/>
      <c r="O556" s="15"/>
      <c r="P556" s="15"/>
      <c r="Q556" s="15"/>
      <c r="R556" s="15"/>
      <c r="S556" s="15"/>
      <c r="T556" s="15"/>
      <c r="U556" s="15"/>
      <c r="V556" s="15"/>
      <c r="W556" s="15"/>
      <c r="X556" s="15"/>
      <c r="Y556" s="15"/>
      <c r="Z556" s="15"/>
      <c r="AA556" s="15"/>
      <c r="AB556" s="15"/>
      <c r="AC556" s="15"/>
      <c r="AD556" s="15"/>
      <c r="AE556" s="15"/>
      <c r="AF556" s="15"/>
      <c r="AG556" s="15"/>
      <c r="AH556" s="15"/>
    </row>
    <row r="557" ht="15.75" customHeight="1">
      <c r="A557" s="28" t="s">
        <v>5</v>
      </c>
      <c r="E557" s="28" t="s">
        <v>88</v>
      </c>
      <c r="F557" s="65" t="s">
        <v>245</v>
      </c>
      <c r="G557" s="165" t="s">
        <v>1597</v>
      </c>
      <c r="H557" s="31" t="s">
        <v>245</v>
      </c>
      <c r="I557" s="31"/>
      <c r="J557" s="9"/>
      <c r="K557" s="9"/>
      <c r="L557" s="9"/>
      <c r="M557" s="15"/>
      <c r="N557" s="15"/>
      <c r="O557" s="15"/>
      <c r="P557" s="15"/>
      <c r="Q557" s="15"/>
      <c r="R557" s="15"/>
      <c r="S557" s="15"/>
      <c r="T557" s="15"/>
      <c r="U557" s="15"/>
      <c r="V557" s="15"/>
      <c r="W557" s="15"/>
      <c r="X557" s="15"/>
      <c r="Y557" s="15"/>
      <c r="Z557" s="15"/>
      <c r="AA557" s="15"/>
      <c r="AB557" s="15"/>
      <c r="AC557" s="15"/>
      <c r="AD557" s="15"/>
      <c r="AE557" s="15"/>
      <c r="AF557" s="15"/>
      <c r="AG557" s="15"/>
      <c r="AH557" s="15"/>
    </row>
    <row r="558" ht="15.75" customHeight="1">
      <c r="A558" s="28" t="s">
        <v>5</v>
      </c>
      <c r="E558" s="28" t="s">
        <v>88</v>
      </c>
      <c r="F558" s="65" t="s">
        <v>95</v>
      </c>
      <c r="G558" s="165" t="s">
        <v>1598</v>
      </c>
      <c r="H558" s="31" t="s">
        <v>95</v>
      </c>
      <c r="I558" s="31"/>
      <c r="J558" s="9"/>
      <c r="K558" s="9"/>
      <c r="L558" s="9"/>
      <c r="M558" s="15"/>
      <c r="N558" s="15"/>
      <c r="O558" s="15"/>
      <c r="P558" s="15"/>
      <c r="Q558" s="15"/>
      <c r="R558" s="15"/>
      <c r="S558" s="15"/>
      <c r="T558" s="15"/>
      <c r="U558" s="15"/>
      <c r="V558" s="15"/>
      <c r="W558" s="15"/>
      <c r="X558" s="15"/>
      <c r="Y558" s="15"/>
      <c r="Z558" s="15"/>
      <c r="AA558" s="15"/>
      <c r="AB558" s="15"/>
      <c r="AC558" s="15"/>
      <c r="AD558" s="15"/>
      <c r="AE558" s="15"/>
      <c r="AF558" s="15"/>
      <c r="AG558" s="15"/>
      <c r="AH558" s="15"/>
    </row>
    <row r="559" ht="15.75" customHeight="1">
      <c r="A559" s="28" t="s">
        <v>5</v>
      </c>
      <c r="E559" s="28" t="s">
        <v>88</v>
      </c>
      <c r="F559" s="65" t="s">
        <v>122</v>
      </c>
      <c r="G559" s="165" t="s">
        <v>1599</v>
      </c>
      <c r="H559" s="31" t="s">
        <v>122</v>
      </c>
      <c r="I559" s="31"/>
      <c r="J559" s="9"/>
      <c r="K559" s="9"/>
      <c r="L559" s="9"/>
      <c r="M559" s="15"/>
      <c r="N559" s="15"/>
      <c r="O559" s="15"/>
      <c r="P559" s="15"/>
      <c r="Q559" s="15"/>
      <c r="R559" s="15"/>
      <c r="S559" s="15"/>
      <c r="T559" s="15"/>
      <c r="U559" s="15"/>
      <c r="V559" s="15"/>
      <c r="W559" s="15"/>
      <c r="X559" s="15"/>
      <c r="Y559" s="15"/>
      <c r="Z559" s="15"/>
      <c r="AA559" s="15"/>
      <c r="AB559" s="15"/>
      <c r="AC559" s="15"/>
      <c r="AD559" s="15"/>
      <c r="AE559" s="15"/>
      <c r="AF559" s="15"/>
      <c r="AG559" s="15"/>
      <c r="AH559" s="15"/>
    </row>
    <row r="560" ht="15.75" customHeight="1">
      <c r="A560" s="28" t="s">
        <v>5</v>
      </c>
      <c r="E560" s="28" t="s">
        <v>88</v>
      </c>
      <c r="F560" s="65" t="s">
        <v>89</v>
      </c>
      <c r="G560" s="35"/>
      <c r="H560" s="31"/>
      <c r="I560" s="31"/>
      <c r="J560" s="9"/>
      <c r="K560" s="9"/>
      <c r="L560" s="9"/>
      <c r="M560" s="15"/>
      <c r="N560" s="15"/>
      <c r="O560" s="15"/>
      <c r="P560" s="15"/>
      <c r="Q560" s="15"/>
      <c r="R560" s="15"/>
      <c r="S560" s="15"/>
      <c r="T560" s="15"/>
      <c r="U560" s="15"/>
      <c r="V560" s="15"/>
      <c r="W560" s="15"/>
      <c r="X560" s="15"/>
      <c r="Y560" s="15"/>
      <c r="Z560" s="15"/>
      <c r="AA560" s="15"/>
      <c r="AB560" s="15"/>
      <c r="AC560" s="15"/>
      <c r="AD560" s="15"/>
      <c r="AE560" s="15"/>
      <c r="AF560" s="15"/>
      <c r="AG560" s="15"/>
      <c r="AH560" s="15"/>
    </row>
    <row r="561" ht="15.75" customHeight="1">
      <c r="A561" s="28" t="s">
        <v>5</v>
      </c>
      <c r="E561" s="28" t="s">
        <v>88</v>
      </c>
      <c r="F561" s="65" t="s">
        <v>795</v>
      </c>
      <c r="G561" s="28"/>
      <c r="H561" s="31"/>
      <c r="I561" s="9"/>
      <c r="J561" s="9"/>
      <c r="K561" s="9"/>
      <c r="L561" s="9"/>
      <c r="M561" s="15"/>
      <c r="N561" s="15"/>
      <c r="O561" s="15"/>
      <c r="P561" s="15"/>
      <c r="Q561" s="15"/>
      <c r="R561" s="15"/>
      <c r="S561" s="15"/>
      <c r="T561" s="15"/>
      <c r="U561" s="15"/>
      <c r="V561" s="15"/>
      <c r="W561" s="15"/>
      <c r="X561" s="15"/>
      <c r="Y561" s="15"/>
      <c r="Z561" s="15"/>
      <c r="AA561" s="15"/>
      <c r="AB561" s="15"/>
      <c r="AC561" s="15"/>
      <c r="AD561" s="15"/>
      <c r="AE561" s="15"/>
      <c r="AF561" s="15"/>
      <c r="AG561" s="15"/>
      <c r="AH561" s="15"/>
    </row>
    <row r="562" ht="15.75" customHeight="1">
      <c r="A562" s="28" t="s">
        <v>5</v>
      </c>
      <c r="B562" s="56" t="s">
        <v>1600</v>
      </c>
      <c r="C562" s="83" t="s">
        <v>1601</v>
      </c>
      <c r="D562" s="83" t="s">
        <v>20</v>
      </c>
      <c r="E562" s="28" t="s">
        <v>21</v>
      </c>
      <c r="F562" s="65" t="s">
        <v>51</v>
      </c>
      <c r="G562" s="166" t="s">
        <v>1602</v>
      </c>
      <c r="H562" s="31" t="s">
        <v>51</v>
      </c>
      <c r="I562" s="31"/>
      <c r="J562" s="9"/>
      <c r="K562" s="9"/>
      <c r="L562" s="9"/>
      <c r="M562" s="15"/>
      <c r="N562" s="15"/>
      <c r="O562" s="15"/>
      <c r="P562" s="15"/>
      <c r="Q562" s="15"/>
      <c r="R562" s="15"/>
      <c r="S562" s="15"/>
      <c r="T562" s="15"/>
      <c r="U562" s="15"/>
      <c r="V562" s="15"/>
      <c r="W562" s="15"/>
      <c r="X562" s="15"/>
      <c r="Y562" s="15"/>
      <c r="Z562" s="15"/>
      <c r="AA562" s="15"/>
      <c r="AB562" s="15"/>
      <c r="AC562" s="15"/>
      <c r="AD562" s="15"/>
      <c r="AE562" s="15"/>
      <c r="AF562" s="15"/>
      <c r="AG562" s="15"/>
      <c r="AH562" s="15"/>
    </row>
    <row r="563" ht="15.75" customHeight="1">
      <c r="A563" s="28" t="s">
        <v>5</v>
      </c>
      <c r="E563" s="28" t="s">
        <v>88</v>
      </c>
      <c r="F563" s="65" t="s">
        <v>285</v>
      </c>
      <c r="G563" s="166" t="s">
        <v>1603</v>
      </c>
      <c r="H563" s="31" t="s">
        <v>285</v>
      </c>
      <c r="I563" s="31"/>
      <c r="J563" s="9"/>
      <c r="K563" s="9"/>
      <c r="L563" s="9"/>
      <c r="M563" s="15"/>
      <c r="N563" s="15"/>
      <c r="O563" s="15"/>
      <c r="P563" s="15"/>
      <c r="Q563" s="15"/>
      <c r="R563" s="15"/>
      <c r="S563" s="15"/>
      <c r="T563" s="15"/>
      <c r="U563" s="15"/>
      <c r="V563" s="15"/>
      <c r="W563" s="15"/>
      <c r="X563" s="15"/>
      <c r="Y563" s="15"/>
      <c r="Z563" s="15"/>
      <c r="AA563" s="15"/>
      <c r="AB563" s="15"/>
      <c r="AC563" s="15"/>
      <c r="AD563" s="15"/>
      <c r="AE563" s="15"/>
      <c r="AF563" s="15"/>
      <c r="AG563" s="15"/>
      <c r="AH563" s="15"/>
    </row>
    <row r="564" ht="15.75" customHeight="1">
      <c r="A564" s="28" t="s">
        <v>5</v>
      </c>
      <c r="E564" s="28" t="s">
        <v>88</v>
      </c>
      <c r="F564" s="65" t="s">
        <v>95</v>
      </c>
      <c r="G564" s="166" t="s">
        <v>1604</v>
      </c>
      <c r="H564" s="31" t="s">
        <v>95</v>
      </c>
      <c r="I564" s="31"/>
      <c r="J564" s="9"/>
      <c r="K564" s="9"/>
      <c r="L564" s="9"/>
      <c r="M564" s="15"/>
      <c r="N564" s="15"/>
      <c r="O564" s="15"/>
      <c r="P564" s="15"/>
      <c r="Q564" s="15"/>
      <c r="R564" s="15"/>
      <c r="S564" s="15"/>
      <c r="T564" s="15"/>
      <c r="U564" s="15"/>
      <c r="V564" s="15"/>
      <c r="W564" s="15"/>
      <c r="X564" s="15"/>
      <c r="Y564" s="15"/>
      <c r="Z564" s="15"/>
      <c r="AA564" s="15"/>
      <c r="AB564" s="15"/>
      <c r="AC564" s="15"/>
      <c r="AD564" s="15"/>
      <c r="AE564" s="15"/>
      <c r="AF564" s="15"/>
      <c r="AG564" s="15"/>
      <c r="AH564" s="15"/>
    </row>
    <row r="565" ht="15.75" customHeight="1">
      <c r="A565" s="28" t="s">
        <v>5</v>
      </c>
      <c r="E565" s="28" t="s">
        <v>88</v>
      </c>
      <c r="F565" s="65" t="s">
        <v>122</v>
      </c>
      <c r="G565" s="166" t="s">
        <v>1605</v>
      </c>
      <c r="H565" s="31" t="s">
        <v>122</v>
      </c>
      <c r="I565" s="31"/>
      <c r="J565" s="9"/>
      <c r="K565" s="9"/>
      <c r="L565" s="9"/>
      <c r="M565" s="15"/>
      <c r="N565" s="15"/>
      <c r="O565" s="15"/>
      <c r="P565" s="15"/>
      <c r="Q565" s="15"/>
      <c r="R565" s="15"/>
      <c r="S565" s="15"/>
      <c r="T565" s="15"/>
      <c r="U565" s="15"/>
      <c r="V565" s="15"/>
      <c r="W565" s="15"/>
      <c r="X565" s="15"/>
      <c r="Y565" s="15"/>
      <c r="Z565" s="15"/>
      <c r="AA565" s="15"/>
      <c r="AB565" s="15"/>
      <c r="AC565" s="15"/>
      <c r="AD565" s="15"/>
      <c r="AE565" s="15"/>
      <c r="AF565" s="15"/>
      <c r="AG565" s="15"/>
      <c r="AH565" s="15"/>
    </row>
    <row r="566" ht="15.75" customHeight="1">
      <c r="A566" s="28" t="s">
        <v>5</v>
      </c>
      <c r="E566" s="28" t="s">
        <v>88</v>
      </c>
      <c r="F566" s="65" t="s">
        <v>96</v>
      </c>
      <c r="G566" s="166" t="s">
        <v>1606</v>
      </c>
      <c r="H566" s="31" t="s">
        <v>96</v>
      </c>
      <c r="I566" s="9"/>
      <c r="J566" s="9"/>
      <c r="K566" s="9"/>
      <c r="L566" s="9"/>
      <c r="M566" s="15"/>
      <c r="N566" s="15"/>
      <c r="O566" s="15"/>
      <c r="P566" s="15"/>
      <c r="Q566" s="15"/>
      <c r="R566" s="15"/>
      <c r="S566" s="15"/>
      <c r="T566" s="15"/>
      <c r="U566" s="15"/>
      <c r="V566" s="15"/>
      <c r="W566" s="15"/>
      <c r="X566" s="15"/>
      <c r="Y566" s="15"/>
      <c r="Z566" s="15"/>
      <c r="AA566" s="15"/>
      <c r="AB566" s="15"/>
      <c r="AC566" s="15"/>
      <c r="AD566" s="15"/>
      <c r="AE566" s="15"/>
      <c r="AF566" s="15"/>
      <c r="AG566" s="15"/>
      <c r="AH566" s="15"/>
    </row>
    <row r="567" ht="15.75" customHeight="1">
      <c r="A567" s="28" t="s">
        <v>5</v>
      </c>
      <c r="E567" s="28" t="s">
        <v>88</v>
      </c>
      <c r="F567" s="65" t="s">
        <v>885</v>
      </c>
      <c r="G567" s="28"/>
      <c r="H567" s="31"/>
      <c r="I567" s="9"/>
      <c r="J567" s="9"/>
      <c r="K567" s="9"/>
      <c r="L567" s="9"/>
      <c r="M567" s="15"/>
      <c r="N567" s="15"/>
      <c r="O567" s="15"/>
      <c r="P567" s="15"/>
      <c r="Q567" s="15"/>
      <c r="R567" s="15"/>
      <c r="S567" s="15"/>
      <c r="T567" s="15"/>
      <c r="U567" s="15"/>
      <c r="V567" s="15"/>
      <c r="W567" s="15"/>
      <c r="X567" s="15"/>
      <c r="Y567" s="15"/>
      <c r="Z567" s="15"/>
      <c r="AA567" s="15"/>
      <c r="AB567" s="15"/>
      <c r="AC567" s="15"/>
      <c r="AD567" s="15"/>
      <c r="AE567" s="15"/>
      <c r="AF567" s="15"/>
      <c r="AG567" s="15"/>
      <c r="AH567" s="15"/>
    </row>
    <row r="568" ht="15.75" customHeight="1">
      <c r="A568" s="28" t="s">
        <v>5</v>
      </c>
      <c r="E568" s="28" t="s">
        <v>88</v>
      </c>
      <c r="F568" s="65" t="s">
        <v>95</v>
      </c>
      <c r="G568" s="166" t="s">
        <v>1604</v>
      </c>
      <c r="H568" s="31" t="s">
        <v>95</v>
      </c>
      <c r="I568" s="9"/>
      <c r="J568" s="9"/>
      <c r="K568" s="9"/>
      <c r="L568" s="9"/>
      <c r="M568" s="15"/>
      <c r="N568" s="15"/>
      <c r="O568" s="15"/>
      <c r="P568" s="15"/>
      <c r="Q568" s="15"/>
      <c r="R568" s="15"/>
      <c r="S568" s="15"/>
      <c r="T568" s="15"/>
      <c r="U568" s="15"/>
      <c r="V568" s="15"/>
      <c r="W568" s="15"/>
      <c r="X568" s="15"/>
      <c r="Y568" s="15"/>
      <c r="Z568" s="15"/>
      <c r="AA568" s="15"/>
      <c r="AB568" s="15"/>
      <c r="AC568" s="15"/>
      <c r="AD568" s="15"/>
      <c r="AE568" s="15"/>
      <c r="AF568" s="15"/>
      <c r="AG568" s="15"/>
      <c r="AH568" s="15"/>
    </row>
    <row r="569" ht="15.75" customHeight="1">
      <c r="A569" s="28" t="s">
        <v>5</v>
      </c>
      <c r="E569" s="28" t="s">
        <v>88</v>
      </c>
      <c r="F569" s="65" t="s">
        <v>96</v>
      </c>
      <c r="G569" s="166" t="s">
        <v>1607</v>
      </c>
      <c r="H569" s="31" t="s">
        <v>177</v>
      </c>
      <c r="I569" s="9"/>
      <c r="J569" s="9"/>
      <c r="K569" s="9"/>
      <c r="L569" s="9"/>
      <c r="M569" s="15"/>
      <c r="N569" s="15"/>
      <c r="O569" s="15"/>
      <c r="P569" s="15"/>
      <c r="Q569" s="15"/>
      <c r="R569" s="15"/>
      <c r="S569" s="15"/>
      <c r="T569" s="15"/>
      <c r="U569" s="15"/>
      <c r="V569" s="15"/>
      <c r="W569" s="15"/>
      <c r="X569" s="15"/>
      <c r="Y569" s="15"/>
      <c r="Z569" s="15"/>
      <c r="AA569" s="15"/>
      <c r="AB569" s="15"/>
      <c r="AC569" s="15"/>
      <c r="AD569" s="15"/>
      <c r="AE569" s="15"/>
      <c r="AF569" s="15"/>
      <c r="AG569" s="15"/>
      <c r="AH569" s="15"/>
    </row>
    <row r="570" ht="15.75" customHeight="1">
      <c r="A570" s="28" t="s">
        <v>5</v>
      </c>
      <c r="E570" s="28" t="s">
        <v>88</v>
      </c>
      <c r="F570" s="65" t="s">
        <v>122</v>
      </c>
      <c r="G570" s="166" t="s">
        <v>1608</v>
      </c>
      <c r="H570" s="31" t="s">
        <v>1531</v>
      </c>
      <c r="I570" s="9"/>
      <c r="J570" s="9"/>
      <c r="K570" s="9"/>
      <c r="L570" s="9"/>
      <c r="M570" s="15"/>
      <c r="N570" s="15"/>
      <c r="O570" s="15"/>
      <c r="P570" s="15"/>
      <c r="Q570" s="15"/>
      <c r="R570" s="15"/>
      <c r="S570" s="15"/>
      <c r="T570" s="15"/>
      <c r="U570" s="15"/>
      <c r="V570" s="15"/>
      <c r="W570" s="15"/>
      <c r="X570" s="15"/>
      <c r="Y570" s="15"/>
      <c r="Z570" s="15"/>
      <c r="AA570" s="15"/>
      <c r="AB570" s="15"/>
      <c r="AC570" s="15"/>
      <c r="AD570" s="15"/>
      <c r="AE570" s="15"/>
      <c r="AF570" s="15"/>
      <c r="AG570" s="15"/>
      <c r="AH570" s="15"/>
    </row>
    <row r="571" ht="15.75" customHeight="1">
      <c r="A571" s="28" t="s">
        <v>5</v>
      </c>
      <c r="E571" s="28" t="s">
        <v>88</v>
      </c>
      <c r="F571" s="65" t="s">
        <v>285</v>
      </c>
      <c r="G571" s="166" t="s">
        <v>1609</v>
      </c>
      <c r="H571" s="31" t="s">
        <v>1610</v>
      </c>
      <c r="I571" s="9"/>
      <c r="J571" s="9"/>
      <c r="K571" s="9"/>
      <c r="L571" s="9"/>
      <c r="M571" s="15"/>
      <c r="N571" s="15"/>
      <c r="O571" s="15"/>
      <c r="P571" s="15"/>
      <c r="Q571" s="15"/>
      <c r="R571" s="15"/>
      <c r="S571" s="15"/>
      <c r="T571" s="15"/>
      <c r="U571" s="15"/>
      <c r="V571" s="15"/>
      <c r="W571" s="15"/>
      <c r="X571" s="15"/>
      <c r="Y571" s="15"/>
      <c r="Z571" s="15"/>
      <c r="AA571" s="15"/>
      <c r="AB571" s="15"/>
      <c r="AC571" s="15"/>
      <c r="AD571" s="15"/>
      <c r="AE571" s="15"/>
      <c r="AF571" s="15"/>
      <c r="AG571" s="15"/>
      <c r="AH571" s="15"/>
    </row>
    <row r="572" ht="15.75" customHeight="1">
      <c r="A572" s="28" t="s">
        <v>5</v>
      </c>
      <c r="E572" s="28" t="s">
        <v>88</v>
      </c>
      <c r="F572" s="65" t="s">
        <v>96</v>
      </c>
      <c r="G572" s="166" t="s">
        <v>1606</v>
      </c>
      <c r="H572" s="31" t="s">
        <v>96</v>
      </c>
      <c r="I572" s="9"/>
      <c r="J572" s="9"/>
      <c r="K572" s="9"/>
      <c r="L572" s="9"/>
      <c r="M572" s="15"/>
      <c r="N572" s="15"/>
      <c r="O572" s="15"/>
      <c r="P572" s="15"/>
      <c r="Q572" s="15"/>
      <c r="R572" s="15"/>
      <c r="S572" s="15"/>
      <c r="T572" s="15"/>
      <c r="U572" s="15"/>
      <c r="V572" s="15"/>
      <c r="W572" s="15"/>
      <c r="X572" s="15"/>
      <c r="Y572" s="15"/>
      <c r="Z572" s="15"/>
      <c r="AA572" s="15"/>
      <c r="AB572" s="15"/>
      <c r="AC572" s="15"/>
      <c r="AD572" s="15"/>
      <c r="AE572" s="15"/>
      <c r="AF572" s="15"/>
      <c r="AG572" s="15"/>
      <c r="AH572" s="15"/>
    </row>
    <row r="573" ht="15.75" customHeight="1">
      <c r="A573" s="28" t="s">
        <v>5</v>
      </c>
      <c r="E573" s="28" t="s">
        <v>88</v>
      </c>
      <c r="F573" s="65" t="s">
        <v>885</v>
      </c>
      <c r="G573" s="28"/>
      <c r="H573" s="31"/>
      <c r="I573" s="9"/>
      <c r="J573" s="9"/>
      <c r="K573" s="9"/>
      <c r="L573" s="9"/>
      <c r="M573" s="15"/>
      <c r="N573" s="15"/>
      <c r="O573" s="15"/>
      <c r="P573" s="15"/>
      <c r="Q573" s="15"/>
      <c r="R573" s="15"/>
      <c r="S573" s="15"/>
      <c r="T573" s="15"/>
      <c r="U573" s="15"/>
      <c r="V573" s="15"/>
      <c r="W573" s="15"/>
      <c r="X573" s="15"/>
      <c r="Y573" s="15"/>
      <c r="Z573" s="15"/>
      <c r="AA573" s="15"/>
      <c r="AB573" s="15"/>
      <c r="AC573" s="15"/>
      <c r="AD573" s="15"/>
      <c r="AE573" s="15"/>
      <c r="AF573" s="15"/>
      <c r="AG573" s="15"/>
      <c r="AH573" s="15"/>
    </row>
    <row r="574" ht="15.75" customHeight="1">
      <c r="A574" s="28" t="s">
        <v>5</v>
      </c>
      <c r="E574" s="28" t="s">
        <v>88</v>
      </c>
      <c r="F574" s="65" t="s">
        <v>95</v>
      </c>
      <c r="G574" s="166" t="s">
        <v>1604</v>
      </c>
      <c r="H574" s="31" t="s">
        <v>95</v>
      </c>
      <c r="I574" s="9"/>
      <c r="J574" s="9"/>
      <c r="K574" s="9"/>
      <c r="L574" s="9"/>
      <c r="M574" s="15"/>
      <c r="N574" s="15"/>
      <c r="O574" s="15"/>
      <c r="P574" s="15"/>
      <c r="Q574" s="15"/>
      <c r="R574" s="15"/>
      <c r="S574" s="15"/>
      <c r="T574" s="15"/>
      <c r="U574" s="15"/>
      <c r="V574" s="15"/>
      <c r="W574" s="15"/>
      <c r="X574" s="15"/>
      <c r="Y574" s="15"/>
      <c r="Z574" s="15"/>
      <c r="AA574" s="15"/>
      <c r="AB574" s="15"/>
      <c r="AC574" s="15"/>
      <c r="AD574" s="15"/>
      <c r="AE574" s="15"/>
      <c r="AF574" s="15"/>
      <c r="AG574" s="15"/>
      <c r="AH574" s="15"/>
    </row>
    <row r="575" ht="15.75" customHeight="1">
      <c r="A575" s="28" t="s">
        <v>5</v>
      </c>
      <c r="E575" s="28" t="s">
        <v>88</v>
      </c>
      <c r="F575" s="65" t="s">
        <v>96</v>
      </c>
      <c r="G575" s="166" t="s">
        <v>1607</v>
      </c>
      <c r="H575" s="31" t="s">
        <v>177</v>
      </c>
      <c r="I575" s="9"/>
      <c r="J575" s="9"/>
      <c r="K575" s="9"/>
      <c r="L575" s="9"/>
      <c r="M575" s="15"/>
      <c r="N575" s="15"/>
      <c r="O575" s="15"/>
      <c r="P575" s="15"/>
      <c r="Q575" s="15"/>
      <c r="R575" s="15"/>
      <c r="S575" s="15"/>
      <c r="T575" s="15"/>
      <c r="U575" s="15"/>
      <c r="V575" s="15"/>
      <c r="W575" s="15"/>
      <c r="X575" s="15"/>
      <c r="Y575" s="15"/>
      <c r="Z575" s="15"/>
      <c r="AA575" s="15"/>
      <c r="AB575" s="15"/>
      <c r="AC575" s="15"/>
      <c r="AD575" s="15"/>
      <c r="AE575" s="15"/>
      <c r="AF575" s="15"/>
      <c r="AG575" s="15"/>
      <c r="AH575" s="15"/>
    </row>
    <row r="576" ht="15.75" customHeight="1">
      <c r="A576" s="28" t="s">
        <v>5</v>
      </c>
      <c r="E576" s="28" t="s">
        <v>88</v>
      </c>
      <c r="F576" s="65" t="s">
        <v>122</v>
      </c>
      <c r="G576" s="166" t="s">
        <v>1611</v>
      </c>
      <c r="H576" s="31" t="s">
        <v>1531</v>
      </c>
      <c r="I576" s="9"/>
      <c r="J576" s="9"/>
      <c r="K576" s="9"/>
      <c r="L576" s="9"/>
      <c r="M576" s="15"/>
      <c r="N576" s="15"/>
      <c r="O576" s="15"/>
      <c r="P576" s="15"/>
      <c r="Q576" s="15"/>
      <c r="R576" s="15"/>
      <c r="S576" s="15"/>
      <c r="T576" s="15"/>
      <c r="U576" s="15"/>
      <c r="V576" s="15"/>
      <c r="W576" s="15"/>
      <c r="X576" s="15"/>
      <c r="Y576" s="15"/>
      <c r="Z576" s="15"/>
      <c r="AA576" s="15"/>
      <c r="AB576" s="15"/>
      <c r="AC576" s="15"/>
      <c r="AD576" s="15"/>
      <c r="AE576" s="15"/>
      <c r="AF576" s="15"/>
      <c r="AG576" s="15"/>
      <c r="AH576" s="15"/>
    </row>
    <row r="577" ht="15.75" customHeight="1">
      <c r="A577" s="28" t="s">
        <v>5</v>
      </c>
      <c r="E577" s="28" t="s">
        <v>88</v>
      </c>
      <c r="F577" s="65" t="s">
        <v>285</v>
      </c>
      <c r="G577" s="166" t="s">
        <v>1612</v>
      </c>
      <c r="H577" s="31" t="s">
        <v>1613</v>
      </c>
      <c r="I577" s="9"/>
      <c r="J577" s="9"/>
      <c r="K577" s="9"/>
      <c r="L577" s="9"/>
      <c r="M577" s="15"/>
      <c r="N577" s="15"/>
      <c r="O577" s="15"/>
      <c r="P577" s="15"/>
      <c r="Q577" s="15"/>
      <c r="R577" s="15"/>
      <c r="S577" s="15"/>
      <c r="T577" s="15"/>
      <c r="U577" s="15"/>
      <c r="V577" s="15"/>
      <c r="W577" s="15"/>
      <c r="X577" s="15"/>
      <c r="Y577" s="15"/>
      <c r="Z577" s="15"/>
      <c r="AA577" s="15"/>
      <c r="AB577" s="15"/>
      <c r="AC577" s="15"/>
      <c r="AD577" s="15"/>
      <c r="AE577" s="15"/>
      <c r="AF577" s="15"/>
      <c r="AG577" s="15"/>
      <c r="AH577" s="15"/>
    </row>
    <row r="578" ht="15.75" customHeight="1">
      <c r="A578" s="28" t="s">
        <v>5</v>
      </c>
      <c r="E578" s="28" t="s">
        <v>88</v>
      </c>
      <c r="F578" s="65" t="s">
        <v>885</v>
      </c>
      <c r="G578" s="28"/>
      <c r="H578" s="31"/>
      <c r="I578" s="9"/>
      <c r="J578" s="9"/>
      <c r="K578" s="9"/>
      <c r="L578" s="9"/>
      <c r="M578" s="15"/>
      <c r="N578" s="15"/>
      <c r="O578" s="15"/>
      <c r="P578" s="15"/>
      <c r="Q578" s="15"/>
      <c r="R578" s="15"/>
      <c r="S578" s="15"/>
      <c r="T578" s="15"/>
      <c r="U578" s="15"/>
      <c r="V578" s="15"/>
      <c r="W578" s="15"/>
      <c r="X578" s="15"/>
      <c r="Y578" s="15"/>
      <c r="Z578" s="15"/>
      <c r="AA578" s="15"/>
      <c r="AB578" s="15"/>
      <c r="AC578" s="15"/>
      <c r="AD578" s="15"/>
      <c r="AE578" s="15"/>
      <c r="AF578" s="15"/>
      <c r="AG578" s="15"/>
      <c r="AH578" s="15"/>
    </row>
    <row r="579" ht="15.75" customHeight="1">
      <c r="A579" s="28" t="s">
        <v>5</v>
      </c>
      <c r="E579" s="28" t="s">
        <v>88</v>
      </c>
      <c r="F579" s="65" t="s">
        <v>95</v>
      </c>
      <c r="G579" s="166" t="s">
        <v>1604</v>
      </c>
      <c r="H579" s="31" t="s">
        <v>95</v>
      </c>
      <c r="I579" s="9"/>
      <c r="J579" s="9"/>
      <c r="K579" s="9"/>
      <c r="L579" s="9"/>
      <c r="M579" s="15"/>
      <c r="N579" s="15"/>
      <c r="O579" s="15"/>
      <c r="P579" s="15"/>
      <c r="Q579" s="15"/>
      <c r="R579" s="15"/>
      <c r="S579" s="15"/>
      <c r="T579" s="15"/>
      <c r="U579" s="15"/>
      <c r="V579" s="15"/>
      <c r="W579" s="15"/>
      <c r="X579" s="15"/>
      <c r="Y579" s="15"/>
      <c r="Z579" s="15"/>
      <c r="AA579" s="15"/>
      <c r="AB579" s="15"/>
      <c r="AC579" s="15"/>
      <c r="AD579" s="15"/>
      <c r="AE579" s="15"/>
      <c r="AF579" s="15"/>
      <c r="AG579" s="15"/>
      <c r="AH579" s="15"/>
    </row>
    <row r="580" ht="15.75" customHeight="1">
      <c r="A580" s="28" t="s">
        <v>5</v>
      </c>
      <c r="E580" s="28" t="s">
        <v>88</v>
      </c>
      <c r="F580" s="65" t="s">
        <v>96</v>
      </c>
      <c r="G580" s="166" t="s">
        <v>1607</v>
      </c>
      <c r="H580" s="31" t="s">
        <v>177</v>
      </c>
      <c r="I580" s="9"/>
      <c r="J580" s="9"/>
      <c r="K580" s="9"/>
      <c r="L580" s="9"/>
      <c r="M580" s="15"/>
      <c r="N580" s="15"/>
      <c r="O580" s="15"/>
      <c r="P580" s="15"/>
      <c r="Q580" s="15"/>
      <c r="R580" s="15"/>
      <c r="S580" s="15"/>
      <c r="T580" s="15"/>
      <c r="U580" s="15"/>
      <c r="V580" s="15"/>
      <c r="W580" s="15"/>
      <c r="X580" s="15"/>
      <c r="Y580" s="15"/>
      <c r="Z580" s="15"/>
      <c r="AA580" s="15"/>
      <c r="AB580" s="15"/>
      <c r="AC580" s="15"/>
      <c r="AD580" s="15"/>
      <c r="AE580" s="15"/>
      <c r="AF580" s="15"/>
      <c r="AG580" s="15"/>
      <c r="AH580" s="15"/>
    </row>
    <row r="581" ht="15.75" customHeight="1">
      <c r="A581" s="28" t="s">
        <v>5</v>
      </c>
      <c r="E581" s="28" t="s">
        <v>88</v>
      </c>
      <c r="F581" s="65" t="s">
        <v>122</v>
      </c>
      <c r="G581" s="166" t="s">
        <v>1611</v>
      </c>
      <c r="H581" s="31" t="s">
        <v>1531</v>
      </c>
      <c r="I581" s="9"/>
      <c r="J581" s="9"/>
      <c r="K581" s="9"/>
      <c r="L581" s="9"/>
      <c r="M581" s="15"/>
      <c r="N581" s="15"/>
      <c r="O581" s="15"/>
      <c r="P581" s="15"/>
      <c r="Q581" s="15"/>
      <c r="R581" s="15"/>
      <c r="S581" s="15"/>
      <c r="T581" s="15"/>
      <c r="U581" s="15"/>
      <c r="V581" s="15"/>
      <c r="W581" s="15"/>
      <c r="X581" s="15"/>
      <c r="Y581" s="15"/>
      <c r="Z581" s="15"/>
      <c r="AA581" s="15"/>
      <c r="AB581" s="15"/>
      <c r="AC581" s="15"/>
      <c r="AD581" s="15"/>
      <c r="AE581" s="15"/>
      <c r="AF581" s="15"/>
      <c r="AG581" s="15"/>
      <c r="AH581" s="15"/>
    </row>
    <row r="582" ht="15.75" customHeight="1">
      <c r="A582" s="28" t="s">
        <v>5</v>
      </c>
      <c r="E582" s="28" t="s">
        <v>88</v>
      </c>
      <c r="F582" s="65" t="s">
        <v>89</v>
      </c>
      <c r="G582" s="28"/>
      <c r="H582" s="31"/>
      <c r="I582" s="9"/>
      <c r="J582" s="9"/>
      <c r="K582" s="9"/>
      <c r="L582" s="9"/>
      <c r="M582" s="15"/>
      <c r="N582" s="15"/>
      <c r="O582" s="15"/>
      <c r="P582" s="15"/>
      <c r="Q582" s="15"/>
      <c r="R582" s="15"/>
      <c r="S582" s="15"/>
      <c r="T582" s="15"/>
      <c r="U582" s="15"/>
      <c r="V582" s="15"/>
      <c r="W582" s="15"/>
      <c r="X582" s="15"/>
      <c r="Y582" s="15"/>
      <c r="Z582" s="15"/>
      <c r="AA582" s="15"/>
      <c r="AB582" s="15"/>
      <c r="AC582" s="15"/>
      <c r="AD582" s="15"/>
      <c r="AE582" s="15"/>
      <c r="AF582" s="15"/>
      <c r="AG582" s="15"/>
      <c r="AH582" s="15"/>
    </row>
    <row r="583" ht="15.75" customHeight="1">
      <c r="A583" s="28" t="s">
        <v>5</v>
      </c>
      <c r="E583" s="28" t="s">
        <v>88</v>
      </c>
      <c r="F583" s="65" t="s">
        <v>795</v>
      </c>
      <c r="G583" s="28"/>
      <c r="H583" s="31"/>
      <c r="I583" s="9"/>
      <c r="J583" s="9"/>
      <c r="K583" s="9"/>
      <c r="L583" s="9"/>
      <c r="M583" s="15"/>
      <c r="N583" s="15"/>
      <c r="O583" s="15"/>
      <c r="P583" s="15"/>
      <c r="Q583" s="15"/>
      <c r="R583" s="15"/>
      <c r="S583" s="15"/>
      <c r="T583" s="15"/>
      <c r="U583" s="15"/>
      <c r="V583" s="15"/>
      <c r="W583" s="15"/>
      <c r="X583" s="15"/>
      <c r="Y583" s="15"/>
      <c r="Z583" s="15"/>
      <c r="AA583" s="15"/>
      <c r="AB583" s="15"/>
      <c r="AC583" s="15"/>
      <c r="AD583" s="15"/>
      <c r="AE583" s="15"/>
      <c r="AF583" s="15"/>
      <c r="AG583" s="15"/>
      <c r="AH583" s="15"/>
    </row>
    <row r="584" ht="15.75" customHeight="1">
      <c r="A584" s="28" t="s">
        <v>5</v>
      </c>
      <c r="B584" s="56" t="s">
        <v>1614</v>
      </c>
      <c r="C584" s="175" t="s">
        <v>1615</v>
      </c>
      <c r="D584" s="83" t="s">
        <v>20</v>
      </c>
      <c r="E584" s="28" t="s">
        <v>88</v>
      </c>
      <c r="F584" s="65" t="s">
        <v>154</v>
      </c>
      <c r="G584" s="166" t="s">
        <v>1616</v>
      </c>
      <c r="H584" s="31" t="s">
        <v>154</v>
      </c>
      <c r="I584" s="9"/>
      <c r="J584" s="9"/>
      <c r="K584" s="9"/>
      <c r="L584" s="9"/>
      <c r="M584" s="15"/>
      <c r="N584" s="15"/>
      <c r="O584" s="15"/>
      <c r="P584" s="15"/>
      <c r="Q584" s="15"/>
      <c r="R584" s="15"/>
      <c r="S584" s="15"/>
      <c r="T584" s="15"/>
      <c r="U584" s="15"/>
      <c r="V584" s="15"/>
      <c r="W584" s="15"/>
      <c r="X584" s="15"/>
      <c r="Y584" s="15"/>
      <c r="Z584" s="15"/>
      <c r="AA584" s="15"/>
      <c r="AB584" s="15"/>
      <c r="AC584" s="15"/>
      <c r="AD584" s="15"/>
      <c r="AE584" s="15"/>
      <c r="AF584" s="15"/>
      <c r="AG584" s="15"/>
      <c r="AH584" s="15"/>
    </row>
    <row r="585" ht="15.75" customHeight="1">
      <c r="A585" s="28" t="s">
        <v>5</v>
      </c>
      <c r="E585" s="28" t="s">
        <v>88</v>
      </c>
      <c r="F585" s="65" t="s">
        <v>795</v>
      </c>
      <c r="G585" s="28"/>
      <c r="H585" s="31"/>
      <c r="I585" s="9"/>
      <c r="J585" s="9"/>
      <c r="K585" s="9"/>
      <c r="L585" s="9"/>
      <c r="M585" s="15"/>
      <c r="N585" s="15"/>
      <c r="O585" s="15"/>
      <c r="P585" s="15"/>
      <c r="Q585" s="15"/>
      <c r="R585" s="15"/>
      <c r="S585" s="15"/>
      <c r="T585" s="15"/>
      <c r="U585" s="15"/>
      <c r="V585" s="15"/>
      <c r="W585" s="15"/>
      <c r="X585" s="15"/>
      <c r="Y585" s="15"/>
      <c r="Z585" s="15"/>
      <c r="AA585" s="15"/>
      <c r="AB585" s="15"/>
      <c r="AC585" s="15"/>
      <c r="AD585" s="15"/>
      <c r="AE585" s="15"/>
      <c r="AF585" s="15"/>
      <c r="AG585" s="15"/>
      <c r="AH585" s="15"/>
    </row>
    <row r="586" ht="15.75" customHeight="1">
      <c r="A586" s="28" t="s">
        <v>5</v>
      </c>
      <c r="B586" s="56" t="s">
        <v>1617</v>
      </c>
      <c r="C586" s="175" t="s">
        <v>1618</v>
      </c>
      <c r="D586" s="83" t="s">
        <v>20</v>
      </c>
      <c r="E586" s="28" t="s">
        <v>88</v>
      </c>
      <c r="F586" s="65" t="s">
        <v>467</v>
      </c>
      <c r="G586" s="166" t="s">
        <v>1619</v>
      </c>
      <c r="H586" s="31" t="s">
        <v>467</v>
      </c>
      <c r="I586" s="9"/>
      <c r="J586" s="9"/>
      <c r="K586" s="9"/>
      <c r="L586" s="9"/>
      <c r="M586" s="15"/>
      <c r="N586" s="15"/>
      <c r="O586" s="15"/>
      <c r="P586" s="15"/>
      <c r="Q586" s="15"/>
      <c r="R586" s="15"/>
      <c r="S586" s="15"/>
      <c r="T586" s="15"/>
      <c r="U586" s="15"/>
      <c r="V586" s="15"/>
      <c r="W586" s="15"/>
      <c r="X586" s="15"/>
      <c r="Y586" s="15"/>
      <c r="Z586" s="15"/>
      <c r="AA586" s="15"/>
      <c r="AB586" s="15"/>
      <c r="AC586" s="15"/>
      <c r="AD586" s="15"/>
      <c r="AE586" s="15"/>
      <c r="AF586" s="15"/>
      <c r="AG586" s="15"/>
      <c r="AH586" s="15"/>
    </row>
    <row r="587" ht="15.75" customHeight="1">
      <c r="A587" s="28" t="s">
        <v>5</v>
      </c>
      <c r="E587" s="28" t="s">
        <v>88</v>
      </c>
      <c r="F587" s="65" t="s">
        <v>469</v>
      </c>
      <c r="G587" s="166" t="s">
        <v>1620</v>
      </c>
      <c r="H587" s="31" t="s">
        <v>469</v>
      </c>
      <c r="I587" s="9"/>
      <c r="J587" s="9"/>
      <c r="K587" s="9"/>
      <c r="L587" s="9"/>
      <c r="M587" s="15"/>
      <c r="N587" s="15"/>
      <c r="O587" s="15"/>
      <c r="P587" s="15"/>
      <c r="Q587" s="15"/>
      <c r="R587" s="15"/>
      <c r="S587" s="15"/>
      <c r="T587" s="15"/>
      <c r="U587" s="15"/>
      <c r="V587" s="15"/>
      <c r="W587" s="15"/>
      <c r="X587" s="15"/>
      <c r="Y587" s="15"/>
      <c r="Z587" s="15"/>
      <c r="AA587" s="15"/>
      <c r="AB587" s="15"/>
      <c r="AC587" s="15"/>
      <c r="AD587" s="15"/>
      <c r="AE587" s="15"/>
      <c r="AF587" s="15"/>
      <c r="AG587" s="15"/>
      <c r="AH587" s="15"/>
    </row>
    <row r="588" ht="15.75" customHeight="1">
      <c r="A588" s="28" t="s">
        <v>5</v>
      </c>
      <c r="E588" s="28" t="s">
        <v>21</v>
      </c>
      <c r="F588" s="65" t="s">
        <v>51</v>
      </c>
      <c r="G588" s="166" t="s">
        <v>1621</v>
      </c>
      <c r="H588" s="31" t="s">
        <v>51</v>
      </c>
      <c r="I588" s="9"/>
      <c r="J588" s="9"/>
      <c r="K588" s="9"/>
      <c r="L588" s="9"/>
      <c r="M588" s="15"/>
      <c r="N588" s="15"/>
      <c r="O588" s="15"/>
      <c r="P588" s="15"/>
      <c r="Q588" s="15"/>
      <c r="R588" s="15"/>
      <c r="S588" s="15"/>
      <c r="T588" s="15"/>
      <c r="U588" s="15"/>
      <c r="V588" s="15"/>
      <c r="W588" s="15"/>
      <c r="X588" s="15"/>
      <c r="Y588" s="15"/>
      <c r="Z588" s="15"/>
      <c r="AA588" s="15"/>
      <c r="AB588" s="15"/>
      <c r="AC588" s="15"/>
      <c r="AD588" s="15"/>
      <c r="AE588" s="15"/>
      <c r="AF588" s="15"/>
      <c r="AG588" s="15"/>
      <c r="AH588" s="15"/>
    </row>
    <row r="589" ht="15.75" customHeight="1">
      <c r="A589" s="28" t="s">
        <v>5</v>
      </c>
      <c r="E589" s="28" t="s">
        <v>88</v>
      </c>
      <c r="F589" s="65" t="s">
        <v>120</v>
      </c>
      <c r="G589" s="166" t="s">
        <v>1622</v>
      </c>
      <c r="H589" s="31" t="s">
        <v>120</v>
      </c>
      <c r="I589" s="31"/>
      <c r="J589" s="31"/>
      <c r="K589" s="9"/>
      <c r="L589" s="9"/>
      <c r="M589" s="15"/>
      <c r="N589" s="15"/>
      <c r="O589" s="15"/>
      <c r="P589" s="15"/>
      <c r="Q589" s="15"/>
      <c r="R589" s="15"/>
      <c r="S589" s="15"/>
      <c r="T589" s="15"/>
      <c r="U589" s="15"/>
      <c r="V589" s="15"/>
      <c r="W589" s="15"/>
      <c r="X589" s="15"/>
      <c r="Y589" s="15"/>
      <c r="Z589" s="15"/>
      <c r="AA589" s="15"/>
      <c r="AB589" s="15"/>
      <c r="AC589" s="15"/>
      <c r="AD589" s="15"/>
      <c r="AE589" s="15"/>
      <c r="AF589" s="15"/>
      <c r="AG589" s="15"/>
      <c r="AH589" s="15"/>
    </row>
    <row r="590" ht="15.75" customHeight="1">
      <c r="A590" s="28" t="s">
        <v>5</v>
      </c>
      <c r="E590" s="28" t="s">
        <v>88</v>
      </c>
      <c r="F590" s="65" t="s">
        <v>246</v>
      </c>
      <c r="G590" s="166" t="s">
        <v>1623</v>
      </c>
      <c r="H590" s="31" t="s">
        <v>246</v>
      </c>
      <c r="I590" s="31"/>
      <c r="J590" s="31"/>
      <c r="K590" s="9"/>
      <c r="L590" s="9"/>
      <c r="M590" s="15"/>
      <c r="N590" s="15"/>
      <c r="O590" s="15"/>
      <c r="P590" s="15"/>
      <c r="Q590" s="15"/>
      <c r="R590" s="15"/>
      <c r="S590" s="15"/>
      <c r="T590" s="15"/>
      <c r="U590" s="15"/>
      <c r="V590" s="15"/>
      <c r="W590" s="15"/>
      <c r="X590" s="15"/>
      <c r="Y590" s="15"/>
      <c r="Z590" s="15"/>
      <c r="AA590" s="15"/>
      <c r="AB590" s="15"/>
      <c r="AC590" s="15"/>
      <c r="AD590" s="15"/>
      <c r="AE590" s="15"/>
      <c r="AF590" s="15"/>
      <c r="AG590" s="15"/>
      <c r="AH590" s="15"/>
    </row>
    <row r="591" ht="15.75" customHeight="1">
      <c r="A591" s="28" t="s">
        <v>5</v>
      </c>
      <c r="E591" s="28" t="s">
        <v>88</v>
      </c>
      <c r="F591" s="65" t="s">
        <v>247</v>
      </c>
      <c r="G591" s="28"/>
      <c r="H591" s="31"/>
      <c r="I591" s="31"/>
      <c r="J591" s="9"/>
      <c r="K591" s="9"/>
      <c r="L591" s="9"/>
      <c r="M591" s="15"/>
      <c r="N591" s="15"/>
      <c r="O591" s="15"/>
      <c r="P591" s="15"/>
      <c r="Q591" s="15"/>
      <c r="R591" s="15"/>
      <c r="S591" s="15"/>
      <c r="T591" s="15"/>
      <c r="U591" s="15"/>
      <c r="V591" s="15"/>
      <c r="W591" s="15"/>
      <c r="X591" s="15"/>
      <c r="Y591" s="15"/>
      <c r="Z591" s="15"/>
      <c r="AA591" s="15"/>
      <c r="AB591" s="15"/>
      <c r="AC591" s="15"/>
      <c r="AD591" s="15"/>
      <c r="AE591" s="15"/>
      <c r="AF591" s="15"/>
      <c r="AG591" s="15"/>
      <c r="AH591" s="15"/>
    </row>
    <row r="592" ht="15.75" customHeight="1">
      <c r="A592" s="28" t="s">
        <v>5</v>
      </c>
      <c r="E592" s="28" t="s">
        <v>88</v>
      </c>
      <c r="F592" s="65" t="s">
        <v>95</v>
      </c>
      <c r="G592" s="166" t="s">
        <v>1624</v>
      </c>
      <c r="H592" s="31" t="s">
        <v>95</v>
      </c>
      <c r="I592" s="9"/>
      <c r="J592" s="9"/>
      <c r="K592" s="9"/>
      <c r="L592" s="9"/>
      <c r="M592" s="15"/>
      <c r="N592" s="15"/>
      <c r="O592" s="15"/>
      <c r="P592" s="15"/>
      <c r="Q592" s="15"/>
      <c r="R592" s="15"/>
      <c r="S592" s="15"/>
      <c r="T592" s="15"/>
      <c r="U592" s="15"/>
      <c r="V592" s="15"/>
      <c r="W592" s="15"/>
      <c r="X592" s="15"/>
      <c r="Y592" s="15"/>
      <c r="Z592" s="15"/>
      <c r="AA592" s="15"/>
      <c r="AB592" s="15"/>
      <c r="AC592" s="15"/>
      <c r="AD592" s="15"/>
      <c r="AE592" s="15"/>
      <c r="AF592" s="15"/>
      <c r="AG592" s="15"/>
      <c r="AH592" s="15"/>
    </row>
    <row r="593" ht="15.75" customHeight="1">
      <c r="A593" s="28" t="s">
        <v>5</v>
      </c>
      <c r="E593" s="28" t="s">
        <v>88</v>
      </c>
      <c r="F593" s="65" t="s">
        <v>96</v>
      </c>
      <c r="G593" s="166" t="s">
        <v>1625</v>
      </c>
      <c r="H593" s="31" t="s">
        <v>96</v>
      </c>
      <c r="I593" s="9"/>
      <c r="J593" s="9"/>
      <c r="K593" s="9"/>
      <c r="L593" s="9"/>
      <c r="M593" s="15"/>
      <c r="N593" s="15"/>
      <c r="O593" s="15"/>
      <c r="P593" s="15"/>
      <c r="Q593" s="15"/>
      <c r="R593" s="15"/>
      <c r="S593" s="15"/>
      <c r="T593" s="15"/>
      <c r="U593" s="15"/>
      <c r="V593" s="15"/>
      <c r="W593" s="15"/>
      <c r="X593" s="15"/>
      <c r="Y593" s="15"/>
      <c r="Z593" s="15"/>
      <c r="AA593" s="15"/>
      <c r="AB593" s="15"/>
      <c r="AC593" s="15"/>
      <c r="AD593" s="15"/>
      <c r="AE593" s="15"/>
      <c r="AF593" s="15"/>
      <c r="AG593" s="15"/>
      <c r="AH593" s="15"/>
    </row>
    <row r="594" ht="15.75" customHeight="1">
      <c r="A594" s="28" t="s">
        <v>5</v>
      </c>
      <c r="E594" s="28" t="s">
        <v>86</v>
      </c>
      <c r="F594" s="65" t="s">
        <v>90</v>
      </c>
      <c r="G594" s="166" t="s">
        <v>1626</v>
      </c>
      <c r="H594" s="31" t="s">
        <v>90</v>
      </c>
      <c r="I594" s="9"/>
      <c r="J594" s="9"/>
      <c r="K594" s="9"/>
      <c r="L594" s="9"/>
      <c r="M594" s="15"/>
      <c r="N594" s="15"/>
      <c r="O594" s="15"/>
      <c r="P594" s="15"/>
      <c r="Q594" s="15"/>
      <c r="R594" s="15"/>
      <c r="S594" s="15"/>
      <c r="T594" s="15"/>
      <c r="U594" s="15"/>
      <c r="V594" s="15"/>
      <c r="W594" s="15"/>
      <c r="X594" s="15"/>
      <c r="Y594" s="15"/>
      <c r="Z594" s="15"/>
      <c r="AA594" s="15"/>
      <c r="AB594" s="15"/>
      <c r="AC594" s="15"/>
      <c r="AD594" s="15"/>
      <c r="AE594" s="15"/>
      <c r="AF594" s="15"/>
      <c r="AG594" s="15"/>
      <c r="AH594" s="15"/>
    </row>
    <row r="595" ht="15.75" customHeight="1">
      <c r="A595" s="28" t="s">
        <v>5</v>
      </c>
      <c r="E595" s="28" t="s">
        <v>86</v>
      </c>
      <c r="F595" s="65" t="s">
        <v>91</v>
      </c>
      <c r="G595" s="166" t="s">
        <v>1627</v>
      </c>
      <c r="H595" s="31" t="s">
        <v>91</v>
      </c>
      <c r="I595" s="9"/>
      <c r="J595" s="9"/>
      <c r="K595" s="9"/>
      <c r="L595" s="9"/>
      <c r="M595" s="15"/>
      <c r="N595" s="15"/>
      <c r="O595" s="15"/>
      <c r="P595" s="15"/>
      <c r="Q595" s="15"/>
      <c r="R595" s="15"/>
      <c r="S595" s="15"/>
      <c r="T595" s="15"/>
      <c r="U595" s="15"/>
      <c r="V595" s="15"/>
      <c r="W595" s="15"/>
      <c r="X595" s="15"/>
      <c r="Y595" s="15"/>
      <c r="Z595" s="15"/>
      <c r="AA595" s="15"/>
      <c r="AB595" s="15"/>
      <c r="AC595" s="15"/>
      <c r="AD595" s="15"/>
      <c r="AE595" s="15"/>
      <c r="AF595" s="15"/>
      <c r="AG595" s="15"/>
      <c r="AH595" s="15"/>
    </row>
    <row r="596" ht="15.75" customHeight="1">
      <c r="A596" s="28" t="s">
        <v>5</v>
      </c>
      <c r="E596" s="28" t="s">
        <v>104</v>
      </c>
      <c r="F596" s="65" t="s">
        <v>250</v>
      </c>
      <c r="G596" s="28" t="s">
        <v>5</v>
      </c>
      <c r="H596" s="31" t="s">
        <v>250</v>
      </c>
      <c r="I596" s="9"/>
      <c r="J596" s="9"/>
      <c r="K596" s="9"/>
      <c r="L596" s="9"/>
      <c r="M596" s="15"/>
      <c r="N596" s="15"/>
      <c r="O596" s="15"/>
      <c r="P596" s="15"/>
      <c r="Q596" s="15"/>
      <c r="R596" s="15"/>
      <c r="S596" s="15"/>
      <c r="T596" s="15"/>
      <c r="U596" s="15"/>
      <c r="V596" s="15"/>
      <c r="W596" s="15"/>
      <c r="X596" s="15"/>
      <c r="Y596" s="15"/>
      <c r="Z596" s="15"/>
      <c r="AA596" s="15"/>
      <c r="AB596" s="15"/>
      <c r="AC596" s="15"/>
      <c r="AD596" s="15"/>
      <c r="AE596" s="15"/>
      <c r="AF596" s="15"/>
      <c r="AG596" s="15"/>
      <c r="AH596" s="15"/>
    </row>
    <row r="597" ht="15.75" customHeight="1">
      <c r="A597" s="28" t="s">
        <v>5</v>
      </c>
      <c r="E597" s="28" t="s">
        <v>178</v>
      </c>
      <c r="F597" s="65" t="s">
        <v>209</v>
      </c>
      <c r="G597" s="166" t="s">
        <v>1628</v>
      </c>
      <c r="H597" s="31" t="s">
        <v>209</v>
      </c>
      <c r="I597" s="9"/>
      <c r="J597" s="9"/>
      <c r="K597" s="9"/>
      <c r="L597" s="9"/>
      <c r="M597" s="15"/>
      <c r="N597" s="15"/>
      <c r="O597" s="15"/>
      <c r="P597" s="15"/>
      <c r="Q597" s="15"/>
      <c r="R597" s="15"/>
      <c r="S597" s="15"/>
      <c r="T597" s="15"/>
      <c r="U597" s="15"/>
      <c r="V597" s="15"/>
      <c r="W597" s="15"/>
      <c r="X597" s="15"/>
      <c r="Y597" s="15"/>
      <c r="Z597" s="15"/>
      <c r="AA597" s="15"/>
      <c r="AB597" s="15"/>
      <c r="AC597" s="15"/>
      <c r="AD597" s="15"/>
      <c r="AE597" s="15"/>
      <c r="AF597" s="15"/>
      <c r="AG597" s="15"/>
      <c r="AH597" s="15"/>
    </row>
    <row r="598" ht="15.75" customHeight="1">
      <c r="A598" s="28" t="s">
        <v>5</v>
      </c>
      <c r="E598" s="28" t="s">
        <v>178</v>
      </c>
      <c r="F598" s="65" t="s">
        <v>210</v>
      </c>
      <c r="G598" s="166" t="s">
        <v>1629</v>
      </c>
      <c r="H598" s="31" t="s">
        <v>210</v>
      </c>
      <c r="I598" s="9"/>
      <c r="J598" s="9"/>
      <c r="K598" s="9"/>
      <c r="L598" s="9"/>
      <c r="M598" s="15"/>
      <c r="N598" s="15"/>
      <c r="O598" s="15"/>
      <c r="P598" s="15"/>
      <c r="Q598" s="15"/>
      <c r="R598" s="15"/>
      <c r="S598" s="15"/>
      <c r="T598" s="15"/>
      <c r="U598" s="15"/>
      <c r="V598" s="15"/>
      <c r="W598" s="15"/>
      <c r="X598" s="15"/>
      <c r="Y598" s="15"/>
      <c r="Z598" s="15"/>
      <c r="AA598" s="15"/>
      <c r="AB598" s="15"/>
      <c r="AC598" s="15"/>
      <c r="AD598" s="15"/>
      <c r="AE598" s="15"/>
      <c r="AF598" s="15"/>
      <c r="AG598" s="15"/>
      <c r="AH598" s="15"/>
    </row>
    <row r="599" ht="15.75" customHeight="1">
      <c r="A599" s="28" t="s">
        <v>5</v>
      </c>
      <c r="E599" s="28" t="s">
        <v>88</v>
      </c>
      <c r="F599" s="65" t="s">
        <v>89</v>
      </c>
      <c r="G599" s="28"/>
      <c r="H599" s="31"/>
      <c r="I599" s="9"/>
      <c r="J599" s="9"/>
      <c r="K599" s="9"/>
      <c r="L599" s="9"/>
      <c r="M599" s="15"/>
      <c r="N599" s="15"/>
      <c r="O599" s="15"/>
      <c r="P599" s="15"/>
      <c r="Q599" s="15"/>
      <c r="R599" s="15"/>
      <c r="S599" s="15"/>
      <c r="T599" s="15"/>
      <c r="U599" s="15"/>
      <c r="V599" s="15"/>
      <c r="W599" s="15"/>
      <c r="X599" s="15"/>
      <c r="Y599" s="15"/>
      <c r="Z599" s="15"/>
      <c r="AA599" s="15"/>
      <c r="AB599" s="15"/>
      <c r="AC599" s="15"/>
      <c r="AD599" s="15"/>
      <c r="AE599" s="15"/>
      <c r="AF599" s="15"/>
      <c r="AG599" s="15"/>
      <c r="AH599" s="15"/>
    </row>
    <row r="600" ht="15.75" customHeight="1">
      <c r="A600" s="28" t="s">
        <v>5</v>
      </c>
      <c r="E600" s="28" t="s">
        <v>88</v>
      </c>
      <c r="F600" s="65" t="s">
        <v>795</v>
      </c>
      <c r="G600" s="28"/>
      <c r="H600" s="31"/>
      <c r="I600" s="9"/>
      <c r="J600" s="9"/>
      <c r="K600" s="9"/>
      <c r="L600" s="9"/>
      <c r="M600" s="15"/>
      <c r="N600" s="15"/>
      <c r="O600" s="15"/>
      <c r="P600" s="15"/>
      <c r="Q600" s="15"/>
      <c r="R600" s="15"/>
      <c r="S600" s="15"/>
      <c r="T600" s="15"/>
      <c r="U600" s="15"/>
      <c r="V600" s="15"/>
      <c r="W600" s="15"/>
      <c r="X600" s="15"/>
      <c r="Y600" s="15"/>
      <c r="Z600" s="15"/>
      <c r="AA600" s="15"/>
      <c r="AB600" s="15"/>
      <c r="AC600" s="15"/>
      <c r="AD600" s="15"/>
      <c r="AE600" s="15"/>
      <c r="AF600" s="15"/>
      <c r="AG600" s="15"/>
      <c r="AH600" s="15"/>
    </row>
    <row r="601" ht="15.75" customHeight="1">
      <c r="A601" s="28" t="s">
        <v>5</v>
      </c>
      <c r="B601" s="56" t="s">
        <v>1630</v>
      </c>
      <c r="C601" s="175" t="s">
        <v>1631</v>
      </c>
      <c r="D601" s="83" t="s">
        <v>20</v>
      </c>
      <c r="E601" s="28" t="s">
        <v>21</v>
      </c>
      <c r="F601" s="65" t="s">
        <v>51</v>
      </c>
      <c r="G601" s="166" t="s">
        <v>1632</v>
      </c>
      <c r="H601" s="31" t="s">
        <v>51</v>
      </c>
      <c r="I601" s="9"/>
      <c r="J601" s="9"/>
      <c r="K601" s="9"/>
      <c r="L601" s="9"/>
      <c r="M601" s="15"/>
      <c r="N601" s="15"/>
      <c r="O601" s="15"/>
      <c r="P601" s="15"/>
      <c r="Q601" s="15"/>
      <c r="R601" s="15"/>
      <c r="S601" s="15"/>
      <c r="T601" s="15"/>
      <c r="U601" s="15"/>
      <c r="V601" s="15"/>
      <c r="W601" s="15"/>
      <c r="X601" s="15"/>
      <c r="Y601" s="15"/>
      <c r="Z601" s="15"/>
      <c r="AA601" s="15"/>
      <c r="AB601" s="15"/>
      <c r="AC601" s="15"/>
      <c r="AD601" s="15"/>
      <c r="AE601" s="15"/>
      <c r="AF601" s="15"/>
      <c r="AG601" s="15"/>
      <c r="AH601" s="15"/>
    </row>
    <row r="602" ht="15.75" customHeight="1">
      <c r="A602" s="28" t="s">
        <v>5</v>
      </c>
      <c r="E602" s="28" t="s">
        <v>88</v>
      </c>
      <c r="F602" s="65" t="s">
        <v>467</v>
      </c>
      <c r="G602" s="166" t="s">
        <v>1633</v>
      </c>
      <c r="H602" s="31" t="s">
        <v>467</v>
      </c>
      <c r="I602" s="9"/>
      <c r="J602" s="9"/>
      <c r="K602" s="9"/>
      <c r="L602" s="9"/>
      <c r="M602" s="15"/>
      <c r="N602" s="15"/>
      <c r="O602" s="15"/>
      <c r="P602" s="15"/>
      <c r="Q602" s="15"/>
      <c r="R602" s="15"/>
      <c r="S602" s="15"/>
      <c r="T602" s="15"/>
      <c r="U602" s="15"/>
      <c r="V602" s="15"/>
      <c r="W602" s="15"/>
      <c r="X602" s="15"/>
      <c r="Y602" s="15"/>
      <c r="Z602" s="15"/>
      <c r="AA602" s="15"/>
      <c r="AB602" s="15"/>
      <c r="AC602" s="15"/>
      <c r="AD602" s="15"/>
      <c r="AE602" s="15"/>
      <c r="AF602" s="15"/>
      <c r="AG602" s="15"/>
      <c r="AH602" s="15"/>
    </row>
    <row r="603" ht="15.75" customHeight="1">
      <c r="A603" s="28" t="s">
        <v>5</v>
      </c>
      <c r="E603" s="28" t="s">
        <v>88</v>
      </c>
      <c r="F603" s="65" t="s">
        <v>469</v>
      </c>
      <c r="G603" s="166" t="s">
        <v>1634</v>
      </c>
      <c r="H603" s="31" t="s">
        <v>469</v>
      </c>
      <c r="I603" s="9"/>
      <c r="J603" s="9"/>
      <c r="K603" s="9"/>
      <c r="L603" s="9"/>
      <c r="M603" s="15"/>
      <c r="N603" s="15"/>
      <c r="O603" s="15"/>
      <c r="P603" s="15"/>
      <c r="Q603" s="15"/>
      <c r="R603" s="15"/>
      <c r="S603" s="15"/>
      <c r="T603" s="15"/>
      <c r="U603" s="15"/>
      <c r="V603" s="15"/>
      <c r="W603" s="15"/>
      <c r="X603" s="15"/>
      <c r="Y603" s="15"/>
      <c r="Z603" s="15"/>
      <c r="AA603" s="15"/>
      <c r="AB603" s="15"/>
      <c r="AC603" s="15"/>
      <c r="AD603" s="15"/>
      <c r="AE603" s="15"/>
      <c r="AF603" s="15"/>
      <c r="AG603" s="15"/>
      <c r="AH603" s="15"/>
    </row>
    <row r="604" ht="15.75" customHeight="1">
      <c r="A604" s="28" t="s">
        <v>5</v>
      </c>
      <c r="E604" s="28" t="s">
        <v>88</v>
      </c>
      <c r="F604" s="65" t="s">
        <v>120</v>
      </c>
      <c r="G604" s="166" t="s">
        <v>1635</v>
      </c>
      <c r="H604" s="31" t="s">
        <v>120</v>
      </c>
      <c r="I604" s="31"/>
      <c r="J604" s="9"/>
      <c r="K604" s="9"/>
      <c r="L604" s="9"/>
      <c r="M604" s="15"/>
      <c r="N604" s="15"/>
      <c r="O604" s="15"/>
      <c r="P604" s="15"/>
      <c r="Q604" s="15"/>
      <c r="R604" s="15"/>
      <c r="S604" s="15"/>
      <c r="T604" s="15"/>
      <c r="U604" s="15"/>
      <c r="V604" s="15"/>
      <c r="W604" s="15"/>
      <c r="X604" s="15"/>
      <c r="Y604" s="15"/>
      <c r="Z604" s="15"/>
      <c r="AA604" s="15"/>
      <c r="AB604" s="15"/>
      <c r="AC604" s="15"/>
      <c r="AD604" s="15"/>
      <c r="AE604" s="15"/>
      <c r="AF604" s="15"/>
      <c r="AG604" s="15"/>
      <c r="AH604" s="15"/>
    </row>
    <row r="605" ht="15.75" customHeight="1">
      <c r="A605" s="28" t="s">
        <v>5</v>
      </c>
      <c r="E605" s="28" t="s">
        <v>88</v>
      </c>
      <c r="F605" s="65" t="s">
        <v>246</v>
      </c>
      <c r="G605" s="166" t="s">
        <v>1636</v>
      </c>
      <c r="H605" s="31" t="s">
        <v>246</v>
      </c>
      <c r="I605" s="9"/>
      <c r="J605" s="9"/>
      <c r="K605" s="9"/>
      <c r="L605" s="9"/>
      <c r="M605" s="15"/>
      <c r="N605" s="15"/>
      <c r="O605" s="15"/>
      <c r="P605" s="15"/>
      <c r="Q605" s="15"/>
      <c r="R605" s="15"/>
      <c r="S605" s="15"/>
      <c r="T605" s="15"/>
      <c r="U605" s="15"/>
      <c r="V605" s="15"/>
      <c r="W605" s="15"/>
      <c r="X605" s="15"/>
      <c r="Y605" s="15"/>
      <c r="Z605" s="15"/>
      <c r="AA605" s="15"/>
      <c r="AB605" s="15"/>
      <c r="AC605" s="15"/>
      <c r="AD605" s="15"/>
      <c r="AE605" s="15"/>
      <c r="AF605" s="15"/>
      <c r="AG605" s="15"/>
      <c r="AH605" s="15"/>
    </row>
    <row r="606" ht="15.75" customHeight="1">
      <c r="A606" s="28" t="s">
        <v>5</v>
      </c>
      <c r="E606" s="28" t="s">
        <v>88</v>
      </c>
      <c r="F606" s="65" t="s">
        <v>247</v>
      </c>
      <c r="G606" s="28"/>
      <c r="H606" s="31"/>
      <c r="I606" s="31"/>
      <c r="J606" s="31"/>
      <c r="K606" s="31"/>
      <c r="L606" s="9"/>
      <c r="M606" s="15"/>
      <c r="N606" s="15"/>
      <c r="O606" s="15"/>
      <c r="P606" s="15"/>
      <c r="Q606" s="15"/>
      <c r="R606" s="15"/>
      <c r="S606" s="15"/>
      <c r="T606" s="15"/>
      <c r="U606" s="15"/>
      <c r="V606" s="15"/>
      <c r="W606" s="15"/>
      <c r="X606" s="15"/>
      <c r="Y606" s="15"/>
      <c r="Z606" s="15"/>
      <c r="AA606" s="15"/>
      <c r="AB606" s="15"/>
      <c r="AC606" s="15"/>
      <c r="AD606" s="15"/>
      <c r="AE606" s="15"/>
      <c r="AF606" s="15"/>
      <c r="AG606" s="15"/>
      <c r="AH606" s="15"/>
    </row>
    <row r="607" ht="15.75" customHeight="1">
      <c r="A607" s="28" t="s">
        <v>5</v>
      </c>
      <c r="E607" s="28" t="s">
        <v>88</v>
      </c>
      <c r="F607" s="65" t="s">
        <v>95</v>
      </c>
      <c r="G607" s="166" t="s">
        <v>1637</v>
      </c>
      <c r="H607" s="31" t="s">
        <v>95</v>
      </c>
      <c r="I607" s="9"/>
      <c r="J607" s="9"/>
      <c r="K607" s="9"/>
      <c r="L607" s="9"/>
      <c r="M607" s="15"/>
      <c r="N607" s="15"/>
      <c r="O607" s="15"/>
      <c r="P607" s="15"/>
      <c r="Q607" s="15"/>
      <c r="R607" s="15"/>
      <c r="S607" s="15"/>
      <c r="T607" s="15"/>
      <c r="U607" s="15"/>
      <c r="V607" s="15"/>
      <c r="W607" s="15"/>
      <c r="X607" s="15"/>
      <c r="Y607" s="15"/>
      <c r="Z607" s="15"/>
      <c r="AA607" s="15"/>
      <c r="AB607" s="15"/>
      <c r="AC607" s="15"/>
      <c r="AD607" s="15"/>
      <c r="AE607" s="15"/>
      <c r="AF607" s="15"/>
      <c r="AG607" s="15"/>
      <c r="AH607" s="15"/>
    </row>
    <row r="608" ht="15.75" customHeight="1">
      <c r="A608" s="28" t="s">
        <v>5</v>
      </c>
      <c r="E608" s="28" t="s">
        <v>88</v>
      </c>
      <c r="F608" s="65" t="s">
        <v>96</v>
      </c>
      <c r="G608" s="166" t="s">
        <v>1638</v>
      </c>
      <c r="H608" s="31" t="s">
        <v>96</v>
      </c>
      <c r="I608" s="9"/>
      <c r="J608" s="9"/>
      <c r="K608" s="9"/>
      <c r="L608" s="9"/>
      <c r="M608" s="15"/>
      <c r="N608" s="15"/>
      <c r="O608" s="15"/>
      <c r="P608" s="15"/>
      <c r="Q608" s="15"/>
      <c r="R608" s="15"/>
      <c r="S608" s="15"/>
      <c r="T608" s="15"/>
      <c r="U608" s="15"/>
      <c r="V608" s="15"/>
      <c r="W608" s="15"/>
      <c r="X608" s="15"/>
      <c r="Y608" s="15"/>
      <c r="Z608" s="15"/>
      <c r="AA608" s="15"/>
      <c r="AB608" s="15"/>
      <c r="AC608" s="15"/>
      <c r="AD608" s="15"/>
      <c r="AE608" s="15"/>
      <c r="AF608" s="15"/>
      <c r="AG608" s="15"/>
      <c r="AH608" s="15"/>
    </row>
    <row r="609" ht="15.75" customHeight="1">
      <c r="A609" s="28" t="s">
        <v>5</v>
      </c>
      <c r="E609" s="28" t="s">
        <v>86</v>
      </c>
      <c r="F609" s="65" t="s">
        <v>90</v>
      </c>
      <c r="G609" s="166" t="s">
        <v>1639</v>
      </c>
      <c r="H609" s="31" t="s">
        <v>90</v>
      </c>
      <c r="I609" s="9"/>
      <c r="J609" s="9"/>
      <c r="K609" s="9"/>
      <c r="L609" s="9"/>
      <c r="M609" s="15"/>
      <c r="N609" s="15"/>
      <c r="O609" s="15"/>
      <c r="P609" s="15"/>
      <c r="Q609" s="15"/>
      <c r="R609" s="15"/>
      <c r="S609" s="15"/>
      <c r="T609" s="15"/>
      <c r="U609" s="15"/>
      <c r="V609" s="15"/>
      <c r="W609" s="15"/>
      <c r="X609" s="15"/>
      <c r="Y609" s="15"/>
      <c r="Z609" s="15"/>
      <c r="AA609" s="15"/>
      <c r="AB609" s="15"/>
      <c r="AC609" s="15"/>
      <c r="AD609" s="15"/>
      <c r="AE609" s="15"/>
      <c r="AF609" s="15"/>
      <c r="AG609" s="15"/>
      <c r="AH609" s="15"/>
    </row>
    <row r="610" ht="15.75" customHeight="1">
      <c r="A610" s="28" t="s">
        <v>5</v>
      </c>
      <c r="E610" s="28" t="s">
        <v>86</v>
      </c>
      <c r="F610" s="65" t="s">
        <v>338</v>
      </c>
      <c r="G610" s="166" t="s">
        <v>1640</v>
      </c>
      <c r="H610" s="31" t="s">
        <v>338</v>
      </c>
      <c r="I610" s="9"/>
      <c r="J610" s="9"/>
      <c r="K610" s="9"/>
      <c r="L610" s="9"/>
      <c r="M610" s="15"/>
      <c r="N610" s="15"/>
      <c r="O610" s="15"/>
      <c r="P610" s="15"/>
      <c r="Q610" s="15"/>
      <c r="R610" s="15"/>
      <c r="S610" s="15"/>
      <c r="T610" s="15"/>
      <c r="U610" s="15"/>
      <c r="V610" s="15"/>
      <c r="W610" s="15"/>
      <c r="X610" s="15"/>
      <c r="Y610" s="15"/>
      <c r="Z610" s="15"/>
      <c r="AA610" s="15"/>
      <c r="AB610" s="15"/>
      <c r="AC610" s="15"/>
      <c r="AD610" s="15"/>
      <c r="AE610" s="15"/>
      <c r="AF610" s="15"/>
      <c r="AG610" s="15"/>
      <c r="AH610" s="15"/>
    </row>
    <row r="611" ht="15.75" customHeight="1">
      <c r="A611" s="28" t="s">
        <v>5</v>
      </c>
      <c r="E611" s="28" t="s">
        <v>104</v>
      </c>
      <c r="F611" s="65" t="s">
        <v>250</v>
      </c>
      <c r="G611" s="166" t="s">
        <v>1641</v>
      </c>
      <c r="H611" s="31" t="s">
        <v>250</v>
      </c>
      <c r="I611" s="9"/>
      <c r="J611" s="9"/>
      <c r="K611" s="9"/>
      <c r="L611" s="9"/>
      <c r="M611" s="15"/>
      <c r="N611" s="15"/>
      <c r="O611" s="15"/>
      <c r="P611" s="15"/>
      <c r="Q611" s="15"/>
      <c r="R611" s="15"/>
      <c r="S611" s="15"/>
      <c r="T611" s="15"/>
      <c r="U611" s="15"/>
      <c r="V611" s="15"/>
      <c r="W611" s="15"/>
      <c r="X611" s="15"/>
      <c r="Y611" s="15"/>
      <c r="Z611" s="15"/>
      <c r="AA611" s="15"/>
      <c r="AB611" s="15"/>
      <c r="AC611" s="15"/>
      <c r="AD611" s="15"/>
      <c r="AE611" s="15"/>
      <c r="AF611" s="15"/>
      <c r="AG611" s="15"/>
      <c r="AH611" s="15"/>
    </row>
    <row r="612" ht="15.75" customHeight="1">
      <c r="A612" s="28" t="s">
        <v>5</v>
      </c>
      <c r="E612" s="28" t="s">
        <v>178</v>
      </c>
      <c r="F612" s="65" t="s">
        <v>209</v>
      </c>
      <c r="G612" s="166" t="s">
        <v>1642</v>
      </c>
      <c r="H612" s="31" t="s">
        <v>209</v>
      </c>
      <c r="I612" s="9"/>
      <c r="J612" s="9"/>
      <c r="K612" s="9"/>
      <c r="L612" s="9"/>
      <c r="M612" s="15"/>
      <c r="N612" s="15"/>
      <c r="O612" s="15"/>
      <c r="P612" s="15"/>
      <c r="Q612" s="15"/>
      <c r="R612" s="15"/>
      <c r="S612" s="15"/>
      <c r="T612" s="15"/>
      <c r="U612" s="15"/>
      <c r="V612" s="15"/>
      <c r="W612" s="15"/>
      <c r="X612" s="15"/>
      <c r="Y612" s="15"/>
      <c r="Z612" s="15"/>
      <c r="AA612" s="15"/>
      <c r="AB612" s="15"/>
      <c r="AC612" s="15"/>
      <c r="AD612" s="15"/>
      <c r="AE612" s="15"/>
      <c r="AF612" s="15"/>
      <c r="AG612" s="15"/>
      <c r="AH612" s="15"/>
    </row>
    <row r="613" ht="15.75" customHeight="1">
      <c r="A613" s="28" t="s">
        <v>5</v>
      </c>
      <c r="E613" s="28" t="s">
        <v>178</v>
      </c>
      <c r="F613" s="65" t="s">
        <v>210</v>
      </c>
      <c r="G613" s="166" t="s">
        <v>1643</v>
      </c>
      <c r="H613" s="31" t="s">
        <v>210</v>
      </c>
      <c r="I613" s="9"/>
      <c r="J613" s="9"/>
      <c r="K613" s="9"/>
      <c r="L613" s="9"/>
      <c r="M613" s="15"/>
      <c r="N613" s="15"/>
      <c r="O613" s="15"/>
      <c r="P613" s="15"/>
      <c r="Q613" s="15"/>
      <c r="R613" s="15"/>
      <c r="S613" s="15"/>
      <c r="T613" s="15"/>
      <c r="U613" s="15"/>
      <c r="V613" s="15"/>
      <c r="W613" s="15"/>
      <c r="X613" s="15"/>
      <c r="Y613" s="15"/>
      <c r="Z613" s="15"/>
      <c r="AA613" s="15"/>
      <c r="AB613" s="15"/>
      <c r="AC613" s="15"/>
      <c r="AD613" s="15"/>
      <c r="AE613" s="15"/>
      <c r="AF613" s="15"/>
      <c r="AG613" s="15"/>
      <c r="AH613" s="15"/>
    </row>
    <row r="614" ht="15.75" customHeight="1">
      <c r="A614" s="28" t="s">
        <v>5</v>
      </c>
      <c r="E614" s="28" t="s">
        <v>88</v>
      </c>
      <c r="F614" s="65" t="s">
        <v>89</v>
      </c>
      <c r="G614" s="28"/>
      <c r="H614" s="31"/>
      <c r="I614" s="9"/>
      <c r="J614" s="9"/>
      <c r="K614" s="9"/>
      <c r="L614" s="9"/>
      <c r="M614" s="15"/>
      <c r="N614" s="15"/>
      <c r="O614" s="15"/>
      <c r="P614" s="15"/>
      <c r="Q614" s="15"/>
      <c r="R614" s="15"/>
      <c r="S614" s="15"/>
      <c r="T614" s="15"/>
      <c r="U614" s="15"/>
      <c r="V614" s="15"/>
      <c r="W614" s="15"/>
      <c r="X614" s="15"/>
      <c r="Y614" s="15"/>
      <c r="Z614" s="15"/>
      <c r="AA614" s="15"/>
      <c r="AB614" s="15"/>
      <c r="AC614" s="15"/>
      <c r="AD614" s="15"/>
      <c r="AE614" s="15"/>
      <c r="AF614" s="15"/>
      <c r="AG614" s="15"/>
      <c r="AH614" s="15"/>
    </row>
    <row r="615" ht="15.75" customHeight="1">
      <c r="A615" s="28" t="s">
        <v>5</v>
      </c>
      <c r="E615" s="28" t="s">
        <v>88</v>
      </c>
      <c r="F615" s="65" t="s">
        <v>795</v>
      </c>
      <c r="G615" s="28"/>
      <c r="H615" s="31"/>
      <c r="I615" s="31"/>
      <c r="J615" s="9"/>
      <c r="K615" s="9"/>
      <c r="L615" s="9"/>
      <c r="M615" s="15"/>
      <c r="N615" s="15"/>
      <c r="O615" s="15"/>
      <c r="P615" s="15"/>
      <c r="Q615" s="15"/>
      <c r="R615" s="15"/>
      <c r="S615" s="15"/>
      <c r="T615" s="15"/>
      <c r="U615" s="15"/>
      <c r="V615" s="15"/>
      <c r="W615" s="15"/>
      <c r="X615" s="15"/>
      <c r="Y615" s="15"/>
      <c r="Z615" s="15"/>
      <c r="AA615" s="15"/>
      <c r="AB615" s="15"/>
      <c r="AC615" s="15"/>
      <c r="AD615" s="15"/>
      <c r="AE615" s="15"/>
      <c r="AF615" s="15"/>
      <c r="AG615" s="15"/>
      <c r="AH615" s="15"/>
    </row>
    <row r="616" ht="15.75" customHeight="1">
      <c r="A616" s="28" t="s">
        <v>5</v>
      </c>
      <c r="B616" s="56" t="s">
        <v>1644</v>
      </c>
      <c r="C616" s="175" t="s">
        <v>1645</v>
      </c>
      <c r="D616" s="83" t="s">
        <v>20</v>
      </c>
      <c r="E616" s="28" t="s">
        <v>88</v>
      </c>
      <c r="F616" s="65" t="s">
        <v>467</v>
      </c>
      <c r="G616" s="166" t="s">
        <v>1646</v>
      </c>
      <c r="H616" s="31" t="s">
        <v>467</v>
      </c>
      <c r="I616" s="31"/>
      <c r="J616" s="31"/>
      <c r="K616" s="9"/>
      <c r="L616" s="9"/>
      <c r="M616" s="15"/>
      <c r="N616" s="15"/>
      <c r="O616" s="15"/>
      <c r="P616" s="15"/>
      <c r="Q616" s="15"/>
      <c r="R616" s="15"/>
      <c r="S616" s="15"/>
      <c r="T616" s="15"/>
      <c r="U616" s="15"/>
      <c r="V616" s="15"/>
      <c r="W616" s="15"/>
      <c r="X616" s="15"/>
      <c r="Y616" s="15"/>
      <c r="Z616" s="15"/>
      <c r="AA616" s="15"/>
      <c r="AB616" s="15"/>
      <c r="AC616" s="15"/>
      <c r="AD616" s="15"/>
      <c r="AE616" s="15"/>
      <c r="AF616" s="15"/>
      <c r="AG616" s="15"/>
      <c r="AH616" s="15"/>
    </row>
    <row r="617" ht="15.75" customHeight="1">
      <c r="A617" s="28" t="s">
        <v>5</v>
      </c>
      <c r="E617" s="28" t="s">
        <v>88</v>
      </c>
      <c r="F617" s="65" t="s">
        <v>469</v>
      </c>
      <c r="G617" s="166" t="s">
        <v>1647</v>
      </c>
      <c r="H617" s="31" t="s">
        <v>469</v>
      </c>
      <c r="I617" s="9"/>
      <c r="J617" s="9"/>
      <c r="K617" s="9"/>
      <c r="L617" s="9"/>
      <c r="M617" s="15"/>
      <c r="N617" s="15"/>
      <c r="O617" s="15"/>
      <c r="P617" s="15"/>
      <c r="Q617" s="15"/>
      <c r="R617" s="15"/>
      <c r="S617" s="15"/>
      <c r="T617" s="15"/>
      <c r="U617" s="15"/>
      <c r="V617" s="15"/>
      <c r="W617" s="15"/>
      <c r="X617" s="15"/>
      <c r="Y617" s="15"/>
      <c r="Z617" s="15"/>
      <c r="AA617" s="15"/>
      <c r="AB617" s="15"/>
      <c r="AC617" s="15"/>
      <c r="AD617" s="15"/>
      <c r="AE617" s="15"/>
      <c r="AF617" s="15"/>
      <c r="AG617" s="15"/>
      <c r="AH617" s="15"/>
    </row>
    <row r="618" ht="15.75" customHeight="1">
      <c r="A618" s="28" t="s">
        <v>5</v>
      </c>
      <c r="E618" s="28" t="s">
        <v>21</v>
      </c>
      <c r="F618" s="65" t="s">
        <v>51</v>
      </c>
      <c r="G618" s="168" t="s">
        <v>1648</v>
      </c>
      <c r="H618" s="36"/>
      <c r="I618" s="36"/>
      <c r="L618" s="9"/>
      <c r="M618" s="15"/>
      <c r="N618" s="15"/>
      <c r="O618" s="15"/>
      <c r="P618" s="15"/>
      <c r="Q618" s="15"/>
      <c r="R618" s="15"/>
      <c r="S618" s="15"/>
      <c r="T618" s="15"/>
      <c r="U618" s="15"/>
      <c r="V618" s="15"/>
      <c r="W618" s="15"/>
      <c r="X618" s="15"/>
      <c r="Y618" s="15"/>
      <c r="Z618" s="15"/>
      <c r="AA618" s="15"/>
      <c r="AB618" s="15"/>
      <c r="AC618" s="15"/>
      <c r="AD618" s="15"/>
      <c r="AE618" s="15"/>
      <c r="AF618" s="15"/>
      <c r="AG618" s="15"/>
      <c r="AH618" s="15"/>
    </row>
    <row r="619" ht="15.75" customHeight="1">
      <c r="A619" s="28" t="s">
        <v>5</v>
      </c>
      <c r="E619" s="28" t="s">
        <v>88</v>
      </c>
      <c r="F619" s="65" t="s">
        <v>120</v>
      </c>
      <c r="G619" s="166" t="s">
        <v>1649</v>
      </c>
      <c r="H619" s="31" t="s">
        <v>120</v>
      </c>
      <c r="I619" s="31"/>
      <c r="J619" s="9"/>
      <c r="K619" s="9"/>
      <c r="L619" s="9"/>
      <c r="M619" s="15"/>
      <c r="N619" s="15"/>
      <c r="O619" s="15"/>
      <c r="P619" s="15"/>
      <c r="Q619" s="15"/>
      <c r="R619" s="15"/>
      <c r="S619" s="15"/>
      <c r="T619" s="15"/>
      <c r="U619" s="15"/>
      <c r="V619" s="15"/>
      <c r="W619" s="15"/>
      <c r="X619" s="15"/>
      <c r="Y619" s="15"/>
      <c r="Z619" s="15"/>
      <c r="AA619" s="15"/>
      <c r="AB619" s="15"/>
      <c r="AC619" s="15"/>
      <c r="AD619" s="15"/>
      <c r="AE619" s="15"/>
      <c r="AF619" s="15"/>
      <c r="AG619" s="15"/>
      <c r="AH619" s="15"/>
    </row>
    <row r="620" ht="15.75" customHeight="1">
      <c r="A620" s="28" t="s">
        <v>5</v>
      </c>
      <c r="E620" s="28" t="s">
        <v>88</v>
      </c>
      <c r="F620" s="65" t="s">
        <v>246</v>
      </c>
      <c r="G620" s="166" t="s">
        <v>1650</v>
      </c>
      <c r="H620" s="31" t="s">
        <v>246</v>
      </c>
      <c r="I620" s="31"/>
      <c r="J620" s="9"/>
      <c r="K620" s="9"/>
      <c r="L620" s="9"/>
      <c r="M620" s="15"/>
      <c r="N620" s="15"/>
      <c r="O620" s="15"/>
      <c r="P620" s="15"/>
      <c r="Q620" s="15"/>
      <c r="R620" s="15"/>
      <c r="S620" s="15"/>
      <c r="T620" s="15"/>
      <c r="U620" s="15"/>
      <c r="V620" s="15"/>
      <c r="W620" s="15"/>
      <c r="X620" s="15"/>
      <c r="Y620" s="15"/>
      <c r="Z620" s="15"/>
      <c r="AA620" s="15"/>
      <c r="AB620" s="15"/>
      <c r="AC620" s="15"/>
      <c r="AD620" s="15"/>
      <c r="AE620" s="15"/>
      <c r="AF620" s="15"/>
      <c r="AG620" s="15"/>
      <c r="AH620" s="15"/>
    </row>
    <row r="621" ht="15.75" customHeight="1">
      <c r="A621" s="28" t="s">
        <v>5</v>
      </c>
      <c r="E621" s="28" t="s">
        <v>88</v>
      </c>
      <c r="F621" s="65" t="s">
        <v>247</v>
      </c>
      <c r="G621" s="28"/>
      <c r="H621" s="31"/>
      <c r="I621" s="31"/>
      <c r="J621" s="9"/>
      <c r="K621" s="9"/>
      <c r="L621" s="9"/>
      <c r="M621" s="15"/>
      <c r="N621" s="15"/>
      <c r="O621" s="15"/>
      <c r="P621" s="15"/>
      <c r="Q621" s="15"/>
      <c r="R621" s="15"/>
      <c r="S621" s="15"/>
      <c r="T621" s="15"/>
      <c r="U621" s="15"/>
      <c r="V621" s="15"/>
      <c r="W621" s="15"/>
      <c r="X621" s="15"/>
      <c r="Y621" s="15"/>
      <c r="Z621" s="15"/>
      <c r="AA621" s="15"/>
      <c r="AB621" s="15"/>
      <c r="AC621" s="15"/>
      <c r="AD621" s="15"/>
      <c r="AE621" s="15"/>
      <c r="AF621" s="15"/>
      <c r="AG621" s="15"/>
      <c r="AH621" s="15"/>
    </row>
    <row r="622" ht="15.75" customHeight="1">
      <c r="A622" s="28" t="s">
        <v>5</v>
      </c>
      <c r="E622" s="28" t="s">
        <v>88</v>
      </c>
      <c r="F622" s="65" t="s">
        <v>95</v>
      </c>
      <c r="G622" s="166" t="s">
        <v>1651</v>
      </c>
      <c r="H622" s="31" t="s">
        <v>95</v>
      </c>
      <c r="I622" s="31"/>
      <c r="J622" s="9"/>
      <c r="K622" s="9"/>
      <c r="L622" s="9"/>
      <c r="M622" s="15"/>
      <c r="N622" s="15"/>
      <c r="O622" s="15"/>
      <c r="P622" s="15"/>
      <c r="Q622" s="15"/>
      <c r="R622" s="15"/>
      <c r="S622" s="15"/>
      <c r="T622" s="15"/>
      <c r="U622" s="15"/>
      <c r="V622" s="15"/>
      <c r="W622" s="15"/>
      <c r="X622" s="15"/>
      <c r="Y622" s="15"/>
      <c r="Z622" s="15"/>
      <c r="AA622" s="15"/>
      <c r="AB622" s="15"/>
      <c r="AC622" s="15"/>
      <c r="AD622" s="15"/>
      <c r="AE622" s="15"/>
      <c r="AF622" s="15"/>
      <c r="AG622" s="15"/>
      <c r="AH622" s="15"/>
    </row>
    <row r="623" ht="15.75" customHeight="1">
      <c r="A623" s="28" t="s">
        <v>5</v>
      </c>
      <c r="E623" s="28" t="s">
        <v>88</v>
      </c>
      <c r="F623" s="65" t="s">
        <v>96</v>
      </c>
      <c r="G623" s="166" t="s">
        <v>1652</v>
      </c>
      <c r="H623" s="31" t="s">
        <v>96</v>
      </c>
      <c r="I623" s="31"/>
      <c r="J623" s="9"/>
      <c r="K623" s="9"/>
      <c r="L623" s="9"/>
      <c r="M623" s="15"/>
      <c r="N623" s="15"/>
      <c r="O623" s="15"/>
      <c r="P623" s="15"/>
      <c r="Q623" s="15"/>
      <c r="R623" s="15"/>
      <c r="S623" s="15"/>
      <c r="T623" s="15"/>
      <c r="U623" s="15"/>
      <c r="V623" s="15"/>
      <c r="W623" s="15"/>
      <c r="X623" s="15"/>
      <c r="Y623" s="15"/>
      <c r="Z623" s="15"/>
      <c r="AA623" s="15"/>
      <c r="AB623" s="15"/>
      <c r="AC623" s="15"/>
      <c r="AD623" s="15"/>
      <c r="AE623" s="15"/>
      <c r="AF623" s="15"/>
      <c r="AG623" s="15"/>
      <c r="AH623" s="15"/>
    </row>
    <row r="624" ht="15.75" customHeight="1">
      <c r="A624" s="28" t="s">
        <v>5</v>
      </c>
      <c r="E624" s="28" t="s">
        <v>86</v>
      </c>
      <c r="F624" s="65" t="s">
        <v>90</v>
      </c>
      <c r="G624" s="166" t="s">
        <v>1653</v>
      </c>
      <c r="H624" s="31" t="s">
        <v>90</v>
      </c>
      <c r="I624" s="31"/>
      <c r="J624" s="9"/>
      <c r="K624" s="9"/>
      <c r="L624" s="9"/>
      <c r="M624" s="15"/>
      <c r="N624" s="15"/>
      <c r="O624" s="15"/>
      <c r="P624" s="15"/>
      <c r="Q624" s="15"/>
      <c r="R624" s="15"/>
      <c r="S624" s="15"/>
      <c r="T624" s="15"/>
      <c r="U624" s="15"/>
      <c r="V624" s="15"/>
      <c r="W624" s="15"/>
      <c r="X624" s="15"/>
      <c r="Y624" s="15"/>
      <c r="Z624" s="15"/>
      <c r="AA624" s="15"/>
      <c r="AB624" s="15"/>
      <c r="AC624" s="15"/>
      <c r="AD624" s="15"/>
      <c r="AE624" s="15"/>
      <c r="AF624" s="15"/>
      <c r="AG624" s="15"/>
      <c r="AH624" s="15"/>
    </row>
    <row r="625" ht="15.75" customHeight="1">
      <c r="A625" s="28" t="s">
        <v>5</v>
      </c>
      <c r="E625" s="28" t="s">
        <v>86</v>
      </c>
      <c r="F625" s="65" t="s">
        <v>91</v>
      </c>
      <c r="G625" s="166" t="s">
        <v>1654</v>
      </c>
      <c r="H625" s="31" t="s">
        <v>91</v>
      </c>
      <c r="I625" s="31"/>
      <c r="J625" s="9"/>
      <c r="K625" s="9"/>
      <c r="L625" s="9"/>
      <c r="M625" s="15"/>
      <c r="N625" s="15"/>
      <c r="O625" s="15"/>
      <c r="P625" s="15"/>
      <c r="Q625" s="15"/>
      <c r="R625" s="15"/>
      <c r="S625" s="15"/>
      <c r="T625" s="15"/>
      <c r="U625" s="15"/>
      <c r="V625" s="15"/>
      <c r="W625" s="15"/>
      <c r="X625" s="15"/>
      <c r="Y625" s="15"/>
      <c r="Z625" s="15"/>
      <c r="AA625" s="15"/>
      <c r="AB625" s="15"/>
      <c r="AC625" s="15"/>
      <c r="AD625" s="15"/>
      <c r="AE625" s="15"/>
      <c r="AF625" s="15"/>
      <c r="AG625" s="15"/>
      <c r="AH625" s="15"/>
    </row>
    <row r="626" ht="15.75" customHeight="1">
      <c r="A626" s="28" t="s">
        <v>5</v>
      </c>
      <c r="E626" s="28" t="s">
        <v>104</v>
      </c>
      <c r="F626" s="65" t="s">
        <v>250</v>
      </c>
      <c r="G626" s="166" t="s">
        <v>1655</v>
      </c>
      <c r="H626" s="31" t="s">
        <v>250</v>
      </c>
      <c r="I626" s="31"/>
      <c r="J626" s="9"/>
      <c r="K626" s="9"/>
      <c r="L626" s="9"/>
      <c r="M626" s="15"/>
      <c r="N626" s="15"/>
      <c r="O626" s="15"/>
      <c r="P626" s="15"/>
      <c r="Q626" s="15"/>
      <c r="R626" s="15"/>
      <c r="S626" s="15"/>
      <c r="T626" s="15"/>
      <c r="U626" s="15"/>
      <c r="V626" s="15"/>
      <c r="W626" s="15"/>
      <c r="X626" s="15"/>
      <c r="Y626" s="15"/>
      <c r="Z626" s="15"/>
      <c r="AA626" s="15"/>
      <c r="AB626" s="15"/>
      <c r="AC626" s="15"/>
      <c r="AD626" s="15"/>
      <c r="AE626" s="15"/>
      <c r="AF626" s="15"/>
      <c r="AG626" s="15"/>
      <c r="AH626" s="15"/>
    </row>
    <row r="627" ht="15.75" customHeight="1">
      <c r="A627" s="28" t="s">
        <v>5</v>
      </c>
      <c r="E627" s="28" t="s">
        <v>178</v>
      </c>
      <c r="F627" s="65" t="s">
        <v>209</v>
      </c>
      <c r="G627" s="166" t="s">
        <v>1656</v>
      </c>
      <c r="H627" s="31" t="s">
        <v>209</v>
      </c>
      <c r="I627" s="31"/>
      <c r="J627" s="9"/>
      <c r="K627" s="9"/>
      <c r="L627" s="9"/>
      <c r="M627" s="15"/>
      <c r="N627" s="15"/>
      <c r="O627" s="15"/>
      <c r="P627" s="15"/>
      <c r="Q627" s="15"/>
      <c r="R627" s="15"/>
      <c r="S627" s="15"/>
      <c r="T627" s="15"/>
      <c r="U627" s="15"/>
      <c r="V627" s="15"/>
      <c r="W627" s="15"/>
      <c r="X627" s="15"/>
      <c r="Y627" s="15"/>
      <c r="Z627" s="15"/>
      <c r="AA627" s="15"/>
      <c r="AB627" s="15"/>
      <c r="AC627" s="15"/>
      <c r="AD627" s="15"/>
      <c r="AE627" s="15"/>
      <c r="AF627" s="15"/>
      <c r="AG627" s="15"/>
      <c r="AH627" s="15"/>
    </row>
    <row r="628" ht="15.75" customHeight="1">
      <c r="A628" s="28" t="s">
        <v>5</v>
      </c>
      <c r="E628" s="28" t="s">
        <v>178</v>
      </c>
      <c r="F628" s="65" t="s">
        <v>210</v>
      </c>
      <c r="G628" s="166" t="s">
        <v>1657</v>
      </c>
      <c r="H628" s="31" t="s">
        <v>210</v>
      </c>
      <c r="I628" s="31"/>
      <c r="J628" s="9"/>
      <c r="K628" s="9"/>
      <c r="L628" s="9"/>
      <c r="M628" s="15"/>
      <c r="N628" s="15"/>
      <c r="O628" s="15"/>
      <c r="P628" s="15"/>
      <c r="Q628" s="15"/>
      <c r="R628" s="15"/>
      <c r="S628" s="15"/>
      <c r="T628" s="15"/>
      <c r="U628" s="15"/>
      <c r="V628" s="15"/>
      <c r="W628" s="15"/>
      <c r="X628" s="15"/>
      <c r="Y628" s="15"/>
      <c r="Z628" s="15"/>
      <c r="AA628" s="15"/>
      <c r="AB628" s="15"/>
      <c r="AC628" s="15"/>
      <c r="AD628" s="15"/>
      <c r="AE628" s="15"/>
      <c r="AF628" s="15"/>
      <c r="AG628" s="15"/>
      <c r="AH628" s="15"/>
    </row>
    <row r="629" ht="15.75" customHeight="1">
      <c r="A629" s="28" t="s">
        <v>5</v>
      </c>
      <c r="E629" s="28" t="s">
        <v>88</v>
      </c>
      <c r="F629" s="65" t="s">
        <v>89</v>
      </c>
      <c r="G629" s="28"/>
      <c r="H629" s="31"/>
      <c r="I629" s="9"/>
      <c r="J629" s="9"/>
      <c r="K629" s="9"/>
      <c r="L629" s="9"/>
      <c r="M629" s="15"/>
      <c r="N629" s="15"/>
      <c r="O629" s="15"/>
      <c r="P629" s="15"/>
      <c r="Q629" s="15"/>
      <c r="R629" s="15"/>
      <c r="S629" s="15"/>
      <c r="T629" s="15"/>
      <c r="U629" s="15"/>
      <c r="V629" s="15"/>
      <c r="W629" s="15"/>
      <c r="X629" s="15"/>
      <c r="Y629" s="15"/>
      <c r="Z629" s="15"/>
      <c r="AA629" s="15"/>
      <c r="AB629" s="15"/>
      <c r="AC629" s="15"/>
      <c r="AD629" s="15"/>
      <c r="AE629" s="15"/>
      <c r="AF629" s="15"/>
      <c r="AG629" s="15"/>
      <c r="AH629" s="15"/>
    </row>
    <row r="630" ht="15.75" customHeight="1">
      <c r="A630" s="28" t="s">
        <v>5</v>
      </c>
      <c r="E630" s="28" t="s">
        <v>88</v>
      </c>
      <c r="F630" s="65" t="s">
        <v>795</v>
      </c>
      <c r="G630" s="189"/>
      <c r="H630" s="31"/>
      <c r="I630" s="31"/>
      <c r="J630" s="9"/>
      <c r="K630" s="9"/>
      <c r="L630" s="9"/>
      <c r="M630" s="15"/>
      <c r="N630" s="15"/>
      <c r="O630" s="15"/>
      <c r="P630" s="15"/>
      <c r="Q630" s="15"/>
      <c r="R630" s="15"/>
      <c r="S630" s="15"/>
      <c r="T630" s="15"/>
      <c r="U630" s="15"/>
      <c r="V630" s="15"/>
      <c r="W630" s="15"/>
      <c r="X630" s="15"/>
      <c r="Y630" s="15"/>
      <c r="Z630" s="15"/>
      <c r="AA630" s="15"/>
      <c r="AB630" s="15"/>
      <c r="AC630" s="15"/>
      <c r="AD630" s="15"/>
      <c r="AE630" s="15"/>
      <c r="AF630" s="15"/>
      <c r="AG630" s="15"/>
      <c r="AH630" s="15"/>
    </row>
    <row r="631" ht="15.75" customHeight="1">
      <c r="A631" s="32" t="s">
        <v>5</v>
      </c>
      <c r="B631" s="163" t="s">
        <v>1658</v>
      </c>
      <c r="C631" s="175" t="s">
        <v>1659</v>
      </c>
      <c r="D631" s="164" t="s">
        <v>20</v>
      </c>
      <c r="E631" s="32" t="s">
        <v>21</v>
      </c>
      <c r="F631" s="65" t="s">
        <v>51</v>
      </c>
      <c r="G631" s="193" t="s">
        <v>1660</v>
      </c>
      <c r="H631" s="36"/>
      <c r="L631" s="9"/>
      <c r="M631" s="15"/>
      <c r="N631" s="15"/>
      <c r="O631" s="15"/>
      <c r="P631" s="15"/>
      <c r="Q631" s="15"/>
      <c r="R631" s="15"/>
      <c r="S631" s="15"/>
      <c r="T631" s="15"/>
      <c r="U631" s="15"/>
      <c r="V631" s="15"/>
      <c r="W631" s="15"/>
      <c r="X631" s="15"/>
      <c r="Y631" s="15"/>
      <c r="Z631" s="15"/>
      <c r="AA631" s="15"/>
      <c r="AB631" s="15"/>
      <c r="AC631" s="15"/>
      <c r="AD631" s="15"/>
      <c r="AE631" s="15"/>
      <c r="AF631" s="15"/>
      <c r="AG631" s="15"/>
      <c r="AH631" s="15"/>
    </row>
    <row r="632" ht="15.75" customHeight="1">
      <c r="A632" s="32" t="s">
        <v>5</v>
      </c>
      <c r="E632" s="32" t="s">
        <v>88</v>
      </c>
      <c r="F632" s="65" t="s">
        <v>120</v>
      </c>
      <c r="G632" s="171" t="s">
        <v>1661</v>
      </c>
      <c r="H632" s="31" t="s">
        <v>120</v>
      </c>
      <c r="I632" s="9"/>
      <c r="J632" s="9"/>
      <c r="K632" s="9"/>
      <c r="L632" s="9"/>
      <c r="M632" s="15"/>
      <c r="N632" s="15"/>
      <c r="O632" s="15"/>
      <c r="P632" s="15"/>
      <c r="Q632" s="15"/>
      <c r="R632" s="15"/>
      <c r="S632" s="15"/>
      <c r="T632" s="15"/>
      <c r="U632" s="15"/>
      <c r="V632" s="15"/>
      <c r="W632" s="15"/>
      <c r="X632" s="15"/>
      <c r="Y632" s="15"/>
      <c r="Z632" s="15"/>
      <c r="AA632" s="15"/>
      <c r="AB632" s="15"/>
      <c r="AC632" s="15"/>
      <c r="AD632" s="15"/>
      <c r="AE632" s="15"/>
      <c r="AF632" s="15"/>
      <c r="AG632" s="15"/>
      <c r="AH632" s="15"/>
    </row>
    <row r="633" ht="15.75" customHeight="1">
      <c r="A633" s="32" t="s">
        <v>5</v>
      </c>
      <c r="E633" s="32" t="s">
        <v>88</v>
      </c>
      <c r="F633" s="65" t="s">
        <v>246</v>
      </c>
      <c r="G633" s="171" t="s">
        <v>1662</v>
      </c>
      <c r="H633" s="31" t="s">
        <v>246</v>
      </c>
      <c r="I633" s="9"/>
      <c r="J633" s="9"/>
      <c r="K633" s="9"/>
      <c r="L633" s="9"/>
      <c r="M633" s="15"/>
      <c r="N633" s="15"/>
      <c r="O633" s="15"/>
      <c r="P633" s="15"/>
      <c r="Q633" s="15"/>
      <c r="R633" s="15"/>
      <c r="S633" s="15"/>
      <c r="T633" s="15"/>
      <c r="U633" s="15"/>
      <c r="V633" s="15"/>
      <c r="W633" s="15"/>
      <c r="X633" s="15"/>
      <c r="Y633" s="15"/>
      <c r="Z633" s="15"/>
      <c r="AA633" s="15"/>
      <c r="AB633" s="15"/>
      <c r="AC633" s="15"/>
      <c r="AD633" s="15"/>
      <c r="AE633" s="15"/>
      <c r="AF633" s="15"/>
      <c r="AG633" s="15"/>
      <c r="AH633" s="15"/>
    </row>
    <row r="634" ht="15.75" customHeight="1">
      <c r="A634" s="32" t="s">
        <v>5</v>
      </c>
      <c r="E634" s="32" t="s">
        <v>88</v>
      </c>
      <c r="F634" s="65" t="s">
        <v>247</v>
      </c>
      <c r="G634" s="32"/>
      <c r="H634" s="31"/>
      <c r="I634" s="31"/>
      <c r="J634" s="9"/>
      <c r="K634" s="9"/>
      <c r="L634" s="9"/>
      <c r="M634" s="15"/>
      <c r="N634" s="15"/>
      <c r="O634" s="15"/>
      <c r="P634" s="15"/>
      <c r="Q634" s="15"/>
      <c r="R634" s="15"/>
      <c r="S634" s="15"/>
      <c r="T634" s="15"/>
      <c r="U634" s="15"/>
      <c r="V634" s="15"/>
      <c r="W634" s="15"/>
      <c r="X634" s="15"/>
      <c r="Y634" s="15"/>
      <c r="Z634" s="15"/>
      <c r="AA634" s="15"/>
      <c r="AB634" s="15"/>
      <c r="AC634" s="15"/>
      <c r="AD634" s="15"/>
      <c r="AE634" s="15"/>
      <c r="AF634" s="15"/>
      <c r="AG634" s="15"/>
      <c r="AH634" s="15"/>
    </row>
    <row r="635" ht="15.75" customHeight="1">
      <c r="A635" s="32" t="s">
        <v>5</v>
      </c>
      <c r="E635" s="32" t="s">
        <v>88</v>
      </c>
      <c r="F635" s="65" t="s">
        <v>95</v>
      </c>
      <c r="G635" s="74" t="s">
        <v>1663</v>
      </c>
      <c r="H635" s="31" t="s">
        <v>95</v>
      </c>
      <c r="I635" s="31"/>
      <c r="J635" s="31"/>
      <c r="K635" s="9"/>
      <c r="L635" s="9"/>
      <c r="M635" s="15"/>
      <c r="N635" s="15"/>
      <c r="O635" s="15"/>
      <c r="P635" s="15"/>
      <c r="Q635" s="15"/>
      <c r="R635" s="15"/>
      <c r="S635" s="15"/>
      <c r="T635" s="15"/>
      <c r="U635" s="15"/>
      <c r="V635" s="15"/>
      <c r="W635" s="15"/>
      <c r="X635" s="15"/>
      <c r="Y635" s="15"/>
      <c r="Z635" s="15"/>
      <c r="AA635" s="15"/>
      <c r="AB635" s="15"/>
      <c r="AC635" s="15"/>
      <c r="AD635" s="15"/>
      <c r="AE635" s="15"/>
      <c r="AF635" s="15"/>
      <c r="AG635" s="15"/>
      <c r="AH635" s="15"/>
    </row>
    <row r="636" ht="15.75" customHeight="1">
      <c r="A636" s="32" t="s">
        <v>5</v>
      </c>
      <c r="E636" s="32" t="s">
        <v>88</v>
      </c>
      <c r="F636" s="65" t="s">
        <v>96</v>
      </c>
      <c r="G636" s="74" t="s">
        <v>1664</v>
      </c>
      <c r="H636" s="31" t="s">
        <v>96</v>
      </c>
      <c r="I636" s="31"/>
      <c r="J636" s="31"/>
      <c r="K636" s="9"/>
      <c r="L636" s="9"/>
      <c r="M636" s="15"/>
      <c r="N636" s="15"/>
      <c r="O636" s="15"/>
      <c r="P636" s="15"/>
      <c r="Q636" s="15"/>
      <c r="R636" s="15"/>
      <c r="S636" s="15"/>
      <c r="T636" s="15"/>
      <c r="U636" s="15"/>
      <c r="V636" s="15"/>
      <c r="W636" s="15"/>
      <c r="X636" s="15"/>
      <c r="Y636" s="15"/>
      <c r="Z636" s="15"/>
      <c r="AA636" s="15"/>
      <c r="AB636" s="15"/>
      <c r="AC636" s="15"/>
      <c r="AD636" s="15"/>
      <c r="AE636" s="15"/>
      <c r="AF636" s="15"/>
      <c r="AG636" s="15"/>
      <c r="AH636" s="15"/>
    </row>
    <row r="637" ht="15.75" customHeight="1">
      <c r="A637" s="32" t="s">
        <v>5</v>
      </c>
      <c r="E637" s="32" t="s">
        <v>86</v>
      </c>
      <c r="F637" s="65" t="s">
        <v>90</v>
      </c>
      <c r="G637" s="74" t="s">
        <v>1665</v>
      </c>
      <c r="H637" s="31" t="s">
        <v>90</v>
      </c>
      <c r="I637" s="31"/>
      <c r="J637" s="31"/>
      <c r="K637" s="9"/>
      <c r="L637" s="9"/>
      <c r="M637" s="15"/>
      <c r="N637" s="15"/>
      <c r="O637" s="15"/>
      <c r="P637" s="15"/>
      <c r="Q637" s="15"/>
      <c r="R637" s="15"/>
      <c r="S637" s="15"/>
      <c r="T637" s="15"/>
      <c r="U637" s="15"/>
      <c r="V637" s="15"/>
      <c r="W637" s="15"/>
      <c r="X637" s="15"/>
      <c r="Y637" s="15"/>
      <c r="Z637" s="15"/>
      <c r="AA637" s="15"/>
      <c r="AB637" s="15"/>
      <c r="AC637" s="15"/>
      <c r="AD637" s="15"/>
      <c r="AE637" s="15"/>
      <c r="AF637" s="15"/>
      <c r="AG637" s="15"/>
      <c r="AH637" s="15"/>
    </row>
    <row r="638" ht="15.75" customHeight="1">
      <c r="A638" s="32" t="s">
        <v>5</v>
      </c>
      <c r="E638" s="32" t="s">
        <v>86</v>
      </c>
      <c r="F638" s="65" t="s">
        <v>91</v>
      </c>
      <c r="G638" s="74" t="s">
        <v>1666</v>
      </c>
      <c r="H638" s="31" t="s">
        <v>91</v>
      </c>
      <c r="I638" s="31"/>
      <c r="J638" s="31"/>
      <c r="K638" s="9"/>
      <c r="L638" s="9"/>
      <c r="M638" s="15"/>
      <c r="N638" s="15"/>
      <c r="O638" s="15"/>
      <c r="P638" s="15"/>
      <c r="Q638" s="15"/>
      <c r="R638" s="15"/>
      <c r="S638" s="15"/>
      <c r="T638" s="15"/>
      <c r="U638" s="15"/>
      <c r="V638" s="15"/>
      <c r="W638" s="15"/>
      <c r="X638" s="15"/>
      <c r="Y638" s="15"/>
      <c r="Z638" s="15"/>
      <c r="AA638" s="15"/>
      <c r="AB638" s="15"/>
      <c r="AC638" s="15"/>
      <c r="AD638" s="15"/>
      <c r="AE638" s="15"/>
      <c r="AF638" s="15"/>
      <c r="AG638" s="15"/>
      <c r="AH638" s="15"/>
    </row>
    <row r="639" ht="15.75" customHeight="1">
      <c r="A639" s="32" t="s">
        <v>5</v>
      </c>
      <c r="E639" s="32" t="s">
        <v>104</v>
      </c>
      <c r="F639" s="65" t="s">
        <v>250</v>
      </c>
      <c r="G639" s="74" t="s">
        <v>1667</v>
      </c>
      <c r="H639" s="31" t="s">
        <v>250</v>
      </c>
      <c r="I639" s="31"/>
      <c r="J639" s="31"/>
      <c r="K639" s="9"/>
      <c r="L639" s="9"/>
      <c r="M639" s="15"/>
      <c r="N639" s="15"/>
      <c r="O639" s="15"/>
      <c r="P639" s="15"/>
      <c r="Q639" s="15"/>
      <c r="R639" s="15"/>
      <c r="S639" s="15"/>
      <c r="T639" s="15"/>
      <c r="U639" s="15"/>
      <c r="V639" s="15"/>
      <c r="W639" s="15"/>
      <c r="X639" s="15"/>
      <c r="Y639" s="15"/>
      <c r="Z639" s="15"/>
      <c r="AA639" s="15"/>
      <c r="AB639" s="15"/>
      <c r="AC639" s="15"/>
      <c r="AD639" s="15"/>
      <c r="AE639" s="15"/>
      <c r="AF639" s="15"/>
      <c r="AG639" s="15"/>
      <c r="AH639" s="15"/>
    </row>
    <row r="640" ht="15.75" customHeight="1">
      <c r="A640" s="32" t="s">
        <v>5</v>
      </c>
      <c r="E640" s="32" t="s">
        <v>178</v>
      </c>
      <c r="F640" s="65" t="s">
        <v>209</v>
      </c>
      <c r="G640" s="74" t="s">
        <v>1668</v>
      </c>
      <c r="H640" s="31" t="s">
        <v>209</v>
      </c>
      <c r="I640" s="31"/>
      <c r="J640" s="31"/>
      <c r="K640" s="9"/>
      <c r="L640" s="9"/>
      <c r="M640" s="15"/>
      <c r="N640" s="15"/>
      <c r="O640" s="15"/>
      <c r="P640" s="15"/>
      <c r="Q640" s="15"/>
      <c r="R640" s="15"/>
      <c r="S640" s="15"/>
      <c r="T640" s="15"/>
      <c r="U640" s="15"/>
      <c r="V640" s="15"/>
      <c r="W640" s="15"/>
      <c r="X640" s="15"/>
      <c r="Y640" s="15"/>
      <c r="Z640" s="15"/>
      <c r="AA640" s="15"/>
      <c r="AB640" s="15"/>
      <c r="AC640" s="15"/>
      <c r="AD640" s="15"/>
      <c r="AE640" s="15"/>
      <c r="AF640" s="15"/>
      <c r="AG640" s="15"/>
      <c r="AH640" s="15"/>
    </row>
    <row r="641" ht="15.75" customHeight="1">
      <c r="A641" s="32" t="s">
        <v>5</v>
      </c>
      <c r="E641" s="32" t="s">
        <v>178</v>
      </c>
      <c r="F641" s="65" t="s">
        <v>210</v>
      </c>
      <c r="G641" s="74" t="s">
        <v>1669</v>
      </c>
      <c r="H641" s="31" t="s">
        <v>210</v>
      </c>
      <c r="I641" s="31"/>
      <c r="J641" s="31"/>
      <c r="K641" s="9"/>
      <c r="L641" s="9"/>
      <c r="M641" s="15"/>
      <c r="N641" s="15"/>
      <c r="O641" s="15"/>
      <c r="P641" s="15"/>
      <c r="Q641" s="15"/>
      <c r="R641" s="15"/>
      <c r="S641" s="15"/>
      <c r="T641" s="15"/>
      <c r="U641" s="15"/>
      <c r="V641" s="15"/>
      <c r="W641" s="15"/>
      <c r="X641" s="15"/>
      <c r="Y641" s="15"/>
      <c r="Z641" s="15"/>
      <c r="AA641" s="15"/>
      <c r="AB641" s="15"/>
      <c r="AC641" s="15"/>
      <c r="AD641" s="15"/>
      <c r="AE641" s="15"/>
      <c r="AF641" s="15"/>
      <c r="AG641" s="15"/>
      <c r="AH641" s="15"/>
    </row>
    <row r="642" ht="15.75" customHeight="1">
      <c r="A642" s="32" t="s">
        <v>5</v>
      </c>
      <c r="E642" s="32" t="s">
        <v>88</v>
      </c>
      <c r="F642" s="65" t="s">
        <v>89</v>
      </c>
      <c r="G642" s="32"/>
      <c r="H642" s="31"/>
      <c r="I642" s="31"/>
      <c r="J642" s="31"/>
      <c r="K642" s="9"/>
      <c r="L642" s="9"/>
      <c r="M642" s="15"/>
      <c r="N642" s="15"/>
      <c r="O642" s="15"/>
      <c r="P642" s="15"/>
      <c r="Q642" s="15"/>
      <c r="R642" s="15"/>
      <c r="S642" s="15"/>
      <c r="T642" s="15"/>
      <c r="U642" s="15"/>
      <c r="V642" s="15"/>
      <c r="W642" s="15"/>
      <c r="X642" s="15"/>
      <c r="Y642" s="15"/>
      <c r="Z642" s="15"/>
      <c r="AA642" s="15"/>
      <c r="AB642" s="15"/>
      <c r="AC642" s="15"/>
      <c r="AD642" s="15"/>
      <c r="AE642" s="15"/>
      <c r="AF642" s="15"/>
      <c r="AG642" s="15"/>
      <c r="AH642" s="15"/>
    </row>
    <row r="643" ht="15.75" customHeight="1">
      <c r="A643" s="32" t="s">
        <v>5</v>
      </c>
      <c r="E643" s="32" t="s">
        <v>88</v>
      </c>
      <c r="F643" s="65" t="s">
        <v>795</v>
      </c>
      <c r="G643" s="32"/>
      <c r="H643" s="31"/>
      <c r="I643" s="31"/>
      <c r="J643" s="31"/>
      <c r="K643" s="9"/>
      <c r="L643" s="9"/>
      <c r="M643" s="15"/>
      <c r="N643" s="15"/>
      <c r="O643" s="15"/>
      <c r="P643" s="15"/>
      <c r="Q643" s="15"/>
      <c r="R643" s="15"/>
      <c r="S643" s="15"/>
      <c r="T643" s="15"/>
      <c r="U643" s="15"/>
      <c r="V643" s="15"/>
      <c r="W643" s="15"/>
      <c r="X643" s="15"/>
      <c r="Y643" s="15"/>
      <c r="Z643" s="15"/>
      <c r="AA643" s="15"/>
      <c r="AB643" s="15"/>
      <c r="AC643" s="15"/>
      <c r="AD643" s="15"/>
      <c r="AE643" s="15"/>
      <c r="AF643" s="15"/>
      <c r="AG643" s="15"/>
      <c r="AH643" s="15"/>
    </row>
    <row r="644" ht="15.75" customHeight="1">
      <c r="A644" s="32" t="s">
        <v>5</v>
      </c>
      <c r="B644" s="163" t="s">
        <v>1670</v>
      </c>
      <c r="C644" s="175" t="s">
        <v>1671</v>
      </c>
      <c r="D644" s="164" t="s">
        <v>20</v>
      </c>
      <c r="E644" s="32" t="s">
        <v>88</v>
      </c>
      <c r="F644" s="65" t="s">
        <v>467</v>
      </c>
      <c r="G644" s="74" t="s">
        <v>1672</v>
      </c>
      <c r="H644" s="31" t="s">
        <v>467</v>
      </c>
      <c r="I644" s="31"/>
      <c r="J644" s="9"/>
      <c r="K644" s="9"/>
      <c r="L644" s="9"/>
      <c r="M644" s="15"/>
      <c r="N644" s="15"/>
      <c r="O644" s="15"/>
      <c r="P644" s="15"/>
      <c r="Q644" s="15"/>
      <c r="R644" s="15"/>
      <c r="S644" s="15"/>
      <c r="T644" s="15"/>
      <c r="U644" s="15"/>
      <c r="V644" s="15"/>
      <c r="W644" s="15"/>
      <c r="X644" s="15"/>
      <c r="Y644" s="15"/>
      <c r="Z644" s="15"/>
      <c r="AA644" s="15"/>
      <c r="AB644" s="15"/>
      <c r="AC644" s="15"/>
      <c r="AD644" s="15"/>
      <c r="AE644" s="15"/>
      <c r="AF644" s="15"/>
      <c r="AG644" s="15"/>
      <c r="AH644" s="15"/>
    </row>
    <row r="645" ht="15.75" customHeight="1">
      <c r="E645" s="32" t="s">
        <v>88</v>
      </c>
      <c r="F645" s="65" t="s">
        <v>469</v>
      </c>
      <c r="G645" s="74" t="s">
        <v>1673</v>
      </c>
      <c r="H645" s="31" t="s">
        <v>469</v>
      </c>
      <c r="I645" s="31"/>
      <c r="J645" s="9"/>
      <c r="K645" s="9"/>
      <c r="L645" s="9"/>
      <c r="M645" s="15"/>
      <c r="N645" s="15"/>
      <c r="O645" s="15"/>
      <c r="P645" s="15"/>
      <c r="Q645" s="15"/>
      <c r="R645" s="15"/>
      <c r="S645" s="15"/>
      <c r="T645" s="15"/>
      <c r="U645" s="15"/>
      <c r="V645" s="15"/>
      <c r="W645" s="15"/>
      <c r="X645" s="15"/>
      <c r="Y645" s="15"/>
      <c r="Z645" s="15"/>
      <c r="AA645" s="15"/>
      <c r="AB645" s="15"/>
      <c r="AC645" s="15"/>
      <c r="AD645" s="15"/>
      <c r="AE645" s="15"/>
      <c r="AF645" s="15"/>
      <c r="AG645" s="15"/>
      <c r="AH645" s="15"/>
    </row>
    <row r="646" ht="15.75" customHeight="1">
      <c r="E646" s="32" t="s">
        <v>21</v>
      </c>
      <c r="F646" s="65" t="s">
        <v>51</v>
      </c>
      <c r="G646" s="74" t="s">
        <v>1674</v>
      </c>
      <c r="H646" s="31" t="s">
        <v>51</v>
      </c>
      <c r="I646" s="31"/>
      <c r="J646" s="9"/>
      <c r="K646" s="9"/>
      <c r="L646" s="9"/>
      <c r="M646" s="15"/>
      <c r="N646" s="15"/>
      <c r="O646" s="15"/>
      <c r="P646" s="15"/>
      <c r="Q646" s="15"/>
      <c r="R646" s="15"/>
      <c r="S646" s="15"/>
      <c r="T646" s="15"/>
      <c r="U646" s="15"/>
      <c r="V646" s="15"/>
      <c r="W646" s="15"/>
      <c r="X646" s="15"/>
      <c r="Y646" s="15"/>
      <c r="Z646" s="15"/>
      <c r="AA646" s="15"/>
      <c r="AB646" s="15"/>
      <c r="AC646" s="15"/>
      <c r="AD646" s="15"/>
      <c r="AE646" s="15"/>
      <c r="AF646" s="15"/>
      <c r="AG646" s="15"/>
      <c r="AH646" s="15"/>
    </row>
    <row r="647" ht="15.75" customHeight="1">
      <c r="A647" s="32" t="s">
        <v>5</v>
      </c>
      <c r="E647" s="32" t="s">
        <v>88</v>
      </c>
      <c r="F647" s="65" t="s">
        <v>120</v>
      </c>
      <c r="G647" s="171" t="s">
        <v>1675</v>
      </c>
      <c r="H647" s="31" t="s">
        <v>120</v>
      </c>
      <c r="I647" s="31"/>
      <c r="J647" s="9"/>
      <c r="K647" s="9"/>
      <c r="L647" s="9"/>
      <c r="M647" s="15"/>
      <c r="N647" s="15"/>
      <c r="O647" s="15"/>
      <c r="P647" s="15"/>
      <c r="Q647" s="15"/>
      <c r="R647" s="15"/>
      <c r="S647" s="15"/>
      <c r="T647" s="15"/>
      <c r="U647" s="15"/>
      <c r="V647" s="15"/>
      <c r="W647" s="15"/>
      <c r="X647" s="15"/>
      <c r="Y647" s="15"/>
      <c r="Z647" s="15"/>
      <c r="AA647" s="15"/>
      <c r="AB647" s="15"/>
      <c r="AC647" s="15"/>
      <c r="AD647" s="15"/>
      <c r="AE647" s="15"/>
      <c r="AF647" s="15"/>
      <c r="AG647" s="15"/>
      <c r="AH647" s="15"/>
    </row>
    <row r="648" ht="15.75" customHeight="1">
      <c r="A648" s="32" t="s">
        <v>5</v>
      </c>
      <c r="E648" s="35" t="s">
        <v>88</v>
      </c>
      <c r="F648" s="65" t="s">
        <v>246</v>
      </c>
      <c r="G648" s="165" t="s">
        <v>1676</v>
      </c>
      <c r="H648" s="31" t="s">
        <v>246</v>
      </c>
      <c r="I648" s="9"/>
      <c r="J648" s="9"/>
      <c r="K648" s="9"/>
      <c r="L648" s="9"/>
      <c r="M648" s="15"/>
      <c r="N648" s="15"/>
      <c r="O648" s="15"/>
      <c r="P648" s="15"/>
      <c r="Q648" s="15"/>
      <c r="R648" s="15"/>
      <c r="S648" s="15"/>
      <c r="T648" s="15"/>
      <c r="U648" s="15"/>
      <c r="V648" s="15"/>
      <c r="W648" s="15"/>
      <c r="X648" s="15"/>
      <c r="Y648" s="15"/>
      <c r="Z648" s="15"/>
      <c r="AA648" s="15"/>
      <c r="AB648" s="15"/>
      <c r="AC648" s="15"/>
      <c r="AD648" s="15"/>
      <c r="AE648" s="15"/>
      <c r="AF648" s="15"/>
      <c r="AG648" s="15"/>
      <c r="AH648" s="15"/>
    </row>
    <row r="649" ht="15.75" customHeight="1">
      <c r="A649" s="32" t="s">
        <v>5</v>
      </c>
      <c r="E649" s="32" t="s">
        <v>88</v>
      </c>
      <c r="F649" s="65" t="s">
        <v>247</v>
      </c>
      <c r="G649" s="172"/>
      <c r="H649" s="31"/>
      <c r="I649" s="9"/>
      <c r="J649" s="9"/>
      <c r="K649" s="9"/>
      <c r="L649" s="9"/>
      <c r="M649" s="15"/>
      <c r="N649" s="15"/>
      <c r="O649" s="15"/>
      <c r="P649" s="15"/>
      <c r="Q649" s="15"/>
      <c r="R649" s="15"/>
      <c r="S649" s="15"/>
      <c r="T649" s="15"/>
      <c r="U649" s="15"/>
      <c r="V649" s="15"/>
      <c r="W649" s="15"/>
      <c r="X649" s="15"/>
      <c r="Y649" s="15"/>
      <c r="Z649" s="15"/>
      <c r="AA649" s="15"/>
      <c r="AB649" s="15"/>
      <c r="AC649" s="15"/>
      <c r="AD649" s="15"/>
      <c r="AE649" s="15"/>
      <c r="AF649" s="15"/>
      <c r="AG649" s="15"/>
      <c r="AH649" s="15"/>
    </row>
    <row r="650" ht="15.75" customHeight="1">
      <c r="A650" s="32" t="s">
        <v>5</v>
      </c>
      <c r="E650" s="32" t="s">
        <v>88</v>
      </c>
      <c r="F650" s="65" t="s">
        <v>95</v>
      </c>
      <c r="G650" s="171" t="s">
        <v>1677</v>
      </c>
      <c r="H650" s="31" t="s">
        <v>95</v>
      </c>
      <c r="I650" s="9"/>
      <c r="J650" s="9"/>
      <c r="K650" s="9"/>
      <c r="L650" s="9"/>
      <c r="M650" s="15"/>
      <c r="N650" s="15"/>
      <c r="O650" s="15"/>
      <c r="P650" s="15"/>
      <c r="Q650" s="15"/>
      <c r="R650" s="15"/>
      <c r="S650" s="15"/>
      <c r="T650" s="15"/>
      <c r="U650" s="15"/>
      <c r="V650" s="15"/>
      <c r="W650" s="15"/>
      <c r="X650" s="15"/>
      <c r="Y650" s="15"/>
      <c r="Z650" s="15"/>
      <c r="AA650" s="15"/>
      <c r="AB650" s="15"/>
      <c r="AC650" s="15"/>
      <c r="AD650" s="15"/>
      <c r="AE650" s="15"/>
      <c r="AF650" s="15"/>
      <c r="AG650" s="15"/>
      <c r="AH650" s="15"/>
    </row>
    <row r="651" ht="15.75" customHeight="1">
      <c r="A651" s="32" t="s">
        <v>5</v>
      </c>
      <c r="E651" s="32" t="s">
        <v>88</v>
      </c>
      <c r="F651" s="65" t="s">
        <v>96</v>
      </c>
      <c r="G651" s="171" t="s">
        <v>1678</v>
      </c>
      <c r="H651" s="31" t="s">
        <v>96</v>
      </c>
      <c r="I651" s="9"/>
      <c r="J651" s="9"/>
      <c r="K651" s="9"/>
      <c r="L651" s="9"/>
      <c r="M651" s="15"/>
      <c r="N651" s="15"/>
      <c r="O651" s="15"/>
      <c r="P651" s="15"/>
      <c r="Q651" s="15"/>
      <c r="R651" s="15"/>
      <c r="S651" s="15"/>
      <c r="T651" s="15"/>
      <c r="U651" s="15"/>
      <c r="V651" s="15"/>
      <c r="W651" s="15"/>
      <c r="X651" s="15"/>
      <c r="Y651" s="15"/>
      <c r="Z651" s="15"/>
      <c r="AA651" s="15"/>
      <c r="AB651" s="15"/>
      <c r="AC651" s="15"/>
      <c r="AD651" s="15"/>
      <c r="AE651" s="15"/>
      <c r="AF651" s="15"/>
      <c r="AG651" s="15"/>
      <c r="AH651" s="15"/>
    </row>
    <row r="652" ht="15.75" customHeight="1">
      <c r="A652" s="32" t="s">
        <v>5</v>
      </c>
      <c r="E652" s="32" t="s">
        <v>86</v>
      </c>
      <c r="F652" s="65" t="s">
        <v>90</v>
      </c>
      <c r="G652" s="171" t="s">
        <v>1679</v>
      </c>
      <c r="H652" s="31" t="s">
        <v>90</v>
      </c>
      <c r="I652" s="9"/>
      <c r="J652" s="9"/>
      <c r="K652" s="9"/>
      <c r="L652" s="9"/>
      <c r="M652" s="15"/>
      <c r="N652" s="15"/>
      <c r="O652" s="15"/>
      <c r="P652" s="15"/>
      <c r="Q652" s="15"/>
      <c r="R652" s="15"/>
      <c r="S652" s="15"/>
      <c r="T652" s="15"/>
      <c r="U652" s="15"/>
      <c r="V652" s="15"/>
      <c r="W652" s="15"/>
      <c r="X652" s="15"/>
      <c r="Y652" s="15"/>
      <c r="Z652" s="15"/>
      <c r="AA652" s="15"/>
      <c r="AB652" s="15"/>
      <c r="AC652" s="15"/>
      <c r="AD652" s="15"/>
      <c r="AE652" s="15"/>
      <c r="AF652" s="15"/>
      <c r="AG652" s="15"/>
      <c r="AH652" s="15"/>
    </row>
    <row r="653" ht="15.75" customHeight="1">
      <c r="A653" s="32" t="s">
        <v>5</v>
      </c>
      <c r="E653" s="32" t="s">
        <v>86</v>
      </c>
      <c r="F653" s="65" t="s">
        <v>91</v>
      </c>
      <c r="G653" s="171" t="s">
        <v>1680</v>
      </c>
      <c r="H653" s="31" t="s">
        <v>91</v>
      </c>
      <c r="I653" s="9"/>
      <c r="J653" s="9"/>
      <c r="K653" s="9"/>
      <c r="L653" s="9"/>
      <c r="M653" s="15"/>
      <c r="N653" s="15"/>
      <c r="O653" s="15"/>
      <c r="P653" s="15"/>
      <c r="Q653" s="15"/>
      <c r="R653" s="15"/>
      <c r="S653" s="15"/>
      <c r="T653" s="15"/>
      <c r="U653" s="15"/>
      <c r="V653" s="15"/>
      <c r="W653" s="15"/>
      <c r="X653" s="15"/>
      <c r="Y653" s="15"/>
      <c r="Z653" s="15"/>
      <c r="AA653" s="15"/>
      <c r="AB653" s="15"/>
      <c r="AC653" s="15"/>
      <c r="AD653" s="15"/>
      <c r="AE653" s="15"/>
      <c r="AF653" s="15"/>
      <c r="AG653" s="15"/>
      <c r="AH653" s="15"/>
    </row>
    <row r="654" ht="15.75" customHeight="1">
      <c r="A654" s="32" t="s">
        <v>5</v>
      </c>
      <c r="E654" s="32" t="s">
        <v>104</v>
      </c>
      <c r="F654" s="65" t="s">
        <v>250</v>
      </c>
      <c r="G654" s="171" t="s">
        <v>1681</v>
      </c>
      <c r="H654" s="31" t="s">
        <v>250</v>
      </c>
      <c r="I654" s="9"/>
      <c r="J654" s="9"/>
      <c r="K654" s="9"/>
      <c r="L654" s="9"/>
      <c r="M654" s="15"/>
      <c r="N654" s="15"/>
      <c r="O654" s="15"/>
      <c r="P654" s="15"/>
      <c r="Q654" s="15"/>
      <c r="R654" s="15"/>
      <c r="S654" s="15"/>
      <c r="T654" s="15"/>
      <c r="U654" s="15"/>
      <c r="V654" s="15"/>
      <c r="W654" s="15"/>
      <c r="X654" s="15"/>
      <c r="Y654" s="15"/>
      <c r="Z654" s="15"/>
      <c r="AA654" s="15"/>
      <c r="AB654" s="15"/>
      <c r="AC654" s="15"/>
      <c r="AD654" s="15"/>
      <c r="AE654" s="15"/>
      <c r="AF654" s="15"/>
      <c r="AG654" s="15"/>
      <c r="AH654" s="15"/>
    </row>
    <row r="655" ht="15.75" customHeight="1">
      <c r="A655" s="32" t="s">
        <v>5</v>
      </c>
      <c r="E655" s="32" t="s">
        <v>178</v>
      </c>
      <c r="F655" s="65" t="s">
        <v>209</v>
      </c>
      <c r="G655" s="171" t="s">
        <v>1682</v>
      </c>
      <c r="H655" s="162" t="s">
        <v>209</v>
      </c>
      <c r="I655" s="9"/>
      <c r="J655" s="9"/>
      <c r="K655" s="9"/>
      <c r="L655" s="9"/>
      <c r="M655" s="15"/>
      <c r="N655" s="15"/>
      <c r="O655" s="15"/>
      <c r="P655" s="15"/>
      <c r="Q655" s="15"/>
      <c r="R655" s="15"/>
      <c r="S655" s="15"/>
      <c r="T655" s="15"/>
      <c r="U655" s="15"/>
      <c r="V655" s="15"/>
      <c r="W655" s="15"/>
      <c r="X655" s="15"/>
      <c r="Y655" s="15"/>
      <c r="Z655" s="15"/>
      <c r="AA655" s="15"/>
      <c r="AB655" s="15"/>
      <c r="AC655" s="15"/>
      <c r="AD655" s="15"/>
      <c r="AE655" s="15"/>
      <c r="AF655" s="15"/>
      <c r="AG655" s="15"/>
      <c r="AH655" s="15"/>
    </row>
    <row r="656" ht="15.75" customHeight="1">
      <c r="A656" s="32" t="s">
        <v>5</v>
      </c>
      <c r="E656" s="32" t="s">
        <v>178</v>
      </c>
      <c r="F656" s="65" t="s">
        <v>210</v>
      </c>
      <c r="G656" s="171" t="s">
        <v>1683</v>
      </c>
      <c r="H656" s="162" t="s">
        <v>210</v>
      </c>
      <c r="I656" s="9"/>
      <c r="J656" s="9"/>
      <c r="K656" s="9"/>
      <c r="L656" s="9"/>
      <c r="M656" s="15"/>
      <c r="N656" s="15"/>
      <c r="O656" s="15"/>
      <c r="P656" s="15"/>
      <c r="Q656" s="15"/>
      <c r="R656" s="15"/>
      <c r="S656" s="15"/>
      <c r="T656" s="15"/>
      <c r="U656" s="15"/>
      <c r="V656" s="15"/>
      <c r="W656" s="15"/>
      <c r="X656" s="15"/>
      <c r="Y656" s="15"/>
      <c r="Z656" s="15"/>
      <c r="AA656" s="15"/>
      <c r="AB656" s="15"/>
      <c r="AC656" s="15"/>
      <c r="AD656" s="15"/>
      <c r="AE656" s="15"/>
      <c r="AF656" s="15"/>
      <c r="AG656" s="15"/>
      <c r="AH656" s="15"/>
    </row>
    <row r="657" ht="15.75" customHeight="1">
      <c r="A657" s="32" t="s">
        <v>5</v>
      </c>
      <c r="E657" s="32" t="s">
        <v>88</v>
      </c>
      <c r="F657" s="65" t="s">
        <v>89</v>
      </c>
      <c r="G657" s="172"/>
      <c r="H657" s="31"/>
      <c r="I657" s="9"/>
      <c r="J657" s="9"/>
      <c r="K657" s="9"/>
      <c r="L657" s="9"/>
      <c r="M657" s="15"/>
      <c r="N657" s="15"/>
      <c r="O657" s="15"/>
      <c r="P657" s="15"/>
      <c r="Q657" s="15"/>
      <c r="R657" s="15"/>
      <c r="S657" s="15"/>
      <c r="T657" s="15"/>
      <c r="U657" s="15"/>
      <c r="V657" s="15"/>
      <c r="W657" s="15"/>
      <c r="X657" s="15"/>
      <c r="Y657" s="15"/>
      <c r="Z657" s="15"/>
      <c r="AA657" s="15"/>
      <c r="AB657" s="15"/>
      <c r="AC657" s="15"/>
      <c r="AD657" s="15"/>
      <c r="AE657" s="15"/>
      <c r="AF657" s="15"/>
      <c r="AG657" s="15"/>
      <c r="AH657" s="15"/>
    </row>
    <row r="658" ht="15.75" customHeight="1">
      <c r="A658" s="32" t="s">
        <v>5</v>
      </c>
      <c r="E658" s="35" t="s">
        <v>88</v>
      </c>
      <c r="F658" s="65" t="s">
        <v>795</v>
      </c>
      <c r="G658" s="35"/>
      <c r="H658" s="31"/>
      <c r="I658" s="9"/>
      <c r="J658" s="9"/>
      <c r="K658" s="9"/>
      <c r="L658" s="9"/>
      <c r="M658" s="15"/>
      <c r="N658" s="15"/>
      <c r="O658" s="15"/>
      <c r="P658" s="15"/>
      <c r="Q658" s="15"/>
      <c r="R658" s="15"/>
      <c r="S658" s="15"/>
      <c r="T658" s="15"/>
      <c r="U658" s="15"/>
      <c r="V658" s="15"/>
      <c r="W658" s="15"/>
      <c r="X658" s="15"/>
      <c r="Y658" s="15"/>
      <c r="Z658" s="15"/>
      <c r="AA658" s="15"/>
      <c r="AB658" s="15"/>
      <c r="AC658" s="15"/>
      <c r="AD658" s="15"/>
      <c r="AE658" s="15"/>
      <c r="AF658" s="15"/>
      <c r="AG658" s="15"/>
      <c r="AH658" s="15"/>
    </row>
    <row r="659" ht="15.75" customHeight="1">
      <c r="A659" s="32" t="s">
        <v>5</v>
      </c>
      <c r="B659" s="163" t="s">
        <v>1684</v>
      </c>
      <c r="C659" s="83" t="s">
        <v>1685</v>
      </c>
      <c r="D659" s="164" t="s">
        <v>20</v>
      </c>
      <c r="E659" s="32" t="s">
        <v>21</v>
      </c>
      <c r="F659" s="65" t="s">
        <v>51</v>
      </c>
      <c r="G659" s="165" t="s">
        <v>1686</v>
      </c>
      <c r="H659" s="31" t="s">
        <v>51</v>
      </c>
      <c r="I659" s="9"/>
      <c r="J659" s="9"/>
      <c r="K659" s="9"/>
      <c r="L659" s="9"/>
      <c r="M659" s="15"/>
      <c r="N659" s="15"/>
      <c r="O659" s="15"/>
      <c r="P659" s="15"/>
      <c r="Q659" s="15"/>
      <c r="R659" s="15"/>
      <c r="S659" s="15"/>
      <c r="T659" s="15"/>
      <c r="U659" s="15"/>
      <c r="V659" s="15"/>
      <c r="W659" s="15"/>
      <c r="X659" s="15"/>
      <c r="Y659" s="15"/>
      <c r="Z659" s="15"/>
      <c r="AA659" s="15"/>
      <c r="AB659" s="15"/>
      <c r="AC659" s="15"/>
      <c r="AD659" s="15"/>
      <c r="AE659" s="15"/>
      <c r="AF659" s="15"/>
      <c r="AG659" s="15"/>
      <c r="AH659" s="15"/>
    </row>
    <row r="660" ht="15.75" customHeight="1">
      <c r="A660" s="32" t="s">
        <v>5</v>
      </c>
      <c r="E660" s="32" t="s">
        <v>88</v>
      </c>
      <c r="F660" s="65" t="s">
        <v>154</v>
      </c>
      <c r="G660" s="165" t="s">
        <v>1687</v>
      </c>
      <c r="H660" s="31" t="s">
        <v>154</v>
      </c>
      <c r="I660" s="9"/>
      <c r="J660" s="9"/>
      <c r="K660" s="9"/>
      <c r="L660" s="9"/>
      <c r="M660" s="15"/>
      <c r="N660" s="15"/>
      <c r="O660" s="15"/>
      <c r="P660" s="15"/>
      <c r="Q660" s="15"/>
      <c r="R660" s="15"/>
      <c r="S660" s="15"/>
      <c r="T660" s="15"/>
      <c r="U660" s="15"/>
      <c r="V660" s="15"/>
      <c r="W660" s="15"/>
      <c r="X660" s="15"/>
      <c r="Y660" s="15"/>
      <c r="Z660" s="15"/>
      <c r="AA660" s="15"/>
      <c r="AB660" s="15"/>
      <c r="AC660" s="15"/>
      <c r="AD660" s="15"/>
      <c r="AE660" s="15"/>
      <c r="AF660" s="15"/>
      <c r="AG660" s="15"/>
      <c r="AH660" s="15"/>
    </row>
    <row r="661" ht="15.75" customHeight="1">
      <c r="A661" s="32" t="s">
        <v>5</v>
      </c>
      <c r="E661" s="32" t="s">
        <v>88</v>
      </c>
      <c r="F661" s="65" t="s">
        <v>120</v>
      </c>
      <c r="G661" s="165" t="s">
        <v>1688</v>
      </c>
      <c r="H661" s="31" t="s">
        <v>120</v>
      </c>
      <c r="I661" s="9"/>
      <c r="J661" s="9"/>
      <c r="K661" s="9"/>
      <c r="L661" s="9"/>
      <c r="M661" s="15"/>
      <c r="N661" s="15"/>
      <c r="O661" s="15"/>
      <c r="P661" s="15"/>
      <c r="Q661" s="15"/>
      <c r="R661" s="15"/>
      <c r="S661" s="15"/>
      <c r="T661" s="15"/>
      <c r="U661" s="15"/>
      <c r="V661" s="15"/>
      <c r="W661" s="15"/>
      <c r="X661" s="15"/>
      <c r="Y661" s="15"/>
      <c r="Z661" s="15"/>
      <c r="AA661" s="15"/>
      <c r="AB661" s="15"/>
      <c r="AC661" s="15"/>
      <c r="AD661" s="15"/>
      <c r="AE661" s="15"/>
      <c r="AF661" s="15"/>
      <c r="AG661" s="15"/>
      <c r="AH661" s="15"/>
    </row>
    <row r="662" ht="15.75" customHeight="1">
      <c r="A662" s="32" t="s">
        <v>5</v>
      </c>
      <c r="E662" s="35" t="s">
        <v>88</v>
      </c>
      <c r="F662" s="65" t="s">
        <v>246</v>
      </c>
      <c r="G662" s="165" t="s">
        <v>1689</v>
      </c>
      <c r="H662" s="31" t="s">
        <v>246</v>
      </c>
      <c r="I662" s="9"/>
      <c r="J662" s="9"/>
      <c r="K662" s="9"/>
      <c r="L662" s="9"/>
      <c r="M662" s="15"/>
      <c r="N662" s="15"/>
      <c r="O662" s="15"/>
      <c r="P662" s="15"/>
      <c r="Q662" s="15"/>
      <c r="R662" s="15"/>
      <c r="S662" s="15"/>
      <c r="T662" s="15"/>
      <c r="U662" s="15"/>
      <c r="V662" s="15"/>
      <c r="W662" s="15"/>
      <c r="X662" s="15"/>
      <c r="Y662" s="15"/>
      <c r="Z662" s="15"/>
      <c r="AA662" s="15"/>
      <c r="AB662" s="15"/>
      <c r="AC662" s="15"/>
      <c r="AD662" s="15"/>
      <c r="AE662" s="15"/>
      <c r="AF662" s="15"/>
      <c r="AG662" s="15"/>
      <c r="AH662" s="15"/>
    </row>
    <row r="663" ht="15.75" customHeight="1">
      <c r="A663" s="32" t="s">
        <v>5</v>
      </c>
      <c r="E663" s="32" t="s">
        <v>88</v>
      </c>
      <c r="F663" s="65" t="s">
        <v>247</v>
      </c>
      <c r="G663" s="35"/>
      <c r="H663" s="31"/>
      <c r="I663" s="9"/>
      <c r="J663" s="9"/>
      <c r="K663" s="9"/>
      <c r="L663" s="9"/>
      <c r="M663" s="15"/>
      <c r="N663" s="15"/>
      <c r="O663" s="15"/>
      <c r="P663" s="15"/>
      <c r="Q663" s="15"/>
      <c r="R663" s="15"/>
      <c r="S663" s="15"/>
      <c r="T663" s="15"/>
      <c r="U663" s="15"/>
      <c r="V663" s="15"/>
      <c r="W663" s="15"/>
      <c r="X663" s="15"/>
      <c r="Y663" s="15"/>
      <c r="Z663" s="15"/>
      <c r="AA663" s="15"/>
      <c r="AB663" s="15"/>
      <c r="AC663" s="15"/>
      <c r="AD663" s="15"/>
      <c r="AE663" s="15"/>
      <c r="AF663" s="15"/>
      <c r="AG663" s="15"/>
      <c r="AH663" s="15"/>
    </row>
    <row r="664" ht="15.75" customHeight="1">
      <c r="A664" s="32" t="s">
        <v>5</v>
      </c>
      <c r="E664" s="32" t="s">
        <v>88</v>
      </c>
      <c r="F664" s="65" t="s">
        <v>95</v>
      </c>
      <c r="G664" s="165" t="s">
        <v>1690</v>
      </c>
      <c r="H664" s="31" t="s">
        <v>95</v>
      </c>
      <c r="I664" s="9"/>
      <c r="J664" s="9"/>
      <c r="K664" s="9"/>
      <c r="L664" s="9"/>
      <c r="M664" s="15"/>
      <c r="N664" s="15"/>
      <c r="O664" s="15"/>
      <c r="P664" s="15"/>
      <c r="Q664" s="15"/>
      <c r="R664" s="15"/>
      <c r="S664" s="15"/>
      <c r="T664" s="15"/>
      <c r="U664" s="15"/>
      <c r="V664" s="15"/>
      <c r="W664" s="15"/>
      <c r="X664" s="15"/>
      <c r="Y664" s="15"/>
      <c r="Z664" s="15"/>
      <c r="AA664" s="15"/>
      <c r="AB664" s="15"/>
      <c r="AC664" s="15"/>
      <c r="AD664" s="15"/>
      <c r="AE664" s="15"/>
      <c r="AF664" s="15"/>
      <c r="AG664" s="15"/>
      <c r="AH664" s="15"/>
    </row>
    <row r="665" ht="15.75" customHeight="1">
      <c r="A665" s="32" t="s">
        <v>5</v>
      </c>
      <c r="E665" s="32" t="s">
        <v>88</v>
      </c>
      <c r="F665" s="65" t="s">
        <v>96</v>
      </c>
      <c r="G665" s="165" t="s">
        <v>1691</v>
      </c>
      <c r="H665" s="31" t="s">
        <v>96</v>
      </c>
      <c r="I665" s="9"/>
      <c r="J665" s="9"/>
      <c r="K665" s="9"/>
      <c r="L665" s="9"/>
      <c r="M665" s="15"/>
      <c r="N665" s="15"/>
      <c r="O665" s="15"/>
      <c r="P665" s="15"/>
      <c r="Q665" s="15"/>
      <c r="R665" s="15"/>
      <c r="S665" s="15"/>
      <c r="T665" s="15"/>
      <c r="U665" s="15"/>
      <c r="V665" s="15"/>
      <c r="W665" s="15"/>
      <c r="X665" s="15"/>
      <c r="Y665" s="15"/>
      <c r="Z665" s="15"/>
      <c r="AA665" s="15"/>
      <c r="AB665" s="15"/>
      <c r="AC665" s="15"/>
      <c r="AD665" s="15"/>
      <c r="AE665" s="15"/>
      <c r="AF665" s="15"/>
      <c r="AG665" s="15"/>
      <c r="AH665" s="15"/>
    </row>
    <row r="666" ht="15.75" customHeight="1">
      <c r="A666" s="32" t="s">
        <v>5</v>
      </c>
      <c r="E666" s="32" t="s">
        <v>86</v>
      </c>
      <c r="F666" s="65" t="s">
        <v>90</v>
      </c>
      <c r="G666" s="165" t="s">
        <v>1692</v>
      </c>
      <c r="H666" s="31" t="s">
        <v>90</v>
      </c>
      <c r="I666" s="9"/>
      <c r="J666" s="9"/>
      <c r="K666" s="9"/>
      <c r="L666" s="9"/>
      <c r="M666" s="15"/>
      <c r="N666" s="15"/>
      <c r="O666" s="15"/>
      <c r="P666" s="15"/>
      <c r="Q666" s="15"/>
      <c r="R666" s="15"/>
      <c r="S666" s="15"/>
      <c r="T666" s="15"/>
      <c r="U666" s="15"/>
      <c r="V666" s="15"/>
      <c r="W666" s="15"/>
      <c r="X666" s="15"/>
      <c r="Y666" s="15"/>
      <c r="Z666" s="15"/>
      <c r="AA666" s="15"/>
      <c r="AB666" s="15"/>
      <c r="AC666" s="15"/>
      <c r="AD666" s="15"/>
      <c r="AE666" s="15"/>
      <c r="AF666" s="15"/>
      <c r="AG666" s="15"/>
      <c r="AH666" s="15"/>
    </row>
    <row r="667" ht="15.75" customHeight="1">
      <c r="A667" s="32" t="s">
        <v>5</v>
      </c>
      <c r="E667" s="32" t="s">
        <v>86</v>
      </c>
      <c r="F667" s="65" t="s">
        <v>91</v>
      </c>
      <c r="G667" s="165" t="s">
        <v>1693</v>
      </c>
      <c r="H667" s="31" t="s">
        <v>91</v>
      </c>
      <c r="I667" s="9"/>
      <c r="J667" s="9"/>
      <c r="K667" s="9"/>
      <c r="L667" s="9"/>
      <c r="M667" s="15"/>
      <c r="N667" s="15"/>
      <c r="O667" s="15"/>
      <c r="P667" s="15"/>
      <c r="Q667" s="15"/>
      <c r="R667" s="15"/>
      <c r="S667" s="15"/>
      <c r="T667" s="15"/>
      <c r="U667" s="15"/>
      <c r="V667" s="15"/>
      <c r="W667" s="15"/>
      <c r="X667" s="15"/>
      <c r="Y667" s="15"/>
      <c r="Z667" s="15"/>
      <c r="AA667" s="15"/>
      <c r="AB667" s="15"/>
      <c r="AC667" s="15"/>
      <c r="AD667" s="15"/>
      <c r="AE667" s="15"/>
      <c r="AF667" s="15"/>
      <c r="AG667" s="15"/>
      <c r="AH667" s="15"/>
    </row>
    <row r="668" ht="15.75" customHeight="1">
      <c r="A668" s="32" t="s">
        <v>5</v>
      </c>
      <c r="E668" s="32" t="s">
        <v>104</v>
      </c>
      <c r="F668" s="65" t="s">
        <v>250</v>
      </c>
      <c r="G668" s="165" t="s">
        <v>1694</v>
      </c>
      <c r="H668" s="31" t="s">
        <v>250</v>
      </c>
      <c r="I668" s="9"/>
      <c r="J668" s="9"/>
      <c r="K668" s="9"/>
      <c r="L668" s="9"/>
      <c r="M668" s="15"/>
      <c r="N668" s="15"/>
      <c r="O668" s="15"/>
      <c r="P668" s="15"/>
      <c r="Q668" s="15"/>
      <c r="R668" s="15"/>
      <c r="S668" s="15"/>
      <c r="T668" s="15"/>
      <c r="U668" s="15"/>
      <c r="V668" s="15"/>
      <c r="W668" s="15"/>
      <c r="X668" s="15"/>
      <c r="Y668" s="15"/>
      <c r="Z668" s="15"/>
      <c r="AA668" s="15"/>
      <c r="AB668" s="15"/>
      <c r="AC668" s="15"/>
      <c r="AD668" s="15"/>
      <c r="AE668" s="15"/>
      <c r="AF668" s="15"/>
      <c r="AG668" s="15"/>
      <c r="AH668" s="15"/>
    </row>
    <row r="669" ht="15.75" customHeight="1">
      <c r="A669" s="32" t="s">
        <v>5</v>
      </c>
      <c r="E669" s="32" t="s">
        <v>178</v>
      </c>
      <c r="F669" s="65" t="s">
        <v>209</v>
      </c>
      <c r="G669" s="165" t="s">
        <v>1695</v>
      </c>
      <c r="H669" s="31" t="s">
        <v>209</v>
      </c>
      <c r="I669" s="9"/>
      <c r="J669" s="9"/>
      <c r="K669" s="9"/>
      <c r="L669" s="9"/>
      <c r="M669" s="15"/>
      <c r="N669" s="15"/>
      <c r="O669" s="15"/>
      <c r="P669" s="15"/>
      <c r="Q669" s="15"/>
      <c r="R669" s="15"/>
      <c r="S669" s="15"/>
      <c r="T669" s="15"/>
      <c r="U669" s="15"/>
      <c r="V669" s="15"/>
      <c r="W669" s="15"/>
      <c r="X669" s="15"/>
      <c r="Y669" s="15"/>
      <c r="Z669" s="15"/>
      <c r="AA669" s="15"/>
      <c r="AB669" s="15"/>
      <c r="AC669" s="15"/>
      <c r="AD669" s="15"/>
      <c r="AE669" s="15"/>
      <c r="AF669" s="15"/>
      <c r="AG669" s="15"/>
      <c r="AH669" s="15"/>
    </row>
    <row r="670" ht="15.75" customHeight="1">
      <c r="A670" s="32" t="s">
        <v>5</v>
      </c>
      <c r="E670" s="32" t="s">
        <v>178</v>
      </c>
      <c r="F670" s="65" t="s">
        <v>210</v>
      </c>
      <c r="G670" s="165" t="s">
        <v>1696</v>
      </c>
      <c r="H670" s="31" t="s">
        <v>210</v>
      </c>
      <c r="I670" s="9"/>
      <c r="J670" s="9"/>
      <c r="K670" s="9"/>
      <c r="L670" s="9"/>
      <c r="M670" s="15"/>
      <c r="N670" s="15"/>
      <c r="O670" s="15"/>
      <c r="P670" s="15"/>
      <c r="Q670" s="15"/>
      <c r="R670" s="15"/>
      <c r="S670" s="15"/>
      <c r="T670" s="15"/>
      <c r="U670" s="15"/>
      <c r="V670" s="15"/>
      <c r="W670" s="15"/>
      <c r="X670" s="15"/>
      <c r="Y670" s="15"/>
      <c r="Z670" s="15"/>
      <c r="AA670" s="15"/>
      <c r="AB670" s="15"/>
      <c r="AC670" s="15"/>
      <c r="AD670" s="15"/>
      <c r="AE670" s="15"/>
      <c r="AF670" s="15"/>
      <c r="AG670" s="15"/>
      <c r="AH670" s="15"/>
    </row>
    <row r="671" ht="15.75" customHeight="1">
      <c r="A671" s="32" t="s">
        <v>5</v>
      </c>
      <c r="E671" s="32" t="s">
        <v>88</v>
      </c>
      <c r="F671" s="65" t="s">
        <v>89</v>
      </c>
      <c r="G671" s="35"/>
      <c r="H671" s="31"/>
      <c r="I671" s="9"/>
      <c r="J671" s="9"/>
      <c r="K671" s="9"/>
      <c r="L671" s="9"/>
      <c r="M671" s="15"/>
      <c r="N671" s="15"/>
      <c r="O671" s="15"/>
      <c r="P671" s="15"/>
      <c r="Q671" s="15"/>
      <c r="R671" s="15"/>
      <c r="S671" s="15"/>
      <c r="T671" s="15"/>
      <c r="U671" s="15"/>
      <c r="V671" s="15"/>
      <c r="W671" s="15"/>
      <c r="X671" s="15"/>
      <c r="Y671" s="15"/>
      <c r="Z671" s="15"/>
      <c r="AA671" s="15"/>
      <c r="AB671" s="15"/>
      <c r="AC671" s="15"/>
      <c r="AD671" s="15"/>
      <c r="AE671" s="15"/>
      <c r="AF671" s="15"/>
      <c r="AG671" s="15"/>
      <c r="AH671" s="15"/>
    </row>
    <row r="672" ht="15.75" customHeight="1">
      <c r="A672" s="32" t="s">
        <v>5</v>
      </c>
      <c r="E672" s="32" t="s">
        <v>88</v>
      </c>
      <c r="F672" s="65" t="s">
        <v>795</v>
      </c>
      <c r="G672" s="35"/>
      <c r="H672" s="31"/>
      <c r="I672" s="9"/>
      <c r="J672" s="9"/>
      <c r="K672" s="9"/>
      <c r="L672" s="9"/>
      <c r="M672" s="15"/>
      <c r="N672" s="15"/>
      <c r="O672" s="15"/>
      <c r="P672" s="15"/>
      <c r="Q672" s="15"/>
      <c r="R672" s="15"/>
      <c r="S672" s="15"/>
      <c r="T672" s="15"/>
      <c r="U672" s="15"/>
      <c r="V672" s="15"/>
      <c r="W672" s="15"/>
      <c r="X672" s="15"/>
      <c r="Y672" s="15"/>
      <c r="Z672" s="15"/>
      <c r="AA672" s="15"/>
      <c r="AB672" s="15"/>
      <c r="AC672" s="15"/>
      <c r="AD672" s="15"/>
      <c r="AE672" s="15"/>
      <c r="AF672" s="15"/>
      <c r="AG672" s="15"/>
      <c r="AH672" s="15"/>
    </row>
    <row r="673" ht="15.75" customHeight="1">
      <c r="A673" s="32" t="s">
        <v>5</v>
      </c>
      <c r="B673" s="56" t="s">
        <v>1697</v>
      </c>
      <c r="C673" s="175" t="s">
        <v>1698</v>
      </c>
      <c r="D673" s="83" t="s">
        <v>20</v>
      </c>
      <c r="E673" s="8" t="s">
        <v>21</v>
      </c>
      <c r="F673" s="65" t="s">
        <v>51</v>
      </c>
      <c r="G673" s="34" t="s">
        <v>1699</v>
      </c>
      <c r="H673" s="31" t="s">
        <v>51</v>
      </c>
      <c r="I673" s="9"/>
      <c r="J673" s="9"/>
      <c r="K673" s="9"/>
      <c r="L673" s="9"/>
      <c r="M673" s="15"/>
      <c r="N673" s="15"/>
      <c r="O673" s="15"/>
      <c r="P673" s="15"/>
      <c r="Q673" s="15"/>
      <c r="R673" s="15"/>
      <c r="S673" s="15"/>
      <c r="T673" s="15"/>
      <c r="U673" s="15"/>
      <c r="V673" s="15"/>
      <c r="W673" s="15"/>
      <c r="X673" s="15"/>
      <c r="Y673" s="15"/>
      <c r="Z673" s="15"/>
      <c r="AA673" s="15"/>
      <c r="AB673" s="15"/>
      <c r="AC673" s="15"/>
      <c r="AD673" s="15"/>
      <c r="AE673" s="15"/>
      <c r="AF673" s="15"/>
      <c r="AG673" s="15"/>
      <c r="AH673" s="15"/>
    </row>
    <row r="674" ht="15.75" customHeight="1">
      <c r="A674" s="32" t="s">
        <v>5</v>
      </c>
      <c r="E674" s="8" t="s">
        <v>88</v>
      </c>
      <c r="F674" s="65" t="s">
        <v>154</v>
      </c>
      <c r="G674" s="34" t="s">
        <v>1700</v>
      </c>
      <c r="H674" s="31" t="s">
        <v>154</v>
      </c>
      <c r="I674" s="9"/>
      <c r="J674" s="31"/>
      <c r="K674" s="9"/>
      <c r="L674" s="9"/>
      <c r="M674" s="15"/>
      <c r="N674" s="15"/>
      <c r="O674" s="15"/>
      <c r="P674" s="15"/>
      <c r="Q674" s="15"/>
      <c r="R674" s="15"/>
      <c r="S674" s="15"/>
      <c r="T674" s="15"/>
      <c r="U674" s="15"/>
      <c r="V674" s="15"/>
      <c r="W674" s="15"/>
      <c r="X674" s="15"/>
      <c r="Y674" s="15"/>
      <c r="Z674" s="15"/>
      <c r="AA674" s="15"/>
      <c r="AB674" s="15"/>
      <c r="AC674" s="15"/>
      <c r="AD674" s="15"/>
      <c r="AE674" s="15"/>
      <c r="AF674" s="15"/>
      <c r="AG674" s="15"/>
      <c r="AH674" s="15"/>
    </row>
    <row r="675" ht="15.75" customHeight="1">
      <c r="A675" s="32" t="s">
        <v>5</v>
      </c>
      <c r="E675" s="8" t="s">
        <v>88</v>
      </c>
      <c r="F675" s="65" t="s">
        <v>120</v>
      </c>
      <c r="G675" s="34" t="s">
        <v>1701</v>
      </c>
      <c r="H675" s="31" t="s">
        <v>120</v>
      </c>
      <c r="I675" s="31"/>
      <c r="J675" s="31"/>
      <c r="K675" s="9"/>
      <c r="L675" s="9"/>
      <c r="M675" s="15"/>
      <c r="N675" s="15"/>
      <c r="O675" s="15"/>
      <c r="P675" s="15"/>
      <c r="Q675" s="15"/>
      <c r="R675" s="15"/>
      <c r="S675" s="15"/>
      <c r="T675" s="15"/>
      <c r="U675" s="15"/>
      <c r="V675" s="15"/>
      <c r="W675" s="15"/>
      <c r="X675" s="15"/>
      <c r="Y675" s="15"/>
      <c r="Z675" s="15"/>
      <c r="AA675" s="15"/>
      <c r="AB675" s="15"/>
      <c r="AC675" s="15"/>
      <c r="AD675" s="15"/>
      <c r="AE675" s="15"/>
      <c r="AF675" s="15"/>
      <c r="AG675" s="15"/>
      <c r="AH675" s="15"/>
    </row>
    <row r="676" ht="15.75" customHeight="1">
      <c r="A676" s="32" t="s">
        <v>5</v>
      </c>
      <c r="E676" s="28" t="s">
        <v>88</v>
      </c>
      <c r="F676" s="65" t="s">
        <v>246</v>
      </c>
      <c r="G676" s="34" t="s">
        <v>1702</v>
      </c>
      <c r="H676" s="31" t="s">
        <v>246</v>
      </c>
      <c r="I676" s="31"/>
      <c r="J676" s="31"/>
      <c r="K676" s="9"/>
      <c r="L676" s="9"/>
      <c r="M676" s="15"/>
      <c r="N676" s="15"/>
      <c r="O676" s="15"/>
      <c r="P676" s="15"/>
      <c r="Q676" s="15"/>
      <c r="R676" s="15"/>
      <c r="S676" s="15"/>
      <c r="T676" s="15"/>
      <c r="U676" s="15"/>
      <c r="V676" s="15"/>
      <c r="W676" s="15"/>
      <c r="X676" s="15"/>
      <c r="Y676" s="15"/>
      <c r="Z676" s="15"/>
      <c r="AA676" s="15"/>
      <c r="AB676" s="15"/>
      <c r="AC676" s="15"/>
      <c r="AD676" s="15"/>
      <c r="AE676" s="15"/>
      <c r="AF676" s="15"/>
      <c r="AG676" s="15"/>
      <c r="AH676" s="15"/>
    </row>
    <row r="677" ht="15.75" customHeight="1">
      <c r="A677" s="32" t="s">
        <v>5</v>
      </c>
      <c r="E677" s="28" t="s">
        <v>88</v>
      </c>
      <c r="F677" s="65" t="s">
        <v>247</v>
      </c>
      <c r="G677" s="29"/>
      <c r="H677" s="31"/>
      <c r="I677" s="31"/>
      <c r="J677" s="31"/>
      <c r="K677" s="9"/>
      <c r="L677" s="9"/>
      <c r="M677" s="15"/>
      <c r="N677" s="15"/>
      <c r="O677" s="15"/>
      <c r="P677" s="15"/>
      <c r="Q677" s="15"/>
      <c r="R677" s="15"/>
      <c r="S677" s="15"/>
      <c r="T677" s="15"/>
      <c r="U677" s="15"/>
      <c r="V677" s="15"/>
      <c r="W677" s="15"/>
      <c r="X677" s="15"/>
      <c r="Y677" s="15"/>
      <c r="Z677" s="15"/>
      <c r="AA677" s="15"/>
      <c r="AB677" s="15"/>
      <c r="AC677" s="15"/>
      <c r="AD677" s="15"/>
      <c r="AE677" s="15"/>
      <c r="AF677" s="15"/>
      <c r="AG677" s="15"/>
      <c r="AH677" s="15"/>
    </row>
    <row r="678" ht="15.75" customHeight="1">
      <c r="A678" s="32" t="s">
        <v>5</v>
      </c>
      <c r="E678" s="28" t="s">
        <v>88</v>
      </c>
      <c r="F678" s="65" t="s">
        <v>95</v>
      </c>
      <c r="G678" s="34" t="s">
        <v>1703</v>
      </c>
      <c r="H678" s="31" t="s">
        <v>95</v>
      </c>
      <c r="I678" s="31"/>
      <c r="J678" s="31"/>
      <c r="K678" s="9"/>
      <c r="L678" s="9"/>
      <c r="M678" s="15"/>
      <c r="N678" s="15"/>
      <c r="O678" s="15"/>
      <c r="P678" s="15"/>
      <c r="Q678" s="15"/>
      <c r="R678" s="15"/>
      <c r="S678" s="15"/>
      <c r="T678" s="15"/>
      <c r="U678" s="15"/>
      <c r="V678" s="15"/>
      <c r="W678" s="15"/>
      <c r="X678" s="15"/>
      <c r="Y678" s="15"/>
      <c r="Z678" s="15"/>
      <c r="AA678" s="15"/>
      <c r="AB678" s="15"/>
      <c r="AC678" s="15"/>
      <c r="AD678" s="15"/>
      <c r="AE678" s="15"/>
      <c r="AF678" s="15"/>
      <c r="AG678" s="15"/>
      <c r="AH678" s="15"/>
    </row>
    <row r="679" ht="15.75" customHeight="1">
      <c r="A679" s="32" t="s">
        <v>5</v>
      </c>
      <c r="E679" s="28" t="s">
        <v>88</v>
      </c>
      <c r="F679" s="65" t="s">
        <v>122</v>
      </c>
      <c r="G679" s="34" t="s">
        <v>1704</v>
      </c>
      <c r="H679" s="31" t="s">
        <v>122</v>
      </c>
      <c r="I679" s="31"/>
      <c r="J679" s="31"/>
      <c r="K679" s="9"/>
      <c r="L679" s="9"/>
      <c r="M679" s="15"/>
      <c r="N679" s="15"/>
      <c r="O679" s="15"/>
      <c r="P679" s="15"/>
      <c r="Q679" s="15"/>
      <c r="R679" s="15"/>
      <c r="S679" s="15"/>
      <c r="T679" s="15"/>
      <c r="U679" s="15"/>
      <c r="V679" s="15"/>
      <c r="W679" s="15"/>
      <c r="X679" s="15"/>
      <c r="Y679" s="15"/>
      <c r="Z679" s="15"/>
      <c r="AA679" s="15"/>
      <c r="AB679" s="15"/>
      <c r="AC679" s="15"/>
      <c r="AD679" s="15"/>
      <c r="AE679" s="15"/>
      <c r="AF679" s="15"/>
      <c r="AG679" s="15"/>
      <c r="AH679" s="15"/>
    </row>
    <row r="680" ht="15.75" customHeight="1">
      <c r="A680" s="32" t="s">
        <v>5</v>
      </c>
      <c r="E680" s="28" t="s">
        <v>88</v>
      </c>
      <c r="F680" s="65" t="s">
        <v>89</v>
      </c>
      <c r="G680" s="29"/>
      <c r="H680" s="31"/>
      <c r="I680" s="31"/>
      <c r="J680" s="31"/>
      <c r="K680" s="9"/>
      <c r="L680" s="9"/>
      <c r="M680" s="15"/>
      <c r="N680" s="15"/>
      <c r="O680" s="15"/>
      <c r="P680" s="15"/>
      <c r="Q680" s="15"/>
      <c r="R680" s="15"/>
      <c r="S680" s="15"/>
      <c r="T680" s="15"/>
      <c r="U680" s="15"/>
      <c r="V680" s="15"/>
      <c r="W680" s="15"/>
      <c r="X680" s="15"/>
      <c r="Y680" s="15"/>
      <c r="Z680" s="15"/>
      <c r="AA680" s="15"/>
      <c r="AB680" s="15"/>
      <c r="AC680" s="15"/>
      <c r="AD680" s="15"/>
      <c r="AE680" s="15"/>
      <c r="AF680" s="15"/>
      <c r="AG680" s="15"/>
      <c r="AH680" s="15"/>
    </row>
    <row r="681" ht="15.75" customHeight="1">
      <c r="A681" s="32" t="s">
        <v>5</v>
      </c>
      <c r="E681" s="28" t="s">
        <v>88</v>
      </c>
      <c r="F681" s="65" t="s">
        <v>795</v>
      </c>
      <c r="G681" s="29"/>
      <c r="H681" s="31"/>
      <c r="I681" s="31"/>
      <c r="J681" s="31"/>
      <c r="K681" s="9"/>
      <c r="L681" s="9"/>
      <c r="M681" s="15"/>
      <c r="N681" s="15"/>
      <c r="O681" s="15"/>
      <c r="P681" s="15"/>
      <c r="Q681" s="15"/>
      <c r="R681" s="15"/>
      <c r="S681" s="15"/>
      <c r="T681" s="15"/>
      <c r="U681" s="15"/>
      <c r="V681" s="15"/>
      <c r="W681" s="15"/>
      <c r="X681" s="15"/>
      <c r="Y681" s="15"/>
      <c r="Z681" s="15"/>
      <c r="AA681" s="15"/>
      <c r="AB681" s="15"/>
      <c r="AC681" s="15"/>
      <c r="AD681" s="15"/>
      <c r="AE681" s="15"/>
      <c r="AF681" s="15"/>
      <c r="AG681" s="15"/>
      <c r="AH681" s="15"/>
    </row>
    <row r="682" ht="15.75" customHeight="1">
      <c r="A682" s="32" t="s">
        <v>5</v>
      </c>
      <c r="B682" s="56" t="s">
        <v>1705</v>
      </c>
      <c r="C682" s="175" t="s">
        <v>1706</v>
      </c>
      <c r="D682" s="83" t="s">
        <v>20</v>
      </c>
      <c r="E682" s="28" t="s">
        <v>21</v>
      </c>
      <c r="F682" s="65" t="s">
        <v>51</v>
      </c>
      <c r="G682" s="34" t="s">
        <v>1707</v>
      </c>
      <c r="H682" s="150" t="s">
        <v>51</v>
      </c>
      <c r="I682" s="31"/>
      <c r="J682" s="31"/>
      <c r="K682" s="9"/>
      <c r="L682" s="9"/>
      <c r="M682" s="15"/>
      <c r="N682" s="15"/>
      <c r="O682" s="15"/>
      <c r="P682" s="15"/>
      <c r="Q682" s="15"/>
      <c r="R682" s="15"/>
      <c r="S682" s="15"/>
      <c r="T682" s="15"/>
      <c r="U682" s="15"/>
      <c r="V682" s="15"/>
      <c r="W682" s="15"/>
      <c r="X682" s="15"/>
      <c r="Y682" s="15"/>
      <c r="Z682" s="15"/>
      <c r="AA682" s="15"/>
      <c r="AB682" s="15"/>
      <c r="AC682" s="15"/>
      <c r="AD682" s="15"/>
      <c r="AE682" s="15"/>
      <c r="AF682" s="15"/>
      <c r="AG682" s="15"/>
      <c r="AH682" s="15"/>
    </row>
    <row r="683" ht="15.75" customHeight="1">
      <c r="A683" s="32" t="s">
        <v>5</v>
      </c>
      <c r="E683" s="8" t="s">
        <v>88</v>
      </c>
      <c r="F683" s="65" t="s">
        <v>154</v>
      </c>
      <c r="G683" s="34" t="s">
        <v>1708</v>
      </c>
      <c r="H683" s="31" t="s">
        <v>154</v>
      </c>
      <c r="I683" s="31"/>
      <c r="J683" s="31"/>
      <c r="K683" s="9"/>
      <c r="L683" s="9"/>
      <c r="M683" s="15"/>
      <c r="N683" s="15"/>
      <c r="O683" s="15"/>
      <c r="P683" s="15"/>
      <c r="Q683" s="15"/>
      <c r="R683" s="15"/>
      <c r="S683" s="15"/>
      <c r="T683" s="15"/>
      <c r="U683" s="15"/>
      <c r="V683" s="15"/>
      <c r="W683" s="15"/>
      <c r="X683" s="15"/>
      <c r="Y683" s="15"/>
      <c r="Z683" s="15"/>
      <c r="AA683" s="15"/>
      <c r="AB683" s="15"/>
      <c r="AC683" s="15"/>
      <c r="AD683" s="15"/>
      <c r="AE683" s="15"/>
      <c r="AF683" s="15"/>
      <c r="AG683" s="15"/>
      <c r="AH683" s="15"/>
    </row>
    <row r="684" ht="15.75" customHeight="1">
      <c r="A684" s="32" t="s">
        <v>5</v>
      </c>
      <c r="E684" s="8" t="s">
        <v>88</v>
      </c>
      <c r="F684" s="65" t="s">
        <v>120</v>
      </c>
      <c r="G684" s="34" t="s">
        <v>1709</v>
      </c>
      <c r="H684" s="31" t="s">
        <v>120</v>
      </c>
      <c r="I684" s="31"/>
      <c r="J684" s="9"/>
      <c r="K684" s="9"/>
      <c r="L684" s="9"/>
      <c r="M684" s="15"/>
      <c r="N684" s="15"/>
      <c r="O684" s="15"/>
      <c r="P684" s="15"/>
      <c r="Q684" s="15"/>
      <c r="R684" s="15"/>
      <c r="S684" s="15"/>
      <c r="T684" s="15"/>
      <c r="U684" s="15"/>
      <c r="V684" s="15"/>
      <c r="W684" s="15"/>
      <c r="X684" s="15"/>
      <c r="Y684" s="15"/>
      <c r="Z684" s="15"/>
      <c r="AA684" s="15"/>
      <c r="AB684" s="15"/>
      <c r="AC684" s="15"/>
      <c r="AD684" s="15"/>
      <c r="AE684" s="15"/>
      <c r="AF684" s="15"/>
      <c r="AG684" s="15"/>
      <c r="AH684" s="15"/>
    </row>
    <row r="685" ht="15.75" customHeight="1">
      <c r="A685" s="32" t="s">
        <v>5</v>
      </c>
      <c r="E685" s="28" t="s">
        <v>88</v>
      </c>
      <c r="F685" s="65" t="s">
        <v>246</v>
      </c>
      <c r="G685" s="34" t="s">
        <v>1710</v>
      </c>
      <c r="H685" s="31" t="s">
        <v>246</v>
      </c>
      <c r="I685" s="9"/>
      <c r="J685" s="9"/>
      <c r="K685" s="9"/>
      <c r="L685" s="9"/>
      <c r="M685" s="15"/>
      <c r="N685" s="15"/>
      <c r="O685" s="15"/>
      <c r="P685" s="15"/>
      <c r="Q685" s="15"/>
      <c r="R685" s="15"/>
      <c r="S685" s="15"/>
      <c r="T685" s="15"/>
      <c r="U685" s="15"/>
      <c r="V685" s="15"/>
      <c r="W685" s="15"/>
      <c r="X685" s="15"/>
      <c r="Y685" s="15"/>
      <c r="Z685" s="15"/>
      <c r="AA685" s="15"/>
      <c r="AB685" s="15"/>
      <c r="AC685" s="15"/>
      <c r="AD685" s="15"/>
      <c r="AE685" s="15"/>
      <c r="AF685" s="15"/>
      <c r="AG685" s="15"/>
      <c r="AH685" s="15"/>
    </row>
    <row r="686" ht="15.75" customHeight="1">
      <c r="A686" s="32" t="s">
        <v>5</v>
      </c>
      <c r="E686" s="28" t="s">
        <v>88</v>
      </c>
      <c r="F686" s="65" t="s">
        <v>247</v>
      </c>
      <c r="G686" s="29"/>
      <c r="H686" s="31"/>
      <c r="I686" s="9"/>
      <c r="J686" s="9"/>
      <c r="K686" s="9"/>
      <c r="L686" s="9"/>
      <c r="M686" s="15"/>
      <c r="N686" s="15"/>
      <c r="O686" s="15"/>
      <c r="P686" s="15"/>
      <c r="Q686" s="15"/>
      <c r="R686" s="15"/>
      <c r="S686" s="15"/>
      <c r="T686" s="15"/>
      <c r="U686" s="15"/>
      <c r="V686" s="15"/>
      <c r="W686" s="15"/>
      <c r="X686" s="15"/>
      <c r="Y686" s="15"/>
      <c r="Z686" s="15"/>
      <c r="AA686" s="15"/>
      <c r="AB686" s="15"/>
      <c r="AC686" s="15"/>
      <c r="AD686" s="15"/>
      <c r="AE686" s="15"/>
      <c r="AF686" s="15"/>
      <c r="AG686" s="15"/>
      <c r="AH686" s="15"/>
    </row>
    <row r="687" ht="15.75" customHeight="1">
      <c r="A687" s="32" t="s">
        <v>5</v>
      </c>
      <c r="E687" s="28" t="s">
        <v>88</v>
      </c>
      <c r="F687" s="65" t="s">
        <v>95</v>
      </c>
      <c r="G687" s="34" t="s">
        <v>1711</v>
      </c>
      <c r="H687" s="150" t="s">
        <v>95</v>
      </c>
      <c r="I687" s="9"/>
      <c r="J687" s="9"/>
      <c r="K687" s="9"/>
      <c r="L687" s="9"/>
      <c r="M687" s="15"/>
      <c r="N687" s="15"/>
      <c r="O687" s="15"/>
      <c r="P687" s="15"/>
      <c r="Q687" s="15"/>
      <c r="R687" s="15"/>
      <c r="S687" s="15"/>
      <c r="T687" s="15"/>
      <c r="U687" s="15"/>
      <c r="V687" s="15"/>
      <c r="W687" s="15"/>
      <c r="X687" s="15"/>
      <c r="Y687" s="15"/>
      <c r="Z687" s="15"/>
      <c r="AA687" s="15"/>
      <c r="AB687" s="15"/>
      <c r="AC687" s="15"/>
      <c r="AD687" s="15"/>
      <c r="AE687" s="15"/>
      <c r="AF687" s="15"/>
      <c r="AG687" s="15"/>
      <c r="AH687" s="15"/>
    </row>
    <row r="688" ht="15.75" customHeight="1">
      <c r="A688" s="32" t="s">
        <v>5</v>
      </c>
      <c r="E688" s="28" t="s">
        <v>88</v>
      </c>
      <c r="F688" s="65" t="s">
        <v>96</v>
      </c>
      <c r="G688" s="34" t="s">
        <v>1712</v>
      </c>
      <c r="H688" s="31" t="s">
        <v>96</v>
      </c>
      <c r="I688" s="9"/>
      <c r="J688" s="9"/>
      <c r="K688" s="9"/>
      <c r="L688" s="9"/>
      <c r="M688" s="15"/>
      <c r="N688" s="15"/>
      <c r="O688" s="15"/>
      <c r="P688" s="15"/>
      <c r="Q688" s="15"/>
      <c r="R688" s="15"/>
      <c r="S688" s="15"/>
      <c r="T688" s="15"/>
      <c r="U688" s="15"/>
      <c r="V688" s="15"/>
      <c r="W688" s="15"/>
      <c r="X688" s="15"/>
      <c r="Y688" s="15"/>
      <c r="Z688" s="15"/>
      <c r="AA688" s="15"/>
      <c r="AB688" s="15"/>
      <c r="AC688" s="15"/>
      <c r="AD688" s="15"/>
      <c r="AE688" s="15"/>
      <c r="AF688" s="15"/>
      <c r="AG688" s="15"/>
      <c r="AH688" s="15"/>
    </row>
    <row r="689" ht="15.75" customHeight="1">
      <c r="A689" s="32" t="s">
        <v>5</v>
      </c>
      <c r="E689" s="28" t="s">
        <v>86</v>
      </c>
      <c r="F689" s="65" t="s">
        <v>90</v>
      </c>
      <c r="G689" s="34" t="s">
        <v>1713</v>
      </c>
      <c r="H689" s="150" t="s">
        <v>90</v>
      </c>
      <c r="I689" s="9"/>
      <c r="J689" s="9"/>
      <c r="K689" s="9"/>
      <c r="L689" s="9"/>
      <c r="M689" s="15"/>
      <c r="N689" s="15"/>
      <c r="O689" s="15"/>
      <c r="P689" s="15"/>
      <c r="Q689" s="15"/>
      <c r="R689" s="15"/>
      <c r="S689" s="15"/>
      <c r="T689" s="15"/>
      <c r="U689" s="15"/>
      <c r="V689" s="15"/>
      <c r="W689" s="15"/>
      <c r="X689" s="15"/>
      <c r="Y689" s="15"/>
      <c r="Z689" s="15"/>
      <c r="AA689" s="15"/>
      <c r="AB689" s="15"/>
      <c r="AC689" s="15"/>
      <c r="AD689" s="15"/>
      <c r="AE689" s="15"/>
      <c r="AF689" s="15"/>
      <c r="AG689" s="15"/>
      <c r="AH689" s="15"/>
    </row>
    <row r="690" ht="15.75" customHeight="1">
      <c r="A690" s="32" t="s">
        <v>5</v>
      </c>
      <c r="E690" s="28" t="s">
        <v>86</v>
      </c>
      <c r="F690" s="65" t="s">
        <v>91</v>
      </c>
      <c r="G690" s="34" t="s">
        <v>1714</v>
      </c>
      <c r="H690" s="31" t="s">
        <v>91</v>
      </c>
      <c r="I690" s="9"/>
      <c r="J690" s="9"/>
      <c r="K690" s="9"/>
      <c r="L690" s="9"/>
      <c r="M690" s="15"/>
      <c r="N690" s="15"/>
      <c r="O690" s="15"/>
      <c r="P690" s="15"/>
      <c r="Q690" s="15"/>
      <c r="R690" s="15"/>
      <c r="S690" s="15"/>
      <c r="T690" s="15"/>
      <c r="U690" s="15"/>
      <c r="V690" s="15"/>
      <c r="W690" s="15"/>
      <c r="X690" s="15"/>
      <c r="Y690" s="15"/>
      <c r="Z690" s="15"/>
      <c r="AA690" s="15"/>
      <c r="AB690" s="15"/>
      <c r="AC690" s="15"/>
      <c r="AD690" s="15"/>
      <c r="AE690" s="15"/>
      <c r="AF690" s="15"/>
      <c r="AG690" s="15"/>
      <c r="AH690" s="15"/>
    </row>
    <row r="691" ht="15.75" customHeight="1">
      <c r="A691" s="32" t="s">
        <v>5</v>
      </c>
      <c r="E691" s="28" t="s">
        <v>104</v>
      </c>
      <c r="F691" s="65" t="s">
        <v>250</v>
      </c>
      <c r="G691" s="34" t="s">
        <v>1715</v>
      </c>
      <c r="H691" s="150" t="s">
        <v>250</v>
      </c>
      <c r="I691" s="9"/>
      <c r="J691" s="9"/>
      <c r="K691" s="9"/>
      <c r="L691" s="9"/>
      <c r="M691" s="15"/>
      <c r="N691" s="15"/>
      <c r="O691" s="15"/>
      <c r="P691" s="15"/>
      <c r="Q691" s="15"/>
      <c r="R691" s="15"/>
      <c r="S691" s="15"/>
      <c r="T691" s="15"/>
      <c r="U691" s="15"/>
      <c r="V691" s="15"/>
      <c r="W691" s="15"/>
      <c r="X691" s="15"/>
      <c r="Y691" s="15"/>
      <c r="Z691" s="15"/>
      <c r="AA691" s="15"/>
      <c r="AB691" s="15"/>
      <c r="AC691" s="15"/>
      <c r="AD691" s="15"/>
      <c r="AE691" s="15"/>
      <c r="AF691" s="15"/>
      <c r="AG691" s="15"/>
      <c r="AH691" s="15"/>
    </row>
    <row r="692" ht="15.75" customHeight="1">
      <c r="A692" s="32" t="s">
        <v>5</v>
      </c>
      <c r="E692" s="28" t="s">
        <v>178</v>
      </c>
      <c r="F692" s="65" t="s">
        <v>209</v>
      </c>
      <c r="G692" s="34" t="s">
        <v>1716</v>
      </c>
      <c r="H692" s="150" t="s">
        <v>209</v>
      </c>
      <c r="I692" s="9"/>
      <c r="J692" s="9"/>
      <c r="K692" s="9"/>
      <c r="L692" s="9"/>
      <c r="M692" s="15"/>
      <c r="N692" s="15"/>
      <c r="O692" s="15"/>
      <c r="P692" s="15"/>
      <c r="Q692" s="15"/>
      <c r="R692" s="15"/>
      <c r="S692" s="15"/>
      <c r="T692" s="15"/>
      <c r="U692" s="15"/>
      <c r="V692" s="15"/>
      <c r="W692" s="15"/>
      <c r="X692" s="15"/>
      <c r="Y692" s="15"/>
      <c r="Z692" s="15"/>
      <c r="AA692" s="15"/>
      <c r="AB692" s="15"/>
      <c r="AC692" s="15"/>
      <c r="AD692" s="15"/>
      <c r="AE692" s="15"/>
      <c r="AF692" s="15"/>
      <c r="AG692" s="15"/>
      <c r="AH692" s="15"/>
    </row>
    <row r="693" ht="15.75" customHeight="1">
      <c r="A693" s="32" t="s">
        <v>5</v>
      </c>
      <c r="E693" s="28" t="s">
        <v>178</v>
      </c>
      <c r="F693" s="65" t="s">
        <v>210</v>
      </c>
      <c r="G693" s="34" t="s">
        <v>1717</v>
      </c>
      <c r="H693" s="31" t="s">
        <v>210</v>
      </c>
      <c r="I693" s="9"/>
      <c r="J693" s="9"/>
      <c r="K693" s="9"/>
      <c r="L693" s="9"/>
      <c r="M693" s="15"/>
      <c r="N693" s="15"/>
      <c r="O693" s="15"/>
      <c r="P693" s="15"/>
      <c r="Q693" s="15"/>
      <c r="R693" s="15"/>
      <c r="S693" s="15"/>
      <c r="T693" s="15"/>
      <c r="U693" s="15"/>
      <c r="V693" s="15"/>
      <c r="W693" s="15"/>
      <c r="X693" s="15"/>
      <c r="Y693" s="15"/>
      <c r="Z693" s="15"/>
      <c r="AA693" s="15"/>
      <c r="AB693" s="15"/>
      <c r="AC693" s="15"/>
      <c r="AD693" s="15"/>
      <c r="AE693" s="15"/>
      <c r="AF693" s="15"/>
      <c r="AG693" s="15"/>
      <c r="AH693" s="15"/>
    </row>
    <row r="694" ht="15.75" customHeight="1">
      <c r="A694" s="32" t="s">
        <v>5</v>
      </c>
      <c r="E694" s="28" t="s">
        <v>88</v>
      </c>
      <c r="F694" s="65" t="s">
        <v>89</v>
      </c>
      <c r="G694" s="29"/>
      <c r="H694" s="31"/>
      <c r="I694" s="9"/>
      <c r="J694" s="9"/>
      <c r="K694" s="9"/>
      <c r="L694" s="9"/>
      <c r="M694" s="15"/>
      <c r="N694" s="15"/>
      <c r="O694" s="15"/>
      <c r="P694" s="15"/>
      <c r="Q694" s="15"/>
      <c r="R694" s="15"/>
      <c r="S694" s="15"/>
      <c r="T694" s="15"/>
      <c r="U694" s="15"/>
      <c r="V694" s="15"/>
      <c r="W694" s="15"/>
      <c r="X694" s="15"/>
      <c r="Y694" s="15"/>
      <c r="Z694" s="15"/>
      <c r="AA694" s="15"/>
      <c r="AB694" s="15"/>
      <c r="AC694" s="15"/>
      <c r="AD694" s="15"/>
      <c r="AE694" s="15"/>
      <c r="AF694" s="15"/>
      <c r="AG694" s="15"/>
      <c r="AH694" s="15"/>
    </row>
    <row r="695" ht="15.75" customHeight="1">
      <c r="A695" s="32" t="s">
        <v>5</v>
      </c>
      <c r="E695" s="28" t="s">
        <v>88</v>
      </c>
      <c r="F695" s="65" t="s">
        <v>795</v>
      </c>
      <c r="G695" s="29"/>
      <c r="H695" s="150"/>
      <c r="I695" s="9"/>
      <c r="J695" s="9"/>
      <c r="K695" s="9"/>
      <c r="L695" s="9"/>
      <c r="M695" s="15"/>
      <c r="N695" s="15"/>
      <c r="O695" s="15"/>
      <c r="P695" s="15"/>
      <c r="Q695" s="15"/>
      <c r="R695" s="15"/>
      <c r="S695" s="15"/>
      <c r="T695" s="15"/>
      <c r="U695" s="15"/>
      <c r="V695" s="15"/>
      <c r="W695" s="15"/>
      <c r="X695" s="15"/>
      <c r="Y695" s="15"/>
      <c r="Z695" s="15"/>
      <c r="AA695" s="15"/>
      <c r="AB695" s="15"/>
      <c r="AC695" s="15"/>
      <c r="AD695" s="15"/>
      <c r="AE695" s="15"/>
      <c r="AF695" s="15"/>
      <c r="AG695" s="15"/>
      <c r="AH695" s="15"/>
    </row>
    <row r="696" ht="15.75" customHeight="1">
      <c r="A696" s="32" t="s">
        <v>5</v>
      </c>
      <c r="B696" s="56" t="s">
        <v>1718</v>
      </c>
      <c r="C696" s="188" t="s">
        <v>1719</v>
      </c>
      <c r="D696" s="83" t="s">
        <v>20</v>
      </c>
      <c r="E696" s="28" t="s">
        <v>88</v>
      </c>
      <c r="F696" s="65" t="s">
        <v>89</v>
      </c>
      <c r="G696" s="29"/>
      <c r="H696" s="31"/>
      <c r="I696" s="31"/>
      <c r="J696" s="9"/>
      <c r="K696" s="9"/>
      <c r="L696" s="9"/>
      <c r="M696" s="15"/>
      <c r="N696" s="15"/>
      <c r="O696" s="15"/>
      <c r="P696" s="15"/>
      <c r="Q696" s="15"/>
      <c r="R696" s="15"/>
      <c r="S696" s="15"/>
      <c r="T696" s="15"/>
      <c r="U696" s="15"/>
      <c r="V696" s="15"/>
      <c r="W696" s="15"/>
      <c r="X696" s="15"/>
      <c r="Y696" s="15"/>
      <c r="Z696" s="15"/>
      <c r="AA696" s="15"/>
      <c r="AB696" s="15"/>
      <c r="AC696" s="15"/>
      <c r="AD696" s="15"/>
      <c r="AE696" s="15"/>
      <c r="AF696" s="15"/>
      <c r="AG696" s="15"/>
      <c r="AH696" s="15"/>
    </row>
    <row r="697" ht="15.75" customHeight="1">
      <c r="A697" s="32" t="s">
        <v>5</v>
      </c>
      <c r="E697" s="28" t="s">
        <v>21</v>
      </c>
      <c r="F697" s="65" t="s">
        <v>51</v>
      </c>
      <c r="G697" s="34" t="s">
        <v>1720</v>
      </c>
      <c r="H697" s="31" t="s">
        <v>51</v>
      </c>
      <c r="I697" s="31"/>
      <c r="J697" s="9"/>
      <c r="K697" s="9"/>
      <c r="L697" s="9"/>
      <c r="M697" s="15"/>
      <c r="N697" s="15"/>
      <c r="O697" s="15"/>
      <c r="P697" s="15"/>
      <c r="Q697" s="15"/>
      <c r="R697" s="15"/>
      <c r="S697" s="15"/>
      <c r="T697" s="15"/>
      <c r="U697" s="15"/>
      <c r="V697" s="15"/>
      <c r="W697" s="15"/>
      <c r="X697" s="15"/>
      <c r="Y697" s="15"/>
      <c r="Z697" s="15"/>
      <c r="AA697" s="15"/>
      <c r="AB697" s="15"/>
      <c r="AC697" s="15"/>
      <c r="AD697" s="15"/>
      <c r="AE697" s="15"/>
      <c r="AF697" s="15"/>
      <c r="AG697" s="15"/>
      <c r="AH697" s="15"/>
    </row>
    <row r="698" ht="15.75" customHeight="1">
      <c r="A698" s="32" t="s">
        <v>5</v>
      </c>
      <c r="E698" s="8" t="s">
        <v>88</v>
      </c>
      <c r="F698" s="65" t="s">
        <v>154</v>
      </c>
      <c r="G698" s="34" t="s">
        <v>1721</v>
      </c>
      <c r="H698" s="31" t="s">
        <v>154</v>
      </c>
      <c r="I698" s="9"/>
      <c r="J698" s="9"/>
      <c r="K698" s="9"/>
      <c r="L698" s="9"/>
      <c r="M698" s="15"/>
      <c r="N698" s="15"/>
      <c r="O698" s="15"/>
      <c r="P698" s="15"/>
      <c r="Q698" s="15"/>
      <c r="R698" s="15"/>
      <c r="S698" s="15"/>
      <c r="T698" s="15"/>
      <c r="U698" s="15"/>
      <c r="V698" s="15"/>
      <c r="W698" s="15"/>
      <c r="X698" s="15"/>
      <c r="Y698" s="15"/>
      <c r="Z698" s="15"/>
      <c r="AA698" s="15"/>
      <c r="AB698" s="15"/>
      <c r="AC698" s="15"/>
      <c r="AD698" s="15"/>
      <c r="AE698" s="15"/>
      <c r="AF698" s="15"/>
      <c r="AG698" s="15"/>
      <c r="AH698" s="15"/>
    </row>
    <row r="699" ht="15.75" customHeight="1">
      <c r="A699" s="32" t="s">
        <v>5</v>
      </c>
      <c r="E699" s="8" t="s">
        <v>88</v>
      </c>
      <c r="F699" s="65" t="s">
        <v>95</v>
      </c>
      <c r="G699" s="34" t="s">
        <v>1722</v>
      </c>
      <c r="H699" s="31" t="s">
        <v>95</v>
      </c>
      <c r="I699" s="9"/>
      <c r="J699" s="9"/>
      <c r="K699" s="9"/>
      <c r="L699" s="9"/>
      <c r="M699" s="15"/>
      <c r="N699" s="15"/>
      <c r="O699" s="15"/>
      <c r="P699" s="15"/>
      <c r="Q699" s="15"/>
      <c r="R699" s="15"/>
      <c r="S699" s="15"/>
      <c r="T699" s="15"/>
      <c r="U699" s="15"/>
      <c r="V699" s="15"/>
      <c r="W699" s="15"/>
      <c r="X699" s="15"/>
      <c r="Y699" s="15"/>
      <c r="Z699" s="15"/>
      <c r="AA699" s="15"/>
      <c r="AB699" s="15"/>
      <c r="AC699" s="15"/>
      <c r="AD699" s="15"/>
      <c r="AE699" s="15"/>
      <c r="AF699" s="15"/>
      <c r="AG699" s="15"/>
      <c r="AH699" s="15"/>
    </row>
    <row r="700" ht="15.75" customHeight="1">
      <c r="A700" s="32" t="s">
        <v>5</v>
      </c>
      <c r="E700" s="8" t="s">
        <v>88</v>
      </c>
      <c r="F700" s="65" t="s">
        <v>120</v>
      </c>
      <c r="G700" s="34" t="s">
        <v>1723</v>
      </c>
      <c r="H700" s="31" t="s">
        <v>120</v>
      </c>
      <c r="I700" s="9"/>
      <c r="J700" s="9"/>
      <c r="K700" s="9"/>
      <c r="L700" s="9"/>
      <c r="M700" s="15"/>
      <c r="N700" s="15"/>
      <c r="O700" s="15"/>
      <c r="P700" s="15"/>
      <c r="Q700" s="15"/>
      <c r="R700" s="15"/>
      <c r="S700" s="15"/>
      <c r="T700" s="15"/>
      <c r="U700" s="15"/>
      <c r="V700" s="15"/>
      <c r="W700" s="15"/>
      <c r="X700" s="15"/>
      <c r="Y700" s="15"/>
      <c r="Z700" s="15"/>
      <c r="AA700" s="15"/>
      <c r="AB700" s="15"/>
      <c r="AC700" s="15"/>
      <c r="AD700" s="15"/>
      <c r="AE700" s="15"/>
      <c r="AF700" s="15"/>
      <c r="AG700" s="15"/>
      <c r="AH700" s="15"/>
    </row>
    <row r="701" ht="15.75" customHeight="1">
      <c r="A701" s="32" t="s">
        <v>5</v>
      </c>
      <c r="E701" s="8" t="s">
        <v>88</v>
      </c>
      <c r="F701" s="65" t="s">
        <v>246</v>
      </c>
      <c r="G701" s="34" t="s">
        <v>1724</v>
      </c>
      <c r="H701" s="31" t="s">
        <v>246</v>
      </c>
      <c r="I701" s="9"/>
      <c r="J701" s="9"/>
      <c r="K701" s="9"/>
      <c r="L701" s="9"/>
      <c r="M701" s="15"/>
      <c r="N701" s="15"/>
      <c r="O701" s="15"/>
      <c r="P701" s="15"/>
      <c r="Q701" s="15"/>
      <c r="R701" s="15"/>
      <c r="S701" s="15"/>
      <c r="T701" s="15"/>
      <c r="U701" s="15"/>
      <c r="V701" s="15"/>
      <c r="W701" s="15"/>
      <c r="X701" s="15"/>
      <c r="Y701" s="15"/>
      <c r="Z701" s="15"/>
      <c r="AA701" s="15"/>
      <c r="AB701" s="15"/>
      <c r="AC701" s="15"/>
      <c r="AD701" s="15"/>
      <c r="AE701" s="15"/>
      <c r="AF701" s="15"/>
      <c r="AG701" s="15"/>
      <c r="AH701" s="15"/>
    </row>
    <row r="702" ht="15.75" customHeight="1">
      <c r="A702" s="32" t="s">
        <v>5</v>
      </c>
      <c r="E702" s="8" t="s">
        <v>88</v>
      </c>
      <c r="F702" s="65" t="s">
        <v>247</v>
      </c>
      <c r="G702" s="29"/>
      <c r="H702" s="31"/>
      <c r="I702" s="9"/>
      <c r="J702" s="9"/>
      <c r="K702" s="9"/>
      <c r="L702" s="9"/>
      <c r="M702" s="15"/>
      <c r="N702" s="15"/>
      <c r="O702" s="15"/>
      <c r="P702" s="15"/>
      <c r="Q702" s="15"/>
      <c r="R702" s="15"/>
      <c r="S702" s="15"/>
      <c r="T702" s="15"/>
      <c r="U702" s="15"/>
      <c r="V702" s="15"/>
      <c r="W702" s="15"/>
      <c r="X702" s="15"/>
      <c r="Y702" s="15"/>
      <c r="Z702" s="15"/>
      <c r="AA702" s="15"/>
      <c r="AB702" s="15"/>
      <c r="AC702" s="15"/>
      <c r="AD702" s="15"/>
      <c r="AE702" s="15"/>
      <c r="AF702" s="15"/>
      <c r="AG702" s="15"/>
      <c r="AH702" s="15"/>
    </row>
    <row r="703" ht="15.75" customHeight="1">
      <c r="A703" s="32" t="s">
        <v>5</v>
      </c>
      <c r="E703" s="8" t="s">
        <v>88</v>
      </c>
      <c r="F703" s="65" t="s">
        <v>95</v>
      </c>
      <c r="G703" s="34" t="s">
        <v>1722</v>
      </c>
      <c r="H703" s="31" t="s">
        <v>95</v>
      </c>
      <c r="I703" s="9"/>
      <c r="J703" s="9"/>
      <c r="K703" s="9"/>
      <c r="L703" s="9"/>
      <c r="M703" s="15"/>
      <c r="N703" s="15"/>
      <c r="O703" s="15"/>
      <c r="P703" s="15"/>
      <c r="Q703" s="15"/>
      <c r="R703" s="15"/>
      <c r="S703" s="15"/>
      <c r="T703" s="15"/>
      <c r="U703" s="15"/>
      <c r="V703" s="15"/>
      <c r="W703" s="15"/>
      <c r="X703" s="15"/>
      <c r="Y703" s="15"/>
      <c r="Z703" s="15"/>
      <c r="AA703" s="15"/>
      <c r="AB703" s="15"/>
      <c r="AC703" s="15"/>
      <c r="AD703" s="15"/>
      <c r="AE703" s="15"/>
      <c r="AF703" s="15"/>
      <c r="AG703" s="15"/>
      <c r="AH703" s="15"/>
    </row>
    <row r="704" ht="15.75" customHeight="1">
      <c r="A704" s="32" t="s">
        <v>5</v>
      </c>
      <c r="E704" s="8" t="s">
        <v>88</v>
      </c>
      <c r="F704" s="65" t="s">
        <v>96</v>
      </c>
      <c r="G704" s="34" t="s">
        <v>1725</v>
      </c>
      <c r="H704" s="31" t="s">
        <v>96</v>
      </c>
      <c r="I704" s="9"/>
      <c r="J704" s="9"/>
      <c r="K704" s="9"/>
      <c r="L704" s="9"/>
      <c r="M704" s="15"/>
      <c r="N704" s="15"/>
      <c r="O704" s="15"/>
      <c r="P704" s="15"/>
      <c r="Q704" s="15"/>
      <c r="R704" s="15"/>
      <c r="S704" s="15"/>
      <c r="T704" s="15"/>
      <c r="U704" s="15"/>
      <c r="V704" s="15"/>
      <c r="W704" s="15"/>
      <c r="X704" s="15"/>
      <c r="Y704" s="15"/>
      <c r="Z704" s="15"/>
      <c r="AA704" s="15"/>
      <c r="AB704" s="15"/>
      <c r="AC704" s="15"/>
      <c r="AD704" s="15"/>
      <c r="AE704" s="15"/>
      <c r="AF704" s="15"/>
      <c r="AG704" s="15"/>
      <c r="AH704" s="15"/>
    </row>
    <row r="705" ht="15.75" customHeight="1">
      <c r="A705" s="32" t="s">
        <v>5</v>
      </c>
      <c r="E705" s="8" t="s">
        <v>86</v>
      </c>
      <c r="F705" s="65" t="s">
        <v>90</v>
      </c>
      <c r="G705" s="34" t="s">
        <v>1726</v>
      </c>
      <c r="H705" s="31" t="s">
        <v>90</v>
      </c>
      <c r="I705" s="9"/>
      <c r="J705" s="9"/>
      <c r="K705" s="9"/>
      <c r="L705" s="9"/>
      <c r="M705" s="15"/>
      <c r="N705" s="15"/>
      <c r="O705" s="15"/>
      <c r="P705" s="15"/>
      <c r="Q705" s="15"/>
      <c r="R705" s="15"/>
      <c r="S705" s="15"/>
      <c r="T705" s="15"/>
      <c r="U705" s="15"/>
      <c r="V705" s="15"/>
      <c r="W705" s="15"/>
      <c r="X705" s="15"/>
      <c r="Y705" s="15"/>
      <c r="Z705" s="15"/>
      <c r="AA705" s="15"/>
      <c r="AB705" s="15"/>
      <c r="AC705" s="15"/>
      <c r="AD705" s="15"/>
      <c r="AE705" s="15"/>
      <c r="AF705" s="15"/>
      <c r="AG705" s="15"/>
      <c r="AH705" s="15"/>
    </row>
    <row r="706" ht="15.75" customHeight="1">
      <c r="A706" s="32" t="s">
        <v>5</v>
      </c>
      <c r="E706" s="8" t="s">
        <v>86</v>
      </c>
      <c r="F706" s="65" t="s">
        <v>91</v>
      </c>
      <c r="G706" s="34" t="s">
        <v>1727</v>
      </c>
      <c r="H706" s="31" t="s">
        <v>91</v>
      </c>
      <c r="I706" s="9"/>
      <c r="J706" s="9"/>
      <c r="K706" s="9"/>
      <c r="L706" s="9"/>
      <c r="M706" s="15"/>
      <c r="N706" s="15"/>
      <c r="O706" s="15"/>
      <c r="P706" s="15"/>
      <c r="Q706" s="15"/>
      <c r="R706" s="15"/>
      <c r="S706" s="15"/>
      <c r="T706" s="15"/>
      <c r="U706" s="15"/>
      <c r="V706" s="15"/>
      <c r="W706" s="15"/>
      <c r="X706" s="15"/>
      <c r="Y706" s="15"/>
      <c r="Z706" s="15"/>
      <c r="AA706" s="15"/>
      <c r="AB706" s="15"/>
      <c r="AC706" s="15"/>
      <c r="AD706" s="15"/>
      <c r="AE706" s="15"/>
      <c r="AF706" s="15"/>
      <c r="AG706" s="15"/>
      <c r="AH706" s="15"/>
    </row>
    <row r="707" ht="15.75" customHeight="1">
      <c r="A707" s="32" t="s">
        <v>5</v>
      </c>
      <c r="E707" s="8" t="s">
        <v>86</v>
      </c>
      <c r="F707" s="65" t="s">
        <v>338</v>
      </c>
      <c r="G707" s="34" t="s">
        <v>1728</v>
      </c>
      <c r="H707" s="31" t="s">
        <v>338</v>
      </c>
      <c r="I707" s="9"/>
      <c r="J707" s="9"/>
      <c r="K707" s="9"/>
      <c r="L707" s="9"/>
      <c r="M707" s="15"/>
      <c r="N707" s="15"/>
      <c r="O707" s="15"/>
      <c r="P707" s="15"/>
      <c r="Q707" s="15"/>
      <c r="R707" s="15"/>
      <c r="S707" s="15"/>
      <c r="T707" s="15"/>
      <c r="U707" s="15"/>
      <c r="V707" s="15"/>
      <c r="W707" s="15"/>
      <c r="X707" s="15"/>
      <c r="Y707" s="15"/>
      <c r="Z707" s="15"/>
      <c r="AA707" s="15"/>
      <c r="AB707" s="15"/>
      <c r="AC707" s="15"/>
      <c r="AD707" s="15"/>
      <c r="AE707" s="15"/>
      <c r="AF707" s="15"/>
      <c r="AG707" s="15"/>
      <c r="AH707" s="15"/>
    </row>
    <row r="708" ht="15.75" customHeight="1">
      <c r="A708" s="32" t="s">
        <v>5</v>
      </c>
      <c r="E708" s="8" t="s">
        <v>104</v>
      </c>
      <c r="F708" s="65" t="s">
        <v>250</v>
      </c>
      <c r="G708" s="34" t="s">
        <v>1729</v>
      </c>
      <c r="H708" s="162" t="s">
        <v>250</v>
      </c>
      <c r="I708" s="9"/>
      <c r="J708" s="9"/>
      <c r="K708" s="9"/>
      <c r="L708" s="9"/>
      <c r="M708" s="15"/>
      <c r="N708" s="15"/>
      <c r="O708" s="15"/>
      <c r="P708" s="15"/>
      <c r="Q708" s="15"/>
      <c r="R708" s="15"/>
      <c r="S708" s="15"/>
      <c r="T708" s="15"/>
      <c r="U708" s="15"/>
      <c r="V708" s="15"/>
      <c r="W708" s="15"/>
      <c r="X708" s="15"/>
      <c r="Y708" s="15"/>
      <c r="Z708" s="15"/>
      <c r="AA708" s="15"/>
      <c r="AB708" s="15"/>
      <c r="AC708" s="15"/>
      <c r="AD708" s="15"/>
      <c r="AE708" s="15"/>
      <c r="AF708" s="15"/>
      <c r="AG708" s="15"/>
      <c r="AH708" s="15"/>
    </row>
    <row r="709" ht="15.75" customHeight="1">
      <c r="A709" s="32" t="s">
        <v>5</v>
      </c>
      <c r="E709" s="8" t="s">
        <v>178</v>
      </c>
      <c r="F709" s="65" t="s">
        <v>209</v>
      </c>
      <c r="G709" s="34" t="s">
        <v>1730</v>
      </c>
      <c r="H709" s="162" t="s">
        <v>209</v>
      </c>
      <c r="I709" s="9"/>
      <c r="J709" s="9"/>
      <c r="K709" s="9"/>
      <c r="L709" s="9"/>
      <c r="M709" s="15"/>
      <c r="N709" s="15"/>
      <c r="O709" s="15"/>
      <c r="P709" s="15"/>
      <c r="Q709" s="15"/>
      <c r="R709" s="15"/>
      <c r="S709" s="15"/>
      <c r="T709" s="15"/>
      <c r="U709" s="15"/>
      <c r="V709" s="15"/>
      <c r="W709" s="15"/>
      <c r="X709" s="15"/>
      <c r="Y709" s="15"/>
      <c r="Z709" s="15"/>
      <c r="AA709" s="15"/>
      <c r="AB709" s="15"/>
      <c r="AC709" s="15"/>
      <c r="AD709" s="15"/>
      <c r="AE709" s="15"/>
      <c r="AF709" s="15"/>
      <c r="AG709" s="15"/>
      <c r="AH709" s="15"/>
    </row>
    <row r="710" ht="15.75" customHeight="1">
      <c r="A710" s="32" t="s">
        <v>5</v>
      </c>
      <c r="E710" s="8" t="s">
        <v>178</v>
      </c>
      <c r="F710" s="65" t="s">
        <v>210</v>
      </c>
      <c r="G710" s="34" t="s">
        <v>1731</v>
      </c>
      <c r="H710" s="162" t="s">
        <v>210</v>
      </c>
      <c r="I710" s="9"/>
      <c r="J710" s="9"/>
      <c r="K710" s="9"/>
      <c r="L710" s="9"/>
      <c r="M710" s="15"/>
      <c r="N710" s="15"/>
      <c r="O710" s="15"/>
      <c r="P710" s="15"/>
      <c r="Q710" s="15"/>
      <c r="R710" s="15"/>
      <c r="S710" s="15"/>
      <c r="T710" s="15"/>
      <c r="U710" s="15"/>
      <c r="V710" s="15"/>
      <c r="W710" s="15"/>
      <c r="X710" s="15"/>
      <c r="Y710" s="15"/>
      <c r="Z710" s="15"/>
      <c r="AA710" s="15"/>
      <c r="AB710" s="15"/>
      <c r="AC710" s="15"/>
      <c r="AD710" s="15"/>
      <c r="AE710" s="15"/>
      <c r="AF710" s="15"/>
      <c r="AG710" s="15"/>
      <c r="AH710" s="15"/>
    </row>
    <row r="711" ht="15.75" customHeight="1">
      <c r="A711" s="32" t="s">
        <v>5</v>
      </c>
      <c r="E711" s="28" t="s">
        <v>88</v>
      </c>
      <c r="F711" s="65" t="s">
        <v>89</v>
      </c>
      <c r="G711" s="29"/>
      <c r="H711" s="150"/>
      <c r="I711" s="31"/>
      <c r="J711" s="9"/>
      <c r="K711" s="9"/>
      <c r="L711" s="9"/>
      <c r="M711" s="15"/>
      <c r="N711" s="15"/>
      <c r="O711" s="15"/>
      <c r="P711" s="15"/>
      <c r="Q711" s="15"/>
      <c r="R711" s="15"/>
      <c r="S711" s="15"/>
      <c r="T711" s="15"/>
      <c r="U711" s="15"/>
      <c r="V711" s="15"/>
      <c r="W711" s="15"/>
      <c r="X711" s="15"/>
      <c r="Y711" s="15"/>
      <c r="Z711" s="15"/>
      <c r="AA711" s="15"/>
      <c r="AB711" s="15"/>
      <c r="AC711" s="15"/>
      <c r="AD711" s="15"/>
      <c r="AE711" s="15"/>
      <c r="AF711" s="15"/>
      <c r="AG711" s="15"/>
      <c r="AH711" s="15"/>
    </row>
    <row r="712" ht="15.75" customHeight="1">
      <c r="A712" s="32" t="s">
        <v>5</v>
      </c>
      <c r="E712" s="28" t="s">
        <v>88</v>
      </c>
      <c r="F712" s="65" t="s">
        <v>795</v>
      </c>
      <c r="G712" s="29"/>
      <c r="H712" s="150"/>
      <c r="I712" s="31"/>
      <c r="J712" s="9"/>
      <c r="K712" s="9"/>
      <c r="L712" s="9"/>
      <c r="M712" s="15"/>
      <c r="N712" s="15"/>
      <c r="O712" s="15"/>
      <c r="P712" s="15"/>
      <c r="Q712" s="15"/>
      <c r="R712" s="15"/>
      <c r="S712" s="15"/>
      <c r="T712" s="15"/>
      <c r="U712" s="15"/>
      <c r="V712" s="15"/>
      <c r="W712" s="15"/>
      <c r="X712" s="15"/>
      <c r="Y712" s="15"/>
      <c r="Z712" s="15"/>
      <c r="AA712" s="15"/>
      <c r="AB712" s="15"/>
      <c r="AC712" s="15"/>
      <c r="AD712" s="15"/>
      <c r="AE712" s="15"/>
      <c r="AF712" s="15"/>
      <c r="AG712" s="15"/>
      <c r="AH712" s="15"/>
    </row>
    <row r="713" ht="15.75" customHeight="1">
      <c r="A713" s="32" t="s">
        <v>5</v>
      </c>
      <c r="B713" s="56" t="s">
        <v>1732</v>
      </c>
      <c r="C713" s="188" t="s">
        <v>1733</v>
      </c>
      <c r="D713" s="83" t="s">
        <v>20</v>
      </c>
      <c r="E713" s="8" t="s">
        <v>88</v>
      </c>
      <c r="F713" s="65" t="s">
        <v>89</v>
      </c>
      <c r="G713" s="29"/>
      <c r="H713" s="31"/>
      <c r="I713" s="9"/>
      <c r="J713" s="9"/>
      <c r="K713" s="9"/>
      <c r="L713" s="9"/>
      <c r="M713" s="15"/>
      <c r="N713" s="15"/>
      <c r="O713" s="15"/>
      <c r="P713" s="15"/>
      <c r="Q713" s="15"/>
      <c r="R713" s="15"/>
      <c r="S713" s="15"/>
      <c r="T713" s="15"/>
      <c r="U713" s="15"/>
      <c r="V713" s="15"/>
      <c r="W713" s="15"/>
      <c r="X713" s="15"/>
      <c r="Y713" s="15"/>
      <c r="Z713" s="15"/>
      <c r="AA713" s="15"/>
      <c r="AB713" s="15"/>
      <c r="AC713" s="15"/>
      <c r="AD713" s="15"/>
      <c r="AE713" s="15"/>
      <c r="AF713" s="15"/>
      <c r="AG713" s="15"/>
      <c r="AH713" s="15"/>
    </row>
    <row r="714" ht="15.75" customHeight="1">
      <c r="A714" s="32" t="s">
        <v>5</v>
      </c>
      <c r="E714" s="8" t="s">
        <v>21</v>
      </c>
      <c r="F714" s="65" t="s">
        <v>51</v>
      </c>
      <c r="G714" s="34" t="s">
        <v>1734</v>
      </c>
      <c r="H714" s="31" t="s">
        <v>51</v>
      </c>
      <c r="I714" s="9"/>
      <c r="J714" s="9"/>
      <c r="K714" s="9"/>
      <c r="L714" s="9"/>
      <c r="M714" s="15"/>
      <c r="N714" s="15"/>
      <c r="O714" s="15"/>
      <c r="P714" s="15"/>
      <c r="Q714" s="15"/>
      <c r="R714" s="15"/>
      <c r="S714" s="15"/>
      <c r="T714" s="15"/>
      <c r="U714" s="15"/>
      <c r="V714" s="15"/>
      <c r="W714" s="15"/>
      <c r="X714" s="15"/>
      <c r="Y714" s="15"/>
      <c r="Z714" s="15"/>
      <c r="AA714" s="15"/>
      <c r="AB714" s="15"/>
      <c r="AC714" s="15"/>
      <c r="AD714" s="15"/>
      <c r="AE714" s="15"/>
      <c r="AF714" s="15"/>
      <c r="AG714" s="15"/>
      <c r="AH714" s="15"/>
    </row>
    <row r="715" ht="15.75" customHeight="1">
      <c r="A715" s="32" t="s">
        <v>5</v>
      </c>
      <c r="E715" s="28" t="s">
        <v>88</v>
      </c>
      <c r="F715" s="65" t="s">
        <v>154</v>
      </c>
      <c r="G715" s="194" t="s">
        <v>1735</v>
      </c>
      <c r="H715" s="31" t="s">
        <v>154</v>
      </c>
      <c r="I715" s="9"/>
      <c r="J715" s="9"/>
      <c r="K715" s="9"/>
      <c r="L715" s="9"/>
      <c r="M715" s="15"/>
      <c r="N715" s="15"/>
      <c r="O715" s="15"/>
      <c r="P715" s="15"/>
      <c r="Q715" s="15"/>
      <c r="R715" s="15"/>
      <c r="S715" s="15"/>
      <c r="T715" s="15"/>
      <c r="U715" s="15"/>
      <c r="V715" s="15"/>
      <c r="W715" s="15"/>
      <c r="X715" s="15"/>
      <c r="Y715" s="15"/>
      <c r="Z715" s="15"/>
      <c r="AA715" s="15"/>
      <c r="AB715" s="15"/>
      <c r="AC715" s="15"/>
      <c r="AD715" s="15"/>
      <c r="AE715" s="15"/>
      <c r="AF715" s="15"/>
      <c r="AG715" s="15"/>
      <c r="AH715" s="15"/>
    </row>
    <row r="716" ht="15.75" customHeight="1">
      <c r="A716" s="32" t="s">
        <v>5</v>
      </c>
      <c r="E716" s="8" t="s">
        <v>88</v>
      </c>
      <c r="F716" s="65" t="s">
        <v>120</v>
      </c>
      <c r="G716" s="34" t="s">
        <v>1736</v>
      </c>
      <c r="H716" s="31" t="s">
        <v>120</v>
      </c>
      <c r="I716" s="9"/>
      <c r="J716" s="9"/>
      <c r="K716" s="9"/>
      <c r="L716" s="9"/>
      <c r="M716" s="15"/>
      <c r="N716" s="15"/>
      <c r="O716" s="15"/>
      <c r="P716" s="15"/>
      <c r="Q716" s="15"/>
      <c r="R716" s="15"/>
      <c r="S716" s="15"/>
      <c r="T716" s="15"/>
      <c r="U716" s="15"/>
      <c r="V716" s="15"/>
      <c r="W716" s="15"/>
      <c r="X716" s="15"/>
      <c r="Y716" s="15"/>
      <c r="Z716" s="15"/>
      <c r="AA716" s="15"/>
      <c r="AB716" s="15"/>
      <c r="AC716" s="15"/>
      <c r="AD716" s="15"/>
      <c r="AE716" s="15"/>
      <c r="AF716" s="15"/>
      <c r="AG716" s="15"/>
      <c r="AH716" s="15"/>
    </row>
    <row r="717" ht="15.75" customHeight="1">
      <c r="A717" s="32" t="s">
        <v>5</v>
      </c>
      <c r="E717" s="8" t="s">
        <v>88</v>
      </c>
      <c r="F717" s="65" t="s">
        <v>246</v>
      </c>
      <c r="G717" s="34" t="s">
        <v>1737</v>
      </c>
      <c r="H717" s="31" t="s">
        <v>246</v>
      </c>
      <c r="I717" s="9"/>
      <c r="J717" s="9"/>
      <c r="K717" s="9"/>
      <c r="L717" s="9"/>
      <c r="M717" s="15"/>
      <c r="N717" s="15"/>
      <c r="O717" s="15"/>
      <c r="P717" s="15"/>
      <c r="Q717" s="15"/>
      <c r="R717" s="15"/>
      <c r="S717" s="15"/>
      <c r="T717" s="15"/>
      <c r="U717" s="15"/>
      <c r="V717" s="15"/>
      <c r="W717" s="15"/>
      <c r="X717" s="15"/>
      <c r="Y717" s="15"/>
      <c r="Z717" s="15"/>
      <c r="AA717" s="15"/>
      <c r="AB717" s="15"/>
      <c r="AC717" s="15"/>
      <c r="AD717" s="15"/>
      <c r="AE717" s="15"/>
      <c r="AF717" s="15"/>
      <c r="AG717" s="15"/>
      <c r="AH717" s="15"/>
    </row>
    <row r="718" ht="15.75" customHeight="1">
      <c r="A718" s="32" t="s">
        <v>5</v>
      </c>
      <c r="E718" s="8" t="s">
        <v>88</v>
      </c>
      <c r="F718" s="65" t="s">
        <v>247</v>
      </c>
      <c r="G718" s="29"/>
      <c r="H718" s="31"/>
      <c r="I718" s="9"/>
      <c r="J718" s="9"/>
      <c r="K718" s="9"/>
      <c r="L718" s="9"/>
      <c r="M718" s="15"/>
      <c r="N718" s="15"/>
      <c r="O718" s="15"/>
      <c r="P718" s="15"/>
      <c r="Q718" s="15"/>
      <c r="R718" s="15"/>
      <c r="S718" s="15"/>
      <c r="T718" s="15"/>
      <c r="U718" s="15"/>
      <c r="V718" s="15"/>
      <c r="W718" s="15"/>
      <c r="X718" s="15"/>
      <c r="Y718" s="15"/>
      <c r="Z718" s="15"/>
      <c r="AA718" s="15"/>
      <c r="AB718" s="15"/>
      <c r="AC718" s="15"/>
      <c r="AD718" s="15"/>
      <c r="AE718" s="15"/>
      <c r="AF718" s="15"/>
      <c r="AG718" s="15"/>
      <c r="AH718" s="15"/>
    </row>
    <row r="719" ht="15.75" customHeight="1">
      <c r="A719" s="32" t="s">
        <v>5</v>
      </c>
      <c r="E719" s="28" t="s">
        <v>88</v>
      </c>
      <c r="F719" s="8" t="s">
        <v>95</v>
      </c>
      <c r="G719" s="34" t="s">
        <v>1738</v>
      </c>
      <c r="H719" s="31" t="s">
        <v>95</v>
      </c>
      <c r="I719" s="31"/>
      <c r="J719" s="9"/>
      <c r="K719" s="9"/>
      <c r="L719" s="9"/>
      <c r="M719" s="15"/>
      <c r="N719" s="15"/>
      <c r="O719" s="15"/>
      <c r="P719" s="15"/>
      <c r="Q719" s="15"/>
      <c r="R719" s="15"/>
      <c r="S719" s="15"/>
      <c r="T719" s="15"/>
      <c r="U719" s="15"/>
      <c r="V719" s="15"/>
      <c r="W719" s="15"/>
      <c r="X719" s="15"/>
      <c r="Y719" s="15"/>
      <c r="Z719" s="15"/>
      <c r="AA719" s="15"/>
      <c r="AB719" s="15"/>
      <c r="AC719" s="15"/>
      <c r="AD719" s="15"/>
      <c r="AE719" s="15"/>
      <c r="AF719" s="15"/>
      <c r="AG719" s="15"/>
      <c r="AH719" s="15"/>
    </row>
    <row r="720" ht="15.75" customHeight="1">
      <c r="A720" s="32" t="s">
        <v>5</v>
      </c>
      <c r="E720" s="28" t="s">
        <v>88</v>
      </c>
      <c r="F720" s="8" t="s">
        <v>96</v>
      </c>
      <c r="G720" s="34" t="s">
        <v>1739</v>
      </c>
      <c r="H720" s="31" t="s">
        <v>96</v>
      </c>
      <c r="I720" s="31"/>
      <c r="J720" s="9"/>
      <c r="K720" s="9"/>
      <c r="L720" s="9"/>
      <c r="M720" s="15"/>
      <c r="N720" s="15"/>
      <c r="O720" s="15"/>
      <c r="P720" s="15"/>
      <c r="Q720" s="15"/>
      <c r="R720" s="15"/>
      <c r="S720" s="15"/>
      <c r="T720" s="15"/>
      <c r="U720" s="15"/>
      <c r="V720" s="15"/>
      <c r="W720" s="15"/>
      <c r="X720" s="15"/>
      <c r="Y720" s="15"/>
      <c r="Z720" s="15"/>
      <c r="AA720" s="15"/>
      <c r="AB720" s="15"/>
      <c r="AC720" s="15"/>
      <c r="AD720" s="15"/>
      <c r="AE720" s="15"/>
      <c r="AF720" s="15"/>
      <c r="AG720" s="15"/>
      <c r="AH720" s="15"/>
    </row>
    <row r="721" ht="15.75" customHeight="1">
      <c r="A721" s="32" t="s">
        <v>5</v>
      </c>
      <c r="E721" s="28" t="s">
        <v>86</v>
      </c>
      <c r="F721" s="8" t="s">
        <v>90</v>
      </c>
      <c r="G721" s="34" t="s">
        <v>1740</v>
      </c>
      <c r="H721" s="31" t="s">
        <v>90</v>
      </c>
      <c r="I721" s="31"/>
      <c r="J721" s="9"/>
      <c r="K721" s="9"/>
      <c r="L721" s="9"/>
      <c r="M721" s="15"/>
      <c r="N721" s="15"/>
      <c r="O721" s="15"/>
      <c r="P721" s="15"/>
      <c r="Q721" s="15"/>
      <c r="R721" s="15"/>
      <c r="S721" s="15"/>
      <c r="T721" s="15"/>
      <c r="U721" s="15"/>
      <c r="V721" s="15"/>
      <c r="W721" s="15"/>
      <c r="X721" s="15"/>
      <c r="Y721" s="15"/>
      <c r="Z721" s="15"/>
      <c r="AA721" s="15"/>
      <c r="AB721" s="15"/>
      <c r="AC721" s="15"/>
      <c r="AD721" s="15"/>
      <c r="AE721" s="15"/>
      <c r="AF721" s="15"/>
      <c r="AG721" s="15"/>
      <c r="AH721" s="15"/>
    </row>
    <row r="722" ht="15.75" customHeight="1">
      <c r="A722" s="32" t="s">
        <v>5</v>
      </c>
      <c r="E722" s="28" t="s">
        <v>86</v>
      </c>
      <c r="F722" s="8" t="s">
        <v>91</v>
      </c>
      <c r="G722" s="34" t="s">
        <v>1741</v>
      </c>
      <c r="H722" s="31" t="s">
        <v>91</v>
      </c>
      <c r="I722" s="31"/>
      <c r="J722" s="9"/>
      <c r="K722" s="9"/>
      <c r="L722" s="9"/>
      <c r="M722" s="15"/>
      <c r="N722" s="15"/>
      <c r="O722" s="15"/>
      <c r="P722" s="15"/>
      <c r="Q722" s="15"/>
      <c r="R722" s="15"/>
      <c r="S722" s="15"/>
      <c r="T722" s="15"/>
      <c r="U722" s="15"/>
      <c r="V722" s="15"/>
      <c r="W722" s="15"/>
      <c r="X722" s="15"/>
      <c r="Y722" s="15"/>
      <c r="Z722" s="15"/>
      <c r="AA722" s="15"/>
      <c r="AB722" s="15"/>
      <c r="AC722" s="15"/>
      <c r="AD722" s="15"/>
      <c r="AE722" s="15"/>
      <c r="AF722" s="15"/>
      <c r="AG722" s="15"/>
      <c r="AH722" s="15"/>
    </row>
    <row r="723" ht="15.75" customHeight="1">
      <c r="A723" s="32" t="s">
        <v>5</v>
      </c>
      <c r="E723" s="28" t="s">
        <v>104</v>
      </c>
      <c r="F723" s="8" t="s">
        <v>250</v>
      </c>
      <c r="G723" s="34" t="s">
        <v>1742</v>
      </c>
      <c r="H723" s="31" t="s">
        <v>250</v>
      </c>
      <c r="I723" s="31"/>
      <c r="J723" s="9"/>
      <c r="K723" s="9"/>
      <c r="L723" s="9"/>
      <c r="M723" s="15"/>
      <c r="N723" s="15"/>
      <c r="O723" s="15"/>
      <c r="P723" s="15"/>
      <c r="Q723" s="15"/>
      <c r="R723" s="15"/>
      <c r="S723" s="15"/>
      <c r="T723" s="15"/>
      <c r="U723" s="15"/>
      <c r="V723" s="15"/>
      <c r="W723" s="15"/>
      <c r="X723" s="15"/>
      <c r="Y723" s="15"/>
      <c r="Z723" s="15"/>
      <c r="AA723" s="15"/>
      <c r="AB723" s="15"/>
      <c r="AC723" s="15"/>
      <c r="AD723" s="15"/>
      <c r="AE723" s="15"/>
      <c r="AF723" s="15"/>
      <c r="AG723" s="15"/>
      <c r="AH723" s="15"/>
    </row>
    <row r="724" ht="15.75" customHeight="1">
      <c r="A724" s="32" t="s">
        <v>5</v>
      </c>
      <c r="E724" s="28" t="s">
        <v>178</v>
      </c>
      <c r="F724" s="8" t="s">
        <v>210</v>
      </c>
      <c r="G724" s="34" t="s">
        <v>1743</v>
      </c>
      <c r="H724" s="31" t="s">
        <v>210</v>
      </c>
      <c r="I724" s="31"/>
      <c r="J724" s="9"/>
      <c r="K724" s="9"/>
      <c r="L724" s="9"/>
      <c r="M724" s="15"/>
      <c r="N724" s="15"/>
      <c r="O724" s="15"/>
      <c r="P724" s="15"/>
      <c r="Q724" s="15"/>
      <c r="R724" s="15"/>
      <c r="S724" s="15"/>
      <c r="T724" s="15"/>
      <c r="U724" s="15"/>
      <c r="V724" s="15"/>
      <c r="W724" s="15"/>
      <c r="X724" s="15"/>
      <c r="Y724" s="15"/>
      <c r="Z724" s="15"/>
      <c r="AA724" s="15"/>
      <c r="AB724" s="15"/>
      <c r="AC724" s="15"/>
      <c r="AD724" s="15"/>
      <c r="AE724" s="15"/>
      <c r="AF724" s="15"/>
      <c r="AG724" s="15"/>
      <c r="AH724" s="15"/>
    </row>
    <row r="725" ht="15.75" customHeight="1">
      <c r="A725" s="32" t="s">
        <v>5</v>
      </c>
      <c r="E725" s="28" t="s">
        <v>88</v>
      </c>
      <c r="F725" s="8" t="s">
        <v>89</v>
      </c>
      <c r="G725" s="29"/>
      <c r="H725" s="31"/>
      <c r="I725" s="31"/>
      <c r="J725" s="9"/>
      <c r="K725" s="9"/>
      <c r="L725" s="9"/>
      <c r="M725" s="15"/>
      <c r="N725" s="15"/>
      <c r="O725" s="15"/>
      <c r="P725" s="15"/>
      <c r="Q725" s="15"/>
      <c r="R725" s="15"/>
      <c r="S725" s="15"/>
      <c r="T725" s="15"/>
      <c r="U725" s="15"/>
      <c r="V725" s="15"/>
      <c r="W725" s="15"/>
      <c r="X725" s="15"/>
      <c r="Y725" s="15"/>
      <c r="Z725" s="15"/>
      <c r="AA725" s="15"/>
      <c r="AB725" s="15"/>
      <c r="AC725" s="15"/>
      <c r="AD725" s="15"/>
      <c r="AE725" s="15"/>
      <c r="AF725" s="15"/>
      <c r="AG725" s="15"/>
      <c r="AH725" s="15"/>
    </row>
    <row r="726" ht="15.75" customHeight="1">
      <c r="A726" s="32" t="s">
        <v>5</v>
      </c>
      <c r="E726" s="28" t="s">
        <v>88</v>
      </c>
      <c r="F726" s="8" t="s">
        <v>795</v>
      </c>
      <c r="G726" s="29"/>
      <c r="H726" s="31"/>
      <c r="I726" s="9"/>
      <c r="J726" s="9"/>
      <c r="K726" s="9"/>
      <c r="L726" s="9"/>
      <c r="M726" s="15"/>
      <c r="N726" s="15"/>
      <c r="O726" s="15"/>
      <c r="P726" s="15"/>
      <c r="Q726" s="15"/>
      <c r="R726" s="15"/>
      <c r="S726" s="15"/>
      <c r="T726" s="15"/>
      <c r="U726" s="15"/>
      <c r="V726" s="15"/>
      <c r="W726" s="15"/>
      <c r="X726" s="15"/>
      <c r="Y726" s="15"/>
      <c r="Z726" s="15"/>
      <c r="AA726" s="15"/>
      <c r="AB726" s="15"/>
      <c r="AC726" s="15"/>
      <c r="AD726" s="15"/>
      <c r="AE726" s="15"/>
      <c r="AF726" s="15"/>
      <c r="AG726" s="15"/>
      <c r="AH726" s="15"/>
    </row>
    <row r="727" ht="15.75" customHeight="1">
      <c r="A727" s="32" t="s">
        <v>5</v>
      </c>
      <c r="B727" s="56" t="s">
        <v>1744</v>
      </c>
      <c r="C727" s="188" t="s">
        <v>1745</v>
      </c>
      <c r="D727" s="83" t="s">
        <v>20</v>
      </c>
      <c r="E727" s="8" t="s">
        <v>21</v>
      </c>
      <c r="F727" s="8" t="s">
        <v>51</v>
      </c>
      <c r="G727" s="34" t="s">
        <v>1746</v>
      </c>
      <c r="H727" s="31" t="s">
        <v>51</v>
      </c>
      <c r="I727" s="9"/>
      <c r="J727" s="9"/>
      <c r="K727" s="9"/>
      <c r="L727" s="9"/>
      <c r="M727" s="15"/>
      <c r="N727" s="15"/>
      <c r="O727" s="15"/>
      <c r="P727" s="15"/>
      <c r="Q727" s="15"/>
      <c r="R727" s="15"/>
      <c r="S727" s="15"/>
      <c r="T727" s="15"/>
      <c r="U727" s="15"/>
      <c r="V727" s="15"/>
      <c r="W727" s="15"/>
      <c r="X727" s="15"/>
      <c r="Y727" s="15"/>
      <c r="Z727" s="15"/>
      <c r="AA727" s="15"/>
      <c r="AB727" s="15"/>
      <c r="AC727" s="15"/>
      <c r="AD727" s="15"/>
      <c r="AE727" s="15"/>
      <c r="AF727" s="15"/>
      <c r="AG727" s="15"/>
      <c r="AH727" s="15"/>
    </row>
    <row r="728" ht="15.75" customHeight="1">
      <c r="A728" s="32" t="s">
        <v>5</v>
      </c>
      <c r="E728" s="8" t="s">
        <v>88</v>
      </c>
      <c r="F728" s="8" t="s">
        <v>154</v>
      </c>
      <c r="G728" s="34" t="s">
        <v>1747</v>
      </c>
      <c r="H728" s="31" t="s">
        <v>154</v>
      </c>
      <c r="I728" s="9"/>
      <c r="J728" s="9"/>
      <c r="K728" s="9"/>
      <c r="L728" s="9"/>
      <c r="M728" s="15"/>
      <c r="N728" s="15"/>
      <c r="O728" s="15"/>
      <c r="P728" s="15"/>
      <c r="Q728" s="15"/>
      <c r="R728" s="15"/>
      <c r="S728" s="15"/>
      <c r="T728" s="15"/>
      <c r="U728" s="15"/>
      <c r="V728" s="15"/>
      <c r="W728" s="15"/>
      <c r="X728" s="15"/>
      <c r="Y728" s="15"/>
      <c r="Z728" s="15"/>
      <c r="AA728" s="15"/>
      <c r="AB728" s="15"/>
      <c r="AC728" s="15"/>
      <c r="AD728" s="15"/>
      <c r="AE728" s="15"/>
      <c r="AF728" s="15"/>
      <c r="AG728" s="15"/>
      <c r="AH728" s="15"/>
    </row>
    <row r="729" ht="15.75" customHeight="1">
      <c r="A729" s="32" t="s">
        <v>5</v>
      </c>
      <c r="E729" s="8" t="s">
        <v>88</v>
      </c>
      <c r="F729" s="8" t="s">
        <v>120</v>
      </c>
      <c r="G729" s="34" t="s">
        <v>1748</v>
      </c>
      <c r="H729" s="31" t="s">
        <v>120</v>
      </c>
      <c r="I729" s="9"/>
      <c r="J729" s="9"/>
      <c r="K729" s="9"/>
      <c r="L729" s="9"/>
      <c r="M729" s="15"/>
      <c r="N729" s="15"/>
      <c r="O729" s="15"/>
      <c r="P729" s="15"/>
      <c r="Q729" s="15"/>
      <c r="R729" s="15"/>
      <c r="S729" s="15"/>
      <c r="T729" s="15"/>
      <c r="U729" s="15"/>
      <c r="V729" s="15"/>
      <c r="W729" s="15"/>
      <c r="X729" s="15"/>
      <c r="Y729" s="15"/>
      <c r="Z729" s="15"/>
      <c r="AA729" s="15"/>
      <c r="AB729" s="15"/>
      <c r="AC729" s="15"/>
      <c r="AD729" s="15"/>
      <c r="AE729" s="15"/>
      <c r="AF729" s="15"/>
      <c r="AG729" s="15"/>
      <c r="AH729" s="15"/>
    </row>
    <row r="730" ht="15.75" customHeight="1">
      <c r="A730" s="32" t="s">
        <v>5</v>
      </c>
      <c r="E730" s="8" t="s">
        <v>88</v>
      </c>
      <c r="F730" s="8" t="s">
        <v>246</v>
      </c>
      <c r="G730" s="34" t="s">
        <v>1749</v>
      </c>
      <c r="H730" s="31" t="s">
        <v>246</v>
      </c>
      <c r="I730" s="9"/>
      <c r="J730" s="9"/>
      <c r="K730" s="9"/>
      <c r="L730" s="9"/>
      <c r="M730" s="15"/>
      <c r="N730" s="15"/>
      <c r="O730" s="15"/>
      <c r="P730" s="15"/>
      <c r="Q730" s="15"/>
      <c r="R730" s="15"/>
      <c r="S730" s="15"/>
      <c r="T730" s="15"/>
      <c r="U730" s="15"/>
      <c r="V730" s="15"/>
      <c r="W730" s="15"/>
      <c r="X730" s="15"/>
      <c r="Y730" s="15"/>
      <c r="Z730" s="15"/>
      <c r="AA730" s="15"/>
      <c r="AB730" s="15"/>
      <c r="AC730" s="15"/>
      <c r="AD730" s="15"/>
      <c r="AE730" s="15"/>
      <c r="AF730" s="15"/>
      <c r="AG730" s="15"/>
      <c r="AH730" s="15"/>
    </row>
    <row r="731" ht="15.75" customHeight="1">
      <c r="A731" s="32" t="s">
        <v>5</v>
      </c>
      <c r="E731" s="28" t="s">
        <v>88</v>
      </c>
      <c r="F731" s="8" t="s">
        <v>247</v>
      </c>
      <c r="G731" s="29"/>
      <c r="H731" s="31"/>
      <c r="I731" s="31"/>
      <c r="J731" s="9"/>
      <c r="K731" s="9"/>
      <c r="L731" s="9"/>
      <c r="M731" s="15"/>
      <c r="N731" s="15"/>
      <c r="O731" s="15"/>
      <c r="P731" s="15"/>
      <c r="Q731" s="15"/>
      <c r="R731" s="15"/>
      <c r="S731" s="15"/>
      <c r="T731" s="15"/>
      <c r="U731" s="15"/>
      <c r="V731" s="15"/>
      <c r="W731" s="15"/>
      <c r="X731" s="15"/>
      <c r="Y731" s="15"/>
      <c r="Z731" s="15"/>
      <c r="AA731" s="15"/>
      <c r="AB731" s="15"/>
      <c r="AC731" s="15"/>
      <c r="AD731" s="15"/>
      <c r="AE731" s="15"/>
      <c r="AF731" s="15"/>
      <c r="AG731" s="15"/>
      <c r="AH731" s="15"/>
    </row>
    <row r="732" ht="15.75" customHeight="1">
      <c r="A732" s="32" t="s">
        <v>5</v>
      </c>
      <c r="E732" s="28" t="s">
        <v>88</v>
      </c>
      <c r="F732" s="8" t="s">
        <v>95</v>
      </c>
      <c r="G732" s="34" t="s">
        <v>1750</v>
      </c>
      <c r="H732" s="31" t="s">
        <v>95</v>
      </c>
      <c r="I732" s="31"/>
      <c r="J732" s="9"/>
      <c r="K732" s="9"/>
      <c r="L732" s="9"/>
      <c r="M732" s="15"/>
      <c r="N732" s="15"/>
      <c r="O732" s="15"/>
      <c r="P732" s="15"/>
      <c r="Q732" s="15"/>
      <c r="R732" s="15"/>
      <c r="S732" s="15"/>
      <c r="T732" s="15"/>
      <c r="U732" s="15"/>
      <c r="V732" s="15"/>
      <c r="W732" s="15"/>
      <c r="X732" s="15"/>
      <c r="Y732" s="15"/>
      <c r="Z732" s="15"/>
      <c r="AA732" s="15"/>
      <c r="AB732" s="15"/>
      <c r="AC732" s="15"/>
      <c r="AD732" s="15"/>
      <c r="AE732" s="15"/>
      <c r="AF732" s="15"/>
      <c r="AG732" s="15"/>
      <c r="AH732" s="15"/>
    </row>
    <row r="733" ht="15.75" customHeight="1">
      <c r="A733" s="32" t="s">
        <v>5</v>
      </c>
      <c r="E733" s="28" t="s">
        <v>88</v>
      </c>
      <c r="F733" s="8" t="s">
        <v>96</v>
      </c>
      <c r="G733" s="34" t="s">
        <v>1751</v>
      </c>
      <c r="H733" s="31" t="s">
        <v>96</v>
      </c>
      <c r="I733" s="31"/>
      <c r="J733" s="9"/>
      <c r="K733" s="9"/>
      <c r="L733" s="9"/>
      <c r="M733" s="15"/>
      <c r="N733" s="15"/>
      <c r="O733" s="15"/>
      <c r="P733" s="15"/>
      <c r="Q733" s="15"/>
      <c r="R733" s="15"/>
      <c r="S733" s="15"/>
      <c r="T733" s="15"/>
      <c r="U733" s="15"/>
      <c r="V733" s="15"/>
      <c r="W733" s="15"/>
      <c r="X733" s="15"/>
      <c r="Y733" s="15"/>
      <c r="Z733" s="15"/>
      <c r="AA733" s="15"/>
      <c r="AB733" s="15"/>
      <c r="AC733" s="15"/>
      <c r="AD733" s="15"/>
      <c r="AE733" s="15"/>
      <c r="AF733" s="15"/>
      <c r="AG733" s="15"/>
      <c r="AH733" s="15"/>
    </row>
    <row r="734" ht="15.75" customHeight="1">
      <c r="A734" s="32" t="s">
        <v>5</v>
      </c>
      <c r="E734" s="28" t="s">
        <v>86</v>
      </c>
      <c r="F734" s="8" t="s">
        <v>90</v>
      </c>
      <c r="G734" s="34" t="s">
        <v>1752</v>
      </c>
      <c r="H734" s="31" t="s">
        <v>90</v>
      </c>
      <c r="I734" s="31"/>
      <c r="J734" s="9"/>
      <c r="K734" s="9"/>
      <c r="L734" s="9"/>
      <c r="M734" s="15"/>
      <c r="N734" s="15"/>
      <c r="O734" s="15"/>
      <c r="P734" s="15"/>
      <c r="Q734" s="15"/>
      <c r="R734" s="15"/>
      <c r="S734" s="15"/>
      <c r="T734" s="15"/>
      <c r="U734" s="15"/>
      <c r="V734" s="15"/>
      <c r="W734" s="15"/>
      <c r="X734" s="15"/>
      <c r="Y734" s="15"/>
      <c r="Z734" s="15"/>
      <c r="AA734" s="15"/>
      <c r="AB734" s="15"/>
      <c r="AC734" s="15"/>
      <c r="AD734" s="15"/>
      <c r="AE734" s="15"/>
      <c r="AF734" s="15"/>
      <c r="AG734" s="15"/>
      <c r="AH734" s="15"/>
    </row>
    <row r="735" ht="15.75" customHeight="1">
      <c r="A735" s="32" t="s">
        <v>5</v>
      </c>
      <c r="E735" s="28" t="s">
        <v>86</v>
      </c>
      <c r="F735" s="8" t="s">
        <v>91</v>
      </c>
      <c r="G735" s="34" t="s">
        <v>1753</v>
      </c>
      <c r="H735" s="31" t="s">
        <v>91</v>
      </c>
      <c r="I735" s="31"/>
      <c r="J735" s="9"/>
      <c r="K735" s="9"/>
      <c r="L735" s="9"/>
      <c r="M735" s="15"/>
      <c r="N735" s="15"/>
      <c r="O735" s="15"/>
      <c r="P735" s="15"/>
      <c r="Q735" s="15"/>
      <c r="R735" s="15"/>
      <c r="S735" s="15"/>
      <c r="T735" s="15"/>
      <c r="U735" s="15"/>
      <c r="V735" s="15"/>
      <c r="W735" s="15"/>
      <c r="X735" s="15"/>
      <c r="Y735" s="15"/>
      <c r="Z735" s="15"/>
      <c r="AA735" s="15"/>
      <c r="AB735" s="15"/>
      <c r="AC735" s="15"/>
      <c r="AD735" s="15"/>
      <c r="AE735" s="15"/>
      <c r="AF735" s="15"/>
      <c r="AG735" s="15"/>
      <c r="AH735" s="15"/>
    </row>
    <row r="736" ht="15.75" customHeight="1">
      <c r="A736" s="32" t="s">
        <v>5</v>
      </c>
      <c r="E736" s="28" t="s">
        <v>104</v>
      </c>
      <c r="F736" s="8" t="s">
        <v>250</v>
      </c>
      <c r="G736" s="34" t="s">
        <v>1754</v>
      </c>
      <c r="H736" s="31" t="s">
        <v>250</v>
      </c>
      <c r="I736" s="31"/>
      <c r="J736" s="9"/>
      <c r="K736" s="9"/>
      <c r="L736" s="9"/>
      <c r="M736" s="15"/>
      <c r="N736" s="15"/>
      <c r="O736" s="15"/>
      <c r="P736" s="15"/>
      <c r="Q736" s="15"/>
      <c r="R736" s="15"/>
      <c r="S736" s="15"/>
      <c r="T736" s="15"/>
      <c r="U736" s="15"/>
      <c r="V736" s="15"/>
      <c r="W736" s="15"/>
      <c r="X736" s="15"/>
      <c r="Y736" s="15"/>
      <c r="Z736" s="15"/>
      <c r="AA736" s="15"/>
      <c r="AB736" s="15"/>
      <c r="AC736" s="15"/>
      <c r="AD736" s="15"/>
      <c r="AE736" s="15"/>
      <c r="AF736" s="15"/>
      <c r="AG736" s="15"/>
      <c r="AH736" s="15"/>
    </row>
    <row r="737" ht="15.75" customHeight="1">
      <c r="A737" s="32" t="s">
        <v>5</v>
      </c>
      <c r="E737" s="28" t="s">
        <v>178</v>
      </c>
      <c r="F737" s="8" t="s">
        <v>209</v>
      </c>
      <c r="G737" s="34" t="s">
        <v>1755</v>
      </c>
      <c r="H737" s="31" t="s">
        <v>209</v>
      </c>
      <c r="I737" s="31"/>
      <c r="J737" s="9"/>
      <c r="K737" s="9"/>
      <c r="L737" s="9"/>
      <c r="M737" s="15"/>
      <c r="N737" s="15"/>
      <c r="O737" s="15"/>
      <c r="P737" s="15"/>
      <c r="Q737" s="15"/>
      <c r="R737" s="15"/>
      <c r="S737" s="15"/>
      <c r="T737" s="15"/>
      <c r="U737" s="15"/>
      <c r="V737" s="15"/>
      <c r="W737" s="15"/>
      <c r="X737" s="15"/>
      <c r="Y737" s="15"/>
      <c r="Z737" s="15"/>
      <c r="AA737" s="15"/>
      <c r="AB737" s="15"/>
      <c r="AC737" s="15"/>
      <c r="AD737" s="15"/>
      <c r="AE737" s="15"/>
      <c r="AF737" s="15"/>
      <c r="AG737" s="15"/>
      <c r="AH737" s="15"/>
    </row>
    <row r="738" ht="15.75" customHeight="1">
      <c r="A738" s="32" t="s">
        <v>5</v>
      </c>
      <c r="E738" s="28" t="s">
        <v>178</v>
      </c>
      <c r="F738" s="8" t="s">
        <v>210</v>
      </c>
      <c r="G738" s="34" t="s">
        <v>1756</v>
      </c>
      <c r="H738" s="31" t="s">
        <v>210</v>
      </c>
      <c r="I738" s="31"/>
      <c r="J738" s="9"/>
      <c r="K738" s="9"/>
      <c r="L738" s="9"/>
      <c r="M738" s="15"/>
      <c r="N738" s="15"/>
      <c r="O738" s="15"/>
      <c r="P738" s="15"/>
      <c r="Q738" s="15"/>
      <c r="R738" s="15"/>
      <c r="S738" s="15"/>
      <c r="T738" s="15"/>
      <c r="U738" s="15"/>
      <c r="V738" s="15"/>
      <c r="W738" s="15"/>
      <c r="X738" s="15"/>
      <c r="Y738" s="15"/>
      <c r="Z738" s="15"/>
      <c r="AA738" s="15"/>
      <c r="AB738" s="15"/>
      <c r="AC738" s="15"/>
      <c r="AD738" s="15"/>
      <c r="AE738" s="15"/>
      <c r="AF738" s="15"/>
      <c r="AG738" s="15"/>
      <c r="AH738" s="15"/>
    </row>
    <row r="739" ht="15.75" customHeight="1">
      <c r="A739" s="32" t="s">
        <v>5</v>
      </c>
      <c r="E739" s="28" t="s">
        <v>88</v>
      </c>
      <c r="F739" s="8" t="s">
        <v>89</v>
      </c>
      <c r="G739" s="29"/>
      <c r="H739" s="31"/>
      <c r="I739" s="9"/>
      <c r="J739" s="9"/>
      <c r="K739" s="9"/>
      <c r="L739" s="9"/>
      <c r="M739" s="15"/>
      <c r="N739" s="15"/>
      <c r="O739" s="15"/>
      <c r="P739" s="15"/>
      <c r="Q739" s="15"/>
      <c r="R739" s="15"/>
      <c r="S739" s="15"/>
      <c r="T739" s="15"/>
      <c r="U739" s="15"/>
      <c r="V739" s="15"/>
      <c r="W739" s="15"/>
      <c r="X739" s="15"/>
      <c r="Y739" s="15"/>
      <c r="Z739" s="15"/>
      <c r="AA739" s="15"/>
      <c r="AB739" s="15"/>
      <c r="AC739" s="15"/>
      <c r="AD739" s="15"/>
      <c r="AE739" s="15"/>
      <c r="AF739" s="15"/>
      <c r="AG739" s="15"/>
      <c r="AH739" s="15"/>
    </row>
    <row r="740" ht="15.75" customHeight="1">
      <c r="A740" s="32" t="s">
        <v>5</v>
      </c>
      <c r="E740" s="8" t="s">
        <v>88</v>
      </c>
      <c r="F740" s="8" t="s">
        <v>795</v>
      </c>
      <c r="G740" s="29"/>
      <c r="H740" s="31"/>
      <c r="I740" s="9"/>
      <c r="J740" s="9"/>
      <c r="K740" s="9"/>
      <c r="L740" s="9"/>
      <c r="M740" s="15"/>
      <c r="N740" s="15"/>
      <c r="O740" s="15"/>
      <c r="P740" s="15"/>
      <c r="Q740" s="15"/>
      <c r="R740" s="15"/>
      <c r="S740" s="15"/>
      <c r="T740" s="15"/>
      <c r="U740" s="15"/>
      <c r="V740" s="15"/>
      <c r="W740" s="15"/>
      <c r="X740" s="15"/>
      <c r="Y740" s="15"/>
      <c r="Z740" s="15"/>
      <c r="AA740" s="15"/>
      <c r="AB740" s="15"/>
      <c r="AC740" s="15"/>
      <c r="AD740" s="15"/>
      <c r="AE740" s="15"/>
      <c r="AF740" s="15"/>
      <c r="AG740" s="15"/>
      <c r="AH740" s="15"/>
    </row>
    <row r="741" ht="15.75" customHeight="1">
      <c r="A741" s="32" t="s">
        <v>5</v>
      </c>
      <c r="B741" s="56" t="s">
        <v>1757</v>
      </c>
      <c r="C741" s="188" t="s">
        <v>1758</v>
      </c>
      <c r="D741" s="83" t="s">
        <v>20</v>
      </c>
      <c r="E741" s="8" t="s">
        <v>21</v>
      </c>
      <c r="F741" s="8" t="s">
        <v>51</v>
      </c>
      <c r="G741" s="34" t="s">
        <v>1759</v>
      </c>
      <c r="H741" s="31" t="s">
        <v>51</v>
      </c>
      <c r="I741" s="9"/>
      <c r="J741" s="9"/>
      <c r="K741" s="9"/>
      <c r="L741" s="9"/>
      <c r="M741" s="15"/>
      <c r="N741" s="15"/>
      <c r="O741" s="15"/>
      <c r="P741" s="15"/>
      <c r="Q741" s="15"/>
      <c r="R741" s="15"/>
      <c r="S741" s="15"/>
      <c r="T741" s="15"/>
      <c r="U741" s="15"/>
      <c r="V741" s="15"/>
      <c r="W741" s="15"/>
      <c r="X741" s="15"/>
      <c r="Y741" s="15"/>
      <c r="Z741" s="15"/>
      <c r="AA741" s="15"/>
      <c r="AB741" s="15"/>
      <c r="AC741" s="15"/>
      <c r="AD741" s="15"/>
      <c r="AE741" s="15"/>
      <c r="AF741" s="15"/>
      <c r="AG741" s="15"/>
      <c r="AH741" s="15"/>
    </row>
    <row r="742" ht="15.75" customHeight="1">
      <c r="A742" s="32" t="s">
        <v>5</v>
      </c>
      <c r="E742" s="8" t="s">
        <v>88</v>
      </c>
      <c r="F742" s="8" t="s">
        <v>154</v>
      </c>
      <c r="G742" s="34" t="s">
        <v>1760</v>
      </c>
      <c r="H742" s="31" t="s">
        <v>154</v>
      </c>
      <c r="I742" s="9"/>
      <c r="J742" s="9"/>
      <c r="K742" s="9"/>
      <c r="L742" s="9"/>
      <c r="M742" s="15"/>
      <c r="N742" s="15"/>
      <c r="O742" s="15"/>
      <c r="P742" s="15"/>
      <c r="Q742" s="15"/>
      <c r="R742" s="15"/>
      <c r="S742" s="15"/>
      <c r="T742" s="15"/>
      <c r="U742" s="15"/>
      <c r="V742" s="15"/>
      <c r="W742" s="15"/>
      <c r="X742" s="15"/>
      <c r="Y742" s="15"/>
      <c r="Z742" s="15"/>
      <c r="AA742" s="15"/>
      <c r="AB742" s="15"/>
      <c r="AC742" s="15"/>
      <c r="AD742" s="15"/>
      <c r="AE742" s="15"/>
      <c r="AF742" s="15"/>
      <c r="AG742" s="15"/>
      <c r="AH742" s="15"/>
    </row>
    <row r="743" ht="15.75" customHeight="1">
      <c r="A743" s="32" t="s">
        <v>5</v>
      </c>
      <c r="E743" s="8" t="s">
        <v>88</v>
      </c>
      <c r="F743" s="8" t="s">
        <v>120</v>
      </c>
      <c r="G743" s="34" t="s">
        <v>1761</v>
      </c>
      <c r="H743" s="31" t="s">
        <v>120</v>
      </c>
      <c r="I743" s="9"/>
      <c r="J743" s="9"/>
      <c r="K743" s="9"/>
      <c r="L743" s="9"/>
      <c r="M743" s="15"/>
      <c r="N743" s="15"/>
      <c r="O743" s="15"/>
      <c r="P743" s="15"/>
      <c r="Q743" s="15"/>
      <c r="R743" s="15"/>
      <c r="S743" s="15"/>
      <c r="T743" s="15"/>
      <c r="U743" s="15"/>
      <c r="V743" s="15"/>
      <c r="W743" s="15"/>
      <c r="X743" s="15"/>
      <c r="Y743" s="15"/>
      <c r="Z743" s="15"/>
      <c r="AA743" s="15"/>
      <c r="AB743" s="15"/>
      <c r="AC743" s="15"/>
      <c r="AD743" s="15"/>
      <c r="AE743" s="15"/>
      <c r="AF743" s="15"/>
      <c r="AG743" s="15"/>
      <c r="AH743" s="15"/>
    </row>
    <row r="744" ht="15.75" customHeight="1">
      <c r="A744" s="32" t="s">
        <v>5</v>
      </c>
      <c r="E744" s="28" t="s">
        <v>88</v>
      </c>
      <c r="F744" s="8" t="s">
        <v>246</v>
      </c>
      <c r="G744" s="34" t="s">
        <v>1762</v>
      </c>
      <c r="H744" s="31" t="s">
        <v>246</v>
      </c>
      <c r="I744" s="31"/>
      <c r="J744" s="9"/>
      <c r="K744" s="9"/>
      <c r="L744" s="9"/>
      <c r="M744" s="15"/>
      <c r="N744" s="15"/>
      <c r="O744" s="15"/>
      <c r="P744" s="15"/>
      <c r="Q744" s="15"/>
      <c r="R744" s="15"/>
      <c r="S744" s="15"/>
      <c r="T744" s="15"/>
      <c r="U744" s="15"/>
      <c r="V744" s="15"/>
      <c r="W744" s="15"/>
      <c r="X744" s="15"/>
      <c r="Y744" s="15"/>
      <c r="Z744" s="15"/>
      <c r="AA744" s="15"/>
      <c r="AB744" s="15"/>
      <c r="AC744" s="15"/>
      <c r="AD744" s="15"/>
      <c r="AE744" s="15"/>
      <c r="AF744" s="15"/>
      <c r="AG744" s="15"/>
      <c r="AH744" s="15"/>
    </row>
    <row r="745" ht="15.75" customHeight="1">
      <c r="A745" s="32" t="s">
        <v>5</v>
      </c>
      <c r="E745" s="28" t="s">
        <v>88</v>
      </c>
      <c r="F745" s="8" t="s">
        <v>247</v>
      </c>
      <c r="G745" s="29"/>
      <c r="H745" s="31"/>
      <c r="I745" s="31"/>
      <c r="J745" s="9"/>
      <c r="K745" s="9"/>
      <c r="L745" s="9"/>
      <c r="M745" s="15"/>
      <c r="N745" s="15"/>
      <c r="O745" s="15"/>
      <c r="P745" s="15"/>
      <c r="Q745" s="15"/>
      <c r="R745" s="15"/>
      <c r="S745" s="15"/>
      <c r="T745" s="15"/>
      <c r="U745" s="15"/>
      <c r="V745" s="15"/>
      <c r="W745" s="15"/>
      <c r="X745" s="15"/>
      <c r="Y745" s="15"/>
      <c r="Z745" s="15"/>
      <c r="AA745" s="15"/>
      <c r="AB745" s="15"/>
      <c r="AC745" s="15"/>
      <c r="AD745" s="15"/>
      <c r="AE745" s="15"/>
      <c r="AF745" s="15"/>
      <c r="AG745" s="15"/>
      <c r="AH745" s="15"/>
    </row>
    <row r="746" ht="15.75" customHeight="1">
      <c r="A746" s="32" t="s">
        <v>5</v>
      </c>
      <c r="E746" s="28" t="s">
        <v>88</v>
      </c>
      <c r="F746" s="8" t="s">
        <v>95</v>
      </c>
      <c r="G746" s="34" t="s">
        <v>1763</v>
      </c>
      <c r="H746" s="31" t="s">
        <v>95</v>
      </c>
      <c r="I746" s="9"/>
      <c r="J746" s="9"/>
      <c r="K746" s="9"/>
      <c r="L746" s="9"/>
      <c r="M746" s="15"/>
      <c r="N746" s="15"/>
      <c r="O746" s="15"/>
      <c r="P746" s="15"/>
      <c r="Q746" s="15"/>
      <c r="R746" s="15"/>
      <c r="S746" s="15"/>
      <c r="T746" s="15"/>
      <c r="U746" s="15"/>
      <c r="V746" s="15"/>
      <c r="W746" s="15"/>
      <c r="X746" s="15"/>
      <c r="Y746" s="15"/>
      <c r="Z746" s="15"/>
      <c r="AA746" s="15"/>
      <c r="AB746" s="15"/>
      <c r="AC746" s="15"/>
      <c r="AD746" s="15"/>
      <c r="AE746" s="15"/>
      <c r="AF746" s="15"/>
      <c r="AG746" s="15"/>
      <c r="AH746" s="15"/>
    </row>
    <row r="747" ht="15.75" customHeight="1">
      <c r="A747" s="32" t="s">
        <v>5</v>
      </c>
      <c r="E747" s="28" t="s">
        <v>88</v>
      </c>
      <c r="F747" s="8" t="s">
        <v>96</v>
      </c>
      <c r="G747" s="34" t="s">
        <v>1764</v>
      </c>
      <c r="H747" s="31" t="s">
        <v>96</v>
      </c>
      <c r="I747" s="9"/>
      <c r="J747" s="9"/>
      <c r="K747" s="9"/>
      <c r="L747" s="9"/>
      <c r="M747" s="15"/>
      <c r="N747" s="15"/>
      <c r="O747" s="15"/>
      <c r="P747" s="15"/>
      <c r="Q747" s="15"/>
      <c r="R747" s="15"/>
      <c r="S747" s="15"/>
      <c r="T747" s="15"/>
      <c r="U747" s="15"/>
      <c r="V747" s="15"/>
      <c r="W747" s="15"/>
      <c r="X747" s="15"/>
      <c r="Y747" s="15"/>
      <c r="Z747" s="15"/>
      <c r="AA747" s="15"/>
      <c r="AB747" s="15"/>
      <c r="AC747" s="15"/>
      <c r="AD747" s="15"/>
      <c r="AE747" s="15"/>
      <c r="AF747" s="15"/>
      <c r="AG747" s="15"/>
      <c r="AH747" s="15"/>
    </row>
    <row r="748" ht="15.75" customHeight="1">
      <c r="A748" s="32" t="s">
        <v>5</v>
      </c>
      <c r="E748" s="28" t="s">
        <v>86</v>
      </c>
      <c r="F748" s="8" t="s">
        <v>90</v>
      </c>
      <c r="G748" s="34" t="s">
        <v>1765</v>
      </c>
      <c r="H748" s="31" t="s">
        <v>90</v>
      </c>
      <c r="I748" s="9"/>
      <c r="J748" s="9"/>
      <c r="K748" s="9"/>
      <c r="L748" s="9"/>
      <c r="M748" s="15"/>
      <c r="N748" s="15"/>
      <c r="O748" s="15"/>
      <c r="P748" s="15"/>
      <c r="Q748" s="15"/>
      <c r="R748" s="15"/>
      <c r="S748" s="15"/>
      <c r="T748" s="15"/>
      <c r="U748" s="15"/>
      <c r="V748" s="15"/>
      <c r="W748" s="15"/>
      <c r="X748" s="15"/>
      <c r="Y748" s="15"/>
      <c r="Z748" s="15"/>
      <c r="AA748" s="15"/>
      <c r="AB748" s="15"/>
      <c r="AC748" s="15"/>
      <c r="AD748" s="15"/>
      <c r="AE748" s="15"/>
      <c r="AF748" s="15"/>
      <c r="AG748" s="15"/>
      <c r="AH748" s="15"/>
    </row>
    <row r="749" ht="15.75" customHeight="1">
      <c r="A749" s="32" t="s">
        <v>5</v>
      </c>
      <c r="E749" s="28" t="s">
        <v>86</v>
      </c>
      <c r="F749" s="8" t="s">
        <v>91</v>
      </c>
      <c r="G749" s="34" t="s">
        <v>1766</v>
      </c>
      <c r="H749" s="31" t="s">
        <v>91</v>
      </c>
      <c r="I749" s="9"/>
      <c r="J749" s="9"/>
      <c r="K749" s="9"/>
      <c r="L749" s="9"/>
      <c r="M749" s="15"/>
      <c r="N749" s="15"/>
      <c r="O749" s="15"/>
      <c r="P749" s="15"/>
      <c r="Q749" s="15"/>
      <c r="R749" s="15"/>
      <c r="S749" s="15"/>
      <c r="T749" s="15"/>
      <c r="U749" s="15"/>
      <c r="V749" s="15"/>
      <c r="W749" s="15"/>
      <c r="X749" s="15"/>
      <c r="Y749" s="15"/>
      <c r="Z749" s="15"/>
      <c r="AA749" s="15"/>
      <c r="AB749" s="15"/>
      <c r="AC749" s="15"/>
      <c r="AD749" s="15"/>
      <c r="AE749" s="15"/>
      <c r="AF749" s="15"/>
      <c r="AG749" s="15"/>
      <c r="AH749" s="15"/>
    </row>
    <row r="750" ht="15.75" customHeight="1">
      <c r="A750" s="32" t="s">
        <v>5</v>
      </c>
      <c r="E750" s="28" t="s">
        <v>104</v>
      </c>
      <c r="F750" s="8" t="s">
        <v>250</v>
      </c>
      <c r="G750" s="34" t="s">
        <v>1767</v>
      </c>
      <c r="H750" s="31" t="s">
        <v>250</v>
      </c>
      <c r="I750" s="9"/>
      <c r="J750" s="9"/>
      <c r="K750" s="9"/>
      <c r="L750" s="9"/>
      <c r="M750" s="15"/>
      <c r="N750" s="15"/>
      <c r="O750" s="15"/>
      <c r="P750" s="15"/>
      <c r="Q750" s="15"/>
      <c r="R750" s="15"/>
      <c r="S750" s="15"/>
      <c r="T750" s="15"/>
      <c r="U750" s="15"/>
      <c r="V750" s="15"/>
      <c r="W750" s="15"/>
      <c r="X750" s="15"/>
      <c r="Y750" s="15"/>
      <c r="Z750" s="15"/>
      <c r="AA750" s="15"/>
      <c r="AB750" s="15"/>
      <c r="AC750" s="15"/>
      <c r="AD750" s="15"/>
      <c r="AE750" s="15"/>
      <c r="AF750" s="15"/>
      <c r="AG750" s="15"/>
      <c r="AH750" s="15"/>
    </row>
    <row r="751" ht="15.75" customHeight="1">
      <c r="A751" s="32" t="s">
        <v>5</v>
      </c>
      <c r="E751" s="28" t="s">
        <v>178</v>
      </c>
      <c r="F751" s="8" t="s">
        <v>209</v>
      </c>
      <c r="G751" s="34" t="s">
        <v>1768</v>
      </c>
      <c r="H751" s="31" t="s">
        <v>209</v>
      </c>
      <c r="I751" s="9"/>
      <c r="J751" s="9"/>
      <c r="K751" s="9"/>
      <c r="L751" s="9"/>
      <c r="M751" s="15"/>
      <c r="N751" s="15"/>
      <c r="O751" s="15"/>
      <c r="P751" s="15"/>
      <c r="Q751" s="15"/>
      <c r="R751" s="15"/>
      <c r="S751" s="15"/>
      <c r="T751" s="15"/>
      <c r="U751" s="15"/>
      <c r="V751" s="15"/>
      <c r="W751" s="15"/>
      <c r="X751" s="15"/>
      <c r="Y751" s="15"/>
      <c r="Z751" s="15"/>
      <c r="AA751" s="15"/>
      <c r="AB751" s="15"/>
      <c r="AC751" s="15"/>
      <c r="AD751" s="15"/>
      <c r="AE751" s="15"/>
      <c r="AF751" s="15"/>
      <c r="AG751" s="15"/>
      <c r="AH751" s="15"/>
    </row>
    <row r="752" ht="15.75" customHeight="1">
      <c r="A752" s="32" t="s">
        <v>5</v>
      </c>
      <c r="E752" s="28" t="s">
        <v>178</v>
      </c>
      <c r="F752" s="8" t="s">
        <v>210</v>
      </c>
      <c r="G752" s="34" t="s">
        <v>1769</v>
      </c>
      <c r="H752" s="31" t="s">
        <v>210</v>
      </c>
      <c r="I752" s="9"/>
      <c r="J752" s="9"/>
      <c r="K752" s="9"/>
      <c r="L752" s="9"/>
      <c r="M752" s="15"/>
      <c r="N752" s="15"/>
      <c r="O752" s="15"/>
      <c r="P752" s="15"/>
      <c r="Q752" s="15"/>
      <c r="R752" s="15"/>
      <c r="S752" s="15"/>
      <c r="T752" s="15"/>
      <c r="U752" s="15"/>
      <c r="V752" s="15"/>
      <c r="W752" s="15"/>
      <c r="X752" s="15"/>
      <c r="Y752" s="15"/>
      <c r="Z752" s="15"/>
      <c r="AA752" s="15"/>
      <c r="AB752" s="15"/>
      <c r="AC752" s="15"/>
      <c r="AD752" s="15"/>
      <c r="AE752" s="15"/>
      <c r="AF752" s="15"/>
      <c r="AG752" s="15"/>
      <c r="AH752" s="15"/>
    </row>
    <row r="753" ht="15.75" customHeight="1">
      <c r="A753" s="32" t="s">
        <v>5</v>
      </c>
      <c r="E753" s="8" t="s">
        <v>88</v>
      </c>
      <c r="F753" s="8" t="s">
        <v>89</v>
      </c>
      <c r="G753" s="29"/>
      <c r="H753" s="31"/>
      <c r="I753" s="9"/>
      <c r="J753" s="9"/>
      <c r="K753" s="9"/>
      <c r="L753" s="9"/>
      <c r="M753" s="15"/>
      <c r="N753" s="15"/>
      <c r="O753" s="15"/>
      <c r="P753" s="15"/>
      <c r="Q753" s="15"/>
      <c r="R753" s="15"/>
      <c r="S753" s="15"/>
      <c r="T753" s="15"/>
      <c r="U753" s="15"/>
      <c r="V753" s="15"/>
      <c r="W753" s="15"/>
      <c r="X753" s="15"/>
      <c r="Y753" s="15"/>
      <c r="Z753" s="15"/>
      <c r="AA753" s="15"/>
      <c r="AB753" s="15"/>
      <c r="AC753" s="15"/>
      <c r="AD753" s="15"/>
      <c r="AE753" s="15"/>
      <c r="AF753" s="15"/>
      <c r="AG753" s="15"/>
      <c r="AH753" s="15"/>
    </row>
    <row r="754" ht="15.75" customHeight="1">
      <c r="A754" s="32" t="s">
        <v>5</v>
      </c>
      <c r="E754" s="8" t="s">
        <v>88</v>
      </c>
      <c r="F754" s="8" t="s">
        <v>795</v>
      </c>
      <c r="G754" s="29"/>
      <c r="H754" s="31"/>
      <c r="I754" s="9"/>
      <c r="J754" s="9"/>
      <c r="K754" s="9"/>
      <c r="L754" s="9"/>
      <c r="M754" s="15"/>
      <c r="N754" s="15"/>
      <c r="O754" s="15"/>
      <c r="P754" s="15"/>
      <c r="Q754" s="15"/>
      <c r="R754" s="15"/>
      <c r="S754" s="15"/>
      <c r="T754" s="15"/>
      <c r="U754" s="15"/>
      <c r="V754" s="15"/>
      <c r="W754" s="15"/>
      <c r="X754" s="15"/>
      <c r="Y754" s="15"/>
      <c r="Z754" s="15"/>
      <c r="AA754" s="15"/>
      <c r="AB754" s="15"/>
      <c r="AC754" s="15"/>
      <c r="AD754" s="15"/>
      <c r="AE754" s="15"/>
      <c r="AF754" s="15"/>
      <c r="AG754" s="15"/>
      <c r="AH754" s="15"/>
    </row>
    <row r="755" ht="15.75" customHeight="1">
      <c r="A755" s="32" t="s">
        <v>5</v>
      </c>
      <c r="B755" s="56" t="s">
        <v>1770</v>
      </c>
      <c r="C755" s="188" t="s">
        <v>1771</v>
      </c>
      <c r="D755" s="83" t="s">
        <v>20</v>
      </c>
      <c r="E755" s="8" t="s">
        <v>88</v>
      </c>
      <c r="F755" s="8" t="s">
        <v>89</v>
      </c>
      <c r="G755" s="29"/>
      <c r="H755" s="31"/>
      <c r="I755" s="9"/>
      <c r="J755" s="9"/>
      <c r="K755" s="9"/>
      <c r="L755" s="9"/>
      <c r="M755" s="15"/>
      <c r="N755" s="15"/>
      <c r="O755" s="15"/>
      <c r="P755" s="15"/>
      <c r="Q755" s="15"/>
      <c r="R755" s="15"/>
      <c r="S755" s="15"/>
      <c r="T755" s="15"/>
      <c r="U755" s="15"/>
      <c r="V755" s="15"/>
      <c r="W755" s="15"/>
      <c r="X755" s="15"/>
      <c r="Y755" s="15"/>
      <c r="Z755" s="15"/>
      <c r="AA755" s="15"/>
      <c r="AB755" s="15"/>
      <c r="AC755" s="15"/>
      <c r="AD755" s="15"/>
      <c r="AE755" s="15"/>
      <c r="AF755" s="15"/>
      <c r="AG755" s="15"/>
      <c r="AH755" s="15"/>
    </row>
    <row r="756" ht="15.75" customHeight="1">
      <c r="A756" s="32" t="s">
        <v>5</v>
      </c>
      <c r="E756" s="8" t="s">
        <v>21</v>
      </c>
      <c r="F756" s="8" t="s">
        <v>51</v>
      </c>
      <c r="G756" s="34" t="s">
        <v>1772</v>
      </c>
      <c r="H756" s="31" t="s">
        <v>51</v>
      </c>
      <c r="I756" s="9"/>
      <c r="J756" s="9"/>
      <c r="K756" s="9"/>
      <c r="L756" s="9"/>
      <c r="M756" s="15"/>
      <c r="N756" s="15"/>
      <c r="O756" s="15"/>
      <c r="P756" s="15"/>
      <c r="Q756" s="15"/>
      <c r="R756" s="15"/>
      <c r="S756" s="15"/>
      <c r="T756" s="15"/>
      <c r="U756" s="15"/>
      <c r="V756" s="15"/>
      <c r="W756" s="15"/>
      <c r="X756" s="15"/>
      <c r="Y756" s="15"/>
      <c r="Z756" s="15"/>
      <c r="AA756" s="15"/>
      <c r="AB756" s="15"/>
      <c r="AC756" s="15"/>
      <c r="AD756" s="15"/>
      <c r="AE756" s="15"/>
      <c r="AF756" s="15"/>
      <c r="AG756" s="15"/>
      <c r="AH756" s="15"/>
    </row>
    <row r="757" ht="15.75" customHeight="1">
      <c r="A757" s="32" t="s">
        <v>5</v>
      </c>
      <c r="E757" s="8" t="s">
        <v>88</v>
      </c>
      <c r="F757" s="8" t="s">
        <v>154</v>
      </c>
      <c r="G757" s="34" t="s">
        <v>1773</v>
      </c>
      <c r="H757" s="31" t="s">
        <v>154</v>
      </c>
      <c r="I757" s="9"/>
      <c r="J757" s="9"/>
      <c r="K757" s="9"/>
      <c r="L757" s="9"/>
      <c r="M757" s="15"/>
      <c r="N757" s="15"/>
      <c r="O757" s="15"/>
      <c r="P757" s="15"/>
      <c r="Q757" s="15"/>
      <c r="R757" s="15"/>
      <c r="S757" s="15"/>
      <c r="T757" s="15"/>
      <c r="U757" s="15"/>
      <c r="V757" s="15"/>
      <c r="W757" s="15"/>
      <c r="X757" s="15"/>
      <c r="Y757" s="15"/>
      <c r="Z757" s="15"/>
      <c r="AA757" s="15"/>
      <c r="AB757" s="15"/>
      <c r="AC757" s="15"/>
      <c r="AD757" s="15"/>
      <c r="AE757" s="15"/>
      <c r="AF757" s="15"/>
      <c r="AG757" s="15"/>
      <c r="AH757" s="15"/>
    </row>
    <row r="758" ht="15.75" customHeight="1">
      <c r="A758" s="32" t="s">
        <v>5</v>
      </c>
      <c r="E758" s="28" t="s">
        <v>88</v>
      </c>
      <c r="F758" s="8" t="s">
        <v>120</v>
      </c>
      <c r="G758" s="34" t="s">
        <v>1774</v>
      </c>
      <c r="H758" s="31" t="s">
        <v>120</v>
      </c>
      <c r="I758" s="31"/>
      <c r="J758" s="9"/>
      <c r="K758" s="9"/>
      <c r="L758" s="9"/>
      <c r="M758" s="15"/>
      <c r="N758" s="15"/>
      <c r="O758" s="15"/>
      <c r="P758" s="15"/>
      <c r="Q758" s="15"/>
      <c r="R758" s="15"/>
      <c r="S758" s="15"/>
      <c r="T758" s="15"/>
      <c r="U758" s="15"/>
      <c r="V758" s="15"/>
      <c r="W758" s="15"/>
      <c r="X758" s="15"/>
      <c r="Y758" s="15"/>
      <c r="Z758" s="15"/>
      <c r="AA758" s="15"/>
      <c r="AB758" s="15"/>
      <c r="AC758" s="15"/>
      <c r="AD758" s="15"/>
      <c r="AE758" s="15"/>
      <c r="AF758" s="15"/>
      <c r="AG758" s="15"/>
      <c r="AH758" s="15"/>
    </row>
    <row r="759" ht="15.75" customHeight="1">
      <c r="A759" s="32" t="s">
        <v>5</v>
      </c>
      <c r="E759" s="28" t="s">
        <v>88</v>
      </c>
      <c r="F759" s="8" t="s">
        <v>246</v>
      </c>
      <c r="G759" s="34" t="s">
        <v>1775</v>
      </c>
      <c r="H759" s="31" t="s">
        <v>246</v>
      </c>
      <c r="I759" s="9"/>
      <c r="J759" s="9"/>
      <c r="K759" s="9"/>
      <c r="L759" s="9"/>
      <c r="M759" s="15"/>
      <c r="N759" s="15"/>
      <c r="O759" s="15"/>
      <c r="P759" s="15"/>
      <c r="Q759" s="15"/>
      <c r="R759" s="15"/>
      <c r="S759" s="15"/>
      <c r="T759" s="15"/>
      <c r="U759" s="15"/>
      <c r="V759" s="15"/>
      <c r="W759" s="15"/>
      <c r="X759" s="15"/>
      <c r="Y759" s="15"/>
      <c r="Z759" s="15"/>
      <c r="AA759" s="15"/>
      <c r="AB759" s="15"/>
      <c r="AC759" s="15"/>
      <c r="AD759" s="15"/>
      <c r="AE759" s="15"/>
      <c r="AF759" s="15"/>
      <c r="AG759" s="15"/>
      <c r="AH759" s="15"/>
    </row>
    <row r="760" ht="15.75" customHeight="1">
      <c r="A760" s="32" t="s">
        <v>5</v>
      </c>
      <c r="E760" s="28" t="s">
        <v>88</v>
      </c>
      <c r="F760" s="8" t="s">
        <v>247</v>
      </c>
      <c r="G760" s="29"/>
      <c r="H760" s="31"/>
      <c r="I760" s="9"/>
      <c r="J760" s="9"/>
      <c r="K760" s="9"/>
      <c r="L760" s="9"/>
      <c r="M760" s="15"/>
      <c r="N760" s="15"/>
      <c r="O760" s="15"/>
      <c r="P760" s="15"/>
      <c r="Q760" s="15"/>
      <c r="R760" s="15"/>
      <c r="S760" s="15"/>
      <c r="T760" s="15"/>
      <c r="U760" s="15"/>
      <c r="V760" s="15"/>
      <c r="W760" s="15"/>
      <c r="X760" s="15"/>
      <c r="Y760" s="15"/>
      <c r="Z760" s="15"/>
      <c r="AA760" s="15"/>
      <c r="AB760" s="15"/>
      <c r="AC760" s="15"/>
      <c r="AD760" s="15"/>
      <c r="AE760" s="15"/>
      <c r="AF760" s="15"/>
      <c r="AG760" s="15"/>
      <c r="AH760" s="15"/>
    </row>
    <row r="761" ht="15.75" customHeight="1">
      <c r="A761" s="32" t="s">
        <v>5</v>
      </c>
      <c r="E761" s="8" t="s">
        <v>88</v>
      </c>
      <c r="F761" s="8" t="s">
        <v>95</v>
      </c>
      <c r="G761" s="34" t="s">
        <v>1776</v>
      </c>
      <c r="H761" s="31" t="s">
        <v>95</v>
      </c>
      <c r="I761" s="9"/>
      <c r="J761" s="9"/>
      <c r="K761" s="9"/>
      <c r="L761" s="9"/>
      <c r="M761" s="15"/>
      <c r="N761" s="15"/>
      <c r="O761" s="15"/>
      <c r="P761" s="15"/>
      <c r="Q761" s="15"/>
      <c r="R761" s="15"/>
      <c r="S761" s="15"/>
      <c r="T761" s="15"/>
      <c r="U761" s="15"/>
      <c r="V761" s="15"/>
      <c r="W761" s="15"/>
      <c r="X761" s="15"/>
      <c r="Y761" s="15"/>
      <c r="Z761" s="15"/>
      <c r="AA761" s="15"/>
      <c r="AB761" s="15"/>
      <c r="AC761" s="15"/>
      <c r="AD761" s="15"/>
      <c r="AE761" s="15"/>
      <c r="AF761" s="15"/>
      <c r="AG761" s="15"/>
      <c r="AH761" s="15"/>
    </row>
    <row r="762" ht="15.75" customHeight="1">
      <c r="A762" s="32" t="s">
        <v>5</v>
      </c>
      <c r="E762" s="8" t="s">
        <v>88</v>
      </c>
      <c r="F762" s="8" t="s">
        <v>96</v>
      </c>
      <c r="G762" s="34" t="s">
        <v>1777</v>
      </c>
      <c r="H762" s="31" t="s">
        <v>96</v>
      </c>
      <c r="I762" s="9"/>
      <c r="J762" s="9"/>
      <c r="K762" s="9"/>
      <c r="L762" s="9"/>
      <c r="M762" s="15"/>
      <c r="N762" s="15"/>
      <c r="O762" s="15"/>
      <c r="P762" s="15"/>
      <c r="Q762" s="15"/>
      <c r="R762" s="15"/>
      <c r="S762" s="15"/>
      <c r="T762" s="15"/>
      <c r="U762" s="15"/>
      <c r="V762" s="15"/>
      <c r="W762" s="15"/>
      <c r="X762" s="15"/>
      <c r="Y762" s="15"/>
      <c r="Z762" s="15"/>
      <c r="AA762" s="15"/>
      <c r="AB762" s="15"/>
      <c r="AC762" s="15"/>
      <c r="AD762" s="15"/>
      <c r="AE762" s="15"/>
      <c r="AF762" s="15"/>
      <c r="AG762" s="15"/>
      <c r="AH762" s="15"/>
    </row>
    <row r="763" ht="15.75" customHeight="1">
      <c r="A763" s="32" t="s">
        <v>5</v>
      </c>
      <c r="E763" s="8" t="s">
        <v>86</v>
      </c>
      <c r="F763" s="8" t="s">
        <v>90</v>
      </c>
      <c r="G763" s="34" t="s">
        <v>1778</v>
      </c>
      <c r="H763" s="31" t="s">
        <v>90</v>
      </c>
      <c r="I763" s="9"/>
      <c r="J763" s="9"/>
      <c r="K763" s="9"/>
      <c r="L763" s="9"/>
      <c r="M763" s="15"/>
      <c r="N763" s="15"/>
      <c r="O763" s="15"/>
      <c r="P763" s="15"/>
      <c r="Q763" s="15"/>
      <c r="R763" s="15"/>
      <c r="S763" s="15"/>
      <c r="T763" s="15"/>
      <c r="U763" s="15"/>
      <c r="V763" s="15"/>
      <c r="W763" s="15"/>
      <c r="X763" s="15"/>
      <c r="Y763" s="15"/>
      <c r="Z763" s="15"/>
      <c r="AA763" s="15"/>
      <c r="AB763" s="15"/>
      <c r="AC763" s="15"/>
      <c r="AD763" s="15"/>
      <c r="AE763" s="15"/>
      <c r="AF763" s="15"/>
      <c r="AG763" s="15"/>
      <c r="AH763" s="15"/>
    </row>
    <row r="764" ht="15.75" customHeight="1">
      <c r="A764" s="32" t="s">
        <v>5</v>
      </c>
      <c r="E764" s="8" t="s">
        <v>86</v>
      </c>
      <c r="F764" s="8" t="s">
        <v>338</v>
      </c>
      <c r="G764" s="34" t="s">
        <v>1779</v>
      </c>
      <c r="H764" s="31" t="s">
        <v>338</v>
      </c>
      <c r="I764" s="9"/>
      <c r="J764" s="9"/>
      <c r="K764" s="9"/>
      <c r="L764" s="9"/>
      <c r="M764" s="15"/>
      <c r="N764" s="15"/>
      <c r="O764" s="15"/>
      <c r="P764" s="15"/>
      <c r="Q764" s="15"/>
      <c r="R764" s="15"/>
      <c r="S764" s="15"/>
      <c r="T764" s="15"/>
      <c r="U764" s="15"/>
      <c r="V764" s="15"/>
      <c r="W764" s="15"/>
      <c r="X764" s="15"/>
      <c r="Y764" s="15"/>
      <c r="Z764" s="15"/>
      <c r="AA764" s="15"/>
      <c r="AB764" s="15"/>
      <c r="AC764" s="15"/>
      <c r="AD764" s="15"/>
      <c r="AE764" s="15"/>
      <c r="AF764" s="15"/>
      <c r="AG764" s="15"/>
      <c r="AH764" s="15"/>
    </row>
    <row r="765" ht="15.75" customHeight="1">
      <c r="A765" s="32" t="s">
        <v>5</v>
      </c>
      <c r="E765" s="8" t="s">
        <v>104</v>
      </c>
      <c r="F765" s="8" t="s">
        <v>250</v>
      </c>
      <c r="G765" s="34" t="s">
        <v>1780</v>
      </c>
      <c r="H765" s="31" t="s">
        <v>250</v>
      </c>
      <c r="I765" s="9"/>
      <c r="J765" s="9"/>
      <c r="K765" s="9"/>
      <c r="L765" s="9"/>
      <c r="M765" s="15"/>
      <c r="N765" s="15"/>
      <c r="O765" s="15"/>
      <c r="P765" s="15"/>
      <c r="Q765" s="15"/>
      <c r="R765" s="15"/>
      <c r="S765" s="15"/>
      <c r="T765" s="15"/>
      <c r="U765" s="15"/>
      <c r="V765" s="15"/>
      <c r="W765" s="15"/>
      <c r="X765" s="15"/>
      <c r="Y765" s="15"/>
      <c r="Z765" s="15"/>
      <c r="AA765" s="15"/>
      <c r="AB765" s="15"/>
      <c r="AC765" s="15"/>
      <c r="AD765" s="15"/>
      <c r="AE765" s="15"/>
      <c r="AF765" s="15"/>
      <c r="AG765" s="15"/>
      <c r="AH765" s="15"/>
    </row>
    <row r="766" ht="15.75" customHeight="1">
      <c r="A766" s="32" t="s">
        <v>5</v>
      </c>
      <c r="E766" s="8" t="s">
        <v>178</v>
      </c>
      <c r="F766" s="8" t="s">
        <v>209</v>
      </c>
      <c r="G766" s="34" t="s">
        <v>1781</v>
      </c>
      <c r="H766" s="31" t="s">
        <v>209</v>
      </c>
      <c r="I766" s="9"/>
      <c r="J766" s="9"/>
      <c r="K766" s="9"/>
      <c r="L766" s="9"/>
      <c r="M766" s="15"/>
      <c r="N766" s="15"/>
      <c r="O766" s="15"/>
      <c r="P766" s="15"/>
      <c r="Q766" s="15"/>
      <c r="R766" s="15"/>
      <c r="S766" s="15"/>
      <c r="T766" s="15"/>
      <c r="U766" s="15"/>
      <c r="V766" s="15"/>
      <c r="W766" s="15"/>
      <c r="X766" s="15"/>
      <c r="Y766" s="15"/>
      <c r="Z766" s="15"/>
      <c r="AA766" s="15"/>
      <c r="AB766" s="15"/>
      <c r="AC766" s="15"/>
      <c r="AD766" s="15"/>
      <c r="AE766" s="15"/>
      <c r="AF766" s="15"/>
      <c r="AG766" s="15"/>
      <c r="AH766" s="15"/>
    </row>
    <row r="767" ht="15.75" customHeight="1">
      <c r="A767" s="32" t="s">
        <v>5</v>
      </c>
      <c r="E767" s="8" t="s">
        <v>178</v>
      </c>
      <c r="F767" s="8" t="s">
        <v>210</v>
      </c>
      <c r="G767" s="34" t="s">
        <v>1782</v>
      </c>
      <c r="H767" s="31" t="s">
        <v>210</v>
      </c>
      <c r="I767" s="9"/>
      <c r="J767" s="9"/>
      <c r="K767" s="9"/>
      <c r="L767" s="9"/>
      <c r="M767" s="15"/>
      <c r="N767" s="15"/>
      <c r="O767" s="15"/>
      <c r="P767" s="15"/>
      <c r="Q767" s="15"/>
      <c r="R767" s="15"/>
      <c r="S767" s="15"/>
      <c r="T767" s="15"/>
      <c r="U767" s="15"/>
      <c r="V767" s="15"/>
      <c r="W767" s="15"/>
      <c r="X767" s="15"/>
      <c r="Y767" s="15"/>
      <c r="Z767" s="15"/>
      <c r="AA767" s="15"/>
      <c r="AB767" s="15"/>
      <c r="AC767" s="15"/>
      <c r="AD767" s="15"/>
      <c r="AE767" s="15"/>
      <c r="AF767" s="15"/>
      <c r="AG767" s="15"/>
      <c r="AH767" s="15"/>
    </row>
    <row r="768" ht="15.75" customHeight="1">
      <c r="A768" s="32" t="s">
        <v>5</v>
      </c>
      <c r="E768" s="8" t="s">
        <v>88</v>
      </c>
      <c r="F768" s="8" t="s">
        <v>89</v>
      </c>
      <c r="G768" s="29"/>
      <c r="H768" s="31"/>
      <c r="I768" s="9"/>
      <c r="J768" s="9"/>
      <c r="K768" s="9"/>
      <c r="L768" s="9"/>
      <c r="M768" s="15"/>
      <c r="N768" s="15"/>
      <c r="O768" s="15"/>
      <c r="P768" s="15"/>
      <c r="Q768" s="15"/>
      <c r="R768" s="15"/>
      <c r="S768" s="15"/>
      <c r="T768" s="15"/>
      <c r="U768" s="15"/>
      <c r="V768" s="15"/>
      <c r="W768" s="15"/>
      <c r="X768" s="15"/>
      <c r="Y768" s="15"/>
      <c r="Z768" s="15"/>
      <c r="AA768" s="15"/>
      <c r="AB768" s="15"/>
      <c r="AC768" s="15"/>
      <c r="AD768" s="15"/>
      <c r="AE768" s="15"/>
      <c r="AF768" s="15"/>
      <c r="AG768" s="15"/>
      <c r="AH768" s="15"/>
    </row>
    <row r="769" ht="15.75" customHeight="1">
      <c r="A769" s="32" t="s">
        <v>5</v>
      </c>
      <c r="E769" s="8" t="s">
        <v>88</v>
      </c>
      <c r="F769" s="8" t="s">
        <v>795</v>
      </c>
      <c r="G769" s="29"/>
      <c r="H769" s="31"/>
      <c r="I769" s="9"/>
      <c r="J769" s="9"/>
      <c r="K769" s="9"/>
      <c r="L769" s="9"/>
      <c r="M769" s="15"/>
      <c r="N769" s="15"/>
      <c r="O769" s="15"/>
      <c r="P769" s="15"/>
      <c r="Q769" s="15"/>
      <c r="R769" s="15"/>
      <c r="S769" s="15"/>
      <c r="T769" s="15"/>
      <c r="U769" s="15"/>
      <c r="V769" s="15"/>
      <c r="W769" s="15"/>
      <c r="X769" s="15"/>
      <c r="Y769" s="15"/>
      <c r="Z769" s="15"/>
      <c r="AA769" s="15"/>
      <c r="AB769" s="15"/>
      <c r="AC769" s="15"/>
      <c r="AD769" s="15"/>
      <c r="AE769" s="15"/>
      <c r="AF769" s="15"/>
      <c r="AG769" s="15"/>
      <c r="AH769" s="15"/>
    </row>
    <row r="770" ht="15.75" customHeight="1">
      <c r="A770" s="32" t="s">
        <v>5</v>
      </c>
      <c r="B770" s="56" t="s">
        <v>1783</v>
      </c>
      <c r="C770" s="188" t="s">
        <v>1784</v>
      </c>
      <c r="D770" s="83" t="s">
        <v>20</v>
      </c>
      <c r="E770" s="28" t="s">
        <v>88</v>
      </c>
      <c r="F770" s="8" t="s">
        <v>89</v>
      </c>
      <c r="G770" s="29"/>
      <c r="H770" s="31"/>
      <c r="I770" s="31"/>
      <c r="J770" s="9"/>
      <c r="K770" s="9"/>
      <c r="L770" s="9"/>
      <c r="M770" s="15"/>
      <c r="N770" s="15"/>
      <c r="O770" s="15"/>
      <c r="P770" s="15"/>
      <c r="Q770" s="15"/>
      <c r="R770" s="15"/>
      <c r="S770" s="15"/>
      <c r="T770" s="15"/>
      <c r="U770" s="15"/>
      <c r="V770" s="15"/>
      <c r="W770" s="15"/>
      <c r="X770" s="15"/>
      <c r="Y770" s="15"/>
      <c r="Z770" s="15"/>
      <c r="AA770" s="15"/>
      <c r="AB770" s="15"/>
      <c r="AC770" s="15"/>
      <c r="AD770" s="15"/>
      <c r="AE770" s="15"/>
      <c r="AF770" s="15"/>
      <c r="AG770" s="15"/>
      <c r="AH770" s="15"/>
    </row>
    <row r="771" ht="15.75" customHeight="1">
      <c r="A771" s="32" t="s">
        <v>5</v>
      </c>
      <c r="E771" s="28" t="s">
        <v>21</v>
      </c>
      <c r="F771" s="8" t="s">
        <v>51</v>
      </c>
      <c r="G771" s="34" t="s">
        <v>1785</v>
      </c>
      <c r="H771" s="31" t="s">
        <v>51</v>
      </c>
      <c r="I771" s="31"/>
      <c r="J771" s="9"/>
      <c r="K771" s="9"/>
      <c r="L771" s="9"/>
      <c r="M771" s="15"/>
      <c r="N771" s="15"/>
      <c r="O771" s="15"/>
      <c r="P771" s="15"/>
      <c r="Q771" s="15"/>
      <c r="R771" s="15"/>
      <c r="S771" s="15"/>
      <c r="T771" s="15"/>
      <c r="U771" s="15"/>
      <c r="V771" s="15"/>
      <c r="W771" s="15"/>
      <c r="X771" s="15"/>
      <c r="Y771" s="15"/>
      <c r="Z771" s="15"/>
      <c r="AA771" s="15"/>
      <c r="AB771" s="15"/>
      <c r="AC771" s="15"/>
      <c r="AD771" s="15"/>
      <c r="AE771" s="15"/>
      <c r="AF771" s="15"/>
      <c r="AG771" s="15"/>
      <c r="AH771" s="15"/>
    </row>
    <row r="772" ht="15.75" customHeight="1">
      <c r="E772" s="28" t="s">
        <v>88</v>
      </c>
      <c r="F772" s="8" t="s">
        <v>154</v>
      </c>
      <c r="G772" s="34" t="s">
        <v>1786</v>
      </c>
      <c r="H772" s="31" t="s">
        <v>154</v>
      </c>
      <c r="I772" s="31"/>
      <c r="J772" s="9"/>
      <c r="K772" s="9"/>
      <c r="L772" s="9"/>
      <c r="M772" s="15"/>
      <c r="N772" s="15"/>
      <c r="O772" s="15"/>
      <c r="P772" s="15"/>
      <c r="Q772" s="15"/>
      <c r="R772" s="15"/>
      <c r="S772" s="15"/>
      <c r="T772" s="15"/>
      <c r="U772" s="15"/>
      <c r="V772" s="15"/>
      <c r="W772" s="15"/>
      <c r="X772" s="15"/>
      <c r="Y772" s="15"/>
      <c r="Z772" s="15"/>
      <c r="AA772" s="15"/>
      <c r="AB772" s="15"/>
      <c r="AC772" s="15"/>
      <c r="AD772" s="15"/>
      <c r="AE772" s="15"/>
      <c r="AF772" s="15"/>
      <c r="AG772" s="15"/>
      <c r="AH772" s="15"/>
    </row>
    <row r="773" ht="15.75" customHeight="1">
      <c r="E773" s="28" t="s">
        <v>88</v>
      </c>
      <c r="F773" s="8" t="s">
        <v>120</v>
      </c>
      <c r="G773" s="34" t="s">
        <v>1787</v>
      </c>
      <c r="H773" s="31" t="s">
        <v>120</v>
      </c>
      <c r="I773" s="9"/>
      <c r="J773" s="9"/>
      <c r="K773" s="9"/>
      <c r="L773" s="9"/>
      <c r="M773" s="15"/>
      <c r="N773" s="15"/>
      <c r="O773" s="15"/>
      <c r="P773" s="15"/>
      <c r="Q773" s="15"/>
      <c r="R773" s="15"/>
      <c r="S773" s="15"/>
      <c r="T773" s="15"/>
      <c r="U773" s="15"/>
      <c r="V773" s="15"/>
      <c r="W773" s="15"/>
      <c r="X773" s="15"/>
      <c r="Y773" s="15"/>
      <c r="Z773" s="15"/>
      <c r="AA773" s="15"/>
      <c r="AB773" s="15"/>
      <c r="AC773" s="15"/>
      <c r="AD773" s="15"/>
      <c r="AE773" s="15"/>
      <c r="AF773" s="15"/>
      <c r="AG773" s="15"/>
      <c r="AH773" s="15"/>
    </row>
    <row r="774" ht="15.75" customHeight="1">
      <c r="E774" s="8" t="s">
        <v>88</v>
      </c>
      <c r="F774" s="8" t="s">
        <v>246</v>
      </c>
      <c r="G774" s="34" t="s">
        <v>1788</v>
      </c>
      <c r="H774" s="31" t="s">
        <v>246</v>
      </c>
      <c r="I774" s="9"/>
      <c r="J774" s="9"/>
      <c r="K774" s="9"/>
      <c r="L774" s="9"/>
      <c r="M774" s="15"/>
      <c r="N774" s="15"/>
      <c r="O774" s="15"/>
      <c r="P774" s="15"/>
      <c r="Q774" s="15"/>
      <c r="R774" s="15"/>
      <c r="S774" s="15"/>
      <c r="T774" s="15"/>
      <c r="U774" s="15"/>
      <c r="V774" s="15"/>
      <c r="W774" s="15"/>
      <c r="X774" s="15"/>
      <c r="Y774" s="15"/>
      <c r="Z774" s="15"/>
      <c r="AA774" s="15"/>
      <c r="AB774" s="15"/>
      <c r="AC774" s="15"/>
      <c r="AD774" s="15"/>
      <c r="AE774" s="15"/>
      <c r="AF774" s="15"/>
      <c r="AG774" s="15"/>
      <c r="AH774" s="15"/>
    </row>
    <row r="775" ht="15.75" customHeight="1">
      <c r="E775" s="8" t="s">
        <v>88</v>
      </c>
      <c r="F775" s="8" t="s">
        <v>247</v>
      </c>
      <c r="G775" s="29"/>
      <c r="H775" s="31"/>
      <c r="I775" s="9"/>
      <c r="J775" s="9"/>
      <c r="K775" s="9"/>
      <c r="L775" s="9"/>
      <c r="M775" s="15"/>
      <c r="N775" s="15"/>
      <c r="O775" s="15"/>
      <c r="P775" s="15"/>
      <c r="Q775" s="15"/>
      <c r="R775" s="15"/>
      <c r="S775" s="15"/>
      <c r="T775" s="15"/>
      <c r="U775" s="15"/>
      <c r="V775" s="15"/>
      <c r="W775" s="15"/>
      <c r="X775" s="15"/>
      <c r="Y775" s="15"/>
      <c r="Z775" s="15"/>
      <c r="AA775" s="15"/>
      <c r="AB775" s="15"/>
      <c r="AC775" s="15"/>
      <c r="AD775" s="15"/>
      <c r="AE775" s="15"/>
      <c r="AF775" s="15"/>
      <c r="AG775" s="15"/>
      <c r="AH775" s="15"/>
    </row>
    <row r="776" ht="15.75" customHeight="1">
      <c r="E776" s="8" t="s">
        <v>88</v>
      </c>
      <c r="F776" s="8" t="s">
        <v>95</v>
      </c>
      <c r="G776" s="34" t="s">
        <v>1789</v>
      </c>
      <c r="H776" s="31" t="s">
        <v>95</v>
      </c>
      <c r="I776" s="9"/>
      <c r="J776" s="9"/>
      <c r="K776" s="9"/>
      <c r="L776" s="9"/>
      <c r="M776" s="15"/>
      <c r="N776" s="15"/>
      <c r="O776" s="15"/>
      <c r="P776" s="15"/>
      <c r="Q776" s="15"/>
      <c r="R776" s="15"/>
      <c r="S776" s="15"/>
      <c r="T776" s="15"/>
      <c r="U776" s="15"/>
      <c r="V776" s="15"/>
      <c r="W776" s="15"/>
      <c r="X776" s="15"/>
      <c r="Y776" s="15"/>
      <c r="Z776" s="15"/>
      <c r="AA776" s="15"/>
      <c r="AB776" s="15"/>
      <c r="AC776" s="15"/>
      <c r="AD776" s="15"/>
      <c r="AE776" s="15"/>
      <c r="AF776" s="15"/>
      <c r="AG776" s="15"/>
      <c r="AH776" s="15"/>
    </row>
    <row r="777" ht="15.75" customHeight="1">
      <c r="E777" s="8" t="s">
        <v>88</v>
      </c>
      <c r="F777" s="8" t="s">
        <v>96</v>
      </c>
      <c r="G777" s="34" t="s">
        <v>1790</v>
      </c>
      <c r="H777" s="31" t="s">
        <v>96</v>
      </c>
      <c r="I777" s="9"/>
      <c r="J777" s="9"/>
      <c r="K777" s="9"/>
      <c r="L777" s="9"/>
      <c r="M777" s="15"/>
      <c r="N777" s="15"/>
      <c r="O777" s="15"/>
      <c r="P777" s="15"/>
      <c r="Q777" s="15"/>
      <c r="R777" s="15"/>
      <c r="S777" s="15"/>
      <c r="T777" s="15"/>
      <c r="U777" s="15"/>
      <c r="V777" s="15"/>
      <c r="W777" s="15"/>
      <c r="X777" s="15"/>
      <c r="Y777" s="15"/>
      <c r="Z777" s="15"/>
      <c r="AA777" s="15"/>
      <c r="AB777" s="15"/>
      <c r="AC777" s="15"/>
      <c r="AD777" s="15"/>
      <c r="AE777" s="15"/>
      <c r="AF777" s="15"/>
      <c r="AG777" s="15"/>
      <c r="AH777" s="15"/>
    </row>
    <row r="778" ht="15.75" customHeight="1">
      <c r="E778" s="8" t="s">
        <v>86</v>
      </c>
      <c r="F778" s="8" t="s">
        <v>90</v>
      </c>
      <c r="G778" s="34" t="s">
        <v>1791</v>
      </c>
      <c r="H778" s="31" t="s">
        <v>90</v>
      </c>
      <c r="I778" s="9"/>
      <c r="J778" s="9"/>
      <c r="K778" s="9"/>
      <c r="L778" s="9"/>
      <c r="M778" s="15"/>
      <c r="N778" s="15"/>
      <c r="O778" s="15"/>
      <c r="P778" s="15"/>
      <c r="Q778" s="15"/>
      <c r="R778" s="15"/>
      <c r="S778" s="15"/>
      <c r="T778" s="15"/>
      <c r="U778" s="15"/>
      <c r="V778" s="15"/>
      <c r="W778" s="15"/>
      <c r="X778" s="15"/>
      <c r="Y778" s="15"/>
      <c r="Z778" s="15"/>
      <c r="AA778" s="15"/>
      <c r="AB778" s="15"/>
      <c r="AC778" s="15"/>
      <c r="AD778" s="15"/>
      <c r="AE778" s="15"/>
      <c r="AF778" s="15"/>
      <c r="AG778" s="15"/>
      <c r="AH778" s="15"/>
    </row>
    <row r="779" ht="15.75" customHeight="1">
      <c r="E779" s="8" t="s">
        <v>86</v>
      </c>
      <c r="F779" s="8" t="s">
        <v>338</v>
      </c>
      <c r="G779" s="34" t="s">
        <v>1792</v>
      </c>
      <c r="H779" s="31" t="s">
        <v>338</v>
      </c>
      <c r="I779" s="9"/>
      <c r="J779" s="9"/>
      <c r="K779" s="9"/>
      <c r="L779" s="9"/>
      <c r="M779" s="15"/>
      <c r="N779" s="15"/>
      <c r="O779" s="15"/>
      <c r="P779" s="15"/>
      <c r="Q779" s="15"/>
      <c r="R779" s="15"/>
      <c r="S779" s="15"/>
      <c r="T779" s="15"/>
      <c r="U779" s="15"/>
      <c r="V779" s="15"/>
      <c r="W779" s="15"/>
      <c r="X779" s="15"/>
      <c r="Y779" s="15"/>
      <c r="Z779" s="15"/>
      <c r="AA779" s="15"/>
      <c r="AB779" s="15"/>
      <c r="AC779" s="15"/>
      <c r="AD779" s="15"/>
      <c r="AE779" s="15"/>
      <c r="AF779" s="15"/>
      <c r="AG779" s="15"/>
      <c r="AH779" s="15"/>
    </row>
    <row r="780" ht="15.75" customHeight="1">
      <c r="E780" s="8" t="s">
        <v>104</v>
      </c>
      <c r="F780" s="8" t="s">
        <v>250</v>
      </c>
      <c r="G780" s="34" t="s">
        <v>1793</v>
      </c>
      <c r="H780" s="31" t="s">
        <v>250</v>
      </c>
      <c r="I780" s="9"/>
      <c r="J780" s="9"/>
      <c r="K780" s="9"/>
      <c r="L780" s="9"/>
      <c r="M780" s="15"/>
      <c r="N780" s="15"/>
      <c r="O780" s="15"/>
      <c r="P780" s="15"/>
      <c r="Q780" s="15"/>
      <c r="R780" s="15"/>
      <c r="S780" s="15"/>
      <c r="T780" s="15"/>
      <c r="U780" s="15"/>
      <c r="V780" s="15"/>
      <c r="W780" s="15"/>
      <c r="X780" s="15"/>
      <c r="Y780" s="15"/>
      <c r="Z780" s="15"/>
      <c r="AA780" s="15"/>
      <c r="AB780" s="15"/>
      <c r="AC780" s="15"/>
      <c r="AD780" s="15"/>
      <c r="AE780" s="15"/>
      <c r="AF780" s="15"/>
      <c r="AG780" s="15"/>
      <c r="AH780" s="15"/>
    </row>
    <row r="781" ht="15.75" customHeight="1">
      <c r="E781" s="8" t="s">
        <v>178</v>
      </c>
      <c r="F781" s="8" t="s">
        <v>209</v>
      </c>
      <c r="G781" s="34" t="s">
        <v>1794</v>
      </c>
      <c r="H781" s="31" t="s">
        <v>209</v>
      </c>
      <c r="I781" s="9"/>
      <c r="J781" s="9"/>
      <c r="K781" s="9"/>
      <c r="L781" s="9"/>
      <c r="M781" s="15"/>
      <c r="N781" s="15"/>
      <c r="O781" s="15"/>
      <c r="P781" s="15"/>
      <c r="Q781" s="15"/>
      <c r="R781" s="15"/>
      <c r="S781" s="15"/>
      <c r="T781" s="15"/>
      <c r="U781" s="15"/>
      <c r="V781" s="15"/>
      <c r="W781" s="15"/>
      <c r="X781" s="15"/>
      <c r="Y781" s="15"/>
      <c r="Z781" s="15"/>
      <c r="AA781" s="15"/>
      <c r="AB781" s="15"/>
      <c r="AC781" s="15"/>
      <c r="AD781" s="15"/>
      <c r="AE781" s="15"/>
      <c r="AF781" s="15"/>
      <c r="AG781" s="15"/>
      <c r="AH781" s="15"/>
    </row>
    <row r="782" ht="15.75" customHeight="1">
      <c r="E782" s="8" t="s">
        <v>178</v>
      </c>
      <c r="F782" s="8" t="s">
        <v>210</v>
      </c>
      <c r="G782" s="34" t="s">
        <v>1795</v>
      </c>
      <c r="H782" s="31" t="s">
        <v>210</v>
      </c>
      <c r="I782" s="9"/>
      <c r="J782" s="9"/>
      <c r="K782" s="9"/>
      <c r="L782" s="9"/>
      <c r="M782" s="15"/>
      <c r="N782" s="15"/>
      <c r="O782" s="15"/>
      <c r="P782" s="15"/>
      <c r="Q782" s="15"/>
      <c r="R782" s="15"/>
      <c r="S782" s="15"/>
      <c r="T782" s="15"/>
      <c r="U782" s="15"/>
      <c r="V782" s="15"/>
      <c r="W782" s="15"/>
      <c r="X782" s="15"/>
      <c r="Y782" s="15"/>
      <c r="Z782" s="15"/>
      <c r="AA782" s="15"/>
      <c r="AB782" s="15"/>
      <c r="AC782" s="15"/>
      <c r="AD782" s="15"/>
      <c r="AE782" s="15"/>
      <c r="AF782" s="15"/>
      <c r="AG782" s="15"/>
      <c r="AH782" s="15"/>
    </row>
    <row r="783" ht="15.75" customHeight="1">
      <c r="E783" s="8" t="s">
        <v>88</v>
      </c>
      <c r="F783" s="8" t="s">
        <v>89</v>
      </c>
      <c r="G783" s="29"/>
      <c r="H783" s="31"/>
      <c r="I783" s="9"/>
      <c r="J783" s="9"/>
      <c r="K783" s="9"/>
      <c r="L783" s="9"/>
      <c r="M783" s="15"/>
      <c r="N783" s="15"/>
      <c r="O783" s="15"/>
      <c r="P783" s="15"/>
      <c r="Q783" s="15"/>
      <c r="R783" s="15"/>
      <c r="S783" s="15"/>
      <c r="T783" s="15"/>
      <c r="U783" s="15"/>
      <c r="V783" s="15"/>
      <c r="W783" s="15"/>
      <c r="X783" s="15"/>
      <c r="Y783" s="15"/>
      <c r="Z783" s="15"/>
      <c r="AA783" s="15"/>
      <c r="AB783" s="15"/>
      <c r="AC783" s="15"/>
      <c r="AD783" s="15"/>
      <c r="AE783" s="15"/>
      <c r="AF783" s="15"/>
      <c r="AG783" s="15"/>
      <c r="AH783" s="15"/>
    </row>
    <row r="784" ht="15.75" customHeight="1">
      <c r="E784" s="8" t="s">
        <v>88</v>
      </c>
      <c r="F784" s="8" t="s">
        <v>795</v>
      </c>
      <c r="G784" s="29"/>
      <c r="H784" s="31"/>
      <c r="I784" s="9"/>
      <c r="J784" s="9"/>
      <c r="K784" s="9"/>
      <c r="L784" s="9"/>
      <c r="M784" s="15"/>
      <c r="N784" s="15"/>
      <c r="O784" s="15"/>
      <c r="P784" s="15"/>
      <c r="Q784" s="15"/>
      <c r="R784" s="15"/>
      <c r="S784" s="15"/>
      <c r="T784" s="15"/>
      <c r="U784" s="15"/>
      <c r="V784" s="15"/>
      <c r="W784" s="15"/>
      <c r="X784" s="15"/>
      <c r="Y784" s="15"/>
      <c r="Z784" s="15"/>
      <c r="AA784" s="15"/>
      <c r="AB784" s="15"/>
      <c r="AC784" s="15"/>
      <c r="AD784" s="15"/>
      <c r="AE784" s="15"/>
      <c r="AF784" s="15"/>
      <c r="AG784" s="15"/>
      <c r="AH784" s="15"/>
    </row>
    <row r="785" ht="15.75" customHeight="1">
      <c r="A785" s="32" t="s">
        <v>5</v>
      </c>
      <c r="B785" s="56" t="s">
        <v>1796</v>
      </c>
      <c r="C785" s="175" t="s">
        <v>1797</v>
      </c>
      <c r="D785" s="83" t="s">
        <v>20</v>
      </c>
      <c r="E785" s="28" t="s">
        <v>88</v>
      </c>
      <c r="F785" s="8" t="s">
        <v>89</v>
      </c>
      <c r="G785" s="29"/>
      <c r="H785" s="31"/>
      <c r="I785" s="31"/>
      <c r="J785" s="9"/>
      <c r="K785" s="9"/>
      <c r="L785" s="9"/>
      <c r="M785" s="15"/>
      <c r="N785" s="15"/>
      <c r="O785" s="15"/>
      <c r="P785" s="15"/>
      <c r="Q785" s="15"/>
      <c r="R785" s="15"/>
      <c r="S785" s="15"/>
      <c r="T785" s="15"/>
      <c r="U785" s="15"/>
      <c r="V785" s="15"/>
      <c r="W785" s="15"/>
      <c r="X785" s="15"/>
      <c r="Y785" s="15"/>
      <c r="Z785" s="15"/>
      <c r="AA785" s="15"/>
      <c r="AB785" s="15"/>
      <c r="AC785" s="15"/>
      <c r="AD785" s="15"/>
      <c r="AE785" s="15"/>
      <c r="AF785" s="15"/>
      <c r="AG785" s="15"/>
      <c r="AH785" s="15"/>
    </row>
    <row r="786" ht="15.75" customHeight="1">
      <c r="A786" s="32" t="s">
        <v>5</v>
      </c>
      <c r="E786" s="28" t="s">
        <v>21</v>
      </c>
      <c r="F786" s="8" t="s">
        <v>51</v>
      </c>
      <c r="G786" s="34" t="s">
        <v>1798</v>
      </c>
      <c r="H786" s="31" t="s">
        <v>51</v>
      </c>
      <c r="I786" s="31"/>
      <c r="J786" s="9"/>
      <c r="K786" s="9"/>
      <c r="L786" s="9"/>
      <c r="M786" s="15"/>
      <c r="N786" s="15"/>
      <c r="O786" s="15"/>
      <c r="P786" s="15"/>
      <c r="Q786" s="15"/>
      <c r="R786" s="15"/>
      <c r="S786" s="15"/>
      <c r="T786" s="15"/>
      <c r="U786" s="15"/>
      <c r="V786" s="15"/>
      <c r="W786" s="15"/>
      <c r="X786" s="15"/>
      <c r="Y786" s="15"/>
      <c r="Z786" s="15"/>
      <c r="AA786" s="15"/>
      <c r="AB786" s="15"/>
      <c r="AC786" s="15"/>
      <c r="AD786" s="15"/>
      <c r="AE786" s="15"/>
      <c r="AF786" s="15"/>
      <c r="AG786" s="15"/>
      <c r="AH786" s="15"/>
    </row>
    <row r="787" ht="15.75" customHeight="1">
      <c r="A787" s="32" t="s">
        <v>5</v>
      </c>
      <c r="E787" s="28" t="s">
        <v>88</v>
      </c>
      <c r="F787" s="8" t="s">
        <v>154</v>
      </c>
      <c r="G787" s="34" t="s">
        <v>1799</v>
      </c>
      <c r="H787" s="31" t="s">
        <v>154</v>
      </c>
      <c r="I787" s="9"/>
      <c r="J787" s="9"/>
      <c r="K787" s="9"/>
      <c r="L787" s="9"/>
      <c r="M787" s="15"/>
      <c r="N787" s="15"/>
      <c r="O787" s="15"/>
      <c r="P787" s="15"/>
      <c r="Q787" s="15"/>
      <c r="R787" s="15"/>
      <c r="S787" s="15"/>
      <c r="T787" s="15"/>
      <c r="U787" s="15"/>
      <c r="V787" s="15"/>
      <c r="W787" s="15"/>
      <c r="X787" s="15"/>
      <c r="Y787" s="15"/>
      <c r="Z787" s="15"/>
      <c r="AA787" s="15"/>
      <c r="AB787" s="15"/>
      <c r="AC787" s="15"/>
      <c r="AD787" s="15"/>
      <c r="AE787" s="15"/>
      <c r="AF787" s="15"/>
      <c r="AG787" s="15"/>
      <c r="AH787" s="15"/>
    </row>
    <row r="788" ht="15.75" customHeight="1">
      <c r="A788" s="32" t="s">
        <v>5</v>
      </c>
      <c r="E788" s="8" t="s">
        <v>88</v>
      </c>
      <c r="F788" s="8" t="s">
        <v>120</v>
      </c>
      <c r="G788" s="34" t="s">
        <v>1800</v>
      </c>
      <c r="H788" s="31" t="s">
        <v>120</v>
      </c>
      <c r="I788" s="9"/>
      <c r="J788" s="9"/>
      <c r="K788" s="9"/>
      <c r="L788" s="9"/>
      <c r="M788" s="15"/>
      <c r="N788" s="15"/>
      <c r="O788" s="15"/>
      <c r="P788" s="15"/>
      <c r="Q788" s="15"/>
      <c r="R788" s="15"/>
      <c r="S788" s="15"/>
      <c r="T788" s="15"/>
      <c r="U788" s="15"/>
      <c r="V788" s="15"/>
      <c r="W788" s="15"/>
      <c r="X788" s="15"/>
      <c r="Y788" s="15"/>
      <c r="Z788" s="15"/>
      <c r="AA788" s="15"/>
      <c r="AB788" s="15"/>
      <c r="AC788" s="15"/>
      <c r="AD788" s="15"/>
      <c r="AE788" s="15"/>
      <c r="AF788" s="15"/>
      <c r="AG788" s="15"/>
      <c r="AH788" s="15"/>
    </row>
    <row r="789" ht="15.75" customHeight="1">
      <c r="A789" s="32" t="s">
        <v>5</v>
      </c>
      <c r="E789" s="8" t="s">
        <v>88</v>
      </c>
      <c r="F789" s="8" t="s">
        <v>246</v>
      </c>
      <c r="G789" s="34" t="s">
        <v>1801</v>
      </c>
      <c r="H789" s="31" t="s">
        <v>246</v>
      </c>
      <c r="I789" s="9"/>
      <c r="J789" s="9"/>
      <c r="K789" s="9"/>
      <c r="L789" s="9"/>
      <c r="M789" s="15"/>
      <c r="N789" s="15"/>
      <c r="O789" s="15"/>
      <c r="P789" s="15"/>
      <c r="Q789" s="15"/>
      <c r="R789" s="15"/>
      <c r="S789" s="15"/>
      <c r="T789" s="15"/>
      <c r="U789" s="15"/>
      <c r="V789" s="15"/>
      <c r="W789" s="15"/>
      <c r="X789" s="15"/>
      <c r="Y789" s="15"/>
      <c r="Z789" s="15"/>
      <c r="AA789" s="15"/>
      <c r="AB789" s="15"/>
      <c r="AC789" s="15"/>
      <c r="AD789" s="15"/>
      <c r="AE789" s="15"/>
      <c r="AF789" s="15"/>
      <c r="AG789" s="15"/>
      <c r="AH789" s="15"/>
    </row>
    <row r="790" ht="15.75" customHeight="1">
      <c r="A790" s="32" t="s">
        <v>5</v>
      </c>
      <c r="E790" s="8" t="s">
        <v>88</v>
      </c>
      <c r="F790" s="8" t="s">
        <v>247</v>
      </c>
      <c r="G790" s="29"/>
      <c r="H790" s="31"/>
      <c r="I790" s="9"/>
      <c r="J790" s="9"/>
      <c r="K790" s="9"/>
      <c r="L790" s="9"/>
      <c r="M790" s="15"/>
      <c r="N790" s="15"/>
      <c r="O790" s="15"/>
      <c r="P790" s="15"/>
      <c r="Q790" s="15"/>
      <c r="R790" s="15"/>
      <c r="S790" s="15"/>
      <c r="T790" s="15"/>
      <c r="U790" s="15"/>
      <c r="V790" s="15"/>
      <c r="W790" s="15"/>
      <c r="X790" s="15"/>
      <c r="Y790" s="15"/>
      <c r="Z790" s="15"/>
      <c r="AA790" s="15"/>
      <c r="AB790" s="15"/>
      <c r="AC790" s="15"/>
      <c r="AD790" s="15"/>
      <c r="AE790" s="15"/>
      <c r="AF790" s="15"/>
      <c r="AG790" s="15"/>
      <c r="AH790" s="15"/>
    </row>
    <row r="791" ht="15.75" customHeight="1">
      <c r="A791" s="32" t="s">
        <v>5</v>
      </c>
      <c r="E791" s="8" t="s">
        <v>88</v>
      </c>
      <c r="F791" s="8" t="s">
        <v>95</v>
      </c>
      <c r="G791" s="34" t="s">
        <v>1802</v>
      </c>
      <c r="H791" s="31" t="s">
        <v>95</v>
      </c>
      <c r="I791" s="9"/>
      <c r="J791" s="9"/>
      <c r="K791" s="9"/>
      <c r="L791" s="9"/>
      <c r="M791" s="15"/>
      <c r="N791" s="15"/>
      <c r="O791" s="15"/>
      <c r="P791" s="15"/>
      <c r="Q791" s="15"/>
      <c r="R791" s="15"/>
      <c r="S791" s="15"/>
      <c r="T791" s="15"/>
      <c r="U791" s="15"/>
      <c r="V791" s="15"/>
      <c r="W791" s="15"/>
      <c r="X791" s="15"/>
      <c r="Y791" s="15"/>
      <c r="Z791" s="15"/>
      <c r="AA791" s="15"/>
      <c r="AB791" s="15"/>
      <c r="AC791" s="15"/>
      <c r="AD791" s="15"/>
      <c r="AE791" s="15"/>
      <c r="AF791" s="15"/>
      <c r="AG791" s="15"/>
      <c r="AH791" s="15"/>
    </row>
    <row r="792" ht="15.75" customHeight="1">
      <c r="A792" s="32" t="s">
        <v>5</v>
      </c>
      <c r="E792" s="8" t="s">
        <v>88</v>
      </c>
      <c r="F792" s="8" t="s">
        <v>96</v>
      </c>
      <c r="G792" s="34" t="s">
        <v>1803</v>
      </c>
      <c r="H792" s="31" t="s">
        <v>96</v>
      </c>
      <c r="I792" s="9"/>
      <c r="J792" s="9"/>
      <c r="K792" s="9"/>
      <c r="L792" s="9"/>
      <c r="M792" s="15"/>
      <c r="N792" s="15"/>
      <c r="O792" s="15"/>
      <c r="P792" s="15"/>
      <c r="Q792" s="15"/>
      <c r="R792" s="15"/>
      <c r="S792" s="15"/>
      <c r="T792" s="15"/>
      <c r="U792" s="15"/>
      <c r="V792" s="15"/>
      <c r="W792" s="15"/>
      <c r="X792" s="15"/>
      <c r="Y792" s="15"/>
      <c r="Z792" s="15"/>
      <c r="AA792" s="15"/>
      <c r="AB792" s="15"/>
      <c r="AC792" s="15"/>
      <c r="AD792" s="15"/>
      <c r="AE792" s="15"/>
      <c r="AF792" s="15"/>
      <c r="AG792" s="15"/>
      <c r="AH792" s="15"/>
    </row>
    <row r="793" ht="15.75" customHeight="1">
      <c r="A793" s="32" t="s">
        <v>5</v>
      </c>
      <c r="E793" s="8" t="s">
        <v>86</v>
      </c>
      <c r="F793" s="8" t="s">
        <v>90</v>
      </c>
      <c r="G793" s="34" t="s">
        <v>1804</v>
      </c>
      <c r="H793" s="31" t="s">
        <v>90</v>
      </c>
      <c r="I793" s="9"/>
      <c r="J793" s="9"/>
      <c r="K793" s="9"/>
      <c r="L793" s="9"/>
      <c r="M793" s="15"/>
      <c r="N793" s="15"/>
      <c r="O793" s="15"/>
      <c r="P793" s="15"/>
      <c r="Q793" s="15"/>
      <c r="R793" s="15"/>
      <c r="S793" s="15"/>
      <c r="T793" s="15"/>
      <c r="U793" s="15"/>
      <c r="V793" s="15"/>
      <c r="W793" s="15"/>
      <c r="X793" s="15"/>
      <c r="Y793" s="15"/>
      <c r="Z793" s="15"/>
      <c r="AA793" s="15"/>
      <c r="AB793" s="15"/>
      <c r="AC793" s="15"/>
      <c r="AD793" s="15"/>
      <c r="AE793" s="15"/>
      <c r="AF793" s="15"/>
      <c r="AG793" s="15"/>
      <c r="AH793" s="15"/>
    </row>
    <row r="794" ht="15.75" customHeight="1">
      <c r="A794" s="32" t="s">
        <v>5</v>
      </c>
      <c r="E794" s="8" t="s">
        <v>86</v>
      </c>
      <c r="F794" s="8" t="s">
        <v>91</v>
      </c>
      <c r="G794" s="34" t="s">
        <v>1805</v>
      </c>
      <c r="H794" s="31" t="s">
        <v>91</v>
      </c>
      <c r="I794" s="9"/>
      <c r="J794" s="9"/>
      <c r="K794" s="9"/>
      <c r="L794" s="9"/>
      <c r="M794" s="15"/>
      <c r="N794" s="15"/>
      <c r="O794" s="15"/>
      <c r="P794" s="15"/>
      <c r="Q794" s="15"/>
      <c r="R794" s="15"/>
      <c r="S794" s="15"/>
      <c r="T794" s="15"/>
      <c r="U794" s="15"/>
      <c r="V794" s="15"/>
      <c r="W794" s="15"/>
      <c r="X794" s="15"/>
      <c r="Y794" s="15"/>
      <c r="Z794" s="15"/>
      <c r="AA794" s="15"/>
      <c r="AB794" s="15"/>
      <c r="AC794" s="15"/>
      <c r="AD794" s="15"/>
      <c r="AE794" s="15"/>
      <c r="AF794" s="15"/>
      <c r="AG794" s="15"/>
      <c r="AH794" s="15"/>
    </row>
    <row r="795" ht="15.75" customHeight="1">
      <c r="A795" s="32" t="s">
        <v>5</v>
      </c>
      <c r="E795" s="8" t="s">
        <v>104</v>
      </c>
      <c r="F795" s="8" t="s">
        <v>250</v>
      </c>
      <c r="G795" s="34" t="s">
        <v>1806</v>
      </c>
      <c r="H795" s="31" t="s">
        <v>250</v>
      </c>
      <c r="I795" s="9"/>
      <c r="J795" s="9"/>
      <c r="K795" s="9"/>
      <c r="L795" s="9"/>
      <c r="M795" s="15"/>
      <c r="N795" s="15"/>
      <c r="O795" s="15"/>
      <c r="P795" s="15"/>
      <c r="Q795" s="15"/>
      <c r="R795" s="15"/>
      <c r="S795" s="15"/>
      <c r="T795" s="15"/>
      <c r="U795" s="15"/>
      <c r="V795" s="15"/>
      <c r="W795" s="15"/>
      <c r="X795" s="15"/>
      <c r="Y795" s="15"/>
      <c r="Z795" s="15"/>
      <c r="AA795" s="15"/>
      <c r="AB795" s="15"/>
      <c r="AC795" s="15"/>
      <c r="AD795" s="15"/>
      <c r="AE795" s="15"/>
      <c r="AF795" s="15"/>
      <c r="AG795" s="15"/>
      <c r="AH795" s="15"/>
    </row>
    <row r="796" ht="15.75" customHeight="1">
      <c r="A796" s="32" t="s">
        <v>5</v>
      </c>
      <c r="E796" s="8" t="s">
        <v>178</v>
      </c>
      <c r="F796" s="8" t="s">
        <v>209</v>
      </c>
      <c r="G796" s="34" t="s">
        <v>1807</v>
      </c>
      <c r="H796" s="31" t="s">
        <v>209</v>
      </c>
      <c r="I796" s="9"/>
      <c r="J796" s="9"/>
      <c r="K796" s="9"/>
      <c r="L796" s="9"/>
      <c r="M796" s="15"/>
      <c r="N796" s="15"/>
      <c r="O796" s="15"/>
      <c r="P796" s="15"/>
      <c r="Q796" s="15"/>
      <c r="R796" s="15"/>
      <c r="S796" s="15"/>
      <c r="T796" s="15"/>
      <c r="U796" s="15"/>
      <c r="V796" s="15"/>
      <c r="W796" s="15"/>
      <c r="X796" s="15"/>
      <c r="Y796" s="15"/>
      <c r="Z796" s="15"/>
      <c r="AA796" s="15"/>
      <c r="AB796" s="15"/>
      <c r="AC796" s="15"/>
      <c r="AD796" s="15"/>
      <c r="AE796" s="15"/>
      <c r="AF796" s="15"/>
      <c r="AG796" s="15"/>
      <c r="AH796" s="15"/>
    </row>
    <row r="797" ht="15.75" customHeight="1">
      <c r="A797" s="32" t="s">
        <v>5</v>
      </c>
      <c r="E797" s="8" t="s">
        <v>178</v>
      </c>
      <c r="F797" s="8" t="s">
        <v>210</v>
      </c>
      <c r="G797" s="34" t="s">
        <v>1808</v>
      </c>
      <c r="H797" s="31" t="s">
        <v>210</v>
      </c>
      <c r="I797" s="9"/>
      <c r="J797" s="9"/>
      <c r="K797" s="9"/>
      <c r="L797" s="9"/>
      <c r="M797" s="15"/>
      <c r="N797" s="15"/>
      <c r="O797" s="15"/>
      <c r="P797" s="15"/>
      <c r="Q797" s="15"/>
      <c r="R797" s="15"/>
      <c r="S797" s="15"/>
      <c r="T797" s="15"/>
      <c r="U797" s="15"/>
      <c r="V797" s="15"/>
      <c r="W797" s="15"/>
      <c r="X797" s="15"/>
      <c r="Y797" s="15"/>
      <c r="Z797" s="15"/>
      <c r="AA797" s="15"/>
      <c r="AB797" s="15"/>
      <c r="AC797" s="15"/>
      <c r="AD797" s="15"/>
      <c r="AE797" s="15"/>
      <c r="AF797" s="15"/>
      <c r="AG797" s="15"/>
      <c r="AH797" s="15"/>
    </row>
    <row r="798" ht="15.75" customHeight="1">
      <c r="A798" s="32" t="s">
        <v>5</v>
      </c>
      <c r="E798" s="8" t="s">
        <v>88</v>
      </c>
      <c r="F798" s="8" t="s">
        <v>89</v>
      </c>
      <c r="G798" s="29"/>
      <c r="H798" s="31"/>
      <c r="I798" s="9"/>
      <c r="J798" s="9"/>
      <c r="K798" s="9"/>
      <c r="L798" s="9"/>
      <c r="M798" s="15"/>
      <c r="N798" s="15"/>
      <c r="O798" s="15"/>
      <c r="P798" s="15"/>
      <c r="Q798" s="15"/>
      <c r="R798" s="15"/>
      <c r="S798" s="15"/>
      <c r="T798" s="15"/>
      <c r="U798" s="15"/>
      <c r="V798" s="15"/>
      <c r="W798" s="15"/>
      <c r="X798" s="15"/>
      <c r="Y798" s="15"/>
      <c r="Z798" s="15"/>
      <c r="AA798" s="15"/>
      <c r="AB798" s="15"/>
      <c r="AC798" s="15"/>
      <c r="AD798" s="15"/>
      <c r="AE798" s="15"/>
      <c r="AF798" s="15"/>
      <c r="AG798" s="15"/>
      <c r="AH798" s="15"/>
    </row>
    <row r="799" ht="15.75" customHeight="1">
      <c r="A799" s="32" t="s">
        <v>5</v>
      </c>
      <c r="E799" s="28" t="s">
        <v>88</v>
      </c>
      <c r="F799" s="8" t="s">
        <v>795</v>
      </c>
      <c r="G799" s="29"/>
      <c r="H799" s="31"/>
      <c r="I799" s="31"/>
      <c r="J799" s="9"/>
      <c r="K799" s="9"/>
      <c r="L799" s="9"/>
      <c r="M799" s="15"/>
      <c r="N799" s="15"/>
      <c r="O799" s="15"/>
      <c r="P799" s="15"/>
      <c r="Q799" s="15"/>
      <c r="R799" s="15"/>
      <c r="S799" s="15"/>
      <c r="T799" s="15"/>
      <c r="U799" s="15"/>
      <c r="V799" s="15"/>
      <c r="W799" s="15"/>
      <c r="X799" s="15"/>
      <c r="Y799" s="15"/>
      <c r="Z799" s="15"/>
      <c r="AA799" s="15"/>
      <c r="AB799" s="15"/>
      <c r="AC799" s="15"/>
      <c r="AD799" s="15"/>
      <c r="AE799" s="15"/>
      <c r="AF799" s="15"/>
      <c r="AG799" s="15"/>
      <c r="AH799" s="15"/>
    </row>
    <row r="800" ht="15.75" customHeight="1">
      <c r="A800" s="8" t="s">
        <v>5</v>
      </c>
      <c r="B800" s="195" t="s">
        <v>1809</v>
      </c>
      <c r="C800" s="87" t="s">
        <v>1810</v>
      </c>
      <c r="D800" s="8" t="s">
        <v>20</v>
      </c>
      <c r="E800" s="8" t="s">
        <v>88</v>
      </c>
      <c r="F800" s="8" t="s">
        <v>89</v>
      </c>
      <c r="G800" s="34" t="s">
        <v>1811</v>
      </c>
      <c r="H800" s="31" t="s">
        <v>89</v>
      </c>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row>
    <row r="801" ht="15.75" customHeight="1">
      <c r="A801" s="8" t="s">
        <v>5</v>
      </c>
      <c r="E801" s="8" t="s">
        <v>21</v>
      </c>
      <c r="F801" s="8" t="s">
        <v>22</v>
      </c>
      <c r="G801" s="34" t="s">
        <v>1812</v>
      </c>
      <c r="H801" s="31" t="s">
        <v>22</v>
      </c>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row>
    <row r="802" ht="15.75" customHeight="1">
      <c r="A802" s="8" t="s">
        <v>5</v>
      </c>
      <c r="E802" s="8" t="s">
        <v>43</v>
      </c>
      <c r="F802" s="8" t="s">
        <v>132</v>
      </c>
      <c r="G802" s="34" t="s">
        <v>1813</v>
      </c>
      <c r="H802" s="31" t="s">
        <v>132</v>
      </c>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row>
    <row r="803" ht="15.75" customHeight="1">
      <c r="A803" s="8" t="s">
        <v>5</v>
      </c>
      <c r="E803" s="8" t="s">
        <v>43</v>
      </c>
      <c r="F803" s="8" t="s">
        <v>109</v>
      </c>
      <c r="G803" s="34" t="s">
        <v>1814</v>
      </c>
      <c r="H803" s="31" t="s">
        <v>109</v>
      </c>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row>
    <row r="804" ht="15.75" customHeight="1">
      <c r="A804" s="8" t="s">
        <v>5</v>
      </c>
      <c r="E804" s="8" t="s">
        <v>21</v>
      </c>
      <c r="F804" s="8" t="s">
        <v>110</v>
      </c>
      <c r="G804" s="34" t="s">
        <v>1815</v>
      </c>
      <c r="H804" s="31" t="s">
        <v>110</v>
      </c>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row>
    <row r="805" ht="15.75" customHeight="1">
      <c r="A805" s="8" t="s">
        <v>5</v>
      </c>
      <c r="E805" s="8" t="s">
        <v>88</v>
      </c>
      <c r="F805" s="8" t="s">
        <v>122</v>
      </c>
      <c r="G805" s="34" t="s">
        <v>1816</v>
      </c>
      <c r="H805" s="31" t="s">
        <v>122</v>
      </c>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row>
    <row r="806" ht="15.75" customHeight="1">
      <c r="A806" s="8" t="s">
        <v>5</v>
      </c>
      <c r="E806" s="8" t="s">
        <v>88</v>
      </c>
      <c r="F806" s="8" t="s">
        <v>154</v>
      </c>
      <c r="G806" s="34" t="s">
        <v>1817</v>
      </c>
      <c r="H806" s="31" t="s">
        <v>154</v>
      </c>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row>
    <row r="807" ht="15.75" customHeight="1">
      <c r="A807" s="8" t="s">
        <v>5</v>
      </c>
      <c r="E807" s="8" t="s">
        <v>88</v>
      </c>
      <c r="F807" s="8" t="s">
        <v>154</v>
      </c>
      <c r="G807" s="34" t="s">
        <v>1818</v>
      </c>
      <c r="H807" s="31" t="s">
        <v>1819</v>
      </c>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row>
    <row r="808" ht="15.75" customHeight="1">
      <c r="A808" s="8" t="s">
        <v>5</v>
      </c>
      <c r="E808" s="8" t="s">
        <v>88</v>
      </c>
      <c r="F808" s="8" t="s">
        <v>120</v>
      </c>
      <c r="G808" s="34" t="s">
        <v>1820</v>
      </c>
      <c r="H808" s="31" t="s">
        <v>120</v>
      </c>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row>
    <row r="809" ht="15.75" customHeight="1">
      <c r="A809" s="8" t="s">
        <v>5</v>
      </c>
      <c r="E809" s="8" t="s">
        <v>88</v>
      </c>
      <c r="F809" s="8" t="s">
        <v>121</v>
      </c>
      <c r="G809" s="34" t="s">
        <v>1821</v>
      </c>
      <c r="H809" s="31" t="s">
        <v>121</v>
      </c>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row>
    <row r="810" ht="15.75" customHeight="1">
      <c r="A810" s="8" t="s">
        <v>5</v>
      </c>
      <c r="E810" s="8" t="s">
        <v>88</v>
      </c>
      <c r="F810" s="8" t="s">
        <v>122</v>
      </c>
      <c r="G810" s="34" t="s">
        <v>1822</v>
      </c>
      <c r="H810" s="31" t="s">
        <v>1531</v>
      </c>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row>
    <row r="811" ht="15.75" customHeight="1">
      <c r="A811" s="8" t="s">
        <v>5</v>
      </c>
      <c r="E811" s="8" t="s">
        <v>88</v>
      </c>
      <c r="F811" s="8" t="s">
        <v>120</v>
      </c>
      <c r="G811" s="34" t="s">
        <v>1823</v>
      </c>
      <c r="H811" s="31" t="s">
        <v>1824</v>
      </c>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row>
    <row r="812" ht="15.75" customHeight="1">
      <c r="A812" s="8" t="s">
        <v>5</v>
      </c>
      <c r="E812" s="8" t="s">
        <v>88</v>
      </c>
      <c r="F812" s="8" t="s">
        <v>544</v>
      </c>
      <c r="G812" s="34" t="s">
        <v>1825</v>
      </c>
      <c r="H812" s="31" t="s">
        <v>544</v>
      </c>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row>
    <row r="813" ht="15.75" customHeight="1">
      <c r="A813" s="8" t="s">
        <v>5</v>
      </c>
      <c r="E813" s="8" t="s">
        <v>88</v>
      </c>
      <c r="F813" s="8" t="s">
        <v>246</v>
      </c>
      <c r="G813" s="34" t="s">
        <v>1826</v>
      </c>
      <c r="H813" s="31" t="s">
        <v>246</v>
      </c>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row>
    <row r="814" ht="15.75" customHeight="1">
      <c r="A814" s="8" t="s">
        <v>5</v>
      </c>
      <c r="E814" s="8" t="s">
        <v>88</v>
      </c>
      <c r="F814" s="8" t="s">
        <v>247</v>
      </c>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row>
    <row r="815" ht="15.75" customHeight="1">
      <c r="A815" s="8" t="s">
        <v>5</v>
      </c>
      <c r="E815" s="8" t="s">
        <v>88</v>
      </c>
      <c r="F815" s="8" t="s">
        <v>96</v>
      </c>
      <c r="G815" s="34" t="s">
        <v>1827</v>
      </c>
      <c r="H815" s="31" t="s">
        <v>96</v>
      </c>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row>
    <row r="816" ht="15.75" customHeight="1">
      <c r="A816" s="8" t="s">
        <v>5</v>
      </c>
      <c r="E816" s="8" t="s">
        <v>86</v>
      </c>
      <c r="F816" s="8" t="s">
        <v>90</v>
      </c>
      <c r="G816" s="34" t="s">
        <v>1828</v>
      </c>
      <c r="H816" s="31" t="s">
        <v>90</v>
      </c>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row>
    <row r="817" ht="15.75" customHeight="1">
      <c r="A817" s="8" t="s">
        <v>5</v>
      </c>
      <c r="E817" s="8" t="s">
        <v>86</v>
      </c>
      <c r="F817" s="8" t="s">
        <v>91</v>
      </c>
      <c r="G817" s="34" t="s">
        <v>1829</v>
      </c>
      <c r="H817" s="31" t="s">
        <v>91</v>
      </c>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row>
    <row r="818" ht="15.75" customHeight="1">
      <c r="A818" s="8" t="s">
        <v>5</v>
      </c>
      <c r="E818" s="8" t="s">
        <v>88</v>
      </c>
      <c r="F818" s="8" t="s">
        <v>125</v>
      </c>
      <c r="G818" s="34" t="s">
        <v>1830</v>
      </c>
      <c r="H818" s="31" t="s">
        <v>125</v>
      </c>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row>
    <row r="819" ht="15.75" customHeight="1">
      <c r="A819" s="8" t="s">
        <v>5</v>
      </c>
      <c r="E819" s="8" t="s">
        <v>88</v>
      </c>
      <c r="F819" s="8" t="s">
        <v>126</v>
      </c>
      <c r="G819" s="34" t="s">
        <v>1831</v>
      </c>
      <c r="H819" s="31" t="s">
        <v>126</v>
      </c>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row>
    <row r="820" ht="15.75" customHeight="1">
      <c r="A820" s="8" t="s">
        <v>5</v>
      </c>
      <c r="E820" s="8" t="s">
        <v>88</v>
      </c>
      <c r="F820" s="8" t="s">
        <v>96</v>
      </c>
      <c r="G820" s="34" t="s">
        <v>1832</v>
      </c>
      <c r="H820" s="31" t="s">
        <v>337</v>
      </c>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row>
    <row r="821" ht="15.75" customHeight="1">
      <c r="A821" s="8" t="s">
        <v>5</v>
      </c>
      <c r="E821" s="8" t="s">
        <v>86</v>
      </c>
      <c r="F821" s="8" t="s">
        <v>90</v>
      </c>
      <c r="G821" s="34" t="s">
        <v>1828</v>
      </c>
      <c r="H821" s="31" t="s">
        <v>90</v>
      </c>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row>
    <row r="822" ht="15.75" customHeight="1">
      <c r="A822" s="8" t="s">
        <v>5</v>
      </c>
      <c r="E822" s="8" t="s">
        <v>86</v>
      </c>
      <c r="F822" s="8" t="s">
        <v>91</v>
      </c>
      <c r="G822" s="34" t="s">
        <v>1833</v>
      </c>
      <c r="H822" s="31" t="s">
        <v>1834</v>
      </c>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row>
    <row r="823" ht="15.75" customHeight="1">
      <c r="A823" s="8" t="s">
        <v>5</v>
      </c>
      <c r="B823" s="195" t="s">
        <v>1835</v>
      </c>
      <c r="C823" s="196" t="s">
        <v>1836</v>
      </c>
      <c r="D823" s="8" t="s">
        <v>20</v>
      </c>
      <c r="E823" s="8" t="s">
        <v>88</v>
      </c>
      <c r="F823" s="8" t="s">
        <v>89</v>
      </c>
      <c r="G823" s="34" t="s">
        <v>1837</v>
      </c>
      <c r="H823" s="31" t="s">
        <v>89</v>
      </c>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row>
    <row r="824" ht="15.75" customHeight="1">
      <c r="A824" s="8" t="s">
        <v>5</v>
      </c>
      <c r="E824" s="8" t="s">
        <v>21</v>
      </c>
      <c r="F824" s="8" t="s">
        <v>51</v>
      </c>
      <c r="G824" s="34" t="s">
        <v>1838</v>
      </c>
      <c r="H824" s="31" t="s">
        <v>51</v>
      </c>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row>
    <row r="825" ht="15.75" customHeight="1">
      <c r="A825" s="8" t="s">
        <v>5</v>
      </c>
      <c r="E825" s="8" t="s">
        <v>88</v>
      </c>
      <c r="F825" s="8" t="s">
        <v>122</v>
      </c>
      <c r="G825" s="34" t="s">
        <v>1839</v>
      </c>
      <c r="H825" s="31" t="s">
        <v>122</v>
      </c>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row>
    <row r="826" ht="15.75" customHeight="1">
      <c r="A826" s="8" t="s">
        <v>5</v>
      </c>
      <c r="E826" s="8" t="s">
        <v>88</v>
      </c>
      <c r="F826" s="8" t="s">
        <v>154</v>
      </c>
      <c r="G826" s="34" t="s">
        <v>1840</v>
      </c>
      <c r="H826" s="31" t="s">
        <v>154</v>
      </c>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row>
    <row r="827" ht="15.75" customHeight="1">
      <c r="A827" s="8" t="s">
        <v>5</v>
      </c>
      <c r="E827" s="8" t="s">
        <v>88</v>
      </c>
      <c r="F827" s="8" t="s">
        <v>120</v>
      </c>
      <c r="G827" s="34" t="s">
        <v>1841</v>
      </c>
      <c r="H827" s="31" t="s">
        <v>120</v>
      </c>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row>
    <row r="828" ht="15.75" customHeight="1">
      <c r="A828" s="8" t="s">
        <v>5</v>
      </c>
      <c r="E828" s="8" t="s">
        <v>88</v>
      </c>
      <c r="F828" s="8" t="s">
        <v>121</v>
      </c>
      <c r="G828" s="34" t="s">
        <v>1842</v>
      </c>
      <c r="H828" s="31" t="s">
        <v>121</v>
      </c>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row>
    <row r="829" ht="15.75" customHeight="1">
      <c r="A829" s="8" t="s">
        <v>5</v>
      </c>
      <c r="E829" s="8" t="s">
        <v>88</v>
      </c>
      <c r="F829" s="8" t="s">
        <v>122</v>
      </c>
      <c r="G829" s="34" t="s">
        <v>1843</v>
      </c>
      <c r="H829" s="31" t="s">
        <v>1531</v>
      </c>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row>
    <row r="830" ht="15.75" customHeight="1">
      <c r="A830" s="8" t="s">
        <v>5</v>
      </c>
      <c r="E830" s="8" t="s">
        <v>88</v>
      </c>
      <c r="F830" s="8" t="s">
        <v>120</v>
      </c>
      <c r="G830" s="34" t="s">
        <v>1844</v>
      </c>
      <c r="H830" s="31" t="s">
        <v>1845</v>
      </c>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row>
    <row r="831" ht="15.75" customHeight="1">
      <c r="A831" s="8" t="s">
        <v>5</v>
      </c>
      <c r="E831" s="8" t="s">
        <v>88</v>
      </c>
      <c r="F831" s="8" t="s">
        <v>544</v>
      </c>
      <c r="G831" s="34" t="s">
        <v>1846</v>
      </c>
      <c r="H831" s="31" t="s">
        <v>544</v>
      </c>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row>
    <row r="832" ht="15.75" customHeight="1">
      <c r="A832" s="8" t="s">
        <v>5</v>
      </c>
      <c r="E832" s="8" t="s">
        <v>88</v>
      </c>
      <c r="F832" s="8" t="s">
        <v>246</v>
      </c>
      <c r="G832" s="34" t="s">
        <v>1847</v>
      </c>
      <c r="H832" s="31" t="s">
        <v>246</v>
      </c>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row>
    <row r="833" ht="15.75" customHeight="1">
      <c r="A833" s="8" t="s">
        <v>5</v>
      </c>
      <c r="E833" s="8" t="s">
        <v>88</v>
      </c>
      <c r="F833" s="8" t="s">
        <v>247</v>
      </c>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row>
    <row r="834" ht="15.75" customHeight="1">
      <c r="A834" s="8" t="s">
        <v>5</v>
      </c>
      <c r="E834" s="8" t="s">
        <v>88</v>
      </c>
      <c r="F834" s="8" t="s">
        <v>96</v>
      </c>
      <c r="G834" s="34" t="s">
        <v>1848</v>
      </c>
      <c r="H834" s="31" t="s">
        <v>96</v>
      </c>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row>
    <row r="835" ht="15.75" customHeight="1">
      <c r="A835" s="8" t="s">
        <v>5</v>
      </c>
      <c r="E835" s="8" t="s">
        <v>86</v>
      </c>
      <c r="F835" s="8" t="s">
        <v>90</v>
      </c>
      <c r="G835" s="34" t="s">
        <v>1849</v>
      </c>
      <c r="H835" s="31" t="s">
        <v>90</v>
      </c>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row>
    <row r="836" ht="15.75" customHeight="1">
      <c r="A836" s="8" t="s">
        <v>5</v>
      </c>
      <c r="E836" s="8" t="s">
        <v>86</v>
      </c>
      <c r="F836" s="8" t="s">
        <v>91</v>
      </c>
      <c r="G836" s="34" t="s">
        <v>1850</v>
      </c>
      <c r="H836" s="31" t="s">
        <v>91</v>
      </c>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row>
    <row r="837" ht="15.75" customHeight="1">
      <c r="A837" s="8" t="s">
        <v>5</v>
      </c>
      <c r="E837" s="8" t="s">
        <v>88</v>
      </c>
      <c r="F837" s="8" t="s">
        <v>125</v>
      </c>
      <c r="G837" s="34" t="s">
        <v>1851</v>
      </c>
      <c r="H837" s="31" t="s">
        <v>125</v>
      </c>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row>
    <row r="838" ht="15.75" customHeight="1">
      <c r="A838" s="8" t="s">
        <v>5</v>
      </c>
      <c r="E838" s="8" t="s">
        <v>88</v>
      </c>
      <c r="F838" s="8" t="s">
        <v>126</v>
      </c>
      <c r="G838" s="34" t="s">
        <v>1852</v>
      </c>
      <c r="H838" s="31" t="s">
        <v>126</v>
      </c>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row>
    <row r="839" ht="15.75" customHeight="1">
      <c r="A839" s="8" t="s">
        <v>5</v>
      </c>
      <c r="E839" s="8" t="s">
        <v>88</v>
      </c>
      <c r="F839" s="8" t="s">
        <v>96</v>
      </c>
      <c r="G839" s="34" t="s">
        <v>1853</v>
      </c>
      <c r="H839" s="31" t="s">
        <v>177</v>
      </c>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row>
    <row r="840" ht="15.75" customHeight="1">
      <c r="A840" s="8" t="s">
        <v>5</v>
      </c>
      <c r="E840" s="8" t="s">
        <v>86</v>
      </c>
      <c r="F840" s="8" t="s">
        <v>90</v>
      </c>
      <c r="G840" s="34" t="s">
        <v>1849</v>
      </c>
      <c r="H840" s="31" t="s">
        <v>90</v>
      </c>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row>
    <row r="841" ht="15.75" customHeight="1">
      <c r="A841" s="8" t="s">
        <v>5</v>
      </c>
      <c r="E841" s="8" t="s">
        <v>86</v>
      </c>
      <c r="F841" s="8" t="s">
        <v>91</v>
      </c>
      <c r="G841" s="34" t="s">
        <v>1850</v>
      </c>
      <c r="H841" s="31" t="s">
        <v>91</v>
      </c>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row>
    <row r="842" ht="15.75" customHeight="1">
      <c r="A842" s="8" t="s">
        <v>5</v>
      </c>
      <c r="B842" s="195" t="s">
        <v>1854</v>
      </c>
      <c r="C842" s="196" t="s">
        <v>1855</v>
      </c>
      <c r="D842" s="8" t="s">
        <v>20</v>
      </c>
      <c r="E842" s="8" t="s">
        <v>88</v>
      </c>
      <c r="F842" s="8" t="s">
        <v>89</v>
      </c>
      <c r="G842" s="34" t="s">
        <v>1856</v>
      </c>
      <c r="H842" s="31" t="s">
        <v>89</v>
      </c>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row>
    <row r="843" ht="15.75" customHeight="1">
      <c r="A843" s="8" t="s">
        <v>5</v>
      </c>
      <c r="E843" s="8" t="s">
        <v>21</v>
      </c>
      <c r="F843" s="8" t="s">
        <v>51</v>
      </c>
      <c r="G843" s="34" t="s">
        <v>1857</v>
      </c>
      <c r="H843" s="31" t="s">
        <v>51</v>
      </c>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row>
    <row r="844" ht="15.75" customHeight="1">
      <c r="A844" s="8" t="s">
        <v>5</v>
      </c>
      <c r="E844" s="8" t="s">
        <v>88</v>
      </c>
      <c r="F844" s="8" t="s">
        <v>95</v>
      </c>
      <c r="G844" s="34" t="s">
        <v>1858</v>
      </c>
      <c r="H844" s="31" t="s">
        <v>95</v>
      </c>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row>
    <row r="845" ht="15.75" customHeight="1">
      <c r="A845" s="8" t="s">
        <v>5</v>
      </c>
      <c r="E845" s="8" t="s">
        <v>88</v>
      </c>
      <c r="F845" s="8" t="s">
        <v>122</v>
      </c>
      <c r="G845" s="34" t="s">
        <v>1859</v>
      </c>
      <c r="H845" s="31" t="s">
        <v>122</v>
      </c>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row>
    <row r="846" ht="15.75" customHeight="1">
      <c r="A846" s="8" t="s">
        <v>5</v>
      </c>
      <c r="E846" s="8" t="s">
        <v>88</v>
      </c>
      <c r="F846" s="8" t="s">
        <v>154</v>
      </c>
      <c r="G846" s="34" t="s">
        <v>1860</v>
      </c>
      <c r="H846" s="31" t="s">
        <v>154</v>
      </c>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row>
    <row r="847" ht="15.75" customHeight="1">
      <c r="A847" s="8" t="s">
        <v>5</v>
      </c>
      <c r="E847" s="8" t="s">
        <v>88</v>
      </c>
      <c r="F847" s="8" t="s">
        <v>120</v>
      </c>
      <c r="G847" s="34" t="s">
        <v>1861</v>
      </c>
      <c r="H847" s="31" t="s">
        <v>120</v>
      </c>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row>
    <row r="848" ht="15.75" customHeight="1">
      <c r="A848" s="8" t="s">
        <v>5</v>
      </c>
      <c r="E848" s="8" t="s">
        <v>88</v>
      </c>
      <c r="F848" s="8" t="s">
        <v>121</v>
      </c>
      <c r="G848" s="34" t="s">
        <v>1862</v>
      </c>
      <c r="H848" s="31" t="s">
        <v>121</v>
      </c>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row>
    <row r="849" ht="15.75" customHeight="1">
      <c r="A849" s="8" t="s">
        <v>5</v>
      </c>
      <c r="E849" s="8" t="s">
        <v>88</v>
      </c>
      <c r="F849" s="8" t="s">
        <v>122</v>
      </c>
      <c r="G849" s="34" t="s">
        <v>1863</v>
      </c>
      <c r="H849" s="31" t="s">
        <v>1531</v>
      </c>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row>
    <row r="850" ht="15.75" customHeight="1">
      <c r="A850" s="8" t="s">
        <v>5</v>
      </c>
      <c r="E850" s="8" t="s">
        <v>88</v>
      </c>
      <c r="F850" s="8" t="s">
        <v>120</v>
      </c>
      <c r="G850" s="34" t="s">
        <v>1864</v>
      </c>
      <c r="H850" s="31" t="s">
        <v>1845</v>
      </c>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row>
    <row r="851" ht="15.75" customHeight="1">
      <c r="A851" s="8" t="s">
        <v>5</v>
      </c>
      <c r="E851" s="8" t="s">
        <v>88</v>
      </c>
      <c r="F851" s="8" t="s">
        <v>544</v>
      </c>
      <c r="G851" s="34" t="s">
        <v>1865</v>
      </c>
      <c r="H851" s="31" t="s">
        <v>544</v>
      </c>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row>
    <row r="852" ht="15.75" customHeight="1">
      <c r="A852" s="8" t="s">
        <v>5</v>
      </c>
      <c r="E852" s="8" t="s">
        <v>88</v>
      </c>
      <c r="F852" s="8" t="s">
        <v>246</v>
      </c>
      <c r="G852" s="34" t="s">
        <v>1866</v>
      </c>
      <c r="H852" s="31" t="s">
        <v>246</v>
      </c>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row>
    <row r="853" ht="15.75" customHeight="1">
      <c r="A853" s="8" t="s">
        <v>5</v>
      </c>
      <c r="E853" s="8" t="s">
        <v>88</v>
      </c>
      <c r="F853" s="8" t="s">
        <v>247</v>
      </c>
      <c r="G853" s="34"/>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row>
    <row r="854" ht="15.75" customHeight="1">
      <c r="A854" s="8" t="s">
        <v>5</v>
      </c>
      <c r="E854" s="8" t="s">
        <v>88</v>
      </c>
      <c r="F854" s="8" t="s">
        <v>96</v>
      </c>
      <c r="G854" s="34" t="s">
        <v>1867</v>
      </c>
      <c r="H854" s="31" t="s">
        <v>96</v>
      </c>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row>
    <row r="855" ht="15.75" customHeight="1">
      <c r="A855" s="8" t="s">
        <v>5</v>
      </c>
      <c r="E855" s="8" t="s">
        <v>86</v>
      </c>
      <c r="F855" s="8" t="s">
        <v>90</v>
      </c>
      <c r="G855" s="34" t="s">
        <v>1868</v>
      </c>
      <c r="H855" s="31" t="s">
        <v>90</v>
      </c>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row>
    <row r="856" ht="15.75" customHeight="1">
      <c r="A856" s="8" t="s">
        <v>5</v>
      </c>
      <c r="E856" s="8" t="s">
        <v>86</v>
      </c>
      <c r="F856" s="8" t="s">
        <v>91</v>
      </c>
      <c r="G856" s="34" t="s">
        <v>1869</v>
      </c>
      <c r="H856" s="31" t="s">
        <v>91</v>
      </c>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row>
    <row r="857" ht="15.75" customHeight="1">
      <c r="A857" s="8" t="s">
        <v>5</v>
      </c>
      <c r="E857" s="8" t="s">
        <v>88</v>
      </c>
      <c r="F857" s="8" t="s">
        <v>125</v>
      </c>
      <c r="G857" s="34" t="s">
        <v>1870</v>
      </c>
      <c r="H857" s="31" t="s">
        <v>125</v>
      </c>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row>
    <row r="858" ht="15.75" customHeight="1">
      <c r="A858" s="8" t="s">
        <v>5</v>
      </c>
      <c r="E858" s="8" t="s">
        <v>88</v>
      </c>
      <c r="F858" s="8" t="s">
        <v>126</v>
      </c>
      <c r="G858" s="34" t="s">
        <v>1871</v>
      </c>
      <c r="H858" s="31" t="s">
        <v>126</v>
      </c>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row>
    <row r="859" ht="15.75" customHeight="1">
      <c r="A859" s="8" t="s">
        <v>5</v>
      </c>
      <c r="E859" s="8" t="s">
        <v>88</v>
      </c>
      <c r="F859" s="8" t="s">
        <v>96</v>
      </c>
      <c r="G859" s="34" t="s">
        <v>1872</v>
      </c>
      <c r="H859" s="31" t="s">
        <v>177</v>
      </c>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row>
    <row r="860" ht="15.75" customHeight="1">
      <c r="A860" s="8" t="s">
        <v>5</v>
      </c>
      <c r="E860" s="8" t="s">
        <v>86</v>
      </c>
      <c r="F860" s="8" t="s">
        <v>90</v>
      </c>
      <c r="G860" s="34" t="s">
        <v>1868</v>
      </c>
      <c r="H860" s="31" t="s">
        <v>90</v>
      </c>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row>
    <row r="861" ht="15.75" customHeight="1">
      <c r="A861" s="8" t="s">
        <v>5</v>
      </c>
      <c r="E861" s="8" t="s">
        <v>86</v>
      </c>
      <c r="F861" s="8" t="s">
        <v>91</v>
      </c>
      <c r="G861" s="34" t="s">
        <v>1873</v>
      </c>
      <c r="H861" s="31" t="s">
        <v>1834</v>
      </c>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row>
    <row r="862" ht="15.75" customHeight="1">
      <c r="A862" s="8" t="s">
        <v>5</v>
      </c>
      <c r="B862" s="195" t="s">
        <v>1874</v>
      </c>
      <c r="C862" s="196" t="s">
        <v>1875</v>
      </c>
      <c r="D862" s="8" t="s">
        <v>20</v>
      </c>
      <c r="E862" s="8" t="s">
        <v>88</v>
      </c>
      <c r="F862" s="8" t="s">
        <v>89</v>
      </c>
      <c r="G862" s="34" t="s">
        <v>1876</v>
      </c>
      <c r="H862" s="31" t="s">
        <v>89</v>
      </c>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row>
    <row r="863" ht="15.75" customHeight="1">
      <c r="A863" s="8" t="s">
        <v>5</v>
      </c>
      <c r="E863" s="8" t="s">
        <v>21</v>
      </c>
      <c r="F863" s="8" t="s">
        <v>51</v>
      </c>
      <c r="G863" s="34" t="s">
        <v>1877</v>
      </c>
      <c r="H863" s="31" t="s">
        <v>51</v>
      </c>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row>
    <row r="864" ht="15.75" customHeight="1">
      <c r="A864" s="8" t="s">
        <v>5</v>
      </c>
      <c r="E864" s="8" t="s">
        <v>88</v>
      </c>
      <c r="F864" s="8" t="s">
        <v>95</v>
      </c>
      <c r="G864" s="34" t="s">
        <v>1878</v>
      </c>
      <c r="H864" s="31" t="s">
        <v>95</v>
      </c>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row>
    <row r="865" ht="15.75" customHeight="1">
      <c r="A865" s="8" t="s">
        <v>5</v>
      </c>
      <c r="E865" s="8" t="s">
        <v>88</v>
      </c>
      <c r="F865" s="8" t="s">
        <v>122</v>
      </c>
      <c r="G865" s="34" t="s">
        <v>1879</v>
      </c>
      <c r="H865" s="31" t="s">
        <v>122</v>
      </c>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row>
    <row r="866" ht="15.75" customHeight="1">
      <c r="A866" s="8" t="s">
        <v>5</v>
      </c>
      <c r="E866" s="8" t="s">
        <v>88</v>
      </c>
      <c r="F866" s="8" t="s">
        <v>154</v>
      </c>
      <c r="G866" s="34" t="s">
        <v>1880</v>
      </c>
      <c r="H866" s="31" t="s">
        <v>154</v>
      </c>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row>
    <row r="867" ht="15.75" customHeight="1">
      <c r="A867" s="8" t="s">
        <v>5</v>
      </c>
      <c r="E867" s="8" t="s">
        <v>88</v>
      </c>
      <c r="F867" s="8" t="s">
        <v>154</v>
      </c>
      <c r="G867" s="34" t="s">
        <v>1881</v>
      </c>
      <c r="H867" s="31" t="s">
        <v>1819</v>
      </c>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row>
    <row r="868" ht="15.75" customHeight="1">
      <c r="A868" s="8" t="s">
        <v>5</v>
      </c>
      <c r="E868" s="8" t="s">
        <v>88</v>
      </c>
      <c r="F868" s="8" t="s">
        <v>120</v>
      </c>
      <c r="G868" s="34" t="s">
        <v>1882</v>
      </c>
      <c r="H868" s="31" t="s">
        <v>120</v>
      </c>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row>
    <row r="869" ht="15.75" customHeight="1">
      <c r="A869" s="8" t="s">
        <v>5</v>
      </c>
      <c r="E869" s="8" t="s">
        <v>88</v>
      </c>
      <c r="F869" s="8" t="s">
        <v>121</v>
      </c>
      <c r="G869" s="34" t="s">
        <v>1883</v>
      </c>
      <c r="H869" s="31" t="s">
        <v>121</v>
      </c>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row>
    <row r="870" ht="15.75" customHeight="1">
      <c r="A870" s="8" t="s">
        <v>5</v>
      </c>
      <c r="E870" s="8" t="s">
        <v>88</v>
      </c>
      <c r="F870" s="8" t="s">
        <v>122</v>
      </c>
      <c r="G870" s="34" t="s">
        <v>1884</v>
      </c>
      <c r="H870" s="31" t="s">
        <v>1531</v>
      </c>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row>
    <row r="871" ht="15.75" customHeight="1">
      <c r="A871" s="8" t="s">
        <v>5</v>
      </c>
      <c r="E871" s="8" t="s">
        <v>88</v>
      </c>
      <c r="F871" s="8" t="s">
        <v>120</v>
      </c>
      <c r="G871" s="34" t="s">
        <v>1885</v>
      </c>
      <c r="H871" s="31" t="s">
        <v>1845</v>
      </c>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row>
    <row r="872" ht="15.75" customHeight="1">
      <c r="A872" s="8" t="s">
        <v>5</v>
      </c>
      <c r="E872" s="8" t="s">
        <v>88</v>
      </c>
      <c r="F872" s="8" t="s">
        <v>544</v>
      </c>
      <c r="G872" s="34" t="s">
        <v>1886</v>
      </c>
      <c r="H872" s="31" t="s">
        <v>544</v>
      </c>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row>
    <row r="873" ht="15.75" customHeight="1">
      <c r="A873" s="8" t="s">
        <v>5</v>
      </c>
      <c r="E873" s="8" t="s">
        <v>88</v>
      </c>
      <c r="F873" s="8" t="s">
        <v>246</v>
      </c>
      <c r="G873" s="34" t="s">
        <v>1887</v>
      </c>
      <c r="H873" s="31" t="s">
        <v>246</v>
      </c>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row>
    <row r="874" ht="15.75" customHeight="1">
      <c r="A874" s="8" t="s">
        <v>5</v>
      </c>
      <c r="E874" s="8" t="s">
        <v>88</v>
      </c>
      <c r="F874" s="8" t="s">
        <v>247</v>
      </c>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row>
    <row r="875" ht="15.75" customHeight="1">
      <c r="A875" s="8" t="s">
        <v>5</v>
      </c>
      <c r="E875" s="8" t="s">
        <v>88</v>
      </c>
      <c r="F875" s="8" t="s">
        <v>96</v>
      </c>
      <c r="G875" s="34" t="s">
        <v>1888</v>
      </c>
      <c r="H875" s="31" t="s">
        <v>96</v>
      </c>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row>
    <row r="876" ht="15.75" customHeight="1">
      <c r="A876" s="8" t="s">
        <v>5</v>
      </c>
      <c r="E876" s="8" t="s">
        <v>86</v>
      </c>
      <c r="F876" s="8" t="s">
        <v>90</v>
      </c>
      <c r="G876" s="34" t="s">
        <v>1889</v>
      </c>
      <c r="H876" s="31" t="s">
        <v>90</v>
      </c>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row>
    <row r="877" ht="15.75" customHeight="1">
      <c r="A877" s="8" t="s">
        <v>5</v>
      </c>
      <c r="E877" s="8" t="s">
        <v>86</v>
      </c>
      <c r="F877" s="8" t="s">
        <v>91</v>
      </c>
      <c r="G877" s="34" t="s">
        <v>1890</v>
      </c>
      <c r="H877" s="31" t="s">
        <v>91</v>
      </c>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row>
    <row r="878" ht="15.75" customHeight="1">
      <c r="A878" s="8" t="s">
        <v>5</v>
      </c>
      <c r="E878" s="8" t="s">
        <v>88</v>
      </c>
      <c r="F878" s="8" t="s">
        <v>125</v>
      </c>
      <c r="G878" s="34" t="s">
        <v>1891</v>
      </c>
      <c r="H878" s="31" t="s">
        <v>125</v>
      </c>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row>
    <row r="879" ht="15.75" customHeight="1">
      <c r="A879" s="8" t="s">
        <v>5</v>
      </c>
      <c r="E879" s="8" t="s">
        <v>88</v>
      </c>
      <c r="F879" s="8" t="s">
        <v>126</v>
      </c>
      <c r="G879" s="34" t="s">
        <v>1892</v>
      </c>
      <c r="H879" s="31" t="s">
        <v>126</v>
      </c>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row>
    <row r="880" ht="15.75" customHeight="1">
      <c r="A880" s="8" t="s">
        <v>5</v>
      </c>
      <c r="E880" s="8" t="s">
        <v>88</v>
      </c>
      <c r="F880" s="8" t="s">
        <v>96</v>
      </c>
      <c r="G880" s="34" t="s">
        <v>1893</v>
      </c>
      <c r="H880" s="31" t="s">
        <v>177</v>
      </c>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row>
    <row r="881" ht="15.75" customHeight="1">
      <c r="A881" s="8" t="s">
        <v>5</v>
      </c>
      <c r="E881" s="8" t="s">
        <v>86</v>
      </c>
      <c r="F881" s="8" t="s">
        <v>90</v>
      </c>
      <c r="G881" s="34" t="s">
        <v>1889</v>
      </c>
      <c r="H881" s="31" t="s">
        <v>90</v>
      </c>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row>
    <row r="882" ht="15.75" customHeight="1">
      <c r="A882" s="8" t="s">
        <v>5</v>
      </c>
      <c r="E882" s="8" t="s">
        <v>86</v>
      </c>
      <c r="F882" s="8" t="s">
        <v>91</v>
      </c>
      <c r="G882" s="34" t="s">
        <v>1894</v>
      </c>
      <c r="H882" s="31" t="s">
        <v>1834</v>
      </c>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row>
    <row r="883" ht="15.75" customHeight="1">
      <c r="A883" s="8" t="s">
        <v>5</v>
      </c>
      <c r="B883" s="56" t="s">
        <v>1895</v>
      </c>
      <c r="C883" s="184" t="s">
        <v>1896</v>
      </c>
      <c r="D883" s="184" t="s">
        <v>20</v>
      </c>
      <c r="E883" s="8" t="s">
        <v>88</v>
      </c>
      <c r="F883" s="8" t="s">
        <v>89</v>
      </c>
      <c r="G883" s="42"/>
      <c r="H883" s="31"/>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row>
    <row r="884" ht="15.75" customHeight="1">
      <c r="A884" s="8" t="s">
        <v>5</v>
      </c>
      <c r="D884" s="184" t="s">
        <v>5</v>
      </c>
      <c r="E884" s="8" t="s">
        <v>21</v>
      </c>
      <c r="F884" s="8" t="s">
        <v>51</v>
      </c>
      <c r="G884" s="34" t="s">
        <v>1897</v>
      </c>
      <c r="H884" s="31" t="s">
        <v>51</v>
      </c>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row>
    <row r="885" ht="15.75" customHeight="1">
      <c r="A885" s="8" t="s">
        <v>5</v>
      </c>
      <c r="D885" s="184" t="s">
        <v>5</v>
      </c>
      <c r="E885" s="8" t="s">
        <v>88</v>
      </c>
      <c r="F885" s="8" t="s">
        <v>120</v>
      </c>
      <c r="G885" s="34" t="s">
        <v>1898</v>
      </c>
      <c r="H885" s="150" t="s">
        <v>120</v>
      </c>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row>
    <row r="886" ht="15.75" customHeight="1">
      <c r="A886" s="8" t="s">
        <v>5</v>
      </c>
      <c r="D886" s="184" t="s">
        <v>5</v>
      </c>
      <c r="E886" s="8" t="s">
        <v>88</v>
      </c>
      <c r="F886" s="8" t="s">
        <v>121</v>
      </c>
      <c r="G886" s="34" t="s">
        <v>1899</v>
      </c>
      <c r="H886" s="150" t="s">
        <v>121</v>
      </c>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row>
    <row r="887" ht="15.75" customHeight="1">
      <c r="A887" s="8" t="s">
        <v>5</v>
      </c>
      <c r="D887" s="184" t="s">
        <v>5</v>
      </c>
      <c r="E887" s="8" t="s">
        <v>88</v>
      </c>
      <c r="F887" s="8" t="s">
        <v>122</v>
      </c>
      <c r="G887" s="34" t="s">
        <v>1900</v>
      </c>
      <c r="H887" s="150" t="s">
        <v>122</v>
      </c>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row>
    <row r="888" ht="15.75" customHeight="1">
      <c r="A888" s="8" t="s">
        <v>5</v>
      </c>
      <c r="B888" s="56" t="s">
        <v>1901</v>
      </c>
      <c r="C888" s="184" t="s">
        <v>1902</v>
      </c>
      <c r="D888" s="184" t="s">
        <v>20</v>
      </c>
      <c r="E888" s="8" t="s">
        <v>88</v>
      </c>
      <c r="F888" s="8" t="s">
        <v>89</v>
      </c>
      <c r="G888" s="42"/>
      <c r="H888" s="31"/>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row>
    <row r="889" ht="15.75" customHeight="1">
      <c r="A889" s="8" t="s">
        <v>5</v>
      </c>
      <c r="D889" s="184" t="s">
        <v>5</v>
      </c>
      <c r="E889" s="8" t="s">
        <v>21</v>
      </c>
      <c r="F889" s="8" t="s">
        <v>51</v>
      </c>
      <c r="G889" s="34" t="s">
        <v>1903</v>
      </c>
      <c r="H889" s="150" t="s">
        <v>51</v>
      </c>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row>
    <row r="890" ht="15.75" customHeight="1">
      <c r="A890" s="8" t="s">
        <v>5</v>
      </c>
      <c r="D890" s="184" t="s">
        <v>5</v>
      </c>
      <c r="E890" s="8" t="s">
        <v>88</v>
      </c>
      <c r="F890" s="8" t="s">
        <v>120</v>
      </c>
      <c r="G890" s="34" t="s">
        <v>1904</v>
      </c>
      <c r="H890" s="150" t="s">
        <v>120</v>
      </c>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row>
    <row r="891" ht="15.75" customHeight="1">
      <c r="A891" s="8" t="s">
        <v>5</v>
      </c>
      <c r="D891" s="184" t="s">
        <v>5</v>
      </c>
      <c r="E891" s="8" t="s">
        <v>88</v>
      </c>
      <c r="F891" s="8" t="s">
        <v>121</v>
      </c>
      <c r="G891" s="34" t="s">
        <v>1905</v>
      </c>
      <c r="H891" s="150" t="s">
        <v>121</v>
      </c>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row>
    <row r="892" ht="15.75" customHeight="1">
      <c r="A892" s="8" t="s">
        <v>5</v>
      </c>
      <c r="D892" s="184" t="s">
        <v>5</v>
      </c>
      <c r="E892" s="8" t="s">
        <v>88</v>
      </c>
      <c r="F892" s="8" t="s">
        <v>122</v>
      </c>
      <c r="G892" s="34" t="s">
        <v>1906</v>
      </c>
      <c r="H892" s="150" t="s">
        <v>122</v>
      </c>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row>
    <row r="893" ht="15.75" customHeight="1">
      <c r="A893" s="8" t="s">
        <v>5</v>
      </c>
      <c r="B893" s="56" t="s">
        <v>1907</v>
      </c>
      <c r="C893" s="184" t="s">
        <v>1908</v>
      </c>
      <c r="D893" s="184" t="s">
        <v>20</v>
      </c>
      <c r="E893" s="8" t="s">
        <v>88</v>
      </c>
      <c r="F893" s="8" t="s">
        <v>89</v>
      </c>
      <c r="G893" s="42"/>
      <c r="H893" s="31"/>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row>
    <row r="894" ht="15.75" customHeight="1">
      <c r="A894" s="8" t="s">
        <v>5</v>
      </c>
      <c r="B894" s="56" t="s">
        <v>5</v>
      </c>
      <c r="C894" s="184" t="s">
        <v>5</v>
      </c>
      <c r="D894" s="184" t="s">
        <v>5</v>
      </c>
      <c r="E894" s="8" t="s">
        <v>21</v>
      </c>
      <c r="F894" s="8" t="s">
        <v>51</v>
      </c>
      <c r="G894" s="34" t="s">
        <v>1909</v>
      </c>
      <c r="H894" s="150" t="s">
        <v>51</v>
      </c>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row>
    <row r="895" ht="15.75" customHeight="1">
      <c r="A895" s="8" t="s">
        <v>5</v>
      </c>
      <c r="B895" s="56" t="s">
        <v>5</v>
      </c>
      <c r="C895" s="184" t="s">
        <v>5</v>
      </c>
      <c r="D895" s="184" t="s">
        <v>5</v>
      </c>
      <c r="E895" s="8" t="s">
        <v>88</v>
      </c>
      <c r="F895" s="8" t="s">
        <v>125</v>
      </c>
      <c r="G895" s="34" t="s">
        <v>1910</v>
      </c>
      <c r="H895" s="150" t="s">
        <v>125</v>
      </c>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row>
    <row r="896" ht="15.75" customHeight="1">
      <c r="A896" s="8" t="s">
        <v>5</v>
      </c>
      <c r="B896" s="56" t="s">
        <v>5</v>
      </c>
      <c r="C896" s="184" t="s">
        <v>5</v>
      </c>
      <c r="D896" s="184" t="s">
        <v>5</v>
      </c>
      <c r="E896" s="8" t="s">
        <v>88</v>
      </c>
      <c r="F896" s="8" t="s">
        <v>126</v>
      </c>
      <c r="G896" s="34" t="s">
        <v>1911</v>
      </c>
      <c r="H896" s="150" t="s">
        <v>126</v>
      </c>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row>
    <row r="897" ht="15.75" customHeight="1">
      <c r="A897" s="8" t="s">
        <v>5</v>
      </c>
      <c r="B897" s="56" t="s">
        <v>1912</v>
      </c>
      <c r="C897" s="184" t="s">
        <v>1913</v>
      </c>
      <c r="D897" s="184" t="s">
        <v>20</v>
      </c>
      <c r="E897" s="8" t="s">
        <v>88</v>
      </c>
      <c r="F897" s="8" t="s">
        <v>89</v>
      </c>
      <c r="G897" s="42"/>
      <c r="H897" s="31"/>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row>
    <row r="898" ht="15.75" customHeight="1">
      <c r="A898" s="8" t="s">
        <v>5</v>
      </c>
      <c r="B898" s="56" t="s">
        <v>5</v>
      </c>
      <c r="C898" s="184" t="s">
        <v>5</v>
      </c>
      <c r="D898" s="184" t="s">
        <v>5</v>
      </c>
      <c r="E898" s="8" t="s">
        <v>21</v>
      </c>
      <c r="F898" s="8" t="s">
        <v>51</v>
      </c>
      <c r="G898" s="34" t="s">
        <v>1914</v>
      </c>
      <c r="H898" s="150" t="s">
        <v>51</v>
      </c>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row>
    <row r="899" ht="15.75" customHeight="1">
      <c r="A899" s="8" t="s">
        <v>5</v>
      </c>
      <c r="B899" s="56" t="s">
        <v>5</v>
      </c>
      <c r="C899" s="184" t="s">
        <v>5</v>
      </c>
      <c r="D899" s="184" t="s">
        <v>5</v>
      </c>
      <c r="E899" s="8" t="s">
        <v>88</v>
      </c>
      <c r="F899" s="8" t="s">
        <v>125</v>
      </c>
      <c r="G899" s="34" t="s">
        <v>1915</v>
      </c>
      <c r="H899" s="150" t="s">
        <v>125</v>
      </c>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row>
    <row r="900" ht="15.75" customHeight="1">
      <c r="A900" s="8" t="s">
        <v>5</v>
      </c>
      <c r="B900" s="56" t="s">
        <v>5</v>
      </c>
      <c r="C900" s="184" t="s">
        <v>5</v>
      </c>
      <c r="D900" s="184" t="s">
        <v>5</v>
      </c>
      <c r="E900" s="8" t="s">
        <v>88</v>
      </c>
      <c r="F900" s="8" t="s">
        <v>126</v>
      </c>
      <c r="G900" s="34" t="s">
        <v>1916</v>
      </c>
      <c r="H900" s="150" t="s">
        <v>126</v>
      </c>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row>
    <row r="901" ht="15.75" customHeight="1">
      <c r="A901" s="9"/>
      <c r="B901" s="197"/>
      <c r="C901" s="198"/>
      <c r="D901" s="198"/>
      <c r="E901" s="9"/>
      <c r="F901" s="9"/>
      <c r="G901" s="42"/>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row>
    <row r="902" ht="15.75" customHeight="1">
      <c r="A902" s="9"/>
      <c r="B902" s="197"/>
      <c r="C902" s="198"/>
      <c r="D902" s="198"/>
      <c r="E902" s="9"/>
      <c r="F902" s="9"/>
      <c r="G902" s="42"/>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row>
    <row r="903" ht="15.75" customHeight="1">
      <c r="A903" s="9"/>
      <c r="B903" s="56"/>
      <c r="C903" s="184"/>
      <c r="D903" s="184"/>
      <c r="E903" s="8"/>
      <c r="F903" s="8"/>
      <c r="G903" s="42"/>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row>
    <row r="904" ht="15.75" customHeight="1">
      <c r="A904" s="9"/>
      <c r="B904" s="197"/>
      <c r="C904" s="198"/>
      <c r="D904" s="198"/>
      <c r="E904" s="8"/>
      <c r="F904" s="8"/>
      <c r="G904" s="42"/>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row>
    <row r="905" ht="15.75" customHeight="1">
      <c r="A905" s="9"/>
      <c r="B905" s="56" t="s">
        <v>1917</v>
      </c>
      <c r="C905" s="184" t="s">
        <v>1918</v>
      </c>
      <c r="D905" s="184" t="s">
        <v>20</v>
      </c>
      <c r="E905" s="8" t="s">
        <v>86</v>
      </c>
      <c r="F905" s="8" t="s">
        <v>87</v>
      </c>
      <c r="G905" s="42"/>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row>
    <row r="906" ht="15.75" customHeight="1">
      <c r="A906" s="9"/>
      <c r="B906" s="197"/>
      <c r="C906" s="198"/>
      <c r="D906" s="198"/>
      <c r="E906" s="8" t="s">
        <v>88</v>
      </c>
      <c r="F906" s="8" t="s">
        <v>89</v>
      </c>
      <c r="G906" s="42"/>
      <c r="H906" s="31"/>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row>
    <row r="907" ht="15.75" customHeight="1">
      <c r="A907" s="9"/>
      <c r="B907" s="197"/>
      <c r="C907" s="198"/>
      <c r="D907" s="198"/>
      <c r="E907" s="8" t="s">
        <v>21</v>
      </c>
      <c r="F907" s="8" t="s">
        <v>51</v>
      </c>
      <c r="G907" s="42" t="str">
        <f>HYPERLINK("https://docs.google.com/spreadsheets/d/1uY9z9ql3ulcBb7rAn_a2hUoGK6M9Qb6EdNH6_itg46E/edit#gid=628673292", "https://docs.google.com/spreadsheets/d/1uY9z9ql3ulcBb7rAn_a2hUoGK6M9Qb6EdNH6_itg46E/edit#gid=628673292")</f>
        <v>https://docs.google.com/spreadsheets/d/1uY9z9ql3ulcBb7rAn_a2hUoGK6M9Qb6EdNH6_itg46E/edit#gid=628673292</v>
      </c>
      <c r="H907" s="150" t="s">
        <v>51</v>
      </c>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row>
    <row r="908" ht="15.75" customHeight="1">
      <c r="A908" s="9"/>
      <c r="B908" s="197"/>
      <c r="C908" s="198"/>
      <c r="D908" s="198"/>
      <c r="E908" s="8" t="s">
        <v>88</v>
      </c>
      <c r="F908" s="8" t="s">
        <v>95</v>
      </c>
      <c r="G908" s="42" t="str">
        <f>HYPERLINK("https://docs.google.com/spreadsheets/d/1uY9z9ql3ulcBb7rAn_a2hUoGK6M9Qb6EdNH6_itg46E/edit#gid=1001418423", "https://docs.google.com/spreadsheets/d/1uY9z9ql3ulcBb7rAn_a2hUoGK6M9Qb6EdNH6_itg46E/edit#gid=1001418423")</f>
        <v>https://docs.google.com/spreadsheets/d/1uY9z9ql3ulcBb7rAn_a2hUoGK6M9Qb6EdNH6_itg46E/edit#gid=1001418423</v>
      </c>
      <c r="H908" s="150" t="s">
        <v>95</v>
      </c>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row>
    <row r="909" ht="15.75" customHeight="1">
      <c r="A909" s="9"/>
      <c r="B909" s="197"/>
      <c r="C909" s="198"/>
      <c r="D909" s="198"/>
      <c r="E909" s="8" t="s">
        <v>88</v>
      </c>
      <c r="F909" s="8" t="s">
        <v>125</v>
      </c>
      <c r="G909" s="42" t="str">
        <f>HYPERLINK("https://docs.google.com/spreadsheets/d/1uY9z9ql3ulcBb7rAn_a2hUoGK6M9Qb6EdNH6_itg46E/edit#gid=1783002346", "https://docs.google.com/spreadsheets/d/1uY9z9ql3ulcBb7rAn_a2hUoGK6M9Qb6EdNH6_itg46E/edit#gid=1783002346")</f>
        <v>https://docs.google.com/spreadsheets/d/1uY9z9ql3ulcBb7rAn_a2hUoGK6M9Qb6EdNH6_itg46E/edit#gid=1783002346</v>
      </c>
      <c r="H909" s="150" t="s">
        <v>125</v>
      </c>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row>
    <row r="910" ht="15.75" customHeight="1">
      <c r="A910" s="9"/>
      <c r="B910" s="197"/>
      <c r="C910" s="198"/>
      <c r="D910" s="198"/>
      <c r="E910" s="8" t="s">
        <v>88</v>
      </c>
      <c r="F910" s="8" t="s">
        <v>675</v>
      </c>
      <c r="G910" s="42" t="str">
        <f>HYPERLINK("https://docs.google.com/spreadsheets/d/1uY9z9ql3ulcBb7rAn_a2hUoGK6M9Qb6EdNH6_itg46E/edit#gid=464192293", "https://docs.google.com/spreadsheets/d/1uY9z9ql3ulcBb7rAn_a2hUoGK6M9Qb6EdNH6_itg46E/edit#gid=464192293")</f>
        <v>https://docs.google.com/spreadsheets/d/1uY9z9ql3ulcBb7rAn_a2hUoGK6M9Qb6EdNH6_itg46E/edit#gid=464192293</v>
      </c>
      <c r="H910" s="150" t="s">
        <v>675</v>
      </c>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row>
    <row r="911" ht="15.75" customHeight="1">
      <c r="A911" s="9"/>
      <c r="B911" s="197"/>
      <c r="C911" s="198"/>
      <c r="D911" s="198"/>
      <c r="E911" s="8" t="s">
        <v>88</v>
      </c>
      <c r="F911" s="8" t="s">
        <v>795</v>
      </c>
      <c r="G911" s="42"/>
      <c r="H911" s="31"/>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row>
    <row r="912" ht="15.75" customHeight="1">
      <c r="A912" s="9"/>
      <c r="B912" s="197"/>
      <c r="C912" s="198"/>
      <c r="D912" s="198"/>
      <c r="E912" s="8" t="s">
        <v>88</v>
      </c>
      <c r="F912" s="8" t="s">
        <v>95</v>
      </c>
      <c r="G912" s="42" t="str">
        <f>HYPERLINK("https://docs.google.com/spreadsheets/d/1uY9z9ql3ulcBb7rAn_a2hUoGK6M9Qb6EdNH6_itg46E/edit#gid=663149330", "https://docs.google.com/spreadsheets/d/1uY9z9ql3ulcBb7rAn_a2hUoGK6M9Qb6EdNH6_itg46E/edit#gid=663149330")</f>
        <v>https://docs.google.com/spreadsheets/d/1uY9z9ql3ulcBb7rAn_a2hUoGK6M9Qb6EdNH6_itg46E/edit#gid=663149330</v>
      </c>
      <c r="H912" s="31" t="s">
        <v>176</v>
      </c>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row>
    <row r="913" ht="15.75" customHeight="1">
      <c r="A913" s="9"/>
      <c r="B913" s="197"/>
      <c r="C913" s="198"/>
      <c r="D913" s="198"/>
      <c r="E913" s="8" t="s">
        <v>88</v>
      </c>
      <c r="F913" s="8" t="s">
        <v>125</v>
      </c>
      <c r="G913" s="42" t="str">
        <f>HYPERLINK("https://docs.google.com/spreadsheets/d/1uY9z9ql3ulcBb7rAn_a2hUoGK6M9Qb6EdNH6_itg46E/edit#gid=148867416", "https://docs.google.com/spreadsheets/d/1uY9z9ql3ulcBb7rAn_a2hUoGK6M9Qb6EdNH6_itg46E/edit#gid=148867416")</f>
        <v>https://docs.google.com/spreadsheets/d/1uY9z9ql3ulcBb7rAn_a2hUoGK6M9Qb6EdNH6_itg46E/edit#gid=148867416</v>
      </c>
      <c r="H913" s="150" t="s">
        <v>1919</v>
      </c>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row>
    <row r="914" ht="15.75" customHeight="1">
      <c r="A914" s="9"/>
      <c r="B914" s="197"/>
      <c r="C914" s="198"/>
      <c r="D914" s="198"/>
      <c r="E914" s="8" t="s">
        <v>88</v>
      </c>
      <c r="F914" s="8" t="s">
        <v>675</v>
      </c>
      <c r="G914" s="42" t="str">
        <f>HYPERLINK("https://docs.google.com/spreadsheets/d/1uY9z9ql3ulcBb7rAn_a2hUoGK6M9Qb6EdNH6_itg46E/edit#gid=538216789", "https://docs.google.com/spreadsheets/d/1uY9z9ql3ulcBb7rAn_a2hUoGK6M9Qb6EdNH6_itg46E/edit#gid=538216789")</f>
        <v>https://docs.google.com/spreadsheets/d/1uY9z9ql3ulcBb7rAn_a2hUoGK6M9Qb6EdNH6_itg46E/edit#gid=538216789</v>
      </c>
      <c r="H914" s="150" t="s">
        <v>1920</v>
      </c>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row>
    <row r="915" ht="15.75" customHeight="1">
      <c r="A915" s="9"/>
      <c r="B915" s="197"/>
      <c r="C915" s="198"/>
      <c r="D915" s="198"/>
      <c r="E915" s="8" t="s">
        <v>88</v>
      </c>
      <c r="F915" s="8" t="s">
        <v>125</v>
      </c>
      <c r="G915" s="42" t="str">
        <f>HYPERLINK("https://docs.google.com/spreadsheets/d/1uY9z9ql3ulcBb7rAn_a2hUoGK6M9Qb6EdNH6_itg46E/edit#gid=1074205079", "https://docs.google.com/spreadsheets/d/1uY9z9ql3ulcBb7rAn_a2hUoGK6M9Qb6EdNH6_itg46E/edit#gid=1074205079")</f>
        <v>https://docs.google.com/spreadsheets/d/1uY9z9ql3ulcBb7rAn_a2hUoGK6M9Qb6EdNH6_itg46E/edit#gid=1074205079</v>
      </c>
      <c r="H915" s="150" t="s">
        <v>1921</v>
      </c>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row>
    <row r="916" ht="15.75" customHeight="1">
      <c r="A916" s="9"/>
      <c r="B916" s="197"/>
      <c r="C916" s="198"/>
      <c r="D916" s="198"/>
      <c r="E916" s="8" t="s">
        <v>88</v>
      </c>
      <c r="F916" s="8" t="s">
        <v>143</v>
      </c>
      <c r="G916" s="42" t="str">
        <f>HYPERLINK("https://docs.google.com/spreadsheets/d/1uY9z9ql3ulcBb7rAn_a2hUoGK6M9Qb6EdNH6_itg46E/edit#gid=2103169151", "https://docs.google.com/spreadsheets/d/1uY9z9ql3ulcBb7rAn_a2hUoGK6M9Qb6EdNH6_itg46E/edit#gid=2103169151")</f>
        <v>https://docs.google.com/spreadsheets/d/1uY9z9ql3ulcBb7rAn_a2hUoGK6M9Qb6EdNH6_itg46E/edit#gid=2103169151</v>
      </c>
      <c r="H916" s="150" t="s">
        <v>143</v>
      </c>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row>
    <row r="917" ht="15.75" customHeight="1">
      <c r="A917" s="9"/>
      <c r="B917" s="197"/>
      <c r="C917" s="198"/>
      <c r="D917" s="198"/>
      <c r="E917" s="8" t="s">
        <v>88</v>
      </c>
      <c r="F917" s="8" t="s">
        <v>528</v>
      </c>
      <c r="G917" s="42" t="str">
        <f>HYPERLINK("https://docs.google.com/spreadsheets/d/1uY9z9ql3ulcBb7rAn_a2hUoGK6M9Qb6EdNH6_itg46E/edit#gid=1601282023", "https://docs.google.com/spreadsheets/d/1uY9z9ql3ulcBb7rAn_a2hUoGK6M9Qb6EdNH6_itg46E/edit#gid=1601282023")</f>
        <v>https://docs.google.com/spreadsheets/d/1uY9z9ql3ulcBb7rAn_a2hUoGK6M9Qb6EdNH6_itg46E/edit#gid=1601282023</v>
      </c>
      <c r="H917" s="150" t="s">
        <v>528</v>
      </c>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row>
    <row r="918" ht="15.75" customHeight="1">
      <c r="A918" s="9"/>
      <c r="B918" s="197"/>
      <c r="C918" s="198"/>
      <c r="D918" s="198"/>
      <c r="E918" s="8" t="s">
        <v>88</v>
      </c>
      <c r="F918" s="8" t="s">
        <v>795</v>
      </c>
      <c r="G918" s="42"/>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row>
    <row r="919" ht="15.75" customHeight="1">
      <c r="A919" s="9"/>
      <c r="B919" s="197"/>
      <c r="C919" s="198"/>
      <c r="D919" s="198"/>
      <c r="E919" s="8" t="s">
        <v>88</v>
      </c>
      <c r="F919" s="8" t="s">
        <v>95</v>
      </c>
      <c r="G919" s="42" t="str">
        <f>HYPERLINK("https://docs.google.com/spreadsheets/d/1uY9z9ql3ulcBb7rAn_a2hUoGK6M9Qb6EdNH6_itg46E/edit#gid=1001418423", "https://docs.google.com/spreadsheets/d/1uY9z9ql3ulcBb7rAn_a2hUoGK6M9Qb6EdNH6_itg46E/edit#gid=1001418423")</f>
        <v>https://docs.google.com/spreadsheets/d/1uY9z9ql3ulcBb7rAn_a2hUoGK6M9Qb6EdNH6_itg46E/edit#gid=1001418423</v>
      </c>
      <c r="H919" s="150" t="s">
        <v>95</v>
      </c>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row>
    <row r="920" ht="15.75" customHeight="1">
      <c r="A920" s="9"/>
      <c r="B920" s="197"/>
      <c r="C920" s="198"/>
      <c r="D920" s="198"/>
      <c r="E920" s="8" t="s">
        <v>88</v>
      </c>
      <c r="F920" s="8" t="s">
        <v>96</v>
      </c>
      <c r="G920" s="42" t="str">
        <f>HYPERLINK("https://docs.google.com/spreadsheets/d/1uY9z9ql3ulcBb7rAn_a2hUoGK6M9Qb6EdNH6_itg46E/edit#gid=264344509", "https://docs.google.com/spreadsheets/d/1uY9z9ql3ulcBb7rAn_a2hUoGK6M9Qb6EdNH6_itg46E/edit#gid=264344509")</f>
        <v>https://docs.google.com/spreadsheets/d/1uY9z9ql3ulcBb7rAn_a2hUoGK6M9Qb6EdNH6_itg46E/edit#gid=264344509</v>
      </c>
      <c r="H920" s="150" t="s">
        <v>96</v>
      </c>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row>
    <row r="921" ht="15.75" customHeight="1">
      <c r="A921" s="9"/>
      <c r="B921" s="197"/>
      <c r="C921" s="198"/>
      <c r="D921" s="198"/>
      <c r="E921" s="9"/>
      <c r="F921" s="9"/>
      <c r="G921" s="42"/>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row>
    <row r="922" ht="15.75" customHeight="1">
      <c r="A922" s="9"/>
      <c r="B922" s="56" t="s">
        <v>1922</v>
      </c>
      <c r="C922" s="56" t="s">
        <v>1923</v>
      </c>
      <c r="D922" s="184" t="s">
        <v>20</v>
      </c>
      <c r="E922" s="8" t="s">
        <v>88</v>
      </c>
      <c r="F922" s="8" t="s">
        <v>89</v>
      </c>
      <c r="G922" s="42"/>
      <c r="H922" s="31"/>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row>
    <row r="923" ht="15.75" customHeight="1">
      <c r="A923" s="9"/>
      <c r="B923" s="197"/>
      <c r="D923" s="198"/>
      <c r="E923" s="8" t="s">
        <v>88</v>
      </c>
      <c r="F923" s="8" t="s">
        <v>221</v>
      </c>
      <c r="G923" s="42" t="str">
        <f>HYPERLINK("https://docs.google.com/spreadsheets/d/1Zm-yF8D-EG2Wwa_YGET3HOor3qvYdq9JKXVp0M3X7Ps/edit#gid=787157375", "https://docs.google.com/spreadsheets/d/1Zm-yF8D-EG2Wwa_YGET3HOor3qvYdq9JKXVp0M3X7Ps/edit#gid=787157375")</f>
        <v>https://docs.google.com/spreadsheets/d/1Zm-yF8D-EG2Wwa_YGET3HOor3qvYdq9JKXVp0M3X7Ps/edit#gid=787157375</v>
      </c>
      <c r="H923" s="36"/>
      <c r="L923" s="9"/>
      <c r="M923" s="9"/>
      <c r="N923" s="9"/>
      <c r="O923" s="9"/>
      <c r="P923" s="9"/>
      <c r="Q923" s="9"/>
      <c r="R923" s="9"/>
      <c r="S923" s="9"/>
      <c r="T923" s="9"/>
      <c r="U923" s="9"/>
      <c r="V923" s="9"/>
      <c r="W923" s="9"/>
      <c r="X923" s="9"/>
      <c r="Y923" s="9"/>
      <c r="Z923" s="9"/>
      <c r="AA923" s="9"/>
      <c r="AB923" s="9"/>
      <c r="AC923" s="9"/>
      <c r="AD923" s="9"/>
      <c r="AE923" s="9"/>
      <c r="AF923" s="9"/>
      <c r="AG923" s="9"/>
      <c r="AH923" s="9"/>
    </row>
    <row r="924" ht="15.75" customHeight="1">
      <c r="A924" s="9"/>
      <c r="B924" s="197"/>
      <c r="D924" s="198"/>
      <c r="E924" s="8" t="s">
        <v>149</v>
      </c>
      <c r="F924" s="8" t="s">
        <v>150</v>
      </c>
      <c r="G924" s="42"/>
      <c r="H924" s="31"/>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row>
    <row r="925" ht="15.75" customHeight="1">
      <c r="A925" s="9"/>
      <c r="B925" s="197"/>
      <c r="D925" s="198"/>
      <c r="E925" s="8" t="s">
        <v>21</v>
      </c>
      <c r="F925" s="8" t="s">
        <v>51</v>
      </c>
      <c r="G925" s="42" t="str">
        <f>HYPERLINK("https://docs.google.com/spreadsheets/d/1Zm-yF8D-EG2Wwa_YGET3HOor3qvYdq9JKXVp0M3X7Ps/edit#gid=1743289929", "https://docs.google.com/spreadsheets/d/1Zm-yF8D-EG2Wwa_YGET3HOor3qvYdq9JKXVp0M3X7Ps/edit#gid=1743289929")</f>
        <v>https://docs.google.com/spreadsheets/d/1Zm-yF8D-EG2Wwa_YGET3HOor3qvYdq9JKXVp0M3X7Ps/edit#gid=1743289929</v>
      </c>
      <c r="H925" s="150" t="s">
        <v>51</v>
      </c>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row>
    <row r="926" ht="15.75" customHeight="1">
      <c r="A926" s="9"/>
      <c r="B926" s="197"/>
      <c r="D926" s="198"/>
      <c r="E926" s="8" t="s">
        <v>88</v>
      </c>
      <c r="F926" s="8" t="s">
        <v>95</v>
      </c>
      <c r="G926" s="42" t="str">
        <f>HYPERLINK("https://docs.google.com/spreadsheets/d/1Zm-yF8D-EG2Wwa_YGET3HOor3qvYdq9JKXVp0M3X7Ps/edit#gid=1488288632", "https://docs.google.com/spreadsheets/d/1Zm-yF8D-EG2Wwa_YGET3HOor3qvYdq9JKXVp0M3X7Ps/edit#gid=1488288632")</f>
        <v>https://docs.google.com/spreadsheets/d/1Zm-yF8D-EG2Wwa_YGET3HOor3qvYdq9JKXVp0M3X7Ps/edit#gid=1488288632</v>
      </c>
      <c r="H926" s="150" t="s">
        <v>95</v>
      </c>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row>
    <row r="927" ht="15.75" customHeight="1">
      <c r="A927" s="9"/>
      <c r="B927" s="197"/>
      <c r="D927" s="198"/>
      <c r="E927" s="8" t="s">
        <v>88</v>
      </c>
      <c r="F927" s="8" t="s">
        <v>122</v>
      </c>
      <c r="G927" s="42" t="str">
        <f>HYPERLINK("https://docs.google.com/spreadsheets/d/1Zm-yF8D-EG2Wwa_YGET3HOor3qvYdq9JKXVp0M3X7Ps/edit#gid=103864010", "https://docs.google.com/spreadsheets/d/1Zm-yF8D-EG2Wwa_YGET3HOor3qvYdq9JKXVp0M3X7Ps/edit#gid=103864010")</f>
        <v>https://docs.google.com/spreadsheets/d/1Zm-yF8D-EG2Wwa_YGET3HOor3qvYdq9JKXVp0M3X7Ps/edit#gid=103864010</v>
      </c>
      <c r="H927" s="173" t="s">
        <v>122</v>
      </c>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row>
    <row r="928" ht="15.75" customHeight="1">
      <c r="A928" s="9"/>
      <c r="B928" s="199"/>
      <c r="D928" s="200"/>
      <c r="E928" s="31" t="s">
        <v>88</v>
      </c>
      <c r="F928" s="31" t="s">
        <v>96</v>
      </c>
      <c r="G928" s="42" t="str">
        <f>HYPERLINK("https://docs.google.com/spreadsheets/d/1Zm-yF8D-EG2Wwa_YGET3HOor3qvYdq9JKXVp0M3X7Ps/edit#gid=815225975", "https://docs.google.com/spreadsheets/d/1Zm-yF8D-EG2Wwa_YGET3HOor3qvYdq9JKXVp0M3X7Ps/edit#gid=815225975")</f>
        <v>https://docs.google.com/spreadsheets/d/1Zm-yF8D-EG2Wwa_YGET3HOor3qvYdq9JKXVp0M3X7Ps/edit#gid=815225975</v>
      </c>
      <c r="H928" s="71" t="s">
        <v>96</v>
      </c>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row>
    <row r="929" ht="15.75" customHeight="1">
      <c r="A929" s="9"/>
      <c r="B929" s="197"/>
      <c r="C929" s="198"/>
      <c r="D929" s="198"/>
      <c r="E929" s="9"/>
      <c r="F929" s="9"/>
      <c r="G929" s="42"/>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row>
    <row r="930" ht="15.75" customHeight="1">
      <c r="A930" s="9"/>
      <c r="B930" s="71" t="s">
        <v>1924</v>
      </c>
      <c r="C930" s="56" t="s">
        <v>1925</v>
      </c>
      <c r="D930" s="184" t="s">
        <v>20</v>
      </c>
      <c r="E930" s="8" t="s">
        <v>88</v>
      </c>
      <c r="F930" s="8" t="s">
        <v>89</v>
      </c>
      <c r="G930" s="42"/>
      <c r="H930" s="31"/>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row>
    <row r="931" ht="15.75" customHeight="1">
      <c r="A931" s="9"/>
      <c r="B931" s="197"/>
      <c r="D931" s="198"/>
      <c r="E931" s="8" t="s">
        <v>88</v>
      </c>
      <c r="F931" s="8" t="s">
        <v>221</v>
      </c>
      <c r="G931" s="42" t="str">
        <f>HYPERLINK("https://docs.google.com/spreadsheets/d/1jXCa0ekvmInF4xQVFY_J0edS5G3hTPKycBgLDcALsF4/edit#gid=962161017", "https://docs.google.com/spreadsheets/d/1jXCa0ekvmInF4xQVFY_J0edS5G3hTPKycBgLDcALsF4/edit#gid=962161017")</f>
        <v>https://docs.google.com/spreadsheets/d/1jXCa0ekvmInF4xQVFY_J0edS5G3hTPKycBgLDcALsF4/edit#gid=962161017</v>
      </c>
      <c r="H931" s="150" t="s">
        <v>221</v>
      </c>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row>
    <row r="932" ht="15.75" customHeight="1">
      <c r="A932" s="9"/>
      <c r="B932" s="197"/>
      <c r="D932" s="198"/>
      <c r="E932" s="8" t="s">
        <v>149</v>
      </c>
      <c r="F932" s="8" t="s">
        <v>150</v>
      </c>
      <c r="G932" s="42"/>
      <c r="H932" s="31"/>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row>
    <row r="933" ht="15.75" customHeight="1">
      <c r="A933" s="9"/>
      <c r="B933" s="197"/>
      <c r="D933" s="198"/>
      <c r="E933" s="8" t="s">
        <v>21</v>
      </c>
      <c r="F933" s="8" t="s">
        <v>51</v>
      </c>
      <c r="G933" s="42" t="str">
        <f>HYPERLINK("https://docs.google.com/spreadsheets/d/1jXCa0ekvmInF4xQVFY_J0edS5G3hTPKycBgLDcALsF4/edit#gid=1078941234", "https://docs.google.com/spreadsheets/d/1jXCa0ekvmInF4xQVFY_J0edS5G3hTPKycBgLDcALsF4/edit#gid=1078941234")</f>
        <v>https://docs.google.com/spreadsheets/d/1jXCa0ekvmInF4xQVFY_J0edS5G3hTPKycBgLDcALsF4/edit#gid=1078941234</v>
      </c>
      <c r="H933" s="150" t="s">
        <v>51</v>
      </c>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row>
    <row r="934" ht="15.75" customHeight="1">
      <c r="A934" s="9"/>
      <c r="B934" s="197"/>
      <c r="D934" s="198"/>
      <c r="E934" s="8" t="s">
        <v>88</v>
      </c>
      <c r="F934" s="8" t="s">
        <v>95</v>
      </c>
      <c r="G934" s="42" t="str">
        <f>HYPERLINK("https://docs.google.com/spreadsheets/d/1jXCa0ekvmInF4xQVFY_J0edS5G3hTPKycBgLDcALsF4/edit#gid=1660080432", "https://docs.google.com/spreadsheets/d/1jXCa0ekvmInF4xQVFY_J0edS5G3hTPKycBgLDcALsF4/edit#gid=1660080432")</f>
        <v>https://docs.google.com/spreadsheets/d/1jXCa0ekvmInF4xQVFY_J0edS5G3hTPKycBgLDcALsF4/edit#gid=1660080432</v>
      </c>
      <c r="H934" s="150" t="s">
        <v>95</v>
      </c>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row>
    <row r="935" ht="15.75" customHeight="1">
      <c r="A935" s="9"/>
      <c r="B935" s="197"/>
      <c r="D935" s="198"/>
      <c r="E935" s="8" t="s">
        <v>88</v>
      </c>
      <c r="F935" s="8" t="s">
        <v>96</v>
      </c>
      <c r="G935" s="42" t="str">
        <f>HYPERLINK("https://docs.google.com/spreadsheets/d/1jXCa0ekvmInF4xQVFY_J0edS5G3hTPKycBgLDcALsF4/edit#gid=1562980473", "https://docs.google.com/spreadsheets/d/1jXCa0ekvmInF4xQVFY_J0edS5G3hTPKycBgLDcALsF4/edit#gid=1562980473")</f>
        <v>https://docs.google.com/spreadsheets/d/1jXCa0ekvmInF4xQVFY_J0edS5G3hTPKycBgLDcALsF4/edit#gid=1562980473</v>
      </c>
      <c r="H935" s="150" t="s">
        <v>96</v>
      </c>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row>
    <row r="936" ht="15.75" customHeight="1">
      <c r="A936" s="9"/>
      <c r="B936" s="197"/>
      <c r="C936" s="198"/>
      <c r="D936" s="198"/>
      <c r="E936" s="9"/>
      <c r="F936" s="9"/>
      <c r="G936" s="42"/>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row>
    <row r="937" ht="15.75" customHeight="1">
      <c r="A937" s="9"/>
      <c r="B937" s="56" t="s">
        <v>1926</v>
      </c>
      <c r="C937" s="56" t="s">
        <v>1927</v>
      </c>
      <c r="D937" s="184" t="s">
        <v>20</v>
      </c>
      <c r="E937" s="8" t="s">
        <v>88</v>
      </c>
      <c r="F937" s="8" t="s">
        <v>89</v>
      </c>
      <c r="G937" s="42"/>
      <c r="H937" s="31"/>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row>
    <row r="938" ht="15.75" customHeight="1">
      <c r="A938" s="9"/>
      <c r="B938" s="197"/>
      <c r="D938" s="198"/>
      <c r="E938" s="8" t="s">
        <v>88</v>
      </c>
      <c r="F938" s="8" t="s">
        <v>221</v>
      </c>
      <c r="G938" s="42" t="str">
        <f>HYPERLINK("https://docs.google.com/spreadsheets/d/1Eom_6v57HUCoOuSBHeOH2tucXxVkOyH1qSyfALuzZkg/edit#gid=447305695", "https://docs.google.com/spreadsheets/d/1Eom_6v57HUCoOuSBHeOH2tucXxVkOyH1qSyfALuzZkg/edit#gid=447305695")</f>
        <v>https://docs.google.com/spreadsheets/d/1Eom_6v57HUCoOuSBHeOH2tucXxVkOyH1qSyfALuzZkg/edit#gid=447305695</v>
      </c>
      <c r="H938" s="150" t="s">
        <v>221</v>
      </c>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row>
    <row r="939" ht="15.75" customHeight="1">
      <c r="A939" s="9"/>
      <c r="B939" s="197"/>
      <c r="D939" s="198"/>
      <c r="E939" s="8" t="s">
        <v>149</v>
      </c>
      <c r="F939" s="8" t="s">
        <v>150</v>
      </c>
      <c r="G939" s="42"/>
      <c r="H939" s="31"/>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row>
    <row r="940" ht="15.75" customHeight="1">
      <c r="A940" s="9"/>
      <c r="B940" s="197"/>
      <c r="D940" s="198"/>
      <c r="E940" s="8" t="s">
        <v>21</v>
      </c>
      <c r="F940" s="8" t="s">
        <v>51</v>
      </c>
      <c r="G940" s="42" t="str">
        <f>HYPERLINK("https://docs.google.com/spreadsheets/d/1Eom_6v57HUCoOuSBHeOH2tucXxVkOyH1qSyfALuzZkg/edit#gid=1360569904", "https://docs.google.com/spreadsheets/d/1Eom_6v57HUCoOuSBHeOH2tucXxVkOyH1qSyfALuzZkg/edit#gid=1360569904")</f>
        <v>https://docs.google.com/spreadsheets/d/1Eom_6v57HUCoOuSBHeOH2tucXxVkOyH1qSyfALuzZkg/edit#gid=1360569904</v>
      </c>
      <c r="H940" s="150" t="s">
        <v>51</v>
      </c>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row>
    <row r="941" ht="15.75" customHeight="1">
      <c r="A941" s="9"/>
      <c r="B941" s="197"/>
      <c r="D941" s="198"/>
      <c r="E941" s="8" t="s">
        <v>88</v>
      </c>
      <c r="F941" s="8" t="s">
        <v>95</v>
      </c>
      <c r="G941" s="42" t="str">
        <f>HYPERLINK("https://docs.google.com/spreadsheets/d/1Eom_6v57HUCoOuSBHeOH2tucXxVkOyH1qSyfALuzZkg/edit#gid=1787944333", "https://docs.google.com/spreadsheets/d/1Eom_6v57HUCoOuSBHeOH2tucXxVkOyH1qSyfALuzZkg/edit#gid=1787944333")</f>
        <v>https://docs.google.com/spreadsheets/d/1Eom_6v57HUCoOuSBHeOH2tucXxVkOyH1qSyfALuzZkg/edit#gid=1787944333</v>
      </c>
      <c r="H941" s="150" t="s">
        <v>95</v>
      </c>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row>
    <row r="942" ht="15.75" customHeight="1">
      <c r="A942" s="9"/>
      <c r="B942" s="197"/>
      <c r="D942" s="198"/>
      <c r="E942" s="8" t="s">
        <v>88</v>
      </c>
      <c r="F942" s="8" t="s">
        <v>96</v>
      </c>
      <c r="G942" s="42" t="str">
        <f>HYPERLINK("https://docs.google.com/spreadsheets/d/1Eom_6v57HUCoOuSBHeOH2tucXxVkOyH1qSyfALuzZkg/edit#gid=85978500", "https://docs.google.com/spreadsheets/d/1Eom_6v57HUCoOuSBHeOH2tucXxVkOyH1qSyfALuzZkg/edit#gid=85978500")</f>
        <v>https://docs.google.com/spreadsheets/d/1Eom_6v57HUCoOuSBHeOH2tucXxVkOyH1qSyfALuzZkg/edit#gid=85978500</v>
      </c>
      <c r="H942" s="150" t="s">
        <v>96</v>
      </c>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row>
    <row r="943" ht="15.75" customHeight="1">
      <c r="A943" s="9"/>
      <c r="B943" s="197"/>
      <c r="C943" s="198"/>
      <c r="D943" s="198"/>
      <c r="E943" s="9"/>
      <c r="F943" s="9"/>
      <c r="G943" s="42"/>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row>
    <row r="944" ht="15.75" customHeight="1">
      <c r="A944" s="9"/>
      <c r="B944" s="56" t="s">
        <v>1928</v>
      </c>
      <c r="C944" s="56" t="s">
        <v>1929</v>
      </c>
      <c r="D944" s="184" t="s">
        <v>20</v>
      </c>
      <c r="E944" s="8" t="s">
        <v>88</v>
      </c>
      <c r="F944" s="8" t="s">
        <v>89</v>
      </c>
      <c r="G944" s="42"/>
      <c r="H944" s="36"/>
      <c r="L944" s="9"/>
      <c r="M944" s="9"/>
      <c r="N944" s="9"/>
      <c r="O944" s="9"/>
      <c r="P944" s="9"/>
      <c r="Q944" s="9"/>
      <c r="R944" s="9"/>
      <c r="S944" s="9"/>
      <c r="T944" s="9"/>
      <c r="U944" s="9"/>
      <c r="V944" s="9"/>
      <c r="W944" s="9"/>
      <c r="X944" s="9"/>
      <c r="Y944" s="9"/>
      <c r="Z944" s="9"/>
      <c r="AA944" s="9"/>
      <c r="AB944" s="9"/>
      <c r="AC944" s="9"/>
      <c r="AD944" s="9"/>
      <c r="AE944" s="9"/>
      <c r="AF944" s="9"/>
      <c r="AG944" s="9"/>
      <c r="AH944" s="9"/>
    </row>
    <row r="945" ht="15.75" customHeight="1">
      <c r="A945" s="9"/>
      <c r="B945" s="197"/>
      <c r="D945" s="198"/>
      <c r="E945" s="8" t="s">
        <v>88</v>
      </c>
      <c r="F945" s="8" t="s">
        <v>221</v>
      </c>
      <c r="G945" s="42" t="str">
        <f>HYPERLINK("https://docs.google.com/spreadsheets/d/1xLEcxZuCAX9XuBhumBfNJVqBsGHkoFJPdEGajlsvU4E/edit#gid=1782357403", "https://docs.google.com/spreadsheets/d/1xLEcxZuCAX9XuBhumBfNJVqBsGHkoFJPdEGajlsvU4E/edit#gid=1782357403")</f>
        <v>https://docs.google.com/spreadsheets/d/1xLEcxZuCAX9XuBhumBfNJVqBsGHkoFJPdEGajlsvU4E/edit#gid=1782357403</v>
      </c>
      <c r="H945" s="36"/>
      <c r="L945" s="9"/>
      <c r="M945" s="9"/>
      <c r="N945" s="9"/>
      <c r="O945" s="9"/>
      <c r="P945" s="9"/>
      <c r="Q945" s="9"/>
      <c r="R945" s="9"/>
      <c r="S945" s="9"/>
      <c r="T945" s="9"/>
      <c r="U945" s="9"/>
      <c r="V945" s="9"/>
      <c r="W945" s="9"/>
      <c r="X945" s="9"/>
      <c r="Y945" s="9"/>
      <c r="Z945" s="9"/>
      <c r="AA945" s="9"/>
      <c r="AB945" s="9"/>
      <c r="AC945" s="9"/>
      <c r="AD945" s="9"/>
      <c r="AE945" s="9"/>
      <c r="AF945" s="9"/>
      <c r="AG945" s="9"/>
      <c r="AH945" s="9"/>
    </row>
    <row r="946" ht="15.75" customHeight="1">
      <c r="A946" s="9"/>
      <c r="B946" s="197"/>
      <c r="D946" s="198"/>
      <c r="E946" s="8" t="s">
        <v>149</v>
      </c>
      <c r="F946" s="8" t="s">
        <v>150</v>
      </c>
      <c r="G946" s="42"/>
      <c r="H946" s="36"/>
      <c r="L946" s="9"/>
      <c r="M946" s="9"/>
      <c r="N946" s="9"/>
      <c r="O946" s="9"/>
      <c r="P946" s="9"/>
      <c r="Q946" s="9"/>
      <c r="R946" s="9"/>
      <c r="S946" s="9"/>
      <c r="T946" s="9"/>
      <c r="U946" s="9"/>
      <c r="V946" s="9"/>
      <c r="W946" s="9"/>
      <c r="X946" s="9"/>
      <c r="Y946" s="9"/>
      <c r="Z946" s="9"/>
      <c r="AA946" s="9"/>
      <c r="AB946" s="9"/>
      <c r="AC946" s="9"/>
      <c r="AD946" s="9"/>
      <c r="AE946" s="9"/>
      <c r="AF946" s="9"/>
      <c r="AG946" s="9"/>
      <c r="AH946" s="9"/>
    </row>
    <row r="947" ht="15.75" customHeight="1">
      <c r="A947" s="9"/>
      <c r="B947" s="197"/>
      <c r="D947" s="198"/>
      <c r="E947" s="8" t="s">
        <v>21</v>
      </c>
      <c r="F947" s="8" t="s">
        <v>51</v>
      </c>
      <c r="G947" s="42" t="str">
        <f>HYPERLINK("https://docs.google.com/spreadsheets/d/1xLEcxZuCAX9XuBhumBfNJVqBsGHkoFJPdEGajlsvU4E/edit#gid=675160319", "https://docs.google.com/spreadsheets/d/1xLEcxZuCAX9XuBhumBfNJVqBsGHkoFJPdEGajlsvU4E/edit#gid=675160319")</f>
        <v>https://docs.google.com/spreadsheets/d/1xLEcxZuCAX9XuBhumBfNJVqBsGHkoFJPdEGajlsvU4E/edit#gid=675160319</v>
      </c>
      <c r="H947" s="71" t="s">
        <v>51</v>
      </c>
      <c r="L947" s="9"/>
      <c r="M947" s="9"/>
      <c r="N947" s="9"/>
      <c r="O947" s="9"/>
      <c r="P947" s="9"/>
      <c r="Q947" s="9"/>
      <c r="R947" s="9"/>
      <c r="S947" s="9"/>
      <c r="T947" s="9"/>
      <c r="U947" s="9"/>
      <c r="V947" s="9"/>
      <c r="W947" s="9"/>
      <c r="X947" s="9"/>
      <c r="Y947" s="9"/>
      <c r="Z947" s="9"/>
      <c r="AA947" s="9"/>
      <c r="AB947" s="9"/>
      <c r="AC947" s="9"/>
      <c r="AD947" s="9"/>
      <c r="AE947" s="9"/>
      <c r="AF947" s="9"/>
      <c r="AG947" s="9"/>
      <c r="AH947" s="9"/>
    </row>
    <row r="948" ht="15.75" customHeight="1">
      <c r="A948" s="9"/>
      <c r="B948" s="197"/>
      <c r="D948" s="198"/>
      <c r="E948" s="8" t="s">
        <v>88</v>
      </c>
      <c r="F948" s="8" t="s">
        <v>95</v>
      </c>
      <c r="G948" s="42" t="str">
        <f>HYPERLINK("https://docs.google.com/spreadsheets/d/1xLEcxZuCAX9XuBhumBfNJVqBsGHkoFJPdEGajlsvU4E/edit#gid=320886658", "https://docs.google.com/spreadsheets/d/1xLEcxZuCAX9XuBhumBfNJVqBsGHkoFJPdEGajlsvU4E/edit#gid=320886658")</f>
        <v>https://docs.google.com/spreadsheets/d/1xLEcxZuCAX9XuBhumBfNJVqBsGHkoFJPdEGajlsvU4E/edit#gid=320886658</v>
      </c>
      <c r="H948" s="71" t="s">
        <v>95</v>
      </c>
      <c r="L948" s="9"/>
      <c r="M948" s="9"/>
      <c r="N948" s="9"/>
      <c r="O948" s="9"/>
      <c r="P948" s="9"/>
      <c r="Q948" s="9"/>
      <c r="R948" s="9"/>
      <c r="S948" s="9"/>
      <c r="T948" s="9"/>
      <c r="U948" s="9"/>
      <c r="V948" s="9"/>
      <c r="W948" s="9"/>
      <c r="X948" s="9"/>
      <c r="Y948" s="9"/>
      <c r="Z948" s="9"/>
      <c r="AA948" s="9"/>
      <c r="AB948" s="9"/>
      <c r="AC948" s="9"/>
      <c r="AD948" s="9"/>
      <c r="AE948" s="9"/>
      <c r="AF948" s="9"/>
      <c r="AG948" s="9"/>
      <c r="AH948" s="9"/>
    </row>
    <row r="949" ht="15.75" customHeight="1">
      <c r="A949" s="9"/>
      <c r="B949" s="199"/>
      <c r="D949" s="200"/>
      <c r="E949" s="31" t="s">
        <v>88</v>
      </c>
      <c r="F949" s="31" t="s">
        <v>96</v>
      </c>
      <c r="G949" s="42" t="str">
        <f>HYPERLINK("https://docs.google.com/spreadsheets/d/1xLEcxZuCAX9XuBhumBfNJVqBsGHkoFJPdEGajlsvU4E/edit#gid=1580192229", "https://docs.google.com/spreadsheets/d/1xLEcxZuCAX9XuBhumBfNJVqBsGHkoFJPdEGajlsvU4E/edit#gid=1580192229")</f>
        <v>https://docs.google.com/spreadsheets/d/1xLEcxZuCAX9XuBhumBfNJVqBsGHkoFJPdEGajlsvU4E/edit#gid=1580192229</v>
      </c>
      <c r="H949" s="71" t="s">
        <v>96</v>
      </c>
      <c r="L949" s="9"/>
      <c r="M949" s="9"/>
      <c r="N949" s="9"/>
      <c r="O949" s="9"/>
      <c r="P949" s="9"/>
      <c r="Q949" s="9"/>
      <c r="R949" s="9"/>
      <c r="S949" s="9"/>
      <c r="T949" s="9"/>
      <c r="U949" s="9"/>
      <c r="V949" s="9"/>
      <c r="W949" s="9"/>
      <c r="X949" s="9"/>
      <c r="Y949" s="9"/>
      <c r="Z949" s="9"/>
      <c r="AA949" s="9"/>
      <c r="AB949" s="9"/>
      <c r="AC949" s="9"/>
      <c r="AD949" s="9"/>
      <c r="AE949" s="9"/>
      <c r="AF949" s="9"/>
      <c r="AG949" s="9"/>
      <c r="AH949" s="9"/>
    </row>
    <row r="950" ht="15.75" customHeight="1">
      <c r="A950" s="9"/>
      <c r="B950" s="197"/>
      <c r="D950" s="198"/>
      <c r="E950" s="8" t="s">
        <v>88</v>
      </c>
      <c r="F950" s="8" t="s">
        <v>122</v>
      </c>
      <c r="G950" s="42" t="str">
        <f>HYPERLINK("https://docs.google.com/spreadsheets/d/1xLEcxZuCAX9XuBhumBfNJVqBsGHkoFJPdEGajlsvU4E/edit#gid=1926211241", "https://docs.google.com/spreadsheets/d/1xLEcxZuCAX9XuBhumBfNJVqBsGHkoFJPdEGajlsvU4E/edit#gid=1926211241")</f>
        <v>https://docs.google.com/spreadsheets/d/1xLEcxZuCAX9XuBhumBfNJVqBsGHkoFJPdEGajlsvU4E/edit#gid=1926211241</v>
      </c>
      <c r="H950" s="71" t="s">
        <v>122</v>
      </c>
      <c r="L950" s="9"/>
      <c r="M950" s="9"/>
      <c r="N950" s="9"/>
      <c r="O950" s="9"/>
      <c r="P950" s="9"/>
      <c r="Q950" s="9"/>
      <c r="R950" s="9"/>
      <c r="S950" s="9"/>
      <c r="T950" s="9"/>
      <c r="U950" s="9"/>
      <c r="V950" s="9"/>
      <c r="W950" s="9"/>
      <c r="X950" s="9"/>
      <c r="Y950" s="9"/>
      <c r="Z950" s="9"/>
      <c r="AA950" s="9"/>
      <c r="AB950" s="9"/>
      <c r="AC950" s="9"/>
      <c r="AD950" s="9"/>
      <c r="AE950" s="9"/>
      <c r="AF950" s="9"/>
      <c r="AG950" s="9"/>
      <c r="AH950" s="9"/>
    </row>
    <row r="951" ht="15.75" customHeight="1">
      <c r="A951" s="9"/>
      <c r="B951" s="197"/>
      <c r="C951" s="198"/>
      <c r="D951" s="198"/>
      <c r="E951" s="9"/>
      <c r="F951" s="9"/>
      <c r="G951" s="42"/>
      <c r="L951" s="9"/>
      <c r="M951" s="9"/>
      <c r="N951" s="9"/>
      <c r="O951" s="9"/>
      <c r="P951" s="9"/>
      <c r="Q951" s="9"/>
      <c r="R951" s="9"/>
      <c r="S951" s="9"/>
      <c r="T951" s="9"/>
      <c r="U951" s="9"/>
      <c r="V951" s="9"/>
      <c r="W951" s="9"/>
      <c r="X951" s="9"/>
      <c r="Y951" s="9"/>
      <c r="Z951" s="9"/>
      <c r="AA951" s="9"/>
      <c r="AB951" s="9"/>
      <c r="AC951" s="9"/>
      <c r="AD951" s="9"/>
      <c r="AE951" s="9"/>
      <c r="AF951" s="9"/>
      <c r="AG951" s="9"/>
      <c r="AH951" s="9"/>
    </row>
    <row r="952" ht="15.75" customHeight="1">
      <c r="A952" s="9"/>
      <c r="B952" s="71" t="s">
        <v>1930</v>
      </c>
      <c r="C952" s="56" t="s">
        <v>1931</v>
      </c>
      <c r="D952" s="184" t="s">
        <v>20</v>
      </c>
      <c r="E952" s="8" t="s">
        <v>88</v>
      </c>
      <c r="F952" s="8" t="s">
        <v>89</v>
      </c>
      <c r="G952" s="42"/>
      <c r="H952" s="36"/>
      <c r="L952" s="9"/>
      <c r="M952" s="9"/>
      <c r="N952" s="9"/>
      <c r="O952" s="9"/>
      <c r="P952" s="9"/>
      <c r="Q952" s="9"/>
      <c r="R952" s="9"/>
      <c r="S952" s="9"/>
      <c r="T952" s="9"/>
      <c r="U952" s="9"/>
      <c r="V952" s="9"/>
      <c r="W952" s="9"/>
      <c r="X952" s="9"/>
      <c r="Y952" s="9"/>
      <c r="Z952" s="9"/>
      <c r="AA952" s="9"/>
      <c r="AB952" s="9"/>
      <c r="AC952" s="9"/>
      <c r="AD952" s="9"/>
      <c r="AE952" s="9"/>
      <c r="AF952" s="9"/>
      <c r="AG952" s="9"/>
      <c r="AH952" s="9"/>
    </row>
    <row r="953" ht="15.75" customHeight="1">
      <c r="A953" s="9"/>
      <c r="B953" s="197"/>
      <c r="D953" s="198"/>
      <c r="E953" s="8" t="s">
        <v>88</v>
      </c>
      <c r="F953" s="8" t="s">
        <v>221</v>
      </c>
      <c r="G953" s="42" t="str">
        <f>HYPERLINK("https://docs.google.com/spreadsheets/d/1S1wDc96K8mk1YlT7_xyDrHEOl5K4GEh9QKcSU58eABI/edit#gid=2073428845", "https://docs.google.com/spreadsheets/d/1S1wDc96K8mk1YlT7_xyDrHEOl5K4GEh9QKcSU58eABI/edit#gid=2073428845")</f>
        <v>https://docs.google.com/spreadsheets/d/1S1wDc96K8mk1YlT7_xyDrHEOl5K4GEh9QKcSU58eABI/edit#gid=2073428845</v>
      </c>
      <c r="H953" s="71" t="s">
        <v>221</v>
      </c>
      <c r="L953" s="9"/>
      <c r="M953" s="9"/>
      <c r="N953" s="9"/>
      <c r="O953" s="9"/>
      <c r="P953" s="9"/>
      <c r="Q953" s="9"/>
      <c r="R953" s="9"/>
      <c r="S953" s="9"/>
      <c r="T953" s="9"/>
      <c r="U953" s="9"/>
      <c r="V953" s="9"/>
      <c r="W953" s="9"/>
      <c r="X953" s="9"/>
      <c r="Y953" s="9"/>
      <c r="Z953" s="9"/>
      <c r="AA953" s="9"/>
      <c r="AB953" s="9"/>
      <c r="AC953" s="9"/>
      <c r="AD953" s="9"/>
      <c r="AE953" s="9"/>
      <c r="AF953" s="9"/>
      <c r="AG953" s="9"/>
      <c r="AH953" s="9"/>
    </row>
    <row r="954" ht="15.75" customHeight="1">
      <c r="A954" s="9"/>
      <c r="B954" s="197"/>
      <c r="D954" s="198"/>
      <c r="E954" s="8" t="s">
        <v>149</v>
      </c>
      <c r="F954" s="8" t="s">
        <v>150</v>
      </c>
      <c r="G954" s="42"/>
      <c r="H954" s="36"/>
      <c r="L954" s="9"/>
      <c r="M954" s="9"/>
      <c r="N954" s="9"/>
      <c r="O954" s="9"/>
      <c r="P954" s="9"/>
      <c r="Q954" s="9"/>
      <c r="R954" s="9"/>
      <c r="S954" s="9"/>
      <c r="T954" s="9"/>
      <c r="U954" s="9"/>
      <c r="V954" s="9"/>
      <c r="W954" s="9"/>
      <c r="X954" s="9"/>
      <c r="Y954" s="9"/>
      <c r="Z954" s="9"/>
      <c r="AA954" s="9"/>
      <c r="AB954" s="9"/>
      <c r="AC954" s="9"/>
      <c r="AD954" s="9"/>
      <c r="AE954" s="9"/>
      <c r="AF954" s="9"/>
      <c r="AG954" s="9"/>
      <c r="AH954" s="9"/>
    </row>
    <row r="955" ht="15.75" customHeight="1">
      <c r="A955" s="9"/>
      <c r="B955" s="197"/>
      <c r="D955" s="198"/>
      <c r="E955" s="8" t="s">
        <v>21</v>
      </c>
      <c r="F955" s="8" t="s">
        <v>51</v>
      </c>
      <c r="G955" s="42" t="str">
        <f>HYPERLINK("https://docs.google.com/spreadsheets/d/1S1wDc96K8mk1YlT7_xyDrHEOl5K4GEh9QKcSU58eABI/edit#gid=2111059834", "https://docs.google.com/spreadsheets/d/1S1wDc96K8mk1YlT7_xyDrHEOl5K4GEh9QKcSU58eABI/edit#gid=2111059834")</f>
        <v>https://docs.google.com/spreadsheets/d/1S1wDc96K8mk1YlT7_xyDrHEOl5K4GEh9QKcSU58eABI/edit#gid=2111059834</v>
      </c>
      <c r="H955" s="71" t="s">
        <v>51</v>
      </c>
      <c r="L955" s="9"/>
      <c r="M955" s="9"/>
      <c r="N955" s="9"/>
      <c r="O955" s="9"/>
      <c r="P955" s="9"/>
      <c r="Q955" s="9"/>
      <c r="R955" s="9"/>
      <c r="S955" s="9"/>
      <c r="T955" s="9"/>
      <c r="U955" s="9"/>
      <c r="V955" s="9"/>
      <c r="W955" s="9"/>
      <c r="X955" s="9"/>
      <c r="Y955" s="9"/>
      <c r="Z955" s="9"/>
      <c r="AA955" s="9"/>
      <c r="AB955" s="9"/>
      <c r="AC955" s="9"/>
      <c r="AD955" s="9"/>
      <c r="AE955" s="9"/>
      <c r="AF955" s="9"/>
      <c r="AG955" s="9"/>
      <c r="AH955" s="9"/>
    </row>
    <row r="956" ht="15.75" customHeight="1">
      <c r="A956" s="9"/>
      <c r="B956" s="197"/>
      <c r="D956" s="198"/>
      <c r="E956" s="8" t="s">
        <v>88</v>
      </c>
      <c r="F956" s="8" t="s">
        <v>95</v>
      </c>
      <c r="G956" s="42" t="str">
        <f>HYPERLINK("https://docs.google.com/spreadsheets/d/1S1wDc96K8mk1YlT7_xyDrHEOl5K4GEh9QKcSU58eABI/edit#gid=653393569", "https://docs.google.com/spreadsheets/d/1S1wDc96K8mk1YlT7_xyDrHEOl5K4GEh9QKcSU58eABI/edit#gid=653393569")</f>
        <v>https://docs.google.com/spreadsheets/d/1S1wDc96K8mk1YlT7_xyDrHEOl5K4GEh9QKcSU58eABI/edit#gid=653393569</v>
      </c>
      <c r="H956" s="71" t="s">
        <v>95</v>
      </c>
      <c r="L956" s="9"/>
      <c r="M956" s="9"/>
      <c r="N956" s="9"/>
      <c r="O956" s="9"/>
      <c r="P956" s="9"/>
      <c r="Q956" s="9"/>
      <c r="R956" s="9"/>
      <c r="S956" s="9"/>
      <c r="T956" s="9"/>
      <c r="U956" s="9"/>
      <c r="V956" s="9"/>
      <c r="W956" s="9"/>
      <c r="X956" s="9"/>
      <c r="Y956" s="9"/>
      <c r="Z956" s="9"/>
      <c r="AA956" s="9"/>
      <c r="AB956" s="9"/>
      <c r="AC956" s="9"/>
      <c r="AD956" s="9"/>
      <c r="AE956" s="9"/>
      <c r="AF956" s="9"/>
      <c r="AG956" s="9"/>
      <c r="AH956" s="9"/>
    </row>
    <row r="957" ht="15.75" customHeight="1">
      <c r="A957" s="9"/>
      <c r="B957" s="197"/>
      <c r="D957" s="198"/>
      <c r="E957" s="8" t="s">
        <v>88</v>
      </c>
      <c r="F957" s="8" t="s">
        <v>96</v>
      </c>
      <c r="G957" s="42" t="str">
        <f>HYPERLINK("https://docs.google.com/spreadsheets/d/1S1wDc96K8mk1YlT7_xyDrHEOl5K4GEh9QKcSU58eABI/edit#gid=41238658", "https://docs.google.com/spreadsheets/d/1S1wDc96K8mk1YlT7_xyDrHEOl5K4GEh9QKcSU58eABI/edit#gid=41238658")</f>
        <v>https://docs.google.com/spreadsheets/d/1S1wDc96K8mk1YlT7_xyDrHEOl5K4GEh9QKcSU58eABI/edit#gid=41238658</v>
      </c>
      <c r="H957" s="71" t="s">
        <v>96</v>
      </c>
      <c r="L957" s="9"/>
      <c r="M957" s="9"/>
      <c r="N957" s="9"/>
      <c r="O957" s="9"/>
      <c r="P957" s="9"/>
      <c r="Q957" s="9"/>
      <c r="R957" s="9"/>
      <c r="S957" s="9"/>
      <c r="T957" s="9"/>
      <c r="U957" s="9"/>
      <c r="V957" s="9"/>
      <c r="W957" s="9"/>
      <c r="X957" s="9"/>
      <c r="Y957" s="9"/>
      <c r="Z957" s="9"/>
      <c r="AA957" s="9"/>
      <c r="AB957" s="9"/>
      <c r="AC957" s="9"/>
      <c r="AD957" s="9"/>
      <c r="AE957" s="9"/>
      <c r="AF957" s="9"/>
      <c r="AG957" s="9"/>
      <c r="AH957" s="9"/>
    </row>
    <row r="958" ht="15.75" customHeight="1">
      <c r="A958" s="9"/>
      <c r="B958" s="197"/>
      <c r="C958" s="198"/>
      <c r="D958" s="198"/>
      <c r="E958" s="9"/>
      <c r="F958" s="9"/>
      <c r="G958" s="42"/>
      <c r="L958" s="9"/>
      <c r="M958" s="9"/>
      <c r="N958" s="9"/>
      <c r="O958" s="9"/>
      <c r="P958" s="9"/>
      <c r="Q958" s="9"/>
      <c r="R958" s="9"/>
      <c r="S958" s="9"/>
      <c r="T958" s="9"/>
      <c r="U958" s="9"/>
      <c r="V958" s="9"/>
      <c r="W958" s="9"/>
      <c r="X958" s="9"/>
      <c r="Y958" s="9"/>
      <c r="Z958" s="9"/>
      <c r="AA958" s="9"/>
      <c r="AB958" s="9"/>
      <c r="AC958" s="9"/>
      <c r="AD958" s="9"/>
      <c r="AE958" s="9"/>
      <c r="AF958" s="9"/>
      <c r="AG958" s="9"/>
      <c r="AH958" s="9"/>
    </row>
    <row r="959" ht="15.75" customHeight="1">
      <c r="A959" s="9"/>
      <c r="B959" s="56" t="s">
        <v>1932</v>
      </c>
      <c r="C959" s="56" t="s">
        <v>1933</v>
      </c>
      <c r="D959" s="184" t="s">
        <v>20</v>
      </c>
      <c r="E959" s="8" t="s">
        <v>88</v>
      </c>
      <c r="F959" s="8" t="s">
        <v>89</v>
      </c>
      <c r="G959" s="42"/>
      <c r="H959" s="36"/>
      <c r="L959" s="9"/>
      <c r="M959" s="9"/>
      <c r="N959" s="9"/>
      <c r="O959" s="9"/>
      <c r="P959" s="9"/>
      <c r="Q959" s="9"/>
      <c r="R959" s="9"/>
      <c r="S959" s="9"/>
      <c r="T959" s="9"/>
      <c r="U959" s="9"/>
      <c r="V959" s="9"/>
      <c r="W959" s="9"/>
      <c r="X959" s="9"/>
      <c r="Y959" s="9"/>
      <c r="Z959" s="9"/>
      <c r="AA959" s="9"/>
      <c r="AB959" s="9"/>
      <c r="AC959" s="9"/>
      <c r="AD959" s="9"/>
      <c r="AE959" s="9"/>
      <c r="AF959" s="9"/>
      <c r="AG959" s="9"/>
      <c r="AH959" s="9"/>
    </row>
    <row r="960" ht="15.75" customHeight="1">
      <c r="A960" s="9"/>
      <c r="B960" s="197"/>
      <c r="D960" s="198"/>
      <c r="E960" s="8" t="s">
        <v>88</v>
      </c>
      <c r="F960" s="8" t="s">
        <v>221</v>
      </c>
      <c r="G960" s="42" t="str">
        <f>HYPERLINK("https://docs.google.com/spreadsheets/d/1aOyITFAdXxDSoIX4QdAV6WL2E4EHPOJvG3vphixDPJ8/edit#gid=1669079902", "https://docs.google.com/spreadsheets/d/1aOyITFAdXxDSoIX4QdAV6WL2E4EHPOJvG3vphixDPJ8/edit#gid=1669079902")</f>
        <v>https://docs.google.com/spreadsheets/d/1aOyITFAdXxDSoIX4QdAV6WL2E4EHPOJvG3vphixDPJ8/edit#gid=1669079902</v>
      </c>
      <c r="H960" s="71" t="s">
        <v>221</v>
      </c>
      <c r="L960" s="9"/>
      <c r="M960" s="9"/>
      <c r="N960" s="9"/>
      <c r="O960" s="9"/>
      <c r="P960" s="9"/>
      <c r="Q960" s="9"/>
      <c r="R960" s="9"/>
      <c r="S960" s="9"/>
      <c r="T960" s="9"/>
      <c r="U960" s="9"/>
      <c r="V960" s="9"/>
      <c r="W960" s="9"/>
      <c r="X960" s="9"/>
      <c r="Y960" s="9"/>
      <c r="Z960" s="9"/>
      <c r="AA960" s="9"/>
      <c r="AB960" s="9"/>
      <c r="AC960" s="9"/>
      <c r="AD960" s="9"/>
      <c r="AE960" s="9"/>
      <c r="AF960" s="9"/>
      <c r="AG960" s="9"/>
      <c r="AH960" s="9"/>
    </row>
    <row r="961" ht="15.75" customHeight="1">
      <c r="A961" s="9"/>
      <c r="B961" s="197"/>
      <c r="D961" s="198"/>
      <c r="E961" s="8" t="s">
        <v>149</v>
      </c>
      <c r="F961" s="8" t="s">
        <v>150</v>
      </c>
      <c r="G961" s="42"/>
      <c r="H961" s="36"/>
      <c r="L961" s="9"/>
      <c r="M961" s="9"/>
      <c r="N961" s="9"/>
      <c r="O961" s="9"/>
      <c r="P961" s="9"/>
      <c r="Q961" s="9"/>
      <c r="R961" s="9"/>
      <c r="S961" s="9"/>
      <c r="T961" s="9"/>
      <c r="U961" s="9"/>
      <c r="V961" s="9"/>
      <c r="W961" s="9"/>
      <c r="X961" s="9"/>
      <c r="Y961" s="9"/>
      <c r="Z961" s="9"/>
      <c r="AA961" s="9"/>
      <c r="AB961" s="9"/>
      <c r="AC961" s="9"/>
      <c r="AD961" s="9"/>
      <c r="AE961" s="9"/>
      <c r="AF961" s="9"/>
      <c r="AG961" s="9"/>
      <c r="AH961" s="9"/>
    </row>
    <row r="962" ht="15.75" customHeight="1">
      <c r="A962" s="9"/>
      <c r="B962" s="197"/>
      <c r="D962" s="198"/>
      <c r="E962" s="8" t="s">
        <v>21</v>
      </c>
      <c r="F962" s="8" t="s">
        <v>51</v>
      </c>
      <c r="G962" s="42" t="str">
        <f>HYPERLINK("https://docs.google.com/spreadsheets/d/1aOyITFAdXxDSoIX4QdAV6WL2E4EHPOJvG3vphixDPJ8/edit#gid=560350989", "https://docs.google.com/spreadsheets/d/1aOyITFAdXxDSoIX4QdAV6WL2E4EHPOJvG3vphixDPJ8/edit#gid=560350989")</f>
        <v>https://docs.google.com/spreadsheets/d/1aOyITFAdXxDSoIX4QdAV6WL2E4EHPOJvG3vphixDPJ8/edit#gid=560350989</v>
      </c>
      <c r="H962" s="71" t="s">
        <v>51</v>
      </c>
      <c r="L962" s="9"/>
      <c r="M962" s="9"/>
      <c r="N962" s="9"/>
      <c r="O962" s="9"/>
      <c r="P962" s="9"/>
      <c r="Q962" s="9"/>
      <c r="R962" s="9"/>
      <c r="S962" s="9"/>
      <c r="T962" s="9"/>
      <c r="U962" s="9"/>
      <c r="V962" s="9"/>
      <c r="W962" s="9"/>
      <c r="X962" s="9"/>
      <c r="Y962" s="9"/>
      <c r="Z962" s="9"/>
      <c r="AA962" s="9"/>
      <c r="AB962" s="9"/>
      <c r="AC962" s="9"/>
      <c r="AD962" s="9"/>
      <c r="AE962" s="9"/>
      <c r="AF962" s="9"/>
      <c r="AG962" s="9"/>
      <c r="AH962" s="9"/>
    </row>
    <row r="963" ht="15.75" customHeight="1">
      <c r="A963" s="9"/>
      <c r="B963" s="197"/>
      <c r="D963" s="198"/>
      <c r="E963" s="8" t="s">
        <v>88</v>
      </c>
      <c r="F963" s="8" t="s">
        <v>95</v>
      </c>
      <c r="G963" s="42" t="str">
        <f>HYPERLINK("https://docs.google.com/spreadsheets/d/1aOyITFAdXxDSoIX4QdAV6WL2E4EHPOJvG3vphixDPJ8/edit#gid=341711989", "https://docs.google.com/spreadsheets/d/1aOyITFAdXxDSoIX4QdAV6WL2E4EHPOJvG3vphixDPJ8/edit#gid=341711989")</f>
        <v>https://docs.google.com/spreadsheets/d/1aOyITFAdXxDSoIX4QdAV6WL2E4EHPOJvG3vphixDPJ8/edit#gid=341711989</v>
      </c>
      <c r="H963" s="71" t="s">
        <v>95</v>
      </c>
      <c r="L963" s="9"/>
      <c r="M963" s="9"/>
      <c r="N963" s="9"/>
      <c r="O963" s="9"/>
      <c r="P963" s="9"/>
      <c r="Q963" s="9"/>
      <c r="R963" s="9"/>
      <c r="S963" s="9"/>
      <c r="T963" s="9"/>
      <c r="U963" s="9"/>
      <c r="V963" s="9"/>
      <c r="W963" s="9"/>
      <c r="X963" s="9"/>
      <c r="Y963" s="9"/>
      <c r="Z963" s="9"/>
      <c r="AA963" s="9"/>
      <c r="AB963" s="9"/>
      <c r="AC963" s="9"/>
      <c r="AD963" s="9"/>
      <c r="AE963" s="9"/>
      <c r="AF963" s="9"/>
      <c r="AG963" s="9"/>
      <c r="AH963" s="9"/>
    </row>
    <row r="964" ht="15.75" customHeight="1">
      <c r="A964" s="9"/>
      <c r="B964" s="197"/>
      <c r="D964" s="198"/>
      <c r="E964" s="8" t="s">
        <v>88</v>
      </c>
      <c r="F964" s="8" t="s">
        <v>96</v>
      </c>
      <c r="G964" s="42" t="str">
        <f>HYPERLINK("https://docs.google.com/spreadsheets/d/1aOyITFAdXxDSoIX4QdAV6WL2E4EHPOJvG3vphixDPJ8/edit#gid=873016119", "https://docs.google.com/spreadsheets/d/1aOyITFAdXxDSoIX4QdAV6WL2E4EHPOJvG3vphixDPJ8/edit#gid=873016119")</f>
        <v>https://docs.google.com/spreadsheets/d/1aOyITFAdXxDSoIX4QdAV6WL2E4EHPOJvG3vphixDPJ8/edit#gid=873016119</v>
      </c>
      <c r="H964" s="71" t="s">
        <v>96</v>
      </c>
      <c r="L964" s="9"/>
      <c r="M964" s="9"/>
      <c r="N964" s="9"/>
      <c r="O964" s="9"/>
      <c r="P964" s="9"/>
      <c r="Q964" s="9"/>
      <c r="R964" s="9"/>
      <c r="S964" s="9"/>
      <c r="T964" s="9"/>
      <c r="U964" s="9"/>
      <c r="V964" s="9"/>
      <c r="W964" s="9"/>
      <c r="X964" s="9"/>
      <c r="Y964" s="9"/>
      <c r="Z964" s="9"/>
      <c r="AA964" s="9"/>
      <c r="AB964" s="9"/>
      <c r="AC964" s="9"/>
      <c r="AD964" s="9"/>
      <c r="AE964" s="9"/>
      <c r="AF964" s="9"/>
      <c r="AG964" s="9"/>
      <c r="AH964" s="9"/>
    </row>
    <row r="965" ht="15.75" customHeight="1">
      <c r="A965" s="9"/>
      <c r="B965" s="197"/>
      <c r="D965" s="198"/>
      <c r="E965" s="8" t="s">
        <v>88</v>
      </c>
      <c r="F965" s="8" t="s">
        <v>122</v>
      </c>
      <c r="G965" s="42" t="str">
        <f>HYPERLINK("https://docs.google.com/spreadsheets/d/1aOyITFAdXxDSoIX4QdAV6WL2E4EHPOJvG3vphixDPJ8/edit#gid=1443016779", "https://docs.google.com/spreadsheets/d/1aOyITFAdXxDSoIX4QdAV6WL2E4EHPOJvG3vphixDPJ8/edit#gid=1443016779")</f>
        <v>https://docs.google.com/spreadsheets/d/1aOyITFAdXxDSoIX4QdAV6WL2E4EHPOJvG3vphixDPJ8/edit#gid=1443016779</v>
      </c>
      <c r="H965" s="71" t="s">
        <v>122</v>
      </c>
      <c r="L965" s="9"/>
      <c r="M965" s="9"/>
      <c r="N965" s="9"/>
      <c r="O965" s="9"/>
      <c r="P965" s="9"/>
      <c r="Q965" s="9"/>
      <c r="R965" s="9"/>
      <c r="S965" s="9"/>
      <c r="T965" s="9"/>
      <c r="U965" s="9"/>
      <c r="V965" s="9"/>
      <c r="W965" s="9"/>
      <c r="X965" s="9"/>
      <c r="Y965" s="9"/>
      <c r="Z965" s="9"/>
      <c r="AA965" s="9"/>
      <c r="AB965" s="9"/>
      <c r="AC965" s="9"/>
      <c r="AD965" s="9"/>
      <c r="AE965" s="9"/>
      <c r="AF965" s="9"/>
      <c r="AG965" s="9"/>
      <c r="AH965" s="9"/>
    </row>
    <row r="966" ht="15.75" customHeight="1">
      <c r="A966" s="9"/>
      <c r="B966" s="197"/>
      <c r="C966" s="198"/>
      <c r="D966" s="198"/>
      <c r="E966" s="9"/>
      <c r="F966" s="9"/>
      <c r="G966" s="42"/>
      <c r="L966" s="9"/>
      <c r="M966" s="9"/>
      <c r="N966" s="9"/>
      <c r="O966" s="9"/>
      <c r="P966" s="9"/>
      <c r="Q966" s="9"/>
      <c r="R966" s="9"/>
      <c r="S966" s="9"/>
      <c r="T966" s="9"/>
      <c r="U966" s="9"/>
      <c r="V966" s="9"/>
      <c r="W966" s="9"/>
      <c r="X966" s="9"/>
      <c r="Y966" s="9"/>
      <c r="Z966" s="9"/>
      <c r="AA966" s="9"/>
      <c r="AB966" s="9"/>
      <c r="AC966" s="9"/>
      <c r="AD966" s="9"/>
      <c r="AE966" s="9"/>
      <c r="AF966" s="9"/>
      <c r="AG966" s="9"/>
      <c r="AH966" s="9"/>
    </row>
    <row r="967" ht="15.75" customHeight="1">
      <c r="A967" s="9"/>
      <c r="B967" s="71" t="s">
        <v>1934</v>
      </c>
      <c r="C967" s="56" t="s">
        <v>1935</v>
      </c>
      <c r="D967" s="184" t="s">
        <v>20</v>
      </c>
      <c r="E967" s="8" t="s">
        <v>88</v>
      </c>
      <c r="F967" s="8" t="s">
        <v>89</v>
      </c>
      <c r="G967" s="42"/>
      <c r="H967" s="36"/>
      <c r="L967" s="9"/>
      <c r="M967" s="9"/>
      <c r="N967" s="9"/>
      <c r="O967" s="9"/>
      <c r="P967" s="9"/>
      <c r="Q967" s="9"/>
      <c r="R967" s="9"/>
      <c r="S967" s="9"/>
      <c r="T967" s="9"/>
      <c r="U967" s="9"/>
      <c r="V967" s="9"/>
      <c r="W967" s="9"/>
      <c r="X967" s="9"/>
      <c r="Y967" s="9"/>
      <c r="Z967" s="9"/>
      <c r="AA967" s="9"/>
      <c r="AB967" s="9"/>
      <c r="AC967" s="9"/>
      <c r="AD967" s="9"/>
      <c r="AE967" s="9"/>
      <c r="AF967" s="9"/>
      <c r="AG967" s="9"/>
      <c r="AH967" s="9"/>
    </row>
    <row r="968" ht="15.75" customHeight="1">
      <c r="A968" s="9"/>
      <c r="B968" s="197"/>
      <c r="D968" s="198"/>
      <c r="E968" s="8" t="s">
        <v>88</v>
      </c>
      <c r="F968" s="8" t="s">
        <v>221</v>
      </c>
      <c r="G968" s="42" t="str">
        <f>HYPERLINK("https://docs.google.com/spreadsheets/d/1JXlBYZHPgOx3nTjqdlTh1A-jZbzPcwpuJppI6QzTfbM/edit#gid=1957923064", "https://docs.google.com/spreadsheets/d/1JXlBYZHPgOx3nTjqdlTh1A-jZbzPcwpuJppI6QzTfbM/edit#gid=1957923064")</f>
        <v>https://docs.google.com/spreadsheets/d/1JXlBYZHPgOx3nTjqdlTh1A-jZbzPcwpuJppI6QzTfbM/edit#gid=1957923064</v>
      </c>
      <c r="H968" s="71" t="s">
        <v>221</v>
      </c>
      <c r="L968" s="9"/>
      <c r="M968" s="9"/>
      <c r="N968" s="9"/>
      <c r="O968" s="9"/>
      <c r="P968" s="9"/>
      <c r="Q968" s="9"/>
      <c r="R968" s="9"/>
      <c r="S968" s="9"/>
      <c r="T968" s="9"/>
      <c r="U968" s="9"/>
      <c r="V968" s="9"/>
      <c r="W968" s="9"/>
      <c r="X968" s="9"/>
      <c r="Y968" s="9"/>
      <c r="Z968" s="9"/>
      <c r="AA968" s="9"/>
      <c r="AB968" s="9"/>
      <c r="AC968" s="9"/>
      <c r="AD968" s="9"/>
      <c r="AE968" s="9"/>
      <c r="AF968" s="9"/>
      <c r="AG968" s="9"/>
      <c r="AH968" s="9"/>
    </row>
    <row r="969" ht="15.75" customHeight="1">
      <c r="A969" s="9"/>
      <c r="B969" s="197"/>
      <c r="D969" s="198"/>
      <c r="E969" s="8" t="s">
        <v>149</v>
      </c>
      <c r="F969" s="8" t="s">
        <v>150</v>
      </c>
      <c r="G969" s="42"/>
      <c r="H969" s="36"/>
      <c r="L969" s="9"/>
      <c r="M969" s="9"/>
      <c r="N969" s="9"/>
      <c r="O969" s="9"/>
      <c r="P969" s="9"/>
      <c r="Q969" s="9"/>
      <c r="R969" s="9"/>
      <c r="S969" s="9"/>
      <c r="T969" s="9"/>
      <c r="U969" s="9"/>
      <c r="V969" s="9"/>
      <c r="W969" s="9"/>
      <c r="X969" s="9"/>
      <c r="Y969" s="9"/>
      <c r="Z969" s="9"/>
      <c r="AA969" s="9"/>
      <c r="AB969" s="9"/>
      <c r="AC969" s="9"/>
      <c r="AD969" s="9"/>
      <c r="AE969" s="9"/>
      <c r="AF969" s="9"/>
      <c r="AG969" s="9"/>
      <c r="AH969" s="9"/>
    </row>
    <row r="970" ht="15.75" customHeight="1">
      <c r="A970" s="9"/>
      <c r="B970" s="197"/>
      <c r="D970" s="198"/>
      <c r="E970" s="8" t="s">
        <v>21</v>
      </c>
      <c r="F970" s="8" t="s">
        <v>51</v>
      </c>
      <c r="G970" s="42" t="str">
        <f>HYPERLINK("https://docs.google.com/spreadsheets/d/1JXlBYZHPgOx3nTjqdlTh1A-jZbzPcwpuJppI6QzTfbM/edit#gid=1253995905", "https://docs.google.com/spreadsheets/d/1JXlBYZHPgOx3nTjqdlTh1A-jZbzPcwpuJppI6QzTfbM/edit#gid=1253995905")</f>
        <v>https://docs.google.com/spreadsheets/d/1JXlBYZHPgOx3nTjqdlTh1A-jZbzPcwpuJppI6QzTfbM/edit#gid=1253995905</v>
      </c>
      <c r="H970" s="71" t="s">
        <v>51</v>
      </c>
      <c r="L970" s="9"/>
      <c r="M970" s="9"/>
      <c r="N970" s="9"/>
      <c r="O970" s="9"/>
      <c r="P970" s="9"/>
      <c r="Q970" s="9"/>
      <c r="R970" s="9"/>
      <c r="S970" s="9"/>
      <c r="T970" s="9"/>
      <c r="U970" s="9"/>
      <c r="V970" s="9"/>
      <c r="W970" s="9"/>
      <c r="X970" s="9"/>
      <c r="Y970" s="9"/>
      <c r="Z970" s="9"/>
      <c r="AA970" s="9"/>
      <c r="AB970" s="9"/>
      <c r="AC970" s="9"/>
      <c r="AD970" s="9"/>
      <c r="AE970" s="9"/>
      <c r="AF970" s="9"/>
      <c r="AG970" s="9"/>
      <c r="AH970" s="9"/>
    </row>
    <row r="971" ht="15.75" customHeight="1">
      <c r="A971" s="9"/>
      <c r="B971" s="197"/>
      <c r="D971" s="198"/>
      <c r="E971" s="8" t="s">
        <v>88</v>
      </c>
      <c r="F971" s="8" t="s">
        <v>95</v>
      </c>
      <c r="G971" s="42" t="str">
        <f>HYPERLINK("https://docs.google.com/spreadsheets/d/1JXlBYZHPgOx3nTjqdlTh1A-jZbzPcwpuJppI6QzTfbM/edit#gid=889559898", "https://docs.google.com/spreadsheets/d/1JXlBYZHPgOx3nTjqdlTh1A-jZbzPcwpuJppI6QzTfbM/edit#gid=889559898")</f>
        <v>https://docs.google.com/spreadsheets/d/1JXlBYZHPgOx3nTjqdlTh1A-jZbzPcwpuJppI6QzTfbM/edit#gid=889559898</v>
      </c>
      <c r="H971" s="71" t="s">
        <v>95</v>
      </c>
      <c r="L971" s="9"/>
      <c r="M971" s="9"/>
      <c r="N971" s="9"/>
      <c r="O971" s="9"/>
      <c r="P971" s="9"/>
      <c r="Q971" s="9"/>
      <c r="R971" s="9"/>
      <c r="S971" s="9"/>
      <c r="T971" s="9"/>
      <c r="U971" s="9"/>
      <c r="V971" s="9"/>
      <c r="W971" s="9"/>
      <c r="X971" s="9"/>
      <c r="Y971" s="9"/>
      <c r="Z971" s="9"/>
      <c r="AA971" s="9"/>
      <c r="AB971" s="9"/>
      <c r="AC971" s="9"/>
      <c r="AD971" s="9"/>
      <c r="AE971" s="9"/>
      <c r="AF971" s="9"/>
      <c r="AG971" s="9"/>
      <c r="AH971" s="9"/>
    </row>
    <row r="972" ht="15.75" customHeight="1">
      <c r="A972" s="9"/>
      <c r="B972" s="197"/>
      <c r="D972" s="198"/>
      <c r="E972" s="8" t="s">
        <v>88</v>
      </c>
      <c r="F972" s="8" t="s">
        <v>96</v>
      </c>
      <c r="G972" s="42" t="str">
        <f>HYPERLINK("https://docs.google.com/spreadsheets/d/1JXlBYZHPgOx3nTjqdlTh1A-jZbzPcwpuJppI6QzTfbM/edit#gid=1880168632", "https://docs.google.com/spreadsheets/d/1JXlBYZHPgOx3nTjqdlTh1A-jZbzPcwpuJppI6QzTfbM/edit#gid=1880168632")</f>
        <v>https://docs.google.com/spreadsheets/d/1JXlBYZHPgOx3nTjqdlTh1A-jZbzPcwpuJppI6QzTfbM/edit#gid=1880168632</v>
      </c>
      <c r="H972" s="71" t="s">
        <v>96</v>
      </c>
      <c r="L972" s="9"/>
      <c r="M972" s="9"/>
      <c r="N972" s="9"/>
      <c r="O972" s="9"/>
      <c r="P972" s="9"/>
      <c r="Q972" s="9"/>
      <c r="R972" s="9"/>
      <c r="S972" s="9"/>
      <c r="T972" s="9"/>
      <c r="U972" s="9"/>
      <c r="V972" s="9"/>
      <c r="W972" s="9"/>
      <c r="X972" s="9"/>
      <c r="Y972" s="9"/>
      <c r="Z972" s="9"/>
      <c r="AA972" s="9"/>
      <c r="AB972" s="9"/>
      <c r="AC972" s="9"/>
      <c r="AD972" s="9"/>
      <c r="AE972" s="9"/>
      <c r="AF972" s="9"/>
      <c r="AG972" s="9"/>
      <c r="AH972" s="9"/>
    </row>
    <row r="973" ht="15.75" customHeight="1">
      <c r="A973" s="9"/>
      <c r="B973" s="197"/>
      <c r="C973" s="198"/>
      <c r="D973" s="198"/>
      <c r="E973" s="9"/>
      <c r="F973" s="9"/>
      <c r="G973" s="42"/>
      <c r="L973" s="9"/>
      <c r="M973" s="9"/>
      <c r="N973" s="9"/>
      <c r="O973" s="9"/>
      <c r="P973" s="9"/>
      <c r="Q973" s="9"/>
      <c r="R973" s="9"/>
      <c r="S973" s="9"/>
      <c r="T973" s="9"/>
      <c r="U973" s="9"/>
      <c r="V973" s="9"/>
      <c r="W973" s="9"/>
      <c r="X973" s="9"/>
      <c r="Y973" s="9"/>
      <c r="Z973" s="9"/>
      <c r="AA973" s="9"/>
      <c r="AB973" s="9"/>
      <c r="AC973" s="9"/>
      <c r="AD973" s="9"/>
      <c r="AE973" s="9"/>
      <c r="AF973" s="9"/>
      <c r="AG973" s="9"/>
      <c r="AH973" s="9"/>
    </row>
    <row r="974" ht="15.75" customHeight="1">
      <c r="A974" s="9"/>
      <c r="B974" s="71" t="s">
        <v>1936</v>
      </c>
      <c r="C974" s="56" t="s">
        <v>1937</v>
      </c>
      <c r="D974" s="184" t="s">
        <v>20</v>
      </c>
      <c r="E974" s="8" t="s">
        <v>88</v>
      </c>
      <c r="F974" s="8" t="s">
        <v>89</v>
      </c>
      <c r="G974" s="42"/>
      <c r="H974" s="36"/>
      <c r="L974" s="9"/>
      <c r="M974" s="9"/>
      <c r="N974" s="9"/>
      <c r="O974" s="9"/>
      <c r="P974" s="9"/>
      <c r="Q974" s="9"/>
      <c r="R974" s="9"/>
      <c r="S974" s="9"/>
      <c r="T974" s="9"/>
      <c r="U974" s="9"/>
      <c r="V974" s="9"/>
      <c r="W974" s="9"/>
      <c r="X974" s="9"/>
      <c r="Y974" s="9"/>
      <c r="Z974" s="9"/>
      <c r="AA974" s="9"/>
      <c r="AB974" s="9"/>
      <c r="AC974" s="9"/>
      <c r="AD974" s="9"/>
      <c r="AE974" s="9"/>
      <c r="AF974" s="9"/>
      <c r="AG974" s="9"/>
      <c r="AH974" s="9"/>
    </row>
    <row r="975" ht="15.75" customHeight="1">
      <c r="A975" s="9"/>
      <c r="B975" s="197"/>
      <c r="D975" s="198"/>
      <c r="E975" s="8" t="s">
        <v>88</v>
      </c>
      <c r="F975" s="8" t="s">
        <v>221</v>
      </c>
      <c r="G975" s="42" t="str">
        <f>HYPERLINK("https://docs.google.com/spreadsheets/d/1ocuyqyuOr-ief_BX6USz6HhrQn8afguleJz68We0S4w/edit#gid=717139313", "https://docs.google.com/spreadsheets/d/1ocuyqyuOr-ief_BX6USz6HhrQn8afguleJz68We0S4w/edit#gid=717139313")</f>
        <v>https://docs.google.com/spreadsheets/d/1ocuyqyuOr-ief_BX6USz6HhrQn8afguleJz68We0S4w/edit#gid=717139313</v>
      </c>
      <c r="H975" s="71" t="s">
        <v>221</v>
      </c>
      <c r="L975" s="9"/>
      <c r="M975" s="9"/>
      <c r="N975" s="9"/>
      <c r="O975" s="9"/>
      <c r="P975" s="9"/>
      <c r="Q975" s="9"/>
      <c r="R975" s="9"/>
      <c r="S975" s="9"/>
      <c r="T975" s="9"/>
      <c r="U975" s="9"/>
      <c r="V975" s="9"/>
      <c r="W975" s="9"/>
      <c r="X975" s="9"/>
      <c r="Y975" s="9"/>
      <c r="Z975" s="9"/>
      <c r="AA975" s="9"/>
      <c r="AB975" s="9"/>
      <c r="AC975" s="9"/>
      <c r="AD975" s="9"/>
      <c r="AE975" s="9"/>
      <c r="AF975" s="9"/>
      <c r="AG975" s="9"/>
      <c r="AH975" s="9"/>
    </row>
    <row r="976" ht="15.75" customHeight="1">
      <c r="A976" s="9"/>
      <c r="B976" s="197"/>
      <c r="D976" s="198"/>
      <c r="E976" s="8" t="s">
        <v>149</v>
      </c>
      <c r="F976" s="8" t="s">
        <v>150</v>
      </c>
      <c r="G976" s="42"/>
      <c r="H976" s="36"/>
      <c r="L976" s="9"/>
      <c r="M976" s="9"/>
      <c r="N976" s="9"/>
      <c r="O976" s="9"/>
      <c r="P976" s="9"/>
      <c r="Q976" s="9"/>
      <c r="R976" s="9"/>
      <c r="S976" s="9"/>
      <c r="T976" s="9"/>
      <c r="U976" s="9"/>
      <c r="V976" s="9"/>
      <c r="W976" s="9"/>
      <c r="X976" s="9"/>
      <c r="Y976" s="9"/>
      <c r="Z976" s="9"/>
      <c r="AA976" s="9"/>
      <c r="AB976" s="9"/>
      <c r="AC976" s="9"/>
      <c r="AD976" s="9"/>
      <c r="AE976" s="9"/>
      <c r="AF976" s="9"/>
      <c r="AG976" s="9"/>
      <c r="AH976" s="9"/>
    </row>
    <row r="977" ht="15.75" customHeight="1">
      <c r="A977" s="9"/>
      <c r="B977" s="197"/>
      <c r="D977" s="198"/>
      <c r="E977" s="8" t="s">
        <v>21</v>
      </c>
      <c r="F977" s="8" t="s">
        <v>51</v>
      </c>
      <c r="G977" s="42" t="str">
        <f>HYPERLINK("https://docs.google.com/spreadsheets/d/1ocuyqyuOr-ief_BX6USz6HhrQn8afguleJz68We0S4w/edit#gid=1701617442", "https://docs.google.com/spreadsheets/d/1ocuyqyuOr-ief_BX6USz6HhrQn8afguleJz68We0S4w/edit#gid=1701617442")</f>
        <v>https://docs.google.com/spreadsheets/d/1ocuyqyuOr-ief_BX6USz6HhrQn8afguleJz68We0S4w/edit#gid=1701617442</v>
      </c>
      <c r="H977" s="71" t="s">
        <v>51</v>
      </c>
      <c r="L977" s="9"/>
      <c r="M977" s="9"/>
      <c r="N977" s="9"/>
      <c r="O977" s="9"/>
      <c r="P977" s="9"/>
      <c r="Q977" s="9"/>
      <c r="R977" s="9"/>
      <c r="S977" s="9"/>
      <c r="T977" s="9"/>
      <c r="U977" s="9"/>
      <c r="V977" s="9"/>
      <c r="W977" s="9"/>
      <c r="X977" s="9"/>
      <c r="Y977" s="9"/>
      <c r="Z977" s="9"/>
      <c r="AA977" s="9"/>
      <c r="AB977" s="9"/>
      <c r="AC977" s="9"/>
      <c r="AD977" s="9"/>
      <c r="AE977" s="9"/>
      <c r="AF977" s="9"/>
      <c r="AG977" s="9"/>
      <c r="AH977" s="9"/>
    </row>
    <row r="978" ht="15.75" customHeight="1">
      <c r="A978" s="9"/>
      <c r="B978" s="197"/>
      <c r="D978" s="198"/>
      <c r="E978" s="8" t="s">
        <v>88</v>
      </c>
      <c r="F978" s="8" t="s">
        <v>95</v>
      </c>
      <c r="G978" s="42" t="str">
        <f>HYPERLINK("https://docs.google.com/spreadsheets/d/1ocuyqyuOr-ief_BX6USz6HhrQn8afguleJz68We0S4w/edit#gid=1473028123", "https://docs.google.com/spreadsheets/d/1ocuyqyuOr-ief_BX6USz6HhrQn8afguleJz68We0S4w/edit#gid=1473028123")</f>
        <v>https://docs.google.com/spreadsheets/d/1ocuyqyuOr-ief_BX6USz6HhrQn8afguleJz68We0S4w/edit#gid=1473028123</v>
      </c>
      <c r="H978" s="71" t="s">
        <v>95</v>
      </c>
      <c r="L978" s="9"/>
      <c r="M978" s="9"/>
      <c r="N978" s="9"/>
      <c r="O978" s="9"/>
      <c r="P978" s="9"/>
      <c r="Q978" s="9"/>
      <c r="R978" s="9"/>
      <c r="S978" s="9"/>
      <c r="T978" s="9"/>
      <c r="U978" s="9"/>
      <c r="V978" s="9"/>
      <c r="W978" s="9"/>
      <c r="X978" s="9"/>
      <c r="Y978" s="9"/>
      <c r="Z978" s="9"/>
      <c r="AA978" s="9"/>
      <c r="AB978" s="9"/>
      <c r="AC978" s="9"/>
      <c r="AD978" s="9"/>
      <c r="AE978" s="9"/>
      <c r="AF978" s="9"/>
      <c r="AG978" s="9"/>
      <c r="AH978" s="9"/>
    </row>
    <row r="979" ht="15.75" customHeight="1">
      <c r="A979" s="9"/>
      <c r="B979" s="197"/>
      <c r="D979" s="198"/>
      <c r="E979" s="8" t="s">
        <v>88</v>
      </c>
      <c r="F979" s="8" t="s">
        <v>96</v>
      </c>
      <c r="G979" s="42" t="str">
        <f>HYPERLINK("https://docs.google.com/spreadsheets/d/1ocuyqyuOr-ief_BX6USz6HhrQn8afguleJz68We0S4w/edit#gid=659519547", "https://docs.google.com/spreadsheets/d/1ocuyqyuOr-ief_BX6USz6HhrQn8afguleJz68We0S4w/edit#gid=659519547")</f>
        <v>https://docs.google.com/spreadsheets/d/1ocuyqyuOr-ief_BX6USz6HhrQn8afguleJz68We0S4w/edit#gid=659519547</v>
      </c>
      <c r="H979" s="71" t="s">
        <v>96</v>
      </c>
      <c r="L979" s="9"/>
      <c r="M979" s="9"/>
      <c r="N979" s="9"/>
      <c r="O979" s="9"/>
      <c r="P979" s="9"/>
      <c r="Q979" s="9"/>
      <c r="R979" s="9"/>
      <c r="S979" s="9"/>
      <c r="T979" s="9"/>
      <c r="U979" s="9"/>
      <c r="V979" s="9"/>
      <c r="W979" s="9"/>
      <c r="X979" s="9"/>
      <c r="Y979" s="9"/>
      <c r="Z979" s="9"/>
      <c r="AA979" s="9"/>
      <c r="AB979" s="9"/>
      <c r="AC979" s="9"/>
      <c r="AD979" s="9"/>
      <c r="AE979" s="9"/>
      <c r="AF979" s="9"/>
      <c r="AG979" s="9"/>
      <c r="AH979" s="9"/>
    </row>
    <row r="980" ht="15.75" customHeight="1">
      <c r="A980" s="9"/>
      <c r="B980" s="197"/>
      <c r="C980" s="198"/>
      <c r="D980" s="198"/>
      <c r="E980" s="8" t="s">
        <v>88</v>
      </c>
      <c r="F980" s="8" t="s">
        <v>122</v>
      </c>
      <c r="G980" s="42" t="str">
        <f>HYPERLINK("https://docs.google.com/spreadsheets/d/1ocuyqyuOr-ief_BX6USz6HhrQn8afguleJz68We0S4w/edit#gid=992377123", "https://docs.google.com/spreadsheets/d/1ocuyqyuOr-ief_BX6USz6HhrQn8afguleJz68We0S4w/edit#gid=992377123")</f>
        <v>https://docs.google.com/spreadsheets/d/1ocuyqyuOr-ief_BX6USz6HhrQn8afguleJz68We0S4w/edit#gid=992377123</v>
      </c>
      <c r="H980" s="71" t="s">
        <v>122</v>
      </c>
      <c r="L980" s="9"/>
      <c r="M980" s="9"/>
      <c r="N980" s="9"/>
      <c r="O980" s="9"/>
      <c r="P980" s="9"/>
      <c r="Q980" s="9"/>
      <c r="R980" s="9"/>
      <c r="S980" s="9"/>
      <c r="T980" s="9"/>
      <c r="U980" s="9"/>
      <c r="V980" s="9"/>
      <c r="W980" s="9"/>
      <c r="X980" s="9"/>
      <c r="Y980" s="9"/>
      <c r="Z980" s="9"/>
      <c r="AA980" s="9"/>
      <c r="AB980" s="9"/>
      <c r="AC980" s="9"/>
      <c r="AD980" s="9"/>
      <c r="AE980" s="9"/>
      <c r="AF980" s="9"/>
      <c r="AG980" s="9"/>
      <c r="AH980" s="9"/>
    </row>
    <row r="981" ht="15.75" customHeight="1">
      <c r="A981" s="9"/>
      <c r="B981" s="197"/>
      <c r="C981" s="198"/>
      <c r="D981" s="198"/>
      <c r="E981" s="9"/>
      <c r="F981" s="9"/>
      <c r="G981" s="42"/>
      <c r="L981" s="9"/>
      <c r="M981" s="9"/>
      <c r="N981" s="9"/>
      <c r="O981" s="9"/>
      <c r="P981" s="9"/>
      <c r="Q981" s="9"/>
      <c r="R981" s="9"/>
      <c r="S981" s="9"/>
      <c r="T981" s="9"/>
      <c r="U981" s="9"/>
      <c r="V981" s="9"/>
      <c r="W981" s="9"/>
      <c r="X981" s="9"/>
      <c r="Y981" s="9"/>
      <c r="Z981" s="9"/>
      <c r="AA981" s="9"/>
      <c r="AB981" s="9"/>
      <c r="AC981" s="9"/>
      <c r="AD981" s="9"/>
      <c r="AE981" s="9"/>
      <c r="AF981" s="9"/>
      <c r="AG981" s="9"/>
      <c r="AH981" s="9"/>
    </row>
    <row r="982" ht="15.75" customHeight="1">
      <c r="A982" s="9"/>
      <c r="B982" s="71" t="s">
        <v>1938</v>
      </c>
      <c r="C982" s="56" t="s">
        <v>1937</v>
      </c>
      <c r="D982" s="184" t="s">
        <v>20</v>
      </c>
      <c r="E982" s="8" t="s">
        <v>88</v>
      </c>
      <c r="F982" s="8" t="s">
        <v>89</v>
      </c>
      <c r="G982" s="42"/>
      <c r="H982" s="36"/>
      <c r="L982" s="9"/>
      <c r="M982" s="9"/>
      <c r="N982" s="9"/>
      <c r="O982" s="9"/>
      <c r="P982" s="9"/>
      <c r="Q982" s="9"/>
      <c r="R982" s="9"/>
      <c r="S982" s="9"/>
      <c r="T982" s="9"/>
      <c r="U982" s="9"/>
      <c r="V982" s="9"/>
      <c r="W982" s="9"/>
      <c r="X982" s="9"/>
      <c r="Y982" s="9"/>
      <c r="Z982" s="9"/>
      <c r="AA982" s="9"/>
      <c r="AB982" s="9"/>
      <c r="AC982" s="9"/>
      <c r="AD982" s="9"/>
      <c r="AE982" s="9"/>
      <c r="AF982" s="9"/>
      <c r="AG982" s="9"/>
      <c r="AH982" s="9"/>
    </row>
    <row r="983" ht="15.75" customHeight="1">
      <c r="A983" s="9"/>
      <c r="B983" s="197"/>
      <c r="D983" s="198"/>
      <c r="E983" s="8" t="s">
        <v>88</v>
      </c>
      <c r="F983" s="8" t="s">
        <v>221</v>
      </c>
      <c r="G983" s="42" t="str">
        <f>HYPERLINK("https://docs.google.com/spreadsheets/d/1uS68Q3rSGaEKnbDzIXBfEzr7JxCqFnZ05gaXfTu176s/edit#gid=1305282152", "https://docs.google.com/spreadsheets/d/1uS68Q3rSGaEKnbDzIXBfEzr7JxCqFnZ05gaXfTu176s/edit#gid=1305282152")</f>
        <v>https://docs.google.com/spreadsheets/d/1uS68Q3rSGaEKnbDzIXBfEzr7JxCqFnZ05gaXfTu176s/edit#gid=1305282152</v>
      </c>
      <c r="H983" s="71" t="s">
        <v>221</v>
      </c>
      <c r="L983" s="9"/>
      <c r="M983" s="9"/>
      <c r="N983" s="9"/>
      <c r="O983" s="9"/>
      <c r="P983" s="9"/>
      <c r="Q983" s="9"/>
      <c r="R983" s="9"/>
      <c r="S983" s="9"/>
      <c r="T983" s="9"/>
      <c r="U983" s="9"/>
      <c r="V983" s="9"/>
      <c r="W983" s="9"/>
      <c r="X983" s="9"/>
      <c r="Y983" s="9"/>
      <c r="Z983" s="9"/>
      <c r="AA983" s="9"/>
      <c r="AB983" s="9"/>
      <c r="AC983" s="9"/>
      <c r="AD983" s="9"/>
      <c r="AE983" s="9"/>
      <c r="AF983" s="9"/>
      <c r="AG983" s="9"/>
      <c r="AH983" s="9"/>
    </row>
    <row r="984" ht="15.75" customHeight="1">
      <c r="A984" s="9"/>
      <c r="B984" s="197"/>
      <c r="D984" s="198"/>
      <c r="E984" s="8" t="s">
        <v>149</v>
      </c>
      <c r="F984" s="8" t="s">
        <v>150</v>
      </c>
      <c r="G984" s="42"/>
      <c r="H984" s="36"/>
      <c r="L984" s="9"/>
      <c r="M984" s="9"/>
      <c r="N984" s="9"/>
      <c r="O984" s="9"/>
      <c r="P984" s="9"/>
      <c r="Q984" s="9"/>
      <c r="R984" s="9"/>
      <c r="S984" s="9"/>
      <c r="T984" s="9"/>
      <c r="U984" s="9"/>
      <c r="V984" s="9"/>
      <c r="W984" s="9"/>
      <c r="X984" s="9"/>
      <c r="Y984" s="9"/>
      <c r="Z984" s="9"/>
      <c r="AA984" s="9"/>
      <c r="AB984" s="9"/>
      <c r="AC984" s="9"/>
      <c r="AD984" s="9"/>
      <c r="AE984" s="9"/>
      <c r="AF984" s="9"/>
      <c r="AG984" s="9"/>
      <c r="AH984" s="9"/>
    </row>
    <row r="985" ht="15.75" customHeight="1">
      <c r="A985" s="9"/>
      <c r="B985" s="197"/>
      <c r="D985" s="198"/>
      <c r="E985" s="8" t="s">
        <v>21</v>
      </c>
      <c r="F985" s="8" t="s">
        <v>51</v>
      </c>
      <c r="G985" s="42" t="str">
        <f>HYPERLINK("https://docs.google.com/spreadsheets/d/1uS68Q3rSGaEKnbDzIXBfEzr7JxCqFnZ05gaXfTu176s/edit#gid=1054535418", "https://docs.google.com/spreadsheets/d/1uS68Q3rSGaEKnbDzIXBfEzr7JxCqFnZ05gaXfTu176s/edit#gid=1054535418")</f>
        <v>https://docs.google.com/spreadsheets/d/1uS68Q3rSGaEKnbDzIXBfEzr7JxCqFnZ05gaXfTu176s/edit#gid=1054535418</v>
      </c>
      <c r="H985" s="71" t="s">
        <v>51</v>
      </c>
      <c r="L985" s="9"/>
      <c r="M985" s="9"/>
      <c r="N985" s="9"/>
      <c r="O985" s="9"/>
      <c r="P985" s="9"/>
      <c r="Q985" s="9"/>
      <c r="R985" s="9"/>
      <c r="S985" s="9"/>
      <c r="T985" s="9"/>
      <c r="U985" s="9"/>
      <c r="V985" s="9"/>
      <c r="W985" s="9"/>
      <c r="X985" s="9"/>
      <c r="Y985" s="9"/>
      <c r="Z985" s="9"/>
      <c r="AA985" s="9"/>
      <c r="AB985" s="9"/>
      <c r="AC985" s="9"/>
      <c r="AD985" s="9"/>
      <c r="AE985" s="9"/>
      <c r="AF985" s="9"/>
      <c r="AG985" s="9"/>
      <c r="AH985" s="9"/>
    </row>
    <row r="986" ht="15.75" customHeight="1">
      <c r="A986" s="9"/>
      <c r="B986" s="197"/>
      <c r="D986" s="198"/>
      <c r="E986" s="8" t="s">
        <v>88</v>
      </c>
      <c r="F986" s="8" t="s">
        <v>95</v>
      </c>
      <c r="G986" s="42" t="str">
        <f>HYPERLINK("https://docs.google.com/spreadsheets/d/1uS68Q3rSGaEKnbDzIXBfEzr7JxCqFnZ05gaXfTu176s/edit#gid=440022582", "https://docs.google.com/spreadsheets/d/1uS68Q3rSGaEKnbDzIXBfEzr7JxCqFnZ05gaXfTu176s/edit#gid=440022582")</f>
        <v>https://docs.google.com/spreadsheets/d/1uS68Q3rSGaEKnbDzIXBfEzr7JxCqFnZ05gaXfTu176s/edit#gid=440022582</v>
      </c>
      <c r="H986" s="71" t="s">
        <v>95</v>
      </c>
      <c r="L986" s="9"/>
      <c r="M986" s="9"/>
      <c r="N986" s="9"/>
      <c r="O986" s="9"/>
      <c r="P986" s="9"/>
      <c r="Q986" s="9"/>
      <c r="R986" s="9"/>
      <c r="S986" s="9"/>
      <c r="T986" s="9"/>
      <c r="U986" s="9"/>
      <c r="V986" s="9"/>
      <c r="W986" s="9"/>
      <c r="X986" s="9"/>
      <c r="Y986" s="9"/>
      <c r="Z986" s="9"/>
      <c r="AA986" s="9"/>
      <c r="AB986" s="9"/>
      <c r="AC986" s="9"/>
      <c r="AD986" s="9"/>
      <c r="AE986" s="9"/>
      <c r="AF986" s="9"/>
      <c r="AG986" s="9"/>
      <c r="AH986" s="9"/>
    </row>
    <row r="987" ht="15.75" customHeight="1">
      <c r="A987" s="9"/>
      <c r="B987" s="197"/>
      <c r="D987" s="198"/>
      <c r="E987" s="8" t="s">
        <v>88</v>
      </c>
      <c r="F987" s="8" t="s">
        <v>96</v>
      </c>
      <c r="G987" s="42" t="str">
        <f>HYPERLINK("https://docs.google.com/spreadsheets/d/1uS68Q3rSGaEKnbDzIXBfEzr7JxCqFnZ05gaXfTu176s/edit#gid=739058109", "https://docs.google.com/spreadsheets/d/1uS68Q3rSGaEKnbDzIXBfEzr7JxCqFnZ05gaXfTu176s/edit#gid=739058109")</f>
        <v>https://docs.google.com/spreadsheets/d/1uS68Q3rSGaEKnbDzIXBfEzr7JxCqFnZ05gaXfTu176s/edit#gid=739058109</v>
      </c>
      <c r="H987" s="71" t="s">
        <v>96</v>
      </c>
      <c r="L987" s="9"/>
      <c r="M987" s="9"/>
      <c r="N987" s="9"/>
      <c r="O987" s="9"/>
      <c r="P987" s="9"/>
      <c r="Q987" s="9"/>
      <c r="R987" s="9"/>
      <c r="S987" s="9"/>
      <c r="T987" s="9"/>
      <c r="U987" s="9"/>
      <c r="V987" s="9"/>
      <c r="W987" s="9"/>
      <c r="X987" s="9"/>
      <c r="Y987" s="9"/>
      <c r="Z987" s="9"/>
      <c r="AA987" s="9"/>
      <c r="AB987" s="9"/>
      <c r="AC987" s="9"/>
      <c r="AD987" s="9"/>
      <c r="AE987" s="9"/>
      <c r="AF987" s="9"/>
      <c r="AG987" s="9"/>
      <c r="AH987" s="9"/>
    </row>
    <row r="988" ht="15.75" customHeight="1">
      <c r="A988" s="9"/>
      <c r="B988" s="197"/>
      <c r="C988" s="198"/>
      <c r="D988" s="198"/>
      <c r="E988" s="9"/>
      <c r="F988" s="9"/>
      <c r="G988" s="42"/>
      <c r="L988" s="9"/>
      <c r="M988" s="9"/>
      <c r="N988" s="9"/>
      <c r="O988" s="9"/>
      <c r="P988" s="9"/>
      <c r="Q988" s="9"/>
      <c r="R988" s="9"/>
      <c r="S988" s="9"/>
      <c r="T988" s="9"/>
      <c r="U988" s="9"/>
      <c r="V988" s="9"/>
      <c r="W988" s="9"/>
      <c r="X988" s="9"/>
      <c r="Y988" s="9"/>
      <c r="Z988" s="9"/>
      <c r="AA988" s="9"/>
      <c r="AB988" s="9"/>
      <c r="AC988" s="9"/>
      <c r="AD988" s="9"/>
      <c r="AE988" s="9"/>
      <c r="AF988" s="9"/>
      <c r="AG988" s="9"/>
      <c r="AH988" s="9"/>
    </row>
    <row r="989" ht="15.75" customHeight="1">
      <c r="A989" s="9"/>
      <c r="B989" s="71" t="s">
        <v>1939</v>
      </c>
      <c r="C989" s="56" t="s">
        <v>1940</v>
      </c>
      <c r="D989" s="184" t="s">
        <v>20</v>
      </c>
      <c r="E989" s="8" t="s">
        <v>88</v>
      </c>
      <c r="F989" s="8" t="s">
        <v>89</v>
      </c>
      <c r="G989" s="42"/>
      <c r="H989" s="36"/>
      <c r="L989" s="9"/>
      <c r="M989" s="9"/>
      <c r="N989" s="9"/>
      <c r="O989" s="9"/>
      <c r="P989" s="9"/>
      <c r="Q989" s="9"/>
      <c r="R989" s="9"/>
      <c r="S989" s="9"/>
      <c r="T989" s="9"/>
      <c r="U989" s="9"/>
      <c r="V989" s="9"/>
      <c r="W989" s="9"/>
      <c r="X989" s="9"/>
      <c r="Y989" s="9"/>
      <c r="Z989" s="9"/>
      <c r="AA989" s="9"/>
      <c r="AB989" s="9"/>
      <c r="AC989" s="9"/>
      <c r="AD989" s="9"/>
      <c r="AE989" s="9"/>
      <c r="AF989" s="9"/>
      <c r="AG989" s="9"/>
      <c r="AH989" s="9"/>
    </row>
    <row r="990" ht="15.75" customHeight="1">
      <c r="A990" s="9"/>
      <c r="B990" s="197"/>
      <c r="D990" s="198"/>
      <c r="E990" s="8" t="s">
        <v>88</v>
      </c>
      <c r="F990" s="8" t="s">
        <v>221</v>
      </c>
      <c r="G990" s="42" t="str">
        <f>HYPERLINK("https://docs.google.com/spreadsheets/d/14oodLsdNuZssQZIoGnsm59iFHFF38_cd6Q-PrehFzrQ/edit#gid=1840731671", "https://docs.google.com/spreadsheets/d/14oodLsdNuZssQZIoGnsm59iFHFF38_cd6Q-PrehFzrQ/edit#gid=1840731671")</f>
        <v>https://docs.google.com/spreadsheets/d/14oodLsdNuZssQZIoGnsm59iFHFF38_cd6Q-PrehFzrQ/edit#gid=1840731671</v>
      </c>
      <c r="H990" s="35" t="s">
        <v>221</v>
      </c>
      <c r="L990" s="9"/>
      <c r="M990" s="9"/>
      <c r="N990" s="9"/>
      <c r="O990" s="9"/>
      <c r="P990" s="9"/>
      <c r="Q990" s="9"/>
      <c r="R990" s="9"/>
      <c r="S990" s="9"/>
      <c r="T990" s="9"/>
      <c r="U990" s="9"/>
      <c r="V990" s="9"/>
      <c r="W990" s="9"/>
      <c r="X990" s="9"/>
      <c r="Y990" s="9"/>
      <c r="Z990" s="9"/>
      <c r="AA990" s="9"/>
      <c r="AB990" s="9"/>
      <c r="AC990" s="9"/>
      <c r="AD990" s="9"/>
      <c r="AE990" s="9"/>
      <c r="AF990" s="9"/>
      <c r="AG990" s="9"/>
      <c r="AH990" s="9"/>
    </row>
    <row r="991" ht="15.75" customHeight="1">
      <c r="A991" s="9"/>
      <c r="B991" s="197"/>
      <c r="D991" s="198"/>
      <c r="E991" s="8" t="s">
        <v>149</v>
      </c>
      <c r="F991" s="8" t="s">
        <v>150</v>
      </c>
      <c r="G991" s="42"/>
      <c r="H991" s="36"/>
      <c r="L991" s="9"/>
      <c r="M991" s="9"/>
      <c r="N991" s="9"/>
      <c r="O991" s="9"/>
      <c r="P991" s="9"/>
      <c r="Q991" s="9"/>
      <c r="R991" s="9"/>
      <c r="S991" s="9"/>
      <c r="T991" s="9"/>
      <c r="U991" s="9"/>
      <c r="V991" s="9"/>
      <c r="W991" s="9"/>
      <c r="X991" s="9"/>
      <c r="Y991" s="9"/>
      <c r="Z991" s="9"/>
      <c r="AA991" s="9"/>
      <c r="AB991" s="9"/>
      <c r="AC991" s="9"/>
      <c r="AD991" s="9"/>
      <c r="AE991" s="9"/>
      <c r="AF991" s="9"/>
      <c r="AG991" s="9"/>
      <c r="AH991" s="9"/>
    </row>
    <row r="992" ht="15.75" customHeight="1">
      <c r="A992" s="9"/>
      <c r="B992" s="197"/>
      <c r="D992" s="198"/>
      <c r="E992" s="8" t="s">
        <v>21</v>
      </c>
      <c r="F992" s="8" t="s">
        <v>51</v>
      </c>
      <c r="G992" s="42" t="str">
        <f>HYPERLINK("https://docs.google.com/spreadsheets/d/14oodLsdNuZssQZIoGnsm59iFHFF38_cd6Q-PrehFzrQ/edit#gid=1383305295", "https://docs.google.com/spreadsheets/d/14oodLsdNuZssQZIoGnsm59iFHFF38_cd6Q-PrehFzrQ/edit#gid=1383305295")</f>
        <v>https://docs.google.com/spreadsheets/d/14oodLsdNuZssQZIoGnsm59iFHFF38_cd6Q-PrehFzrQ/edit#gid=1383305295</v>
      </c>
      <c r="H992" s="35" t="s">
        <v>51</v>
      </c>
      <c r="L992" s="9"/>
      <c r="M992" s="9"/>
      <c r="N992" s="9"/>
      <c r="O992" s="9"/>
      <c r="P992" s="9"/>
      <c r="Q992" s="9"/>
      <c r="R992" s="9"/>
      <c r="S992" s="9"/>
      <c r="T992" s="9"/>
      <c r="U992" s="9"/>
      <c r="V992" s="9"/>
      <c r="W992" s="9"/>
      <c r="X992" s="9"/>
      <c r="Y992" s="9"/>
      <c r="Z992" s="9"/>
      <c r="AA992" s="9"/>
      <c r="AB992" s="9"/>
      <c r="AC992" s="9"/>
      <c r="AD992" s="9"/>
      <c r="AE992" s="9"/>
      <c r="AF992" s="9"/>
      <c r="AG992" s="9"/>
      <c r="AH992" s="9"/>
    </row>
    <row r="993" ht="15.75" customHeight="1">
      <c r="A993" s="9"/>
      <c r="B993" s="197"/>
      <c r="D993" s="198"/>
      <c r="E993" s="8" t="s">
        <v>88</v>
      </c>
      <c r="F993" s="8" t="s">
        <v>95</v>
      </c>
      <c r="G993" s="42" t="str">
        <f>HYPERLINK("https://docs.google.com/spreadsheets/d/14oodLsdNuZssQZIoGnsm59iFHFF38_cd6Q-PrehFzrQ/edit#gid=1850238302", "https://docs.google.com/spreadsheets/d/14oodLsdNuZssQZIoGnsm59iFHFF38_cd6Q-PrehFzrQ/edit#gid=1850238302")</f>
        <v>https://docs.google.com/spreadsheets/d/14oodLsdNuZssQZIoGnsm59iFHFF38_cd6Q-PrehFzrQ/edit#gid=1850238302</v>
      </c>
      <c r="H993" s="35" t="s">
        <v>95</v>
      </c>
      <c r="L993" s="9"/>
      <c r="M993" s="9"/>
      <c r="N993" s="9"/>
      <c r="O993" s="9"/>
      <c r="P993" s="9"/>
      <c r="Q993" s="9"/>
      <c r="R993" s="9"/>
      <c r="S993" s="9"/>
      <c r="T993" s="9"/>
      <c r="U993" s="9"/>
      <c r="V993" s="9"/>
      <c r="W993" s="9"/>
      <c r="X993" s="9"/>
      <c r="Y993" s="9"/>
      <c r="Z993" s="9"/>
      <c r="AA993" s="9"/>
      <c r="AB993" s="9"/>
      <c r="AC993" s="9"/>
      <c r="AD993" s="9"/>
      <c r="AE993" s="9"/>
      <c r="AF993" s="9"/>
      <c r="AG993" s="9"/>
      <c r="AH993" s="9"/>
    </row>
    <row r="994" ht="15.75" customHeight="1">
      <c r="A994" s="9"/>
      <c r="B994" s="197"/>
      <c r="D994" s="198"/>
      <c r="E994" s="8" t="s">
        <v>88</v>
      </c>
      <c r="F994" s="8" t="s">
        <v>96</v>
      </c>
      <c r="G994" s="42" t="str">
        <f>HYPERLINK("https://docs.google.com/spreadsheets/d/14oodLsdNuZssQZIoGnsm59iFHFF38_cd6Q-PrehFzrQ/edit#gid=180490050", "https://docs.google.com/spreadsheets/d/14oodLsdNuZssQZIoGnsm59iFHFF38_cd6Q-PrehFzrQ/edit#gid=180490050")</f>
        <v>https://docs.google.com/spreadsheets/d/14oodLsdNuZssQZIoGnsm59iFHFF38_cd6Q-PrehFzrQ/edit#gid=180490050</v>
      </c>
      <c r="H994" s="35" t="s">
        <v>96</v>
      </c>
      <c r="L994" s="9"/>
      <c r="M994" s="9"/>
      <c r="N994" s="9"/>
      <c r="O994" s="9"/>
      <c r="P994" s="9"/>
      <c r="Q994" s="9"/>
      <c r="R994" s="9"/>
      <c r="S994" s="9"/>
      <c r="T994" s="9"/>
      <c r="U994" s="9"/>
      <c r="V994" s="9"/>
      <c r="W994" s="9"/>
      <c r="X994" s="9"/>
      <c r="Y994" s="9"/>
      <c r="Z994" s="9"/>
      <c r="AA994" s="9"/>
      <c r="AB994" s="9"/>
      <c r="AC994" s="9"/>
      <c r="AD994" s="9"/>
      <c r="AE994" s="9"/>
      <c r="AF994" s="9"/>
      <c r="AG994" s="9"/>
      <c r="AH994" s="9"/>
    </row>
    <row r="995" ht="15.75" customHeight="1">
      <c r="A995" s="9"/>
      <c r="B995" s="197"/>
      <c r="C995" s="198"/>
      <c r="D995" s="198"/>
      <c r="E995" s="9"/>
      <c r="F995" s="9"/>
      <c r="G995" s="42"/>
      <c r="L995" s="9"/>
      <c r="M995" s="9"/>
      <c r="N995" s="9"/>
      <c r="O995" s="9"/>
      <c r="P995" s="9"/>
      <c r="Q995" s="9"/>
      <c r="R995" s="9"/>
      <c r="S995" s="9"/>
      <c r="T995" s="9"/>
      <c r="U995" s="9"/>
      <c r="V995" s="9"/>
      <c r="W995" s="9"/>
      <c r="X995" s="9"/>
      <c r="Y995" s="9"/>
      <c r="Z995" s="9"/>
      <c r="AA995" s="9"/>
      <c r="AB995" s="9"/>
      <c r="AC995" s="9"/>
      <c r="AD995" s="9"/>
      <c r="AE995" s="9"/>
      <c r="AF995" s="9"/>
      <c r="AG995" s="9"/>
      <c r="AH995" s="9"/>
    </row>
    <row r="996" ht="15.75" customHeight="1">
      <c r="A996" s="9"/>
      <c r="B996" s="56" t="s">
        <v>1941</v>
      </c>
      <c r="C996" s="56" t="s">
        <v>1940</v>
      </c>
      <c r="D996" s="184" t="s">
        <v>20</v>
      </c>
      <c r="E996" s="8" t="s">
        <v>88</v>
      </c>
      <c r="F996" s="8" t="s">
        <v>89</v>
      </c>
      <c r="G996" s="42"/>
      <c r="H996" s="36"/>
      <c r="L996" s="9"/>
      <c r="M996" s="9"/>
      <c r="N996" s="9"/>
      <c r="O996" s="9"/>
      <c r="P996" s="9"/>
      <c r="Q996" s="9"/>
      <c r="R996" s="9"/>
      <c r="S996" s="9"/>
      <c r="T996" s="9"/>
      <c r="U996" s="9"/>
      <c r="V996" s="9"/>
      <c r="W996" s="9"/>
      <c r="X996" s="9"/>
      <c r="Y996" s="9"/>
      <c r="Z996" s="9"/>
      <c r="AA996" s="9"/>
      <c r="AB996" s="9"/>
      <c r="AC996" s="9"/>
      <c r="AD996" s="9"/>
      <c r="AE996" s="9"/>
      <c r="AF996" s="9"/>
      <c r="AG996" s="9"/>
      <c r="AH996" s="9"/>
    </row>
    <row r="997" ht="15.75" customHeight="1">
      <c r="A997" s="9"/>
      <c r="B997" s="197"/>
      <c r="D997" s="198"/>
      <c r="E997" s="8" t="s">
        <v>88</v>
      </c>
      <c r="F997" s="8" t="s">
        <v>221</v>
      </c>
      <c r="G997" s="42" t="str">
        <f>HYPERLINK("https://docs.google.com/spreadsheets/d/1aCVvg5wppZla_Tas-QG2qEVS5qDZ22ZZ2G4c5Ju2QVg/edit#gid=499802837", "https://docs.google.com/spreadsheets/d/1aCVvg5wppZla_Tas-QG2qEVS5qDZ22ZZ2G4c5Ju2QVg/edit#gid=499802837")</f>
        <v>https://docs.google.com/spreadsheets/d/1aCVvg5wppZla_Tas-QG2qEVS5qDZ22ZZ2G4c5Ju2QVg/edit#gid=499802837</v>
      </c>
      <c r="H997" s="35" t="s">
        <v>221</v>
      </c>
      <c r="L997" s="9"/>
      <c r="M997" s="9"/>
      <c r="N997" s="9"/>
      <c r="O997" s="9"/>
      <c r="P997" s="9"/>
      <c r="Q997" s="9"/>
      <c r="R997" s="9"/>
      <c r="S997" s="9"/>
      <c r="T997" s="9"/>
      <c r="U997" s="9"/>
      <c r="V997" s="9"/>
      <c r="W997" s="9"/>
      <c r="X997" s="9"/>
      <c r="Y997" s="9"/>
      <c r="Z997" s="9"/>
      <c r="AA997" s="9"/>
      <c r="AB997" s="9"/>
      <c r="AC997" s="9"/>
      <c r="AD997" s="9"/>
      <c r="AE997" s="9"/>
      <c r="AF997" s="9"/>
      <c r="AG997" s="9"/>
      <c r="AH997" s="9"/>
    </row>
    <row r="998" ht="15.75" customHeight="1">
      <c r="A998" s="9"/>
      <c r="B998" s="197"/>
      <c r="D998" s="198"/>
      <c r="E998" s="8" t="s">
        <v>149</v>
      </c>
      <c r="F998" s="8" t="s">
        <v>150</v>
      </c>
      <c r="G998" s="42"/>
      <c r="H998" s="36"/>
      <c r="L998" s="9"/>
      <c r="M998" s="9"/>
      <c r="N998" s="9"/>
      <c r="O998" s="9"/>
      <c r="P998" s="9"/>
      <c r="Q998" s="9"/>
      <c r="R998" s="9"/>
      <c r="S998" s="9"/>
      <c r="T998" s="9"/>
      <c r="U998" s="9"/>
      <c r="V998" s="9"/>
      <c r="W998" s="9"/>
      <c r="X998" s="9"/>
      <c r="Y998" s="9"/>
      <c r="Z998" s="9"/>
      <c r="AA998" s="9"/>
      <c r="AB998" s="9"/>
      <c r="AC998" s="9"/>
      <c r="AD998" s="9"/>
      <c r="AE998" s="9"/>
      <c r="AF998" s="9"/>
      <c r="AG998" s="9"/>
      <c r="AH998" s="9"/>
    </row>
    <row r="999" ht="15.75" customHeight="1">
      <c r="A999" s="9"/>
      <c r="B999" s="197"/>
      <c r="D999" s="198"/>
      <c r="E999" s="8" t="s">
        <v>21</v>
      </c>
      <c r="F999" s="8" t="s">
        <v>51</v>
      </c>
      <c r="G999" s="42" t="str">
        <f>HYPERLINK("https://docs.google.com/spreadsheets/d/1aCVvg5wppZla_Tas-QG2qEVS5qDZ22ZZ2G4c5Ju2QVg/edit#gid=663015161", "https://docs.google.com/spreadsheets/d/1aCVvg5wppZla_Tas-QG2qEVS5qDZ22ZZ2G4c5Ju2QVg/edit#gid=663015161")</f>
        <v>https://docs.google.com/spreadsheets/d/1aCVvg5wppZla_Tas-QG2qEVS5qDZ22ZZ2G4c5Ju2QVg/edit#gid=663015161</v>
      </c>
      <c r="H999" s="35" t="s">
        <v>51</v>
      </c>
      <c r="L999" s="9"/>
      <c r="M999" s="9"/>
      <c r="N999" s="9"/>
      <c r="O999" s="9"/>
      <c r="P999" s="9"/>
      <c r="Q999" s="9"/>
      <c r="R999" s="9"/>
      <c r="S999" s="9"/>
      <c r="T999" s="9"/>
      <c r="U999" s="9"/>
      <c r="V999" s="9"/>
      <c r="W999" s="9"/>
      <c r="X999" s="9"/>
      <c r="Y999" s="9"/>
      <c r="Z999" s="9"/>
      <c r="AA999" s="9"/>
      <c r="AB999" s="9"/>
      <c r="AC999" s="9"/>
      <c r="AD999" s="9"/>
      <c r="AE999" s="9"/>
      <c r="AF999" s="9"/>
      <c r="AG999" s="9"/>
      <c r="AH999" s="9"/>
    </row>
    <row r="1000" ht="15.75" customHeight="1">
      <c r="A1000" s="9"/>
      <c r="B1000" s="197"/>
      <c r="D1000" s="198"/>
      <c r="E1000" s="8" t="s">
        <v>88</v>
      </c>
      <c r="F1000" s="8" t="s">
        <v>95</v>
      </c>
      <c r="G1000" s="42" t="str">
        <f>HYPERLINK("https://docs.google.com/spreadsheets/d/1aCVvg5wppZla_Tas-QG2qEVS5qDZ22ZZ2G4c5Ju2QVg/edit#gid=506713747", "https://docs.google.com/spreadsheets/d/1aCVvg5wppZla_Tas-QG2qEVS5qDZ22ZZ2G4c5Ju2QVg/edit#gid=506713747")</f>
        <v>https://docs.google.com/spreadsheets/d/1aCVvg5wppZla_Tas-QG2qEVS5qDZ22ZZ2G4c5Ju2QVg/edit#gid=506713747</v>
      </c>
      <c r="H1000" s="35" t="s">
        <v>95</v>
      </c>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row>
    <row r="1001" ht="15.75" customHeight="1">
      <c r="A1001" s="9"/>
      <c r="B1001" s="197"/>
      <c r="D1001" s="198"/>
      <c r="E1001" s="8" t="s">
        <v>88</v>
      </c>
      <c r="F1001" s="8" t="s">
        <v>96</v>
      </c>
      <c r="G1001" s="42" t="str">
        <f>HYPERLINK("https://docs.google.com/spreadsheets/d/1aCVvg5wppZla_Tas-QG2qEVS5qDZ22ZZ2G4c5Ju2QVg/edit#gid=1855086056", "https://docs.google.com/spreadsheets/d/1aCVvg5wppZla_Tas-QG2qEVS5qDZ22ZZ2G4c5Ju2QVg/edit#gid=1855086056")</f>
        <v>https://docs.google.com/spreadsheets/d/1aCVvg5wppZla_Tas-QG2qEVS5qDZ22ZZ2G4c5Ju2QVg/edit#gid=1855086056</v>
      </c>
      <c r="H1001" s="35" t="s">
        <v>96</v>
      </c>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row>
    <row r="1002" ht="15.75" customHeight="1">
      <c r="A1002" s="9"/>
      <c r="B1002" s="197"/>
      <c r="C1002" s="198"/>
      <c r="D1002" s="198"/>
      <c r="E1002" s="9"/>
      <c r="F1002" s="9"/>
      <c r="G1002" s="42"/>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row>
    <row r="1003" ht="15.75" customHeight="1">
      <c r="A1003" s="9"/>
      <c r="B1003" s="71" t="s">
        <v>1942</v>
      </c>
      <c r="C1003" s="56" t="s">
        <v>1943</v>
      </c>
      <c r="D1003" s="184" t="s">
        <v>20</v>
      </c>
      <c r="E1003" s="8" t="s">
        <v>88</v>
      </c>
      <c r="F1003" s="8" t="s">
        <v>89</v>
      </c>
      <c r="G1003" s="42"/>
      <c r="H1003" s="36"/>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row>
    <row r="1004" ht="15.75" customHeight="1">
      <c r="A1004" s="9"/>
      <c r="B1004" s="197"/>
      <c r="D1004" s="198"/>
      <c r="E1004" s="8" t="s">
        <v>88</v>
      </c>
      <c r="F1004" s="8" t="s">
        <v>221</v>
      </c>
      <c r="G1004" s="42" t="str">
        <f>HYPERLINK("https://docs.google.com/spreadsheets/d/1xrA-muAa6_aGj1CaVBaDmFwOuB2hN9T6VteW41DPfBI/edit#gid=1812464410", "https://docs.google.com/spreadsheets/d/1xrA-muAa6_aGj1CaVBaDmFwOuB2hN9T6VteW41DPfBI/edit#gid=1812464410")</f>
        <v>https://docs.google.com/spreadsheets/d/1xrA-muAa6_aGj1CaVBaDmFwOuB2hN9T6VteW41DPfBI/edit#gid=1812464410</v>
      </c>
      <c r="H1004" s="35" t="s">
        <v>221</v>
      </c>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row>
    <row r="1005" ht="15.75" customHeight="1">
      <c r="A1005" s="9"/>
      <c r="B1005" s="197"/>
      <c r="D1005" s="198"/>
      <c r="E1005" s="8" t="s">
        <v>149</v>
      </c>
      <c r="F1005" s="8" t="s">
        <v>150</v>
      </c>
      <c r="G1005" s="42"/>
      <c r="H1005" s="36"/>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row>
    <row r="1006" ht="15.75" customHeight="1">
      <c r="A1006" s="9"/>
      <c r="B1006" s="197"/>
      <c r="D1006" s="198"/>
      <c r="E1006" s="8" t="s">
        <v>21</v>
      </c>
      <c r="F1006" s="8" t="s">
        <v>51</v>
      </c>
      <c r="G1006" s="42" t="str">
        <f>HYPERLINK("https://docs.google.com/spreadsheets/d/1xrA-muAa6_aGj1CaVBaDmFwOuB2hN9T6VteW41DPfBI/edit#gid=768378942", "https://docs.google.com/spreadsheets/d/1xrA-muAa6_aGj1CaVBaDmFwOuB2hN9T6VteW41DPfBI/edit#gid=768378942")</f>
        <v>https://docs.google.com/spreadsheets/d/1xrA-muAa6_aGj1CaVBaDmFwOuB2hN9T6VteW41DPfBI/edit#gid=768378942</v>
      </c>
      <c r="H1006" s="35" t="s">
        <v>51</v>
      </c>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row>
    <row r="1007" ht="15.75" customHeight="1">
      <c r="A1007" s="9"/>
      <c r="B1007" s="197"/>
      <c r="D1007" s="198"/>
      <c r="E1007" s="8" t="s">
        <v>88</v>
      </c>
      <c r="F1007" s="8" t="s">
        <v>95</v>
      </c>
      <c r="G1007" s="42" t="str">
        <f>HYPERLINK("https://docs.google.com/spreadsheets/d/1xrA-muAa6_aGj1CaVBaDmFwOuB2hN9T6VteW41DPfBI/edit#gid=700209663", "https://docs.google.com/spreadsheets/d/1xrA-muAa6_aGj1CaVBaDmFwOuB2hN9T6VteW41DPfBI/edit#gid=700209663")</f>
        <v>https://docs.google.com/spreadsheets/d/1xrA-muAa6_aGj1CaVBaDmFwOuB2hN9T6VteW41DPfBI/edit#gid=700209663</v>
      </c>
      <c r="H1007" s="35" t="s">
        <v>95</v>
      </c>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row>
    <row r="1008" ht="15.75" customHeight="1">
      <c r="A1008" s="9"/>
      <c r="B1008" s="197"/>
      <c r="D1008" s="198"/>
      <c r="E1008" s="8" t="s">
        <v>88</v>
      </c>
      <c r="F1008" s="8" t="s">
        <v>96</v>
      </c>
      <c r="G1008" s="42" t="str">
        <f>HYPERLINK("https://docs.google.com/spreadsheets/d/1xrA-muAa6_aGj1CaVBaDmFwOuB2hN9T6VteW41DPfBI/edit#gid=73090724", "https://docs.google.com/spreadsheets/d/1xrA-muAa6_aGj1CaVBaDmFwOuB2hN9T6VteW41DPfBI/edit#gid=73090724")</f>
        <v>https://docs.google.com/spreadsheets/d/1xrA-muAa6_aGj1CaVBaDmFwOuB2hN9T6VteW41DPfBI/edit#gid=73090724</v>
      </c>
      <c r="H1008" s="35" t="s">
        <v>96</v>
      </c>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row>
    <row r="1009" ht="15.75" customHeight="1">
      <c r="A1009" s="9"/>
      <c r="B1009" s="197"/>
      <c r="D1009" s="198"/>
      <c r="E1009" s="8" t="s">
        <v>88</v>
      </c>
      <c r="F1009" s="8" t="s">
        <v>122</v>
      </c>
      <c r="G1009" s="42" t="str">
        <f>HYPERLINK("https://docs.google.com/spreadsheets/d/1xrA-muAa6_aGj1CaVBaDmFwOuB2hN9T6VteW41DPfBI/edit#gid=1872954414", "https://docs.google.com/spreadsheets/d/1xrA-muAa6_aGj1CaVBaDmFwOuB2hN9T6VteW41DPfBI/edit#gid=1872954414")</f>
        <v>https://docs.google.com/spreadsheets/d/1xrA-muAa6_aGj1CaVBaDmFwOuB2hN9T6VteW41DPfBI/edit#gid=1872954414</v>
      </c>
      <c r="H1009" s="35" t="s">
        <v>122</v>
      </c>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row>
    <row r="1010" ht="15.75" customHeight="1">
      <c r="A1010" s="9"/>
      <c r="B1010" s="197"/>
      <c r="C1010" s="198"/>
      <c r="D1010" s="198"/>
      <c r="E1010" s="9"/>
      <c r="F1010" s="9"/>
      <c r="G1010" s="42"/>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row>
    <row r="1011" ht="15.75" customHeight="1">
      <c r="A1011" s="9"/>
      <c r="B1011" s="201" t="s">
        <v>1944</v>
      </c>
      <c r="C1011" s="56" t="s">
        <v>1945</v>
      </c>
      <c r="D1011" s="184" t="s">
        <v>20</v>
      </c>
      <c r="E1011" s="8" t="s">
        <v>88</v>
      </c>
      <c r="F1011" s="8" t="s">
        <v>89</v>
      </c>
      <c r="G1011" s="42"/>
      <c r="H1011" s="36"/>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row>
    <row r="1012" ht="15.75" customHeight="1">
      <c r="A1012" s="9"/>
      <c r="B1012" s="71"/>
      <c r="D1012" s="198"/>
      <c r="E1012" s="8" t="s">
        <v>88</v>
      </c>
      <c r="F1012" s="8" t="s">
        <v>221</v>
      </c>
      <c r="G1012" s="42" t="str">
        <f>HYPERLINK("https://docs.google.com/spreadsheets/d/1_sgzEhVWo8LCUONHexX4Ra7F4z290CbeueMzO5BBOl0/edit#gid=569734384", "https://docs.google.com/spreadsheets/d/1_sgzEhVWo8LCUONHexX4Ra7F4z290CbeueMzO5BBOl0/edit#gid=569734384")</f>
        <v>https://docs.google.com/spreadsheets/d/1_sgzEhVWo8LCUONHexX4Ra7F4z290CbeueMzO5BBOl0/edit#gid=569734384</v>
      </c>
      <c r="H1012" s="35" t="s">
        <v>221</v>
      </c>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row>
    <row r="1013" ht="15.75" customHeight="1">
      <c r="A1013" s="9"/>
      <c r="B1013" s="197"/>
      <c r="D1013" s="198"/>
      <c r="E1013" s="8" t="s">
        <v>149</v>
      </c>
      <c r="F1013" s="8" t="s">
        <v>150</v>
      </c>
      <c r="G1013" s="42"/>
      <c r="H1013" s="36"/>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row>
    <row r="1014" ht="15.75" customHeight="1">
      <c r="A1014" s="9"/>
      <c r="B1014" s="197"/>
      <c r="D1014" s="198"/>
      <c r="E1014" s="8" t="s">
        <v>21</v>
      </c>
      <c r="F1014" s="8" t="s">
        <v>51</v>
      </c>
      <c r="G1014" s="42" t="str">
        <f>HYPERLINK("https://docs.google.com/spreadsheets/d/1_sgzEhVWo8LCUONHexX4Ra7F4z290CbeueMzO5BBOl0/edit#gid=562060581", "https://docs.google.com/spreadsheets/d/1_sgzEhVWo8LCUONHexX4Ra7F4z290CbeueMzO5BBOl0/edit#gid=562060581")</f>
        <v>https://docs.google.com/spreadsheets/d/1_sgzEhVWo8LCUONHexX4Ra7F4z290CbeueMzO5BBOl0/edit#gid=562060581</v>
      </c>
      <c r="H1014" s="35" t="s">
        <v>51</v>
      </c>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row>
    <row r="1015" ht="15.75" customHeight="1">
      <c r="A1015" s="9"/>
      <c r="B1015" s="197"/>
      <c r="D1015" s="198"/>
      <c r="E1015" s="8" t="s">
        <v>88</v>
      </c>
      <c r="F1015" s="8" t="s">
        <v>95</v>
      </c>
      <c r="G1015" s="42" t="str">
        <f>HYPERLINK("https://docs.google.com/spreadsheets/d/1_sgzEhVWo8LCUONHexX4Ra7F4z290CbeueMzO5BBOl0/edit#gid=1146296263", "https://docs.google.com/spreadsheets/d/1_sgzEhVWo8LCUONHexX4Ra7F4z290CbeueMzO5BBOl0/edit#gid=1146296263")</f>
        <v>https://docs.google.com/spreadsheets/d/1_sgzEhVWo8LCUONHexX4Ra7F4z290CbeueMzO5BBOl0/edit#gid=1146296263</v>
      </c>
      <c r="H1015" s="35" t="s">
        <v>95</v>
      </c>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row>
    <row r="1016" ht="15.75" customHeight="1">
      <c r="A1016" s="9"/>
      <c r="B1016" s="197"/>
      <c r="D1016" s="198"/>
      <c r="E1016" s="8" t="s">
        <v>88</v>
      </c>
      <c r="F1016" s="8" t="s">
        <v>96</v>
      </c>
      <c r="G1016" s="42" t="str">
        <f>HYPERLINK("https://docs.google.com/spreadsheets/d/1_sgzEhVWo8LCUONHexX4Ra7F4z290CbeueMzO5BBOl0/edit#gid=918920390", "https://docs.google.com/spreadsheets/d/1_sgzEhVWo8LCUONHexX4Ra7F4z290CbeueMzO5BBOl0/edit#gid=918920390")</f>
        <v>https://docs.google.com/spreadsheets/d/1_sgzEhVWo8LCUONHexX4Ra7F4z290CbeueMzO5BBOl0/edit#gid=918920390</v>
      </c>
      <c r="H1016" s="35" t="s">
        <v>96</v>
      </c>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row>
    <row r="1017" ht="15.75" customHeight="1">
      <c r="A1017" s="9"/>
      <c r="B1017" s="56"/>
      <c r="C1017" s="184"/>
      <c r="D1017" s="184"/>
      <c r="E1017" s="8"/>
      <c r="F1017" s="8"/>
      <c r="G1017" s="42"/>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row>
    <row r="1018" ht="15.75" customHeight="1">
      <c r="A1018" s="9"/>
      <c r="B1018" s="56" t="s">
        <v>1946</v>
      </c>
      <c r="C1018" s="56" t="s">
        <v>1947</v>
      </c>
      <c r="D1018" s="184" t="s">
        <v>20</v>
      </c>
      <c r="E1018" s="8" t="s">
        <v>88</v>
      </c>
      <c r="F1018" s="8" t="s">
        <v>89</v>
      </c>
      <c r="G1018" s="42"/>
      <c r="H1018" s="36"/>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row>
    <row r="1019" ht="15.75" customHeight="1">
      <c r="A1019" s="9"/>
      <c r="B1019" s="197"/>
      <c r="D1019" s="198"/>
      <c r="E1019" s="8" t="s">
        <v>88</v>
      </c>
      <c r="F1019" s="8" t="s">
        <v>221</v>
      </c>
      <c r="G1019" s="42" t="str">
        <f>HYPERLINK("https://docs.google.com/spreadsheets/d/1pQsz0ctPd267STwFOa2FoRQkY6qdLeaccE2SYeoIwSk/edit#gid=1991422369", "https://docs.google.com/spreadsheets/d/1pQsz0ctPd267STwFOa2FoRQkY6qdLeaccE2SYeoIwSk/edit#gid=1991422369")</f>
        <v>https://docs.google.com/spreadsheets/d/1pQsz0ctPd267STwFOa2FoRQkY6qdLeaccE2SYeoIwSk/edit#gid=1991422369</v>
      </c>
      <c r="H1019" s="35" t="s">
        <v>221</v>
      </c>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row>
    <row r="1020" ht="15.75" customHeight="1">
      <c r="A1020" s="9"/>
      <c r="B1020" s="197"/>
      <c r="D1020" s="198"/>
      <c r="E1020" s="8" t="s">
        <v>149</v>
      </c>
      <c r="F1020" s="8" t="s">
        <v>150</v>
      </c>
      <c r="G1020" s="42"/>
      <c r="H1020" s="36"/>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row>
    <row r="1021" ht="15.75" customHeight="1">
      <c r="A1021" s="9"/>
      <c r="B1021" s="197"/>
      <c r="D1021" s="198"/>
      <c r="E1021" s="8" t="s">
        <v>21</v>
      </c>
      <c r="F1021" s="35" t="s">
        <v>51</v>
      </c>
      <c r="G1021" s="42" t="str">
        <f>HYPERLINK("https://docs.google.com/spreadsheets/d/1pQsz0ctPd267STwFOa2FoRQkY6qdLeaccE2SYeoIwSk/edit#gid=2045446337", "https://docs.google.com/spreadsheets/d/1pQsz0ctPd267STwFOa2FoRQkY6qdLeaccE2SYeoIwSk/edit#gid=2045446337")</f>
        <v>https://docs.google.com/spreadsheets/d/1pQsz0ctPd267STwFOa2FoRQkY6qdLeaccE2SYeoIwSk/edit#gid=2045446337</v>
      </c>
      <c r="H1021" s="35" t="s">
        <v>51</v>
      </c>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row>
    <row r="1022" ht="15.75" customHeight="1">
      <c r="A1022" s="9"/>
      <c r="B1022" s="197"/>
      <c r="D1022" s="198"/>
      <c r="E1022" s="8" t="s">
        <v>88</v>
      </c>
      <c r="F1022" s="8" t="s">
        <v>95</v>
      </c>
      <c r="G1022" s="42" t="str">
        <f>HYPERLINK("https://docs.google.com/spreadsheets/d/1pQsz0ctPd267STwFOa2FoRQkY6qdLeaccE2SYeoIwSk/edit#gid=1944995608", "https://docs.google.com/spreadsheets/d/1pQsz0ctPd267STwFOa2FoRQkY6qdLeaccE2SYeoIwSk/edit#gid=1944995608")</f>
        <v>https://docs.google.com/spreadsheets/d/1pQsz0ctPd267STwFOa2FoRQkY6qdLeaccE2SYeoIwSk/edit#gid=1944995608</v>
      </c>
      <c r="H1022" s="35" t="s">
        <v>95</v>
      </c>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row>
    <row r="1023" ht="15.75" customHeight="1">
      <c r="A1023" s="9"/>
      <c r="B1023" s="197"/>
      <c r="D1023" s="198"/>
      <c r="E1023" s="8" t="s">
        <v>88</v>
      </c>
      <c r="F1023" s="8" t="s">
        <v>96</v>
      </c>
      <c r="G1023" s="42" t="str">
        <f>HYPERLINK("https://docs.google.com/spreadsheets/d/1pQsz0ctPd267STwFOa2FoRQkY6qdLeaccE2SYeoIwSk/edit#gid=818615815", "https://docs.google.com/spreadsheets/d/1pQsz0ctPd267STwFOa2FoRQkY6qdLeaccE2SYeoIwSk/edit#gid=818615815")</f>
        <v>https://docs.google.com/spreadsheets/d/1pQsz0ctPd267STwFOa2FoRQkY6qdLeaccE2SYeoIwSk/edit#gid=818615815</v>
      </c>
      <c r="H1023" s="35" t="s">
        <v>96</v>
      </c>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row>
    <row r="1024" ht="15.75" customHeight="1">
      <c r="A1024" s="9"/>
      <c r="B1024" s="197"/>
      <c r="C1024" s="198"/>
      <c r="D1024" s="198"/>
      <c r="E1024" s="9"/>
      <c r="F1024" s="9"/>
      <c r="G1024" s="42"/>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row>
    <row r="1025" ht="15.75" customHeight="1">
      <c r="A1025" s="9"/>
      <c r="B1025" s="71" t="s">
        <v>1948</v>
      </c>
      <c r="C1025" s="56" t="s">
        <v>1943</v>
      </c>
      <c r="D1025" s="184" t="s">
        <v>20</v>
      </c>
      <c r="E1025" s="8" t="s">
        <v>88</v>
      </c>
      <c r="F1025" s="8" t="s">
        <v>89</v>
      </c>
      <c r="G1025" s="42"/>
      <c r="H1025" s="36"/>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row>
    <row r="1026" ht="15.75" customHeight="1">
      <c r="A1026" s="9"/>
      <c r="B1026" s="197"/>
      <c r="D1026" s="198"/>
      <c r="E1026" s="8" t="s">
        <v>88</v>
      </c>
      <c r="F1026" s="8" t="s">
        <v>221</v>
      </c>
      <c r="G1026" s="42" t="str">
        <f>HYPERLINK("https://docs.google.com/spreadsheets/d/1mjyCoXgc-7nwZf6FvjyqO3Z5LaQ9k3NI7Wmx5GAfeHk/edit#gid=927868105", "https://docs.google.com/spreadsheets/d/1mjyCoXgc-7nwZf6FvjyqO3Z5LaQ9k3NI7Wmx5GAfeHk/edit#gid=927868105")</f>
        <v>https://docs.google.com/spreadsheets/d/1mjyCoXgc-7nwZf6FvjyqO3Z5LaQ9k3NI7Wmx5GAfeHk/edit#gid=927868105</v>
      </c>
      <c r="H1026" s="8" t="s">
        <v>221</v>
      </c>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row>
    <row r="1027" ht="15.75" customHeight="1">
      <c r="A1027" s="9"/>
      <c r="B1027" s="197"/>
      <c r="D1027" s="198"/>
      <c r="E1027" s="8" t="s">
        <v>149</v>
      </c>
      <c r="F1027" s="8" t="s">
        <v>150</v>
      </c>
      <c r="G1027" s="42"/>
      <c r="H1027" s="36"/>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row>
    <row r="1028" ht="15.75" customHeight="1">
      <c r="A1028" s="9"/>
      <c r="B1028" s="197"/>
      <c r="D1028" s="198"/>
      <c r="E1028" s="8" t="s">
        <v>88</v>
      </c>
      <c r="F1028" s="8" t="s">
        <v>481</v>
      </c>
      <c r="G1028" s="42" t="str">
        <f>HYPERLINK("https://docs.google.com/spreadsheets/d/1mjyCoXgc-7nwZf6FvjyqO3Z5LaQ9k3NI7Wmx5GAfeHk/edit#gid=585466721", "https://docs.google.com/spreadsheets/d/1mjyCoXgc-7nwZf6FvjyqO3Z5LaQ9k3NI7Wmx5GAfeHk/edit#gid=585466721")</f>
        <v>https://docs.google.com/spreadsheets/d/1mjyCoXgc-7nwZf6FvjyqO3Z5LaQ9k3NI7Wmx5GAfeHk/edit#gid=585466721</v>
      </c>
      <c r="H1028" s="35" t="s">
        <v>481</v>
      </c>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row>
    <row r="1029" ht="15.75" customHeight="1">
      <c r="A1029" s="9"/>
      <c r="B1029" s="197"/>
      <c r="D1029" s="198"/>
      <c r="E1029" s="8" t="s">
        <v>88</v>
      </c>
      <c r="F1029" s="8" t="s">
        <v>515</v>
      </c>
      <c r="G1029" s="42" t="str">
        <f>HYPERLINK("https://docs.google.com/spreadsheets/d/1mjyCoXgc-7nwZf6FvjyqO3Z5LaQ9k3NI7Wmx5GAfeHk/edit#gid=136238600", "https://docs.google.com/spreadsheets/d/1mjyCoXgc-7nwZf6FvjyqO3Z5LaQ9k3NI7Wmx5GAfeHk/edit#gid=136238600")</f>
        <v>https://docs.google.com/spreadsheets/d/1mjyCoXgc-7nwZf6FvjyqO3Z5LaQ9k3NI7Wmx5GAfeHk/edit#gid=136238600</v>
      </c>
      <c r="H1029" s="35" t="s">
        <v>515</v>
      </c>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row>
    <row r="1030" ht="15.75" customHeight="1">
      <c r="A1030" s="9"/>
      <c r="B1030" s="197"/>
      <c r="D1030" s="198"/>
      <c r="E1030" s="8" t="s">
        <v>88</v>
      </c>
      <c r="F1030" s="8" t="s">
        <v>496</v>
      </c>
      <c r="G1030" s="42" t="str">
        <f>HYPERLINK("https://docs.google.com/spreadsheets/d/1mjyCoXgc-7nwZf6FvjyqO3Z5LaQ9k3NI7Wmx5GAfeHk/edit#gid=31493668", "https://docs.google.com/spreadsheets/d/1mjyCoXgc-7nwZf6FvjyqO3Z5LaQ9k3NI7Wmx5GAfeHk/edit#gid=31493668")</f>
        <v>https://docs.google.com/spreadsheets/d/1mjyCoXgc-7nwZf6FvjyqO3Z5LaQ9k3NI7Wmx5GAfeHk/edit#gid=31493668</v>
      </c>
      <c r="H1030" s="35" t="s">
        <v>496</v>
      </c>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row>
    <row r="1031" ht="15.75" customHeight="1">
      <c r="A1031" s="9"/>
      <c r="B1031" s="197"/>
      <c r="D1031" s="198"/>
      <c r="E1031" s="8" t="s">
        <v>88</v>
      </c>
      <c r="F1031" s="8" t="s">
        <v>570</v>
      </c>
      <c r="G1031" s="42"/>
      <c r="H1031" s="36"/>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row>
    <row r="1032" ht="15.75" customHeight="1">
      <c r="A1032" s="9"/>
      <c r="B1032" s="197"/>
      <c r="D1032" s="198"/>
      <c r="E1032" s="8" t="s">
        <v>88</v>
      </c>
      <c r="F1032" s="8" t="s">
        <v>598</v>
      </c>
      <c r="G1032" s="42"/>
      <c r="H1032" s="36"/>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row>
    <row r="1033" ht="15.75" customHeight="1">
      <c r="A1033" s="9"/>
      <c r="B1033" s="197"/>
      <c r="D1033" s="198"/>
      <c r="E1033" s="8" t="s">
        <v>21</v>
      </c>
      <c r="F1033" s="8" t="s">
        <v>51</v>
      </c>
      <c r="G1033" s="42" t="str">
        <f>HYPERLINK("https://docs.google.com/spreadsheets/d/1mjyCoXgc-7nwZf6FvjyqO3Z5LaQ9k3NI7Wmx5GAfeHk/edit#gid=1469883467", "https://docs.google.com/spreadsheets/d/1mjyCoXgc-7nwZf6FvjyqO3Z5LaQ9k3NI7Wmx5GAfeHk/edit#gid=1469883467")</f>
        <v>https://docs.google.com/spreadsheets/d/1mjyCoXgc-7nwZf6FvjyqO3Z5LaQ9k3NI7Wmx5GAfeHk/edit#gid=1469883467</v>
      </c>
      <c r="H1033" s="35" t="s">
        <v>51</v>
      </c>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row>
    <row r="1034" ht="15.75" customHeight="1">
      <c r="A1034" s="9"/>
      <c r="B1034" s="197"/>
      <c r="D1034" s="198"/>
      <c r="E1034" s="8" t="s">
        <v>88</v>
      </c>
      <c r="F1034" s="8" t="s">
        <v>120</v>
      </c>
      <c r="G1034" s="42" t="str">
        <f>HYPERLINK("https://docs.google.com/spreadsheets/d/1mjyCoXgc-7nwZf6FvjyqO3Z5LaQ9k3NI7Wmx5GAfeHk/edit#gid=373805664", "https://docs.google.com/spreadsheets/d/1mjyCoXgc-7nwZf6FvjyqO3Z5LaQ9k3NI7Wmx5GAfeHk/edit#gid=373805664")</f>
        <v>https://docs.google.com/spreadsheets/d/1mjyCoXgc-7nwZf6FvjyqO3Z5LaQ9k3NI7Wmx5GAfeHk/edit#gid=373805664</v>
      </c>
      <c r="H1034" s="35" t="s">
        <v>120</v>
      </c>
      <c r="L1034" s="9"/>
      <c r="M1034" s="9"/>
      <c r="N1034" s="9"/>
      <c r="O1034" s="9"/>
      <c r="P1034" s="9"/>
      <c r="Q1034" s="9"/>
      <c r="R1034" s="9"/>
      <c r="S1034" s="9"/>
      <c r="T1034" s="9"/>
      <c r="U1034" s="9"/>
      <c r="V1034" s="9"/>
      <c r="W1034" s="9"/>
      <c r="X1034" s="9"/>
      <c r="Y1034" s="9"/>
      <c r="Z1034" s="9"/>
      <c r="AA1034" s="9"/>
      <c r="AB1034" s="9"/>
      <c r="AC1034" s="9"/>
      <c r="AD1034" s="9"/>
      <c r="AE1034" s="9"/>
      <c r="AF1034" s="9"/>
      <c r="AG1034" s="9"/>
      <c r="AH1034" s="9"/>
    </row>
    <row r="1035" ht="15.75" customHeight="1">
      <c r="A1035" s="9"/>
      <c r="B1035" s="197"/>
      <c r="D1035" s="198"/>
      <c r="E1035" s="8" t="s">
        <v>88</v>
      </c>
      <c r="F1035" s="8" t="s">
        <v>246</v>
      </c>
      <c r="G1035" s="42" t="str">
        <f>HYPERLINK("https://docs.google.com/spreadsheets/d/1mjyCoXgc-7nwZf6FvjyqO3Z5LaQ9k3NI7Wmx5GAfeHk/edit#gid=1126858516", "https://docs.google.com/spreadsheets/d/1mjyCoXgc-7nwZf6FvjyqO3Z5LaQ9k3NI7Wmx5GAfeHk/edit#gid=1126858516")</f>
        <v>https://docs.google.com/spreadsheets/d/1mjyCoXgc-7nwZf6FvjyqO3Z5LaQ9k3NI7Wmx5GAfeHk/edit#gid=1126858516</v>
      </c>
      <c r="H1035" s="35" t="s">
        <v>246</v>
      </c>
      <c r="L1035" s="9"/>
      <c r="M1035" s="9"/>
      <c r="N1035" s="9"/>
      <c r="O1035" s="9"/>
      <c r="P1035" s="9"/>
      <c r="Q1035" s="9"/>
      <c r="R1035" s="9"/>
      <c r="S1035" s="9"/>
      <c r="T1035" s="9"/>
      <c r="U1035" s="9"/>
      <c r="V1035" s="9"/>
      <c r="W1035" s="9"/>
      <c r="X1035" s="9"/>
      <c r="Y1035" s="9"/>
      <c r="Z1035" s="9"/>
      <c r="AA1035" s="9"/>
      <c r="AB1035" s="9"/>
      <c r="AC1035" s="9"/>
      <c r="AD1035" s="9"/>
      <c r="AE1035" s="9"/>
      <c r="AF1035" s="9"/>
      <c r="AG1035" s="9"/>
      <c r="AH1035" s="9"/>
    </row>
    <row r="1036" ht="15.75" customHeight="1">
      <c r="A1036" s="9"/>
      <c r="B1036" s="197"/>
      <c r="D1036" s="198"/>
      <c r="E1036" s="8" t="s">
        <v>88</v>
      </c>
      <c r="F1036" s="8" t="s">
        <v>247</v>
      </c>
      <c r="G1036" s="42"/>
      <c r="H1036" s="36"/>
      <c r="L1036" s="9"/>
      <c r="M1036" s="9"/>
      <c r="N1036" s="9"/>
      <c r="O1036" s="9"/>
      <c r="P1036" s="9"/>
      <c r="Q1036" s="9"/>
      <c r="R1036" s="9"/>
      <c r="S1036" s="9"/>
      <c r="T1036" s="9"/>
      <c r="U1036" s="9"/>
      <c r="V1036" s="9"/>
      <c r="W1036" s="9"/>
      <c r="X1036" s="9"/>
      <c r="Y1036" s="9"/>
      <c r="Z1036" s="9"/>
      <c r="AA1036" s="9"/>
      <c r="AB1036" s="9"/>
      <c r="AC1036" s="9"/>
      <c r="AD1036" s="9"/>
      <c r="AE1036" s="9"/>
      <c r="AF1036" s="9"/>
      <c r="AG1036" s="9"/>
      <c r="AH1036" s="9"/>
    </row>
    <row r="1037" ht="15.75" customHeight="1">
      <c r="A1037" s="9"/>
      <c r="B1037" s="197"/>
      <c r="D1037" s="198"/>
      <c r="E1037" s="8" t="s">
        <v>21</v>
      </c>
      <c r="F1037" s="8" t="s">
        <v>51</v>
      </c>
      <c r="G1037" s="42" t="str">
        <f>HYPERLINK("https://docs.google.com/spreadsheets/d/1mjyCoXgc-7nwZf6FvjyqO3Z5LaQ9k3NI7Wmx5GAfeHk/edit#gid=548073470", "https://docs.google.com/spreadsheets/d/1mjyCoXgc-7nwZf6FvjyqO3Z5LaQ9k3NI7Wmx5GAfeHk/edit#gid=548073470")</f>
        <v>https://docs.google.com/spreadsheets/d/1mjyCoXgc-7nwZf6FvjyqO3Z5LaQ9k3NI7Wmx5GAfeHk/edit#gid=548073470</v>
      </c>
      <c r="H1037" s="35" t="s">
        <v>1383</v>
      </c>
      <c r="L1037" s="9"/>
      <c r="M1037" s="9"/>
      <c r="N1037" s="9"/>
      <c r="O1037" s="9"/>
      <c r="P1037" s="9"/>
      <c r="Q1037" s="9"/>
      <c r="R1037" s="9"/>
      <c r="S1037" s="9"/>
      <c r="T1037" s="9"/>
      <c r="U1037" s="9"/>
      <c r="V1037" s="9"/>
      <c r="W1037" s="9"/>
      <c r="X1037" s="9"/>
      <c r="Y1037" s="9"/>
      <c r="Z1037" s="9"/>
      <c r="AA1037" s="9"/>
      <c r="AB1037" s="9"/>
      <c r="AC1037" s="9"/>
      <c r="AD1037" s="9"/>
      <c r="AE1037" s="9"/>
      <c r="AF1037" s="9"/>
      <c r="AG1037" s="9"/>
      <c r="AH1037" s="9"/>
    </row>
    <row r="1038" ht="15.75" customHeight="1">
      <c r="A1038" s="9"/>
      <c r="B1038" s="197"/>
      <c r="D1038" s="198"/>
      <c r="E1038" s="8" t="s">
        <v>88</v>
      </c>
      <c r="F1038" s="8" t="s">
        <v>120</v>
      </c>
      <c r="G1038" s="42" t="str">
        <f>HYPERLINK("https://docs.google.com/spreadsheets/d/1mjyCoXgc-7nwZf6FvjyqO3Z5LaQ9k3NI7Wmx5GAfeHk/edit#gid=1436758879", "https://docs.google.com/spreadsheets/d/1mjyCoXgc-7nwZf6FvjyqO3Z5LaQ9k3NI7Wmx5GAfeHk/edit#gid=1436758879")</f>
        <v>https://docs.google.com/spreadsheets/d/1mjyCoXgc-7nwZf6FvjyqO3Z5LaQ9k3NI7Wmx5GAfeHk/edit#gid=1436758879</v>
      </c>
      <c r="H1038" s="35" t="s">
        <v>1845</v>
      </c>
      <c r="L1038" s="9"/>
      <c r="M1038" s="9"/>
      <c r="N1038" s="9"/>
      <c r="O1038" s="9"/>
      <c r="P1038" s="9"/>
      <c r="Q1038" s="9"/>
      <c r="R1038" s="9"/>
      <c r="S1038" s="9"/>
      <c r="T1038" s="9"/>
      <c r="U1038" s="9"/>
      <c r="V1038" s="9"/>
      <c r="W1038" s="9"/>
      <c r="X1038" s="9"/>
      <c r="Y1038" s="9"/>
      <c r="Z1038" s="9"/>
      <c r="AA1038" s="9"/>
      <c r="AB1038" s="9"/>
      <c r="AC1038" s="9"/>
      <c r="AD1038" s="9"/>
      <c r="AE1038" s="9"/>
      <c r="AF1038" s="9"/>
      <c r="AG1038" s="9"/>
      <c r="AH1038" s="9"/>
    </row>
    <row r="1039" ht="15.75" customHeight="1">
      <c r="A1039" s="9"/>
      <c r="B1039" s="197"/>
      <c r="D1039" s="198"/>
      <c r="E1039" s="8" t="s">
        <v>88</v>
      </c>
      <c r="F1039" s="8" t="s">
        <v>544</v>
      </c>
      <c r="G1039" s="42" t="str">
        <f>HYPERLINK("https://docs.google.com/spreadsheets/d/1mjyCoXgc-7nwZf6FvjyqO3Z5LaQ9k3NI7Wmx5GAfeHk/edit#gid=800491753", "https://docs.google.com/spreadsheets/d/1mjyCoXgc-7nwZf6FvjyqO3Z5LaQ9k3NI7Wmx5GAfeHk/edit#gid=800491753")</f>
        <v>https://docs.google.com/spreadsheets/d/1mjyCoXgc-7nwZf6FvjyqO3Z5LaQ9k3NI7Wmx5GAfeHk/edit#gid=800491753</v>
      </c>
      <c r="H1039" s="8" t="s">
        <v>544</v>
      </c>
      <c r="L1039" s="9"/>
      <c r="M1039" s="9"/>
      <c r="N1039" s="9"/>
      <c r="O1039" s="9"/>
      <c r="P1039" s="9"/>
      <c r="Q1039" s="9"/>
      <c r="R1039" s="9"/>
      <c r="S1039" s="9"/>
      <c r="T1039" s="9"/>
      <c r="U1039" s="9"/>
      <c r="V1039" s="9"/>
      <c r="W1039" s="9"/>
      <c r="X1039" s="9"/>
      <c r="Y1039" s="9"/>
      <c r="Z1039" s="9"/>
      <c r="AA1039" s="9"/>
      <c r="AB1039" s="9"/>
      <c r="AC1039" s="9"/>
      <c r="AD1039" s="9"/>
      <c r="AE1039" s="9"/>
      <c r="AF1039" s="9"/>
      <c r="AG1039" s="9"/>
      <c r="AH1039" s="9"/>
    </row>
    <row r="1040" ht="15.75" customHeight="1">
      <c r="A1040" s="9"/>
      <c r="B1040" s="197"/>
      <c r="D1040" s="198"/>
      <c r="E1040" s="8" t="s">
        <v>88</v>
      </c>
      <c r="F1040" s="8" t="s">
        <v>247</v>
      </c>
      <c r="G1040" s="42"/>
      <c r="H1040" s="36"/>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row>
    <row r="1041" ht="15.75" customHeight="1">
      <c r="A1041" s="9"/>
      <c r="B1041" s="197"/>
      <c r="D1041" s="198"/>
      <c r="E1041" s="8" t="s">
        <v>43</v>
      </c>
      <c r="F1041" s="8" t="s">
        <v>132</v>
      </c>
      <c r="G1041" s="42" t="str">
        <f>HYPERLINK("https://docs.google.com/spreadsheets/d/1mjyCoXgc-7nwZf6FvjyqO3Z5LaQ9k3NI7Wmx5GAfeHk/edit#gid=4949708", "https://docs.google.com/spreadsheets/d/1mjyCoXgc-7nwZf6FvjyqO3Z5LaQ9k3NI7Wmx5GAfeHk/edit#gid=4949708")</f>
        <v>https://docs.google.com/spreadsheets/d/1mjyCoXgc-7nwZf6FvjyqO3Z5LaQ9k3NI7Wmx5GAfeHk/edit#gid=4949708</v>
      </c>
      <c r="H1041" s="35" t="s">
        <v>132</v>
      </c>
      <c r="L1041" s="9"/>
      <c r="M1041" s="9"/>
      <c r="N1041" s="9"/>
      <c r="O1041" s="9"/>
      <c r="P1041" s="9"/>
      <c r="Q1041" s="9"/>
      <c r="R1041" s="9"/>
      <c r="S1041" s="9"/>
      <c r="T1041" s="9"/>
      <c r="U1041" s="9"/>
      <c r="V1041" s="9"/>
      <c r="W1041" s="9"/>
      <c r="X1041" s="9"/>
      <c r="Y1041" s="9"/>
      <c r="Z1041" s="9"/>
      <c r="AA1041" s="9"/>
      <c r="AB1041" s="9"/>
      <c r="AC1041" s="9"/>
      <c r="AD1041" s="9"/>
      <c r="AE1041" s="9"/>
      <c r="AF1041" s="9"/>
      <c r="AG1041" s="9"/>
      <c r="AH1041" s="9"/>
    </row>
    <row r="1042" ht="15.75" customHeight="1">
      <c r="A1042" s="9"/>
      <c r="B1042" s="197"/>
      <c r="D1042" s="198"/>
      <c r="E1042" s="8" t="s">
        <v>43</v>
      </c>
      <c r="F1042" s="8" t="s">
        <v>342</v>
      </c>
      <c r="G1042" s="42" t="str">
        <f>HYPERLINK("https://docs.google.com/spreadsheets/d/1mjyCoXgc-7nwZf6FvjyqO3Z5LaQ9k3NI7Wmx5GAfeHk/edit#gid=1284082374", "https://docs.google.com/spreadsheets/d/1mjyCoXgc-7nwZf6FvjyqO3Z5LaQ9k3NI7Wmx5GAfeHk/edit#gid=1284082374")</f>
        <v>https://docs.google.com/spreadsheets/d/1mjyCoXgc-7nwZf6FvjyqO3Z5LaQ9k3NI7Wmx5GAfeHk/edit#gid=1284082374</v>
      </c>
      <c r="H1042" s="35" t="s">
        <v>342</v>
      </c>
      <c r="L1042" s="9"/>
      <c r="M1042" s="9"/>
      <c r="N1042" s="9"/>
      <c r="O1042" s="9"/>
      <c r="P1042" s="9"/>
      <c r="Q1042" s="9"/>
      <c r="R1042" s="9"/>
      <c r="S1042" s="9"/>
      <c r="T1042" s="9"/>
      <c r="U1042" s="9"/>
      <c r="V1042" s="9"/>
      <c r="W1042" s="9"/>
      <c r="X1042" s="9"/>
      <c r="Y1042" s="9"/>
      <c r="Z1042" s="9"/>
      <c r="AA1042" s="9"/>
      <c r="AB1042" s="9"/>
      <c r="AC1042" s="9"/>
      <c r="AD1042" s="9"/>
      <c r="AE1042" s="9"/>
      <c r="AF1042" s="9"/>
      <c r="AG1042" s="9"/>
      <c r="AH1042" s="9"/>
    </row>
    <row r="1043" ht="15.75" customHeight="1">
      <c r="A1043" s="9"/>
      <c r="B1043" s="197"/>
      <c r="D1043" s="198"/>
      <c r="E1043" s="8" t="s">
        <v>43</v>
      </c>
      <c r="F1043" s="8" t="s">
        <v>343</v>
      </c>
      <c r="G1043" s="42" t="str">
        <f>HYPERLINK("https://docs.google.com/spreadsheets/d/1mjyCoXgc-7nwZf6FvjyqO3Z5LaQ9k3NI7Wmx5GAfeHk/edit#gid=282776031", "https://docs.google.com/spreadsheets/d/1mjyCoXgc-7nwZf6FvjyqO3Z5LaQ9k3NI7Wmx5GAfeHk/edit#gid=282776031")</f>
        <v>https://docs.google.com/spreadsheets/d/1mjyCoXgc-7nwZf6FvjyqO3Z5LaQ9k3NI7Wmx5GAfeHk/edit#gid=282776031</v>
      </c>
      <c r="H1043" s="35" t="s">
        <v>343</v>
      </c>
      <c r="L1043" s="9"/>
      <c r="M1043" s="9"/>
      <c r="N1043" s="9"/>
      <c r="O1043" s="9"/>
      <c r="P1043" s="9"/>
      <c r="Q1043" s="9"/>
      <c r="R1043" s="9"/>
      <c r="S1043" s="9"/>
      <c r="T1043" s="9"/>
      <c r="U1043" s="9"/>
      <c r="V1043" s="9"/>
      <c r="W1043" s="9"/>
      <c r="X1043" s="9"/>
      <c r="Y1043" s="9"/>
      <c r="Z1043" s="9"/>
      <c r="AA1043" s="9"/>
      <c r="AB1043" s="9"/>
      <c r="AC1043" s="9"/>
      <c r="AD1043" s="9"/>
      <c r="AE1043" s="9"/>
      <c r="AF1043" s="9"/>
      <c r="AG1043" s="9"/>
      <c r="AH1043" s="9"/>
    </row>
    <row r="1044" ht="15.75" customHeight="1">
      <c r="A1044" s="9"/>
      <c r="B1044" s="197"/>
      <c r="D1044" s="198"/>
      <c r="E1044" s="8" t="s">
        <v>43</v>
      </c>
      <c r="F1044" s="8" t="s">
        <v>53</v>
      </c>
      <c r="G1044" s="42" t="str">
        <f>HYPERLINK("https://docs.google.com/spreadsheets/d/1mjyCoXgc-7nwZf6FvjyqO3Z5LaQ9k3NI7Wmx5GAfeHk/edit#gid=1074081721", "https://docs.google.com/spreadsheets/d/1mjyCoXgc-7nwZf6FvjyqO3Z5LaQ9k3NI7Wmx5GAfeHk/edit#gid=1074081721")</f>
        <v>https://docs.google.com/spreadsheets/d/1mjyCoXgc-7nwZf6FvjyqO3Z5LaQ9k3NI7Wmx5GAfeHk/edit#gid=1074081721</v>
      </c>
      <c r="H1044" s="71" t="s">
        <v>53</v>
      </c>
      <c r="L1044" s="9"/>
      <c r="M1044" s="9"/>
      <c r="N1044" s="9"/>
      <c r="O1044" s="9"/>
      <c r="P1044" s="9"/>
      <c r="Q1044" s="9"/>
      <c r="R1044" s="9"/>
      <c r="S1044" s="9"/>
      <c r="T1044" s="9"/>
      <c r="U1044" s="9"/>
      <c r="V1044" s="9"/>
      <c r="W1044" s="9"/>
      <c r="X1044" s="9"/>
      <c r="Y1044" s="9"/>
      <c r="Z1044" s="9"/>
      <c r="AA1044" s="9"/>
      <c r="AB1044" s="9"/>
      <c r="AC1044" s="9"/>
      <c r="AD1044" s="9"/>
      <c r="AE1044" s="9"/>
      <c r="AF1044" s="9"/>
      <c r="AG1044" s="9"/>
      <c r="AH1044" s="9"/>
    </row>
    <row r="1045" ht="15.75" customHeight="1">
      <c r="A1045" s="9"/>
      <c r="B1045" s="197"/>
      <c r="D1045" s="198"/>
      <c r="E1045" s="8" t="s">
        <v>88</v>
      </c>
      <c r="F1045" s="8" t="s">
        <v>95</v>
      </c>
      <c r="G1045" s="84" t="str">
        <f>HYPERLINK("https://docs.google.com/spreadsheets/d/1mjyCoXgc-7nwZf6FvjyqO3Z5LaQ9k3NI7Wmx5GAfeHk/edit#gid=986263547", "https://docs.google.com/spreadsheets/d/1mjyCoXgc-7nwZf6FvjyqO3Z5LaQ9k3NI7Wmx5GAfeHk/edit#gid=986263547")</f>
        <v>https://docs.google.com/spreadsheets/d/1mjyCoXgc-7nwZf6FvjyqO3Z5LaQ9k3NI7Wmx5GAfeHk/edit#gid=986263547</v>
      </c>
      <c r="H1045" s="35" t="s">
        <v>95</v>
      </c>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row>
    <row r="1046" ht="15.75" customHeight="1">
      <c r="A1046" s="9"/>
      <c r="B1046" s="197"/>
      <c r="D1046" s="198"/>
      <c r="E1046" s="8" t="s">
        <v>88</v>
      </c>
      <c r="F1046" s="8" t="s">
        <v>96</v>
      </c>
      <c r="G1046" s="42" t="str">
        <f>HYPERLINK("https://docs.google.com/spreadsheets/d/1mjyCoXgc-7nwZf6FvjyqO3Z5LaQ9k3NI7Wmx5GAfeHk/edit#gid=447545357", "https://docs.google.com/spreadsheets/d/1mjyCoXgc-7nwZf6FvjyqO3Z5LaQ9k3NI7Wmx5GAfeHk/edit#gid=447545357")</f>
        <v>https://docs.google.com/spreadsheets/d/1mjyCoXgc-7nwZf6FvjyqO3Z5LaQ9k3NI7Wmx5GAfeHk/edit#gid=447545357</v>
      </c>
      <c r="H1046" s="35" t="s">
        <v>96</v>
      </c>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row>
    <row r="1047" ht="15.75" customHeight="1">
      <c r="A1047" s="9"/>
      <c r="B1047" s="197"/>
      <c r="D1047" s="198"/>
      <c r="E1047" s="8" t="s">
        <v>88</v>
      </c>
      <c r="F1047" s="8" t="s">
        <v>122</v>
      </c>
      <c r="G1047" s="42" t="str">
        <f>HYPERLINK("https://docs.google.com/spreadsheets/d/1mjyCoXgc-7nwZf6FvjyqO3Z5LaQ9k3NI7Wmx5GAfeHk/edit#gid=865649609", "https://docs.google.com/spreadsheets/d/1mjyCoXgc-7nwZf6FvjyqO3Z5LaQ9k3NI7Wmx5GAfeHk/edit#gid=865649609")</f>
        <v>https://docs.google.com/spreadsheets/d/1mjyCoXgc-7nwZf6FvjyqO3Z5LaQ9k3NI7Wmx5GAfeHk/edit#gid=865649609</v>
      </c>
      <c r="H1047" s="35" t="s">
        <v>122</v>
      </c>
      <c r="L1047" s="9"/>
      <c r="M1047" s="9"/>
      <c r="N1047" s="9"/>
      <c r="O1047" s="9"/>
      <c r="P1047" s="9"/>
      <c r="Q1047" s="9"/>
      <c r="R1047" s="9"/>
      <c r="S1047" s="9"/>
      <c r="T1047" s="9"/>
      <c r="U1047" s="9"/>
      <c r="V1047" s="9"/>
      <c r="W1047" s="9"/>
      <c r="X1047" s="9"/>
      <c r="Y1047" s="9"/>
      <c r="Z1047" s="9"/>
      <c r="AA1047" s="9"/>
      <c r="AB1047" s="9"/>
      <c r="AC1047" s="9"/>
      <c r="AD1047" s="9"/>
      <c r="AE1047" s="9"/>
      <c r="AF1047" s="9"/>
      <c r="AG1047" s="9"/>
      <c r="AH1047" s="9"/>
    </row>
    <row r="1048" ht="15.75" customHeight="1">
      <c r="A1048" s="9"/>
      <c r="B1048" s="197"/>
      <c r="C1048" s="198"/>
      <c r="D1048" s="198"/>
      <c r="E1048" s="8"/>
      <c r="F1048" s="8"/>
      <c r="G1048" s="42"/>
      <c r="H1048" s="36"/>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row>
    <row r="1049" ht="15.75" customHeight="1">
      <c r="A1049" s="9"/>
      <c r="B1049" s="197"/>
      <c r="C1049" s="198"/>
      <c r="D1049" s="198"/>
      <c r="E1049" s="9"/>
      <c r="F1049" s="9"/>
      <c r="G1049" s="42"/>
      <c r="L1049" s="9"/>
      <c r="M1049" s="9"/>
      <c r="N1049" s="9"/>
      <c r="O1049" s="9"/>
      <c r="P1049" s="9"/>
      <c r="Q1049" s="9"/>
      <c r="R1049" s="9"/>
      <c r="S1049" s="9"/>
      <c r="T1049" s="9"/>
      <c r="U1049" s="9"/>
      <c r="V1049" s="9"/>
      <c r="W1049" s="9"/>
      <c r="X1049" s="9"/>
      <c r="Y1049" s="9"/>
      <c r="Z1049" s="9"/>
      <c r="AA1049" s="9"/>
      <c r="AB1049" s="9"/>
      <c r="AC1049" s="9"/>
      <c r="AD1049" s="9"/>
      <c r="AE1049" s="9"/>
      <c r="AF1049" s="9"/>
      <c r="AG1049" s="9"/>
      <c r="AH1049" s="9"/>
    </row>
    <row r="1050" ht="15.75" customHeight="1">
      <c r="A1050" s="9"/>
      <c r="B1050" s="56" t="s">
        <v>1949</v>
      </c>
      <c r="C1050" s="56" t="s">
        <v>1950</v>
      </c>
      <c r="D1050" s="184" t="s">
        <v>20</v>
      </c>
      <c r="E1050" s="8" t="s">
        <v>86</v>
      </c>
      <c r="F1050" s="8" t="s">
        <v>87</v>
      </c>
      <c r="G1050" s="42"/>
      <c r="L1050" s="9"/>
      <c r="M1050" s="9"/>
      <c r="N1050" s="9"/>
      <c r="O1050" s="9"/>
      <c r="P1050" s="9"/>
      <c r="Q1050" s="9"/>
      <c r="R1050" s="9"/>
      <c r="S1050" s="9"/>
      <c r="T1050" s="9"/>
      <c r="U1050" s="9"/>
      <c r="V1050" s="9"/>
      <c r="W1050" s="9"/>
      <c r="X1050" s="9"/>
      <c r="Y1050" s="9"/>
      <c r="Z1050" s="9"/>
      <c r="AA1050" s="9"/>
      <c r="AB1050" s="9"/>
      <c r="AC1050" s="9"/>
      <c r="AD1050" s="9"/>
      <c r="AE1050" s="9"/>
      <c r="AF1050" s="9"/>
      <c r="AG1050" s="9"/>
      <c r="AH1050" s="9"/>
    </row>
    <row r="1051" ht="15.75" customHeight="1">
      <c r="A1051" s="9"/>
      <c r="B1051" s="197"/>
      <c r="D1051" s="198"/>
      <c r="E1051" s="8" t="s">
        <v>88</v>
      </c>
      <c r="F1051" s="8" t="s">
        <v>89</v>
      </c>
      <c r="G1051" s="42"/>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row>
    <row r="1052" ht="15.75" customHeight="1">
      <c r="A1052" s="9"/>
      <c r="B1052" s="197"/>
      <c r="D1052" s="198"/>
      <c r="E1052" s="8" t="s">
        <v>21</v>
      </c>
      <c r="F1052" s="8" t="s">
        <v>51</v>
      </c>
      <c r="G1052" s="42" t="str">
        <f>HYPERLINK("https://docs.google.com/spreadsheets/d/1gwOd34Tsp6vzR1OCfX6miIx0ifGmcw2vKLW4-b7yfS8/edit#gid=79742444", "https://docs.google.com/spreadsheets/d/1gwOd34Tsp6vzR1OCfX6miIx0ifGmcw2vKLW4-b7yfS8/edit#gid=79742444")</f>
        <v>https://docs.google.com/spreadsheets/d/1gwOd34Tsp6vzR1OCfX6miIx0ifGmcw2vKLW4-b7yfS8/edit#gid=79742444</v>
      </c>
      <c r="H1052" s="8" t="s">
        <v>51</v>
      </c>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row>
    <row r="1053" ht="15.75" customHeight="1">
      <c r="A1053" s="9"/>
      <c r="B1053" s="197"/>
      <c r="D1053" s="198"/>
      <c r="E1053" s="8" t="s">
        <v>88</v>
      </c>
      <c r="F1053" s="8" t="s">
        <v>95</v>
      </c>
      <c r="G1053" s="42" t="str">
        <f>HYPERLINK("https://docs.google.com/spreadsheets/d/1gwOd34Tsp6vzR1OCfX6miIx0ifGmcw2vKLW4-b7yfS8/edit#gid=2108354094", "https://docs.google.com/spreadsheets/d/1gwOd34Tsp6vzR1OCfX6miIx0ifGmcw2vKLW4-b7yfS8/edit#gid=2108354094")</f>
        <v>https://docs.google.com/spreadsheets/d/1gwOd34Tsp6vzR1OCfX6miIx0ifGmcw2vKLW4-b7yfS8/edit#gid=2108354094</v>
      </c>
      <c r="H1053" s="8" t="s">
        <v>95</v>
      </c>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row>
    <row r="1054" ht="15.75" customHeight="1">
      <c r="A1054" s="9"/>
      <c r="B1054" s="197"/>
      <c r="D1054" s="198"/>
      <c r="E1054" s="8" t="s">
        <v>88</v>
      </c>
      <c r="F1054" s="8" t="s">
        <v>122</v>
      </c>
      <c r="G1054" s="42" t="str">
        <f>HYPERLINK("https://docs.google.com/spreadsheets/d/1gwOd34Tsp6vzR1OCfX6miIx0ifGmcw2vKLW4-b7yfS8/edit#gid=1095042235", "https://docs.google.com/spreadsheets/d/1gwOd34Tsp6vzR1OCfX6miIx0ifGmcw2vKLW4-b7yfS8/edit#gid=1095042235")</f>
        <v>https://docs.google.com/spreadsheets/d/1gwOd34Tsp6vzR1OCfX6miIx0ifGmcw2vKLW4-b7yfS8/edit#gid=1095042235</v>
      </c>
      <c r="H1054" s="8" t="s">
        <v>122</v>
      </c>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row>
    <row r="1055" ht="15.75" customHeight="1">
      <c r="A1055" s="9"/>
      <c r="B1055" s="197"/>
      <c r="C1055" s="87"/>
      <c r="D1055" s="198"/>
      <c r="E1055" s="9"/>
      <c r="F1055" s="9"/>
      <c r="G1055" s="42"/>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row>
    <row r="1056" ht="15.75" customHeight="1">
      <c r="A1056" s="9"/>
      <c r="B1056" s="56" t="s">
        <v>1951</v>
      </c>
      <c r="C1056" s="56" t="s">
        <v>1952</v>
      </c>
      <c r="D1056" s="184" t="s">
        <v>20</v>
      </c>
      <c r="E1056" s="8" t="s">
        <v>86</v>
      </c>
      <c r="F1056" s="8" t="s">
        <v>87</v>
      </c>
      <c r="G1056" s="42"/>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row>
    <row r="1057" ht="15.75" customHeight="1">
      <c r="A1057" s="9"/>
      <c r="B1057" s="197"/>
      <c r="D1057" s="198"/>
      <c r="E1057" s="8" t="s">
        <v>88</v>
      </c>
      <c r="F1057" s="8" t="s">
        <v>89</v>
      </c>
      <c r="G1057" s="42"/>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row>
    <row r="1058" ht="15.75" customHeight="1">
      <c r="A1058" s="9"/>
      <c r="B1058" s="197"/>
      <c r="D1058" s="198"/>
      <c r="E1058" s="8" t="s">
        <v>21</v>
      </c>
      <c r="F1058" s="8" t="s">
        <v>51</v>
      </c>
      <c r="G1058" s="42" t="str">
        <f>HYPERLINK("https://docs.google.com/spreadsheets/d/14_4qV7nKtBIbNBCFAisYgd4ZyVmrKR6bvTVrR1TApvI/edit#gid=192034976", "https://docs.google.com/spreadsheets/d/14_4qV7nKtBIbNBCFAisYgd4ZyVmrKR6bvTVrR1TApvI/edit#gid=192034976")</f>
        <v>https://docs.google.com/spreadsheets/d/14_4qV7nKtBIbNBCFAisYgd4ZyVmrKR6bvTVrR1TApvI/edit#gid=192034976</v>
      </c>
      <c r="H1058" s="8" t="s">
        <v>51</v>
      </c>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row>
    <row r="1059" ht="15.75" customHeight="1">
      <c r="A1059" s="9"/>
      <c r="B1059" s="197"/>
      <c r="D1059" s="198"/>
      <c r="E1059" s="8" t="s">
        <v>88</v>
      </c>
      <c r="F1059" s="8" t="s">
        <v>95</v>
      </c>
      <c r="G1059" s="42" t="str">
        <f>HYPERLINK("https://docs.google.com/spreadsheets/d/14_4qV7nKtBIbNBCFAisYgd4ZyVmrKR6bvTVrR1TApvI/edit#gid=498176310", "https://docs.google.com/spreadsheets/d/14_4qV7nKtBIbNBCFAisYgd4ZyVmrKR6bvTVrR1TApvI/edit#gid=498176310")</f>
        <v>https://docs.google.com/spreadsheets/d/14_4qV7nKtBIbNBCFAisYgd4ZyVmrKR6bvTVrR1TApvI/edit#gid=498176310</v>
      </c>
      <c r="H1059" s="8" t="s">
        <v>95</v>
      </c>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row>
    <row r="1060" ht="15.75" customHeight="1">
      <c r="A1060" s="9"/>
      <c r="B1060" s="197"/>
      <c r="D1060" s="198"/>
      <c r="E1060" s="8" t="s">
        <v>88</v>
      </c>
      <c r="F1060" s="8" t="s">
        <v>122</v>
      </c>
      <c r="G1060" s="42" t="str">
        <f>HYPERLINK("https://docs.google.com/spreadsheets/d/14_4qV7nKtBIbNBCFAisYgd4ZyVmrKR6bvTVrR1TApvI/edit#gid=1518085500", "https://docs.google.com/spreadsheets/d/14_4qV7nKtBIbNBCFAisYgd4ZyVmrKR6bvTVrR1TApvI/edit#gid=1518085500")</f>
        <v>https://docs.google.com/spreadsheets/d/14_4qV7nKtBIbNBCFAisYgd4ZyVmrKR6bvTVrR1TApvI/edit#gid=1518085500</v>
      </c>
      <c r="H1060" s="8" t="s">
        <v>122</v>
      </c>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row>
    <row r="1061" ht="15.75" customHeight="1">
      <c r="A1061" s="9"/>
      <c r="B1061" s="197"/>
      <c r="D1061" s="198"/>
      <c r="E1061" s="8" t="s">
        <v>88</v>
      </c>
      <c r="F1061" s="8" t="s">
        <v>120</v>
      </c>
      <c r="G1061" s="42" t="str">
        <f>HYPERLINK("https://docs.google.com/spreadsheets/d/14_4qV7nKtBIbNBCFAisYgd4ZyVmrKR6bvTVrR1TApvI/edit#gid=1179992531", "https://docs.google.com/spreadsheets/d/14_4qV7nKtBIbNBCFAisYgd4ZyVmrKR6bvTVrR1TApvI/edit#gid=1179992531")</f>
        <v>https://docs.google.com/spreadsheets/d/14_4qV7nKtBIbNBCFAisYgd4ZyVmrKR6bvTVrR1TApvI/edit#gid=1179992531</v>
      </c>
      <c r="H1061" s="8" t="s">
        <v>120</v>
      </c>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row>
    <row r="1062" ht="15.75" customHeight="1">
      <c r="A1062" s="9"/>
      <c r="B1062" s="197"/>
      <c r="D1062" s="198"/>
      <c r="E1062" s="8" t="s">
        <v>88</v>
      </c>
      <c r="F1062" s="8" t="s">
        <v>246</v>
      </c>
      <c r="G1062" s="42" t="str">
        <f>HYPERLINK("https://docs.google.com/spreadsheets/d/14_4qV7nKtBIbNBCFAisYgd4ZyVmrKR6bvTVrR1TApvI/edit#gid=595767351", "https://docs.google.com/spreadsheets/d/14_4qV7nKtBIbNBCFAisYgd4ZyVmrKR6bvTVrR1TApvI/edit#gid=595767351")</f>
        <v>https://docs.google.com/spreadsheets/d/14_4qV7nKtBIbNBCFAisYgd4ZyVmrKR6bvTVrR1TApvI/edit#gid=595767351</v>
      </c>
      <c r="H1062" s="8" t="s">
        <v>246</v>
      </c>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row>
    <row r="1063" ht="15.75" customHeight="1">
      <c r="A1063" s="9"/>
      <c r="B1063" s="197"/>
      <c r="D1063" s="198"/>
      <c r="E1063" s="8" t="s">
        <v>88</v>
      </c>
      <c r="F1063" s="8" t="s">
        <v>247</v>
      </c>
      <c r="G1063" s="42"/>
      <c r="H1063" s="8"/>
      <c r="L1063" s="9"/>
      <c r="M1063" s="9"/>
      <c r="N1063" s="9"/>
      <c r="O1063" s="9"/>
      <c r="P1063" s="9"/>
      <c r="Q1063" s="9"/>
      <c r="R1063" s="9"/>
      <c r="S1063" s="9"/>
      <c r="T1063" s="9"/>
      <c r="U1063" s="9"/>
      <c r="V1063" s="9"/>
      <c r="W1063" s="9"/>
      <c r="X1063" s="9"/>
      <c r="Y1063" s="9"/>
      <c r="Z1063" s="9"/>
      <c r="AA1063" s="9"/>
      <c r="AB1063" s="9"/>
      <c r="AC1063" s="9"/>
      <c r="AD1063" s="9"/>
      <c r="AE1063" s="9"/>
      <c r="AF1063" s="9"/>
      <c r="AG1063" s="9"/>
      <c r="AH1063" s="9"/>
    </row>
    <row r="1064" ht="15.75" customHeight="1">
      <c r="A1064" s="9"/>
      <c r="B1064" s="197"/>
      <c r="D1064" s="198"/>
      <c r="E1064" s="8" t="s">
        <v>88</v>
      </c>
      <c r="F1064" s="8" t="s">
        <v>120</v>
      </c>
      <c r="G1064" s="42" t="str">
        <f>HYPERLINK("https://docs.google.com/spreadsheets/d/14_4qV7nKtBIbNBCFAisYgd4ZyVmrKR6bvTVrR1TApvI/edit#gid=381510082", "https://docs.google.com/spreadsheets/d/14_4qV7nKtBIbNBCFAisYgd4ZyVmrKR6bvTVrR1TApvI/edit#gid=381510082")</f>
        <v>https://docs.google.com/spreadsheets/d/14_4qV7nKtBIbNBCFAisYgd4ZyVmrKR6bvTVrR1TApvI/edit#gid=381510082</v>
      </c>
      <c r="H1064" s="8" t="s">
        <v>1845</v>
      </c>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row>
    <row r="1065" ht="15.75" customHeight="1">
      <c r="A1065" s="9"/>
      <c r="B1065" s="197"/>
      <c r="D1065" s="198"/>
      <c r="E1065" s="8" t="s">
        <v>88</v>
      </c>
      <c r="F1065" s="8" t="s">
        <v>246</v>
      </c>
      <c r="G1065" s="42" t="str">
        <f>HYPERLINK("https://docs.google.com/spreadsheets/d/14_4qV7nKtBIbNBCFAisYgd4ZyVmrKR6bvTVrR1TApvI/edit#gid=968149575", "https://docs.google.com/spreadsheets/d/14_4qV7nKtBIbNBCFAisYgd4ZyVmrKR6bvTVrR1TApvI/edit#gid=968149575")</f>
        <v>https://docs.google.com/spreadsheets/d/14_4qV7nKtBIbNBCFAisYgd4ZyVmrKR6bvTVrR1TApvI/edit#gid=968149575</v>
      </c>
      <c r="H1065" s="8" t="s">
        <v>1953</v>
      </c>
      <c r="L1065" s="9"/>
      <c r="M1065" s="9"/>
      <c r="N1065" s="9"/>
      <c r="O1065" s="9"/>
      <c r="P1065" s="9"/>
      <c r="Q1065" s="9"/>
      <c r="R1065" s="9"/>
      <c r="S1065" s="9"/>
      <c r="T1065" s="9"/>
      <c r="U1065" s="9"/>
      <c r="V1065" s="9"/>
      <c r="W1065" s="9"/>
      <c r="X1065" s="9"/>
      <c r="Y1065" s="9"/>
      <c r="Z1065" s="9"/>
      <c r="AA1065" s="9"/>
      <c r="AB1065" s="9"/>
      <c r="AC1065" s="9"/>
      <c r="AD1065" s="9"/>
      <c r="AE1065" s="9"/>
      <c r="AF1065" s="9"/>
      <c r="AG1065" s="9"/>
      <c r="AH1065" s="9"/>
    </row>
    <row r="1066" ht="15.75" customHeight="1">
      <c r="A1066" s="9"/>
      <c r="B1066" s="197"/>
      <c r="D1066" s="198"/>
      <c r="E1066" s="8" t="s">
        <v>88</v>
      </c>
      <c r="F1066" s="8" t="s">
        <v>247</v>
      </c>
      <c r="G1066" s="42"/>
      <c r="H1066" s="8"/>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row>
    <row r="1067" ht="15.75" customHeight="1">
      <c r="A1067" s="9"/>
      <c r="B1067" s="197"/>
      <c r="D1067" s="198"/>
      <c r="E1067" s="8" t="s">
        <v>88</v>
      </c>
      <c r="F1067" s="8" t="s">
        <v>120</v>
      </c>
      <c r="G1067" s="42" t="str">
        <f>HYPERLINK("https://docs.google.com/spreadsheets/d/14_4qV7nKtBIbNBCFAisYgd4ZyVmrKR6bvTVrR1TApvI/edit#gid=1065551702", "https://docs.google.com/spreadsheets/d/14_4qV7nKtBIbNBCFAisYgd4ZyVmrKR6bvTVrR1TApvI/edit#gid=1065551702")</f>
        <v>https://docs.google.com/spreadsheets/d/14_4qV7nKtBIbNBCFAisYgd4ZyVmrKR6bvTVrR1TApvI/edit#gid=1065551702</v>
      </c>
      <c r="H1067" s="8" t="s">
        <v>1824</v>
      </c>
      <c r="L1067" s="9"/>
      <c r="M1067" s="9"/>
      <c r="N1067" s="9"/>
      <c r="O1067" s="9"/>
      <c r="P1067" s="9"/>
      <c r="Q1067" s="9"/>
      <c r="R1067" s="9"/>
      <c r="S1067" s="9"/>
      <c r="T1067" s="9"/>
      <c r="U1067" s="9"/>
      <c r="V1067" s="9"/>
      <c r="W1067" s="9"/>
      <c r="X1067" s="9"/>
      <c r="Y1067" s="9"/>
      <c r="Z1067" s="9"/>
      <c r="AA1067" s="9"/>
      <c r="AB1067" s="9"/>
      <c r="AC1067" s="9"/>
      <c r="AD1067" s="9"/>
      <c r="AE1067" s="9"/>
      <c r="AF1067" s="9"/>
      <c r="AG1067" s="9"/>
      <c r="AH1067" s="9"/>
    </row>
    <row r="1068" ht="15.75" customHeight="1">
      <c r="A1068" s="9"/>
      <c r="B1068" s="197"/>
      <c r="D1068" s="198"/>
      <c r="E1068" s="8" t="s">
        <v>88</v>
      </c>
      <c r="F1068" s="8" t="s">
        <v>246</v>
      </c>
      <c r="G1068" s="42" t="str">
        <f>HYPERLINK("https://docs.google.com/spreadsheets/d/14_4qV7nKtBIbNBCFAisYgd4ZyVmrKR6bvTVrR1TApvI/edit#gid=388384935", "https://docs.google.com/spreadsheets/d/14_4qV7nKtBIbNBCFAisYgd4ZyVmrKR6bvTVrR1TApvI/edit#gid=388384935")</f>
        <v>https://docs.google.com/spreadsheets/d/14_4qV7nKtBIbNBCFAisYgd4ZyVmrKR6bvTVrR1TApvI/edit#gid=388384935</v>
      </c>
      <c r="H1068" s="8" t="s">
        <v>1954</v>
      </c>
      <c r="L1068" s="9"/>
      <c r="M1068" s="9"/>
      <c r="N1068" s="9"/>
      <c r="O1068" s="9"/>
      <c r="P1068" s="9"/>
      <c r="Q1068" s="9"/>
      <c r="R1068" s="9"/>
      <c r="S1068" s="9"/>
      <c r="T1068" s="9"/>
      <c r="U1068" s="9"/>
      <c r="V1068" s="9"/>
      <c r="W1068" s="9"/>
      <c r="X1068" s="9"/>
      <c r="Y1068" s="9"/>
      <c r="Z1068" s="9"/>
      <c r="AA1068" s="9"/>
      <c r="AB1068" s="9"/>
      <c r="AC1068" s="9"/>
      <c r="AD1068" s="9"/>
      <c r="AE1068" s="9"/>
      <c r="AF1068" s="9"/>
      <c r="AG1068" s="9"/>
      <c r="AH1068" s="9"/>
    </row>
    <row r="1069" ht="15.75" customHeight="1">
      <c r="A1069" s="9"/>
      <c r="B1069" s="197"/>
      <c r="D1069" s="198"/>
      <c r="E1069" s="8" t="s">
        <v>88</v>
      </c>
      <c r="F1069" s="8" t="s">
        <v>247</v>
      </c>
      <c r="G1069" s="42"/>
      <c r="H1069" s="36"/>
      <c r="L1069" s="9"/>
      <c r="M1069" s="9"/>
      <c r="N1069" s="9"/>
      <c r="O1069" s="9"/>
      <c r="P1069" s="9"/>
      <c r="Q1069" s="9"/>
      <c r="R1069" s="9"/>
      <c r="S1069" s="9"/>
      <c r="T1069" s="9"/>
      <c r="U1069" s="9"/>
      <c r="V1069" s="9"/>
      <c r="W1069" s="9"/>
      <c r="X1069" s="9"/>
      <c r="Y1069" s="9"/>
      <c r="Z1069" s="9"/>
      <c r="AA1069" s="9"/>
      <c r="AB1069" s="9"/>
      <c r="AC1069" s="9"/>
      <c r="AD1069" s="9"/>
      <c r="AE1069" s="9"/>
      <c r="AF1069" s="9"/>
      <c r="AG1069" s="9"/>
      <c r="AH1069" s="9"/>
    </row>
    <row r="1070" ht="15.75" customHeight="1">
      <c r="A1070" s="9"/>
      <c r="B1070" s="197"/>
      <c r="D1070" s="198"/>
      <c r="E1070" s="8" t="s">
        <v>88</v>
      </c>
      <c r="F1070" s="8" t="s">
        <v>96</v>
      </c>
      <c r="G1070" s="42" t="str">
        <f>HYPERLINK("https://docs.google.com/spreadsheets/d/14_4qV7nKtBIbNBCFAisYgd4ZyVmrKR6bvTVrR1TApvI/edit#gid=844759331", "https://docs.google.com/spreadsheets/d/14_4qV7nKtBIbNBCFAisYgd4ZyVmrKR6bvTVrR1TApvI/edit#gid=844759331")</f>
        <v>https://docs.google.com/spreadsheets/d/14_4qV7nKtBIbNBCFAisYgd4ZyVmrKR6bvTVrR1TApvI/edit#gid=844759331</v>
      </c>
      <c r="H1070" s="35" t="s">
        <v>96</v>
      </c>
      <c r="L1070" s="9"/>
      <c r="M1070" s="9"/>
      <c r="N1070" s="9"/>
      <c r="O1070" s="9"/>
      <c r="P1070" s="9"/>
      <c r="Q1070" s="9"/>
      <c r="R1070" s="9"/>
      <c r="S1070" s="9"/>
      <c r="T1070" s="9"/>
      <c r="U1070" s="9"/>
      <c r="V1070" s="9"/>
      <c r="W1070" s="9"/>
      <c r="X1070" s="9"/>
      <c r="Y1070" s="9"/>
      <c r="Z1070" s="9"/>
      <c r="AA1070" s="9"/>
      <c r="AB1070" s="9"/>
      <c r="AC1070" s="9"/>
      <c r="AD1070" s="9"/>
      <c r="AE1070" s="9"/>
      <c r="AF1070" s="9"/>
      <c r="AG1070" s="9"/>
      <c r="AH1070" s="9"/>
    </row>
    <row r="1071" ht="15.75" customHeight="1">
      <c r="A1071" s="9"/>
      <c r="B1071" s="197"/>
      <c r="D1071" s="198"/>
      <c r="E1071" s="8" t="s">
        <v>86</v>
      </c>
      <c r="F1071" s="8" t="s">
        <v>90</v>
      </c>
      <c r="G1071" s="42" t="str">
        <f>HYPERLINK("https://docs.google.com/spreadsheets/d/14_4qV7nKtBIbNBCFAisYgd4ZyVmrKR6bvTVrR1TApvI/edit#gid=1614531179", "https://docs.google.com/spreadsheets/d/14_4qV7nKtBIbNBCFAisYgd4ZyVmrKR6bvTVrR1TApvI/edit#gid=1614531179")</f>
        <v>https://docs.google.com/spreadsheets/d/14_4qV7nKtBIbNBCFAisYgd4ZyVmrKR6bvTVrR1TApvI/edit#gid=1614531179</v>
      </c>
      <c r="H1071" s="35" t="s">
        <v>90</v>
      </c>
      <c r="L1071" s="9"/>
      <c r="M1071" s="9"/>
      <c r="N1071" s="9"/>
      <c r="O1071" s="9"/>
      <c r="P1071" s="9"/>
      <c r="Q1071" s="9"/>
      <c r="R1071" s="9"/>
      <c r="S1071" s="9"/>
      <c r="T1071" s="9"/>
      <c r="U1071" s="9"/>
      <c r="V1071" s="9"/>
      <c r="W1071" s="9"/>
      <c r="X1071" s="9"/>
      <c r="Y1071" s="9"/>
      <c r="Z1071" s="9"/>
      <c r="AA1071" s="9"/>
      <c r="AB1071" s="9"/>
      <c r="AC1071" s="9"/>
      <c r="AD1071" s="9"/>
      <c r="AE1071" s="9"/>
      <c r="AF1071" s="9"/>
      <c r="AG1071" s="9"/>
      <c r="AH1071" s="9"/>
    </row>
    <row r="1072" ht="15.75" customHeight="1">
      <c r="A1072" s="9"/>
      <c r="B1072" s="197"/>
      <c r="D1072" s="198"/>
      <c r="E1072" s="8" t="s">
        <v>86</v>
      </c>
      <c r="F1072" s="8" t="s">
        <v>91</v>
      </c>
      <c r="G1072" s="42" t="str">
        <f>HYPERLINK("https://docs.google.com/spreadsheets/d/14_4qV7nKtBIbNBCFAisYgd4ZyVmrKR6bvTVrR1TApvI/edit#gid=1358621076", "https://docs.google.com/spreadsheets/d/14_4qV7nKtBIbNBCFAisYgd4ZyVmrKR6bvTVrR1TApvI/edit#gid=1358621076")</f>
        <v>https://docs.google.com/spreadsheets/d/14_4qV7nKtBIbNBCFAisYgd4ZyVmrKR6bvTVrR1TApvI/edit#gid=1358621076</v>
      </c>
      <c r="H1072" s="35" t="s">
        <v>91</v>
      </c>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row>
    <row r="1073" ht="15.75" customHeight="1">
      <c r="A1073" s="9"/>
      <c r="B1073" s="197"/>
      <c r="D1073" s="198"/>
      <c r="E1073" s="8" t="s">
        <v>86</v>
      </c>
      <c r="F1073" s="8" t="s">
        <v>338</v>
      </c>
      <c r="G1073" s="42" t="str">
        <f>HYPERLINK("https://docs.google.com/spreadsheets/d/14_4qV7nKtBIbNBCFAisYgd4ZyVmrKR6bvTVrR1TApvI/edit#gid=1315420534", "https://docs.google.com/spreadsheets/d/14_4qV7nKtBIbNBCFAisYgd4ZyVmrKR6bvTVrR1TApvI/edit#gid=1315420534")</f>
        <v>https://docs.google.com/spreadsheets/d/14_4qV7nKtBIbNBCFAisYgd4ZyVmrKR6bvTVrR1TApvI/edit#gid=1315420534</v>
      </c>
      <c r="H1073" s="35" t="s">
        <v>338</v>
      </c>
      <c r="L1073" s="9"/>
      <c r="M1073" s="9"/>
      <c r="N1073" s="9"/>
      <c r="O1073" s="9"/>
      <c r="P1073" s="9"/>
      <c r="Q1073" s="9"/>
      <c r="R1073" s="9"/>
      <c r="S1073" s="9"/>
      <c r="T1073" s="9"/>
      <c r="U1073" s="9"/>
      <c r="V1073" s="9"/>
      <c r="W1073" s="9"/>
      <c r="X1073" s="9"/>
      <c r="Y1073" s="9"/>
      <c r="Z1073" s="9"/>
      <c r="AA1073" s="9"/>
      <c r="AB1073" s="9"/>
      <c r="AC1073" s="9"/>
      <c r="AD1073" s="9"/>
      <c r="AE1073" s="9"/>
      <c r="AF1073" s="9"/>
      <c r="AG1073" s="9"/>
      <c r="AH1073" s="9"/>
    </row>
    <row r="1074" ht="15.75" customHeight="1">
      <c r="A1074" s="9"/>
      <c r="B1074" s="197"/>
      <c r="C1074" s="198"/>
      <c r="D1074" s="198"/>
      <c r="E1074" s="9"/>
      <c r="F1074" s="9"/>
      <c r="G1074" s="42"/>
      <c r="L1074" s="9"/>
      <c r="M1074" s="9"/>
      <c r="N1074" s="9"/>
      <c r="O1074" s="9"/>
      <c r="P1074" s="9"/>
      <c r="Q1074" s="9"/>
      <c r="R1074" s="9"/>
      <c r="S1074" s="9"/>
      <c r="T1074" s="9"/>
      <c r="U1074" s="9"/>
      <c r="V1074" s="9"/>
      <c r="W1074" s="9"/>
      <c r="X1074" s="9"/>
      <c r="Y1074" s="9"/>
      <c r="Z1074" s="9"/>
      <c r="AA1074" s="9"/>
      <c r="AB1074" s="9"/>
      <c r="AC1074" s="9"/>
      <c r="AD1074" s="9"/>
      <c r="AE1074" s="9"/>
      <c r="AF1074" s="9"/>
      <c r="AG1074" s="9"/>
      <c r="AH1074" s="9"/>
    </row>
    <row r="1075" ht="15.75" customHeight="1">
      <c r="A1075" s="9"/>
      <c r="B1075" s="56" t="s">
        <v>1955</v>
      </c>
      <c r="C1075" s="56" t="s">
        <v>1956</v>
      </c>
      <c r="D1075" s="184" t="s">
        <v>20</v>
      </c>
      <c r="E1075" s="8" t="s">
        <v>86</v>
      </c>
      <c r="F1075" s="8" t="s">
        <v>87</v>
      </c>
      <c r="G1075" s="42"/>
      <c r="L1075" s="9"/>
      <c r="M1075" s="9"/>
      <c r="N1075" s="9"/>
      <c r="O1075" s="9"/>
      <c r="P1075" s="9"/>
      <c r="Q1075" s="9"/>
      <c r="R1075" s="9"/>
      <c r="S1075" s="9"/>
      <c r="T1075" s="9"/>
      <c r="U1075" s="9"/>
      <c r="V1075" s="9"/>
      <c r="W1075" s="9"/>
      <c r="X1075" s="9"/>
      <c r="Y1075" s="9"/>
      <c r="Z1075" s="9"/>
      <c r="AA1075" s="9"/>
      <c r="AB1075" s="9"/>
      <c r="AC1075" s="9"/>
      <c r="AD1075" s="9"/>
      <c r="AE1075" s="9"/>
      <c r="AF1075" s="9"/>
      <c r="AG1075" s="9"/>
      <c r="AH1075" s="9"/>
    </row>
    <row r="1076" ht="15.75" customHeight="1">
      <c r="A1076" s="9"/>
      <c r="B1076" s="197"/>
      <c r="D1076" s="198"/>
      <c r="E1076" s="8" t="s">
        <v>88</v>
      </c>
      <c r="F1076" s="8" t="s">
        <v>89</v>
      </c>
      <c r="G1076" s="42"/>
      <c r="L1076" s="9"/>
      <c r="M1076" s="9"/>
      <c r="N1076" s="9"/>
      <c r="O1076" s="9"/>
      <c r="P1076" s="9"/>
      <c r="Q1076" s="9"/>
      <c r="R1076" s="9"/>
      <c r="S1076" s="9"/>
      <c r="T1076" s="9"/>
      <c r="U1076" s="9"/>
      <c r="V1076" s="9"/>
      <c r="W1076" s="9"/>
      <c r="X1076" s="9"/>
      <c r="Y1076" s="9"/>
      <c r="Z1076" s="9"/>
      <c r="AA1076" s="9"/>
      <c r="AB1076" s="9"/>
      <c r="AC1076" s="9"/>
      <c r="AD1076" s="9"/>
      <c r="AE1076" s="9"/>
      <c r="AF1076" s="9"/>
      <c r="AG1076" s="9"/>
      <c r="AH1076" s="9"/>
    </row>
    <row r="1077" ht="15.75" customHeight="1">
      <c r="A1077" s="9"/>
      <c r="B1077" s="197"/>
      <c r="D1077" s="198"/>
      <c r="E1077" s="8" t="s">
        <v>21</v>
      </c>
      <c r="F1077" s="8" t="s">
        <v>51</v>
      </c>
      <c r="G1077" s="42" t="str">
        <f>HYPERLINK("https://docs.google.com/spreadsheets/d/1uLXUgrKE54ElzyvXEa66HZkZxV2hFpRrjhx73f6zetE/edit#gid=1856199216", "https://docs.google.com/spreadsheets/d/1uLXUgrKE54ElzyvXEa66HZkZxV2hFpRrjhx73f6zetE/edit#gid=1856199216")</f>
        <v>https://docs.google.com/spreadsheets/d/1uLXUgrKE54ElzyvXEa66HZkZxV2hFpRrjhx73f6zetE/edit#gid=1856199216</v>
      </c>
      <c r="H1077" s="35" t="s">
        <v>51</v>
      </c>
      <c r="L1077" s="9"/>
      <c r="M1077" s="9"/>
      <c r="N1077" s="9"/>
      <c r="O1077" s="9"/>
      <c r="P1077" s="9"/>
      <c r="Q1077" s="9"/>
      <c r="R1077" s="9"/>
      <c r="S1077" s="9"/>
      <c r="T1077" s="9"/>
      <c r="U1077" s="9"/>
      <c r="V1077" s="9"/>
      <c r="W1077" s="9"/>
      <c r="X1077" s="9"/>
      <c r="Y1077" s="9"/>
      <c r="Z1077" s="9"/>
      <c r="AA1077" s="9"/>
      <c r="AB1077" s="9"/>
      <c r="AC1077" s="9"/>
      <c r="AD1077" s="9"/>
      <c r="AE1077" s="9"/>
      <c r="AF1077" s="9"/>
      <c r="AG1077" s="9"/>
      <c r="AH1077" s="9"/>
    </row>
    <row r="1078" ht="15.75" customHeight="1">
      <c r="A1078" s="9"/>
      <c r="B1078" s="197"/>
      <c r="D1078" s="198"/>
      <c r="E1078" s="8" t="s">
        <v>88</v>
      </c>
      <c r="F1078" s="8" t="s">
        <v>95</v>
      </c>
      <c r="G1078" s="42" t="str">
        <f>HYPERLINK("https://docs.google.com/spreadsheets/d/1uLXUgrKE54ElzyvXEa66HZkZxV2hFpRrjhx73f6zetE/edit#gid=2125159372", "https://docs.google.com/spreadsheets/d/1uLXUgrKE54ElzyvXEa66HZkZxV2hFpRrjhx73f6zetE/edit#gid=2125159372")</f>
        <v>https://docs.google.com/spreadsheets/d/1uLXUgrKE54ElzyvXEa66HZkZxV2hFpRrjhx73f6zetE/edit#gid=2125159372</v>
      </c>
      <c r="H1078" s="35" t="s">
        <v>95</v>
      </c>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row>
    <row r="1079" ht="15.75" customHeight="1">
      <c r="A1079" s="9"/>
      <c r="B1079" s="197"/>
      <c r="D1079" s="198"/>
      <c r="E1079" s="8" t="s">
        <v>88</v>
      </c>
      <c r="F1079" s="8" t="s">
        <v>96</v>
      </c>
      <c r="G1079" s="42" t="str">
        <f>HYPERLINK("https://docs.google.com/spreadsheets/d/1uLXUgrKE54ElzyvXEa66HZkZxV2hFpRrjhx73f6zetE/edit#gid=1329067386", "https://docs.google.com/spreadsheets/d/1uLXUgrKE54ElzyvXEa66HZkZxV2hFpRrjhx73f6zetE/edit#gid=1329067386")</f>
        <v>https://docs.google.com/spreadsheets/d/1uLXUgrKE54ElzyvXEa66HZkZxV2hFpRrjhx73f6zetE/edit#gid=1329067386</v>
      </c>
      <c r="H1079" s="35" t="s">
        <v>96</v>
      </c>
      <c r="L1079" s="9"/>
      <c r="M1079" s="9"/>
      <c r="N1079" s="9"/>
      <c r="O1079" s="9"/>
      <c r="P1079" s="9"/>
      <c r="Q1079" s="9"/>
      <c r="R1079" s="9"/>
      <c r="S1079" s="9"/>
      <c r="T1079" s="9"/>
      <c r="U1079" s="9"/>
      <c r="V1079" s="9"/>
      <c r="W1079" s="9"/>
      <c r="X1079" s="9"/>
      <c r="Y1079" s="9"/>
      <c r="Z1079" s="9"/>
      <c r="AA1079" s="9"/>
      <c r="AB1079" s="9"/>
      <c r="AC1079" s="9"/>
      <c r="AD1079" s="9"/>
      <c r="AE1079" s="9"/>
      <c r="AF1079" s="9"/>
      <c r="AG1079" s="9"/>
      <c r="AH1079" s="9"/>
    </row>
    <row r="1080" ht="15.75" customHeight="1">
      <c r="A1080" s="9"/>
      <c r="B1080" s="197"/>
      <c r="D1080" s="198"/>
      <c r="E1080" s="8" t="s">
        <v>88</v>
      </c>
      <c r="F1080" s="8" t="s">
        <v>154</v>
      </c>
      <c r="G1080" s="42" t="str">
        <f>HYPERLINK("https://docs.google.com/spreadsheets/d/1uLXUgrKE54ElzyvXEa66HZkZxV2hFpRrjhx73f6zetE/edit#gid=1601357428", "https://docs.google.com/spreadsheets/d/1uLXUgrKE54ElzyvXEa66HZkZxV2hFpRrjhx73f6zetE/edit#gid=1601357428")</f>
        <v>https://docs.google.com/spreadsheets/d/1uLXUgrKE54ElzyvXEa66HZkZxV2hFpRrjhx73f6zetE/edit#gid=1601357428</v>
      </c>
      <c r="H1080" s="35" t="s">
        <v>154</v>
      </c>
      <c r="L1080" s="9"/>
      <c r="M1080" s="9"/>
      <c r="N1080" s="9"/>
      <c r="O1080" s="9"/>
      <c r="P1080" s="9"/>
      <c r="Q1080" s="9"/>
      <c r="R1080" s="9"/>
      <c r="S1080" s="9"/>
      <c r="T1080" s="9"/>
      <c r="U1080" s="9"/>
      <c r="V1080" s="9"/>
      <c r="W1080" s="9"/>
      <c r="X1080" s="9"/>
      <c r="Y1080" s="9"/>
      <c r="Z1080" s="9"/>
      <c r="AA1080" s="9"/>
      <c r="AB1080" s="9"/>
      <c r="AC1080" s="9"/>
      <c r="AD1080" s="9"/>
      <c r="AE1080" s="9"/>
      <c r="AF1080" s="9"/>
      <c r="AG1080" s="9"/>
      <c r="AH1080" s="9"/>
    </row>
    <row r="1081" ht="15.75" customHeight="1">
      <c r="A1081" s="9"/>
      <c r="B1081" s="197"/>
      <c r="D1081" s="198"/>
      <c r="E1081" s="8" t="s">
        <v>88</v>
      </c>
      <c r="F1081" s="8" t="s">
        <v>125</v>
      </c>
      <c r="G1081" s="42" t="str">
        <f>HYPERLINK("https://docs.google.com/spreadsheets/d/1uLXUgrKE54ElzyvXEa66HZkZxV2hFpRrjhx73f6zetE/edit#gid=445782067", "https://docs.google.com/spreadsheets/d/1uLXUgrKE54ElzyvXEa66HZkZxV2hFpRrjhx73f6zetE/edit#gid=445782067")</f>
        <v>https://docs.google.com/spreadsheets/d/1uLXUgrKE54ElzyvXEa66HZkZxV2hFpRrjhx73f6zetE/edit#gid=445782067</v>
      </c>
      <c r="H1081" s="35" t="s">
        <v>125</v>
      </c>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row>
    <row r="1082" ht="15.75" customHeight="1">
      <c r="A1082" s="9"/>
      <c r="B1082" s="197"/>
      <c r="D1082" s="198"/>
      <c r="E1082" s="8" t="s">
        <v>88</v>
      </c>
      <c r="F1082" s="8" t="s">
        <v>126</v>
      </c>
      <c r="G1082" s="42" t="str">
        <f>HYPERLINK("https://docs.google.com/spreadsheets/d/1uLXUgrKE54ElzyvXEa66HZkZxV2hFpRrjhx73f6zetE/edit#gid=231125098", "https://docs.google.com/spreadsheets/d/1uLXUgrKE54ElzyvXEa66HZkZxV2hFpRrjhx73f6zetE/edit#gid=231125098")</f>
        <v>https://docs.google.com/spreadsheets/d/1uLXUgrKE54ElzyvXEa66HZkZxV2hFpRrjhx73f6zetE/edit#gid=231125098</v>
      </c>
      <c r="H1082" s="8" t="s">
        <v>126</v>
      </c>
      <c r="L1082" s="9"/>
      <c r="M1082" s="9"/>
      <c r="N1082" s="9"/>
      <c r="O1082" s="9"/>
      <c r="P1082" s="9"/>
      <c r="Q1082" s="9"/>
      <c r="R1082" s="9"/>
      <c r="S1082" s="9"/>
      <c r="T1082" s="9"/>
      <c r="U1082" s="9"/>
      <c r="V1082" s="9"/>
      <c r="W1082" s="9"/>
      <c r="X1082" s="9"/>
      <c r="Y1082" s="9"/>
      <c r="Z1082" s="9"/>
      <c r="AA1082" s="9"/>
      <c r="AB1082" s="9"/>
      <c r="AC1082" s="9"/>
      <c r="AD1082" s="9"/>
      <c r="AE1082" s="9"/>
      <c r="AF1082" s="9"/>
      <c r="AG1082" s="9"/>
      <c r="AH1082" s="9"/>
    </row>
    <row r="1083" ht="15.75" customHeight="1">
      <c r="A1083" s="9"/>
      <c r="B1083" s="197"/>
      <c r="D1083" s="198"/>
      <c r="E1083" s="8" t="s">
        <v>88</v>
      </c>
      <c r="F1083" s="8" t="s">
        <v>96</v>
      </c>
      <c r="G1083" s="42" t="str">
        <f>HYPERLINK("https://docs.google.com/spreadsheets/d/1uLXUgrKE54ElzyvXEa66HZkZxV2hFpRrjhx73f6zetE/edit#gid=341665707", "https://docs.google.com/spreadsheets/d/1uLXUgrKE54ElzyvXEa66HZkZxV2hFpRrjhx73f6zetE/edit#gid=341665707")</f>
        <v>https://docs.google.com/spreadsheets/d/1uLXUgrKE54ElzyvXEa66HZkZxV2hFpRrjhx73f6zetE/edit#gid=341665707</v>
      </c>
      <c r="H1083" s="35" t="s">
        <v>177</v>
      </c>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row>
    <row r="1084" ht="15.75" customHeight="1">
      <c r="A1084" s="9"/>
      <c r="B1084" s="197"/>
      <c r="D1084" s="198"/>
      <c r="E1084" s="8" t="s">
        <v>88</v>
      </c>
      <c r="F1084" s="8" t="s">
        <v>154</v>
      </c>
      <c r="G1084" s="42" t="str">
        <f>HYPERLINK("https://docs.google.com/spreadsheets/d/1uLXUgrKE54ElzyvXEa66HZkZxV2hFpRrjhx73f6zetE/edit#gid=738008966", "https://docs.google.com/spreadsheets/d/1uLXUgrKE54ElzyvXEa66HZkZxV2hFpRrjhx73f6zetE/edit#gid=738008966")</f>
        <v>https://docs.google.com/spreadsheets/d/1uLXUgrKE54ElzyvXEa66HZkZxV2hFpRrjhx73f6zetE/edit#gid=738008966</v>
      </c>
      <c r="H1084" s="35" t="s">
        <v>1819</v>
      </c>
      <c r="L1084" s="9"/>
      <c r="M1084" s="9"/>
      <c r="N1084" s="9"/>
      <c r="O1084" s="9"/>
      <c r="P1084" s="9"/>
      <c r="Q1084" s="9"/>
      <c r="R1084" s="9"/>
      <c r="S1084" s="9"/>
      <c r="T1084" s="9"/>
      <c r="U1084" s="9"/>
      <c r="V1084" s="9"/>
      <c r="W1084" s="9"/>
      <c r="X1084" s="9"/>
      <c r="Y1084" s="9"/>
      <c r="Z1084" s="9"/>
      <c r="AA1084" s="9"/>
      <c r="AB1084" s="9"/>
      <c r="AC1084" s="9"/>
      <c r="AD1084" s="9"/>
      <c r="AE1084" s="9"/>
      <c r="AF1084" s="9"/>
      <c r="AG1084" s="9"/>
      <c r="AH1084" s="9"/>
    </row>
    <row r="1085" ht="15.75" customHeight="1">
      <c r="A1085" s="9"/>
      <c r="B1085" s="197"/>
      <c r="D1085" s="198"/>
      <c r="E1085" s="8" t="s">
        <v>88</v>
      </c>
      <c r="F1085" s="8" t="s">
        <v>125</v>
      </c>
      <c r="G1085" s="42" t="str">
        <f>HYPERLINK("https://docs.google.com/spreadsheets/d/1uLXUgrKE54ElzyvXEa66HZkZxV2hFpRrjhx73f6zetE/edit#gid=445782067", "https://docs.google.com/spreadsheets/d/1uLXUgrKE54ElzyvXEa66HZkZxV2hFpRrjhx73f6zetE/edit#gid=445782067")</f>
        <v>https://docs.google.com/spreadsheets/d/1uLXUgrKE54ElzyvXEa66HZkZxV2hFpRrjhx73f6zetE/edit#gid=445782067</v>
      </c>
      <c r="H1085" s="35" t="s">
        <v>125</v>
      </c>
      <c r="L1085" s="9"/>
      <c r="M1085" s="9"/>
      <c r="N1085" s="9"/>
      <c r="O1085" s="9"/>
      <c r="P1085" s="9"/>
      <c r="Q1085" s="9"/>
      <c r="R1085" s="9"/>
      <c r="S1085" s="9"/>
      <c r="T1085" s="9"/>
      <c r="U1085" s="9"/>
      <c r="V1085" s="9"/>
      <c r="W1085" s="9"/>
      <c r="X1085" s="9"/>
      <c r="Y1085" s="9"/>
      <c r="Z1085" s="9"/>
      <c r="AA1085" s="9"/>
      <c r="AB1085" s="9"/>
      <c r="AC1085" s="9"/>
      <c r="AD1085" s="9"/>
      <c r="AE1085" s="9"/>
      <c r="AF1085" s="9"/>
      <c r="AG1085" s="9"/>
      <c r="AH1085" s="9"/>
    </row>
    <row r="1086" ht="15.75" customHeight="1">
      <c r="A1086" s="9"/>
      <c r="B1086" s="197"/>
      <c r="D1086" s="198"/>
      <c r="E1086" s="8" t="s">
        <v>88</v>
      </c>
      <c r="F1086" s="8" t="s">
        <v>126</v>
      </c>
      <c r="G1086" s="42" t="str">
        <f>HYPERLINK("https://docs.google.com/spreadsheets/d/1uLXUgrKE54ElzyvXEa66HZkZxV2hFpRrjhx73f6zetE/edit#gid=2081720212", "https://docs.google.com/spreadsheets/d/1uLXUgrKE54ElzyvXEa66HZkZxV2hFpRrjhx73f6zetE/edit#gid=2081720212")</f>
        <v>https://docs.google.com/spreadsheets/d/1uLXUgrKE54ElzyvXEa66HZkZxV2hFpRrjhx73f6zetE/edit#gid=2081720212</v>
      </c>
      <c r="H1086" s="35" t="s">
        <v>1957</v>
      </c>
      <c r="L1086" s="9"/>
      <c r="M1086" s="9"/>
      <c r="N1086" s="9"/>
      <c r="O1086" s="9"/>
      <c r="P1086" s="9"/>
      <c r="Q1086" s="9"/>
      <c r="R1086" s="9"/>
      <c r="S1086" s="9"/>
      <c r="T1086" s="9"/>
      <c r="U1086" s="9"/>
      <c r="V1086" s="9"/>
      <c r="W1086" s="9"/>
      <c r="X1086" s="9"/>
      <c r="Y1086" s="9"/>
      <c r="Z1086" s="9"/>
      <c r="AA1086" s="9"/>
      <c r="AB1086" s="9"/>
      <c r="AC1086" s="9"/>
      <c r="AD1086" s="9"/>
      <c r="AE1086" s="9"/>
      <c r="AF1086" s="9"/>
      <c r="AG1086" s="9"/>
      <c r="AH1086" s="9"/>
    </row>
    <row r="1087" ht="15.75" customHeight="1">
      <c r="A1087" s="9"/>
      <c r="B1087" s="197"/>
      <c r="D1087" s="198"/>
      <c r="E1087" s="8" t="s">
        <v>88</v>
      </c>
      <c r="F1087" s="8" t="s">
        <v>96</v>
      </c>
      <c r="G1087" s="42" t="str">
        <f>HYPERLINK("https://docs.google.com/spreadsheets/d/1uLXUgrKE54ElzyvXEa66HZkZxV2hFpRrjhx73f6zetE/edit#gid=1291851993", "https://docs.google.com/spreadsheets/d/1uLXUgrKE54ElzyvXEa66HZkZxV2hFpRrjhx73f6zetE/edit#gid=1291851993")</f>
        <v>https://docs.google.com/spreadsheets/d/1uLXUgrKE54ElzyvXEa66HZkZxV2hFpRrjhx73f6zetE/edit#gid=1291851993</v>
      </c>
      <c r="H1087" s="8" t="s">
        <v>337</v>
      </c>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row>
    <row r="1088" ht="15.75" customHeight="1">
      <c r="A1088" s="9"/>
      <c r="B1088" s="197"/>
      <c r="D1088" s="198"/>
      <c r="E1088" s="8" t="s">
        <v>88</v>
      </c>
      <c r="F1088" s="8" t="s">
        <v>125</v>
      </c>
      <c r="G1088" s="42" t="str">
        <f>HYPERLINK("https://docs.google.com/spreadsheets/d/1uLXUgrKE54ElzyvXEa66HZkZxV2hFpRrjhx73f6zetE/edit#gid=166261337", "https://docs.google.com/spreadsheets/d/1uLXUgrKE54ElzyvXEa66HZkZxV2hFpRrjhx73f6zetE/edit#gid=166261337")</f>
        <v>https://docs.google.com/spreadsheets/d/1uLXUgrKE54ElzyvXEa66HZkZxV2hFpRrjhx73f6zetE/edit#gid=166261337</v>
      </c>
      <c r="H1088" s="35" t="s">
        <v>125</v>
      </c>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row>
    <row r="1089" ht="15.75" customHeight="1">
      <c r="A1089" s="9"/>
      <c r="B1089" s="197"/>
      <c r="D1089" s="198"/>
      <c r="E1089" s="8" t="s">
        <v>88</v>
      </c>
      <c r="F1089" s="8" t="s">
        <v>126</v>
      </c>
      <c r="G1089" s="42" t="str">
        <f>HYPERLINK("https://docs.google.com/spreadsheets/d/1uLXUgrKE54ElzyvXEa66HZkZxV2hFpRrjhx73f6zetE/edit#gid=1983536564", "https://docs.google.com/spreadsheets/d/1uLXUgrKE54ElzyvXEa66HZkZxV2hFpRrjhx73f6zetE/edit#gid=1983536564")</f>
        <v>https://docs.google.com/spreadsheets/d/1uLXUgrKE54ElzyvXEa66HZkZxV2hFpRrjhx73f6zetE/edit#gid=1983536564</v>
      </c>
      <c r="H1089" s="8" t="s">
        <v>126</v>
      </c>
      <c r="L1089" s="9"/>
      <c r="M1089" s="9"/>
      <c r="N1089" s="9"/>
      <c r="O1089" s="9"/>
      <c r="P1089" s="9"/>
      <c r="Q1089" s="9"/>
      <c r="R1089" s="9"/>
      <c r="S1089" s="9"/>
      <c r="T1089" s="9"/>
      <c r="U1089" s="9"/>
      <c r="V1089" s="9"/>
      <c r="W1089" s="9"/>
      <c r="X1089" s="9"/>
      <c r="Y1089" s="9"/>
      <c r="Z1089" s="9"/>
      <c r="AA1089" s="9"/>
      <c r="AB1089" s="9"/>
      <c r="AC1089" s="9"/>
      <c r="AD1089" s="9"/>
      <c r="AE1089" s="9"/>
      <c r="AF1089" s="9"/>
      <c r="AG1089" s="9"/>
      <c r="AH1089" s="9"/>
    </row>
    <row r="1090" ht="15.75" customHeight="1">
      <c r="A1090" s="9"/>
      <c r="B1090" s="197"/>
      <c r="D1090" s="198"/>
      <c r="E1090" s="8" t="s">
        <v>88</v>
      </c>
      <c r="F1090" s="8" t="s">
        <v>96</v>
      </c>
      <c r="G1090" s="42" t="str">
        <f>HYPERLINK("https://docs.google.com/spreadsheets/d/1uLXUgrKE54ElzyvXEa66HZkZxV2hFpRrjhx73f6zetE/edit#gid=1831293296", "https://docs.google.com/spreadsheets/d/1uLXUgrKE54ElzyvXEa66HZkZxV2hFpRrjhx73f6zetE/edit#gid=1831293296")</f>
        <v>https://docs.google.com/spreadsheets/d/1uLXUgrKE54ElzyvXEa66HZkZxV2hFpRrjhx73f6zetE/edit#gid=1831293296</v>
      </c>
      <c r="H1090" s="35" t="s">
        <v>1958</v>
      </c>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row>
    <row r="1091" ht="15.75" customHeight="1">
      <c r="A1091" s="9"/>
      <c r="B1091" s="197"/>
      <c r="D1091" s="198"/>
      <c r="E1091" s="8" t="s">
        <v>88</v>
      </c>
      <c r="F1091" s="8" t="s">
        <v>245</v>
      </c>
      <c r="G1091" s="42" t="str">
        <f>HYPERLINK("https://docs.google.com/spreadsheets/d/1uLXUgrKE54ElzyvXEa66HZkZxV2hFpRrjhx73f6zetE/edit#gid=1069626156", "https://docs.google.com/spreadsheets/d/1uLXUgrKE54ElzyvXEa66HZkZxV2hFpRrjhx73f6zetE/edit#gid=1069626156")</f>
        <v>https://docs.google.com/spreadsheets/d/1uLXUgrKE54ElzyvXEa66HZkZxV2hFpRrjhx73f6zetE/edit#gid=1069626156</v>
      </c>
      <c r="H1091" s="35" t="s">
        <v>245</v>
      </c>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row>
    <row r="1092" ht="15.75" customHeight="1">
      <c r="A1092" s="9"/>
      <c r="B1092" s="197"/>
      <c r="D1092" s="198"/>
      <c r="E1092" s="8" t="s">
        <v>88</v>
      </c>
      <c r="F1092" s="8" t="s">
        <v>122</v>
      </c>
      <c r="G1092" s="42" t="str">
        <f>HYPERLINK("https://docs.google.com/spreadsheets/d/1uLXUgrKE54ElzyvXEa66HZkZxV2hFpRrjhx73f6zetE/edit#gid=1916463866", "https://docs.google.com/spreadsheets/d/1uLXUgrKE54ElzyvXEa66HZkZxV2hFpRrjhx73f6zetE/edit#gid=1916463866")</f>
        <v>https://docs.google.com/spreadsheets/d/1uLXUgrKE54ElzyvXEa66HZkZxV2hFpRrjhx73f6zetE/edit#gid=1916463866</v>
      </c>
      <c r="H1092" s="35" t="s">
        <v>122</v>
      </c>
      <c r="L1092" s="9"/>
      <c r="M1092" s="9"/>
      <c r="N1092" s="9"/>
      <c r="O1092" s="9"/>
      <c r="P1092" s="9"/>
      <c r="Q1092" s="9"/>
      <c r="R1092" s="9"/>
      <c r="S1092" s="9"/>
      <c r="T1092" s="9"/>
      <c r="U1092" s="9"/>
      <c r="V1092" s="9"/>
      <c r="W1092" s="9"/>
      <c r="X1092" s="9"/>
      <c r="Y1092" s="9"/>
      <c r="Z1092" s="9"/>
      <c r="AA1092" s="9"/>
      <c r="AB1092" s="9"/>
      <c r="AC1092" s="9"/>
      <c r="AD1092" s="9"/>
      <c r="AE1092" s="9"/>
      <c r="AF1092" s="9"/>
      <c r="AG1092" s="9"/>
      <c r="AH1092" s="9"/>
    </row>
    <row r="1093" ht="15.75" customHeight="1">
      <c r="A1093" s="9"/>
      <c r="B1093" s="197"/>
      <c r="C1093" s="198"/>
      <c r="D1093" s="198"/>
      <c r="E1093" s="9"/>
      <c r="F1093" s="9"/>
      <c r="G1093" s="42"/>
      <c r="L1093" s="9"/>
      <c r="M1093" s="9"/>
      <c r="N1093" s="9"/>
      <c r="O1093" s="9"/>
      <c r="P1093" s="9"/>
      <c r="Q1093" s="9"/>
      <c r="R1093" s="9"/>
      <c r="S1093" s="9"/>
      <c r="T1093" s="9"/>
      <c r="U1093" s="9"/>
      <c r="V1093" s="9"/>
      <c r="W1093" s="9"/>
      <c r="X1093" s="9"/>
      <c r="Y1093" s="9"/>
      <c r="Z1093" s="9"/>
      <c r="AA1093" s="9"/>
      <c r="AB1093" s="9"/>
      <c r="AC1093" s="9"/>
      <c r="AD1093" s="9"/>
      <c r="AE1093" s="9"/>
      <c r="AF1093" s="9"/>
      <c r="AG1093" s="9"/>
      <c r="AH1093" s="9"/>
    </row>
    <row r="1094" ht="15.75" customHeight="1">
      <c r="A1094" s="9"/>
      <c r="B1094" s="56" t="s">
        <v>1959</v>
      </c>
      <c r="C1094" s="184" t="s">
        <v>1960</v>
      </c>
      <c r="D1094" s="184" t="s">
        <v>20</v>
      </c>
      <c r="E1094" s="8" t="s">
        <v>88</v>
      </c>
      <c r="F1094" s="8" t="s">
        <v>89</v>
      </c>
      <c r="G1094" s="42"/>
      <c r="L1094" s="9"/>
      <c r="M1094" s="9"/>
      <c r="N1094" s="9"/>
      <c r="O1094" s="9"/>
      <c r="P1094" s="9"/>
      <c r="Q1094" s="9"/>
      <c r="R1094" s="9"/>
      <c r="S1094" s="9"/>
      <c r="T1094" s="9"/>
      <c r="U1094" s="9"/>
      <c r="V1094" s="9"/>
      <c r="W1094" s="9"/>
      <c r="X1094" s="9"/>
      <c r="Y1094" s="9"/>
      <c r="Z1094" s="9"/>
      <c r="AA1094" s="9"/>
      <c r="AB1094" s="9"/>
      <c r="AC1094" s="9"/>
      <c r="AD1094" s="9"/>
      <c r="AE1094" s="9"/>
      <c r="AF1094" s="9"/>
      <c r="AG1094" s="9"/>
      <c r="AH1094" s="9"/>
    </row>
    <row r="1095" ht="15.75" customHeight="1">
      <c r="A1095" s="9"/>
      <c r="B1095" s="197"/>
      <c r="D1095" s="198"/>
      <c r="E1095" s="8" t="s">
        <v>88</v>
      </c>
      <c r="F1095" s="8" t="s">
        <v>239</v>
      </c>
      <c r="G1095" s="42" t="str">
        <f>HYPERLINK("https://docs.google.com/spreadsheets/d/1FYYidYBmzAO_LepnWj3F6funce0Jm77j0zn29pc5Gio/edit#gid=888647733", "https://docs.google.com/spreadsheets/d/1FYYidYBmzAO_LepnWj3F6funce0Jm77j0zn29pc5Gio/edit#gid=888647733")</f>
        <v>https://docs.google.com/spreadsheets/d/1FYYidYBmzAO_LepnWj3F6funce0Jm77j0zn29pc5Gio/edit#gid=888647733</v>
      </c>
      <c r="H1095" s="35" t="s">
        <v>239</v>
      </c>
      <c r="L1095" s="9"/>
      <c r="M1095" s="9"/>
      <c r="N1095" s="9"/>
      <c r="O1095" s="9"/>
      <c r="P1095" s="9"/>
      <c r="Q1095" s="9"/>
      <c r="R1095" s="9"/>
      <c r="S1095" s="9"/>
      <c r="T1095" s="9"/>
      <c r="U1095" s="9"/>
      <c r="V1095" s="9"/>
      <c r="W1095" s="9"/>
      <c r="X1095" s="9"/>
      <c r="Y1095" s="9"/>
      <c r="Z1095" s="9"/>
      <c r="AA1095" s="9"/>
      <c r="AB1095" s="9"/>
      <c r="AC1095" s="9"/>
      <c r="AD1095" s="9"/>
      <c r="AE1095" s="9"/>
      <c r="AF1095" s="9"/>
      <c r="AG1095" s="9"/>
      <c r="AH1095" s="9"/>
    </row>
    <row r="1096" ht="15.75" customHeight="1">
      <c r="A1096" s="9"/>
      <c r="B1096" s="197"/>
      <c r="D1096" s="198"/>
      <c r="E1096" s="8" t="s">
        <v>147</v>
      </c>
      <c r="F1096" s="8" t="s">
        <v>148</v>
      </c>
      <c r="G1096" s="42"/>
      <c r="L1096" s="9"/>
      <c r="M1096" s="9"/>
      <c r="N1096" s="9"/>
      <c r="O1096" s="9"/>
      <c r="P1096" s="9"/>
      <c r="Q1096" s="9"/>
      <c r="R1096" s="9"/>
      <c r="S1096" s="9"/>
      <c r="T1096" s="9"/>
      <c r="U1096" s="9"/>
      <c r="V1096" s="9"/>
      <c r="W1096" s="9"/>
      <c r="X1096" s="9"/>
      <c r="Y1096" s="9"/>
      <c r="Z1096" s="9"/>
      <c r="AA1096" s="9"/>
      <c r="AB1096" s="9"/>
      <c r="AC1096" s="9"/>
      <c r="AD1096" s="9"/>
      <c r="AE1096" s="9"/>
      <c r="AF1096" s="9"/>
      <c r="AG1096" s="9"/>
      <c r="AH1096" s="9"/>
    </row>
    <row r="1097" ht="15.75" customHeight="1">
      <c r="A1097" s="9"/>
      <c r="B1097" s="197"/>
      <c r="D1097" s="198"/>
      <c r="E1097" s="8" t="s">
        <v>21</v>
      </c>
      <c r="F1097" s="8" t="s">
        <v>244</v>
      </c>
      <c r="G1097" s="42" t="str">
        <f>HYPERLINK("https://docs.google.com/spreadsheets/d/1FYYidYBmzAO_LepnWj3F6funce0Jm77j0zn29pc5Gio/edit#gid=864041770", "https://docs.google.com/spreadsheets/d/1FYYidYBmzAO_LepnWj3F6funce0Jm77j0zn29pc5Gio/edit#gid=864041770")</f>
        <v>https://docs.google.com/spreadsheets/d/1FYYidYBmzAO_LepnWj3F6funce0Jm77j0zn29pc5Gio/edit#gid=864041770</v>
      </c>
      <c r="H1097" s="35" t="s">
        <v>244</v>
      </c>
      <c r="L1097" s="9"/>
      <c r="M1097" s="9"/>
      <c r="N1097" s="9"/>
      <c r="O1097" s="9"/>
      <c r="P1097" s="9"/>
      <c r="Q1097" s="9"/>
      <c r="R1097" s="9"/>
      <c r="S1097" s="9"/>
      <c r="T1097" s="9"/>
      <c r="U1097" s="9"/>
      <c r="V1097" s="9"/>
      <c r="W1097" s="9"/>
      <c r="X1097" s="9"/>
      <c r="Y1097" s="9"/>
      <c r="Z1097" s="9"/>
      <c r="AA1097" s="9"/>
      <c r="AB1097" s="9"/>
      <c r="AC1097" s="9"/>
      <c r="AD1097" s="9"/>
      <c r="AE1097" s="9"/>
      <c r="AF1097" s="9"/>
      <c r="AG1097" s="9"/>
      <c r="AH1097" s="9"/>
    </row>
    <row r="1098" ht="15.75" customHeight="1">
      <c r="A1098" s="9"/>
      <c r="B1098" s="197"/>
      <c r="D1098" s="198"/>
      <c r="E1098" s="8" t="s">
        <v>21</v>
      </c>
      <c r="F1098" s="8" t="s">
        <v>51</v>
      </c>
      <c r="G1098" s="42" t="str">
        <f>HYPERLINK("https://docs.google.com/spreadsheets/d/1FYYidYBmzAO_LepnWj3F6funce0Jm77j0zn29pc5Gio/edit#gid=78549213", "https://docs.google.com/spreadsheets/d/1FYYidYBmzAO_LepnWj3F6funce0Jm77j0zn29pc5Gio/edit#gid=78549213")</f>
        <v>https://docs.google.com/spreadsheets/d/1FYYidYBmzAO_LepnWj3F6funce0Jm77j0zn29pc5Gio/edit#gid=78549213</v>
      </c>
      <c r="H1098" s="35" t="s">
        <v>51</v>
      </c>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row>
    <row r="1099" ht="15.75" customHeight="1">
      <c r="A1099" s="9"/>
      <c r="B1099" s="197"/>
      <c r="D1099" s="198"/>
      <c r="E1099" s="8" t="s">
        <v>43</v>
      </c>
      <c r="F1099" s="8" t="s">
        <v>79</v>
      </c>
      <c r="G1099" s="42" t="str">
        <f>HYPERLINK("https://docs.google.com/spreadsheets/d/1FYYidYBmzAO_LepnWj3F6funce0Jm77j0zn29pc5Gio/edit#gid=93517284", "https://docs.google.com/spreadsheets/d/1FYYidYBmzAO_LepnWj3F6funce0Jm77j0zn29pc5Gio/edit#gid=93517284")</f>
        <v>https://docs.google.com/spreadsheets/d/1FYYidYBmzAO_LepnWj3F6funce0Jm77j0zn29pc5Gio/edit#gid=93517284</v>
      </c>
      <c r="H1099" s="35" t="s">
        <v>79</v>
      </c>
      <c r="L1099" s="9"/>
      <c r="M1099" s="9"/>
      <c r="N1099" s="9"/>
      <c r="O1099" s="9"/>
      <c r="P1099" s="9"/>
      <c r="Q1099" s="9"/>
      <c r="R1099" s="9"/>
      <c r="S1099" s="9"/>
      <c r="T1099" s="9"/>
      <c r="U1099" s="9"/>
      <c r="V1099" s="9"/>
      <c r="W1099" s="9"/>
      <c r="X1099" s="9"/>
      <c r="Y1099" s="9"/>
      <c r="Z1099" s="9"/>
      <c r="AA1099" s="9"/>
      <c r="AB1099" s="9"/>
      <c r="AC1099" s="9"/>
      <c r="AD1099" s="9"/>
      <c r="AE1099" s="9"/>
      <c r="AF1099" s="9"/>
      <c r="AG1099" s="9"/>
      <c r="AH1099" s="9"/>
    </row>
    <row r="1100" ht="15.75" customHeight="1">
      <c r="A1100" s="9"/>
      <c r="B1100" s="197"/>
      <c r="D1100" s="198"/>
      <c r="E1100" s="8" t="s">
        <v>88</v>
      </c>
      <c r="F1100" s="8" t="s">
        <v>95</v>
      </c>
      <c r="G1100" s="42" t="str">
        <f>HYPERLINK("https://docs.google.com/spreadsheets/d/1FYYidYBmzAO_LepnWj3F6funce0Jm77j0zn29pc5Gio/edit#gid=1292855995", "https://docs.google.com/spreadsheets/d/1FYYidYBmzAO_LepnWj3F6funce0Jm77j0zn29pc5Gio/edit#gid=1292855995")</f>
        <v>https://docs.google.com/spreadsheets/d/1FYYidYBmzAO_LepnWj3F6funce0Jm77j0zn29pc5Gio/edit#gid=1292855995</v>
      </c>
      <c r="H1100" s="35" t="s">
        <v>95</v>
      </c>
      <c r="L1100" s="9"/>
      <c r="M1100" s="9"/>
      <c r="N1100" s="9"/>
      <c r="O1100" s="9"/>
      <c r="P1100" s="9"/>
      <c r="Q1100" s="9"/>
      <c r="R1100" s="9"/>
      <c r="S1100" s="9"/>
      <c r="T1100" s="9"/>
      <c r="U1100" s="9"/>
      <c r="V1100" s="9"/>
      <c r="W1100" s="9"/>
      <c r="X1100" s="9"/>
      <c r="Y1100" s="9"/>
      <c r="Z1100" s="9"/>
      <c r="AA1100" s="9"/>
      <c r="AB1100" s="9"/>
      <c r="AC1100" s="9"/>
      <c r="AD1100" s="9"/>
      <c r="AE1100" s="9"/>
      <c r="AF1100" s="9"/>
      <c r="AG1100" s="9"/>
      <c r="AH1100" s="9"/>
    </row>
    <row r="1101" ht="15.75" customHeight="1">
      <c r="A1101" s="9"/>
      <c r="B1101" s="197"/>
      <c r="D1101" s="198"/>
      <c r="E1101" s="8" t="s">
        <v>88</v>
      </c>
      <c r="F1101" s="8" t="s">
        <v>122</v>
      </c>
      <c r="G1101" s="42" t="str">
        <f>HYPERLINK("https://docs.google.com/spreadsheets/d/1FYYidYBmzAO_LepnWj3F6funce0Jm77j0zn29pc5Gio/edit#gid=1057394238", "https://docs.google.com/spreadsheets/d/1FYYidYBmzAO_LepnWj3F6funce0Jm77j0zn29pc5Gio/edit#gid=1057394238")</f>
        <v>https://docs.google.com/spreadsheets/d/1FYYidYBmzAO_LepnWj3F6funce0Jm77j0zn29pc5Gio/edit#gid=1057394238</v>
      </c>
      <c r="H1101" s="35" t="s">
        <v>122</v>
      </c>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row>
    <row r="1102" ht="15.75" customHeight="1">
      <c r="A1102" s="9"/>
      <c r="B1102" s="197"/>
      <c r="D1102" s="198"/>
      <c r="E1102" s="8" t="s">
        <v>88</v>
      </c>
      <c r="F1102" s="8" t="s">
        <v>96</v>
      </c>
      <c r="G1102" s="42" t="str">
        <f>HYPERLINK("https://docs.google.com/spreadsheets/d/1FYYidYBmzAO_LepnWj3F6funce0Jm77j0zn29pc5Gio/edit#gid=1643508233", "https://docs.google.com/spreadsheets/d/1FYYidYBmzAO_LepnWj3F6funce0Jm77j0zn29pc5Gio/edit#gid=1643508233")</f>
        <v>https://docs.google.com/spreadsheets/d/1FYYidYBmzAO_LepnWj3F6funce0Jm77j0zn29pc5Gio/edit#gid=1643508233</v>
      </c>
      <c r="H1102" s="35" t="s">
        <v>96</v>
      </c>
      <c r="L1102" s="9"/>
      <c r="M1102" s="9"/>
      <c r="N1102" s="9"/>
      <c r="O1102" s="9"/>
      <c r="P1102" s="9"/>
      <c r="Q1102" s="9"/>
      <c r="R1102" s="9"/>
      <c r="S1102" s="9"/>
      <c r="T1102" s="9"/>
      <c r="U1102" s="9"/>
      <c r="V1102" s="9"/>
      <c r="W1102" s="9"/>
      <c r="X1102" s="9"/>
      <c r="Y1102" s="9"/>
      <c r="Z1102" s="9"/>
      <c r="AA1102" s="9"/>
      <c r="AB1102" s="9"/>
      <c r="AC1102" s="9"/>
      <c r="AD1102" s="9"/>
      <c r="AE1102" s="9"/>
      <c r="AF1102" s="9"/>
      <c r="AG1102" s="9"/>
      <c r="AH1102" s="9"/>
    </row>
    <row r="1103" ht="15.75" customHeight="1">
      <c r="A1103" s="9"/>
      <c r="B1103" s="197"/>
      <c r="D1103" s="198"/>
      <c r="E1103" s="8" t="s">
        <v>104</v>
      </c>
      <c r="F1103" s="8" t="s">
        <v>250</v>
      </c>
      <c r="G1103" s="42" t="str">
        <f>HYPERLINK("https://docs.google.com/spreadsheets/d/1FYYidYBmzAO_LepnWj3F6funce0Jm77j0zn29pc5Gio/edit#gid=38424082", "https://docs.google.com/spreadsheets/d/1FYYidYBmzAO_LepnWj3F6funce0Jm77j0zn29pc5Gio/edit#gid=38424082")</f>
        <v>https://docs.google.com/spreadsheets/d/1FYYidYBmzAO_LepnWj3F6funce0Jm77j0zn29pc5Gio/edit#gid=38424082</v>
      </c>
      <c r="H1103" s="35" t="s">
        <v>250</v>
      </c>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row>
    <row r="1104" ht="15.75" customHeight="1">
      <c r="A1104" s="9"/>
      <c r="B1104" s="197"/>
      <c r="C1104" s="198"/>
      <c r="D1104" s="198"/>
      <c r="E1104" s="9"/>
      <c r="F1104" s="9"/>
      <c r="G1104" s="42"/>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row>
    <row r="1105" ht="15.75" customHeight="1">
      <c r="A1105" s="9"/>
      <c r="B1105" s="56" t="s">
        <v>1961</v>
      </c>
      <c r="C1105" s="184" t="s">
        <v>1962</v>
      </c>
      <c r="D1105" s="184" t="s">
        <v>20</v>
      </c>
      <c r="E1105" s="8" t="s">
        <v>88</v>
      </c>
      <c r="F1105" s="8" t="s">
        <v>89</v>
      </c>
      <c r="G1105" s="42"/>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row>
    <row r="1106" ht="15.75" customHeight="1">
      <c r="A1106" s="9"/>
      <c r="B1106" s="197"/>
      <c r="D1106" s="198"/>
      <c r="E1106" s="8" t="s">
        <v>88</v>
      </c>
      <c r="F1106" s="8" t="s">
        <v>239</v>
      </c>
      <c r="G1106" s="42" t="str">
        <f>HYPERLINK("https://docs.google.com/spreadsheets/d/1MMZVn1-zTfRUNEwfpOtgpyya1MuHQrCS0Lk-nK5WU-s/edit#gid=27014736", "https://docs.google.com/spreadsheets/d/1MMZVn1-zTfRUNEwfpOtgpyya1MuHQrCS0Lk-nK5WU-s/edit#gid=27014736")</f>
        <v>https://docs.google.com/spreadsheets/d/1MMZVn1-zTfRUNEwfpOtgpyya1MuHQrCS0Lk-nK5WU-s/edit#gid=27014736</v>
      </c>
      <c r="H1106" s="35" t="s">
        <v>239</v>
      </c>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row>
    <row r="1107" ht="15.75" customHeight="1">
      <c r="A1107" s="9"/>
      <c r="B1107" s="197"/>
      <c r="D1107" s="198"/>
      <c r="E1107" s="8" t="s">
        <v>147</v>
      </c>
      <c r="F1107" s="8" t="s">
        <v>148</v>
      </c>
      <c r="G1107" s="42"/>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row>
    <row r="1108" ht="15.75" customHeight="1">
      <c r="A1108" s="9"/>
      <c r="B1108" s="197"/>
      <c r="D1108" s="198"/>
      <c r="E1108" s="8" t="s">
        <v>21</v>
      </c>
      <c r="F1108" s="8" t="s">
        <v>244</v>
      </c>
      <c r="G1108" s="42" t="str">
        <f>HYPERLINK("https://docs.google.com/spreadsheets/d/1MMZVn1-zTfRUNEwfpOtgpyya1MuHQrCS0Lk-nK5WU-s/edit#gid=1110823469", "https://docs.google.com/spreadsheets/d/1MMZVn1-zTfRUNEwfpOtgpyya1MuHQrCS0Lk-nK5WU-s/edit#gid=1110823469")</f>
        <v>https://docs.google.com/spreadsheets/d/1MMZVn1-zTfRUNEwfpOtgpyya1MuHQrCS0Lk-nK5WU-s/edit#gid=1110823469</v>
      </c>
      <c r="H1108" s="35" t="s">
        <v>244</v>
      </c>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row>
    <row r="1109" ht="15.75" customHeight="1">
      <c r="A1109" s="9"/>
      <c r="B1109" s="197"/>
      <c r="D1109" s="198"/>
      <c r="E1109" s="8" t="s">
        <v>21</v>
      </c>
      <c r="F1109" s="8" t="s">
        <v>51</v>
      </c>
      <c r="G1109" s="42" t="str">
        <f>HYPERLINK("https://docs.google.com/spreadsheets/d/1MMZVn1-zTfRUNEwfpOtgpyya1MuHQrCS0Lk-nK5WU-s/edit#gid=2046582664", "https://docs.google.com/spreadsheets/d/1MMZVn1-zTfRUNEwfpOtgpyya1MuHQrCS0Lk-nK5WU-s/edit#gid=2046582664")</f>
        <v>https://docs.google.com/spreadsheets/d/1MMZVn1-zTfRUNEwfpOtgpyya1MuHQrCS0Lk-nK5WU-s/edit#gid=2046582664</v>
      </c>
      <c r="H1109" s="35" t="s">
        <v>51</v>
      </c>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row>
    <row r="1110" ht="15.75" customHeight="1">
      <c r="A1110" s="9"/>
      <c r="B1110" s="197"/>
      <c r="D1110" s="198"/>
      <c r="E1110" s="8" t="s">
        <v>43</v>
      </c>
      <c r="F1110" s="8" t="s">
        <v>79</v>
      </c>
      <c r="G1110" s="42" t="str">
        <f>HYPERLINK("https://docs.google.com/spreadsheets/d/1MMZVn1-zTfRUNEwfpOtgpyya1MuHQrCS0Lk-nK5WU-s/edit#gid=867553183", "https://docs.google.com/spreadsheets/d/1MMZVn1-zTfRUNEwfpOtgpyya1MuHQrCS0Lk-nK5WU-s/edit#gid=867553183")</f>
        <v>https://docs.google.com/spreadsheets/d/1MMZVn1-zTfRUNEwfpOtgpyya1MuHQrCS0Lk-nK5WU-s/edit#gid=867553183</v>
      </c>
      <c r="H1110" s="35" t="s">
        <v>79</v>
      </c>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row>
    <row r="1111" ht="15.75" customHeight="1">
      <c r="A1111" s="9"/>
      <c r="B1111" s="197"/>
      <c r="D1111" s="198"/>
      <c r="E1111" s="8" t="s">
        <v>88</v>
      </c>
      <c r="F1111" s="8" t="s">
        <v>95</v>
      </c>
      <c r="G1111" s="42" t="str">
        <f>HYPERLINK("https://docs.google.com/spreadsheets/d/1MMZVn1-zTfRUNEwfpOtgpyya1MuHQrCS0Lk-nK5WU-s/edit#gid=1015174247", "https://docs.google.com/spreadsheets/d/1MMZVn1-zTfRUNEwfpOtgpyya1MuHQrCS0Lk-nK5WU-s/edit#gid=1015174247")</f>
        <v>https://docs.google.com/spreadsheets/d/1MMZVn1-zTfRUNEwfpOtgpyya1MuHQrCS0Lk-nK5WU-s/edit#gid=1015174247</v>
      </c>
      <c r="H1111" s="35" t="s">
        <v>95</v>
      </c>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row>
    <row r="1112" ht="15.75" customHeight="1">
      <c r="A1112" s="9"/>
      <c r="B1112" s="197"/>
      <c r="D1112" s="198"/>
      <c r="E1112" s="8" t="s">
        <v>88</v>
      </c>
      <c r="F1112" s="8" t="s">
        <v>122</v>
      </c>
      <c r="G1112" s="42" t="str">
        <f>HYPERLINK("https://docs.google.com/spreadsheets/d/1MMZVn1-zTfRUNEwfpOtgpyya1MuHQrCS0Lk-nK5WU-s/edit#gid=87413791", "https://docs.google.com/spreadsheets/d/1MMZVn1-zTfRUNEwfpOtgpyya1MuHQrCS0Lk-nK5WU-s/edit#gid=87413791")</f>
        <v>https://docs.google.com/spreadsheets/d/1MMZVn1-zTfRUNEwfpOtgpyya1MuHQrCS0Lk-nK5WU-s/edit#gid=87413791</v>
      </c>
      <c r="H1112" s="35" t="s">
        <v>122</v>
      </c>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row>
    <row r="1113" ht="15.75" customHeight="1">
      <c r="A1113" s="9"/>
      <c r="B1113" s="197"/>
      <c r="D1113" s="198"/>
      <c r="E1113" s="8" t="s">
        <v>88</v>
      </c>
      <c r="F1113" s="8" t="s">
        <v>96</v>
      </c>
      <c r="G1113" s="42" t="str">
        <f>HYPERLINK("https://docs.google.com/spreadsheets/d/1MMZVn1-zTfRUNEwfpOtgpyya1MuHQrCS0Lk-nK5WU-s/edit#gid=306533314", "https://docs.google.com/spreadsheets/d/1MMZVn1-zTfRUNEwfpOtgpyya1MuHQrCS0Lk-nK5WU-s/edit#gid=306533314")</f>
        <v>https://docs.google.com/spreadsheets/d/1MMZVn1-zTfRUNEwfpOtgpyya1MuHQrCS0Lk-nK5WU-s/edit#gid=306533314</v>
      </c>
      <c r="H1113" s="35" t="s">
        <v>96</v>
      </c>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row>
    <row r="1114" ht="15.75" customHeight="1">
      <c r="A1114" s="9"/>
      <c r="B1114" s="197"/>
      <c r="D1114" s="198"/>
      <c r="E1114" s="8" t="s">
        <v>104</v>
      </c>
      <c r="F1114" s="8" t="s">
        <v>250</v>
      </c>
      <c r="G1114" s="42" t="str">
        <f>HYPERLINK("https://docs.google.com/spreadsheets/d/1MMZVn1-zTfRUNEwfpOtgpyya1MuHQrCS0Lk-nK5WU-s/edit#gid=70206078", "https://docs.google.com/spreadsheets/d/1MMZVn1-zTfRUNEwfpOtgpyya1MuHQrCS0Lk-nK5WU-s/edit#gid=70206078")</f>
        <v>https://docs.google.com/spreadsheets/d/1MMZVn1-zTfRUNEwfpOtgpyya1MuHQrCS0Lk-nK5WU-s/edit#gid=70206078</v>
      </c>
      <c r="H1114" s="35" t="s">
        <v>250</v>
      </c>
      <c r="L1114" s="9"/>
      <c r="M1114" s="9"/>
      <c r="N1114" s="9"/>
      <c r="O1114" s="9"/>
      <c r="P1114" s="9"/>
      <c r="Q1114" s="9"/>
      <c r="R1114" s="9"/>
      <c r="S1114" s="9"/>
      <c r="T1114" s="9"/>
      <c r="U1114" s="9"/>
      <c r="V1114" s="9"/>
      <c r="W1114" s="9"/>
      <c r="X1114" s="9"/>
      <c r="Y1114" s="9"/>
      <c r="Z1114" s="9"/>
      <c r="AA1114" s="9"/>
      <c r="AB1114" s="9"/>
      <c r="AC1114" s="9"/>
      <c r="AD1114" s="9"/>
      <c r="AE1114" s="9"/>
      <c r="AF1114" s="9"/>
      <c r="AG1114" s="9"/>
      <c r="AH1114" s="9"/>
    </row>
    <row r="1115" ht="15.75" customHeight="1">
      <c r="A1115" s="9"/>
      <c r="B1115" s="197"/>
      <c r="C1115" s="198"/>
      <c r="D1115" s="198"/>
      <c r="E1115" s="9"/>
      <c r="F1115" s="9"/>
      <c r="G1115" s="42"/>
      <c r="L1115" s="9"/>
      <c r="M1115" s="9"/>
      <c r="N1115" s="9"/>
      <c r="O1115" s="9"/>
      <c r="P1115" s="9"/>
      <c r="Q1115" s="9"/>
      <c r="R1115" s="9"/>
      <c r="S1115" s="9"/>
      <c r="T1115" s="9"/>
      <c r="U1115" s="9"/>
      <c r="V1115" s="9"/>
      <c r="W1115" s="9"/>
      <c r="X1115" s="9"/>
      <c r="Y1115" s="9"/>
      <c r="Z1115" s="9"/>
      <c r="AA1115" s="9"/>
      <c r="AB1115" s="9"/>
      <c r="AC1115" s="9"/>
      <c r="AD1115" s="9"/>
      <c r="AE1115" s="9"/>
      <c r="AF1115" s="9"/>
      <c r="AG1115" s="9"/>
      <c r="AH1115" s="9"/>
    </row>
    <row r="1116" ht="15.75" customHeight="1">
      <c r="A1116" s="9"/>
      <c r="B1116" s="56" t="s">
        <v>1963</v>
      </c>
      <c r="C1116" s="184" t="s">
        <v>1964</v>
      </c>
      <c r="D1116" s="184" t="s">
        <v>20</v>
      </c>
      <c r="E1116" s="8" t="s">
        <v>88</v>
      </c>
      <c r="F1116" s="8" t="s">
        <v>89</v>
      </c>
      <c r="G1116" s="42"/>
      <c r="L1116" s="9"/>
      <c r="M1116" s="9"/>
      <c r="N1116" s="9"/>
      <c r="O1116" s="9"/>
      <c r="P1116" s="9"/>
      <c r="Q1116" s="9"/>
      <c r="R1116" s="9"/>
      <c r="S1116" s="9"/>
      <c r="T1116" s="9"/>
      <c r="U1116" s="9"/>
      <c r="V1116" s="9"/>
      <c r="W1116" s="9"/>
      <c r="X1116" s="9"/>
      <c r="Y1116" s="9"/>
      <c r="Z1116" s="9"/>
      <c r="AA1116" s="9"/>
      <c r="AB1116" s="9"/>
      <c r="AC1116" s="9"/>
      <c r="AD1116" s="9"/>
      <c r="AE1116" s="9"/>
      <c r="AF1116" s="9"/>
      <c r="AG1116" s="9"/>
      <c r="AH1116" s="9"/>
    </row>
    <row r="1117" ht="15.75" customHeight="1">
      <c r="A1117" s="9"/>
      <c r="B1117" s="197"/>
      <c r="D1117" s="198"/>
      <c r="E1117" s="8" t="s">
        <v>88</v>
      </c>
      <c r="F1117" s="8" t="s">
        <v>239</v>
      </c>
      <c r="G1117" s="42" t="str">
        <f>HYPERLINK("https://docs.google.com/spreadsheets/d/1NUco-l8OGQGsvxpJweYIkmbgA0v6WckRAVnBN5F0z_k/edit#gid=1872888941", "https://docs.google.com/spreadsheets/d/1NUco-l8OGQGsvxpJweYIkmbgA0v6WckRAVnBN5F0z_k/edit#gid=1872888941")</f>
        <v>https://docs.google.com/spreadsheets/d/1NUco-l8OGQGsvxpJweYIkmbgA0v6WckRAVnBN5F0z_k/edit#gid=1872888941</v>
      </c>
      <c r="H1117" s="35" t="s">
        <v>239</v>
      </c>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row>
    <row r="1118" ht="15.75" customHeight="1">
      <c r="A1118" s="9"/>
      <c r="B1118" s="197"/>
      <c r="D1118" s="198"/>
      <c r="E1118" s="8" t="s">
        <v>147</v>
      </c>
      <c r="F1118" s="8" t="s">
        <v>148</v>
      </c>
      <c r="G1118" s="42"/>
      <c r="L1118" s="9"/>
      <c r="M1118" s="9"/>
      <c r="N1118" s="9"/>
      <c r="O1118" s="9"/>
      <c r="P1118" s="9"/>
      <c r="Q1118" s="9"/>
      <c r="R1118" s="9"/>
      <c r="S1118" s="9"/>
      <c r="T1118" s="9"/>
      <c r="U1118" s="9"/>
      <c r="V1118" s="9"/>
      <c r="W1118" s="9"/>
      <c r="X1118" s="9"/>
      <c r="Y1118" s="9"/>
      <c r="Z1118" s="9"/>
      <c r="AA1118" s="9"/>
      <c r="AB1118" s="9"/>
      <c r="AC1118" s="9"/>
      <c r="AD1118" s="9"/>
      <c r="AE1118" s="9"/>
      <c r="AF1118" s="9"/>
      <c r="AG1118" s="9"/>
      <c r="AH1118" s="9"/>
    </row>
    <row r="1119" ht="15.75" customHeight="1">
      <c r="A1119" s="9"/>
      <c r="B1119" s="197"/>
      <c r="D1119" s="198"/>
      <c r="E1119" s="8" t="s">
        <v>21</v>
      </c>
      <c r="F1119" s="8" t="s">
        <v>244</v>
      </c>
      <c r="G1119" s="42" t="str">
        <f>HYPERLINK("https://docs.google.com/spreadsheets/d/1NUco-l8OGQGsvxpJweYIkmbgA0v6WckRAVnBN5F0z_k/edit#gid=894013522", "https://docs.google.com/spreadsheets/d/1NUco-l8OGQGsvxpJweYIkmbgA0v6WckRAVnBN5F0z_k/edit#gid=894013522")</f>
        <v>https://docs.google.com/spreadsheets/d/1NUco-l8OGQGsvxpJweYIkmbgA0v6WckRAVnBN5F0z_k/edit#gid=894013522</v>
      </c>
      <c r="H1119" s="35" t="s">
        <v>244</v>
      </c>
      <c r="L1119" s="9"/>
      <c r="M1119" s="9"/>
      <c r="N1119" s="9"/>
      <c r="O1119" s="9"/>
      <c r="P1119" s="9"/>
      <c r="Q1119" s="9"/>
      <c r="R1119" s="9"/>
      <c r="S1119" s="9"/>
      <c r="T1119" s="9"/>
      <c r="U1119" s="9"/>
      <c r="V1119" s="9"/>
      <c r="W1119" s="9"/>
      <c r="X1119" s="9"/>
      <c r="Y1119" s="9"/>
      <c r="Z1119" s="9"/>
      <c r="AA1119" s="9"/>
      <c r="AB1119" s="9"/>
      <c r="AC1119" s="9"/>
      <c r="AD1119" s="9"/>
      <c r="AE1119" s="9"/>
      <c r="AF1119" s="9"/>
      <c r="AG1119" s="9"/>
      <c r="AH1119" s="9"/>
    </row>
    <row r="1120" ht="15.75" customHeight="1">
      <c r="A1120" s="9"/>
      <c r="B1120" s="197"/>
      <c r="D1120" s="198"/>
      <c r="E1120" s="8" t="s">
        <v>21</v>
      </c>
      <c r="F1120" s="8" t="s">
        <v>51</v>
      </c>
      <c r="G1120" s="42" t="str">
        <f>HYPERLINK("https://docs.google.com/spreadsheets/d/1NUco-l8OGQGsvxpJweYIkmbgA0v6WckRAVnBN5F0z_k/edit#gid=438753022", "https://docs.google.com/spreadsheets/d/1NUco-l8OGQGsvxpJweYIkmbgA0v6WckRAVnBN5F0z_k/edit#gid=438753022")</f>
        <v>https://docs.google.com/spreadsheets/d/1NUco-l8OGQGsvxpJweYIkmbgA0v6WckRAVnBN5F0z_k/edit#gid=438753022</v>
      </c>
      <c r="H1120" s="35" t="s">
        <v>51</v>
      </c>
      <c r="L1120" s="9"/>
      <c r="M1120" s="9"/>
      <c r="N1120" s="9"/>
      <c r="O1120" s="9"/>
      <c r="P1120" s="9"/>
      <c r="Q1120" s="9"/>
      <c r="R1120" s="9"/>
      <c r="S1120" s="9"/>
      <c r="T1120" s="9"/>
      <c r="U1120" s="9"/>
      <c r="V1120" s="9"/>
      <c r="W1120" s="9"/>
      <c r="X1120" s="9"/>
      <c r="Y1120" s="9"/>
      <c r="Z1120" s="9"/>
      <c r="AA1120" s="9"/>
      <c r="AB1120" s="9"/>
      <c r="AC1120" s="9"/>
      <c r="AD1120" s="9"/>
      <c r="AE1120" s="9"/>
      <c r="AF1120" s="9"/>
      <c r="AG1120" s="9"/>
      <c r="AH1120" s="9"/>
    </row>
    <row r="1121" ht="15.75" customHeight="1">
      <c r="A1121" s="9"/>
      <c r="B1121" s="197"/>
      <c r="D1121" s="198"/>
      <c r="E1121" s="8" t="s">
        <v>21</v>
      </c>
      <c r="F1121" s="8" t="s">
        <v>244</v>
      </c>
      <c r="G1121" s="42" t="str">
        <f>HYPERLINK("https://docs.google.com/spreadsheets/d/1NUco-l8OGQGsvxpJweYIkmbgA0v6WckRAVnBN5F0z_k/edit#gid=499910638", "https://docs.google.com/spreadsheets/d/1NUco-l8OGQGsvxpJweYIkmbgA0v6WckRAVnBN5F0z_k/edit#gid=499910638")</f>
        <v>https://docs.google.com/spreadsheets/d/1NUco-l8OGQGsvxpJweYIkmbgA0v6WckRAVnBN5F0z_k/edit#gid=499910638</v>
      </c>
      <c r="H1121" s="35" t="s">
        <v>1965</v>
      </c>
      <c r="L1121" s="9"/>
      <c r="M1121" s="9"/>
      <c r="N1121" s="9"/>
      <c r="O1121" s="9"/>
      <c r="P1121" s="9"/>
      <c r="Q1121" s="9"/>
      <c r="R1121" s="9"/>
      <c r="S1121" s="9"/>
      <c r="T1121" s="9"/>
      <c r="U1121" s="9"/>
      <c r="V1121" s="9"/>
      <c r="W1121" s="9"/>
      <c r="X1121" s="9"/>
      <c r="Y1121" s="9"/>
      <c r="Z1121" s="9"/>
      <c r="AA1121" s="9"/>
      <c r="AB1121" s="9"/>
      <c r="AC1121" s="9"/>
      <c r="AD1121" s="9"/>
      <c r="AE1121" s="9"/>
      <c r="AF1121" s="9"/>
      <c r="AG1121" s="9"/>
      <c r="AH1121" s="9"/>
    </row>
    <row r="1122" ht="15.75" customHeight="1">
      <c r="A1122" s="9"/>
      <c r="B1122" s="197"/>
      <c r="D1122" s="198"/>
      <c r="E1122" s="8" t="s">
        <v>21</v>
      </c>
      <c r="F1122" s="8" t="s">
        <v>51</v>
      </c>
      <c r="G1122" s="42" t="str">
        <f>HYPERLINK("https://docs.google.com/spreadsheets/d/1NUco-l8OGQGsvxpJweYIkmbgA0v6WckRAVnBN5F0z_k/edit#gid=1113792036", "https://docs.google.com/spreadsheets/d/1NUco-l8OGQGsvxpJweYIkmbgA0v6WckRAVnBN5F0z_k/edit#gid=1113792036")</f>
        <v>https://docs.google.com/spreadsheets/d/1NUco-l8OGQGsvxpJweYIkmbgA0v6WckRAVnBN5F0z_k/edit#gid=1113792036</v>
      </c>
      <c r="H1122" s="35" t="s">
        <v>1383</v>
      </c>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row>
    <row r="1123" ht="15.75" customHeight="1">
      <c r="A1123" s="9"/>
      <c r="B1123" s="197"/>
      <c r="D1123" s="198"/>
      <c r="E1123" s="8" t="s">
        <v>43</v>
      </c>
      <c r="F1123" s="8" t="s">
        <v>79</v>
      </c>
      <c r="G1123" s="42" t="str">
        <f>HYPERLINK("https://docs.google.com/spreadsheets/d/1NUco-l8OGQGsvxpJweYIkmbgA0v6WckRAVnBN5F0z_k/edit#gid=2008593255", "https://docs.google.com/spreadsheets/d/1NUco-l8OGQGsvxpJweYIkmbgA0v6WckRAVnBN5F0z_k/edit#gid=2008593255")</f>
        <v>https://docs.google.com/spreadsheets/d/1NUco-l8OGQGsvxpJweYIkmbgA0v6WckRAVnBN5F0z_k/edit#gid=2008593255</v>
      </c>
      <c r="H1123" s="35" t="s">
        <v>79</v>
      </c>
      <c r="L1123" s="9"/>
      <c r="M1123" s="9"/>
      <c r="N1123" s="9"/>
      <c r="O1123" s="9"/>
      <c r="P1123" s="9"/>
      <c r="Q1123" s="9"/>
      <c r="R1123" s="9"/>
      <c r="S1123" s="9"/>
      <c r="T1123" s="9"/>
      <c r="U1123" s="9"/>
      <c r="V1123" s="9"/>
      <c r="W1123" s="9"/>
      <c r="X1123" s="9"/>
      <c r="Y1123" s="9"/>
      <c r="Z1123" s="9"/>
      <c r="AA1123" s="9"/>
      <c r="AB1123" s="9"/>
      <c r="AC1123" s="9"/>
      <c r="AD1123" s="9"/>
      <c r="AE1123" s="9"/>
      <c r="AF1123" s="9"/>
      <c r="AG1123" s="9"/>
      <c r="AH1123" s="9"/>
    </row>
    <row r="1124" ht="15.75" customHeight="1">
      <c r="A1124" s="9"/>
      <c r="B1124" s="197"/>
      <c r="D1124" s="198"/>
      <c r="E1124" s="8" t="s">
        <v>88</v>
      </c>
      <c r="F1124" s="8" t="s">
        <v>95</v>
      </c>
      <c r="G1124" s="42" t="str">
        <f>HYPERLINK("https://docs.google.com/spreadsheets/d/1NUco-l8OGQGsvxpJweYIkmbgA0v6WckRAVnBN5F0z_k/edit#gid=1877747349", "https://docs.google.com/spreadsheets/d/1NUco-l8OGQGsvxpJweYIkmbgA0v6WckRAVnBN5F0z_k/edit#gid=1877747349")</f>
        <v>https://docs.google.com/spreadsheets/d/1NUco-l8OGQGsvxpJweYIkmbgA0v6WckRAVnBN5F0z_k/edit#gid=1877747349</v>
      </c>
      <c r="H1124" s="35" t="s">
        <v>95</v>
      </c>
      <c r="L1124" s="9"/>
      <c r="M1124" s="9"/>
      <c r="N1124" s="9"/>
      <c r="O1124" s="9"/>
      <c r="P1124" s="9"/>
      <c r="Q1124" s="9"/>
      <c r="R1124" s="9"/>
      <c r="S1124" s="9"/>
      <c r="T1124" s="9"/>
      <c r="U1124" s="9"/>
      <c r="V1124" s="9"/>
      <c r="W1124" s="9"/>
      <c r="X1124" s="9"/>
      <c r="Y1124" s="9"/>
      <c r="Z1124" s="9"/>
      <c r="AA1124" s="9"/>
      <c r="AB1124" s="9"/>
      <c r="AC1124" s="9"/>
      <c r="AD1124" s="9"/>
      <c r="AE1124" s="9"/>
      <c r="AF1124" s="9"/>
      <c r="AG1124" s="9"/>
      <c r="AH1124" s="9"/>
    </row>
    <row r="1125" ht="15.75" customHeight="1">
      <c r="A1125" s="9"/>
      <c r="B1125" s="197"/>
      <c r="C1125" s="198"/>
      <c r="D1125" s="198"/>
      <c r="E1125" s="8" t="s">
        <v>88</v>
      </c>
      <c r="F1125" s="8" t="s">
        <v>96</v>
      </c>
      <c r="G1125" s="42" t="str">
        <f>HYPERLINK("https://docs.google.com/spreadsheets/d/1NUco-l8OGQGsvxpJweYIkmbgA0v6WckRAVnBN5F0z_k/edit#gid=335133499", "https://docs.google.com/spreadsheets/d/1NUco-l8OGQGsvxpJweYIkmbgA0v6WckRAVnBN5F0z_k/edit#gid=335133499")</f>
        <v>https://docs.google.com/spreadsheets/d/1NUco-l8OGQGsvxpJweYIkmbgA0v6WckRAVnBN5F0z_k/edit#gid=335133499</v>
      </c>
      <c r="H1125" s="36"/>
      <c r="L1125" s="9"/>
      <c r="M1125" s="9"/>
      <c r="N1125" s="9"/>
      <c r="O1125" s="9"/>
      <c r="P1125" s="9"/>
      <c r="Q1125" s="9"/>
      <c r="R1125" s="9"/>
      <c r="S1125" s="9"/>
      <c r="T1125" s="9"/>
      <c r="U1125" s="9"/>
      <c r="V1125" s="9"/>
      <c r="W1125" s="9"/>
      <c r="X1125" s="9"/>
      <c r="Y1125" s="9"/>
      <c r="Z1125" s="9"/>
      <c r="AA1125" s="9"/>
      <c r="AB1125" s="9"/>
      <c r="AC1125" s="9"/>
      <c r="AD1125" s="9"/>
      <c r="AE1125" s="9"/>
      <c r="AF1125" s="9"/>
      <c r="AG1125" s="9"/>
      <c r="AH1125" s="9"/>
    </row>
    <row r="1126" ht="15.75" customHeight="1">
      <c r="A1126" s="9"/>
      <c r="B1126" s="197"/>
      <c r="C1126" s="198"/>
      <c r="D1126" s="198"/>
      <c r="E1126" s="8" t="s">
        <v>104</v>
      </c>
      <c r="F1126" s="8" t="s">
        <v>250</v>
      </c>
      <c r="G1126" s="42" t="str">
        <f>HYPERLINK("https://docs.google.com/spreadsheets/d/1NUco-l8OGQGsvxpJweYIkmbgA0v6WckRAVnBN5F0z_k/edit#gid=1190005874", "https://docs.google.com/spreadsheets/d/1NUco-l8OGQGsvxpJweYIkmbgA0v6WckRAVnBN5F0z_k/edit#gid=1190005874")</f>
        <v>https://docs.google.com/spreadsheets/d/1NUco-l8OGQGsvxpJweYIkmbgA0v6WckRAVnBN5F0z_k/edit#gid=1190005874</v>
      </c>
      <c r="H1126" s="35" t="s">
        <v>250</v>
      </c>
      <c r="L1126" s="9"/>
      <c r="M1126" s="9"/>
      <c r="N1126" s="9"/>
      <c r="O1126" s="9"/>
      <c r="P1126" s="9"/>
      <c r="Q1126" s="9"/>
      <c r="R1126" s="9"/>
      <c r="S1126" s="9"/>
      <c r="T1126" s="9"/>
      <c r="U1126" s="9"/>
      <c r="V1126" s="9"/>
      <c r="W1126" s="9"/>
      <c r="X1126" s="9"/>
      <c r="Y1126" s="9"/>
      <c r="Z1126" s="9"/>
      <c r="AA1126" s="9"/>
      <c r="AB1126" s="9"/>
      <c r="AC1126" s="9"/>
      <c r="AD1126" s="9"/>
      <c r="AE1126" s="9"/>
      <c r="AF1126" s="9"/>
      <c r="AG1126" s="9"/>
      <c r="AH1126" s="9"/>
    </row>
    <row r="1127" ht="15.75" customHeight="1">
      <c r="A1127" s="9"/>
      <c r="B1127" s="197"/>
      <c r="C1127" s="198"/>
      <c r="D1127" s="198"/>
      <c r="E1127" s="9"/>
      <c r="F1127" s="9"/>
      <c r="G1127" s="42"/>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row>
    <row r="1128" ht="15.75" customHeight="1">
      <c r="A1128" s="9"/>
      <c r="B1128" s="56" t="s">
        <v>1966</v>
      </c>
      <c r="C1128" s="184" t="s">
        <v>1967</v>
      </c>
      <c r="D1128" s="184" t="s">
        <v>20</v>
      </c>
      <c r="E1128" s="8" t="s">
        <v>88</v>
      </c>
      <c r="F1128" s="8" t="s">
        <v>89</v>
      </c>
      <c r="G1128" s="42"/>
      <c r="L1128" s="9"/>
      <c r="M1128" s="9"/>
      <c r="N1128" s="9"/>
      <c r="O1128" s="9"/>
      <c r="P1128" s="9"/>
      <c r="Q1128" s="9"/>
      <c r="R1128" s="9"/>
      <c r="S1128" s="9"/>
      <c r="T1128" s="9"/>
      <c r="U1128" s="9"/>
      <c r="V1128" s="9"/>
      <c r="W1128" s="9"/>
      <c r="X1128" s="9"/>
      <c r="Y1128" s="9"/>
      <c r="Z1128" s="9"/>
      <c r="AA1128" s="9"/>
      <c r="AB1128" s="9"/>
      <c r="AC1128" s="9"/>
      <c r="AD1128" s="9"/>
      <c r="AE1128" s="9"/>
      <c r="AF1128" s="9"/>
      <c r="AG1128" s="9"/>
      <c r="AH1128" s="9"/>
    </row>
    <row r="1129" ht="15.75" customHeight="1">
      <c r="A1129" s="9"/>
      <c r="B1129" s="197"/>
      <c r="D1129" s="198"/>
      <c r="E1129" s="8" t="s">
        <v>88</v>
      </c>
      <c r="F1129" s="8" t="s">
        <v>239</v>
      </c>
      <c r="G1129" s="42" t="str">
        <f>HYPERLINK("https://docs.google.com/spreadsheets/d/1USgmf6hjt9praNq_OPRSyxcSachsnHnsZr5hocFxLWs/edit#gid=10802255", "https://docs.google.com/spreadsheets/d/1USgmf6hjt9praNq_OPRSyxcSachsnHnsZr5hocFxLWs/edit#gid=10802255")</f>
        <v>https://docs.google.com/spreadsheets/d/1USgmf6hjt9praNq_OPRSyxcSachsnHnsZr5hocFxLWs/edit#gid=10802255</v>
      </c>
      <c r="H1129" s="35" t="s">
        <v>239</v>
      </c>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row>
    <row r="1130" ht="15.75" customHeight="1">
      <c r="A1130" s="9"/>
      <c r="B1130" s="197"/>
      <c r="D1130" s="198"/>
      <c r="E1130" s="8" t="s">
        <v>147</v>
      </c>
      <c r="F1130" s="8" t="s">
        <v>148</v>
      </c>
      <c r="G1130" s="42"/>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row>
    <row r="1131" ht="15.75" customHeight="1">
      <c r="A1131" s="9"/>
      <c r="B1131" s="197"/>
      <c r="D1131" s="198"/>
      <c r="E1131" s="8" t="s">
        <v>21</v>
      </c>
      <c r="F1131" s="8" t="s">
        <v>51</v>
      </c>
      <c r="G1131" s="42" t="str">
        <f>HYPERLINK("https://docs.google.com/spreadsheets/d/1USgmf6hjt9praNq_OPRSyxcSachsnHnsZr5hocFxLWs/edit#gid=1677838296", "https://docs.google.com/spreadsheets/d/1USgmf6hjt9praNq_OPRSyxcSachsnHnsZr5hocFxLWs/edit#gid=1677838296")</f>
        <v>https://docs.google.com/spreadsheets/d/1USgmf6hjt9praNq_OPRSyxcSachsnHnsZr5hocFxLWs/edit#gid=1677838296</v>
      </c>
      <c r="H1131" s="35" t="s">
        <v>51</v>
      </c>
      <c r="L1131" s="9"/>
      <c r="M1131" s="9"/>
      <c r="N1131" s="9"/>
      <c r="O1131" s="9"/>
      <c r="P1131" s="9"/>
      <c r="Q1131" s="9"/>
      <c r="R1131" s="9"/>
      <c r="S1131" s="9"/>
      <c r="T1131" s="9"/>
      <c r="U1131" s="9"/>
      <c r="V1131" s="9"/>
      <c r="W1131" s="9"/>
      <c r="X1131" s="9"/>
      <c r="Y1131" s="9"/>
      <c r="Z1131" s="9"/>
      <c r="AA1131" s="9"/>
      <c r="AB1131" s="9"/>
      <c r="AC1131" s="9"/>
      <c r="AD1131" s="9"/>
      <c r="AE1131" s="9"/>
      <c r="AF1131" s="9"/>
      <c r="AG1131" s="9"/>
      <c r="AH1131" s="9"/>
    </row>
    <row r="1132" ht="15.75" customHeight="1">
      <c r="A1132" s="9"/>
      <c r="B1132" s="197"/>
      <c r="D1132" s="198"/>
      <c r="E1132" s="8" t="s">
        <v>43</v>
      </c>
      <c r="F1132" s="8" t="s">
        <v>79</v>
      </c>
      <c r="G1132" s="42" t="str">
        <f>HYPERLINK("https://docs.google.com/spreadsheets/d/1USgmf6hjt9praNq_OPRSyxcSachsnHnsZr5hocFxLWs/edit#gid=214909094", "https://docs.google.com/spreadsheets/d/1USgmf6hjt9praNq_OPRSyxcSachsnHnsZr5hocFxLWs/edit#gid=214909094")</f>
        <v>https://docs.google.com/spreadsheets/d/1USgmf6hjt9praNq_OPRSyxcSachsnHnsZr5hocFxLWs/edit#gid=214909094</v>
      </c>
      <c r="H1132" s="35" t="s">
        <v>79</v>
      </c>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row>
    <row r="1133" ht="15.75" customHeight="1">
      <c r="A1133" s="9"/>
      <c r="B1133" s="197"/>
      <c r="D1133" s="198"/>
      <c r="E1133" s="8" t="s">
        <v>88</v>
      </c>
      <c r="F1133" s="8" t="s">
        <v>95</v>
      </c>
      <c r="G1133" s="42" t="str">
        <f>HYPERLINK("https://docs.google.com/spreadsheets/d/1USgmf6hjt9praNq_OPRSyxcSachsnHnsZr5hocFxLWs/edit#gid=1510826011", "https://docs.google.com/spreadsheets/d/1USgmf6hjt9praNq_OPRSyxcSachsnHnsZr5hocFxLWs/edit#gid=1510826011")</f>
        <v>https://docs.google.com/spreadsheets/d/1USgmf6hjt9praNq_OPRSyxcSachsnHnsZr5hocFxLWs/edit#gid=1510826011</v>
      </c>
      <c r="H1133" s="35" t="s">
        <v>95</v>
      </c>
      <c r="L1133" s="9"/>
      <c r="M1133" s="9"/>
      <c r="N1133" s="9"/>
      <c r="O1133" s="9"/>
      <c r="P1133" s="9"/>
      <c r="Q1133" s="9"/>
      <c r="R1133" s="9"/>
      <c r="S1133" s="9"/>
      <c r="T1133" s="9"/>
      <c r="U1133" s="9"/>
      <c r="V1133" s="9"/>
      <c r="W1133" s="9"/>
      <c r="X1133" s="9"/>
      <c r="Y1133" s="9"/>
      <c r="Z1133" s="9"/>
      <c r="AA1133" s="9"/>
      <c r="AB1133" s="9"/>
      <c r="AC1133" s="9"/>
      <c r="AD1133" s="9"/>
      <c r="AE1133" s="9"/>
      <c r="AF1133" s="9"/>
      <c r="AG1133" s="9"/>
      <c r="AH1133" s="9"/>
    </row>
    <row r="1134" ht="15.75" customHeight="1">
      <c r="A1134" s="9"/>
      <c r="B1134" s="197"/>
      <c r="D1134" s="198"/>
      <c r="E1134" s="8" t="s">
        <v>88</v>
      </c>
      <c r="F1134" s="8" t="s">
        <v>96</v>
      </c>
      <c r="G1134" s="42" t="str">
        <f>HYPERLINK("https://docs.google.com/spreadsheets/d/1USgmf6hjt9praNq_OPRSyxcSachsnHnsZr5hocFxLWs/edit#gid=315453801", "https://docs.google.com/spreadsheets/d/1USgmf6hjt9praNq_OPRSyxcSachsnHnsZr5hocFxLWs/edit#gid=315453801")</f>
        <v>https://docs.google.com/spreadsheets/d/1USgmf6hjt9praNq_OPRSyxcSachsnHnsZr5hocFxLWs/edit#gid=315453801</v>
      </c>
      <c r="H1134" s="35" t="s">
        <v>96</v>
      </c>
      <c r="L1134" s="9"/>
      <c r="M1134" s="9"/>
      <c r="N1134" s="9"/>
      <c r="O1134" s="9"/>
      <c r="P1134" s="9"/>
      <c r="Q1134" s="9"/>
      <c r="R1134" s="9"/>
      <c r="S1134" s="9"/>
      <c r="T1134" s="9"/>
      <c r="U1134" s="9"/>
      <c r="V1134" s="9"/>
      <c r="W1134" s="9"/>
      <c r="X1134" s="9"/>
      <c r="Y1134" s="9"/>
      <c r="Z1134" s="9"/>
      <c r="AA1134" s="9"/>
      <c r="AB1134" s="9"/>
      <c r="AC1134" s="9"/>
      <c r="AD1134" s="9"/>
      <c r="AE1134" s="9"/>
      <c r="AF1134" s="9"/>
      <c r="AG1134" s="9"/>
      <c r="AH1134" s="9"/>
    </row>
    <row r="1135" ht="15.75" customHeight="1">
      <c r="A1135" s="9"/>
      <c r="B1135" s="197"/>
      <c r="D1135" s="198"/>
      <c r="E1135" s="8" t="s">
        <v>104</v>
      </c>
      <c r="F1135" s="8" t="s">
        <v>250</v>
      </c>
      <c r="G1135" s="42" t="str">
        <f>HYPERLINK("https://docs.google.com/spreadsheets/d/1USgmf6hjt9praNq_OPRSyxcSachsnHnsZr5hocFxLWs/edit#gid=808125166", "https://docs.google.com/spreadsheets/d/1USgmf6hjt9praNq_OPRSyxcSachsnHnsZr5hocFxLWs/edit#gid=808125166")</f>
        <v>https://docs.google.com/spreadsheets/d/1USgmf6hjt9praNq_OPRSyxcSachsnHnsZr5hocFxLWs/edit#gid=808125166</v>
      </c>
      <c r="H1135" s="35" t="s">
        <v>250</v>
      </c>
      <c r="L1135" s="9"/>
      <c r="M1135" s="9"/>
      <c r="N1135" s="9"/>
      <c r="O1135" s="9"/>
      <c r="P1135" s="9"/>
      <c r="Q1135" s="9"/>
      <c r="R1135" s="9"/>
      <c r="S1135" s="9"/>
      <c r="T1135" s="9"/>
      <c r="U1135" s="9"/>
      <c r="V1135" s="9"/>
      <c r="W1135" s="9"/>
      <c r="X1135" s="9"/>
      <c r="Y1135" s="9"/>
      <c r="Z1135" s="9"/>
      <c r="AA1135" s="9"/>
      <c r="AB1135" s="9"/>
      <c r="AC1135" s="9"/>
      <c r="AD1135" s="9"/>
      <c r="AE1135" s="9"/>
      <c r="AF1135" s="9"/>
      <c r="AG1135" s="9"/>
      <c r="AH1135" s="9"/>
    </row>
    <row r="1136" ht="15.75" customHeight="1">
      <c r="A1136" s="9"/>
      <c r="B1136" s="197"/>
      <c r="D1136" s="198"/>
      <c r="E1136" s="9"/>
      <c r="F1136" s="9"/>
      <c r="G1136" s="42"/>
      <c r="L1136" s="9"/>
      <c r="M1136" s="9"/>
      <c r="N1136" s="9"/>
      <c r="O1136" s="9"/>
      <c r="P1136" s="9"/>
      <c r="Q1136" s="9"/>
      <c r="R1136" s="9"/>
      <c r="S1136" s="9"/>
      <c r="T1136" s="9"/>
      <c r="U1136" s="9"/>
      <c r="V1136" s="9"/>
      <c r="W1136" s="9"/>
      <c r="X1136" s="9"/>
      <c r="Y1136" s="9"/>
      <c r="Z1136" s="9"/>
      <c r="AA1136" s="9"/>
      <c r="AB1136" s="9"/>
      <c r="AC1136" s="9"/>
      <c r="AD1136" s="9"/>
      <c r="AE1136" s="9"/>
      <c r="AF1136" s="9"/>
      <c r="AG1136" s="9"/>
      <c r="AH1136" s="9"/>
    </row>
    <row r="1137" ht="15.75" customHeight="1">
      <c r="A1137" s="9"/>
      <c r="B1137" s="197"/>
      <c r="C1137" s="198"/>
      <c r="D1137" s="198"/>
      <c r="E1137" s="9"/>
      <c r="F1137" s="9"/>
      <c r="G1137" s="42"/>
      <c r="L1137" s="9"/>
      <c r="M1137" s="9"/>
      <c r="N1137" s="9"/>
      <c r="O1137" s="9"/>
      <c r="P1137" s="9"/>
      <c r="Q1137" s="9"/>
      <c r="R1137" s="9"/>
      <c r="S1137" s="9"/>
      <c r="T1137" s="9"/>
      <c r="U1137" s="9"/>
      <c r="V1137" s="9"/>
      <c r="W1137" s="9"/>
      <c r="X1137" s="9"/>
      <c r="Y1137" s="9"/>
      <c r="Z1137" s="9"/>
      <c r="AA1137" s="9"/>
      <c r="AB1137" s="9"/>
      <c r="AC1137" s="9"/>
      <c r="AD1137" s="9"/>
      <c r="AE1137" s="9"/>
      <c r="AF1137" s="9"/>
      <c r="AG1137" s="9"/>
      <c r="AH1137" s="9"/>
    </row>
    <row r="1138" ht="15.75" customHeight="1">
      <c r="A1138" s="9"/>
      <c r="B1138" s="56" t="s">
        <v>1968</v>
      </c>
      <c r="C1138" s="167" t="s">
        <v>1398</v>
      </c>
      <c r="D1138" s="184" t="s">
        <v>20</v>
      </c>
      <c r="E1138" s="8" t="s">
        <v>88</v>
      </c>
      <c r="F1138" s="8" t="s">
        <v>89</v>
      </c>
      <c r="G1138" s="42"/>
      <c r="L1138" s="9"/>
      <c r="M1138" s="9"/>
      <c r="N1138" s="9"/>
      <c r="O1138" s="9"/>
      <c r="P1138" s="9"/>
      <c r="Q1138" s="9"/>
      <c r="R1138" s="9"/>
      <c r="S1138" s="9"/>
      <c r="T1138" s="9"/>
      <c r="U1138" s="9"/>
      <c r="V1138" s="9"/>
      <c r="W1138" s="9"/>
      <c r="X1138" s="9"/>
      <c r="Y1138" s="9"/>
      <c r="Z1138" s="9"/>
      <c r="AA1138" s="9"/>
      <c r="AB1138" s="9"/>
      <c r="AC1138" s="9"/>
      <c r="AD1138" s="9"/>
      <c r="AE1138" s="9"/>
      <c r="AF1138" s="9"/>
      <c r="AG1138" s="9"/>
      <c r="AH1138" s="9"/>
    </row>
    <row r="1139" ht="15.75" customHeight="1">
      <c r="A1139" s="9"/>
      <c r="B1139" s="197"/>
      <c r="D1139" s="198"/>
      <c r="E1139" s="8" t="s">
        <v>21</v>
      </c>
      <c r="F1139" s="8" t="s">
        <v>51</v>
      </c>
      <c r="G1139" s="42" t="str">
        <f>HYPERLINK("https://docs.google.com/spreadsheets/d/1Daxsn7PSu4qNDZnqTibQJKLHsvdH-7euGunnnSTD78E/edit#gid=1354895779", "https://docs.google.com/spreadsheets/d/1Daxsn7PSu4qNDZnqTibQJKLHsvdH-7euGunnnSTD78E/edit#gid=1354895779")</f>
        <v>https://docs.google.com/spreadsheets/d/1Daxsn7PSu4qNDZnqTibQJKLHsvdH-7euGunnnSTD78E/edit#gid=1354895779</v>
      </c>
      <c r="H1139" s="35" t="s">
        <v>51</v>
      </c>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row>
    <row r="1140" ht="15.75" customHeight="1">
      <c r="A1140" s="9"/>
      <c r="B1140" s="197"/>
      <c r="D1140" s="198"/>
      <c r="E1140" s="8" t="s">
        <v>88</v>
      </c>
      <c r="F1140" s="8" t="s">
        <v>120</v>
      </c>
      <c r="G1140" s="42" t="str">
        <f>HYPERLINK("https://docs.google.com/spreadsheets/d/1Daxsn7PSu4qNDZnqTibQJKLHsvdH-7euGunnnSTD78E/edit#gid=846892768", "https://docs.google.com/spreadsheets/d/1Daxsn7PSu4qNDZnqTibQJKLHsvdH-7euGunnnSTD78E/edit#gid=846892768")</f>
        <v>https://docs.google.com/spreadsheets/d/1Daxsn7PSu4qNDZnqTibQJKLHsvdH-7euGunnnSTD78E/edit#gid=846892768</v>
      </c>
      <c r="H1140" s="35" t="s">
        <v>120</v>
      </c>
      <c r="L1140" s="9"/>
      <c r="M1140" s="9"/>
      <c r="N1140" s="9"/>
      <c r="O1140" s="9"/>
      <c r="P1140" s="9"/>
      <c r="Q1140" s="9"/>
      <c r="R1140" s="9"/>
      <c r="S1140" s="9"/>
      <c r="T1140" s="9"/>
      <c r="U1140" s="9"/>
      <c r="V1140" s="9"/>
      <c r="W1140" s="9"/>
      <c r="X1140" s="9"/>
      <c r="Y1140" s="9"/>
      <c r="Z1140" s="9"/>
      <c r="AA1140" s="9"/>
      <c r="AB1140" s="9"/>
      <c r="AC1140" s="9"/>
      <c r="AD1140" s="9"/>
      <c r="AE1140" s="9"/>
      <c r="AF1140" s="9"/>
      <c r="AG1140" s="9"/>
      <c r="AH1140" s="9"/>
    </row>
    <row r="1141" ht="15.75" customHeight="1">
      <c r="A1141" s="9"/>
      <c r="B1141" s="197"/>
      <c r="D1141" s="198"/>
      <c r="E1141" s="8" t="s">
        <v>88</v>
      </c>
      <c r="F1141" s="8" t="s">
        <v>1056</v>
      </c>
      <c r="G1141" s="42" t="str">
        <f>HYPERLINK("https://docs.google.com/spreadsheets/d/1Daxsn7PSu4qNDZnqTibQJKLHsvdH-7euGunnnSTD78E/edit#gid=897621028", "https://docs.google.com/spreadsheets/d/1Daxsn7PSu4qNDZnqTibQJKLHsvdH-7euGunnnSTD78E/edit#gid=897621028")</f>
        <v>https://docs.google.com/spreadsheets/d/1Daxsn7PSu4qNDZnqTibQJKLHsvdH-7euGunnnSTD78E/edit#gid=897621028</v>
      </c>
      <c r="H1141" s="35" t="s">
        <v>1056</v>
      </c>
      <c r="L1141" s="9"/>
      <c r="M1141" s="9"/>
      <c r="N1141" s="9"/>
      <c r="O1141" s="9"/>
      <c r="P1141" s="9"/>
      <c r="Q1141" s="9"/>
      <c r="R1141" s="9"/>
      <c r="S1141" s="9"/>
      <c r="T1141" s="9"/>
      <c r="U1141" s="9"/>
      <c r="V1141" s="9"/>
      <c r="W1141" s="9"/>
      <c r="X1141" s="9"/>
      <c r="Y1141" s="9"/>
      <c r="Z1141" s="9"/>
      <c r="AA1141" s="9"/>
      <c r="AB1141" s="9"/>
      <c r="AC1141" s="9"/>
      <c r="AD1141" s="9"/>
      <c r="AE1141" s="9"/>
      <c r="AF1141" s="9"/>
      <c r="AG1141" s="9"/>
      <c r="AH1141" s="9"/>
    </row>
    <row r="1142" ht="15.75" customHeight="1">
      <c r="A1142" s="9"/>
      <c r="B1142" s="197"/>
      <c r="D1142" s="198"/>
      <c r="E1142" s="8" t="s">
        <v>88</v>
      </c>
      <c r="F1142" s="8" t="s">
        <v>122</v>
      </c>
      <c r="G1142" s="42" t="str">
        <f>HYPERLINK("https://docs.google.com/spreadsheets/d/1Daxsn7PSu4qNDZnqTibQJKLHsvdH-7euGunnnSTD78E/edit#gid=48965452", "https://docs.google.com/spreadsheets/d/1Daxsn7PSu4qNDZnqTibQJKLHsvdH-7euGunnnSTD78E/edit#gid=48965452")</f>
        <v>https://docs.google.com/spreadsheets/d/1Daxsn7PSu4qNDZnqTibQJKLHsvdH-7euGunnnSTD78E/edit#gid=48965452</v>
      </c>
      <c r="H1142" s="35" t="s">
        <v>122</v>
      </c>
      <c r="L1142" s="9"/>
      <c r="M1142" s="9"/>
      <c r="N1142" s="9"/>
      <c r="O1142" s="9"/>
      <c r="P1142" s="9"/>
      <c r="Q1142" s="9"/>
      <c r="R1142" s="9"/>
      <c r="S1142" s="9"/>
      <c r="T1142" s="9"/>
      <c r="U1142" s="9"/>
      <c r="V1142" s="9"/>
      <c r="W1142" s="9"/>
      <c r="X1142" s="9"/>
      <c r="Y1142" s="9"/>
      <c r="Z1142" s="9"/>
      <c r="AA1142" s="9"/>
      <c r="AB1142" s="9"/>
      <c r="AC1142" s="9"/>
      <c r="AD1142" s="9"/>
      <c r="AE1142" s="9"/>
      <c r="AF1142" s="9"/>
      <c r="AG1142" s="9"/>
      <c r="AH1142" s="9"/>
    </row>
    <row r="1143" ht="15.75" customHeight="1">
      <c r="A1143" s="9"/>
      <c r="B1143" s="197"/>
      <c r="D1143" s="198"/>
      <c r="E1143" s="8" t="s">
        <v>88</v>
      </c>
      <c r="F1143" s="8" t="s">
        <v>125</v>
      </c>
      <c r="G1143" s="42" t="str">
        <f>HYPERLINK("https://docs.google.com/spreadsheets/d/1Daxsn7PSu4qNDZnqTibQJKLHsvdH-7euGunnnSTD78E/edit#gid=776600589", "https://docs.google.com/spreadsheets/d/1Daxsn7PSu4qNDZnqTibQJKLHsvdH-7euGunnnSTD78E/edit#gid=776600589")</f>
        <v>https://docs.google.com/spreadsheets/d/1Daxsn7PSu4qNDZnqTibQJKLHsvdH-7euGunnnSTD78E/edit#gid=776600589</v>
      </c>
      <c r="H1143" s="35" t="s">
        <v>125</v>
      </c>
      <c r="L1143" s="9"/>
      <c r="M1143" s="9"/>
      <c r="N1143" s="9"/>
      <c r="O1143" s="9"/>
      <c r="P1143" s="9"/>
      <c r="Q1143" s="9"/>
      <c r="R1143" s="9"/>
      <c r="S1143" s="9"/>
      <c r="T1143" s="9"/>
      <c r="U1143" s="9"/>
      <c r="V1143" s="9"/>
      <c r="W1143" s="9"/>
      <c r="X1143" s="9"/>
      <c r="Y1143" s="9"/>
      <c r="Z1143" s="9"/>
      <c r="AA1143" s="9"/>
      <c r="AB1143" s="9"/>
      <c r="AC1143" s="9"/>
      <c r="AD1143" s="9"/>
      <c r="AE1143" s="9"/>
      <c r="AF1143" s="9"/>
      <c r="AG1143" s="9"/>
      <c r="AH1143" s="9"/>
    </row>
    <row r="1144" ht="15.75" customHeight="1">
      <c r="A1144" s="9"/>
      <c r="B1144" s="197"/>
      <c r="D1144" s="198"/>
      <c r="E1144" s="8" t="s">
        <v>88</v>
      </c>
      <c r="F1144" s="8" t="s">
        <v>1058</v>
      </c>
      <c r="G1144" s="42" t="str">
        <f>HYPERLINK("https://docs.google.com/spreadsheets/d/1Daxsn7PSu4qNDZnqTibQJKLHsvdH-7euGunnnSTD78E/edit#gid=1086023109", "https://docs.google.com/spreadsheets/d/1Daxsn7PSu4qNDZnqTibQJKLHsvdH-7euGunnnSTD78E/edit#gid=1086023109")</f>
        <v>https://docs.google.com/spreadsheets/d/1Daxsn7PSu4qNDZnqTibQJKLHsvdH-7euGunnnSTD78E/edit#gid=1086023109</v>
      </c>
      <c r="H1144" s="35" t="s">
        <v>1058</v>
      </c>
      <c r="L1144" s="9"/>
      <c r="M1144" s="9"/>
      <c r="N1144" s="9"/>
      <c r="O1144" s="9"/>
      <c r="P1144" s="9"/>
      <c r="Q1144" s="9"/>
      <c r="R1144" s="9"/>
      <c r="S1144" s="9"/>
      <c r="T1144" s="9"/>
      <c r="U1144" s="9"/>
      <c r="V1144" s="9"/>
      <c r="W1144" s="9"/>
      <c r="X1144" s="9"/>
      <c r="Y1144" s="9"/>
      <c r="Z1144" s="9"/>
      <c r="AA1144" s="9"/>
      <c r="AB1144" s="9"/>
      <c r="AC1144" s="9"/>
      <c r="AD1144" s="9"/>
      <c r="AE1144" s="9"/>
      <c r="AF1144" s="9"/>
      <c r="AG1144" s="9"/>
      <c r="AH1144" s="9"/>
    </row>
    <row r="1145" ht="15.75" customHeight="1">
      <c r="A1145" s="9"/>
      <c r="B1145" s="197"/>
      <c r="D1145" s="198"/>
      <c r="E1145" s="8" t="s">
        <v>88</v>
      </c>
      <c r="F1145" s="8" t="s">
        <v>96</v>
      </c>
      <c r="G1145" s="42" t="str">
        <f>HYPERLINK("https://docs.google.com/spreadsheets/d/1Daxsn7PSu4qNDZnqTibQJKLHsvdH-7euGunnnSTD78E/edit#gid=460615496", "https://docs.google.com/spreadsheets/d/1Daxsn7PSu4qNDZnqTibQJKLHsvdH-7euGunnnSTD78E/edit#gid=460615496")</f>
        <v>https://docs.google.com/spreadsheets/d/1Daxsn7PSu4qNDZnqTibQJKLHsvdH-7euGunnnSTD78E/edit#gid=460615496</v>
      </c>
      <c r="H1145" s="35" t="s">
        <v>96</v>
      </c>
      <c r="L1145" s="9"/>
      <c r="M1145" s="9"/>
      <c r="N1145" s="9"/>
      <c r="O1145" s="9"/>
      <c r="P1145" s="9"/>
      <c r="Q1145" s="9"/>
      <c r="R1145" s="9"/>
      <c r="S1145" s="9"/>
      <c r="T1145" s="9"/>
      <c r="U1145" s="9"/>
      <c r="V1145" s="9"/>
      <c r="W1145" s="9"/>
      <c r="X1145" s="9"/>
      <c r="Y1145" s="9"/>
      <c r="Z1145" s="9"/>
      <c r="AA1145" s="9"/>
      <c r="AB1145" s="9"/>
      <c r="AC1145" s="9"/>
      <c r="AD1145" s="9"/>
      <c r="AE1145" s="9"/>
      <c r="AF1145" s="9"/>
      <c r="AG1145" s="9"/>
      <c r="AH1145" s="9"/>
    </row>
    <row r="1146" ht="15.75" customHeight="1">
      <c r="A1146" s="9"/>
      <c r="B1146" s="197"/>
      <c r="D1146" s="198"/>
      <c r="E1146" s="8" t="s">
        <v>86</v>
      </c>
      <c r="F1146" s="8" t="s">
        <v>90</v>
      </c>
      <c r="G1146" s="42" t="str">
        <f>HYPERLINK("https://docs.google.com/spreadsheets/d/1Daxsn7PSu4qNDZnqTibQJKLHsvdH-7euGunnnSTD78E/edit#gid=1123928136", "https://docs.google.com/spreadsheets/d/1Daxsn7PSu4qNDZnqTibQJKLHsvdH-7euGunnnSTD78E/edit#gid=1123928136")</f>
        <v>https://docs.google.com/spreadsheets/d/1Daxsn7PSu4qNDZnqTibQJKLHsvdH-7euGunnnSTD78E/edit#gid=1123928136</v>
      </c>
      <c r="H1146" s="35" t="s">
        <v>90</v>
      </c>
      <c r="L1146" s="9"/>
      <c r="M1146" s="9"/>
      <c r="N1146" s="9"/>
      <c r="O1146" s="9"/>
      <c r="P1146" s="9"/>
      <c r="Q1146" s="9"/>
      <c r="R1146" s="9"/>
      <c r="S1146" s="9"/>
      <c r="T1146" s="9"/>
      <c r="U1146" s="9"/>
      <c r="V1146" s="9"/>
      <c r="W1146" s="9"/>
      <c r="X1146" s="9"/>
      <c r="Y1146" s="9"/>
      <c r="Z1146" s="9"/>
      <c r="AA1146" s="9"/>
      <c r="AB1146" s="9"/>
      <c r="AC1146" s="9"/>
      <c r="AD1146" s="9"/>
      <c r="AE1146" s="9"/>
      <c r="AF1146" s="9"/>
      <c r="AG1146" s="9"/>
      <c r="AH1146" s="9"/>
    </row>
    <row r="1147" ht="15.75" customHeight="1">
      <c r="A1147" s="9"/>
      <c r="B1147" s="197"/>
      <c r="D1147" s="198"/>
      <c r="E1147" s="8" t="s">
        <v>86</v>
      </c>
      <c r="F1147" s="8" t="s">
        <v>91</v>
      </c>
      <c r="G1147" s="42" t="str">
        <f>HYPERLINK("https://docs.google.com/spreadsheets/d/1Daxsn7PSu4qNDZnqTibQJKLHsvdH-7euGunnnSTD78E/edit#gid=1312326725", "https://docs.google.com/spreadsheets/d/1Daxsn7PSu4qNDZnqTibQJKLHsvdH-7euGunnnSTD78E/edit#gid=1312326725")</f>
        <v>https://docs.google.com/spreadsheets/d/1Daxsn7PSu4qNDZnqTibQJKLHsvdH-7euGunnnSTD78E/edit#gid=1312326725</v>
      </c>
      <c r="H1147" s="35" t="s">
        <v>91</v>
      </c>
      <c r="L1147" s="9"/>
      <c r="M1147" s="9"/>
      <c r="N1147" s="9"/>
      <c r="O1147" s="9"/>
      <c r="P1147" s="9"/>
      <c r="Q1147" s="9"/>
      <c r="R1147" s="9"/>
      <c r="S1147" s="9"/>
      <c r="T1147" s="9"/>
      <c r="U1147" s="9"/>
      <c r="V1147" s="9"/>
      <c r="W1147" s="9"/>
      <c r="X1147" s="9"/>
      <c r="Y1147" s="9"/>
      <c r="Z1147" s="9"/>
      <c r="AA1147" s="9"/>
      <c r="AB1147" s="9"/>
      <c r="AC1147" s="9"/>
      <c r="AD1147" s="9"/>
      <c r="AE1147" s="9"/>
      <c r="AF1147" s="9"/>
      <c r="AG1147" s="9"/>
      <c r="AH1147" s="9"/>
    </row>
    <row r="1148" ht="15.75" customHeight="1">
      <c r="A1148" s="9"/>
      <c r="B1148" s="197"/>
      <c r="D1148" s="198"/>
      <c r="E1148" s="8" t="s">
        <v>104</v>
      </c>
      <c r="F1148" s="8" t="s">
        <v>250</v>
      </c>
      <c r="G1148" s="42" t="str">
        <f>HYPERLINK("https://docs.google.com/spreadsheets/d/1Daxsn7PSu4qNDZnqTibQJKLHsvdH-7euGunnnSTD78E/edit#gid=582507163", "https://docs.google.com/spreadsheets/d/1Daxsn7PSu4qNDZnqTibQJKLHsvdH-7euGunnnSTD78E/edit#gid=582507163")</f>
        <v>https://docs.google.com/spreadsheets/d/1Daxsn7PSu4qNDZnqTibQJKLHsvdH-7euGunnnSTD78E/edit#gid=582507163</v>
      </c>
      <c r="H1148" s="35" t="s">
        <v>250</v>
      </c>
      <c r="L1148" s="9"/>
      <c r="M1148" s="9"/>
      <c r="N1148" s="9"/>
      <c r="O1148" s="9"/>
      <c r="P1148" s="9"/>
      <c r="Q1148" s="9"/>
      <c r="R1148" s="9"/>
      <c r="S1148" s="9"/>
      <c r="T1148" s="9"/>
      <c r="U1148" s="9"/>
      <c r="V1148" s="9"/>
      <c r="W1148" s="9"/>
      <c r="X1148" s="9"/>
      <c r="Y1148" s="9"/>
      <c r="Z1148" s="9"/>
      <c r="AA1148" s="9"/>
      <c r="AB1148" s="9"/>
      <c r="AC1148" s="9"/>
      <c r="AD1148" s="9"/>
      <c r="AE1148" s="9"/>
      <c r="AF1148" s="9"/>
      <c r="AG1148" s="9"/>
      <c r="AH1148" s="9"/>
    </row>
    <row r="1149" ht="15.75" customHeight="1">
      <c r="A1149" s="9"/>
      <c r="B1149" s="197"/>
      <c r="D1149" s="198"/>
      <c r="E1149" s="8" t="s">
        <v>178</v>
      </c>
      <c r="F1149" s="8" t="s">
        <v>209</v>
      </c>
      <c r="G1149" s="42" t="str">
        <f>HYPERLINK("https://docs.google.com/spreadsheets/d/1Daxsn7PSu4qNDZnqTibQJKLHsvdH-7euGunnnSTD78E/edit#gid=1163684185", "https://docs.google.com/spreadsheets/d/1Daxsn7PSu4qNDZnqTibQJKLHsvdH-7euGunnnSTD78E/edit#gid=1163684185")</f>
        <v>https://docs.google.com/spreadsheets/d/1Daxsn7PSu4qNDZnqTibQJKLHsvdH-7euGunnnSTD78E/edit#gid=1163684185</v>
      </c>
      <c r="H1149" s="35" t="s">
        <v>209</v>
      </c>
      <c r="L1149" s="9"/>
      <c r="M1149" s="9"/>
      <c r="N1149" s="9"/>
      <c r="O1149" s="9"/>
      <c r="P1149" s="9"/>
      <c r="Q1149" s="9"/>
      <c r="R1149" s="9"/>
      <c r="S1149" s="9"/>
      <c r="T1149" s="9"/>
      <c r="U1149" s="9"/>
      <c r="V1149" s="9"/>
      <c r="W1149" s="9"/>
      <c r="X1149" s="9"/>
      <c r="Y1149" s="9"/>
      <c r="Z1149" s="9"/>
      <c r="AA1149" s="9"/>
      <c r="AB1149" s="9"/>
      <c r="AC1149" s="9"/>
      <c r="AD1149" s="9"/>
      <c r="AE1149" s="9"/>
      <c r="AF1149" s="9"/>
      <c r="AG1149" s="9"/>
      <c r="AH1149" s="9"/>
    </row>
    <row r="1150" ht="15.75" customHeight="1">
      <c r="A1150" s="9"/>
      <c r="B1150" s="197"/>
      <c r="D1150" s="198"/>
      <c r="E1150" s="8" t="s">
        <v>178</v>
      </c>
      <c r="F1150" s="8" t="s">
        <v>210</v>
      </c>
      <c r="G1150" s="42" t="str">
        <f>HYPERLINK("https://docs.google.com/spreadsheets/d/1Daxsn7PSu4qNDZnqTibQJKLHsvdH-7euGunnnSTD78E/edit#gid=2031269165", "https://docs.google.com/spreadsheets/d/1Daxsn7PSu4qNDZnqTibQJKLHsvdH-7euGunnnSTD78E/edit#gid=2031269165")</f>
        <v>https://docs.google.com/spreadsheets/d/1Daxsn7PSu4qNDZnqTibQJKLHsvdH-7euGunnnSTD78E/edit#gid=2031269165</v>
      </c>
      <c r="H1150" s="35" t="s">
        <v>210</v>
      </c>
      <c r="L1150" s="9"/>
      <c r="M1150" s="9"/>
      <c r="N1150" s="9"/>
      <c r="O1150" s="9"/>
      <c r="P1150" s="9"/>
      <c r="Q1150" s="9"/>
      <c r="R1150" s="9"/>
      <c r="S1150" s="9"/>
      <c r="T1150" s="9"/>
      <c r="U1150" s="9"/>
      <c r="V1150" s="9"/>
      <c r="W1150" s="9"/>
      <c r="X1150" s="9"/>
      <c r="Y1150" s="9"/>
      <c r="Z1150" s="9"/>
      <c r="AA1150" s="9"/>
      <c r="AB1150" s="9"/>
      <c r="AC1150" s="9"/>
      <c r="AD1150" s="9"/>
      <c r="AE1150" s="9"/>
      <c r="AF1150" s="9"/>
      <c r="AG1150" s="9"/>
      <c r="AH1150" s="9"/>
    </row>
    <row r="1151" ht="15.75" customHeight="1">
      <c r="A1151" s="9"/>
      <c r="B1151" s="197"/>
      <c r="C1151" s="198"/>
      <c r="D1151" s="198"/>
      <c r="E1151" s="9"/>
      <c r="F1151" s="9"/>
      <c r="G1151" s="42"/>
      <c r="L1151" s="9"/>
      <c r="M1151" s="9"/>
      <c r="N1151" s="9"/>
      <c r="O1151" s="9"/>
      <c r="P1151" s="9"/>
      <c r="Q1151" s="9"/>
      <c r="R1151" s="9"/>
      <c r="S1151" s="9"/>
      <c r="T1151" s="9"/>
      <c r="U1151" s="9"/>
      <c r="V1151" s="9"/>
      <c r="W1151" s="9"/>
      <c r="X1151" s="9"/>
      <c r="Y1151" s="9"/>
      <c r="Z1151" s="9"/>
      <c r="AA1151" s="9"/>
      <c r="AB1151" s="9"/>
      <c r="AC1151" s="9"/>
      <c r="AD1151" s="9"/>
      <c r="AE1151" s="9"/>
      <c r="AF1151" s="9"/>
      <c r="AG1151" s="9"/>
      <c r="AH1151" s="9"/>
    </row>
    <row r="1152" ht="15.75" customHeight="1">
      <c r="A1152" s="9"/>
      <c r="B1152" s="56" t="s">
        <v>1969</v>
      </c>
      <c r="C1152" s="167" t="s">
        <v>1970</v>
      </c>
      <c r="D1152" s="184" t="s">
        <v>20</v>
      </c>
      <c r="E1152" s="8" t="s">
        <v>88</v>
      </c>
      <c r="F1152" s="8" t="s">
        <v>89</v>
      </c>
      <c r="G1152" s="42"/>
      <c r="L1152" s="9"/>
      <c r="M1152" s="9"/>
      <c r="N1152" s="9"/>
      <c r="O1152" s="9"/>
      <c r="P1152" s="9"/>
      <c r="Q1152" s="9"/>
      <c r="R1152" s="9"/>
      <c r="S1152" s="9"/>
      <c r="T1152" s="9"/>
      <c r="U1152" s="9"/>
      <c r="V1152" s="9"/>
      <c r="W1152" s="9"/>
      <c r="X1152" s="9"/>
      <c r="Y1152" s="9"/>
      <c r="Z1152" s="9"/>
      <c r="AA1152" s="9"/>
      <c r="AB1152" s="9"/>
      <c r="AC1152" s="9"/>
      <c r="AD1152" s="9"/>
      <c r="AE1152" s="9"/>
      <c r="AF1152" s="9"/>
      <c r="AG1152" s="9"/>
      <c r="AH1152" s="9"/>
    </row>
    <row r="1153" ht="15.75" customHeight="1">
      <c r="A1153" s="9"/>
      <c r="B1153" s="197"/>
      <c r="D1153" s="198"/>
      <c r="E1153" s="8" t="s">
        <v>21</v>
      </c>
      <c r="F1153" s="8" t="s">
        <v>51</v>
      </c>
      <c r="G1153" s="42" t="str">
        <f>HYPERLINK("https://docs.google.com/spreadsheets/d/1Uta5tGVbGWa9YzLI3qzHtPU6TdORtN_tuVF54Ly3P94/edit#gid=255413683", "https://docs.google.com/spreadsheets/d/1Uta5tGVbGWa9YzLI3qzHtPU6TdORtN_tuVF54Ly3P94/edit#gid=255413683")</f>
        <v>https://docs.google.com/spreadsheets/d/1Uta5tGVbGWa9YzLI3qzHtPU6TdORtN_tuVF54Ly3P94/edit#gid=255413683</v>
      </c>
      <c r="H1153" s="35" t="s">
        <v>51</v>
      </c>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row>
    <row r="1154" ht="15.75" customHeight="1">
      <c r="A1154" s="9"/>
      <c r="B1154" s="197"/>
      <c r="D1154" s="198"/>
      <c r="E1154" s="8" t="s">
        <v>88</v>
      </c>
      <c r="F1154" s="8" t="s">
        <v>120</v>
      </c>
      <c r="G1154" s="42" t="str">
        <f>HYPERLINK("https://docs.google.com/spreadsheets/d/1Uta5tGVbGWa9YzLI3qzHtPU6TdORtN_tuVF54Ly3P94/edit#gid=122590107", "https://docs.google.com/spreadsheets/d/1Uta5tGVbGWa9YzLI3qzHtPU6TdORtN_tuVF54Ly3P94/edit#gid=122590107")</f>
        <v>https://docs.google.com/spreadsheets/d/1Uta5tGVbGWa9YzLI3qzHtPU6TdORtN_tuVF54Ly3P94/edit#gid=122590107</v>
      </c>
      <c r="H1154" s="35" t="s">
        <v>120</v>
      </c>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row>
    <row r="1155" ht="15.75" customHeight="1">
      <c r="A1155" s="9"/>
      <c r="B1155" s="197"/>
      <c r="D1155" s="198"/>
      <c r="E1155" s="8" t="s">
        <v>88</v>
      </c>
      <c r="F1155" s="8" t="s">
        <v>1056</v>
      </c>
      <c r="G1155" s="42" t="str">
        <f>HYPERLINK("https://docs.google.com/spreadsheets/d/1Uta5tGVbGWa9YzLI3qzHtPU6TdORtN_tuVF54Ly3P94/edit#gid=1115200442", "https://docs.google.com/spreadsheets/d/1Uta5tGVbGWa9YzLI3qzHtPU6TdORtN_tuVF54Ly3P94/edit#gid=1115200442")</f>
        <v>https://docs.google.com/spreadsheets/d/1Uta5tGVbGWa9YzLI3qzHtPU6TdORtN_tuVF54Ly3P94/edit#gid=1115200442</v>
      </c>
      <c r="H1155" s="35" t="s">
        <v>1056</v>
      </c>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row>
    <row r="1156" ht="15.75" customHeight="1">
      <c r="A1156" s="9"/>
      <c r="B1156" s="197"/>
      <c r="D1156" s="198"/>
      <c r="E1156" s="8" t="s">
        <v>88</v>
      </c>
      <c r="F1156" s="8" t="s">
        <v>95</v>
      </c>
      <c r="G1156" s="42" t="str">
        <f>HYPERLINK("https://docs.google.com/spreadsheets/d/1Uta5tGVbGWa9YzLI3qzHtPU6TdORtN_tuVF54Ly3P94/edit#gid=1157449469", "https://docs.google.com/spreadsheets/d/1Uta5tGVbGWa9YzLI3qzHtPU6TdORtN_tuVF54Ly3P94/edit#gid=1157449469")</f>
        <v>https://docs.google.com/spreadsheets/d/1Uta5tGVbGWa9YzLI3qzHtPU6TdORtN_tuVF54Ly3P94/edit#gid=1157449469</v>
      </c>
      <c r="H1156" s="35" t="s">
        <v>95</v>
      </c>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row>
    <row r="1157" ht="15.75" customHeight="1">
      <c r="A1157" s="9"/>
      <c r="B1157" s="197"/>
      <c r="D1157" s="198"/>
      <c r="E1157" s="8" t="s">
        <v>88</v>
      </c>
      <c r="F1157" s="8" t="s">
        <v>122</v>
      </c>
      <c r="G1157" s="42" t="str">
        <f>HYPERLINK("https://docs.google.com/spreadsheets/d/1Uta5tGVbGWa9YzLI3qzHtPU6TdORtN_tuVF54Ly3P94/edit#gid=138390981", "https://docs.google.com/spreadsheets/d/1Uta5tGVbGWa9YzLI3qzHtPU6TdORtN_tuVF54Ly3P94/edit#gid=138390981")</f>
        <v>https://docs.google.com/spreadsheets/d/1Uta5tGVbGWa9YzLI3qzHtPU6TdORtN_tuVF54Ly3P94/edit#gid=138390981</v>
      </c>
      <c r="H1157" s="35" t="s">
        <v>122</v>
      </c>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row>
    <row r="1158" ht="15.75" customHeight="1">
      <c r="A1158" s="9"/>
      <c r="B1158" s="197"/>
      <c r="C1158" s="198"/>
      <c r="D1158" s="198"/>
      <c r="E1158" s="9"/>
      <c r="F1158" s="9"/>
      <c r="G1158" s="42"/>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row>
    <row r="1159" ht="15.75" customHeight="1">
      <c r="A1159" s="9"/>
      <c r="B1159" s="56" t="s">
        <v>1971</v>
      </c>
      <c r="C1159" s="167" t="s">
        <v>1972</v>
      </c>
      <c r="D1159" s="184" t="s">
        <v>20</v>
      </c>
      <c r="E1159" s="8" t="s">
        <v>88</v>
      </c>
      <c r="F1159" s="8" t="s">
        <v>89</v>
      </c>
      <c r="G1159" s="42"/>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row>
    <row r="1160" ht="15.75" customHeight="1">
      <c r="A1160" s="9"/>
      <c r="B1160" s="197"/>
      <c r="D1160" s="198"/>
      <c r="E1160" s="8" t="s">
        <v>21</v>
      </c>
      <c r="F1160" s="8" t="s">
        <v>51</v>
      </c>
      <c r="G1160" s="42" t="str">
        <f>HYPERLINK("https://docs.google.com/spreadsheets/d/1_WVR1SfbW9vJLVzjqLgoEhzyBesu5NCOl9GYrKpbgbE/edit#gid=432139099", "https://docs.google.com/spreadsheets/d/1_WVR1SfbW9vJLVzjqLgoEhzyBesu5NCOl9GYrKpbgbE/edit#gid=432139099")</f>
        <v>https://docs.google.com/spreadsheets/d/1_WVR1SfbW9vJLVzjqLgoEhzyBesu5NCOl9GYrKpbgbE/edit#gid=432139099</v>
      </c>
      <c r="H1160" s="35" t="s">
        <v>51</v>
      </c>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row>
    <row r="1161" ht="15.75" customHeight="1">
      <c r="A1161" s="9"/>
      <c r="B1161" s="197"/>
      <c r="D1161" s="198"/>
      <c r="E1161" s="8" t="s">
        <v>88</v>
      </c>
      <c r="F1161" s="8" t="s">
        <v>120</v>
      </c>
      <c r="G1161" s="42" t="str">
        <f>HYPERLINK("https://docs.google.com/spreadsheets/d/1_WVR1SfbW9vJLVzjqLgoEhzyBesu5NCOl9GYrKpbgbE/edit#gid=308272811", "https://docs.google.com/spreadsheets/d/1_WVR1SfbW9vJLVzjqLgoEhzyBesu5NCOl9GYrKpbgbE/edit#gid=308272811")</f>
        <v>https://docs.google.com/spreadsheets/d/1_WVR1SfbW9vJLVzjqLgoEhzyBesu5NCOl9GYrKpbgbE/edit#gid=308272811</v>
      </c>
      <c r="H1161" s="35" t="s">
        <v>120</v>
      </c>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row>
    <row r="1162" ht="15.75" customHeight="1">
      <c r="A1162" s="9"/>
      <c r="B1162" s="197"/>
      <c r="D1162" s="198"/>
      <c r="E1162" s="8" t="s">
        <v>88</v>
      </c>
      <c r="F1162" s="8" t="s">
        <v>1056</v>
      </c>
      <c r="G1162" s="42" t="str">
        <f>HYPERLINK("https://docs.google.com/spreadsheets/d/1_WVR1SfbW9vJLVzjqLgoEhzyBesu5NCOl9GYrKpbgbE/edit#gid=831464666", "https://docs.google.com/spreadsheets/d/1_WVR1SfbW9vJLVzjqLgoEhzyBesu5NCOl9GYrKpbgbE/edit#gid=831464666")</f>
        <v>https://docs.google.com/spreadsheets/d/1_WVR1SfbW9vJLVzjqLgoEhzyBesu5NCOl9GYrKpbgbE/edit#gid=831464666</v>
      </c>
      <c r="H1162" s="35" t="s">
        <v>1056</v>
      </c>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row>
    <row r="1163" ht="15.75" customHeight="1">
      <c r="A1163" s="9"/>
      <c r="B1163" s="197"/>
      <c r="D1163" s="198"/>
      <c r="E1163" s="8" t="s">
        <v>88</v>
      </c>
      <c r="F1163" s="8" t="s">
        <v>892</v>
      </c>
      <c r="G1163" s="42"/>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row>
    <row r="1164" ht="15.75" customHeight="1">
      <c r="A1164" s="9"/>
      <c r="B1164" s="197"/>
      <c r="D1164" s="198"/>
      <c r="E1164" s="8" t="s">
        <v>88</v>
      </c>
      <c r="F1164" s="8" t="s">
        <v>120</v>
      </c>
      <c r="G1164" s="42" t="str">
        <f>HYPERLINK("https://docs.google.com/spreadsheets/d/1_WVR1SfbW9vJLVzjqLgoEhzyBesu5NCOl9GYrKpbgbE/edit#gid=926515237", "https://docs.google.com/spreadsheets/d/1_WVR1SfbW9vJLVzjqLgoEhzyBesu5NCOl9GYrKpbgbE/edit#gid=926515237")</f>
        <v>https://docs.google.com/spreadsheets/d/1_WVR1SfbW9vJLVzjqLgoEhzyBesu5NCOl9GYrKpbgbE/edit#gid=926515237</v>
      </c>
      <c r="H1164" s="35" t="s">
        <v>1845</v>
      </c>
      <c r="L1164" s="9"/>
      <c r="M1164" s="9"/>
      <c r="N1164" s="9"/>
      <c r="O1164" s="9"/>
      <c r="P1164" s="9"/>
      <c r="Q1164" s="9"/>
      <c r="R1164" s="9"/>
      <c r="S1164" s="9"/>
      <c r="T1164" s="9"/>
      <c r="U1164" s="9"/>
      <c r="V1164" s="9"/>
      <c r="W1164" s="9"/>
      <c r="X1164" s="9"/>
      <c r="Y1164" s="9"/>
      <c r="Z1164" s="9"/>
      <c r="AA1164" s="9"/>
      <c r="AB1164" s="9"/>
      <c r="AC1164" s="9"/>
      <c r="AD1164" s="9"/>
      <c r="AE1164" s="9"/>
      <c r="AF1164" s="9"/>
      <c r="AG1164" s="9"/>
      <c r="AH1164" s="9"/>
    </row>
    <row r="1165" ht="15.75" customHeight="1">
      <c r="A1165" s="9"/>
      <c r="B1165" s="197"/>
      <c r="D1165" s="198"/>
      <c r="E1165" s="8" t="s">
        <v>88</v>
      </c>
      <c r="F1165" s="8" t="s">
        <v>1056</v>
      </c>
      <c r="G1165" s="42" t="str">
        <f>HYPERLINK("https://docs.google.com/spreadsheets/d/1_WVR1SfbW9vJLVzjqLgoEhzyBesu5NCOl9GYrKpbgbE/edit#gid=2098952161", "https://docs.google.com/spreadsheets/d/1_WVR1SfbW9vJLVzjqLgoEhzyBesu5NCOl9GYrKpbgbE/edit#gid=2098952161")</f>
        <v>https://docs.google.com/spreadsheets/d/1_WVR1SfbW9vJLVzjqLgoEhzyBesu5NCOl9GYrKpbgbE/edit#gid=2098952161</v>
      </c>
      <c r="H1165" s="35" t="s">
        <v>1973</v>
      </c>
      <c r="L1165" s="9"/>
      <c r="M1165" s="9"/>
      <c r="N1165" s="9"/>
      <c r="O1165" s="9"/>
      <c r="P1165" s="9"/>
      <c r="Q1165" s="9"/>
      <c r="R1165" s="9"/>
      <c r="S1165" s="9"/>
      <c r="T1165" s="9"/>
      <c r="U1165" s="9"/>
      <c r="V1165" s="9"/>
      <c r="W1165" s="9"/>
      <c r="X1165" s="9"/>
      <c r="Y1165" s="9"/>
      <c r="Z1165" s="9"/>
      <c r="AA1165" s="9"/>
      <c r="AB1165" s="9"/>
      <c r="AC1165" s="9"/>
      <c r="AD1165" s="9"/>
      <c r="AE1165" s="9"/>
      <c r="AF1165" s="9"/>
      <c r="AG1165" s="9"/>
      <c r="AH1165" s="9"/>
    </row>
    <row r="1166" ht="15.75" customHeight="1">
      <c r="A1166" s="9"/>
      <c r="B1166" s="197"/>
      <c r="D1166" s="198"/>
      <c r="E1166" s="8" t="s">
        <v>88</v>
      </c>
      <c r="F1166" s="8" t="s">
        <v>892</v>
      </c>
      <c r="G1166" s="42"/>
      <c r="L1166" s="9"/>
      <c r="M1166" s="9"/>
      <c r="N1166" s="9"/>
      <c r="O1166" s="9"/>
      <c r="P1166" s="9"/>
      <c r="Q1166" s="9"/>
      <c r="R1166" s="9"/>
      <c r="S1166" s="9"/>
      <c r="T1166" s="9"/>
      <c r="U1166" s="9"/>
      <c r="V1166" s="9"/>
      <c r="W1166" s="9"/>
      <c r="X1166" s="9"/>
      <c r="Y1166" s="9"/>
      <c r="Z1166" s="9"/>
      <c r="AA1166" s="9"/>
      <c r="AB1166" s="9"/>
      <c r="AC1166" s="9"/>
      <c r="AD1166" s="9"/>
      <c r="AE1166" s="9"/>
      <c r="AF1166" s="9"/>
      <c r="AG1166" s="9"/>
      <c r="AH1166" s="9"/>
    </row>
    <row r="1167" ht="15.75" customHeight="1">
      <c r="A1167" s="9"/>
      <c r="B1167" s="197"/>
      <c r="D1167" s="198"/>
      <c r="E1167" s="8" t="s">
        <v>88</v>
      </c>
      <c r="F1167" s="8" t="s">
        <v>120</v>
      </c>
      <c r="G1167" s="42" t="str">
        <f>HYPERLINK("https://docs.google.com/spreadsheets/d/1_WVR1SfbW9vJLVzjqLgoEhzyBesu5NCOl9GYrKpbgbE/edit#gid=1205452341", "https://docs.google.com/spreadsheets/d/1_WVR1SfbW9vJLVzjqLgoEhzyBesu5NCOl9GYrKpbgbE/edit#gid=1205452341")</f>
        <v>https://docs.google.com/spreadsheets/d/1_WVR1SfbW9vJLVzjqLgoEhzyBesu5NCOl9GYrKpbgbE/edit#gid=1205452341</v>
      </c>
      <c r="H1167" s="35" t="s">
        <v>1824</v>
      </c>
      <c r="L1167" s="9"/>
      <c r="M1167" s="9"/>
      <c r="N1167" s="9"/>
      <c r="O1167" s="9"/>
      <c r="P1167" s="9"/>
      <c r="Q1167" s="9"/>
      <c r="R1167" s="9"/>
      <c r="S1167" s="9"/>
      <c r="T1167" s="9"/>
      <c r="U1167" s="9"/>
      <c r="V1167" s="9"/>
      <c r="W1167" s="9"/>
      <c r="X1167" s="9"/>
      <c r="Y1167" s="9"/>
      <c r="Z1167" s="9"/>
      <c r="AA1167" s="9"/>
      <c r="AB1167" s="9"/>
      <c r="AC1167" s="9"/>
      <c r="AD1167" s="9"/>
      <c r="AE1167" s="9"/>
      <c r="AF1167" s="9"/>
      <c r="AG1167" s="9"/>
      <c r="AH1167" s="9"/>
    </row>
    <row r="1168" ht="15.75" customHeight="1">
      <c r="A1168" s="9"/>
      <c r="B1168" s="197"/>
      <c r="D1168" s="198"/>
      <c r="E1168" s="8" t="s">
        <v>88</v>
      </c>
      <c r="F1168" s="8" t="s">
        <v>1056</v>
      </c>
      <c r="G1168" s="42" t="str">
        <f>HYPERLINK("https://docs.google.com/spreadsheets/d/1_WVR1SfbW9vJLVzjqLgoEhzyBesu5NCOl9GYrKpbgbE/edit#gid=650231", "https://docs.google.com/spreadsheets/d/1_WVR1SfbW9vJLVzjqLgoEhzyBesu5NCOl9GYrKpbgbE/edit#gid=650231")</f>
        <v>https://docs.google.com/spreadsheets/d/1_WVR1SfbW9vJLVzjqLgoEhzyBesu5NCOl9GYrKpbgbE/edit#gid=650231</v>
      </c>
      <c r="H1168" s="35" t="s">
        <v>1974</v>
      </c>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row>
    <row r="1169" ht="15.75" customHeight="1">
      <c r="A1169" s="9"/>
      <c r="B1169" s="197"/>
      <c r="D1169" s="198"/>
      <c r="E1169" s="8" t="s">
        <v>88</v>
      </c>
      <c r="F1169" s="8" t="s">
        <v>892</v>
      </c>
      <c r="G1169" s="42"/>
      <c r="L1169" s="9"/>
      <c r="M1169" s="9"/>
      <c r="N1169" s="9"/>
      <c r="O1169" s="9"/>
      <c r="P1169" s="9"/>
      <c r="Q1169" s="9"/>
      <c r="R1169" s="9"/>
      <c r="S1169" s="9"/>
      <c r="T1169" s="9"/>
      <c r="U1169" s="9"/>
      <c r="V1169" s="9"/>
      <c r="W1169" s="9"/>
      <c r="X1169" s="9"/>
      <c r="Y1169" s="9"/>
      <c r="Z1169" s="9"/>
      <c r="AA1169" s="9"/>
      <c r="AB1169" s="9"/>
      <c r="AC1169" s="9"/>
      <c r="AD1169" s="9"/>
      <c r="AE1169" s="9"/>
      <c r="AF1169" s="9"/>
      <c r="AG1169" s="9"/>
      <c r="AH1169" s="9"/>
    </row>
    <row r="1170" ht="15.75" customHeight="1">
      <c r="A1170" s="9"/>
      <c r="B1170" s="197"/>
      <c r="D1170" s="198"/>
      <c r="E1170" s="8" t="s">
        <v>88</v>
      </c>
      <c r="F1170" s="8" t="s">
        <v>122</v>
      </c>
      <c r="G1170" s="42" t="str">
        <f>HYPERLINK("https://docs.google.com/spreadsheets/d/1_WVR1SfbW9vJLVzjqLgoEhzyBesu5NCOl9GYrKpbgbE/edit#gid=1872856362", "https://docs.google.com/spreadsheets/d/1_WVR1SfbW9vJLVzjqLgoEhzyBesu5NCOl9GYrKpbgbE/edit#gid=1872856362")</f>
        <v>https://docs.google.com/spreadsheets/d/1_WVR1SfbW9vJLVzjqLgoEhzyBesu5NCOl9GYrKpbgbE/edit#gid=1872856362</v>
      </c>
      <c r="H1170" s="35" t="s">
        <v>122</v>
      </c>
      <c r="L1170" s="9"/>
      <c r="M1170" s="9"/>
      <c r="N1170" s="9"/>
      <c r="O1170" s="9"/>
      <c r="P1170" s="9"/>
      <c r="Q1170" s="9"/>
      <c r="R1170" s="9"/>
      <c r="S1170" s="9"/>
      <c r="T1170" s="9"/>
      <c r="U1170" s="9"/>
      <c r="V1170" s="9"/>
      <c r="W1170" s="9"/>
      <c r="X1170" s="9"/>
      <c r="Y1170" s="9"/>
      <c r="Z1170" s="9"/>
      <c r="AA1170" s="9"/>
      <c r="AB1170" s="9"/>
      <c r="AC1170" s="9"/>
      <c r="AD1170" s="9"/>
      <c r="AE1170" s="9"/>
      <c r="AF1170" s="9"/>
      <c r="AG1170" s="9"/>
      <c r="AH1170" s="9"/>
    </row>
    <row r="1171" ht="15.75" customHeight="1">
      <c r="A1171" s="9"/>
      <c r="B1171" s="197"/>
      <c r="C1171" s="198"/>
      <c r="D1171" s="198"/>
      <c r="E1171" s="9"/>
      <c r="F1171" s="9"/>
      <c r="G1171" s="42"/>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row>
    <row r="1172" ht="15.75" customHeight="1">
      <c r="A1172" s="9"/>
      <c r="B1172" s="56" t="s">
        <v>1975</v>
      </c>
      <c r="C1172" s="167" t="s">
        <v>1976</v>
      </c>
      <c r="D1172" s="184" t="s">
        <v>20</v>
      </c>
      <c r="E1172" s="8" t="s">
        <v>88</v>
      </c>
      <c r="F1172" s="8" t="s">
        <v>89</v>
      </c>
      <c r="G1172" s="42"/>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row>
    <row r="1173" ht="15.75" customHeight="1">
      <c r="A1173" s="9"/>
      <c r="B1173" s="197"/>
      <c r="D1173" s="198"/>
      <c r="E1173" s="8" t="s">
        <v>21</v>
      </c>
      <c r="F1173" s="8" t="s">
        <v>51</v>
      </c>
      <c r="G1173" s="42" t="str">
        <f>HYPERLINK("https://docs.google.com/spreadsheets/d/1YdV0iKPY06aYTr1uzaFEgH1nD1g25aAVzIO1IXtmqTw/edit#gid=1091335787", "https://docs.google.com/spreadsheets/d/1YdV0iKPY06aYTr1uzaFEgH1nD1g25aAVzIO1IXtmqTw/edit#gid=1091335787")</f>
        <v>https://docs.google.com/spreadsheets/d/1YdV0iKPY06aYTr1uzaFEgH1nD1g25aAVzIO1IXtmqTw/edit#gid=1091335787</v>
      </c>
      <c r="H1173" s="35" t="s">
        <v>51</v>
      </c>
      <c r="L1173" s="9"/>
      <c r="M1173" s="9"/>
      <c r="N1173" s="9"/>
      <c r="O1173" s="9"/>
      <c r="P1173" s="9"/>
      <c r="Q1173" s="9"/>
      <c r="R1173" s="9"/>
      <c r="S1173" s="9"/>
      <c r="T1173" s="9"/>
      <c r="U1173" s="9"/>
      <c r="V1173" s="9"/>
      <c r="W1173" s="9"/>
      <c r="X1173" s="9"/>
      <c r="Y1173" s="9"/>
      <c r="Z1173" s="9"/>
      <c r="AA1173" s="9"/>
      <c r="AB1173" s="9"/>
      <c r="AC1173" s="9"/>
      <c r="AD1173" s="9"/>
      <c r="AE1173" s="9"/>
      <c r="AF1173" s="9"/>
      <c r="AG1173" s="9"/>
      <c r="AH1173" s="9"/>
    </row>
    <row r="1174" ht="15.75" customHeight="1">
      <c r="A1174" s="9"/>
      <c r="B1174" s="197"/>
      <c r="D1174" s="198"/>
      <c r="E1174" s="8" t="s">
        <v>88</v>
      </c>
      <c r="F1174" s="8" t="s">
        <v>125</v>
      </c>
      <c r="G1174" s="42" t="str">
        <f>HYPERLINK("https://docs.google.com/spreadsheets/d/1YdV0iKPY06aYTr1uzaFEgH1nD1g25aAVzIO1IXtmqTw/edit#gid=2039215840", "https://docs.google.com/spreadsheets/d/1YdV0iKPY06aYTr1uzaFEgH1nD1g25aAVzIO1IXtmqTw/edit#gid=2039215840")</f>
        <v>https://docs.google.com/spreadsheets/d/1YdV0iKPY06aYTr1uzaFEgH1nD1g25aAVzIO1IXtmqTw/edit#gid=2039215840</v>
      </c>
      <c r="H1174" s="35" t="s">
        <v>125</v>
      </c>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row>
    <row r="1175" ht="15.75" customHeight="1">
      <c r="A1175" s="9"/>
      <c r="B1175" s="197"/>
      <c r="D1175" s="198"/>
      <c r="E1175" s="8" t="s">
        <v>88</v>
      </c>
      <c r="F1175" s="8" t="s">
        <v>1058</v>
      </c>
      <c r="G1175" s="42" t="str">
        <f>HYPERLINK("https://docs.google.com/spreadsheets/d/1YdV0iKPY06aYTr1uzaFEgH1nD1g25aAVzIO1IXtmqTw/edit#gid=1033802312", "https://docs.google.com/spreadsheets/d/1YdV0iKPY06aYTr1uzaFEgH1nD1g25aAVzIO1IXtmqTw/edit#gid=1033802312")</f>
        <v>https://docs.google.com/spreadsheets/d/1YdV0iKPY06aYTr1uzaFEgH1nD1g25aAVzIO1IXtmqTw/edit#gid=1033802312</v>
      </c>
      <c r="H1175" s="35" t="s">
        <v>1058</v>
      </c>
      <c r="L1175" s="9"/>
      <c r="M1175" s="9"/>
      <c r="N1175" s="9"/>
      <c r="O1175" s="9"/>
      <c r="P1175" s="9"/>
      <c r="Q1175" s="9"/>
      <c r="R1175" s="9"/>
      <c r="S1175" s="9"/>
      <c r="T1175" s="9"/>
      <c r="U1175" s="9"/>
      <c r="V1175" s="9"/>
      <c r="W1175" s="9"/>
      <c r="X1175" s="9"/>
      <c r="Y1175" s="9"/>
      <c r="Z1175" s="9"/>
      <c r="AA1175" s="9"/>
      <c r="AB1175" s="9"/>
      <c r="AC1175" s="9"/>
      <c r="AD1175" s="9"/>
      <c r="AE1175" s="9"/>
      <c r="AF1175" s="9"/>
      <c r="AG1175" s="9"/>
      <c r="AH1175" s="9"/>
    </row>
    <row r="1176" ht="15.75" customHeight="1">
      <c r="A1176" s="9"/>
      <c r="B1176" s="197"/>
      <c r="D1176" s="198"/>
      <c r="E1176" s="8" t="s">
        <v>88</v>
      </c>
      <c r="F1176" s="8" t="s">
        <v>892</v>
      </c>
      <c r="G1176" s="42"/>
      <c r="L1176" s="9"/>
      <c r="M1176" s="9"/>
      <c r="N1176" s="9"/>
      <c r="O1176" s="9"/>
      <c r="P1176" s="9"/>
      <c r="Q1176" s="9"/>
      <c r="R1176" s="9"/>
      <c r="S1176" s="9"/>
      <c r="T1176" s="9"/>
      <c r="U1176" s="9"/>
      <c r="V1176" s="9"/>
      <c r="W1176" s="9"/>
      <c r="X1176" s="9"/>
      <c r="Y1176" s="9"/>
      <c r="Z1176" s="9"/>
      <c r="AA1176" s="9"/>
      <c r="AB1176" s="9"/>
      <c r="AC1176" s="9"/>
      <c r="AD1176" s="9"/>
      <c r="AE1176" s="9"/>
      <c r="AF1176" s="9"/>
      <c r="AG1176" s="9"/>
      <c r="AH1176" s="9"/>
    </row>
    <row r="1177" ht="15.75" customHeight="1">
      <c r="A1177" s="9"/>
      <c r="B1177" s="197"/>
      <c r="D1177" s="198"/>
      <c r="E1177" s="8" t="s">
        <v>88</v>
      </c>
      <c r="F1177" s="8" t="s">
        <v>125</v>
      </c>
      <c r="G1177" s="42" t="str">
        <f>HYPERLINK("https://docs.google.com/spreadsheets/d/1YdV0iKPY06aYTr1uzaFEgH1nD1g25aAVzIO1IXtmqTw/edit#gid=634830994", "https://docs.google.com/spreadsheets/d/1YdV0iKPY06aYTr1uzaFEgH1nD1g25aAVzIO1IXtmqTw/edit#gid=634830994")</f>
        <v>https://docs.google.com/spreadsheets/d/1YdV0iKPY06aYTr1uzaFEgH1nD1g25aAVzIO1IXtmqTw/edit#gid=634830994</v>
      </c>
      <c r="H1177" s="35" t="s">
        <v>1919</v>
      </c>
      <c r="L1177" s="9"/>
      <c r="M1177" s="9"/>
      <c r="N1177" s="9"/>
      <c r="O1177" s="9"/>
      <c r="P1177" s="9"/>
      <c r="Q1177" s="9"/>
      <c r="R1177" s="9"/>
      <c r="S1177" s="9"/>
      <c r="T1177" s="9"/>
      <c r="U1177" s="9"/>
      <c r="V1177" s="9"/>
      <c r="W1177" s="9"/>
      <c r="X1177" s="9"/>
      <c r="Y1177" s="9"/>
      <c r="Z1177" s="9"/>
      <c r="AA1177" s="9"/>
      <c r="AB1177" s="9"/>
      <c r="AC1177" s="9"/>
      <c r="AD1177" s="9"/>
      <c r="AE1177" s="9"/>
      <c r="AF1177" s="9"/>
      <c r="AG1177" s="9"/>
      <c r="AH1177" s="9"/>
    </row>
    <row r="1178" ht="15.75" customHeight="1">
      <c r="A1178" s="9"/>
      <c r="B1178" s="197"/>
      <c r="D1178" s="198"/>
      <c r="E1178" s="8" t="s">
        <v>88</v>
      </c>
      <c r="F1178" s="8" t="s">
        <v>1058</v>
      </c>
      <c r="G1178" s="42" t="str">
        <f>HYPERLINK("https://docs.google.com/spreadsheets/d/1YdV0iKPY06aYTr1uzaFEgH1nD1g25aAVzIO1IXtmqTw/edit#gid=1188777330", "https://docs.google.com/spreadsheets/d/1YdV0iKPY06aYTr1uzaFEgH1nD1g25aAVzIO1IXtmqTw/edit#gid=1188777330")</f>
        <v>https://docs.google.com/spreadsheets/d/1YdV0iKPY06aYTr1uzaFEgH1nD1g25aAVzIO1IXtmqTw/edit#gid=1188777330</v>
      </c>
      <c r="H1178" s="35" t="s">
        <v>1977</v>
      </c>
      <c r="L1178" s="9"/>
      <c r="M1178" s="9"/>
      <c r="N1178" s="9"/>
      <c r="O1178" s="9"/>
      <c r="P1178" s="9"/>
      <c r="Q1178" s="9"/>
      <c r="R1178" s="9"/>
      <c r="S1178" s="9"/>
      <c r="T1178" s="9"/>
      <c r="U1178" s="9"/>
      <c r="V1178" s="9"/>
      <c r="W1178" s="9"/>
      <c r="X1178" s="9"/>
      <c r="Y1178" s="9"/>
      <c r="Z1178" s="9"/>
      <c r="AA1178" s="9"/>
      <c r="AB1178" s="9"/>
      <c r="AC1178" s="9"/>
      <c r="AD1178" s="9"/>
      <c r="AE1178" s="9"/>
      <c r="AF1178" s="9"/>
      <c r="AG1178" s="9"/>
      <c r="AH1178" s="9"/>
    </row>
    <row r="1179" ht="15.75" customHeight="1">
      <c r="A1179" s="9"/>
      <c r="B1179" s="197"/>
      <c r="D1179" s="198"/>
      <c r="E1179" s="8" t="s">
        <v>88</v>
      </c>
      <c r="F1179" s="8" t="s">
        <v>892</v>
      </c>
      <c r="G1179" s="42"/>
      <c r="L1179" s="9"/>
      <c r="M1179" s="9"/>
      <c r="N1179" s="9"/>
      <c r="O1179" s="9"/>
      <c r="P1179" s="9"/>
      <c r="Q1179" s="9"/>
      <c r="R1179" s="9"/>
      <c r="S1179" s="9"/>
      <c r="T1179" s="9"/>
      <c r="U1179" s="9"/>
      <c r="V1179" s="9"/>
      <c r="W1179" s="9"/>
      <c r="X1179" s="9"/>
      <c r="Y1179" s="9"/>
      <c r="Z1179" s="9"/>
      <c r="AA1179" s="9"/>
      <c r="AB1179" s="9"/>
      <c r="AC1179" s="9"/>
      <c r="AD1179" s="9"/>
      <c r="AE1179" s="9"/>
      <c r="AF1179" s="9"/>
      <c r="AG1179" s="9"/>
      <c r="AH1179" s="9"/>
    </row>
    <row r="1180" ht="15.75" customHeight="1">
      <c r="A1180" s="9"/>
      <c r="B1180" s="197"/>
      <c r="D1180" s="198"/>
      <c r="E1180" s="8" t="s">
        <v>88</v>
      </c>
      <c r="F1180" s="8" t="s">
        <v>125</v>
      </c>
      <c r="G1180" s="42" t="str">
        <f>HYPERLINK("https://docs.google.com/spreadsheets/d/1YdV0iKPY06aYTr1uzaFEgH1nD1g25aAVzIO1IXtmqTw/edit#gid=1568255654", "https://docs.google.com/spreadsheets/d/1YdV0iKPY06aYTr1uzaFEgH1nD1g25aAVzIO1IXtmqTw/edit#gid=1568255654")</f>
        <v>https://docs.google.com/spreadsheets/d/1YdV0iKPY06aYTr1uzaFEgH1nD1g25aAVzIO1IXtmqTw/edit#gid=1568255654</v>
      </c>
      <c r="H1180" s="35" t="s">
        <v>1921</v>
      </c>
      <c r="L1180" s="9"/>
      <c r="M1180" s="9"/>
      <c r="N1180" s="9"/>
      <c r="O1180" s="9"/>
      <c r="P1180" s="9"/>
      <c r="Q1180" s="9"/>
      <c r="R1180" s="9"/>
      <c r="S1180" s="9"/>
      <c r="T1180" s="9"/>
      <c r="U1180" s="9"/>
      <c r="V1180" s="9"/>
      <c r="W1180" s="9"/>
      <c r="X1180" s="9"/>
      <c r="Y1180" s="9"/>
      <c r="Z1180" s="9"/>
      <c r="AA1180" s="9"/>
      <c r="AB1180" s="9"/>
      <c r="AC1180" s="9"/>
      <c r="AD1180" s="9"/>
      <c r="AE1180" s="9"/>
      <c r="AF1180" s="9"/>
      <c r="AG1180" s="9"/>
      <c r="AH1180" s="9"/>
    </row>
    <row r="1181" ht="15.75" customHeight="1">
      <c r="A1181" s="9"/>
      <c r="B1181" s="197"/>
      <c r="D1181" s="198"/>
      <c r="E1181" s="8" t="s">
        <v>88</v>
      </c>
      <c r="F1181" s="8" t="s">
        <v>1058</v>
      </c>
      <c r="G1181" s="42" t="str">
        <f>HYPERLINK("https://docs.google.com/spreadsheets/d/1YdV0iKPY06aYTr1uzaFEgH1nD1g25aAVzIO1IXtmqTw/edit#gid=1171326974", "https://docs.google.com/spreadsheets/d/1YdV0iKPY06aYTr1uzaFEgH1nD1g25aAVzIO1IXtmqTw/edit#gid=1171326974")</f>
        <v>https://docs.google.com/spreadsheets/d/1YdV0iKPY06aYTr1uzaFEgH1nD1g25aAVzIO1IXtmqTw/edit#gid=1171326974</v>
      </c>
      <c r="H1181" s="35" t="s">
        <v>1978</v>
      </c>
      <c r="L1181" s="9"/>
      <c r="M1181" s="9"/>
      <c r="N1181" s="9"/>
      <c r="O1181" s="9"/>
      <c r="P1181" s="9"/>
      <c r="Q1181" s="9"/>
      <c r="R1181" s="9"/>
      <c r="S1181" s="9"/>
      <c r="T1181" s="9"/>
      <c r="U1181" s="9"/>
      <c r="V1181" s="9"/>
      <c r="W1181" s="9"/>
      <c r="X1181" s="9"/>
      <c r="Y1181" s="9"/>
      <c r="Z1181" s="9"/>
      <c r="AA1181" s="9"/>
      <c r="AB1181" s="9"/>
      <c r="AC1181" s="9"/>
      <c r="AD1181" s="9"/>
      <c r="AE1181" s="9"/>
      <c r="AF1181" s="9"/>
      <c r="AG1181" s="9"/>
      <c r="AH1181" s="9"/>
    </row>
    <row r="1182" ht="15.75" customHeight="1">
      <c r="A1182" s="9"/>
      <c r="B1182" s="197"/>
      <c r="D1182" s="198"/>
      <c r="E1182" s="8" t="s">
        <v>88</v>
      </c>
      <c r="F1182" s="8" t="s">
        <v>892</v>
      </c>
      <c r="G1182" s="42"/>
      <c r="L1182" s="9"/>
      <c r="M1182" s="9"/>
      <c r="N1182" s="9"/>
      <c r="O1182" s="9"/>
      <c r="P1182" s="9"/>
      <c r="Q1182" s="9"/>
      <c r="R1182" s="9"/>
      <c r="S1182" s="9"/>
      <c r="T1182" s="9"/>
      <c r="U1182" s="9"/>
      <c r="V1182" s="9"/>
      <c r="W1182" s="9"/>
      <c r="X1182" s="9"/>
      <c r="Y1182" s="9"/>
      <c r="Z1182" s="9"/>
      <c r="AA1182" s="9"/>
      <c r="AB1182" s="9"/>
      <c r="AC1182" s="9"/>
      <c r="AD1182" s="9"/>
      <c r="AE1182" s="9"/>
      <c r="AF1182" s="9"/>
      <c r="AG1182" s="9"/>
      <c r="AH1182" s="9"/>
    </row>
    <row r="1183" ht="15.75" customHeight="1">
      <c r="A1183" s="9"/>
      <c r="B1183" s="197"/>
      <c r="D1183" s="198"/>
      <c r="E1183" s="8" t="s">
        <v>88</v>
      </c>
      <c r="F1183" s="8" t="s">
        <v>96</v>
      </c>
      <c r="G1183" s="42" t="str">
        <f>HYPERLINK("https://docs.google.com/spreadsheets/d/1YdV0iKPY06aYTr1uzaFEgH1nD1g25aAVzIO1IXtmqTw/edit#gid=902340750", "https://docs.google.com/spreadsheets/d/1YdV0iKPY06aYTr1uzaFEgH1nD1g25aAVzIO1IXtmqTw/edit#gid=902340750")</f>
        <v>https://docs.google.com/spreadsheets/d/1YdV0iKPY06aYTr1uzaFEgH1nD1g25aAVzIO1IXtmqTw/edit#gid=902340750</v>
      </c>
      <c r="H1183" s="35" t="s">
        <v>96</v>
      </c>
      <c r="L1183" s="9"/>
      <c r="M1183" s="9"/>
      <c r="N1183" s="9"/>
      <c r="O1183" s="9"/>
      <c r="P1183" s="9"/>
      <c r="Q1183" s="9"/>
      <c r="R1183" s="9"/>
      <c r="S1183" s="9"/>
      <c r="T1183" s="9"/>
      <c r="U1183" s="9"/>
      <c r="V1183" s="9"/>
      <c r="W1183" s="9"/>
      <c r="X1183" s="9"/>
      <c r="Y1183" s="9"/>
      <c r="Z1183" s="9"/>
      <c r="AA1183" s="9"/>
      <c r="AB1183" s="9"/>
      <c r="AC1183" s="9"/>
      <c r="AD1183" s="9"/>
      <c r="AE1183" s="9"/>
      <c r="AF1183" s="9"/>
      <c r="AG1183" s="9"/>
      <c r="AH1183" s="9"/>
    </row>
    <row r="1184" ht="15.75" customHeight="1">
      <c r="A1184" s="9"/>
      <c r="B1184" s="197"/>
      <c r="C1184" s="198"/>
      <c r="D1184" s="198"/>
      <c r="E1184" s="9"/>
      <c r="F1184" s="9"/>
      <c r="G1184" s="42"/>
      <c r="L1184" s="9"/>
      <c r="M1184" s="9"/>
      <c r="N1184" s="9"/>
      <c r="O1184" s="9"/>
      <c r="P1184" s="9"/>
      <c r="Q1184" s="9"/>
      <c r="R1184" s="9"/>
      <c r="S1184" s="9"/>
      <c r="T1184" s="9"/>
      <c r="U1184" s="9"/>
      <c r="V1184" s="9"/>
      <c r="W1184" s="9"/>
      <c r="X1184" s="9"/>
      <c r="Y1184" s="9"/>
      <c r="Z1184" s="9"/>
      <c r="AA1184" s="9"/>
      <c r="AB1184" s="9"/>
      <c r="AC1184" s="9"/>
      <c r="AD1184" s="9"/>
      <c r="AE1184" s="9"/>
      <c r="AF1184" s="9"/>
      <c r="AG1184" s="9"/>
      <c r="AH1184" s="9"/>
    </row>
    <row r="1185" ht="15.75" customHeight="1">
      <c r="A1185" s="9"/>
      <c r="B1185" s="56" t="s">
        <v>1979</v>
      </c>
      <c r="C1185" s="202" t="s">
        <v>1980</v>
      </c>
      <c r="D1185" s="184" t="s">
        <v>20</v>
      </c>
      <c r="E1185" s="8" t="s">
        <v>88</v>
      </c>
      <c r="F1185" s="8" t="s">
        <v>89</v>
      </c>
      <c r="G1185" s="42"/>
      <c r="L1185" s="9"/>
      <c r="M1185" s="9"/>
      <c r="N1185" s="9"/>
      <c r="O1185" s="9"/>
      <c r="P1185" s="9"/>
      <c r="Q1185" s="9"/>
      <c r="R1185" s="9"/>
      <c r="S1185" s="9"/>
      <c r="T1185" s="9"/>
      <c r="U1185" s="9"/>
      <c r="V1185" s="9"/>
      <c r="W1185" s="9"/>
      <c r="X1185" s="9"/>
      <c r="Y1185" s="9"/>
      <c r="Z1185" s="9"/>
      <c r="AA1185" s="9"/>
      <c r="AB1185" s="9"/>
      <c r="AC1185" s="9"/>
      <c r="AD1185" s="9"/>
      <c r="AE1185" s="9"/>
      <c r="AF1185" s="9"/>
      <c r="AG1185" s="9"/>
      <c r="AH1185" s="9"/>
    </row>
    <row r="1186" ht="15.75" customHeight="1">
      <c r="A1186" s="9"/>
      <c r="B1186" s="197"/>
      <c r="D1186" s="198"/>
      <c r="E1186" s="8" t="s">
        <v>21</v>
      </c>
      <c r="F1186" s="8" t="s">
        <v>51</v>
      </c>
      <c r="G1186" s="42" t="str">
        <f>HYPERLINK("https://docs.google.com/spreadsheets/d/1uIypbPSTLLiyBz9d839ZtTp8mtrVLVJ_d0zp5KfsojI/edit#gid=616404105", "https://docs.google.com/spreadsheets/d/1uIypbPSTLLiyBz9d839ZtTp8mtrVLVJ_d0zp5KfsojI/edit#gid=616404105")</f>
        <v>https://docs.google.com/spreadsheets/d/1uIypbPSTLLiyBz9d839ZtTp8mtrVLVJ_d0zp5KfsojI/edit#gid=616404105</v>
      </c>
      <c r="H1186" s="35" t="s">
        <v>51</v>
      </c>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row>
    <row r="1187" ht="15.75" customHeight="1">
      <c r="A1187" s="9"/>
      <c r="B1187" s="197"/>
      <c r="D1187" s="198"/>
      <c r="E1187" s="8" t="s">
        <v>86</v>
      </c>
      <c r="F1187" s="8" t="s">
        <v>90</v>
      </c>
      <c r="G1187" s="42" t="str">
        <f>HYPERLINK("https://docs.google.com/spreadsheets/d/1uIypbPSTLLiyBz9d839ZtTp8mtrVLVJ_d0zp5KfsojI/edit#gid=375892083", "https://docs.google.com/spreadsheets/d/1uIypbPSTLLiyBz9d839ZtTp8mtrVLVJ_d0zp5KfsojI/edit#gid=375892083")</f>
        <v>https://docs.google.com/spreadsheets/d/1uIypbPSTLLiyBz9d839ZtTp8mtrVLVJ_d0zp5KfsojI/edit#gid=375892083</v>
      </c>
      <c r="H1187" s="35" t="s">
        <v>90</v>
      </c>
      <c r="L1187" s="9"/>
      <c r="M1187" s="9"/>
      <c r="N1187" s="9"/>
      <c r="O1187" s="9"/>
      <c r="P1187" s="9"/>
      <c r="Q1187" s="9"/>
      <c r="R1187" s="9"/>
      <c r="S1187" s="9"/>
      <c r="T1187" s="9"/>
      <c r="U1187" s="9"/>
      <c r="V1187" s="9"/>
      <c r="W1187" s="9"/>
      <c r="X1187" s="9"/>
      <c r="Y1187" s="9"/>
      <c r="Z1187" s="9"/>
      <c r="AA1187" s="9"/>
      <c r="AB1187" s="9"/>
      <c r="AC1187" s="9"/>
      <c r="AD1187" s="9"/>
      <c r="AE1187" s="9"/>
      <c r="AF1187" s="9"/>
      <c r="AG1187" s="9"/>
      <c r="AH1187" s="9"/>
    </row>
    <row r="1188" ht="15.75" customHeight="1">
      <c r="A1188" s="9"/>
      <c r="B1188" s="197"/>
      <c r="D1188" s="198"/>
      <c r="E1188" s="8" t="s">
        <v>86</v>
      </c>
      <c r="F1188" s="8" t="s">
        <v>91</v>
      </c>
      <c r="G1188" s="42" t="str">
        <f>HYPERLINK("https://docs.google.com/spreadsheets/d/1uIypbPSTLLiyBz9d839ZtTp8mtrVLVJ_d0zp5KfsojI/edit#gid=22453883", "https://docs.google.com/spreadsheets/d/1uIypbPSTLLiyBz9d839ZtTp8mtrVLVJ_d0zp5KfsojI/edit#gid=22453883")</f>
        <v>https://docs.google.com/spreadsheets/d/1uIypbPSTLLiyBz9d839ZtTp8mtrVLVJ_d0zp5KfsojI/edit#gid=22453883</v>
      </c>
      <c r="H1188" s="35" t="s">
        <v>91</v>
      </c>
      <c r="L1188" s="9"/>
      <c r="M1188" s="9"/>
      <c r="N1188" s="9"/>
      <c r="O1188" s="9"/>
      <c r="P1188" s="9"/>
      <c r="Q1188" s="9"/>
      <c r="R1188" s="9"/>
      <c r="S1188" s="9"/>
      <c r="T1188" s="9"/>
      <c r="U1188" s="9"/>
      <c r="V1188" s="9"/>
      <c r="W1188" s="9"/>
      <c r="X1188" s="9"/>
      <c r="Y1188" s="9"/>
      <c r="Z1188" s="9"/>
      <c r="AA1188" s="9"/>
      <c r="AB1188" s="9"/>
      <c r="AC1188" s="9"/>
      <c r="AD1188" s="9"/>
      <c r="AE1188" s="9"/>
      <c r="AF1188" s="9"/>
      <c r="AG1188" s="9"/>
      <c r="AH1188" s="9"/>
    </row>
    <row r="1189" ht="15.75" customHeight="1">
      <c r="A1189" s="9"/>
      <c r="B1189" s="197"/>
      <c r="D1189" s="198"/>
      <c r="E1189" s="8" t="s">
        <v>86</v>
      </c>
      <c r="F1189" s="8" t="s">
        <v>338</v>
      </c>
      <c r="G1189" s="42" t="str">
        <f>HYPERLINK("https://docs.google.com/spreadsheets/d/1uIypbPSTLLiyBz9d839ZtTp8mtrVLVJ_d0zp5KfsojI/edit#gid=1806138952", "https://docs.google.com/spreadsheets/d/1uIypbPSTLLiyBz9d839ZtTp8mtrVLVJ_d0zp5KfsojI/edit#gid=1806138952")</f>
        <v>https://docs.google.com/spreadsheets/d/1uIypbPSTLLiyBz9d839ZtTp8mtrVLVJ_d0zp5KfsojI/edit#gid=1806138952</v>
      </c>
      <c r="H1189" s="35" t="s">
        <v>338</v>
      </c>
      <c r="L1189" s="9"/>
      <c r="M1189" s="9"/>
      <c r="N1189" s="9"/>
      <c r="O1189" s="9"/>
      <c r="P1189" s="9"/>
      <c r="Q1189" s="9"/>
      <c r="R1189" s="9"/>
      <c r="S1189" s="9"/>
      <c r="T1189" s="9"/>
      <c r="U1189" s="9"/>
      <c r="V1189" s="9"/>
      <c r="W1189" s="9"/>
      <c r="X1189" s="9"/>
      <c r="Y1189" s="9"/>
      <c r="Z1189" s="9"/>
      <c r="AA1189" s="9"/>
      <c r="AB1189" s="9"/>
      <c r="AC1189" s="9"/>
      <c r="AD1189" s="9"/>
      <c r="AE1189" s="9"/>
      <c r="AF1189" s="9"/>
      <c r="AG1189" s="9"/>
      <c r="AH1189" s="9"/>
    </row>
    <row r="1190" ht="15.75" customHeight="1">
      <c r="A1190" s="9"/>
      <c r="B1190" s="197"/>
      <c r="D1190" s="198"/>
      <c r="E1190" s="8" t="s">
        <v>86</v>
      </c>
      <c r="F1190" s="8" t="s">
        <v>739</v>
      </c>
      <c r="G1190" s="42" t="str">
        <f>HYPERLINK("https://docs.google.com/spreadsheets/d/1uIypbPSTLLiyBz9d839ZtTp8mtrVLVJ_d0zp5KfsojI/edit#gid=913633491", "https://docs.google.com/spreadsheets/d/1uIypbPSTLLiyBz9d839ZtTp8mtrVLVJ_d0zp5KfsojI/edit#gid=913633491")</f>
        <v>https://docs.google.com/spreadsheets/d/1uIypbPSTLLiyBz9d839ZtTp8mtrVLVJ_d0zp5KfsojI/edit#gid=913633491</v>
      </c>
      <c r="H1190" s="35" t="s">
        <v>739</v>
      </c>
      <c r="L1190" s="9"/>
      <c r="M1190" s="9"/>
      <c r="N1190" s="9"/>
      <c r="O1190" s="9"/>
      <c r="P1190" s="9"/>
      <c r="Q1190" s="9"/>
      <c r="R1190" s="9"/>
      <c r="S1190" s="9"/>
      <c r="T1190" s="9"/>
      <c r="U1190" s="9"/>
      <c r="V1190" s="9"/>
      <c r="W1190" s="9"/>
      <c r="X1190" s="9"/>
      <c r="Y1190" s="9"/>
      <c r="Z1190" s="9"/>
      <c r="AA1190" s="9"/>
      <c r="AB1190" s="9"/>
      <c r="AC1190" s="9"/>
      <c r="AD1190" s="9"/>
      <c r="AE1190" s="9"/>
      <c r="AF1190" s="9"/>
      <c r="AG1190" s="9"/>
      <c r="AH1190" s="9"/>
    </row>
    <row r="1191" ht="15.75" customHeight="1">
      <c r="A1191" s="9"/>
      <c r="B1191" s="197"/>
      <c r="D1191" s="198"/>
      <c r="E1191" s="8" t="s">
        <v>86</v>
      </c>
      <c r="F1191" s="8" t="s">
        <v>743</v>
      </c>
      <c r="G1191" s="42" t="str">
        <f>HYPERLINK("https://docs.google.com/spreadsheets/d/1uIypbPSTLLiyBz9d839ZtTp8mtrVLVJ_d0zp5KfsojI/edit#gid=600888008", "https://docs.google.com/spreadsheets/d/1uIypbPSTLLiyBz9d839ZtTp8mtrVLVJ_d0zp5KfsojI/edit#gid=600888008")</f>
        <v>https://docs.google.com/spreadsheets/d/1uIypbPSTLLiyBz9d839ZtTp8mtrVLVJ_d0zp5KfsojI/edit#gid=600888008</v>
      </c>
      <c r="H1191" s="35" t="s">
        <v>743</v>
      </c>
      <c r="L1191" s="9"/>
      <c r="M1191" s="9"/>
      <c r="N1191" s="9"/>
      <c r="O1191" s="9"/>
      <c r="P1191" s="9"/>
      <c r="Q1191" s="9"/>
      <c r="R1191" s="9"/>
      <c r="S1191" s="9"/>
      <c r="T1191" s="9"/>
      <c r="U1191" s="9"/>
      <c r="V1191" s="9"/>
      <c r="W1191" s="9"/>
      <c r="X1191" s="9"/>
      <c r="Y1191" s="9"/>
      <c r="Z1191" s="9"/>
      <c r="AA1191" s="9"/>
      <c r="AB1191" s="9"/>
      <c r="AC1191" s="9"/>
      <c r="AD1191" s="9"/>
      <c r="AE1191" s="9"/>
      <c r="AF1191" s="9"/>
      <c r="AG1191" s="9"/>
      <c r="AH1191" s="9"/>
    </row>
    <row r="1192" ht="15.75" customHeight="1">
      <c r="A1192" s="9"/>
      <c r="B1192" s="197"/>
      <c r="D1192" s="198"/>
      <c r="E1192" s="8" t="s">
        <v>104</v>
      </c>
      <c r="F1192" s="8" t="s">
        <v>250</v>
      </c>
      <c r="G1192" s="42" t="str">
        <f>HYPERLINK("https://docs.google.com/spreadsheets/d/1uIypbPSTLLiyBz9d839ZtTp8mtrVLVJ_d0zp5KfsojI/edit#gid=1172930984", "https://docs.google.com/spreadsheets/d/1uIypbPSTLLiyBz9d839ZtTp8mtrVLVJ_d0zp5KfsojI/edit#gid=1172930984")</f>
        <v>https://docs.google.com/spreadsheets/d/1uIypbPSTLLiyBz9d839ZtTp8mtrVLVJ_d0zp5KfsojI/edit#gid=1172930984</v>
      </c>
      <c r="H1192" s="35" t="s">
        <v>250</v>
      </c>
      <c r="L1192" s="9"/>
      <c r="M1192" s="9"/>
      <c r="N1192" s="9"/>
      <c r="O1192" s="9"/>
      <c r="P1192" s="9"/>
      <c r="Q1192" s="9"/>
      <c r="R1192" s="9"/>
      <c r="S1192" s="9"/>
      <c r="T1192" s="9"/>
      <c r="U1192" s="9"/>
      <c r="V1192" s="9"/>
      <c r="W1192" s="9"/>
      <c r="X1192" s="9"/>
      <c r="Y1192" s="9"/>
      <c r="Z1192" s="9"/>
      <c r="AA1192" s="9"/>
      <c r="AB1192" s="9"/>
      <c r="AC1192" s="9"/>
      <c r="AD1192" s="9"/>
      <c r="AE1192" s="9"/>
      <c r="AF1192" s="9"/>
      <c r="AG1192" s="9"/>
      <c r="AH1192" s="9"/>
    </row>
    <row r="1193" ht="15.75" customHeight="1">
      <c r="A1193" s="9"/>
      <c r="B1193" s="197"/>
      <c r="D1193" s="198"/>
      <c r="E1193" s="8" t="s">
        <v>88</v>
      </c>
      <c r="F1193" s="8" t="s">
        <v>95</v>
      </c>
      <c r="G1193" s="42" t="str">
        <f>HYPERLINK("https://docs.google.com/spreadsheets/d/1uIypbPSTLLiyBz9d839ZtTp8mtrVLVJ_d0zp5KfsojI/edit#gid=78777884", "https://docs.google.com/spreadsheets/d/1uIypbPSTLLiyBz9d839ZtTp8mtrVLVJ_d0zp5KfsojI/edit#gid=78777884")</f>
        <v>https://docs.google.com/spreadsheets/d/1uIypbPSTLLiyBz9d839ZtTp8mtrVLVJ_d0zp5KfsojI/edit#gid=78777884</v>
      </c>
      <c r="H1193" s="35" t="s">
        <v>95</v>
      </c>
      <c r="L1193" s="9"/>
      <c r="M1193" s="9"/>
      <c r="N1193" s="9"/>
      <c r="O1193" s="9"/>
      <c r="P1193" s="9"/>
      <c r="Q1193" s="9"/>
      <c r="R1193" s="9"/>
      <c r="S1193" s="9"/>
      <c r="T1193" s="9"/>
      <c r="U1193" s="9"/>
      <c r="V1193" s="9"/>
      <c r="W1193" s="9"/>
      <c r="X1193" s="9"/>
      <c r="Y1193" s="9"/>
      <c r="Z1193" s="9"/>
      <c r="AA1193" s="9"/>
      <c r="AB1193" s="9"/>
      <c r="AC1193" s="9"/>
      <c r="AD1193" s="9"/>
      <c r="AE1193" s="9"/>
      <c r="AF1193" s="9"/>
      <c r="AG1193" s="9"/>
      <c r="AH1193" s="9"/>
    </row>
    <row r="1194" ht="15.75" customHeight="1">
      <c r="A1194" s="9"/>
      <c r="B1194" s="197"/>
      <c r="D1194" s="198"/>
      <c r="E1194" s="8" t="s">
        <v>88</v>
      </c>
      <c r="F1194" s="8" t="s">
        <v>125</v>
      </c>
      <c r="G1194" s="42" t="str">
        <f>HYPERLINK("https://docs.google.com/spreadsheets/d/1uIypbPSTLLiyBz9d839ZtTp8mtrVLVJ_d0zp5KfsojI/edit#gid=399770531", "https://docs.google.com/spreadsheets/d/1uIypbPSTLLiyBz9d839ZtTp8mtrVLVJ_d0zp5KfsojI/edit#gid=399770531")</f>
        <v>https://docs.google.com/spreadsheets/d/1uIypbPSTLLiyBz9d839ZtTp8mtrVLVJ_d0zp5KfsojI/edit#gid=399770531</v>
      </c>
      <c r="H1194" s="35" t="s">
        <v>125</v>
      </c>
      <c r="L1194" s="9"/>
      <c r="M1194" s="9"/>
      <c r="N1194" s="9"/>
      <c r="O1194" s="9"/>
      <c r="P1194" s="9"/>
      <c r="Q1194" s="9"/>
      <c r="R1194" s="9"/>
      <c r="S1194" s="9"/>
      <c r="T1194" s="9"/>
      <c r="U1194" s="9"/>
      <c r="V1194" s="9"/>
      <c r="W1194" s="9"/>
      <c r="X1194" s="9"/>
      <c r="Y1194" s="9"/>
      <c r="Z1194" s="9"/>
      <c r="AA1194" s="9"/>
      <c r="AB1194" s="9"/>
      <c r="AC1194" s="9"/>
      <c r="AD1194" s="9"/>
      <c r="AE1194" s="9"/>
      <c r="AF1194" s="9"/>
      <c r="AG1194" s="9"/>
      <c r="AH1194" s="9"/>
    </row>
    <row r="1195" ht="15.75" customHeight="1">
      <c r="A1195" s="9"/>
      <c r="B1195" s="197"/>
      <c r="D1195" s="198"/>
      <c r="E1195" s="8" t="s">
        <v>88</v>
      </c>
      <c r="F1195" s="8" t="s">
        <v>1058</v>
      </c>
      <c r="G1195" s="42" t="str">
        <f>HYPERLINK("https://docs.google.com/spreadsheets/d/1uIypbPSTLLiyBz9d839ZtTp8mtrVLVJ_d0zp5KfsojI/edit#gid=130194696", "https://docs.google.com/spreadsheets/d/1uIypbPSTLLiyBz9d839ZtTp8mtrVLVJ_d0zp5KfsojI/edit#gid=130194696")</f>
        <v>https://docs.google.com/spreadsheets/d/1uIypbPSTLLiyBz9d839ZtTp8mtrVLVJ_d0zp5KfsojI/edit#gid=130194696</v>
      </c>
      <c r="H1195" s="35" t="s">
        <v>1058</v>
      </c>
      <c r="L1195" s="9"/>
      <c r="M1195" s="9"/>
      <c r="N1195" s="9"/>
      <c r="O1195" s="9"/>
      <c r="P1195" s="9"/>
      <c r="Q1195" s="9"/>
      <c r="R1195" s="9"/>
      <c r="S1195" s="9"/>
      <c r="T1195" s="9"/>
      <c r="U1195" s="9"/>
      <c r="V1195" s="9"/>
      <c r="W1195" s="9"/>
      <c r="X1195" s="9"/>
      <c r="Y1195" s="9"/>
      <c r="Z1195" s="9"/>
      <c r="AA1195" s="9"/>
      <c r="AB1195" s="9"/>
      <c r="AC1195" s="9"/>
      <c r="AD1195" s="9"/>
      <c r="AE1195" s="9"/>
      <c r="AF1195" s="9"/>
      <c r="AG1195" s="9"/>
      <c r="AH1195" s="9"/>
    </row>
    <row r="1196" ht="15.75" customHeight="1">
      <c r="A1196" s="9"/>
      <c r="B1196" s="197"/>
      <c r="D1196" s="198"/>
      <c r="E1196" s="8" t="s">
        <v>88</v>
      </c>
      <c r="F1196" s="8" t="s">
        <v>892</v>
      </c>
      <c r="G1196" s="42"/>
      <c r="H1196" s="36"/>
      <c r="L1196" s="9"/>
      <c r="M1196" s="9"/>
      <c r="N1196" s="9"/>
      <c r="O1196" s="9"/>
      <c r="P1196" s="9"/>
      <c r="Q1196" s="9"/>
      <c r="R1196" s="9"/>
      <c r="S1196" s="9"/>
      <c r="T1196" s="9"/>
      <c r="U1196" s="9"/>
      <c r="V1196" s="9"/>
      <c r="W1196" s="9"/>
      <c r="X1196" s="9"/>
      <c r="Y1196" s="9"/>
      <c r="Z1196" s="9"/>
      <c r="AA1196" s="9"/>
      <c r="AB1196" s="9"/>
      <c r="AC1196" s="9"/>
      <c r="AD1196" s="9"/>
      <c r="AE1196" s="9"/>
      <c r="AF1196" s="9"/>
      <c r="AG1196" s="9"/>
      <c r="AH1196" s="9"/>
    </row>
    <row r="1197" ht="15.75" customHeight="1">
      <c r="A1197" s="9"/>
      <c r="B1197" s="197"/>
      <c r="D1197" s="198"/>
      <c r="E1197" s="8" t="s">
        <v>104</v>
      </c>
      <c r="F1197" s="8" t="s">
        <v>250</v>
      </c>
      <c r="G1197" s="42" t="str">
        <f>HYPERLINK("https://docs.google.com/spreadsheets/d/1uIypbPSTLLiyBz9d839ZtTp8mtrVLVJ_d0zp5KfsojI/edit#gid=929122163", "https://docs.google.com/spreadsheets/d/1uIypbPSTLLiyBz9d839ZtTp8mtrVLVJ_d0zp5KfsojI/edit#gid=929122163")</f>
        <v>https://docs.google.com/spreadsheets/d/1uIypbPSTLLiyBz9d839ZtTp8mtrVLVJ_d0zp5KfsojI/edit#gid=929122163</v>
      </c>
      <c r="H1197" s="35" t="s">
        <v>1981</v>
      </c>
      <c r="L1197" s="9"/>
      <c r="M1197" s="9"/>
      <c r="N1197" s="9"/>
      <c r="O1197" s="9"/>
      <c r="P1197" s="9"/>
      <c r="Q1197" s="9"/>
      <c r="R1197" s="9"/>
      <c r="S1197" s="9"/>
      <c r="T1197" s="9"/>
      <c r="U1197" s="9"/>
      <c r="V1197" s="9"/>
      <c r="W1197" s="9"/>
      <c r="X1197" s="9"/>
      <c r="Y1197" s="9"/>
      <c r="Z1197" s="9"/>
      <c r="AA1197" s="9"/>
      <c r="AB1197" s="9"/>
      <c r="AC1197" s="9"/>
      <c r="AD1197" s="9"/>
      <c r="AE1197" s="9"/>
      <c r="AF1197" s="9"/>
      <c r="AG1197" s="9"/>
      <c r="AH1197" s="9"/>
    </row>
    <row r="1198" ht="15.75" customHeight="1">
      <c r="A1198" s="9"/>
      <c r="B1198" s="197"/>
      <c r="C1198" s="198"/>
      <c r="D1198" s="198"/>
      <c r="E1198" s="9"/>
      <c r="F1198" s="9"/>
      <c r="G1198" s="42"/>
      <c r="L1198" s="9"/>
      <c r="M1198" s="9"/>
      <c r="N1198" s="9"/>
      <c r="O1198" s="9"/>
      <c r="P1198" s="9"/>
      <c r="Q1198" s="9"/>
      <c r="R1198" s="9"/>
      <c r="S1198" s="9"/>
      <c r="T1198" s="9"/>
      <c r="U1198" s="9"/>
      <c r="V1198" s="9"/>
      <c r="W1198" s="9"/>
      <c r="X1198" s="9"/>
      <c r="Y1198" s="9"/>
      <c r="Z1198" s="9"/>
      <c r="AA1198" s="9"/>
      <c r="AB1198" s="9"/>
      <c r="AC1198" s="9"/>
      <c r="AD1198" s="9"/>
      <c r="AE1198" s="9"/>
      <c r="AF1198" s="9"/>
      <c r="AG1198" s="9"/>
      <c r="AH1198" s="9"/>
    </row>
    <row r="1199" ht="15.75" customHeight="1">
      <c r="A1199" s="9"/>
      <c r="B1199" s="56" t="s">
        <v>1982</v>
      </c>
      <c r="C1199" s="184" t="s">
        <v>1983</v>
      </c>
      <c r="D1199" s="184" t="s">
        <v>20</v>
      </c>
      <c r="E1199" s="8" t="s">
        <v>89</v>
      </c>
      <c r="F1199" s="8" t="s">
        <v>291</v>
      </c>
      <c r="G1199" s="42"/>
      <c r="L1199" s="9"/>
      <c r="M1199" s="9"/>
      <c r="N1199" s="9"/>
      <c r="O1199" s="9"/>
      <c r="P1199" s="9"/>
      <c r="Q1199" s="9"/>
      <c r="R1199" s="9"/>
      <c r="S1199" s="9"/>
      <c r="T1199" s="9"/>
      <c r="U1199" s="9"/>
      <c r="V1199" s="9"/>
      <c r="W1199" s="9"/>
      <c r="X1199" s="9"/>
      <c r="Y1199" s="9"/>
      <c r="Z1199" s="9"/>
      <c r="AA1199" s="9"/>
      <c r="AB1199" s="9"/>
      <c r="AC1199" s="9"/>
      <c r="AD1199" s="9"/>
      <c r="AE1199" s="9"/>
      <c r="AF1199" s="9"/>
      <c r="AG1199" s="9"/>
      <c r="AH1199" s="9"/>
    </row>
    <row r="1200" ht="15.75" customHeight="1">
      <c r="A1200" s="9"/>
      <c r="B1200" s="56" t="s">
        <v>1984</v>
      </c>
      <c r="C1200" s="202" t="s">
        <v>1985</v>
      </c>
      <c r="D1200" s="184" t="s">
        <v>20</v>
      </c>
      <c r="E1200" s="8" t="s">
        <v>88</v>
      </c>
      <c r="F1200" s="8" t="s">
        <v>89</v>
      </c>
      <c r="G1200" s="42"/>
      <c r="L1200" s="9"/>
      <c r="M1200" s="9"/>
      <c r="N1200" s="9"/>
      <c r="O1200" s="9"/>
      <c r="P1200" s="9"/>
      <c r="Q1200" s="9"/>
      <c r="R1200" s="9"/>
      <c r="S1200" s="9"/>
      <c r="T1200" s="9"/>
      <c r="U1200" s="9"/>
      <c r="V1200" s="9"/>
      <c r="W1200" s="9"/>
      <c r="X1200" s="9"/>
      <c r="Y1200" s="9"/>
      <c r="Z1200" s="9"/>
      <c r="AA1200" s="9"/>
      <c r="AB1200" s="9"/>
      <c r="AC1200" s="9"/>
      <c r="AD1200" s="9"/>
      <c r="AE1200" s="9"/>
      <c r="AF1200" s="9"/>
      <c r="AG1200" s="9"/>
      <c r="AH1200" s="9"/>
    </row>
    <row r="1201" ht="15.75" customHeight="1">
      <c r="A1201" s="9"/>
      <c r="B1201" s="197"/>
      <c r="D1201" s="198"/>
      <c r="E1201" s="8" t="s">
        <v>21</v>
      </c>
      <c r="F1201" s="8" t="s">
        <v>51</v>
      </c>
      <c r="G1201" s="42" t="str">
        <f>HYPERLINK("https://docs.google.com/spreadsheets/d/1XXaU34oZN_m48S_w5yz6dzpsvtqu-fe2uYHZBEgzbGU/edit#gid=2123298289", "https://docs.google.com/spreadsheets/d/1XXaU34oZN_m48S_w5yz6dzpsvtqu-fe2uYHZBEgzbGU/edit#gid=2123298289")</f>
        <v>https://docs.google.com/spreadsheets/d/1XXaU34oZN_m48S_w5yz6dzpsvtqu-fe2uYHZBEgzbGU/edit#gid=2123298289</v>
      </c>
      <c r="H1201" s="35" t="s">
        <v>51</v>
      </c>
      <c r="L1201" s="9"/>
      <c r="M1201" s="9"/>
      <c r="N1201" s="9"/>
      <c r="O1201" s="9"/>
      <c r="P1201" s="9"/>
      <c r="Q1201" s="9"/>
      <c r="R1201" s="9"/>
      <c r="S1201" s="9"/>
      <c r="T1201" s="9"/>
      <c r="U1201" s="9"/>
      <c r="V1201" s="9"/>
      <c r="W1201" s="9"/>
      <c r="X1201" s="9"/>
      <c r="Y1201" s="9"/>
      <c r="Z1201" s="9"/>
      <c r="AA1201" s="9"/>
      <c r="AB1201" s="9"/>
      <c r="AC1201" s="9"/>
      <c r="AD1201" s="9"/>
      <c r="AE1201" s="9"/>
      <c r="AF1201" s="9"/>
      <c r="AG1201" s="9"/>
      <c r="AH1201" s="9"/>
    </row>
    <row r="1202" ht="15.75" customHeight="1">
      <c r="A1202" s="9"/>
      <c r="B1202" s="197"/>
      <c r="D1202" s="198"/>
      <c r="E1202" s="8" t="s">
        <v>178</v>
      </c>
      <c r="F1202" s="8" t="s">
        <v>209</v>
      </c>
      <c r="G1202" s="42" t="str">
        <f>HYPERLINK("https://docs.google.com/spreadsheets/d/1XXaU34oZN_m48S_w5yz6dzpsvtqu-fe2uYHZBEgzbGU/edit#gid=2114540879", "https://docs.google.com/spreadsheets/d/1XXaU34oZN_m48S_w5yz6dzpsvtqu-fe2uYHZBEgzbGU/edit#gid=2114540879")</f>
        <v>https://docs.google.com/spreadsheets/d/1XXaU34oZN_m48S_w5yz6dzpsvtqu-fe2uYHZBEgzbGU/edit#gid=2114540879</v>
      </c>
      <c r="H1202" s="35" t="s">
        <v>209</v>
      </c>
      <c r="L1202" s="9"/>
      <c r="M1202" s="9"/>
      <c r="N1202" s="9"/>
      <c r="O1202" s="9"/>
      <c r="P1202" s="9"/>
      <c r="Q1202" s="9"/>
      <c r="R1202" s="9"/>
      <c r="S1202" s="9"/>
      <c r="T1202" s="9"/>
      <c r="U1202" s="9"/>
      <c r="V1202" s="9"/>
      <c r="W1202" s="9"/>
      <c r="X1202" s="9"/>
      <c r="Y1202" s="9"/>
      <c r="Z1202" s="9"/>
      <c r="AA1202" s="9"/>
      <c r="AB1202" s="9"/>
      <c r="AC1202" s="9"/>
      <c r="AD1202" s="9"/>
      <c r="AE1202" s="9"/>
      <c r="AF1202" s="9"/>
      <c r="AG1202" s="9"/>
      <c r="AH1202" s="9"/>
    </row>
    <row r="1203" ht="15.75" customHeight="1">
      <c r="A1203" s="9"/>
      <c r="B1203" s="197"/>
      <c r="D1203" s="198"/>
      <c r="E1203" s="8" t="s">
        <v>178</v>
      </c>
      <c r="F1203" s="8" t="s">
        <v>210</v>
      </c>
      <c r="G1203" s="42" t="str">
        <f>HYPERLINK("https://docs.google.com/spreadsheets/d/1XXaU34oZN_m48S_w5yz6dzpsvtqu-fe2uYHZBEgzbGU/edit#gid=1400137318", "https://docs.google.com/spreadsheets/d/1XXaU34oZN_m48S_w5yz6dzpsvtqu-fe2uYHZBEgzbGU/edit#gid=1400137318")</f>
        <v>https://docs.google.com/spreadsheets/d/1XXaU34oZN_m48S_w5yz6dzpsvtqu-fe2uYHZBEgzbGU/edit#gid=1400137318</v>
      </c>
      <c r="H1203" s="35" t="s">
        <v>210</v>
      </c>
      <c r="L1203" s="9"/>
      <c r="M1203" s="9"/>
      <c r="N1203" s="9"/>
      <c r="O1203" s="9"/>
      <c r="P1203" s="9"/>
      <c r="Q1203" s="9"/>
      <c r="R1203" s="9"/>
      <c r="S1203" s="9"/>
      <c r="T1203" s="9"/>
      <c r="U1203" s="9"/>
      <c r="V1203" s="9"/>
      <c r="W1203" s="9"/>
      <c r="X1203" s="9"/>
      <c r="Y1203" s="9"/>
      <c r="Z1203" s="9"/>
      <c r="AA1203" s="9"/>
      <c r="AB1203" s="9"/>
      <c r="AC1203" s="9"/>
      <c r="AD1203" s="9"/>
      <c r="AE1203" s="9"/>
      <c r="AF1203" s="9"/>
      <c r="AG1203" s="9"/>
      <c r="AH1203" s="9"/>
    </row>
    <row r="1204" ht="15.75" customHeight="1">
      <c r="A1204" s="9"/>
      <c r="B1204" s="197"/>
      <c r="D1204" s="198"/>
      <c r="E1204" s="8" t="s">
        <v>88</v>
      </c>
      <c r="F1204" s="8" t="s">
        <v>95</v>
      </c>
      <c r="G1204" s="42" t="str">
        <f>HYPERLINK("https://docs.google.com/spreadsheets/d/1XXaU34oZN_m48S_w5yz6dzpsvtqu-fe2uYHZBEgzbGU/edit#gid=1654131379", "https://docs.google.com/spreadsheets/d/1XXaU34oZN_m48S_w5yz6dzpsvtqu-fe2uYHZBEgzbGU/edit#gid=1654131379")</f>
        <v>https://docs.google.com/spreadsheets/d/1XXaU34oZN_m48S_w5yz6dzpsvtqu-fe2uYHZBEgzbGU/edit#gid=1654131379</v>
      </c>
      <c r="H1204" s="35" t="s">
        <v>95</v>
      </c>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row>
    <row r="1205" ht="15.75" customHeight="1">
      <c r="A1205" s="9"/>
      <c r="B1205" s="197"/>
      <c r="D1205" s="198"/>
      <c r="E1205" s="8" t="s">
        <v>88</v>
      </c>
      <c r="F1205" s="8" t="s">
        <v>125</v>
      </c>
      <c r="G1205" s="42" t="str">
        <f>HYPERLINK("https://docs.google.com/spreadsheets/d/1XXaU34oZN_m48S_w5yz6dzpsvtqu-fe2uYHZBEgzbGU/edit#gid=1427057532", "https://docs.google.com/spreadsheets/d/1XXaU34oZN_m48S_w5yz6dzpsvtqu-fe2uYHZBEgzbGU/edit#gid=1427057532")</f>
        <v>https://docs.google.com/spreadsheets/d/1XXaU34oZN_m48S_w5yz6dzpsvtqu-fe2uYHZBEgzbGU/edit#gid=1427057532</v>
      </c>
      <c r="H1205" s="35" t="s">
        <v>125</v>
      </c>
      <c r="L1205" s="9"/>
      <c r="M1205" s="9"/>
      <c r="N1205" s="9"/>
      <c r="O1205" s="9"/>
      <c r="P1205" s="9"/>
      <c r="Q1205" s="9"/>
      <c r="R1205" s="9"/>
      <c r="S1205" s="9"/>
      <c r="T1205" s="9"/>
      <c r="U1205" s="9"/>
      <c r="V1205" s="9"/>
      <c r="W1205" s="9"/>
      <c r="X1205" s="9"/>
      <c r="Y1205" s="9"/>
      <c r="Z1205" s="9"/>
      <c r="AA1205" s="9"/>
      <c r="AB1205" s="9"/>
      <c r="AC1205" s="9"/>
      <c r="AD1205" s="9"/>
      <c r="AE1205" s="9"/>
      <c r="AF1205" s="9"/>
      <c r="AG1205" s="9"/>
      <c r="AH1205" s="9"/>
    </row>
    <row r="1206" ht="15.75" customHeight="1">
      <c r="A1206" s="9"/>
      <c r="B1206" s="197"/>
      <c r="D1206" s="198"/>
      <c r="E1206" s="8" t="s">
        <v>88</v>
      </c>
      <c r="F1206" s="8" t="s">
        <v>1062</v>
      </c>
      <c r="G1206" s="42"/>
      <c r="L1206" s="9"/>
      <c r="M1206" s="9"/>
      <c r="N1206" s="9"/>
      <c r="O1206" s="9"/>
      <c r="P1206" s="9"/>
      <c r="Q1206" s="9"/>
      <c r="R1206" s="9"/>
      <c r="S1206" s="9"/>
      <c r="T1206" s="9"/>
      <c r="U1206" s="9"/>
      <c r="V1206" s="9"/>
      <c r="W1206" s="9"/>
      <c r="X1206" s="9"/>
      <c r="Y1206" s="9"/>
      <c r="Z1206" s="9"/>
      <c r="AA1206" s="9"/>
      <c r="AB1206" s="9"/>
      <c r="AC1206" s="9"/>
      <c r="AD1206" s="9"/>
      <c r="AE1206" s="9"/>
      <c r="AF1206" s="9"/>
      <c r="AG1206" s="9"/>
      <c r="AH1206" s="9"/>
    </row>
    <row r="1207" ht="15.75" customHeight="1">
      <c r="A1207" s="9"/>
      <c r="B1207" s="197"/>
      <c r="D1207" s="198"/>
      <c r="E1207" s="8" t="s">
        <v>88</v>
      </c>
      <c r="F1207" s="8" t="s">
        <v>1060</v>
      </c>
      <c r="G1207" s="42" t="str">
        <f>HYPERLINK("https://docs.google.com/spreadsheets/d/1XXaU34oZN_m48S_w5yz6dzpsvtqu-fe2uYHZBEgzbGU/edit#gid=1119496088", "https://docs.google.com/spreadsheets/d/1XXaU34oZN_m48S_w5yz6dzpsvtqu-fe2uYHZBEgzbGU/edit#gid=1119496088")</f>
        <v>https://docs.google.com/spreadsheets/d/1XXaU34oZN_m48S_w5yz6dzpsvtqu-fe2uYHZBEgzbGU/edit#gid=1119496088</v>
      </c>
      <c r="H1207" s="35" t="s">
        <v>1060</v>
      </c>
      <c r="L1207" s="9"/>
      <c r="M1207" s="9"/>
      <c r="N1207" s="9"/>
      <c r="O1207" s="9"/>
      <c r="P1207" s="9"/>
      <c r="Q1207" s="9"/>
      <c r="R1207" s="9"/>
      <c r="S1207" s="9"/>
      <c r="T1207" s="9"/>
      <c r="U1207" s="9"/>
      <c r="V1207" s="9"/>
      <c r="W1207" s="9"/>
      <c r="X1207" s="9"/>
      <c r="Y1207" s="9"/>
      <c r="Z1207" s="9"/>
      <c r="AA1207" s="9"/>
      <c r="AB1207" s="9"/>
      <c r="AC1207" s="9"/>
      <c r="AD1207" s="9"/>
      <c r="AE1207" s="9"/>
      <c r="AF1207" s="9"/>
      <c r="AG1207" s="9"/>
      <c r="AH1207" s="9"/>
    </row>
    <row r="1208" ht="15.75" customHeight="1">
      <c r="A1208" s="9"/>
      <c r="B1208" s="197"/>
      <c r="D1208" s="198"/>
      <c r="E1208" s="8" t="s">
        <v>88</v>
      </c>
      <c r="F1208" s="8" t="s">
        <v>892</v>
      </c>
      <c r="G1208" s="42"/>
      <c r="L1208" s="9"/>
      <c r="M1208" s="9"/>
      <c r="N1208" s="9"/>
      <c r="O1208" s="9"/>
      <c r="P1208" s="9"/>
      <c r="Q1208" s="9"/>
      <c r="R1208" s="9"/>
      <c r="S1208" s="9"/>
      <c r="T1208" s="9"/>
      <c r="U1208" s="9"/>
      <c r="V1208" s="9"/>
      <c r="W1208" s="9"/>
      <c r="X1208" s="9"/>
      <c r="Y1208" s="9"/>
      <c r="Z1208" s="9"/>
      <c r="AA1208" s="9"/>
      <c r="AB1208" s="9"/>
      <c r="AC1208" s="9"/>
      <c r="AD1208" s="9"/>
      <c r="AE1208" s="9"/>
      <c r="AF1208" s="9"/>
      <c r="AG1208" s="9"/>
      <c r="AH1208" s="9"/>
    </row>
    <row r="1209" ht="15.75" customHeight="1">
      <c r="A1209" s="9"/>
      <c r="B1209" s="197"/>
      <c r="D1209" s="198"/>
      <c r="E1209" s="8" t="s">
        <v>88</v>
      </c>
      <c r="F1209" s="8" t="s">
        <v>96</v>
      </c>
      <c r="G1209" s="42" t="str">
        <f>HYPERLINK("https://docs.google.com/spreadsheets/d/1XXaU34oZN_m48S_w5yz6dzpsvtqu-fe2uYHZBEgzbGU/edit#gid=1534597895", "https://docs.google.com/spreadsheets/d/1XXaU34oZN_m48S_w5yz6dzpsvtqu-fe2uYHZBEgzbGU/edit#gid=1534597895")</f>
        <v>https://docs.google.com/spreadsheets/d/1XXaU34oZN_m48S_w5yz6dzpsvtqu-fe2uYHZBEgzbGU/edit#gid=1534597895</v>
      </c>
      <c r="H1209" s="35" t="s">
        <v>96</v>
      </c>
      <c r="L1209" s="9"/>
      <c r="M1209" s="9"/>
      <c r="N1209" s="9"/>
      <c r="O1209" s="9"/>
      <c r="P1209" s="9"/>
      <c r="Q1209" s="9"/>
      <c r="R1209" s="9"/>
      <c r="S1209" s="9"/>
      <c r="T1209" s="9"/>
      <c r="U1209" s="9"/>
      <c r="V1209" s="9"/>
      <c r="W1209" s="9"/>
      <c r="X1209" s="9"/>
      <c r="Y1209" s="9"/>
      <c r="Z1209" s="9"/>
      <c r="AA1209" s="9"/>
      <c r="AB1209" s="9"/>
      <c r="AC1209" s="9"/>
      <c r="AD1209" s="9"/>
      <c r="AE1209" s="9"/>
      <c r="AF1209" s="9"/>
      <c r="AG1209" s="9"/>
      <c r="AH1209" s="9"/>
    </row>
    <row r="1210" ht="15.75" customHeight="1">
      <c r="A1210" s="9"/>
      <c r="B1210" s="197"/>
      <c r="D1210" s="198"/>
      <c r="E1210" s="8" t="s">
        <v>178</v>
      </c>
      <c r="F1210" s="8" t="s">
        <v>209</v>
      </c>
      <c r="G1210" s="42" t="str">
        <f>HYPERLINK("https://docs.google.com/spreadsheets/d/1XXaU34oZN_m48S_w5yz6dzpsvtqu-fe2uYHZBEgzbGU/edit#gid=1417413441", "https://docs.google.com/spreadsheets/d/1XXaU34oZN_m48S_w5yz6dzpsvtqu-fe2uYHZBEgzbGU/edit#gid=1417413441")</f>
        <v>https://docs.google.com/spreadsheets/d/1XXaU34oZN_m48S_w5yz6dzpsvtqu-fe2uYHZBEgzbGU/edit#gid=1417413441</v>
      </c>
      <c r="H1210" s="35" t="s">
        <v>1986</v>
      </c>
      <c r="L1210" s="9"/>
      <c r="M1210" s="9"/>
      <c r="N1210" s="9"/>
      <c r="O1210" s="9"/>
      <c r="P1210" s="9"/>
      <c r="Q1210" s="9"/>
      <c r="R1210" s="9"/>
      <c r="S1210" s="9"/>
      <c r="T1210" s="9"/>
      <c r="U1210" s="9"/>
      <c r="V1210" s="9"/>
      <c r="W1210" s="9"/>
      <c r="X1210" s="9"/>
      <c r="Y1210" s="9"/>
      <c r="Z1210" s="9"/>
      <c r="AA1210" s="9"/>
      <c r="AB1210" s="9"/>
      <c r="AC1210" s="9"/>
      <c r="AD1210" s="9"/>
      <c r="AE1210" s="9"/>
      <c r="AF1210" s="9"/>
      <c r="AG1210" s="9"/>
      <c r="AH1210" s="9"/>
    </row>
    <row r="1211" ht="15.75" customHeight="1">
      <c r="A1211" s="9"/>
      <c r="B1211" s="197"/>
      <c r="D1211" s="198"/>
      <c r="E1211" s="8" t="s">
        <v>178</v>
      </c>
      <c r="F1211" s="8" t="s">
        <v>210</v>
      </c>
      <c r="G1211" s="42" t="str">
        <f>HYPERLINK("https://docs.google.com/spreadsheets/d/1XXaU34oZN_m48S_w5yz6dzpsvtqu-fe2uYHZBEgzbGU/edit#gid=687124340", "https://docs.google.com/spreadsheets/d/1XXaU34oZN_m48S_w5yz6dzpsvtqu-fe2uYHZBEgzbGU/edit#gid=687124340")</f>
        <v>https://docs.google.com/spreadsheets/d/1XXaU34oZN_m48S_w5yz6dzpsvtqu-fe2uYHZBEgzbGU/edit#gid=687124340</v>
      </c>
      <c r="H1211" s="35" t="s">
        <v>1987</v>
      </c>
      <c r="L1211" s="9"/>
      <c r="M1211" s="9"/>
      <c r="N1211" s="9"/>
      <c r="O1211" s="9"/>
      <c r="P1211" s="9"/>
      <c r="Q1211" s="9"/>
      <c r="R1211" s="9"/>
      <c r="S1211" s="9"/>
      <c r="T1211" s="9"/>
      <c r="U1211" s="9"/>
      <c r="V1211" s="9"/>
      <c r="W1211" s="9"/>
      <c r="X1211" s="9"/>
      <c r="Y1211" s="9"/>
      <c r="Z1211" s="9"/>
      <c r="AA1211" s="9"/>
      <c r="AB1211" s="9"/>
      <c r="AC1211" s="9"/>
      <c r="AD1211" s="9"/>
      <c r="AE1211" s="9"/>
      <c r="AF1211" s="9"/>
      <c r="AG1211" s="9"/>
      <c r="AH1211" s="9"/>
    </row>
    <row r="1212" ht="15.75" customHeight="1">
      <c r="A1212" s="9"/>
      <c r="B1212" s="197"/>
      <c r="C1212" s="198"/>
      <c r="D1212" s="198"/>
      <c r="E1212" s="9"/>
      <c r="F1212" s="9"/>
      <c r="G1212" s="42"/>
      <c r="L1212" s="9"/>
      <c r="M1212" s="9"/>
      <c r="N1212" s="9"/>
      <c r="O1212" s="9"/>
      <c r="P1212" s="9"/>
      <c r="Q1212" s="9"/>
      <c r="R1212" s="9"/>
      <c r="S1212" s="9"/>
      <c r="T1212" s="9"/>
      <c r="U1212" s="9"/>
      <c r="V1212" s="9"/>
      <c r="W1212" s="9"/>
      <c r="X1212" s="9"/>
      <c r="Y1212" s="9"/>
      <c r="Z1212" s="9"/>
      <c r="AA1212" s="9"/>
      <c r="AB1212" s="9"/>
      <c r="AC1212" s="9"/>
      <c r="AD1212" s="9"/>
      <c r="AE1212" s="9"/>
      <c r="AF1212" s="9"/>
      <c r="AG1212" s="9"/>
      <c r="AH1212" s="9"/>
    </row>
    <row r="1213" ht="15.75" customHeight="1">
      <c r="A1213" s="9"/>
      <c r="B1213" s="56" t="s">
        <v>1988</v>
      </c>
      <c r="C1213" s="167" t="s">
        <v>1989</v>
      </c>
      <c r="D1213" s="184" t="s">
        <v>20</v>
      </c>
      <c r="E1213" s="8" t="s">
        <v>88</v>
      </c>
      <c r="F1213" s="8" t="s">
        <v>89</v>
      </c>
      <c r="G1213" s="42"/>
      <c r="L1213" s="9"/>
      <c r="M1213" s="9"/>
      <c r="N1213" s="9"/>
      <c r="O1213" s="9"/>
      <c r="P1213" s="9"/>
      <c r="Q1213" s="9"/>
      <c r="R1213" s="9"/>
      <c r="S1213" s="9"/>
      <c r="T1213" s="9"/>
      <c r="U1213" s="9"/>
      <c r="V1213" s="9"/>
      <c r="W1213" s="9"/>
      <c r="X1213" s="9"/>
      <c r="Y1213" s="9"/>
      <c r="Z1213" s="9"/>
      <c r="AA1213" s="9"/>
      <c r="AB1213" s="9"/>
      <c r="AC1213" s="9"/>
      <c r="AD1213" s="9"/>
      <c r="AE1213" s="9"/>
      <c r="AF1213" s="9"/>
      <c r="AG1213" s="9"/>
      <c r="AH1213" s="9"/>
    </row>
    <row r="1214" ht="15.75" customHeight="1">
      <c r="A1214" s="9"/>
      <c r="B1214" s="197"/>
      <c r="D1214" s="198"/>
      <c r="E1214" s="8" t="s">
        <v>21</v>
      </c>
      <c r="F1214" s="8" t="s">
        <v>51</v>
      </c>
      <c r="G1214" s="42" t="str">
        <f>HYPERLINK("https://docs.google.com/spreadsheets/d/1K6vS7Yj5oWefasgYH8mE9JjDna-tHdVnrXcAuObqilY/edit#gid=1672014947", "https://docs.google.com/spreadsheets/d/1K6vS7Yj5oWefasgYH8mE9JjDna-tHdVnrXcAuObqilY/edit#gid=1672014947")</f>
        <v>https://docs.google.com/spreadsheets/d/1K6vS7Yj5oWefasgYH8mE9JjDna-tHdVnrXcAuObqilY/edit#gid=1672014947</v>
      </c>
      <c r="H1214" s="35" t="s">
        <v>51</v>
      </c>
      <c r="L1214" s="9"/>
      <c r="M1214" s="9"/>
      <c r="N1214" s="9"/>
      <c r="O1214" s="9"/>
      <c r="P1214" s="9"/>
      <c r="Q1214" s="9"/>
      <c r="R1214" s="9"/>
      <c r="S1214" s="9"/>
      <c r="T1214" s="9"/>
      <c r="U1214" s="9"/>
      <c r="V1214" s="9"/>
      <c r="W1214" s="9"/>
      <c r="X1214" s="9"/>
      <c r="Y1214" s="9"/>
      <c r="Z1214" s="9"/>
      <c r="AA1214" s="9"/>
      <c r="AB1214" s="9"/>
      <c r="AC1214" s="9"/>
      <c r="AD1214" s="9"/>
      <c r="AE1214" s="9"/>
      <c r="AF1214" s="9"/>
      <c r="AG1214" s="9"/>
      <c r="AH1214" s="9"/>
    </row>
    <row r="1215" ht="15.75" customHeight="1">
      <c r="A1215" s="9"/>
      <c r="B1215" s="197"/>
      <c r="D1215" s="198"/>
      <c r="E1215" s="8" t="s">
        <v>88</v>
      </c>
      <c r="F1215" s="8" t="s">
        <v>95</v>
      </c>
      <c r="G1215" s="42" t="str">
        <f>HYPERLINK("https://docs.google.com/spreadsheets/d/1K6vS7Yj5oWefasgYH8mE9JjDna-tHdVnrXcAuObqilY/edit#gid=249270826", "https://docs.google.com/spreadsheets/d/1K6vS7Yj5oWefasgYH8mE9JjDna-tHdVnrXcAuObqilY/edit#gid=249270826")</f>
        <v>https://docs.google.com/spreadsheets/d/1K6vS7Yj5oWefasgYH8mE9JjDna-tHdVnrXcAuObqilY/edit#gid=249270826</v>
      </c>
      <c r="H1215" s="35" t="s">
        <v>95</v>
      </c>
      <c r="L1215" s="9"/>
      <c r="M1215" s="9"/>
      <c r="N1215" s="9"/>
      <c r="O1215" s="9"/>
      <c r="P1215" s="9"/>
      <c r="Q1215" s="9"/>
      <c r="R1215" s="9"/>
      <c r="S1215" s="9"/>
      <c r="T1215" s="9"/>
      <c r="U1215" s="9"/>
      <c r="V1215" s="9"/>
      <c r="W1215" s="9"/>
      <c r="X1215" s="9"/>
      <c r="Y1215" s="9"/>
      <c r="Z1215" s="9"/>
      <c r="AA1215" s="9"/>
      <c r="AB1215" s="9"/>
      <c r="AC1215" s="9"/>
      <c r="AD1215" s="9"/>
      <c r="AE1215" s="9"/>
      <c r="AF1215" s="9"/>
      <c r="AG1215" s="9"/>
      <c r="AH1215" s="9"/>
    </row>
    <row r="1216" ht="15.75" customHeight="1">
      <c r="A1216" s="9"/>
      <c r="B1216" s="197"/>
      <c r="D1216" s="198"/>
      <c r="E1216" s="8" t="s">
        <v>88</v>
      </c>
      <c r="F1216" s="8" t="s">
        <v>125</v>
      </c>
      <c r="G1216" s="42" t="str">
        <f>HYPERLINK("https://docs.google.com/spreadsheets/d/1K6vS7Yj5oWefasgYH8mE9JjDna-tHdVnrXcAuObqilY/edit#gid=508159175", "https://docs.google.com/spreadsheets/d/1K6vS7Yj5oWefasgYH8mE9JjDna-tHdVnrXcAuObqilY/edit#gid=508159175")</f>
        <v>https://docs.google.com/spreadsheets/d/1K6vS7Yj5oWefasgYH8mE9JjDna-tHdVnrXcAuObqilY/edit#gid=508159175</v>
      </c>
      <c r="H1216" s="35" t="s">
        <v>125</v>
      </c>
      <c r="L1216" s="9"/>
      <c r="M1216" s="9"/>
      <c r="N1216" s="9"/>
      <c r="O1216" s="9"/>
      <c r="P1216" s="9"/>
      <c r="Q1216" s="9"/>
      <c r="R1216" s="9"/>
      <c r="S1216" s="9"/>
      <c r="T1216" s="9"/>
      <c r="U1216" s="9"/>
      <c r="V1216" s="9"/>
      <c r="W1216" s="9"/>
      <c r="X1216" s="9"/>
      <c r="Y1216" s="9"/>
      <c r="Z1216" s="9"/>
      <c r="AA1216" s="9"/>
      <c r="AB1216" s="9"/>
      <c r="AC1216" s="9"/>
      <c r="AD1216" s="9"/>
      <c r="AE1216" s="9"/>
      <c r="AF1216" s="9"/>
      <c r="AG1216" s="9"/>
      <c r="AH1216" s="9"/>
    </row>
    <row r="1217" ht="15.75" customHeight="1">
      <c r="A1217" s="9"/>
      <c r="B1217" s="197"/>
      <c r="D1217" s="198"/>
      <c r="E1217" s="8" t="s">
        <v>88</v>
      </c>
      <c r="F1217" s="8" t="s">
        <v>1062</v>
      </c>
      <c r="G1217" s="42"/>
      <c r="L1217" s="9"/>
      <c r="M1217" s="9"/>
      <c r="N1217" s="9"/>
      <c r="O1217" s="9"/>
      <c r="P1217" s="9"/>
      <c r="Q1217" s="9"/>
      <c r="R1217" s="9"/>
      <c r="S1217" s="9"/>
      <c r="T1217" s="9"/>
      <c r="U1217" s="9"/>
      <c r="V1217" s="9"/>
      <c r="W1217" s="9"/>
      <c r="X1217" s="9"/>
      <c r="Y1217" s="9"/>
      <c r="Z1217" s="9"/>
      <c r="AA1217" s="9"/>
      <c r="AB1217" s="9"/>
      <c r="AC1217" s="9"/>
      <c r="AD1217" s="9"/>
      <c r="AE1217" s="9"/>
      <c r="AF1217" s="9"/>
      <c r="AG1217" s="9"/>
      <c r="AH1217" s="9"/>
    </row>
    <row r="1218" ht="15.75" customHeight="1">
      <c r="A1218" s="9"/>
      <c r="B1218" s="197"/>
      <c r="D1218" s="198"/>
      <c r="E1218" s="8" t="s">
        <v>88</v>
      </c>
      <c r="F1218" s="8" t="s">
        <v>1060</v>
      </c>
      <c r="G1218" s="42" t="str">
        <f>HYPERLINK("https://docs.google.com/spreadsheets/d/1K6vS7Yj5oWefasgYH8mE9JjDna-tHdVnrXcAuObqilY/edit#gid=493854033", "https://docs.google.com/spreadsheets/d/1K6vS7Yj5oWefasgYH8mE9JjDna-tHdVnrXcAuObqilY/edit#gid=493854033")</f>
        <v>https://docs.google.com/spreadsheets/d/1K6vS7Yj5oWefasgYH8mE9JjDna-tHdVnrXcAuObqilY/edit#gid=493854033</v>
      </c>
      <c r="H1218" s="35" t="s">
        <v>1060</v>
      </c>
      <c r="L1218" s="9"/>
      <c r="M1218" s="9"/>
      <c r="N1218" s="9"/>
      <c r="O1218" s="9"/>
      <c r="P1218" s="9"/>
      <c r="Q1218" s="9"/>
      <c r="R1218" s="9"/>
      <c r="S1218" s="9"/>
      <c r="T1218" s="9"/>
      <c r="U1218" s="9"/>
      <c r="V1218" s="9"/>
      <c r="W1218" s="9"/>
      <c r="X1218" s="9"/>
      <c r="Y1218" s="9"/>
      <c r="Z1218" s="9"/>
      <c r="AA1218" s="9"/>
      <c r="AB1218" s="9"/>
      <c r="AC1218" s="9"/>
      <c r="AD1218" s="9"/>
      <c r="AE1218" s="9"/>
      <c r="AF1218" s="9"/>
      <c r="AG1218" s="9"/>
      <c r="AH1218" s="9"/>
    </row>
    <row r="1219" ht="15.75" customHeight="1">
      <c r="A1219" s="9"/>
      <c r="B1219" s="197"/>
      <c r="D1219" s="198"/>
      <c r="E1219" s="8" t="s">
        <v>88</v>
      </c>
      <c r="F1219" s="8" t="s">
        <v>892</v>
      </c>
      <c r="G1219" s="42"/>
      <c r="L1219" s="9"/>
      <c r="M1219" s="9"/>
      <c r="N1219" s="9"/>
      <c r="O1219" s="9"/>
      <c r="P1219" s="9"/>
      <c r="Q1219" s="9"/>
      <c r="R1219" s="9"/>
      <c r="S1219" s="9"/>
      <c r="T1219" s="9"/>
      <c r="U1219" s="9"/>
      <c r="V1219" s="9"/>
      <c r="W1219" s="9"/>
      <c r="X1219" s="9"/>
      <c r="Y1219" s="9"/>
      <c r="Z1219" s="9"/>
      <c r="AA1219" s="9"/>
      <c r="AB1219" s="9"/>
      <c r="AC1219" s="9"/>
      <c r="AD1219" s="9"/>
      <c r="AE1219" s="9"/>
      <c r="AF1219" s="9"/>
      <c r="AG1219" s="9"/>
      <c r="AH1219" s="9"/>
    </row>
    <row r="1220" ht="15.75" customHeight="1">
      <c r="A1220" s="9"/>
      <c r="B1220" s="197"/>
      <c r="D1220" s="198"/>
      <c r="E1220" s="8" t="s">
        <v>88</v>
      </c>
      <c r="F1220" s="8" t="s">
        <v>96</v>
      </c>
      <c r="G1220" s="42" t="str">
        <f>HYPERLINK("https://docs.google.com/spreadsheets/d/1K6vS7Yj5oWefasgYH8mE9JjDna-tHdVnrXcAuObqilY/edit#gid=1755853806", "https://docs.google.com/spreadsheets/d/1K6vS7Yj5oWefasgYH8mE9JjDna-tHdVnrXcAuObqilY/edit#gid=1755853806")</f>
        <v>https://docs.google.com/spreadsheets/d/1K6vS7Yj5oWefasgYH8mE9JjDna-tHdVnrXcAuObqilY/edit#gid=1755853806</v>
      </c>
      <c r="H1220" s="35" t="s">
        <v>96</v>
      </c>
      <c r="L1220" s="9"/>
      <c r="M1220" s="9"/>
      <c r="N1220" s="9"/>
      <c r="O1220" s="9"/>
      <c r="P1220" s="9"/>
      <c r="Q1220" s="9"/>
      <c r="R1220" s="9"/>
      <c r="S1220" s="9"/>
      <c r="T1220" s="9"/>
      <c r="U1220" s="9"/>
      <c r="V1220" s="9"/>
      <c r="W1220" s="9"/>
      <c r="X1220" s="9"/>
      <c r="Y1220" s="9"/>
      <c r="Z1220" s="9"/>
      <c r="AA1220" s="9"/>
      <c r="AB1220" s="9"/>
      <c r="AC1220" s="9"/>
      <c r="AD1220" s="9"/>
      <c r="AE1220" s="9"/>
      <c r="AF1220" s="9"/>
      <c r="AG1220" s="9"/>
      <c r="AH1220" s="9"/>
    </row>
    <row r="1221" ht="15.75" customHeight="1">
      <c r="A1221" s="9"/>
      <c r="B1221" s="197"/>
      <c r="C1221" s="198"/>
      <c r="D1221" s="198"/>
      <c r="E1221" s="9"/>
      <c r="F1221" s="9"/>
      <c r="G1221" s="42"/>
      <c r="L1221" s="9"/>
      <c r="M1221" s="9"/>
      <c r="N1221" s="9"/>
      <c r="O1221" s="9"/>
      <c r="P1221" s="9"/>
      <c r="Q1221" s="9"/>
      <c r="R1221" s="9"/>
      <c r="S1221" s="9"/>
      <c r="T1221" s="9"/>
      <c r="U1221" s="9"/>
      <c r="V1221" s="9"/>
      <c r="W1221" s="9"/>
      <c r="X1221" s="9"/>
      <c r="Y1221" s="9"/>
      <c r="Z1221" s="9"/>
      <c r="AA1221" s="9"/>
      <c r="AB1221" s="9"/>
      <c r="AC1221" s="9"/>
      <c r="AD1221" s="9"/>
      <c r="AE1221" s="9"/>
      <c r="AF1221" s="9"/>
      <c r="AG1221" s="9"/>
      <c r="AH1221" s="9"/>
    </row>
    <row r="1222" ht="15.75" customHeight="1">
      <c r="A1222" s="9"/>
      <c r="B1222" s="56" t="s">
        <v>1990</v>
      </c>
      <c r="C1222" s="167" t="s">
        <v>1991</v>
      </c>
      <c r="D1222" s="184" t="s">
        <v>20</v>
      </c>
      <c r="E1222" s="8" t="s">
        <v>88</v>
      </c>
      <c r="F1222" s="8" t="s">
        <v>89</v>
      </c>
      <c r="G1222" s="42"/>
      <c r="L1222" s="9"/>
      <c r="M1222" s="9"/>
      <c r="N1222" s="9"/>
      <c r="O1222" s="9"/>
      <c r="P1222" s="9"/>
      <c r="Q1222" s="9"/>
      <c r="R1222" s="9"/>
      <c r="S1222" s="9"/>
      <c r="T1222" s="9"/>
      <c r="U1222" s="9"/>
      <c r="V1222" s="9"/>
      <c r="W1222" s="9"/>
      <c r="X1222" s="9"/>
      <c r="Y1222" s="9"/>
      <c r="Z1222" s="9"/>
      <c r="AA1222" s="9"/>
      <c r="AB1222" s="9"/>
      <c r="AC1222" s="9"/>
      <c r="AD1222" s="9"/>
      <c r="AE1222" s="9"/>
      <c r="AF1222" s="9"/>
      <c r="AG1222" s="9"/>
      <c r="AH1222" s="9"/>
    </row>
    <row r="1223" ht="15.75" customHeight="1">
      <c r="A1223" s="9"/>
      <c r="B1223" s="197"/>
      <c r="D1223" s="198"/>
      <c r="E1223" s="8" t="s">
        <v>21</v>
      </c>
      <c r="F1223" s="8" t="s">
        <v>51</v>
      </c>
      <c r="G1223" s="42" t="str">
        <f>HYPERLINK("https://docs.google.com/spreadsheets/d/118tZBCXZarqZ5bWEMV_qsYqjzngQaf71vXF2vJMKBuA/edit#gid=1643385924", "https://docs.google.com/spreadsheets/d/118tZBCXZarqZ5bWEMV_qsYqjzngQaf71vXF2vJMKBuA/edit#gid=1643385924")</f>
        <v>https://docs.google.com/spreadsheets/d/118tZBCXZarqZ5bWEMV_qsYqjzngQaf71vXF2vJMKBuA/edit#gid=1643385924</v>
      </c>
      <c r="H1223" s="35" t="s">
        <v>51</v>
      </c>
      <c r="L1223" s="9"/>
      <c r="M1223" s="9"/>
      <c r="N1223" s="9"/>
      <c r="O1223" s="9"/>
      <c r="P1223" s="9"/>
      <c r="Q1223" s="9"/>
      <c r="R1223" s="9"/>
      <c r="S1223" s="9"/>
      <c r="T1223" s="9"/>
      <c r="U1223" s="9"/>
      <c r="V1223" s="9"/>
      <c r="W1223" s="9"/>
      <c r="X1223" s="9"/>
      <c r="Y1223" s="9"/>
      <c r="Z1223" s="9"/>
      <c r="AA1223" s="9"/>
      <c r="AB1223" s="9"/>
      <c r="AC1223" s="9"/>
      <c r="AD1223" s="9"/>
      <c r="AE1223" s="9"/>
      <c r="AF1223" s="9"/>
      <c r="AG1223" s="9"/>
      <c r="AH1223" s="9"/>
    </row>
    <row r="1224" ht="15.75" customHeight="1">
      <c r="A1224" s="9"/>
      <c r="B1224" s="197"/>
      <c r="D1224" s="198"/>
      <c r="E1224" s="8" t="s">
        <v>88</v>
      </c>
      <c r="F1224" s="8" t="s">
        <v>154</v>
      </c>
      <c r="G1224" s="42" t="str">
        <f>HYPERLINK("https://docs.google.com/spreadsheets/d/118tZBCXZarqZ5bWEMV_qsYqjzngQaf71vXF2vJMKBuA/edit#gid=698041433", "https://docs.google.com/spreadsheets/d/118tZBCXZarqZ5bWEMV_qsYqjzngQaf71vXF2vJMKBuA/edit#gid=698041433")</f>
        <v>https://docs.google.com/spreadsheets/d/118tZBCXZarqZ5bWEMV_qsYqjzngQaf71vXF2vJMKBuA/edit#gid=698041433</v>
      </c>
      <c r="H1224" s="35" t="s">
        <v>154</v>
      </c>
      <c r="L1224" s="9"/>
      <c r="M1224" s="9"/>
      <c r="N1224" s="9"/>
      <c r="O1224" s="9"/>
      <c r="P1224" s="9"/>
      <c r="Q1224" s="9"/>
      <c r="R1224" s="9"/>
      <c r="S1224" s="9"/>
      <c r="T1224" s="9"/>
      <c r="U1224" s="9"/>
      <c r="V1224" s="9"/>
      <c r="W1224" s="9"/>
      <c r="X1224" s="9"/>
      <c r="Y1224" s="9"/>
      <c r="Z1224" s="9"/>
      <c r="AA1224" s="9"/>
      <c r="AB1224" s="9"/>
      <c r="AC1224" s="9"/>
      <c r="AD1224" s="9"/>
      <c r="AE1224" s="9"/>
      <c r="AF1224" s="9"/>
      <c r="AG1224" s="9"/>
      <c r="AH1224" s="9"/>
    </row>
    <row r="1225" ht="15.75" customHeight="1">
      <c r="A1225" s="9"/>
      <c r="B1225" s="197"/>
      <c r="D1225" s="198"/>
      <c r="E1225" s="8" t="s">
        <v>88</v>
      </c>
      <c r="F1225" s="8" t="s">
        <v>95</v>
      </c>
      <c r="G1225" s="42" t="str">
        <f>HYPERLINK("https://docs.google.com/spreadsheets/d/118tZBCXZarqZ5bWEMV_qsYqjzngQaf71vXF2vJMKBuA/edit#gid=2064756124", "https://docs.google.com/spreadsheets/d/118tZBCXZarqZ5bWEMV_qsYqjzngQaf71vXF2vJMKBuA/edit#gid=2064756124")</f>
        <v>https://docs.google.com/spreadsheets/d/118tZBCXZarqZ5bWEMV_qsYqjzngQaf71vXF2vJMKBuA/edit#gid=2064756124</v>
      </c>
      <c r="H1225" s="35" t="s">
        <v>95</v>
      </c>
      <c r="L1225" s="9"/>
      <c r="M1225" s="9"/>
      <c r="N1225" s="9"/>
      <c r="O1225" s="9"/>
      <c r="P1225" s="9"/>
      <c r="Q1225" s="9"/>
      <c r="R1225" s="9"/>
      <c r="S1225" s="9"/>
      <c r="T1225" s="9"/>
      <c r="U1225" s="9"/>
      <c r="V1225" s="9"/>
      <c r="W1225" s="9"/>
      <c r="X1225" s="9"/>
      <c r="Y1225" s="9"/>
      <c r="Z1225" s="9"/>
      <c r="AA1225" s="9"/>
      <c r="AB1225" s="9"/>
      <c r="AC1225" s="9"/>
      <c r="AD1225" s="9"/>
      <c r="AE1225" s="9"/>
      <c r="AF1225" s="9"/>
      <c r="AG1225" s="9"/>
      <c r="AH1225" s="9"/>
    </row>
    <row r="1226" ht="15.75" customHeight="1">
      <c r="A1226" s="9"/>
      <c r="B1226" s="197"/>
      <c r="D1226" s="198"/>
      <c r="E1226" s="8" t="s">
        <v>88</v>
      </c>
      <c r="F1226" s="8" t="s">
        <v>120</v>
      </c>
      <c r="G1226" s="42" t="str">
        <f>HYPERLINK("https://docs.google.com/spreadsheets/d/118tZBCXZarqZ5bWEMV_qsYqjzngQaf71vXF2vJMKBuA/edit#gid=1810226625", "https://docs.google.com/spreadsheets/d/118tZBCXZarqZ5bWEMV_qsYqjzngQaf71vXF2vJMKBuA/edit#gid=1810226625")</f>
        <v>https://docs.google.com/spreadsheets/d/118tZBCXZarqZ5bWEMV_qsYqjzngQaf71vXF2vJMKBuA/edit#gid=1810226625</v>
      </c>
      <c r="H1226" s="35" t="s">
        <v>120</v>
      </c>
      <c r="L1226" s="9"/>
      <c r="M1226" s="9"/>
      <c r="N1226" s="9"/>
      <c r="O1226" s="9"/>
      <c r="P1226" s="9"/>
      <c r="Q1226" s="9"/>
      <c r="R1226" s="9"/>
      <c r="S1226" s="9"/>
      <c r="T1226" s="9"/>
      <c r="U1226" s="9"/>
      <c r="V1226" s="9"/>
      <c r="W1226" s="9"/>
      <c r="X1226" s="9"/>
      <c r="Y1226" s="9"/>
      <c r="Z1226" s="9"/>
      <c r="AA1226" s="9"/>
      <c r="AB1226" s="9"/>
      <c r="AC1226" s="9"/>
      <c r="AD1226" s="9"/>
      <c r="AE1226" s="9"/>
      <c r="AF1226" s="9"/>
      <c r="AG1226" s="9"/>
      <c r="AH1226" s="9"/>
    </row>
    <row r="1227" ht="15.75" customHeight="1">
      <c r="A1227" s="9"/>
      <c r="B1227" s="197"/>
      <c r="D1227" s="198"/>
      <c r="E1227" s="8" t="s">
        <v>88</v>
      </c>
      <c r="F1227" s="8" t="s">
        <v>246</v>
      </c>
      <c r="G1227" s="42" t="str">
        <f>HYPERLINK("https://docs.google.com/spreadsheets/d/118tZBCXZarqZ5bWEMV_qsYqjzngQaf71vXF2vJMKBuA/edit#gid=1647736821", "https://docs.google.com/spreadsheets/d/118tZBCXZarqZ5bWEMV_qsYqjzngQaf71vXF2vJMKBuA/edit#gid=1647736821")</f>
        <v>https://docs.google.com/spreadsheets/d/118tZBCXZarqZ5bWEMV_qsYqjzngQaf71vXF2vJMKBuA/edit#gid=1647736821</v>
      </c>
      <c r="H1227" s="35" t="s">
        <v>246</v>
      </c>
      <c r="L1227" s="9"/>
      <c r="M1227" s="9"/>
      <c r="N1227" s="9"/>
      <c r="O1227" s="9"/>
      <c r="P1227" s="9"/>
      <c r="Q1227" s="9"/>
      <c r="R1227" s="9"/>
      <c r="S1227" s="9"/>
      <c r="T1227" s="9"/>
      <c r="U1227" s="9"/>
      <c r="V1227" s="9"/>
      <c r="W1227" s="9"/>
      <c r="X1227" s="9"/>
      <c r="Y1227" s="9"/>
      <c r="Z1227" s="9"/>
      <c r="AA1227" s="9"/>
      <c r="AB1227" s="9"/>
      <c r="AC1227" s="9"/>
      <c r="AD1227" s="9"/>
      <c r="AE1227" s="9"/>
      <c r="AF1227" s="9"/>
      <c r="AG1227" s="9"/>
      <c r="AH1227" s="9"/>
    </row>
    <row r="1228" ht="15.75" customHeight="1">
      <c r="A1228" s="9"/>
      <c r="B1228" s="197"/>
      <c r="D1228" s="198"/>
      <c r="E1228" s="8" t="s">
        <v>88</v>
      </c>
      <c r="F1228" s="8" t="s">
        <v>247</v>
      </c>
      <c r="G1228" s="42"/>
      <c r="L1228" s="9"/>
      <c r="M1228" s="9"/>
      <c r="N1228" s="9"/>
      <c r="O1228" s="9"/>
      <c r="P1228" s="9"/>
      <c r="Q1228" s="9"/>
      <c r="R1228" s="9"/>
      <c r="S1228" s="9"/>
      <c r="T1228" s="9"/>
      <c r="U1228" s="9"/>
      <c r="V1228" s="9"/>
      <c r="W1228" s="9"/>
      <c r="X1228" s="9"/>
      <c r="Y1228" s="9"/>
      <c r="Z1228" s="9"/>
      <c r="AA1228" s="9"/>
      <c r="AB1228" s="9"/>
      <c r="AC1228" s="9"/>
      <c r="AD1228" s="9"/>
      <c r="AE1228" s="9"/>
      <c r="AF1228" s="9"/>
      <c r="AG1228" s="9"/>
      <c r="AH1228" s="9"/>
    </row>
    <row r="1229" ht="15.75" customHeight="1">
      <c r="A1229" s="9"/>
      <c r="B1229" s="197"/>
      <c r="D1229" s="198"/>
      <c r="E1229" s="8" t="s">
        <v>88</v>
      </c>
      <c r="F1229" s="8" t="s">
        <v>125</v>
      </c>
      <c r="G1229" s="42" t="str">
        <f>HYPERLINK("https://docs.google.com/spreadsheets/d/118tZBCXZarqZ5bWEMV_qsYqjzngQaf71vXF2vJMKBuA/edit#gid=877082015", "https://docs.google.com/spreadsheets/d/118tZBCXZarqZ5bWEMV_qsYqjzngQaf71vXF2vJMKBuA/edit#gid=877082015")</f>
        <v>https://docs.google.com/spreadsheets/d/118tZBCXZarqZ5bWEMV_qsYqjzngQaf71vXF2vJMKBuA/edit#gid=877082015</v>
      </c>
      <c r="H1229" s="35" t="s">
        <v>125</v>
      </c>
      <c r="L1229" s="9"/>
      <c r="M1229" s="9"/>
      <c r="N1229" s="9"/>
      <c r="O1229" s="9"/>
      <c r="P1229" s="9"/>
      <c r="Q1229" s="9"/>
      <c r="R1229" s="9"/>
      <c r="S1229" s="9"/>
      <c r="T1229" s="9"/>
      <c r="U1229" s="9"/>
      <c r="V1229" s="9"/>
      <c r="W1229" s="9"/>
      <c r="X1229" s="9"/>
      <c r="Y1229" s="9"/>
      <c r="Z1229" s="9"/>
      <c r="AA1229" s="9"/>
      <c r="AB1229" s="9"/>
      <c r="AC1229" s="9"/>
      <c r="AD1229" s="9"/>
      <c r="AE1229" s="9"/>
      <c r="AF1229" s="9"/>
      <c r="AG1229" s="9"/>
      <c r="AH1229" s="9"/>
    </row>
    <row r="1230" ht="15.75" customHeight="1">
      <c r="A1230" s="9"/>
      <c r="B1230" s="197"/>
      <c r="D1230" s="198"/>
      <c r="E1230" s="8" t="s">
        <v>88</v>
      </c>
      <c r="F1230" s="8" t="s">
        <v>1062</v>
      </c>
      <c r="G1230" s="42"/>
      <c r="L1230" s="9"/>
      <c r="M1230" s="9"/>
      <c r="N1230" s="9"/>
      <c r="O1230" s="9"/>
      <c r="P1230" s="9"/>
      <c r="Q1230" s="9"/>
      <c r="R1230" s="9"/>
      <c r="S1230" s="9"/>
      <c r="T1230" s="9"/>
      <c r="U1230" s="9"/>
      <c r="V1230" s="9"/>
      <c r="W1230" s="9"/>
      <c r="X1230" s="9"/>
      <c r="Y1230" s="9"/>
      <c r="Z1230" s="9"/>
      <c r="AA1230" s="9"/>
      <c r="AB1230" s="9"/>
      <c r="AC1230" s="9"/>
      <c r="AD1230" s="9"/>
      <c r="AE1230" s="9"/>
      <c r="AF1230" s="9"/>
      <c r="AG1230" s="9"/>
      <c r="AH1230" s="9"/>
    </row>
    <row r="1231" ht="15.75" customHeight="1">
      <c r="A1231" s="9"/>
      <c r="B1231" s="197"/>
      <c r="D1231" s="198"/>
      <c r="E1231" s="8" t="s">
        <v>88</v>
      </c>
      <c r="F1231" s="8" t="s">
        <v>1060</v>
      </c>
      <c r="G1231" s="42" t="str">
        <f>HYPERLINK("https://docs.google.com/spreadsheets/d/118tZBCXZarqZ5bWEMV_qsYqjzngQaf71vXF2vJMKBuA/edit#gid=232651847", "https://docs.google.com/spreadsheets/d/118tZBCXZarqZ5bWEMV_qsYqjzngQaf71vXF2vJMKBuA/edit#gid=232651847")</f>
        <v>https://docs.google.com/spreadsheets/d/118tZBCXZarqZ5bWEMV_qsYqjzngQaf71vXF2vJMKBuA/edit#gid=232651847</v>
      </c>
      <c r="H1231" s="35" t="s">
        <v>1060</v>
      </c>
      <c r="L1231" s="9"/>
      <c r="M1231" s="9"/>
      <c r="N1231" s="9"/>
      <c r="O1231" s="9"/>
      <c r="P1231" s="9"/>
      <c r="Q1231" s="9"/>
      <c r="R1231" s="9"/>
      <c r="S1231" s="9"/>
      <c r="T1231" s="9"/>
      <c r="U1231" s="9"/>
      <c r="V1231" s="9"/>
      <c r="W1231" s="9"/>
      <c r="X1231" s="9"/>
      <c r="Y1231" s="9"/>
      <c r="Z1231" s="9"/>
      <c r="AA1231" s="9"/>
      <c r="AB1231" s="9"/>
      <c r="AC1231" s="9"/>
      <c r="AD1231" s="9"/>
      <c r="AE1231" s="9"/>
      <c r="AF1231" s="9"/>
      <c r="AG1231" s="9"/>
      <c r="AH1231" s="9"/>
    </row>
    <row r="1232" ht="15.75" customHeight="1">
      <c r="A1232" s="9"/>
      <c r="B1232" s="197"/>
      <c r="D1232" s="198"/>
      <c r="E1232" s="8" t="s">
        <v>88</v>
      </c>
      <c r="F1232" s="8" t="s">
        <v>892</v>
      </c>
      <c r="G1232" s="42"/>
      <c r="L1232" s="9"/>
      <c r="M1232" s="9"/>
      <c r="N1232" s="9"/>
      <c r="O1232" s="9"/>
      <c r="P1232" s="9"/>
      <c r="Q1232" s="9"/>
      <c r="R1232" s="9"/>
      <c r="S1232" s="9"/>
      <c r="T1232" s="9"/>
      <c r="U1232" s="9"/>
      <c r="V1232" s="9"/>
      <c r="W1232" s="9"/>
      <c r="X1232" s="9"/>
      <c r="Y1232" s="9"/>
      <c r="Z1232" s="9"/>
      <c r="AA1232" s="9"/>
      <c r="AB1232" s="9"/>
      <c r="AC1232" s="9"/>
      <c r="AD1232" s="9"/>
      <c r="AE1232" s="9"/>
      <c r="AF1232" s="9"/>
      <c r="AG1232" s="9"/>
      <c r="AH1232" s="9"/>
    </row>
    <row r="1233" ht="15.75" customHeight="1">
      <c r="A1233" s="9"/>
      <c r="B1233" s="197"/>
      <c r="D1233" s="198"/>
      <c r="E1233" s="8" t="s">
        <v>88</v>
      </c>
      <c r="F1233" s="8" t="s">
        <v>96</v>
      </c>
      <c r="G1233" s="42" t="str">
        <f>HYPERLINK("https://docs.google.com/spreadsheets/d/118tZBCXZarqZ5bWEMV_qsYqjzngQaf71vXF2vJMKBuA/edit#gid=1249819832", "https://docs.google.com/spreadsheets/d/118tZBCXZarqZ5bWEMV_qsYqjzngQaf71vXF2vJMKBuA/edit#gid=1249819832")</f>
        <v>https://docs.google.com/spreadsheets/d/118tZBCXZarqZ5bWEMV_qsYqjzngQaf71vXF2vJMKBuA/edit#gid=1249819832</v>
      </c>
      <c r="H1233" s="35" t="s">
        <v>96</v>
      </c>
      <c r="L1233" s="9"/>
      <c r="M1233" s="9"/>
      <c r="N1233" s="9"/>
      <c r="O1233" s="9"/>
      <c r="P1233" s="9"/>
      <c r="Q1233" s="9"/>
      <c r="R1233" s="9"/>
      <c r="S1233" s="9"/>
      <c r="T1233" s="9"/>
      <c r="U1233" s="9"/>
      <c r="V1233" s="9"/>
      <c r="W1233" s="9"/>
      <c r="X1233" s="9"/>
      <c r="Y1233" s="9"/>
      <c r="Z1233" s="9"/>
      <c r="AA1233" s="9"/>
      <c r="AB1233" s="9"/>
      <c r="AC1233" s="9"/>
      <c r="AD1233" s="9"/>
      <c r="AE1233" s="9"/>
      <c r="AF1233" s="9"/>
      <c r="AG1233" s="9"/>
      <c r="AH1233" s="9"/>
    </row>
    <row r="1234" ht="15.75" customHeight="1">
      <c r="A1234" s="9"/>
      <c r="B1234" s="197"/>
      <c r="D1234" s="198"/>
      <c r="E1234" s="8" t="s">
        <v>88</v>
      </c>
      <c r="F1234" s="8" t="s">
        <v>125</v>
      </c>
      <c r="G1234" s="42" t="str">
        <f>HYPERLINK("https://docs.google.com/spreadsheets/d/118tZBCXZarqZ5bWEMV_qsYqjzngQaf71vXF2vJMKBuA/edit#gid=1951660893", "https://docs.google.com/spreadsheets/d/118tZBCXZarqZ5bWEMV_qsYqjzngQaf71vXF2vJMKBuA/edit#gid=1951660893")</f>
        <v>https://docs.google.com/spreadsheets/d/118tZBCXZarqZ5bWEMV_qsYqjzngQaf71vXF2vJMKBuA/edit#gid=1951660893</v>
      </c>
      <c r="H1234" s="35" t="s">
        <v>1919</v>
      </c>
      <c r="L1234" s="9"/>
      <c r="M1234" s="9"/>
      <c r="N1234" s="9"/>
      <c r="O1234" s="9"/>
      <c r="P1234" s="9"/>
      <c r="Q1234" s="9"/>
      <c r="R1234" s="9"/>
      <c r="S1234" s="9"/>
      <c r="T1234" s="9"/>
      <c r="U1234" s="9"/>
      <c r="V1234" s="9"/>
      <c r="W1234" s="9"/>
      <c r="X1234" s="9"/>
      <c r="Y1234" s="9"/>
      <c r="Z1234" s="9"/>
      <c r="AA1234" s="9"/>
      <c r="AB1234" s="9"/>
      <c r="AC1234" s="9"/>
      <c r="AD1234" s="9"/>
      <c r="AE1234" s="9"/>
      <c r="AF1234" s="9"/>
      <c r="AG1234" s="9"/>
      <c r="AH1234" s="9"/>
    </row>
    <row r="1235" ht="15.75" customHeight="1">
      <c r="A1235" s="9"/>
      <c r="B1235" s="197"/>
      <c r="D1235" s="198"/>
      <c r="E1235" s="8" t="s">
        <v>88</v>
      </c>
      <c r="F1235" s="8" t="s">
        <v>1062</v>
      </c>
      <c r="G1235" s="42"/>
      <c r="L1235" s="9"/>
      <c r="M1235" s="9"/>
      <c r="N1235" s="9"/>
      <c r="O1235" s="9"/>
      <c r="P1235" s="9"/>
      <c r="Q1235" s="9"/>
      <c r="R1235" s="9"/>
      <c r="S1235" s="9"/>
      <c r="T1235" s="9"/>
      <c r="U1235" s="9"/>
      <c r="V1235" s="9"/>
      <c r="W1235" s="9"/>
      <c r="X1235" s="9"/>
      <c r="Y1235" s="9"/>
      <c r="Z1235" s="9"/>
      <c r="AA1235" s="9"/>
      <c r="AB1235" s="9"/>
      <c r="AC1235" s="9"/>
      <c r="AD1235" s="9"/>
      <c r="AE1235" s="9"/>
      <c r="AF1235" s="9"/>
      <c r="AG1235" s="9"/>
      <c r="AH1235" s="9"/>
    </row>
    <row r="1236" ht="15.75" customHeight="1">
      <c r="A1236" s="9"/>
      <c r="B1236" s="197"/>
      <c r="D1236" s="198"/>
      <c r="E1236" s="8" t="s">
        <v>88</v>
      </c>
      <c r="F1236" s="8" t="s">
        <v>1058</v>
      </c>
      <c r="G1236" s="42" t="str">
        <f>HYPERLINK("https://docs.google.com/spreadsheets/d/118tZBCXZarqZ5bWEMV_qsYqjzngQaf71vXF2vJMKBuA/edit#gid=1658178760", "https://docs.google.com/spreadsheets/d/118tZBCXZarqZ5bWEMV_qsYqjzngQaf71vXF2vJMKBuA/edit#gid=1658178760")</f>
        <v>https://docs.google.com/spreadsheets/d/118tZBCXZarqZ5bWEMV_qsYqjzngQaf71vXF2vJMKBuA/edit#gid=1658178760</v>
      </c>
      <c r="H1236" s="35" t="s">
        <v>1058</v>
      </c>
      <c r="L1236" s="9"/>
      <c r="M1236" s="9"/>
      <c r="N1236" s="9"/>
      <c r="O1236" s="9"/>
      <c r="P1236" s="9"/>
      <c r="Q1236" s="9"/>
      <c r="R1236" s="9"/>
      <c r="S1236" s="9"/>
      <c r="T1236" s="9"/>
      <c r="U1236" s="9"/>
      <c r="V1236" s="9"/>
      <c r="W1236" s="9"/>
      <c r="X1236" s="9"/>
      <c r="Y1236" s="9"/>
      <c r="Z1236" s="9"/>
      <c r="AA1236" s="9"/>
      <c r="AB1236" s="9"/>
      <c r="AC1236" s="9"/>
      <c r="AD1236" s="9"/>
      <c r="AE1236" s="9"/>
      <c r="AF1236" s="9"/>
      <c r="AG1236" s="9"/>
      <c r="AH1236" s="9"/>
    </row>
    <row r="1237" ht="15.75" customHeight="1">
      <c r="A1237" s="9"/>
      <c r="B1237" s="197"/>
      <c r="D1237" s="198"/>
      <c r="E1237" s="8" t="s">
        <v>88</v>
      </c>
      <c r="F1237" s="8" t="s">
        <v>892</v>
      </c>
      <c r="G1237" s="42"/>
      <c r="L1237" s="9"/>
      <c r="M1237" s="9"/>
      <c r="N1237" s="9"/>
      <c r="O1237" s="9"/>
      <c r="P1237" s="9"/>
      <c r="Q1237" s="9"/>
      <c r="R1237" s="9"/>
      <c r="S1237" s="9"/>
      <c r="T1237" s="9"/>
      <c r="U1237" s="9"/>
      <c r="V1237" s="9"/>
      <c r="W1237" s="9"/>
      <c r="X1237" s="9"/>
      <c r="Y1237" s="9"/>
      <c r="Z1237" s="9"/>
      <c r="AA1237" s="9"/>
      <c r="AB1237" s="9"/>
      <c r="AC1237" s="9"/>
      <c r="AD1237" s="9"/>
      <c r="AE1237" s="9"/>
      <c r="AF1237" s="9"/>
      <c r="AG1237" s="9"/>
      <c r="AH1237" s="9"/>
    </row>
    <row r="1238" ht="15.75" customHeight="1">
      <c r="A1238" s="9"/>
      <c r="B1238" s="197"/>
      <c r="D1238" s="198"/>
      <c r="E1238" s="35" t="s">
        <v>88</v>
      </c>
      <c r="F1238" s="35" t="s">
        <v>96</v>
      </c>
      <c r="G1238" s="84" t="str">
        <f>HYPERLINK("https://docs.google.com/spreadsheets/d/118tZBCXZarqZ5bWEMV_qsYqjzngQaf71vXF2vJMKBuA/edit#gid=1359921508", "https://docs.google.com/spreadsheets/d/118tZBCXZarqZ5bWEMV_qsYqjzngQaf71vXF2vJMKBuA/edit#gid=1359921508")</f>
        <v>https://docs.google.com/spreadsheets/d/118tZBCXZarqZ5bWEMV_qsYqjzngQaf71vXF2vJMKBuA/edit#gid=1359921508</v>
      </c>
      <c r="H1238" s="35" t="s">
        <v>177</v>
      </c>
      <c r="U1238" s="9"/>
      <c r="V1238" s="9"/>
      <c r="W1238" s="9"/>
      <c r="X1238" s="9"/>
      <c r="Y1238" s="9"/>
      <c r="Z1238" s="9"/>
      <c r="AA1238" s="9"/>
      <c r="AB1238" s="9"/>
      <c r="AC1238" s="9"/>
      <c r="AD1238" s="9"/>
      <c r="AE1238" s="9"/>
      <c r="AF1238" s="9"/>
      <c r="AG1238" s="9"/>
      <c r="AH1238" s="9"/>
    </row>
    <row r="1239" ht="15.75" customHeight="1">
      <c r="A1239" s="9"/>
      <c r="B1239" s="197"/>
      <c r="C1239" s="198"/>
      <c r="D1239" s="198"/>
      <c r="E1239" s="9"/>
      <c r="F1239" s="9"/>
      <c r="G1239" s="42"/>
      <c r="L1239" s="9"/>
      <c r="M1239" s="9"/>
      <c r="N1239" s="9"/>
      <c r="O1239" s="9"/>
      <c r="P1239" s="9"/>
      <c r="Q1239" s="9"/>
      <c r="R1239" s="9"/>
      <c r="S1239" s="9"/>
      <c r="T1239" s="9"/>
      <c r="U1239" s="9"/>
      <c r="V1239" s="9"/>
      <c r="W1239" s="9"/>
      <c r="X1239" s="9"/>
      <c r="Y1239" s="9"/>
      <c r="Z1239" s="9"/>
      <c r="AA1239" s="9"/>
      <c r="AB1239" s="9"/>
      <c r="AC1239" s="9"/>
      <c r="AD1239" s="9"/>
      <c r="AE1239" s="9"/>
      <c r="AF1239" s="9"/>
      <c r="AG1239" s="9"/>
      <c r="AH1239" s="9"/>
    </row>
    <row r="1240" ht="15.75" customHeight="1">
      <c r="A1240" s="9"/>
      <c r="B1240" s="197"/>
      <c r="C1240" s="198"/>
      <c r="D1240" s="198"/>
      <c r="E1240" s="9"/>
      <c r="F1240" s="9"/>
      <c r="G1240" s="42"/>
      <c r="L1240" s="9"/>
      <c r="M1240" s="9"/>
      <c r="N1240" s="9"/>
      <c r="O1240" s="9"/>
      <c r="P1240" s="9"/>
      <c r="Q1240" s="9"/>
      <c r="R1240" s="9"/>
      <c r="S1240" s="9"/>
      <c r="T1240" s="9"/>
      <c r="U1240" s="9"/>
      <c r="V1240" s="9"/>
      <c r="W1240" s="9"/>
      <c r="X1240" s="9"/>
      <c r="Y1240" s="9"/>
      <c r="Z1240" s="9"/>
      <c r="AA1240" s="9"/>
      <c r="AB1240" s="9"/>
      <c r="AC1240" s="9"/>
      <c r="AD1240" s="9"/>
      <c r="AE1240" s="9"/>
      <c r="AF1240" s="9"/>
      <c r="AG1240" s="9"/>
      <c r="AH1240" s="9"/>
    </row>
    <row r="1241" ht="15.75" customHeight="1">
      <c r="A1241" s="9"/>
      <c r="B1241" s="197"/>
      <c r="C1241" s="198"/>
      <c r="D1241" s="198"/>
      <c r="E1241" s="9"/>
      <c r="F1241" s="9"/>
      <c r="G1241" s="42"/>
      <c r="L1241" s="9"/>
      <c r="M1241" s="9"/>
      <c r="N1241" s="9"/>
      <c r="O1241" s="9"/>
      <c r="P1241" s="9"/>
      <c r="Q1241" s="9"/>
      <c r="R1241" s="9"/>
      <c r="S1241" s="9"/>
      <c r="T1241" s="9"/>
      <c r="U1241" s="9"/>
      <c r="V1241" s="9"/>
      <c r="W1241" s="9"/>
      <c r="X1241" s="9"/>
      <c r="Y1241" s="9"/>
      <c r="Z1241" s="9"/>
      <c r="AA1241" s="9"/>
      <c r="AB1241" s="9"/>
      <c r="AC1241" s="9"/>
      <c r="AD1241" s="9"/>
      <c r="AE1241" s="9"/>
      <c r="AF1241" s="9"/>
      <c r="AG1241" s="9"/>
      <c r="AH1241" s="9"/>
    </row>
    <row r="1242" ht="15.75" customHeight="1">
      <c r="A1242" s="9"/>
      <c r="B1242" s="197"/>
      <c r="C1242" s="198"/>
      <c r="D1242" s="198"/>
      <c r="E1242" s="9"/>
      <c r="F1242" s="9"/>
      <c r="G1242" s="42"/>
      <c r="L1242" s="9"/>
      <c r="M1242" s="9"/>
      <c r="N1242" s="9"/>
      <c r="O1242" s="9"/>
      <c r="P1242" s="9"/>
      <c r="Q1242" s="9"/>
      <c r="R1242" s="9"/>
      <c r="S1242" s="9"/>
      <c r="T1242" s="9"/>
      <c r="U1242" s="9"/>
      <c r="V1242" s="9"/>
      <c r="W1242" s="9"/>
      <c r="X1242" s="9"/>
      <c r="Y1242" s="9"/>
      <c r="Z1242" s="9"/>
      <c r="AA1242" s="9"/>
      <c r="AB1242" s="9"/>
      <c r="AC1242" s="9"/>
      <c r="AD1242" s="9"/>
      <c r="AE1242" s="9"/>
      <c r="AF1242" s="9"/>
      <c r="AG1242" s="9"/>
      <c r="AH1242" s="9"/>
    </row>
    <row r="1243" ht="15.75" customHeight="1">
      <c r="A1243" s="9"/>
      <c r="B1243" s="197"/>
      <c r="C1243" s="198"/>
      <c r="D1243" s="198"/>
      <c r="E1243" s="9"/>
      <c r="F1243" s="9"/>
      <c r="G1243" s="42"/>
      <c r="L1243" s="9"/>
      <c r="M1243" s="9"/>
      <c r="N1243" s="9"/>
      <c r="O1243" s="9"/>
      <c r="P1243" s="9"/>
      <c r="Q1243" s="9"/>
      <c r="R1243" s="9"/>
      <c r="S1243" s="9"/>
      <c r="T1243" s="9"/>
      <c r="U1243" s="9"/>
      <c r="V1243" s="9"/>
      <c r="W1243" s="9"/>
      <c r="X1243" s="9"/>
      <c r="Y1243" s="9"/>
      <c r="Z1243" s="9"/>
      <c r="AA1243" s="9"/>
      <c r="AB1243" s="9"/>
      <c r="AC1243" s="9"/>
      <c r="AD1243" s="9"/>
      <c r="AE1243" s="9"/>
      <c r="AF1243" s="9"/>
      <c r="AG1243" s="9"/>
      <c r="AH1243" s="9"/>
    </row>
    <row r="1244" ht="15.75" customHeight="1">
      <c r="A1244" s="9"/>
      <c r="B1244" s="197"/>
      <c r="C1244" s="198"/>
      <c r="D1244" s="198"/>
      <c r="E1244" s="9"/>
      <c r="F1244" s="9"/>
      <c r="G1244" s="42"/>
      <c r="L1244" s="9"/>
      <c r="M1244" s="9"/>
      <c r="N1244" s="9"/>
      <c r="O1244" s="9"/>
      <c r="P1244" s="9"/>
      <c r="Q1244" s="9"/>
      <c r="R1244" s="9"/>
      <c r="S1244" s="9"/>
      <c r="T1244" s="9"/>
      <c r="U1244" s="9"/>
      <c r="V1244" s="9"/>
      <c r="W1244" s="9"/>
      <c r="X1244" s="9"/>
      <c r="Y1244" s="9"/>
      <c r="Z1244" s="9"/>
      <c r="AA1244" s="9"/>
      <c r="AB1244" s="9"/>
      <c r="AC1244" s="9"/>
      <c r="AD1244" s="9"/>
      <c r="AE1244" s="9"/>
      <c r="AF1244" s="9"/>
      <c r="AG1244" s="9"/>
      <c r="AH1244" s="9"/>
    </row>
    <row r="1245" ht="15.75" customHeight="1">
      <c r="A1245" s="9"/>
      <c r="B1245" s="197"/>
      <c r="C1245" s="198"/>
      <c r="D1245" s="198"/>
      <c r="E1245" s="9"/>
      <c r="F1245" s="9"/>
      <c r="G1245" s="42"/>
      <c r="L1245" s="9"/>
      <c r="M1245" s="9"/>
      <c r="N1245" s="9"/>
      <c r="O1245" s="9"/>
      <c r="P1245" s="9"/>
      <c r="Q1245" s="9"/>
      <c r="R1245" s="9"/>
      <c r="S1245" s="9"/>
      <c r="T1245" s="9"/>
      <c r="U1245" s="9"/>
      <c r="V1245" s="9"/>
      <c r="W1245" s="9"/>
      <c r="X1245" s="9"/>
      <c r="Y1245" s="9"/>
      <c r="Z1245" s="9"/>
      <c r="AA1245" s="9"/>
      <c r="AB1245" s="9"/>
      <c r="AC1245" s="9"/>
      <c r="AD1245" s="9"/>
      <c r="AE1245" s="9"/>
      <c r="AF1245" s="9"/>
      <c r="AG1245" s="9"/>
      <c r="AH1245" s="9"/>
    </row>
    <row r="1246" ht="15.75" customHeight="1">
      <c r="A1246" s="9"/>
      <c r="B1246" s="197"/>
      <c r="C1246" s="198"/>
      <c r="D1246" s="198"/>
      <c r="E1246" s="9"/>
      <c r="F1246" s="9"/>
      <c r="G1246" s="42"/>
      <c r="L1246" s="9"/>
      <c r="M1246" s="9"/>
      <c r="N1246" s="9"/>
      <c r="O1246" s="9"/>
      <c r="P1246" s="9"/>
      <c r="Q1246" s="9"/>
      <c r="R1246" s="9"/>
      <c r="S1246" s="9"/>
      <c r="T1246" s="9"/>
      <c r="U1246" s="9"/>
      <c r="V1246" s="9"/>
      <c r="W1246" s="9"/>
      <c r="X1246" s="9"/>
      <c r="Y1246" s="9"/>
      <c r="Z1246" s="9"/>
      <c r="AA1246" s="9"/>
      <c r="AB1246" s="9"/>
      <c r="AC1246" s="9"/>
      <c r="AD1246" s="9"/>
      <c r="AE1246" s="9"/>
      <c r="AF1246" s="9"/>
      <c r="AG1246" s="9"/>
      <c r="AH1246" s="9"/>
    </row>
    <row r="1247" ht="15.75" customHeight="1">
      <c r="A1247" s="9"/>
      <c r="B1247" s="197"/>
      <c r="C1247" s="198"/>
      <c r="D1247" s="198"/>
      <c r="E1247" s="9"/>
      <c r="F1247" s="9"/>
      <c r="G1247" s="42"/>
      <c r="L1247" s="9"/>
      <c r="M1247" s="9"/>
      <c r="N1247" s="9"/>
      <c r="O1247" s="9"/>
      <c r="P1247" s="9"/>
      <c r="Q1247" s="9"/>
      <c r="R1247" s="9"/>
      <c r="S1247" s="9"/>
      <c r="T1247" s="9"/>
      <c r="U1247" s="9"/>
      <c r="V1247" s="9"/>
      <c r="W1247" s="9"/>
      <c r="X1247" s="9"/>
      <c r="Y1247" s="9"/>
      <c r="Z1247" s="9"/>
      <c r="AA1247" s="9"/>
      <c r="AB1247" s="9"/>
      <c r="AC1247" s="9"/>
      <c r="AD1247" s="9"/>
      <c r="AE1247" s="9"/>
      <c r="AF1247" s="9"/>
      <c r="AG1247" s="9"/>
      <c r="AH1247" s="9"/>
    </row>
    <row r="1248" ht="15.75" customHeight="1">
      <c r="A1248" s="9"/>
      <c r="B1248" s="197"/>
      <c r="C1248" s="198"/>
      <c r="D1248" s="198"/>
      <c r="E1248" s="9"/>
      <c r="F1248" s="9"/>
      <c r="G1248" s="42"/>
      <c r="L1248" s="9"/>
      <c r="M1248" s="9"/>
      <c r="N1248" s="9"/>
      <c r="O1248" s="9"/>
      <c r="P1248" s="9"/>
      <c r="Q1248" s="9"/>
      <c r="R1248" s="9"/>
      <c r="S1248" s="9"/>
      <c r="T1248" s="9"/>
      <c r="U1248" s="9"/>
      <c r="V1248" s="9"/>
      <c r="W1248" s="9"/>
      <c r="X1248" s="9"/>
      <c r="Y1248" s="9"/>
      <c r="Z1248" s="9"/>
      <c r="AA1248" s="9"/>
      <c r="AB1248" s="9"/>
      <c r="AC1248" s="9"/>
      <c r="AD1248" s="9"/>
      <c r="AE1248" s="9"/>
      <c r="AF1248" s="9"/>
      <c r="AG1248" s="9"/>
      <c r="AH1248" s="9"/>
    </row>
    <row r="1249" ht="15.75" customHeight="1">
      <c r="A1249" s="9"/>
      <c r="B1249" s="197"/>
      <c r="C1249" s="198"/>
      <c r="D1249" s="198"/>
      <c r="E1249" s="9"/>
      <c r="F1249" s="9"/>
      <c r="G1249" s="42"/>
      <c r="L1249" s="9"/>
      <c r="M1249" s="9"/>
      <c r="N1249" s="9"/>
      <c r="O1249" s="9"/>
      <c r="P1249" s="9"/>
      <c r="Q1249" s="9"/>
      <c r="R1249" s="9"/>
      <c r="S1249" s="9"/>
      <c r="T1249" s="9"/>
      <c r="U1249" s="9"/>
      <c r="V1249" s="9"/>
      <c r="W1249" s="9"/>
      <c r="X1249" s="9"/>
      <c r="Y1249" s="9"/>
      <c r="Z1249" s="9"/>
      <c r="AA1249" s="9"/>
      <c r="AB1249" s="9"/>
      <c r="AC1249" s="9"/>
      <c r="AD1249" s="9"/>
      <c r="AE1249" s="9"/>
      <c r="AF1249" s="9"/>
      <c r="AG1249" s="9"/>
      <c r="AH1249" s="9"/>
    </row>
    <row r="1250" ht="15.75" customHeight="1">
      <c r="A1250" s="9"/>
      <c r="B1250" s="197"/>
      <c r="C1250" s="198"/>
      <c r="D1250" s="198"/>
      <c r="E1250" s="9"/>
      <c r="F1250" s="9"/>
      <c r="G1250" s="42"/>
      <c r="L1250" s="9"/>
      <c r="M1250" s="9"/>
      <c r="N1250" s="9"/>
      <c r="O1250" s="9"/>
      <c r="P1250" s="9"/>
      <c r="Q1250" s="9"/>
      <c r="R1250" s="9"/>
      <c r="S1250" s="9"/>
      <c r="T1250" s="9"/>
      <c r="U1250" s="9"/>
      <c r="V1250" s="9"/>
      <c r="W1250" s="9"/>
      <c r="X1250" s="9"/>
      <c r="Y1250" s="9"/>
      <c r="Z1250" s="9"/>
      <c r="AA1250" s="9"/>
      <c r="AB1250" s="9"/>
      <c r="AC1250" s="9"/>
      <c r="AD1250" s="9"/>
      <c r="AE1250" s="9"/>
      <c r="AF1250" s="9"/>
      <c r="AG1250" s="9"/>
      <c r="AH1250" s="9"/>
    </row>
    <row r="1251" ht="15.75" customHeight="1">
      <c r="A1251" s="9"/>
      <c r="B1251" s="197"/>
      <c r="C1251" s="198"/>
      <c r="D1251" s="198"/>
      <c r="E1251" s="9"/>
      <c r="F1251" s="9"/>
      <c r="G1251" s="42"/>
      <c r="L1251" s="9"/>
      <c r="M1251" s="9"/>
      <c r="N1251" s="9"/>
      <c r="O1251" s="9"/>
      <c r="P1251" s="9"/>
      <c r="Q1251" s="9"/>
      <c r="R1251" s="9"/>
      <c r="S1251" s="9"/>
      <c r="T1251" s="9"/>
      <c r="U1251" s="9"/>
      <c r="V1251" s="9"/>
      <c r="W1251" s="9"/>
      <c r="X1251" s="9"/>
      <c r="Y1251" s="9"/>
      <c r="Z1251" s="9"/>
      <c r="AA1251" s="9"/>
      <c r="AB1251" s="9"/>
      <c r="AC1251" s="9"/>
      <c r="AD1251" s="9"/>
      <c r="AE1251" s="9"/>
      <c r="AF1251" s="9"/>
      <c r="AG1251" s="9"/>
      <c r="AH1251" s="9"/>
    </row>
    <row r="1252" ht="15.75" customHeight="1">
      <c r="A1252" s="9"/>
      <c r="B1252" s="197"/>
      <c r="C1252" s="198"/>
      <c r="D1252" s="198"/>
      <c r="E1252" s="9"/>
      <c r="F1252" s="9"/>
      <c r="G1252" s="42"/>
      <c r="L1252" s="9"/>
      <c r="M1252" s="9"/>
      <c r="N1252" s="9"/>
      <c r="O1252" s="9"/>
      <c r="P1252" s="9"/>
      <c r="Q1252" s="9"/>
      <c r="R1252" s="9"/>
      <c r="S1252" s="9"/>
      <c r="T1252" s="9"/>
      <c r="U1252" s="9"/>
      <c r="V1252" s="9"/>
      <c r="W1252" s="9"/>
      <c r="X1252" s="9"/>
      <c r="Y1252" s="9"/>
      <c r="Z1252" s="9"/>
      <c r="AA1252" s="9"/>
      <c r="AB1252" s="9"/>
      <c r="AC1252" s="9"/>
      <c r="AD1252" s="9"/>
      <c r="AE1252" s="9"/>
      <c r="AF1252" s="9"/>
      <c r="AG1252" s="9"/>
      <c r="AH1252" s="9"/>
    </row>
    <row r="1253" ht="15.75" customHeight="1">
      <c r="A1253" s="9"/>
      <c r="B1253" s="197"/>
      <c r="C1253" s="198"/>
      <c r="D1253" s="198"/>
      <c r="E1253" s="9"/>
      <c r="F1253" s="9"/>
      <c r="G1253" s="42"/>
      <c r="L1253" s="9"/>
      <c r="M1253" s="9"/>
      <c r="N1253" s="9"/>
      <c r="O1253" s="9"/>
      <c r="P1253" s="9"/>
      <c r="Q1253" s="9"/>
      <c r="R1253" s="9"/>
      <c r="S1253" s="9"/>
      <c r="T1253" s="9"/>
      <c r="U1253" s="9"/>
      <c r="V1253" s="9"/>
      <c r="W1253" s="9"/>
      <c r="X1253" s="9"/>
      <c r="Y1253" s="9"/>
      <c r="Z1253" s="9"/>
      <c r="AA1253" s="9"/>
      <c r="AB1253" s="9"/>
      <c r="AC1253" s="9"/>
      <c r="AD1253" s="9"/>
      <c r="AE1253" s="9"/>
      <c r="AF1253" s="9"/>
      <c r="AG1253" s="9"/>
      <c r="AH1253" s="9"/>
    </row>
    <row r="1254" ht="15.75" customHeight="1">
      <c r="A1254" s="9"/>
      <c r="B1254" s="197"/>
      <c r="C1254" s="198"/>
      <c r="D1254" s="198"/>
      <c r="E1254" s="9"/>
      <c r="F1254" s="9"/>
      <c r="G1254" s="42"/>
      <c r="L1254" s="9"/>
      <c r="M1254" s="9"/>
      <c r="N1254" s="9"/>
      <c r="O1254" s="9"/>
      <c r="P1254" s="9"/>
      <c r="Q1254" s="9"/>
      <c r="R1254" s="9"/>
      <c r="S1254" s="9"/>
      <c r="T1254" s="9"/>
      <c r="U1254" s="9"/>
      <c r="V1254" s="9"/>
      <c r="W1254" s="9"/>
      <c r="X1254" s="9"/>
      <c r="Y1254" s="9"/>
      <c r="Z1254" s="9"/>
      <c r="AA1254" s="9"/>
      <c r="AB1254" s="9"/>
      <c r="AC1254" s="9"/>
      <c r="AD1254" s="9"/>
      <c r="AE1254" s="9"/>
      <c r="AF1254" s="9"/>
      <c r="AG1254" s="9"/>
      <c r="AH1254" s="9"/>
    </row>
    <row r="1255" ht="15.75" customHeight="1">
      <c r="A1255" s="9"/>
      <c r="B1255" s="197"/>
      <c r="C1255" s="198"/>
      <c r="D1255" s="198"/>
      <c r="E1255" s="9"/>
      <c r="F1255" s="9"/>
      <c r="G1255" s="42"/>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row>
    <row r="1256" ht="15.75" customHeight="1">
      <c r="A1256" s="9"/>
      <c r="B1256" s="197"/>
      <c r="C1256" s="198"/>
      <c r="D1256" s="198"/>
      <c r="E1256" s="9"/>
      <c r="F1256" s="9"/>
      <c r="G1256" s="42"/>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row>
    <row r="1257" ht="15.75" customHeight="1">
      <c r="A1257" s="9"/>
      <c r="B1257" s="197"/>
      <c r="C1257" s="198"/>
      <c r="D1257" s="198"/>
      <c r="E1257" s="9"/>
      <c r="F1257" s="9"/>
      <c r="G1257" s="42"/>
      <c r="L1257" s="9"/>
      <c r="M1257" s="9"/>
      <c r="N1257" s="9"/>
      <c r="O1257" s="9"/>
      <c r="P1257" s="9"/>
      <c r="Q1257" s="9"/>
      <c r="R1257" s="9"/>
      <c r="S1257" s="9"/>
      <c r="T1257" s="9"/>
      <c r="U1257" s="9"/>
      <c r="V1257" s="9"/>
      <c r="W1257" s="9"/>
      <c r="X1257" s="9"/>
      <c r="Y1257" s="9"/>
      <c r="Z1257" s="9"/>
      <c r="AA1257" s="9"/>
      <c r="AB1257" s="9"/>
      <c r="AC1257" s="9"/>
      <c r="AD1257" s="9"/>
      <c r="AE1257" s="9"/>
      <c r="AF1257" s="9"/>
      <c r="AG1257" s="9"/>
      <c r="AH1257" s="9"/>
    </row>
    <row r="1258" ht="15.75" customHeight="1">
      <c r="A1258" s="9"/>
      <c r="B1258" s="197"/>
      <c r="C1258" s="198"/>
      <c r="D1258" s="198"/>
      <c r="E1258" s="9"/>
      <c r="F1258" s="9"/>
      <c r="G1258" s="42"/>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row>
    <row r="1259" ht="15.75" customHeight="1">
      <c r="A1259" s="9"/>
      <c r="B1259" s="197"/>
      <c r="C1259" s="198"/>
      <c r="D1259" s="198"/>
      <c r="E1259" s="9"/>
      <c r="F1259" s="9"/>
      <c r="G1259" s="42"/>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row>
    <row r="1260" ht="15.75" customHeight="1">
      <c r="A1260" s="9"/>
      <c r="B1260" s="197"/>
      <c r="C1260" s="198"/>
      <c r="D1260" s="198"/>
      <c r="E1260" s="9"/>
      <c r="F1260" s="9"/>
      <c r="G1260" s="42"/>
      <c r="L1260" s="9"/>
      <c r="M1260" s="9"/>
      <c r="N1260" s="9"/>
      <c r="O1260" s="9"/>
      <c r="P1260" s="9"/>
      <c r="Q1260" s="9"/>
      <c r="R1260" s="9"/>
      <c r="S1260" s="9"/>
      <c r="T1260" s="9"/>
      <c r="U1260" s="9"/>
      <c r="V1260" s="9"/>
      <c r="W1260" s="9"/>
      <c r="X1260" s="9"/>
      <c r="Y1260" s="9"/>
      <c r="Z1260" s="9"/>
      <c r="AA1260" s="9"/>
      <c r="AB1260" s="9"/>
      <c r="AC1260" s="9"/>
      <c r="AD1260" s="9"/>
      <c r="AE1260" s="9"/>
      <c r="AF1260" s="9"/>
      <c r="AG1260" s="9"/>
      <c r="AH1260" s="9"/>
    </row>
    <row r="1261" ht="15.75" customHeight="1">
      <c r="A1261" s="9"/>
      <c r="B1261" s="197"/>
      <c r="C1261" s="198"/>
      <c r="D1261" s="198"/>
      <c r="E1261" s="9"/>
      <c r="F1261" s="9"/>
      <c r="G1261" s="42"/>
      <c r="L1261" s="9"/>
      <c r="M1261" s="9"/>
      <c r="N1261" s="9"/>
      <c r="O1261" s="9"/>
      <c r="P1261" s="9"/>
      <c r="Q1261" s="9"/>
      <c r="R1261" s="9"/>
      <c r="S1261" s="9"/>
      <c r="T1261" s="9"/>
      <c r="U1261" s="9"/>
      <c r="V1261" s="9"/>
      <c r="W1261" s="9"/>
      <c r="X1261" s="9"/>
      <c r="Y1261" s="9"/>
      <c r="Z1261" s="9"/>
      <c r="AA1261" s="9"/>
      <c r="AB1261" s="9"/>
      <c r="AC1261" s="9"/>
      <c r="AD1261" s="9"/>
      <c r="AE1261" s="9"/>
      <c r="AF1261" s="9"/>
      <c r="AG1261" s="9"/>
      <c r="AH1261" s="9"/>
    </row>
    <row r="1262" ht="15.75" customHeight="1">
      <c r="A1262" s="9"/>
      <c r="B1262" s="197"/>
      <c r="C1262" s="198"/>
      <c r="D1262" s="198"/>
      <c r="E1262" s="9"/>
      <c r="F1262" s="9"/>
      <c r="G1262" s="42"/>
      <c r="L1262" s="9"/>
      <c r="M1262" s="9"/>
      <c r="N1262" s="9"/>
      <c r="O1262" s="9"/>
      <c r="P1262" s="9"/>
      <c r="Q1262" s="9"/>
      <c r="R1262" s="9"/>
      <c r="S1262" s="9"/>
      <c r="T1262" s="9"/>
      <c r="U1262" s="9"/>
      <c r="V1262" s="9"/>
      <c r="W1262" s="9"/>
      <c r="X1262" s="9"/>
      <c r="Y1262" s="9"/>
      <c r="Z1262" s="9"/>
      <c r="AA1262" s="9"/>
      <c r="AB1262" s="9"/>
      <c r="AC1262" s="9"/>
      <c r="AD1262" s="9"/>
      <c r="AE1262" s="9"/>
      <c r="AF1262" s="9"/>
      <c r="AG1262" s="9"/>
      <c r="AH1262" s="9"/>
    </row>
    <row r="1263" ht="15.75" customHeight="1">
      <c r="A1263" s="9"/>
      <c r="B1263" s="197"/>
      <c r="C1263" s="198"/>
      <c r="D1263" s="198"/>
      <c r="E1263" s="9"/>
      <c r="F1263" s="9"/>
      <c r="G1263" s="42"/>
      <c r="L1263" s="9"/>
      <c r="M1263" s="9"/>
      <c r="N1263" s="9"/>
      <c r="O1263" s="9"/>
      <c r="P1263" s="9"/>
      <c r="Q1263" s="9"/>
      <c r="R1263" s="9"/>
      <c r="S1263" s="9"/>
      <c r="T1263" s="9"/>
      <c r="U1263" s="9"/>
      <c r="V1263" s="9"/>
      <c r="W1263" s="9"/>
      <c r="X1263" s="9"/>
      <c r="Y1263" s="9"/>
      <c r="Z1263" s="9"/>
      <c r="AA1263" s="9"/>
      <c r="AB1263" s="9"/>
      <c r="AC1263" s="9"/>
      <c r="AD1263" s="9"/>
      <c r="AE1263" s="9"/>
      <c r="AF1263" s="9"/>
      <c r="AG1263" s="9"/>
      <c r="AH1263" s="9"/>
    </row>
    <row r="1264" ht="15.75" customHeight="1">
      <c r="A1264" s="9"/>
      <c r="B1264" s="197"/>
      <c r="C1264" s="198"/>
      <c r="D1264" s="198"/>
      <c r="E1264" s="9"/>
      <c r="F1264" s="9"/>
      <c r="G1264" s="42"/>
      <c r="L1264" s="9"/>
      <c r="M1264" s="9"/>
      <c r="N1264" s="9"/>
      <c r="O1264" s="9"/>
      <c r="P1264" s="9"/>
      <c r="Q1264" s="9"/>
      <c r="R1264" s="9"/>
      <c r="S1264" s="9"/>
      <c r="T1264" s="9"/>
      <c r="U1264" s="9"/>
      <c r="V1264" s="9"/>
      <c r="W1264" s="9"/>
      <c r="X1264" s="9"/>
      <c r="Y1264" s="9"/>
      <c r="Z1264" s="9"/>
      <c r="AA1264" s="9"/>
      <c r="AB1264" s="9"/>
      <c r="AC1264" s="9"/>
      <c r="AD1264" s="9"/>
      <c r="AE1264" s="9"/>
      <c r="AF1264" s="9"/>
      <c r="AG1264" s="9"/>
      <c r="AH1264" s="9"/>
    </row>
    <row r="1265" ht="15.75" customHeight="1">
      <c r="A1265" s="9"/>
      <c r="B1265" s="197"/>
      <c r="C1265" s="198"/>
      <c r="D1265" s="198"/>
      <c r="E1265" s="9"/>
      <c r="F1265" s="9"/>
      <c r="G1265" s="42"/>
      <c r="L1265" s="9"/>
      <c r="M1265" s="9"/>
      <c r="N1265" s="9"/>
      <c r="O1265" s="9"/>
      <c r="P1265" s="9"/>
      <c r="Q1265" s="9"/>
      <c r="R1265" s="9"/>
      <c r="S1265" s="9"/>
      <c r="T1265" s="9"/>
      <c r="U1265" s="9"/>
      <c r="V1265" s="9"/>
      <c r="W1265" s="9"/>
      <c r="X1265" s="9"/>
      <c r="Y1265" s="9"/>
      <c r="Z1265" s="9"/>
      <c r="AA1265" s="9"/>
      <c r="AB1265" s="9"/>
      <c r="AC1265" s="9"/>
      <c r="AD1265" s="9"/>
      <c r="AE1265" s="9"/>
      <c r="AF1265" s="9"/>
      <c r="AG1265" s="9"/>
      <c r="AH1265" s="9"/>
    </row>
    <row r="1266" ht="15.75" customHeight="1">
      <c r="A1266" s="9"/>
      <c r="B1266" s="197"/>
      <c r="C1266" s="198"/>
      <c r="D1266" s="198"/>
      <c r="E1266" s="9"/>
      <c r="F1266" s="9"/>
      <c r="G1266" s="42"/>
      <c r="L1266" s="9"/>
      <c r="M1266" s="9"/>
      <c r="N1266" s="9"/>
      <c r="O1266" s="9"/>
      <c r="P1266" s="9"/>
      <c r="Q1266" s="9"/>
      <c r="R1266" s="9"/>
      <c r="S1266" s="9"/>
      <c r="T1266" s="9"/>
      <c r="U1266" s="9"/>
      <c r="V1266" s="9"/>
      <c r="W1266" s="9"/>
      <c r="X1266" s="9"/>
      <c r="Y1266" s="9"/>
      <c r="Z1266" s="9"/>
      <c r="AA1266" s="9"/>
      <c r="AB1266" s="9"/>
      <c r="AC1266" s="9"/>
      <c r="AD1266" s="9"/>
      <c r="AE1266" s="9"/>
      <c r="AF1266" s="9"/>
      <c r="AG1266" s="9"/>
      <c r="AH1266" s="9"/>
    </row>
    <row r="1267" ht="15.75" customHeight="1">
      <c r="A1267" s="9"/>
      <c r="B1267" s="197"/>
      <c r="C1267" s="198"/>
      <c r="D1267" s="198"/>
      <c r="E1267" s="9"/>
      <c r="F1267" s="9"/>
      <c r="G1267" s="42"/>
      <c r="L1267" s="9"/>
      <c r="M1267" s="9"/>
      <c r="N1267" s="9"/>
      <c r="O1267" s="9"/>
      <c r="P1267" s="9"/>
      <c r="Q1267" s="9"/>
      <c r="R1267" s="9"/>
      <c r="S1267" s="9"/>
      <c r="T1267" s="9"/>
      <c r="U1267" s="9"/>
      <c r="V1267" s="9"/>
      <c r="W1267" s="9"/>
      <c r="X1267" s="9"/>
      <c r="Y1267" s="9"/>
      <c r="Z1267" s="9"/>
      <c r="AA1267" s="9"/>
      <c r="AB1267" s="9"/>
      <c r="AC1267" s="9"/>
      <c r="AD1267" s="9"/>
      <c r="AE1267" s="9"/>
      <c r="AF1267" s="9"/>
      <c r="AG1267" s="9"/>
      <c r="AH1267" s="9"/>
    </row>
    <row r="1268" ht="15.75" customHeight="1">
      <c r="A1268" s="9"/>
      <c r="B1268" s="197"/>
      <c r="C1268" s="198"/>
      <c r="D1268" s="198"/>
      <c r="E1268" s="9"/>
      <c r="F1268" s="9"/>
      <c r="G1268" s="42"/>
      <c r="L1268" s="9"/>
      <c r="M1268" s="9"/>
      <c r="N1268" s="9"/>
      <c r="O1268" s="9"/>
      <c r="P1268" s="9"/>
      <c r="Q1268" s="9"/>
      <c r="R1268" s="9"/>
      <c r="S1268" s="9"/>
      <c r="T1268" s="9"/>
      <c r="U1268" s="9"/>
      <c r="V1268" s="9"/>
      <c r="W1268" s="9"/>
      <c r="X1268" s="9"/>
      <c r="Y1268" s="9"/>
      <c r="Z1268" s="9"/>
      <c r="AA1268" s="9"/>
      <c r="AB1268" s="9"/>
      <c r="AC1268" s="9"/>
      <c r="AD1268" s="9"/>
      <c r="AE1268" s="9"/>
      <c r="AF1268" s="9"/>
      <c r="AG1268" s="9"/>
      <c r="AH1268" s="9"/>
    </row>
    <row r="1269" ht="15.75" customHeight="1">
      <c r="A1269" s="9"/>
      <c r="B1269" s="197"/>
      <c r="C1269" s="198"/>
      <c r="D1269" s="198"/>
      <c r="E1269" s="9"/>
      <c r="F1269" s="9"/>
      <c r="G1269" s="42"/>
      <c r="L1269" s="9"/>
      <c r="M1269" s="9"/>
      <c r="N1269" s="9"/>
      <c r="O1269" s="9"/>
      <c r="P1269" s="9"/>
      <c r="Q1269" s="9"/>
      <c r="R1269" s="9"/>
      <c r="S1269" s="9"/>
      <c r="T1269" s="9"/>
      <c r="U1269" s="9"/>
      <c r="V1269" s="9"/>
      <c r="W1269" s="9"/>
      <c r="X1269" s="9"/>
      <c r="Y1269" s="9"/>
      <c r="Z1269" s="9"/>
      <c r="AA1269" s="9"/>
      <c r="AB1269" s="9"/>
      <c r="AC1269" s="9"/>
      <c r="AD1269" s="9"/>
      <c r="AE1269" s="9"/>
      <c r="AF1269" s="9"/>
      <c r="AG1269" s="9"/>
      <c r="AH1269" s="9"/>
    </row>
    <row r="1270" ht="15.75" customHeight="1">
      <c r="A1270" s="9"/>
      <c r="B1270" s="197"/>
      <c r="C1270" s="198"/>
      <c r="D1270" s="198"/>
      <c r="E1270" s="9"/>
      <c r="F1270" s="9"/>
      <c r="G1270" s="42"/>
      <c r="L1270" s="9"/>
      <c r="M1270" s="9"/>
      <c r="N1270" s="9"/>
      <c r="O1270" s="9"/>
      <c r="P1270" s="9"/>
      <c r="Q1270" s="9"/>
      <c r="R1270" s="9"/>
      <c r="S1270" s="9"/>
      <c r="T1270" s="9"/>
      <c r="U1270" s="9"/>
      <c r="V1270" s="9"/>
      <c r="W1270" s="9"/>
      <c r="X1270" s="9"/>
      <c r="Y1270" s="9"/>
      <c r="Z1270" s="9"/>
      <c r="AA1270" s="9"/>
      <c r="AB1270" s="9"/>
      <c r="AC1270" s="9"/>
      <c r="AD1270" s="9"/>
      <c r="AE1270" s="9"/>
      <c r="AF1270" s="9"/>
      <c r="AG1270" s="9"/>
      <c r="AH1270" s="9"/>
    </row>
    <row r="1271" ht="15.75" customHeight="1">
      <c r="A1271" s="9"/>
      <c r="B1271" s="197"/>
      <c r="C1271" s="198"/>
      <c r="D1271" s="198"/>
      <c r="E1271" s="9"/>
      <c r="F1271" s="9"/>
      <c r="G1271" s="42"/>
      <c r="L1271" s="9"/>
      <c r="M1271" s="9"/>
      <c r="N1271" s="9"/>
      <c r="O1271" s="9"/>
      <c r="P1271" s="9"/>
      <c r="Q1271" s="9"/>
      <c r="R1271" s="9"/>
      <c r="S1271" s="9"/>
      <c r="T1271" s="9"/>
      <c r="U1271" s="9"/>
      <c r="V1271" s="9"/>
      <c r="W1271" s="9"/>
      <c r="X1271" s="9"/>
      <c r="Y1271" s="9"/>
      <c r="Z1271" s="9"/>
      <c r="AA1271" s="9"/>
      <c r="AB1271" s="9"/>
      <c r="AC1271" s="9"/>
      <c r="AD1271" s="9"/>
      <c r="AE1271" s="9"/>
      <c r="AF1271" s="9"/>
      <c r="AG1271" s="9"/>
      <c r="AH1271" s="9"/>
    </row>
    <row r="1272" ht="15.75" customHeight="1">
      <c r="A1272" s="9"/>
      <c r="B1272" s="197"/>
      <c r="C1272" s="198"/>
      <c r="D1272" s="198"/>
      <c r="E1272" s="9"/>
      <c r="F1272" s="9"/>
      <c r="G1272" s="42"/>
      <c r="L1272" s="9"/>
      <c r="M1272" s="9"/>
      <c r="N1272" s="9"/>
      <c r="O1272" s="9"/>
      <c r="P1272" s="9"/>
      <c r="Q1272" s="9"/>
      <c r="R1272" s="9"/>
      <c r="S1272" s="9"/>
      <c r="T1272" s="9"/>
      <c r="U1272" s="9"/>
      <c r="V1272" s="9"/>
      <c r="W1272" s="9"/>
      <c r="X1272" s="9"/>
      <c r="Y1272" s="9"/>
      <c r="Z1272" s="9"/>
      <c r="AA1272" s="9"/>
      <c r="AB1272" s="9"/>
      <c r="AC1272" s="9"/>
      <c r="AD1272" s="9"/>
      <c r="AE1272" s="9"/>
      <c r="AF1272" s="9"/>
      <c r="AG1272" s="9"/>
      <c r="AH1272" s="9"/>
    </row>
    <row r="1273" ht="15.75" customHeight="1">
      <c r="A1273" s="9"/>
      <c r="B1273" s="197"/>
      <c r="C1273" s="198"/>
      <c r="D1273" s="198"/>
      <c r="E1273" s="9"/>
      <c r="F1273" s="9"/>
      <c r="G1273" s="42"/>
      <c r="L1273" s="9"/>
      <c r="M1273" s="9"/>
      <c r="N1273" s="9"/>
      <c r="O1273" s="9"/>
      <c r="P1273" s="9"/>
      <c r="Q1273" s="9"/>
      <c r="R1273" s="9"/>
      <c r="S1273" s="9"/>
      <c r="T1273" s="9"/>
      <c r="U1273" s="9"/>
      <c r="V1273" s="9"/>
      <c r="W1273" s="9"/>
      <c r="X1273" s="9"/>
      <c r="Y1273" s="9"/>
      <c r="Z1273" s="9"/>
      <c r="AA1273" s="9"/>
      <c r="AB1273" s="9"/>
      <c r="AC1273" s="9"/>
      <c r="AD1273" s="9"/>
      <c r="AE1273" s="9"/>
      <c r="AF1273" s="9"/>
      <c r="AG1273" s="9"/>
      <c r="AH1273" s="9"/>
    </row>
    <row r="1274" ht="15.75" customHeight="1">
      <c r="A1274" s="9"/>
      <c r="B1274" s="197"/>
      <c r="C1274" s="198"/>
      <c r="D1274" s="198"/>
      <c r="E1274" s="9"/>
      <c r="F1274" s="9"/>
      <c r="G1274" s="42"/>
      <c r="L1274" s="9"/>
      <c r="M1274" s="9"/>
      <c r="N1274" s="9"/>
      <c r="O1274" s="9"/>
      <c r="P1274" s="9"/>
      <c r="Q1274" s="9"/>
      <c r="R1274" s="9"/>
      <c r="S1274" s="9"/>
      <c r="T1274" s="9"/>
      <c r="U1274" s="9"/>
      <c r="V1274" s="9"/>
      <c r="W1274" s="9"/>
      <c r="X1274" s="9"/>
      <c r="Y1274" s="9"/>
      <c r="Z1274" s="9"/>
      <c r="AA1274" s="9"/>
      <c r="AB1274" s="9"/>
      <c r="AC1274" s="9"/>
      <c r="AD1274" s="9"/>
      <c r="AE1274" s="9"/>
      <c r="AF1274" s="9"/>
      <c r="AG1274" s="9"/>
      <c r="AH1274" s="9"/>
    </row>
    <row r="1275" ht="15.75" customHeight="1">
      <c r="A1275" s="9"/>
      <c r="B1275" s="197"/>
      <c r="C1275" s="198"/>
      <c r="D1275" s="198"/>
      <c r="E1275" s="9"/>
      <c r="F1275" s="9"/>
      <c r="G1275" s="42"/>
      <c r="L1275" s="9"/>
      <c r="M1275" s="9"/>
      <c r="N1275" s="9"/>
      <c r="O1275" s="9"/>
      <c r="P1275" s="9"/>
      <c r="Q1275" s="9"/>
      <c r="R1275" s="9"/>
      <c r="S1275" s="9"/>
      <c r="T1275" s="9"/>
      <c r="U1275" s="9"/>
      <c r="V1275" s="9"/>
      <c r="W1275" s="9"/>
      <c r="X1275" s="9"/>
      <c r="Y1275" s="9"/>
      <c r="Z1275" s="9"/>
      <c r="AA1275" s="9"/>
      <c r="AB1275" s="9"/>
      <c r="AC1275" s="9"/>
      <c r="AD1275" s="9"/>
      <c r="AE1275" s="9"/>
      <c r="AF1275" s="9"/>
      <c r="AG1275" s="9"/>
      <c r="AH1275" s="9"/>
    </row>
    <row r="1276" ht="15.75" customHeight="1">
      <c r="A1276" s="9"/>
      <c r="B1276" s="197"/>
      <c r="C1276" s="198"/>
      <c r="D1276" s="198"/>
      <c r="E1276" s="9"/>
      <c r="F1276" s="9"/>
      <c r="G1276" s="42"/>
      <c r="L1276" s="9"/>
      <c r="M1276" s="9"/>
      <c r="N1276" s="9"/>
      <c r="O1276" s="9"/>
      <c r="P1276" s="9"/>
      <c r="Q1276" s="9"/>
      <c r="R1276" s="9"/>
      <c r="S1276" s="9"/>
      <c r="T1276" s="9"/>
      <c r="U1276" s="9"/>
      <c r="V1276" s="9"/>
      <c r="W1276" s="9"/>
      <c r="X1276" s="9"/>
      <c r="Y1276" s="9"/>
      <c r="Z1276" s="9"/>
      <c r="AA1276" s="9"/>
      <c r="AB1276" s="9"/>
      <c r="AC1276" s="9"/>
      <c r="AD1276" s="9"/>
      <c r="AE1276" s="9"/>
      <c r="AF1276" s="9"/>
      <c r="AG1276" s="9"/>
      <c r="AH1276" s="9"/>
    </row>
    <row r="1277" ht="15.75" customHeight="1">
      <c r="A1277" s="9"/>
      <c r="B1277" s="197"/>
      <c r="C1277" s="198"/>
      <c r="D1277" s="198"/>
      <c r="E1277" s="9"/>
      <c r="F1277" s="9"/>
      <c r="G1277" s="42"/>
      <c r="L1277" s="9"/>
      <c r="M1277" s="9"/>
      <c r="N1277" s="9"/>
      <c r="O1277" s="9"/>
      <c r="P1277" s="9"/>
      <c r="Q1277" s="9"/>
      <c r="R1277" s="9"/>
      <c r="S1277" s="9"/>
      <c r="T1277" s="9"/>
      <c r="U1277" s="9"/>
      <c r="V1277" s="9"/>
      <c r="W1277" s="9"/>
      <c r="X1277" s="9"/>
      <c r="Y1277" s="9"/>
      <c r="Z1277" s="9"/>
      <c r="AA1277" s="9"/>
      <c r="AB1277" s="9"/>
      <c r="AC1277" s="9"/>
      <c r="AD1277" s="9"/>
      <c r="AE1277" s="9"/>
      <c r="AF1277" s="9"/>
      <c r="AG1277" s="9"/>
      <c r="AH1277" s="9"/>
    </row>
    <row r="1278" ht="15.75" customHeight="1">
      <c r="A1278" s="9"/>
      <c r="B1278" s="197"/>
      <c r="C1278" s="198"/>
      <c r="D1278" s="198"/>
      <c r="E1278" s="9"/>
      <c r="F1278" s="9"/>
      <c r="G1278" s="42"/>
      <c r="L1278" s="9"/>
      <c r="M1278" s="9"/>
      <c r="N1278" s="9"/>
      <c r="O1278" s="9"/>
      <c r="P1278" s="9"/>
      <c r="Q1278" s="9"/>
      <c r="R1278" s="9"/>
      <c r="S1278" s="9"/>
      <c r="T1278" s="9"/>
      <c r="U1278" s="9"/>
      <c r="V1278" s="9"/>
      <c r="W1278" s="9"/>
      <c r="X1278" s="9"/>
      <c r="Y1278" s="9"/>
      <c r="Z1278" s="9"/>
      <c r="AA1278" s="9"/>
      <c r="AB1278" s="9"/>
      <c r="AC1278" s="9"/>
      <c r="AD1278" s="9"/>
      <c r="AE1278" s="9"/>
      <c r="AF1278" s="9"/>
      <c r="AG1278" s="9"/>
      <c r="AH1278" s="9"/>
    </row>
    <row r="1279" ht="15.75" customHeight="1">
      <c r="A1279" s="9"/>
      <c r="B1279" s="197"/>
      <c r="C1279" s="198"/>
      <c r="D1279" s="198"/>
      <c r="E1279" s="9"/>
      <c r="F1279" s="9"/>
      <c r="G1279" s="42"/>
      <c r="L1279" s="9"/>
      <c r="M1279" s="9"/>
      <c r="N1279" s="9"/>
      <c r="O1279" s="9"/>
      <c r="P1279" s="9"/>
      <c r="Q1279" s="9"/>
      <c r="R1279" s="9"/>
      <c r="S1279" s="9"/>
      <c r="T1279" s="9"/>
      <c r="U1279" s="9"/>
      <c r="V1279" s="9"/>
      <c r="W1279" s="9"/>
      <c r="X1279" s="9"/>
      <c r="Y1279" s="9"/>
      <c r="Z1279" s="9"/>
      <c r="AA1279" s="9"/>
      <c r="AB1279" s="9"/>
      <c r="AC1279" s="9"/>
      <c r="AD1279" s="9"/>
      <c r="AE1279" s="9"/>
      <c r="AF1279" s="9"/>
      <c r="AG1279" s="9"/>
      <c r="AH1279" s="9"/>
    </row>
    <row r="1280" ht="15.75" customHeight="1">
      <c r="A1280" s="9"/>
      <c r="B1280" s="197"/>
      <c r="C1280" s="198"/>
      <c r="D1280" s="198"/>
      <c r="E1280" s="9"/>
      <c r="F1280" s="9"/>
      <c r="G1280" s="42"/>
      <c r="L1280" s="9"/>
      <c r="M1280" s="9"/>
      <c r="N1280" s="9"/>
      <c r="O1280" s="9"/>
      <c r="P1280" s="9"/>
      <c r="Q1280" s="9"/>
      <c r="R1280" s="9"/>
      <c r="S1280" s="9"/>
      <c r="T1280" s="9"/>
      <c r="U1280" s="9"/>
      <c r="V1280" s="9"/>
      <c r="W1280" s="9"/>
      <c r="X1280" s="9"/>
      <c r="Y1280" s="9"/>
      <c r="Z1280" s="9"/>
      <c r="AA1280" s="9"/>
      <c r="AB1280" s="9"/>
      <c r="AC1280" s="9"/>
      <c r="AD1280" s="9"/>
      <c r="AE1280" s="9"/>
      <c r="AF1280" s="9"/>
      <c r="AG1280" s="9"/>
      <c r="AH1280" s="9"/>
    </row>
    <row r="1281" ht="15.75" customHeight="1">
      <c r="A1281" s="9"/>
      <c r="B1281" s="197"/>
      <c r="C1281" s="198"/>
      <c r="D1281" s="198"/>
      <c r="E1281" s="9"/>
      <c r="F1281" s="9"/>
      <c r="G1281" s="42"/>
      <c r="L1281" s="9"/>
      <c r="M1281" s="9"/>
      <c r="N1281" s="9"/>
      <c r="O1281" s="9"/>
      <c r="P1281" s="9"/>
      <c r="Q1281" s="9"/>
      <c r="R1281" s="9"/>
      <c r="S1281" s="9"/>
      <c r="T1281" s="9"/>
      <c r="U1281" s="9"/>
      <c r="V1281" s="9"/>
      <c r="W1281" s="9"/>
      <c r="X1281" s="9"/>
      <c r="Y1281" s="9"/>
      <c r="Z1281" s="9"/>
      <c r="AA1281" s="9"/>
      <c r="AB1281" s="9"/>
      <c r="AC1281" s="9"/>
      <c r="AD1281" s="9"/>
      <c r="AE1281" s="9"/>
      <c r="AF1281" s="9"/>
      <c r="AG1281" s="9"/>
      <c r="AH1281" s="9"/>
    </row>
    <row r="1282" ht="15.75" customHeight="1">
      <c r="A1282" s="9"/>
      <c r="B1282" s="197"/>
      <c r="C1282" s="198"/>
      <c r="D1282" s="198"/>
      <c r="E1282" s="9"/>
      <c r="F1282" s="9"/>
      <c r="G1282" s="42"/>
      <c r="L1282" s="9"/>
      <c r="M1282" s="9"/>
      <c r="N1282" s="9"/>
      <c r="O1282" s="9"/>
      <c r="P1282" s="9"/>
      <c r="Q1282" s="9"/>
      <c r="R1282" s="9"/>
      <c r="S1282" s="9"/>
      <c r="T1282" s="9"/>
      <c r="U1282" s="9"/>
      <c r="V1282" s="9"/>
      <c r="W1282" s="9"/>
      <c r="X1282" s="9"/>
      <c r="Y1282" s="9"/>
      <c r="Z1282" s="9"/>
      <c r="AA1282" s="9"/>
      <c r="AB1282" s="9"/>
      <c r="AC1282" s="9"/>
      <c r="AD1282" s="9"/>
      <c r="AE1282" s="9"/>
      <c r="AF1282" s="9"/>
      <c r="AG1282" s="9"/>
      <c r="AH1282" s="9"/>
    </row>
    <row r="1283" ht="15.75" customHeight="1">
      <c r="A1283" s="9"/>
      <c r="B1283" s="197"/>
      <c r="C1283" s="198"/>
      <c r="D1283" s="198"/>
      <c r="E1283" s="9"/>
      <c r="F1283" s="9"/>
      <c r="G1283" s="42"/>
      <c r="L1283" s="9"/>
      <c r="M1283" s="9"/>
      <c r="N1283" s="9"/>
      <c r="O1283" s="9"/>
      <c r="P1283" s="9"/>
      <c r="Q1283" s="9"/>
      <c r="R1283" s="9"/>
      <c r="S1283" s="9"/>
      <c r="T1283" s="9"/>
      <c r="U1283" s="9"/>
      <c r="V1283" s="9"/>
      <c r="W1283" s="9"/>
      <c r="X1283" s="9"/>
      <c r="Y1283" s="9"/>
      <c r="Z1283" s="9"/>
      <c r="AA1283" s="9"/>
      <c r="AB1283" s="9"/>
      <c r="AC1283" s="9"/>
      <c r="AD1283" s="9"/>
      <c r="AE1283" s="9"/>
      <c r="AF1283" s="9"/>
      <c r="AG1283" s="9"/>
      <c r="AH1283" s="9"/>
    </row>
    <row r="1284" ht="15.75" customHeight="1">
      <c r="A1284" s="9"/>
      <c r="B1284" s="197"/>
      <c r="C1284" s="198"/>
      <c r="D1284" s="198"/>
      <c r="E1284" s="9"/>
      <c r="F1284" s="9"/>
      <c r="G1284" s="42"/>
      <c r="L1284" s="9"/>
      <c r="M1284" s="9"/>
      <c r="N1284" s="9"/>
      <c r="O1284" s="9"/>
      <c r="P1284" s="9"/>
      <c r="Q1284" s="9"/>
      <c r="R1284" s="9"/>
      <c r="S1284" s="9"/>
      <c r="T1284" s="9"/>
      <c r="U1284" s="9"/>
      <c r="V1284" s="9"/>
      <c r="W1284" s="9"/>
      <c r="X1284" s="9"/>
      <c r="Y1284" s="9"/>
      <c r="Z1284" s="9"/>
      <c r="AA1284" s="9"/>
      <c r="AB1284" s="9"/>
      <c r="AC1284" s="9"/>
      <c r="AD1284" s="9"/>
      <c r="AE1284" s="9"/>
      <c r="AF1284" s="9"/>
      <c r="AG1284" s="9"/>
      <c r="AH1284" s="9"/>
    </row>
    <row r="1285" ht="15.75" customHeight="1">
      <c r="A1285" s="9"/>
      <c r="B1285" s="197"/>
      <c r="C1285" s="198"/>
      <c r="D1285" s="198"/>
      <c r="E1285" s="9"/>
      <c r="F1285" s="9"/>
      <c r="G1285" s="42"/>
      <c r="L1285" s="9"/>
      <c r="M1285" s="9"/>
      <c r="N1285" s="9"/>
      <c r="O1285" s="9"/>
      <c r="P1285" s="9"/>
      <c r="Q1285" s="9"/>
      <c r="R1285" s="9"/>
      <c r="S1285" s="9"/>
      <c r="T1285" s="9"/>
      <c r="U1285" s="9"/>
      <c r="V1285" s="9"/>
      <c r="W1285" s="9"/>
      <c r="X1285" s="9"/>
      <c r="Y1285" s="9"/>
      <c r="Z1285" s="9"/>
      <c r="AA1285" s="9"/>
      <c r="AB1285" s="9"/>
      <c r="AC1285" s="9"/>
      <c r="AD1285" s="9"/>
      <c r="AE1285" s="9"/>
      <c r="AF1285" s="9"/>
      <c r="AG1285" s="9"/>
      <c r="AH1285" s="9"/>
    </row>
    <row r="1286" ht="15.75" customHeight="1">
      <c r="A1286" s="9"/>
      <c r="B1286" s="197"/>
      <c r="C1286" s="198"/>
      <c r="D1286" s="198"/>
      <c r="E1286" s="9"/>
      <c r="F1286" s="9"/>
      <c r="G1286" s="42"/>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row>
    <row r="1287" ht="15.75" customHeight="1">
      <c r="A1287" s="9"/>
      <c r="B1287" s="197"/>
      <c r="C1287" s="198"/>
      <c r="D1287" s="198"/>
      <c r="E1287" s="9"/>
      <c r="F1287" s="9"/>
      <c r="G1287" s="42"/>
      <c r="L1287" s="9"/>
      <c r="M1287" s="9"/>
      <c r="N1287" s="9"/>
      <c r="O1287" s="9"/>
      <c r="P1287" s="9"/>
      <c r="Q1287" s="9"/>
      <c r="R1287" s="9"/>
      <c r="S1287" s="9"/>
      <c r="T1287" s="9"/>
      <c r="U1287" s="9"/>
      <c r="V1287" s="9"/>
      <c r="W1287" s="9"/>
      <c r="X1287" s="9"/>
      <c r="Y1287" s="9"/>
      <c r="Z1287" s="9"/>
      <c r="AA1287" s="9"/>
      <c r="AB1287" s="9"/>
      <c r="AC1287" s="9"/>
      <c r="AD1287" s="9"/>
      <c r="AE1287" s="9"/>
      <c r="AF1287" s="9"/>
      <c r="AG1287" s="9"/>
      <c r="AH1287" s="9"/>
    </row>
    <row r="1288" ht="15.75" customHeight="1">
      <c r="A1288" s="9"/>
      <c r="B1288" s="197"/>
      <c r="C1288" s="198"/>
      <c r="D1288" s="198"/>
      <c r="E1288" s="9"/>
      <c r="F1288" s="9"/>
      <c r="G1288" s="42"/>
      <c r="L1288" s="9"/>
      <c r="M1288" s="9"/>
      <c r="N1288" s="9"/>
      <c r="O1288" s="9"/>
      <c r="P1288" s="9"/>
      <c r="Q1288" s="9"/>
      <c r="R1288" s="9"/>
      <c r="S1288" s="9"/>
      <c r="T1288" s="9"/>
      <c r="U1288" s="9"/>
      <c r="V1288" s="9"/>
      <c r="W1288" s="9"/>
      <c r="X1288" s="9"/>
      <c r="Y1288" s="9"/>
      <c r="Z1288" s="9"/>
      <c r="AA1288" s="9"/>
      <c r="AB1288" s="9"/>
      <c r="AC1288" s="9"/>
      <c r="AD1288" s="9"/>
      <c r="AE1288" s="9"/>
      <c r="AF1288" s="9"/>
      <c r="AG1288" s="9"/>
      <c r="AH1288" s="9"/>
    </row>
    <row r="1289" ht="15.75" customHeight="1">
      <c r="A1289" s="9"/>
      <c r="B1289" s="197"/>
      <c r="C1289" s="198"/>
      <c r="D1289" s="198"/>
      <c r="E1289" s="9"/>
      <c r="F1289" s="9"/>
      <c r="G1289" s="42"/>
      <c r="L1289" s="9"/>
      <c r="M1289" s="9"/>
      <c r="N1289" s="9"/>
      <c r="O1289" s="9"/>
      <c r="P1289" s="9"/>
      <c r="Q1289" s="9"/>
      <c r="R1289" s="9"/>
      <c r="S1289" s="9"/>
      <c r="T1289" s="9"/>
      <c r="U1289" s="9"/>
      <c r="V1289" s="9"/>
      <c r="W1289" s="9"/>
      <c r="X1289" s="9"/>
      <c r="Y1289" s="9"/>
      <c r="Z1289" s="9"/>
      <c r="AA1289" s="9"/>
      <c r="AB1289" s="9"/>
      <c r="AC1289" s="9"/>
      <c r="AD1289" s="9"/>
      <c r="AE1289" s="9"/>
      <c r="AF1289" s="9"/>
      <c r="AG1289" s="9"/>
      <c r="AH1289" s="9"/>
    </row>
    <row r="1290" ht="15.75" customHeight="1">
      <c r="A1290" s="9"/>
      <c r="B1290" s="197"/>
      <c r="C1290" s="198"/>
      <c r="D1290" s="198"/>
      <c r="E1290" s="9"/>
      <c r="F1290" s="9"/>
      <c r="G1290" s="42"/>
      <c r="L1290" s="9"/>
      <c r="M1290" s="9"/>
      <c r="N1290" s="9"/>
      <c r="O1290" s="9"/>
      <c r="P1290" s="9"/>
      <c r="Q1290" s="9"/>
      <c r="R1290" s="9"/>
      <c r="S1290" s="9"/>
      <c r="T1290" s="9"/>
      <c r="U1290" s="9"/>
      <c r="V1290" s="9"/>
      <c r="W1290" s="9"/>
      <c r="X1290" s="9"/>
      <c r="Y1290" s="9"/>
      <c r="Z1290" s="9"/>
      <c r="AA1290" s="9"/>
      <c r="AB1290" s="9"/>
      <c r="AC1290" s="9"/>
      <c r="AD1290" s="9"/>
      <c r="AE1290" s="9"/>
      <c r="AF1290" s="9"/>
      <c r="AG1290" s="9"/>
      <c r="AH1290" s="9"/>
    </row>
    <row r="1291" ht="15.75" customHeight="1">
      <c r="A1291" s="9"/>
      <c r="B1291" s="197"/>
      <c r="C1291" s="198"/>
      <c r="D1291" s="198"/>
      <c r="E1291" s="9"/>
      <c r="F1291" s="9"/>
      <c r="G1291" s="42"/>
      <c r="L1291" s="9"/>
      <c r="M1291" s="9"/>
      <c r="N1291" s="9"/>
      <c r="O1291" s="9"/>
      <c r="P1291" s="9"/>
      <c r="Q1291" s="9"/>
      <c r="R1291" s="9"/>
      <c r="S1291" s="9"/>
      <c r="T1291" s="9"/>
      <c r="U1291" s="9"/>
      <c r="V1291" s="9"/>
      <c r="W1291" s="9"/>
      <c r="X1291" s="9"/>
      <c r="Y1291" s="9"/>
      <c r="Z1291" s="9"/>
      <c r="AA1291" s="9"/>
      <c r="AB1291" s="9"/>
      <c r="AC1291" s="9"/>
      <c r="AD1291" s="9"/>
      <c r="AE1291" s="9"/>
      <c r="AF1291" s="9"/>
      <c r="AG1291" s="9"/>
      <c r="AH1291" s="9"/>
    </row>
    <row r="1292" ht="15.75" customHeight="1">
      <c r="A1292" s="9"/>
      <c r="B1292" s="197"/>
      <c r="C1292" s="198"/>
      <c r="D1292" s="198"/>
      <c r="E1292" s="9"/>
      <c r="F1292" s="9"/>
      <c r="G1292" s="42"/>
      <c r="L1292" s="9"/>
      <c r="M1292" s="9"/>
      <c r="N1292" s="9"/>
      <c r="O1292" s="9"/>
      <c r="P1292" s="9"/>
      <c r="Q1292" s="9"/>
      <c r="R1292" s="9"/>
      <c r="S1292" s="9"/>
      <c r="T1292" s="9"/>
      <c r="U1292" s="9"/>
      <c r="V1292" s="9"/>
      <c r="W1292" s="9"/>
      <c r="X1292" s="9"/>
      <c r="Y1292" s="9"/>
      <c r="Z1292" s="9"/>
      <c r="AA1292" s="9"/>
      <c r="AB1292" s="9"/>
      <c r="AC1292" s="9"/>
      <c r="AD1292" s="9"/>
      <c r="AE1292" s="9"/>
      <c r="AF1292" s="9"/>
      <c r="AG1292" s="9"/>
      <c r="AH1292" s="9"/>
    </row>
    <row r="1293" ht="15.75" customHeight="1">
      <c r="A1293" s="9"/>
      <c r="B1293" s="197"/>
      <c r="C1293" s="198"/>
      <c r="D1293" s="198"/>
      <c r="E1293" s="9"/>
      <c r="F1293" s="9"/>
      <c r="G1293" s="42"/>
      <c r="L1293" s="9"/>
      <c r="M1293" s="9"/>
      <c r="N1293" s="9"/>
      <c r="O1293" s="9"/>
      <c r="P1293" s="9"/>
      <c r="Q1293" s="9"/>
      <c r="R1293" s="9"/>
      <c r="S1293" s="9"/>
      <c r="T1293" s="9"/>
      <c r="U1293" s="9"/>
      <c r="V1293" s="9"/>
      <c r="W1293" s="9"/>
      <c r="X1293" s="9"/>
      <c r="Y1293" s="9"/>
      <c r="Z1293" s="9"/>
      <c r="AA1293" s="9"/>
      <c r="AB1293" s="9"/>
      <c r="AC1293" s="9"/>
      <c r="AD1293" s="9"/>
      <c r="AE1293" s="9"/>
      <c r="AF1293" s="9"/>
      <c r="AG1293" s="9"/>
      <c r="AH1293" s="9"/>
    </row>
    <row r="1294" ht="15.75" customHeight="1">
      <c r="A1294" s="9"/>
      <c r="B1294" s="197"/>
      <c r="C1294" s="198"/>
      <c r="D1294" s="198"/>
      <c r="E1294" s="9"/>
      <c r="F1294" s="9"/>
      <c r="G1294" s="42"/>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row>
    <row r="1295" ht="15.75" customHeight="1">
      <c r="A1295" s="9"/>
      <c r="B1295" s="197"/>
      <c r="C1295" s="198"/>
      <c r="D1295" s="198"/>
      <c r="E1295" s="9"/>
      <c r="F1295" s="9"/>
      <c r="G1295" s="42"/>
      <c r="L1295" s="9"/>
      <c r="M1295" s="9"/>
      <c r="N1295" s="9"/>
      <c r="O1295" s="9"/>
      <c r="P1295" s="9"/>
      <c r="Q1295" s="9"/>
      <c r="R1295" s="9"/>
      <c r="S1295" s="9"/>
      <c r="T1295" s="9"/>
      <c r="U1295" s="9"/>
      <c r="V1295" s="9"/>
      <c r="W1295" s="9"/>
      <c r="X1295" s="9"/>
      <c r="Y1295" s="9"/>
      <c r="Z1295" s="9"/>
      <c r="AA1295" s="9"/>
      <c r="AB1295" s="9"/>
      <c r="AC1295" s="9"/>
      <c r="AD1295" s="9"/>
      <c r="AE1295" s="9"/>
      <c r="AF1295" s="9"/>
      <c r="AG1295" s="9"/>
      <c r="AH1295" s="9"/>
    </row>
    <row r="1296" ht="15.75" customHeight="1">
      <c r="A1296" s="9"/>
      <c r="B1296" s="197"/>
      <c r="C1296" s="198"/>
      <c r="D1296" s="198"/>
      <c r="E1296" s="9"/>
      <c r="F1296" s="9"/>
      <c r="G1296" s="42"/>
      <c r="L1296" s="9"/>
      <c r="M1296" s="9"/>
      <c r="N1296" s="9"/>
      <c r="O1296" s="9"/>
      <c r="P1296" s="9"/>
      <c r="Q1296" s="9"/>
      <c r="R1296" s="9"/>
      <c r="S1296" s="9"/>
      <c r="T1296" s="9"/>
      <c r="U1296" s="9"/>
      <c r="V1296" s="9"/>
      <c r="W1296" s="9"/>
      <c r="X1296" s="9"/>
      <c r="Y1296" s="9"/>
      <c r="Z1296" s="9"/>
      <c r="AA1296" s="9"/>
      <c r="AB1296" s="9"/>
      <c r="AC1296" s="9"/>
      <c r="AD1296" s="9"/>
      <c r="AE1296" s="9"/>
      <c r="AF1296" s="9"/>
      <c r="AG1296" s="9"/>
      <c r="AH1296" s="9"/>
    </row>
    <row r="1297" ht="15.75" customHeight="1">
      <c r="A1297" s="9"/>
      <c r="B1297" s="197"/>
      <c r="C1297" s="198"/>
      <c r="D1297" s="198"/>
      <c r="E1297" s="9"/>
      <c r="F1297" s="9"/>
      <c r="G1297" s="42"/>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row>
    <row r="1298" ht="15.75" customHeight="1">
      <c r="A1298" s="9"/>
      <c r="B1298" s="197"/>
      <c r="C1298" s="198"/>
      <c r="D1298" s="198"/>
      <c r="E1298" s="9"/>
      <c r="F1298" s="9"/>
      <c r="G1298" s="42"/>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row>
    <row r="1299" ht="15.75" customHeight="1">
      <c r="A1299" s="9"/>
      <c r="B1299" s="197"/>
      <c r="C1299" s="198"/>
      <c r="D1299" s="198"/>
      <c r="E1299" s="9"/>
      <c r="F1299" s="9"/>
      <c r="G1299" s="42"/>
      <c r="L1299" s="9"/>
      <c r="M1299" s="9"/>
      <c r="N1299" s="9"/>
      <c r="O1299" s="9"/>
      <c r="P1299" s="9"/>
      <c r="Q1299" s="9"/>
      <c r="R1299" s="9"/>
      <c r="S1299" s="9"/>
      <c r="T1299" s="9"/>
      <c r="U1299" s="9"/>
      <c r="V1299" s="9"/>
      <c r="W1299" s="9"/>
      <c r="X1299" s="9"/>
      <c r="Y1299" s="9"/>
      <c r="Z1299" s="9"/>
      <c r="AA1299" s="9"/>
      <c r="AB1299" s="9"/>
      <c r="AC1299" s="9"/>
      <c r="AD1299" s="9"/>
      <c r="AE1299" s="9"/>
      <c r="AF1299" s="9"/>
      <c r="AG1299" s="9"/>
      <c r="AH1299" s="9"/>
    </row>
    <row r="1300" ht="15.75" customHeight="1">
      <c r="A1300" s="9"/>
      <c r="B1300" s="197"/>
      <c r="C1300" s="198"/>
      <c r="D1300" s="198"/>
      <c r="E1300" s="9"/>
      <c r="F1300" s="9"/>
      <c r="G1300" s="42"/>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row>
    <row r="1301" ht="15.75" customHeight="1">
      <c r="A1301" s="9"/>
      <c r="B1301" s="197"/>
      <c r="C1301" s="198"/>
      <c r="D1301" s="198"/>
      <c r="E1301" s="9"/>
      <c r="F1301" s="9"/>
      <c r="G1301" s="42"/>
      <c r="L1301" s="9"/>
      <c r="M1301" s="9"/>
      <c r="N1301" s="9"/>
      <c r="O1301" s="9"/>
      <c r="P1301" s="9"/>
      <c r="Q1301" s="9"/>
      <c r="R1301" s="9"/>
      <c r="S1301" s="9"/>
      <c r="T1301" s="9"/>
      <c r="U1301" s="9"/>
      <c r="V1301" s="9"/>
      <c r="W1301" s="9"/>
      <c r="X1301" s="9"/>
      <c r="Y1301" s="9"/>
      <c r="Z1301" s="9"/>
      <c r="AA1301" s="9"/>
      <c r="AB1301" s="9"/>
      <c r="AC1301" s="9"/>
      <c r="AD1301" s="9"/>
      <c r="AE1301" s="9"/>
      <c r="AF1301" s="9"/>
      <c r="AG1301" s="9"/>
      <c r="AH1301" s="9"/>
    </row>
    <row r="1302" ht="15.75" customHeight="1">
      <c r="A1302" s="9"/>
      <c r="B1302" s="197"/>
      <c r="C1302" s="198"/>
      <c r="D1302" s="198"/>
      <c r="E1302" s="9"/>
      <c r="F1302" s="9"/>
      <c r="G1302" s="42"/>
      <c r="L1302" s="9"/>
      <c r="M1302" s="9"/>
      <c r="N1302" s="9"/>
      <c r="O1302" s="9"/>
      <c r="P1302" s="9"/>
      <c r="Q1302" s="9"/>
      <c r="R1302" s="9"/>
      <c r="S1302" s="9"/>
      <c r="T1302" s="9"/>
      <c r="U1302" s="9"/>
      <c r="V1302" s="9"/>
      <c r="W1302" s="9"/>
      <c r="X1302" s="9"/>
      <c r="Y1302" s="9"/>
      <c r="Z1302" s="9"/>
      <c r="AA1302" s="9"/>
      <c r="AB1302" s="9"/>
      <c r="AC1302" s="9"/>
      <c r="AD1302" s="9"/>
      <c r="AE1302" s="9"/>
      <c r="AF1302" s="9"/>
      <c r="AG1302" s="9"/>
      <c r="AH1302" s="9"/>
    </row>
    <row r="1303" ht="15.75" customHeight="1">
      <c r="A1303" s="9"/>
      <c r="B1303" s="197"/>
      <c r="C1303" s="198"/>
      <c r="D1303" s="198"/>
      <c r="E1303" s="9"/>
      <c r="F1303" s="9"/>
      <c r="G1303" s="42"/>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row>
    <row r="1304" ht="15.75" customHeight="1">
      <c r="A1304" s="9"/>
      <c r="B1304" s="197"/>
      <c r="C1304" s="198"/>
      <c r="D1304" s="198"/>
      <c r="E1304" s="9"/>
      <c r="F1304" s="9"/>
      <c r="G1304" s="42"/>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row>
    <row r="1305" ht="15.75" customHeight="1">
      <c r="A1305" s="9"/>
      <c r="B1305" s="197"/>
      <c r="C1305" s="198"/>
      <c r="D1305" s="198"/>
      <c r="E1305" s="9"/>
      <c r="F1305" s="9"/>
      <c r="G1305" s="42"/>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row>
    <row r="1306" ht="15.75" customHeight="1">
      <c r="A1306" s="9"/>
      <c r="B1306" s="197"/>
      <c r="C1306" s="198"/>
      <c r="D1306" s="198"/>
      <c r="E1306" s="9"/>
      <c r="F1306" s="9"/>
      <c r="G1306" s="42"/>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row>
    <row r="1307" ht="15.75" customHeight="1">
      <c r="A1307" s="9"/>
      <c r="B1307" s="197"/>
      <c r="C1307" s="198"/>
      <c r="D1307" s="198"/>
      <c r="E1307" s="9"/>
      <c r="F1307" s="9"/>
      <c r="G1307" s="42"/>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row>
    <row r="1308" ht="15.75" customHeight="1">
      <c r="A1308" s="9"/>
      <c r="B1308" s="197"/>
      <c r="C1308" s="198"/>
      <c r="D1308" s="198"/>
      <c r="E1308" s="9"/>
      <c r="F1308" s="9"/>
      <c r="G1308" s="42"/>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row>
    <row r="1309" ht="15.75" customHeight="1">
      <c r="A1309" s="9"/>
      <c r="B1309" s="197"/>
      <c r="C1309" s="198"/>
      <c r="D1309" s="198"/>
      <c r="E1309" s="9"/>
      <c r="F1309" s="9"/>
      <c r="G1309" s="42"/>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row>
    <row r="1310" ht="15.75" customHeight="1">
      <c r="A1310" s="9"/>
      <c r="B1310" s="197"/>
      <c r="C1310" s="198"/>
      <c r="D1310" s="198"/>
      <c r="E1310" s="9"/>
      <c r="F1310" s="9"/>
      <c r="G1310" s="42"/>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row>
    <row r="1311" ht="15.75" customHeight="1">
      <c r="A1311" s="9"/>
      <c r="B1311" s="197"/>
      <c r="C1311" s="198"/>
      <c r="D1311" s="198"/>
      <c r="E1311" s="9"/>
      <c r="F1311" s="9"/>
      <c r="G1311" s="42"/>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row>
    <row r="1312" ht="15.75" customHeight="1">
      <c r="A1312" s="9"/>
      <c r="B1312" s="197"/>
      <c r="C1312" s="198"/>
      <c r="D1312" s="198"/>
      <c r="E1312" s="9"/>
      <c r="F1312" s="9"/>
      <c r="G1312" s="42"/>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row>
    <row r="1313" ht="15.75" customHeight="1">
      <c r="A1313" s="9"/>
      <c r="B1313" s="197"/>
      <c r="C1313" s="198"/>
      <c r="D1313" s="198"/>
      <c r="E1313" s="9"/>
      <c r="F1313" s="9"/>
      <c r="G1313" s="42"/>
      <c r="L1313" s="9"/>
      <c r="M1313" s="9"/>
      <c r="N1313" s="9"/>
      <c r="O1313" s="9"/>
      <c r="P1313" s="9"/>
      <c r="Q1313" s="9"/>
      <c r="R1313" s="9"/>
      <c r="S1313" s="9"/>
      <c r="T1313" s="9"/>
      <c r="U1313" s="9"/>
      <c r="V1313" s="9"/>
      <c r="W1313" s="9"/>
      <c r="X1313" s="9"/>
      <c r="Y1313" s="9"/>
      <c r="Z1313" s="9"/>
      <c r="AA1313" s="9"/>
      <c r="AB1313" s="9"/>
      <c r="AC1313" s="9"/>
      <c r="AD1313" s="9"/>
      <c r="AE1313" s="9"/>
      <c r="AF1313" s="9"/>
      <c r="AG1313" s="9"/>
      <c r="AH1313" s="9"/>
    </row>
    <row r="1314" ht="15.75" customHeight="1">
      <c r="A1314" s="9"/>
      <c r="B1314" s="197"/>
      <c r="C1314" s="198"/>
      <c r="D1314" s="198"/>
      <c r="E1314" s="9"/>
      <c r="F1314" s="9"/>
      <c r="G1314" s="42"/>
      <c r="L1314" s="9"/>
      <c r="M1314" s="9"/>
      <c r="N1314" s="9"/>
      <c r="O1314" s="9"/>
      <c r="P1314" s="9"/>
      <c r="Q1314" s="9"/>
      <c r="R1314" s="9"/>
      <c r="S1314" s="9"/>
      <c r="T1314" s="9"/>
      <c r="U1314" s="9"/>
      <c r="V1314" s="9"/>
      <c r="W1314" s="9"/>
      <c r="X1314" s="9"/>
      <c r="Y1314" s="9"/>
      <c r="Z1314" s="9"/>
      <c r="AA1314" s="9"/>
      <c r="AB1314" s="9"/>
      <c r="AC1314" s="9"/>
      <c r="AD1314" s="9"/>
      <c r="AE1314" s="9"/>
      <c r="AF1314" s="9"/>
      <c r="AG1314" s="9"/>
      <c r="AH1314" s="9"/>
    </row>
    <row r="1315" ht="15.75" customHeight="1">
      <c r="A1315" s="9"/>
      <c r="B1315" s="197"/>
      <c r="C1315" s="198"/>
      <c r="D1315" s="198"/>
      <c r="E1315" s="9"/>
      <c r="F1315" s="9"/>
      <c r="G1315" s="42"/>
      <c r="L1315" s="9"/>
      <c r="M1315" s="9"/>
      <c r="N1315" s="9"/>
      <c r="O1315" s="9"/>
      <c r="P1315" s="9"/>
      <c r="Q1315" s="9"/>
      <c r="R1315" s="9"/>
      <c r="S1315" s="9"/>
      <c r="T1315" s="9"/>
      <c r="U1315" s="9"/>
      <c r="V1315" s="9"/>
      <c r="W1315" s="9"/>
      <c r="X1315" s="9"/>
      <c r="Y1315" s="9"/>
      <c r="Z1315" s="9"/>
      <c r="AA1315" s="9"/>
      <c r="AB1315" s="9"/>
      <c r="AC1315" s="9"/>
      <c r="AD1315" s="9"/>
      <c r="AE1315" s="9"/>
      <c r="AF1315" s="9"/>
      <c r="AG1315" s="9"/>
      <c r="AH1315" s="9"/>
    </row>
    <row r="1316" ht="15.75" customHeight="1">
      <c r="A1316" s="9"/>
      <c r="B1316" s="197"/>
      <c r="C1316" s="198"/>
      <c r="D1316" s="198"/>
      <c r="E1316" s="9"/>
      <c r="F1316" s="9"/>
      <c r="G1316" s="42"/>
      <c r="L1316" s="9"/>
      <c r="M1316" s="9"/>
      <c r="N1316" s="9"/>
      <c r="O1316" s="9"/>
      <c r="P1316" s="9"/>
      <c r="Q1316" s="9"/>
      <c r="R1316" s="9"/>
      <c r="S1316" s="9"/>
      <c r="T1316" s="9"/>
      <c r="U1316" s="9"/>
      <c r="V1316" s="9"/>
      <c r="W1316" s="9"/>
      <c r="X1316" s="9"/>
      <c r="Y1316" s="9"/>
      <c r="Z1316" s="9"/>
      <c r="AA1316" s="9"/>
      <c r="AB1316" s="9"/>
      <c r="AC1316" s="9"/>
      <c r="AD1316" s="9"/>
      <c r="AE1316" s="9"/>
      <c r="AF1316" s="9"/>
      <c r="AG1316" s="9"/>
      <c r="AH1316" s="9"/>
    </row>
    <row r="1317" ht="15.75" customHeight="1">
      <c r="A1317" s="9"/>
      <c r="B1317" s="197"/>
      <c r="C1317" s="198"/>
      <c r="D1317" s="198"/>
      <c r="E1317" s="9"/>
      <c r="F1317" s="9"/>
      <c r="G1317" s="42"/>
      <c r="L1317" s="9"/>
      <c r="M1317" s="9"/>
      <c r="N1317" s="9"/>
      <c r="O1317" s="9"/>
      <c r="P1317" s="9"/>
      <c r="Q1317" s="9"/>
      <c r="R1317" s="9"/>
      <c r="S1317" s="9"/>
      <c r="T1317" s="9"/>
      <c r="U1317" s="9"/>
      <c r="V1317" s="9"/>
      <c r="W1317" s="9"/>
      <c r="X1317" s="9"/>
      <c r="Y1317" s="9"/>
      <c r="Z1317" s="9"/>
      <c r="AA1317" s="9"/>
      <c r="AB1317" s="9"/>
      <c r="AC1317" s="9"/>
      <c r="AD1317" s="9"/>
      <c r="AE1317" s="9"/>
      <c r="AF1317" s="9"/>
      <c r="AG1317" s="9"/>
      <c r="AH1317" s="9"/>
    </row>
    <row r="1318" ht="15.75" customHeight="1">
      <c r="A1318" s="9"/>
      <c r="B1318" s="197"/>
      <c r="C1318" s="198"/>
      <c r="D1318" s="198"/>
      <c r="E1318" s="9"/>
      <c r="F1318" s="9"/>
      <c r="G1318" s="42"/>
      <c r="L1318" s="9"/>
      <c r="M1318" s="9"/>
      <c r="N1318" s="9"/>
      <c r="O1318" s="9"/>
      <c r="P1318" s="9"/>
      <c r="Q1318" s="9"/>
      <c r="R1318" s="9"/>
      <c r="S1318" s="9"/>
      <c r="T1318" s="9"/>
      <c r="U1318" s="9"/>
      <c r="V1318" s="9"/>
      <c r="W1318" s="9"/>
      <c r="X1318" s="9"/>
      <c r="Y1318" s="9"/>
      <c r="Z1318" s="9"/>
      <c r="AA1318" s="9"/>
      <c r="AB1318" s="9"/>
      <c r="AC1318" s="9"/>
      <c r="AD1318" s="9"/>
      <c r="AE1318" s="9"/>
      <c r="AF1318" s="9"/>
      <c r="AG1318" s="9"/>
      <c r="AH1318" s="9"/>
    </row>
    <row r="1319" ht="15.75" customHeight="1">
      <c r="A1319" s="9"/>
      <c r="B1319" s="197"/>
      <c r="C1319" s="198"/>
      <c r="D1319" s="198"/>
      <c r="E1319" s="9"/>
      <c r="F1319" s="9"/>
      <c r="G1319" s="42"/>
      <c r="L1319" s="9"/>
      <c r="M1319" s="9"/>
      <c r="N1319" s="9"/>
      <c r="O1319" s="9"/>
      <c r="P1319" s="9"/>
      <c r="Q1319" s="9"/>
      <c r="R1319" s="9"/>
      <c r="S1319" s="9"/>
      <c r="T1319" s="9"/>
      <c r="U1319" s="9"/>
      <c r="V1319" s="9"/>
      <c r="W1319" s="9"/>
      <c r="X1319" s="9"/>
      <c r="Y1319" s="9"/>
      <c r="Z1319" s="9"/>
      <c r="AA1319" s="9"/>
      <c r="AB1319" s="9"/>
      <c r="AC1319" s="9"/>
      <c r="AD1319" s="9"/>
      <c r="AE1319" s="9"/>
      <c r="AF1319" s="9"/>
      <c r="AG1319" s="9"/>
      <c r="AH1319" s="9"/>
    </row>
    <row r="1320" ht="15.75" customHeight="1">
      <c r="A1320" s="9"/>
      <c r="B1320" s="197"/>
      <c r="C1320" s="198"/>
      <c r="D1320" s="198"/>
      <c r="E1320" s="9"/>
      <c r="F1320" s="9"/>
      <c r="G1320" s="42"/>
      <c r="L1320" s="9"/>
      <c r="M1320" s="9"/>
      <c r="N1320" s="9"/>
      <c r="O1320" s="9"/>
      <c r="P1320" s="9"/>
      <c r="Q1320" s="9"/>
      <c r="R1320" s="9"/>
      <c r="S1320" s="9"/>
      <c r="T1320" s="9"/>
      <c r="U1320" s="9"/>
      <c r="V1320" s="9"/>
      <c r="W1320" s="9"/>
      <c r="X1320" s="9"/>
      <c r="Y1320" s="9"/>
      <c r="Z1320" s="9"/>
      <c r="AA1320" s="9"/>
      <c r="AB1320" s="9"/>
      <c r="AC1320" s="9"/>
      <c r="AD1320" s="9"/>
      <c r="AE1320" s="9"/>
      <c r="AF1320" s="9"/>
      <c r="AG1320" s="9"/>
      <c r="AH1320" s="9"/>
    </row>
    <row r="1321" ht="15.75" customHeight="1">
      <c r="A1321" s="9"/>
      <c r="B1321" s="197"/>
      <c r="C1321" s="198"/>
      <c r="D1321" s="198"/>
      <c r="E1321" s="9"/>
      <c r="F1321" s="9"/>
      <c r="G1321" s="42"/>
      <c r="L1321" s="9"/>
      <c r="M1321" s="9"/>
      <c r="N1321" s="9"/>
      <c r="O1321" s="9"/>
      <c r="P1321" s="9"/>
      <c r="Q1321" s="9"/>
      <c r="R1321" s="9"/>
      <c r="S1321" s="9"/>
      <c r="T1321" s="9"/>
      <c r="U1321" s="9"/>
      <c r="V1321" s="9"/>
      <c r="W1321" s="9"/>
      <c r="X1321" s="9"/>
      <c r="Y1321" s="9"/>
      <c r="Z1321" s="9"/>
      <c r="AA1321" s="9"/>
      <c r="AB1321" s="9"/>
      <c r="AC1321" s="9"/>
      <c r="AD1321" s="9"/>
      <c r="AE1321" s="9"/>
      <c r="AF1321" s="9"/>
      <c r="AG1321" s="9"/>
      <c r="AH1321" s="9"/>
    </row>
    <row r="1322" ht="15.75" customHeight="1">
      <c r="A1322" s="9"/>
      <c r="B1322" s="197"/>
      <c r="C1322" s="198"/>
      <c r="D1322" s="198"/>
      <c r="E1322" s="9"/>
      <c r="F1322" s="9"/>
      <c r="G1322" s="42"/>
      <c r="L1322" s="9"/>
      <c r="M1322" s="9"/>
      <c r="N1322" s="9"/>
      <c r="O1322" s="9"/>
      <c r="P1322" s="9"/>
      <c r="Q1322" s="9"/>
      <c r="R1322" s="9"/>
      <c r="S1322" s="9"/>
      <c r="T1322" s="9"/>
      <c r="U1322" s="9"/>
      <c r="V1322" s="9"/>
      <c r="W1322" s="9"/>
      <c r="X1322" s="9"/>
      <c r="Y1322" s="9"/>
      <c r="Z1322" s="9"/>
      <c r="AA1322" s="9"/>
      <c r="AB1322" s="9"/>
      <c r="AC1322" s="9"/>
      <c r="AD1322" s="9"/>
      <c r="AE1322" s="9"/>
      <c r="AF1322" s="9"/>
      <c r="AG1322" s="9"/>
      <c r="AH1322" s="9"/>
    </row>
    <row r="1323" ht="15.75" customHeight="1">
      <c r="A1323" s="9"/>
      <c r="B1323" s="197"/>
      <c r="C1323" s="198"/>
      <c r="D1323" s="198"/>
      <c r="E1323" s="9"/>
      <c r="F1323" s="9"/>
      <c r="G1323" s="42"/>
      <c r="L1323" s="9"/>
      <c r="M1323" s="9"/>
      <c r="N1323" s="9"/>
      <c r="O1323" s="9"/>
      <c r="P1323" s="9"/>
      <c r="Q1323" s="9"/>
      <c r="R1323" s="9"/>
      <c r="S1323" s="9"/>
      <c r="T1323" s="9"/>
      <c r="U1323" s="9"/>
      <c r="V1323" s="9"/>
      <c r="W1323" s="9"/>
      <c r="X1323" s="9"/>
      <c r="Y1323" s="9"/>
      <c r="Z1323" s="9"/>
      <c r="AA1323" s="9"/>
      <c r="AB1323" s="9"/>
      <c r="AC1323" s="9"/>
      <c r="AD1323" s="9"/>
      <c r="AE1323" s="9"/>
      <c r="AF1323" s="9"/>
      <c r="AG1323" s="9"/>
      <c r="AH1323" s="9"/>
    </row>
    <row r="1324" ht="15.75" customHeight="1">
      <c r="A1324" s="9"/>
      <c r="B1324" s="197"/>
      <c r="C1324" s="198"/>
      <c r="D1324" s="198"/>
      <c r="E1324" s="9"/>
      <c r="F1324" s="9"/>
      <c r="G1324" s="42"/>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row>
    <row r="1325" ht="15.75" customHeight="1">
      <c r="A1325" s="9"/>
      <c r="B1325" s="197"/>
      <c r="C1325" s="198"/>
      <c r="D1325" s="198"/>
      <c r="E1325" s="9"/>
      <c r="F1325" s="9"/>
      <c r="G1325" s="42"/>
      <c r="L1325" s="9"/>
      <c r="M1325" s="9"/>
      <c r="N1325" s="9"/>
      <c r="O1325" s="9"/>
      <c r="P1325" s="9"/>
      <c r="Q1325" s="9"/>
      <c r="R1325" s="9"/>
      <c r="S1325" s="9"/>
      <c r="T1325" s="9"/>
      <c r="U1325" s="9"/>
      <c r="V1325" s="9"/>
      <c r="W1325" s="9"/>
      <c r="X1325" s="9"/>
      <c r="Y1325" s="9"/>
      <c r="Z1325" s="9"/>
      <c r="AA1325" s="9"/>
      <c r="AB1325" s="9"/>
      <c r="AC1325" s="9"/>
      <c r="AD1325" s="9"/>
      <c r="AE1325" s="9"/>
      <c r="AF1325" s="9"/>
      <c r="AG1325" s="9"/>
      <c r="AH1325" s="9"/>
    </row>
    <row r="1326" ht="15.75" customHeight="1">
      <c r="A1326" s="9"/>
      <c r="B1326" s="197"/>
      <c r="C1326" s="198"/>
      <c r="D1326" s="198"/>
      <c r="E1326" s="9"/>
      <c r="F1326" s="9"/>
      <c r="G1326" s="42"/>
      <c r="L1326" s="9"/>
      <c r="M1326" s="9"/>
      <c r="N1326" s="9"/>
      <c r="O1326" s="9"/>
      <c r="P1326" s="9"/>
      <c r="Q1326" s="9"/>
      <c r="R1326" s="9"/>
      <c r="S1326" s="9"/>
      <c r="T1326" s="9"/>
      <c r="U1326" s="9"/>
      <c r="V1326" s="9"/>
      <c r="W1326" s="9"/>
      <c r="X1326" s="9"/>
      <c r="Y1326" s="9"/>
      <c r="Z1326" s="9"/>
      <c r="AA1326" s="9"/>
      <c r="AB1326" s="9"/>
      <c r="AC1326" s="9"/>
      <c r="AD1326" s="9"/>
      <c r="AE1326" s="9"/>
      <c r="AF1326" s="9"/>
      <c r="AG1326" s="9"/>
      <c r="AH1326" s="9"/>
    </row>
    <row r="1327" ht="15.75" customHeight="1">
      <c r="A1327" s="9"/>
      <c r="B1327" s="197"/>
      <c r="C1327" s="198"/>
      <c r="D1327" s="198"/>
      <c r="E1327" s="9"/>
      <c r="F1327" s="9"/>
      <c r="G1327" s="42"/>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row>
    <row r="1328" ht="15.75" customHeight="1">
      <c r="A1328" s="9"/>
      <c r="B1328" s="197"/>
      <c r="C1328" s="198"/>
      <c r="D1328" s="198"/>
      <c r="E1328" s="9"/>
      <c r="F1328" s="9"/>
      <c r="G1328" s="42"/>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row>
    <row r="1329" ht="15.75" customHeight="1">
      <c r="A1329" s="9"/>
      <c r="B1329" s="197"/>
      <c r="C1329" s="198"/>
      <c r="D1329" s="198"/>
      <c r="E1329" s="9"/>
      <c r="F1329" s="9"/>
      <c r="G1329" s="42"/>
      <c r="L1329" s="9"/>
      <c r="M1329" s="9"/>
      <c r="N1329" s="9"/>
      <c r="O1329" s="9"/>
      <c r="P1329" s="9"/>
      <c r="Q1329" s="9"/>
      <c r="R1329" s="9"/>
      <c r="S1329" s="9"/>
      <c r="T1329" s="9"/>
      <c r="U1329" s="9"/>
      <c r="V1329" s="9"/>
      <c r="W1329" s="9"/>
      <c r="X1329" s="9"/>
      <c r="Y1329" s="9"/>
      <c r="Z1329" s="9"/>
      <c r="AA1329" s="9"/>
      <c r="AB1329" s="9"/>
      <c r="AC1329" s="9"/>
      <c r="AD1329" s="9"/>
      <c r="AE1329" s="9"/>
      <c r="AF1329" s="9"/>
      <c r="AG1329" s="9"/>
      <c r="AH1329" s="9"/>
    </row>
    <row r="1330" ht="15.75" customHeight="1">
      <c r="A1330" s="9"/>
      <c r="B1330" s="197"/>
      <c r="C1330" s="198"/>
      <c r="D1330" s="198"/>
      <c r="E1330" s="9"/>
      <c r="F1330" s="9"/>
      <c r="G1330" s="42"/>
      <c r="L1330" s="9"/>
      <c r="M1330" s="9"/>
      <c r="N1330" s="9"/>
      <c r="O1330" s="9"/>
      <c r="P1330" s="9"/>
      <c r="Q1330" s="9"/>
      <c r="R1330" s="9"/>
      <c r="S1330" s="9"/>
      <c r="T1330" s="9"/>
      <c r="U1330" s="9"/>
      <c r="V1330" s="9"/>
      <c r="W1330" s="9"/>
      <c r="X1330" s="9"/>
      <c r="Y1330" s="9"/>
      <c r="Z1330" s="9"/>
      <c r="AA1330" s="9"/>
      <c r="AB1330" s="9"/>
      <c r="AC1330" s="9"/>
      <c r="AD1330" s="9"/>
      <c r="AE1330" s="9"/>
      <c r="AF1330" s="9"/>
      <c r="AG1330" s="9"/>
      <c r="AH1330" s="9"/>
    </row>
    <row r="1331" ht="15.75" customHeight="1">
      <c r="A1331" s="9"/>
      <c r="B1331" s="197"/>
      <c r="C1331" s="198"/>
      <c r="D1331" s="198"/>
      <c r="E1331" s="9"/>
      <c r="F1331" s="9"/>
      <c r="G1331" s="42"/>
      <c r="L1331" s="9"/>
      <c r="M1331" s="9"/>
      <c r="N1331" s="9"/>
      <c r="O1331" s="9"/>
      <c r="P1331" s="9"/>
      <c r="Q1331" s="9"/>
      <c r="R1331" s="9"/>
      <c r="S1331" s="9"/>
      <c r="T1331" s="9"/>
      <c r="U1331" s="9"/>
      <c r="V1331" s="9"/>
      <c r="W1331" s="9"/>
      <c r="X1331" s="9"/>
      <c r="Y1331" s="9"/>
      <c r="Z1331" s="9"/>
      <c r="AA1331" s="9"/>
      <c r="AB1331" s="9"/>
      <c r="AC1331" s="9"/>
      <c r="AD1331" s="9"/>
      <c r="AE1331" s="9"/>
      <c r="AF1331" s="9"/>
      <c r="AG1331" s="9"/>
      <c r="AH1331" s="9"/>
    </row>
    <row r="1332" ht="15.75" customHeight="1">
      <c r="A1332" s="9"/>
      <c r="B1332" s="197"/>
      <c r="C1332" s="198"/>
      <c r="D1332" s="198"/>
      <c r="E1332" s="9"/>
      <c r="F1332" s="9"/>
      <c r="G1332" s="42"/>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row>
    <row r="1333" ht="15.75" customHeight="1">
      <c r="A1333" s="9"/>
      <c r="B1333" s="197"/>
      <c r="C1333" s="198"/>
      <c r="D1333" s="198"/>
      <c r="E1333" s="9"/>
      <c r="F1333" s="9"/>
      <c r="G1333" s="42"/>
      <c r="L1333" s="9"/>
      <c r="M1333" s="9"/>
      <c r="N1333" s="9"/>
      <c r="O1333" s="9"/>
      <c r="P1333" s="9"/>
      <c r="Q1333" s="9"/>
      <c r="R1333" s="9"/>
      <c r="S1333" s="9"/>
      <c r="T1333" s="9"/>
      <c r="U1333" s="9"/>
      <c r="V1333" s="9"/>
      <c r="W1333" s="9"/>
      <c r="X1333" s="9"/>
      <c r="Y1333" s="9"/>
      <c r="Z1333" s="9"/>
      <c r="AA1333" s="9"/>
      <c r="AB1333" s="9"/>
      <c r="AC1333" s="9"/>
      <c r="AD1333" s="9"/>
      <c r="AE1333" s="9"/>
      <c r="AF1333" s="9"/>
      <c r="AG1333" s="9"/>
      <c r="AH1333" s="9"/>
    </row>
    <row r="1334" ht="15.75" customHeight="1">
      <c r="A1334" s="9"/>
      <c r="B1334" s="197"/>
      <c r="C1334" s="198"/>
      <c r="D1334" s="198"/>
      <c r="E1334" s="9"/>
      <c r="F1334" s="9"/>
      <c r="G1334" s="42"/>
      <c r="L1334" s="9"/>
      <c r="M1334" s="9"/>
      <c r="N1334" s="9"/>
      <c r="O1334" s="9"/>
      <c r="P1334" s="9"/>
      <c r="Q1334" s="9"/>
      <c r="R1334" s="9"/>
      <c r="S1334" s="9"/>
      <c r="T1334" s="9"/>
      <c r="U1334" s="9"/>
      <c r="V1334" s="9"/>
      <c r="W1334" s="9"/>
      <c r="X1334" s="9"/>
      <c r="Y1334" s="9"/>
      <c r="Z1334" s="9"/>
      <c r="AA1334" s="9"/>
      <c r="AB1334" s="9"/>
      <c r="AC1334" s="9"/>
      <c r="AD1334" s="9"/>
      <c r="AE1334" s="9"/>
      <c r="AF1334" s="9"/>
      <c r="AG1334" s="9"/>
      <c r="AH1334" s="9"/>
    </row>
    <row r="1335" ht="15.75" customHeight="1">
      <c r="A1335" s="9"/>
      <c r="B1335" s="197"/>
      <c r="C1335" s="198"/>
      <c r="D1335" s="198"/>
      <c r="E1335" s="9"/>
      <c r="F1335" s="9"/>
      <c r="G1335" s="42"/>
      <c r="L1335" s="9"/>
      <c r="M1335" s="9"/>
      <c r="N1335" s="9"/>
      <c r="O1335" s="9"/>
      <c r="P1335" s="9"/>
      <c r="Q1335" s="9"/>
      <c r="R1335" s="9"/>
      <c r="S1335" s="9"/>
      <c r="T1335" s="9"/>
      <c r="U1335" s="9"/>
      <c r="V1335" s="9"/>
      <c r="W1335" s="9"/>
      <c r="X1335" s="9"/>
      <c r="Y1335" s="9"/>
      <c r="Z1335" s="9"/>
      <c r="AA1335" s="9"/>
      <c r="AB1335" s="9"/>
      <c r="AC1335" s="9"/>
      <c r="AD1335" s="9"/>
      <c r="AE1335" s="9"/>
      <c r="AF1335" s="9"/>
      <c r="AG1335" s="9"/>
      <c r="AH1335" s="9"/>
    </row>
    <row r="1336" ht="15.75" customHeight="1">
      <c r="A1336" s="9"/>
      <c r="B1336" s="197"/>
      <c r="C1336" s="198"/>
      <c r="D1336" s="198"/>
      <c r="E1336" s="9"/>
      <c r="F1336" s="9"/>
      <c r="G1336" s="42"/>
      <c r="L1336" s="9"/>
      <c r="M1336" s="9"/>
      <c r="N1336" s="9"/>
      <c r="O1336" s="9"/>
      <c r="P1336" s="9"/>
      <c r="Q1336" s="9"/>
      <c r="R1336" s="9"/>
      <c r="S1336" s="9"/>
      <c r="T1336" s="9"/>
      <c r="U1336" s="9"/>
      <c r="V1336" s="9"/>
      <c r="W1336" s="9"/>
      <c r="X1336" s="9"/>
      <c r="Y1336" s="9"/>
      <c r="Z1336" s="9"/>
      <c r="AA1336" s="9"/>
      <c r="AB1336" s="9"/>
      <c r="AC1336" s="9"/>
      <c r="AD1336" s="9"/>
      <c r="AE1336" s="9"/>
      <c r="AF1336" s="9"/>
      <c r="AG1336" s="9"/>
      <c r="AH1336" s="9"/>
    </row>
    <row r="1337" ht="15.75" customHeight="1">
      <c r="A1337" s="9"/>
      <c r="B1337" s="197"/>
      <c r="C1337" s="198"/>
      <c r="D1337" s="198"/>
      <c r="E1337" s="9"/>
      <c r="F1337" s="9"/>
      <c r="G1337" s="42"/>
      <c r="L1337" s="9"/>
      <c r="M1337" s="9"/>
      <c r="N1337" s="9"/>
      <c r="O1337" s="9"/>
      <c r="P1337" s="9"/>
      <c r="Q1337" s="9"/>
      <c r="R1337" s="9"/>
      <c r="S1337" s="9"/>
      <c r="T1337" s="9"/>
      <c r="U1337" s="9"/>
      <c r="V1337" s="9"/>
      <c r="W1337" s="9"/>
      <c r="X1337" s="9"/>
      <c r="Y1337" s="9"/>
      <c r="Z1337" s="9"/>
      <c r="AA1337" s="9"/>
      <c r="AB1337" s="9"/>
      <c r="AC1337" s="9"/>
      <c r="AD1337" s="9"/>
      <c r="AE1337" s="9"/>
      <c r="AF1337" s="9"/>
      <c r="AG1337" s="9"/>
      <c r="AH1337" s="9"/>
    </row>
    <row r="1338" ht="15.75" customHeight="1">
      <c r="A1338" s="9"/>
      <c r="B1338" s="197"/>
      <c r="C1338" s="198"/>
      <c r="D1338" s="198"/>
      <c r="E1338" s="9"/>
      <c r="F1338" s="9"/>
      <c r="G1338" s="42"/>
      <c r="L1338" s="9"/>
      <c r="M1338" s="9"/>
      <c r="N1338" s="9"/>
      <c r="O1338" s="9"/>
      <c r="P1338" s="9"/>
      <c r="Q1338" s="9"/>
      <c r="R1338" s="9"/>
      <c r="S1338" s="9"/>
      <c r="T1338" s="9"/>
      <c r="U1338" s="9"/>
      <c r="V1338" s="9"/>
      <c r="W1338" s="9"/>
      <c r="X1338" s="9"/>
      <c r="Y1338" s="9"/>
      <c r="Z1338" s="9"/>
      <c r="AA1338" s="9"/>
      <c r="AB1338" s="9"/>
      <c r="AC1338" s="9"/>
      <c r="AD1338" s="9"/>
      <c r="AE1338" s="9"/>
      <c r="AF1338" s="9"/>
      <c r="AG1338" s="9"/>
      <c r="AH1338" s="9"/>
    </row>
    <row r="1339" ht="15.75" customHeight="1">
      <c r="A1339" s="9"/>
      <c r="B1339" s="197"/>
      <c r="C1339" s="198"/>
      <c r="D1339" s="198"/>
      <c r="E1339" s="9"/>
      <c r="F1339" s="9"/>
      <c r="G1339" s="42"/>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row>
    <row r="1340" ht="15.75" customHeight="1">
      <c r="A1340" s="9"/>
      <c r="B1340" s="197"/>
      <c r="C1340" s="198"/>
      <c r="D1340" s="198"/>
      <c r="E1340" s="9"/>
      <c r="F1340" s="9"/>
      <c r="G1340" s="42"/>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row>
    <row r="1341" ht="15.75" customHeight="1">
      <c r="A1341" s="9"/>
      <c r="B1341" s="197"/>
      <c r="C1341" s="198"/>
      <c r="D1341" s="198"/>
      <c r="E1341" s="9"/>
      <c r="F1341" s="9"/>
      <c r="G1341" s="42"/>
      <c r="L1341" s="9"/>
      <c r="M1341" s="9"/>
      <c r="N1341" s="9"/>
      <c r="O1341" s="9"/>
      <c r="P1341" s="9"/>
      <c r="Q1341" s="9"/>
      <c r="R1341" s="9"/>
      <c r="S1341" s="9"/>
      <c r="T1341" s="9"/>
      <c r="U1341" s="9"/>
      <c r="V1341" s="9"/>
      <c r="W1341" s="9"/>
      <c r="X1341" s="9"/>
      <c r="Y1341" s="9"/>
      <c r="Z1341" s="9"/>
      <c r="AA1341" s="9"/>
      <c r="AB1341" s="9"/>
      <c r="AC1341" s="9"/>
      <c r="AD1341" s="9"/>
      <c r="AE1341" s="9"/>
      <c r="AF1341" s="9"/>
      <c r="AG1341" s="9"/>
      <c r="AH1341" s="9"/>
    </row>
    <row r="1342" ht="15.75" customHeight="1">
      <c r="A1342" s="9"/>
      <c r="B1342" s="197"/>
      <c r="C1342" s="198"/>
      <c r="D1342" s="198"/>
      <c r="E1342" s="9"/>
      <c r="F1342" s="9"/>
      <c r="G1342" s="42"/>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row>
    <row r="1343" ht="15.75" customHeight="1">
      <c r="A1343" s="9"/>
      <c r="B1343" s="197"/>
      <c r="C1343" s="198"/>
      <c r="D1343" s="198"/>
      <c r="E1343" s="9"/>
      <c r="F1343" s="9"/>
      <c r="G1343" s="42"/>
      <c r="L1343" s="9"/>
      <c r="M1343" s="9"/>
      <c r="N1343" s="9"/>
      <c r="O1343" s="9"/>
      <c r="P1343" s="9"/>
      <c r="Q1343" s="9"/>
      <c r="R1343" s="9"/>
      <c r="S1343" s="9"/>
      <c r="T1343" s="9"/>
      <c r="U1343" s="9"/>
      <c r="V1343" s="9"/>
      <c r="W1343" s="9"/>
      <c r="X1343" s="9"/>
      <c r="Y1343" s="9"/>
      <c r="Z1343" s="9"/>
      <c r="AA1343" s="9"/>
      <c r="AB1343" s="9"/>
      <c r="AC1343" s="9"/>
      <c r="AD1343" s="9"/>
      <c r="AE1343" s="9"/>
      <c r="AF1343" s="9"/>
      <c r="AG1343" s="9"/>
      <c r="AH1343" s="9"/>
    </row>
    <row r="1344" ht="15.75" customHeight="1">
      <c r="A1344" s="9"/>
      <c r="B1344" s="197"/>
      <c r="C1344" s="198"/>
      <c r="D1344" s="198"/>
      <c r="E1344" s="9"/>
      <c r="F1344" s="9"/>
      <c r="G1344" s="42"/>
      <c r="L1344" s="9"/>
      <c r="M1344" s="9"/>
      <c r="N1344" s="9"/>
      <c r="O1344" s="9"/>
      <c r="P1344" s="9"/>
      <c r="Q1344" s="9"/>
      <c r="R1344" s="9"/>
      <c r="S1344" s="9"/>
      <c r="T1344" s="9"/>
      <c r="U1344" s="9"/>
      <c r="V1344" s="9"/>
      <c r="W1344" s="9"/>
      <c r="X1344" s="9"/>
      <c r="Y1344" s="9"/>
      <c r="Z1344" s="9"/>
      <c r="AA1344" s="9"/>
      <c r="AB1344" s="9"/>
      <c r="AC1344" s="9"/>
      <c r="AD1344" s="9"/>
      <c r="AE1344" s="9"/>
      <c r="AF1344" s="9"/>
      <c r="AG1344" s="9"/>
      <c r="AH1344" s="9"/>
    </row>
    <row r="1345" ht="15.75" customHeight="1">
      <c r="A1345" s="9"/>
      <c r="B1345" s="197"/>
      <c r="C1345" s="198"/>
      <c r="D1345" s="198"/>
      <c r="E1345" s="9"/>
      <c r="F1345" s="9"/>
      <c r="G1345" s="42"/>
      <c r="L1345" s="9"/>
      <c r="M1345" s="9"/>
      <c r="N1345" s="9"/>
      <c r="O1345" s="9"/>
      <c r="P1345" s="9"/>
      <c r="Q1345" s="9"/>
      <c r="R1345" s="9"/>
      <c r="S1345" s="9"/>
      <c r="T1345" s="9"/>
      <c r="U1345" s="9"/>
      <c r="V1345" s="9"/>
      <c r="W1345" s="9"/>
      <c r="X1345" s="9"/>
      <c r="Y1345" s="9"/>
      <c r="Z1345" s="9"/>
      <c r="AA1345" s="9"/>
      <c r="AB1345" s="9"/>
      <c r="AC1345" s="9"/>
      <c r="AD1345" s="9"/>
      <c r="AE1345" s="9"/>
      <c r="AF1345" s="9"/>
      <c r="AG1345" s="9"/>
      <c r="AH1345" s="9"/>
    </row>
    <row r="1346" ht="15.75" customHeight="1">
      <c r="A1346" s="9"/>
      <c r="B1346" s="197"/>
      <c r="C1346" s="198"/>
      <c r="D1346" s="198"/>
      <c r="E1346" s="9"/>
      <c r="F1346" s="9"/>
      <c r="G1346" s="42"/>
      <c r="L1346" s="9"/>
      <c r="M1346" s="9"/>
      <c r="N1346" s="9"/>
      <c r="O1346" s="9"/>
      <c r="P1346" s="9"/>
      <c r="Q1346" s="9"/>
      <c r="R1346" s="9"/>
      <c r="S1346" s="9"/>
      <c r="T1346" s="9"/>
      <c r="U1346" s="9"/>
      <c r="V1346" s="9"/>
      <c r="W1346" s="9"/>
      <c r="X1346" s="9"/>
      <c r="Y1346" s="9"/>
      <c r="Z1346" s="9"/>
      <c r="AA1346" s="9"/>
      <c r="AB1346" s="9"/>
      <c r="AC1346" s="9"/>
      <c r="AD1346" s="9"/>
      <c r="AE1346" s="9"/>
      <c r="AF1346" s="9"/>
      <c r="AG1346" s="9"/>
      <c r="AH1346" s="9"/>
    </row>
    <row r="1347" ht="15.75" customHeight="1">
      <c r="A1347" s="9"/>
      <c r="B1347" s="197"/>
      <c r="C1347" s="198"/>
      <c r="D1347" s="198"/>
      <c r="E1347" s="9"/>
      <c r="F1347" s="9"/>
      <c r="G1347" s="42"/>
      <c r="L1347" s="9"/>
      <c r="M1347" s="9"/>
      <c r="N1347" s="9"/>
      <c r="O1347" s="9"/>
      <c r="P1347" s="9"/>
      <c r="Q1347" s="9"/>
      <c r="R1347" s="9"/>
      <c r="S1347" s="9"/>
      <c r="T1347" s="9"/>
      <c r="U1347" s="9"/>
      <c r="V1347" s="9"/>
      <c r="W1347" s="9"/>
      <c r="X1347" s="9"/>
      <c r="Y1347" s="9"/>
      <c r="Z1347" s="9"/>
      <c r="AA1347" s="9"/>
      <c r="AB1347" s="9"/>
      <c r="AC1347" s="9"/>
      <c r="AD1347" s="9"/>
      <c r="AE1347" s="9"/>
      <c r="AF1347" s="9"/>
      <c r="AG1347" s="9"/>
      <c r="AH1347" s="9"/>
    </row>
    <row r="1348" ht="15.75" customHeight="1">
      <c r="A1348" s="9"/>
      <c r="B1348" s="197"/>
      <c r="C1348" s="198"/>
      <c r="D1348" s="198"/>
      <c r="E1348" s="9"/>
      <c r="F1348" s="9"/>
      <c r="G1348" s="42"/>
      <c r="L1348" s="9"/>
      <c r="M1348" s="9"/>
      <c r="N1348" s="9"/>
      <c r="O1348" s="9"/>
      <c r="P1348" s="9"/>
      <c r="Q1348" s="9"/>
      <c r="R1348" s="9"/>
      <c r="S1348" s="9"/>
      <c r="T1348" s="9"/>
      <c r="U1348" s="9"/>
      <c r="V1348" s="9"/>
      <c r="W1348" s="9"/>
      <c r="X1348" s="9"/>
      <c r="Y1348" s="9"/>
      <c r="Z1348" s="9"/>
      <c r="AA1348" s="9"/>
      <c r="AB1348" s="9"/>
      <c r="AC1348" s="9"/>
      <c r="AD1348" s="9"/>
      <c r="AE1348" s="9"/>
      <c r="AF1348" s="9"/>
      <c r="AG1348" s="9"/>
      <c r="AH1348" s="9"/>
    </row>
    <row r="1349" ht="15.75" customHeight="1">
      <c r="A1349" s="9"/>
      <c r="B1349" s="197"/>
      <c r="C1349" s="198"/>
      <c r="D1349" s="198"/>
      <c r="E1349" s="9"/>
      <c r="F1349" s="9"/>
      <c r="G1349" s="42"/>
      <c r="L1349" s="9"/>
      <c r="M1349" s="9"/>
      <c r="N1349" s="9"/>
      <c r="O1349" s="9"/>
      <c r="P1349" s="9"/>
      <c r="Q1349" s="9"/>
      <c r="R1349" s="9"/>
      <c r="S1349" s="9"/>
      <c r="T1349" s="9"/>
      <c r="U1349" s="9"/>
      <c r="V1349" s="9"/>
      <c r="W1349" s="9"/>
      <c r="X1349" s="9"/>
      <c r="Y1349" s="9"/>
      <c r="Z1349" s="9"/>
      <c r="AA1349" s="9"/>
      <c r="AB1349" s="9"/>
      <c r="AC1349" s="9"/>
      <c r="AD1349" s="9"/>
      <c r="AE1349" s="9"/>
      <c r="AF1349" s="9"/>
      <c r="AG1349" s="9"/>
      <c r="AH1349" s="9"/>
    </row>
    <row r="1350" ht="15.75" customHeight="1">
      <c r="A1350" s="9"/>
      <c r="B1350" s="197"/>
      <c r="C1350" s="198"/>
      <c r="D1350" s="198"/>
      <c r="E1350" s="9"/>
      <c r="F1350" s="9"/>
      <c r="G1350" s="42"/>
      <c r="L1350" s="9"/>
      <c r="M1350" s="9"/>
      <c r="N1350" s="9"/>
      <c r="O1350" s="9"/>
      <c r="P1350" s="9"/>
      <c r="Q1350" s="9"/>
      <c r="R1350" s="9"/>
      <c r="S1350" s="9"/>
      <c r="T1350" s="9"/>
      <c r="U1350" s="9"/>
      <c r="V1350" s="9"/>
      <c r="W1350" s="9"/>
      <c r="X1350" s="9"/>
      <c r="Y1350" s="9"/>
      <c r="Z1350" s="9"/>
      <c r="AA1350" s="9"/>
      <c r="AB1350" s="9"/>
      <c r="AC1350" s="9"/>
      <c r="AD1350" s="9"/>
      <c r="AE1350" s="9"/>
      <c r="AF1350" s="9"/>
      <c r="AG1350" s="9"/>
      <c r="AH1350" s="9"/>
    </row>
    <row r="1351" ht="15.75" customHeight="1">
      <c r="A1351" s="9"/>
      <c r="B1351" s="197"/>
      <c r="C1351" s="198"/>
      <c r="D1351" s="198"/>
      <c r="E1351" s="9"/>
      <c r="F1351" s="9"/>
      <c r="G1351" s="42"/>
      <c r="L1351" s="9"/>
      <c r="M1351" s="9"/>
      <c r="N1351" s="9"/>
      <c r="O1351" s="9"/>
      <c r="P1351" s="9"/>
      <c r="Q1351" s="9"/>
      <c r="R1351" s="9"/>
      <c r="S1351" s="9"/>
      <c r="T1351" s="9"/>
      <c r="U1351" s="9"/>
      <c r="V1351" s="9"/>
      <c r="W1351" s="9"/>
      <c r="X1351" s="9"/>
      <c r="Y1351" s="9"/>
      <c r="Z1351" s="9"/>
      <c r="AA1351" s="9"/>
      <c r="AB1351" s="9"/>
      <c r="AC1351" s="9"/>
      <c r="AD1351" s="9"/>
      <c r="AE1351" s="9"/>
      <c r="AF1351" s="9"/>
      <c r="AG1351" s="9"/>
      <c r="AH1351" s="9"/>
    </row>
    <row r="1352" ht="15.75" customHeight="1">
      <c r="A1352" s="9"/>
      <c r="B1352" s="197"/>
      <c r="C1352" s="198"/>
      <c r="D1352" s="198"/>
      <c r="E1352" s="9"/>
      <c r="F1352" s="9"/>
      <c r="G1352" s="42"/>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row>
    <row r="1353" ht="15.75" customHeight="1">
      <c r="A1353" s="9"/>
      <c r="B1353" s="197"/>
      <c r="C1353" s="198"/>
      <c r="D1353" s="198"/>
      <c r="E1353" s="9"/>
      <c r="F1353" s="9"/>
      <c r="G1353" s="42"/>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row>
    <row r="1354" ht="15.75" customHeight="1">
      <c r="A1354" s="9"/>
      <c r="B1354" s="197"/>
      <c r="C1354" s="198"/>
      <c r="D1354" s="198"/>
      <c r="E1354" s="9"/>
      <c r="F1354" s="9"/>
      <c r="G1354" s="42"/>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row>
    <row r="1355" ht="15.75" customHeight="1">
      <c r="A1355" s="9"/>
      <c r="B1355" s="197"/>
      <c r="C1355" s="198"/>
      <c r="D1355" s="198"/>
      <c r="E1355" s="9"/>
      <c r="F1355" s="9"/>
      <c r="G1355" s="42"/>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row>
    <row r="1356" ht="15.75" customHeight="1">
      <c r="A1356" s="9"/>
      <c r="B1356" s="197"/>
      <c r="C1356" s="198"/>
      <c r="D1356" s="198"/>
      <c r="E1356" s="9"/>
      <c r="F1356" s="9"/>
      <c r="G1356" s="42"/>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row>
    <row r="1357" ht="15.75" customHeight="1">
      <c r="A1357" s="9"/>
      <c r="B1357" s="197"/>
      <c r="C1357" s="198"/>
      <c r="D1357" s="198"/>
      <c r="E1357" s="9"/>
      <c r="F1357" s="9"/>
      <c r="G1357" s="42"/>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row>
    <row r="1358" ht="15.75" customHeight="1">
      <c r="A1358" s="9"/>
      <c r="B1358" s="197"/>
      <c r="C1358" s="198"/>
      <c r="D1358" s="198"/>
      <c r="E1358" s="9"/>
      <c r="F1358" s="9"/>
      <c r="G1358" s="42"/>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row>
    <row r="1359" ht="15.75" customHeight="1">
      <c r="A1359" s="9"/>
      <c r="B1359" s="197"/>
      <c r="C1359" s="198"/>
      <c r="D1359" s="198"/>
      <c r="E1359" s="9"/>
      <c r="F1359" s="9"/>
      <c r="G1359" s="42"/>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row>
    <row r="1360" ht="15.75" customHeight="1">
      <c r="A1360" s="9"/>
      <c r="B1360" s="197"/>
      <c r="C1360" s="198"/>
      <c r="D1360" s="198"/>
      <c r="E1360" s="9"/>
      <c r="F1360" s="9"/>
      <c r="G1360" s="42"/>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row>
    <row r="1361" ht="15.75" customHeight="1">
      <c r="A1361" s="9"/>
      <c r="B1361" s="197"/>
      <c r="C1361" s="198"/>
      <c r="D1361" s="198"/>
      <c r="E1361" s="9"/>
      <c r="F1361" s="9"/>
      <c r="G1361" s="42"/>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row>
    <row r="1362" ht="15.75" customHeight="1">
      <c r="A1362" s="9"/>
      <c r="B1362" s="197"/>
      <c r="C1362" s="198"/>
      <c r="D1362" s="198"/>
      <c r="E1362" s="9"/>
      <c r="F1362" s="9"/>
      <c r="G1362" s="42"/>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row>
    <row r="1363" ht="15.75" customHeight="1">
      <c r="A1363" s="9"/>
      <c r="B1363" s="197"/>
      <c r="C1363" s="198"/>
      <c r="D1363" s="198"/>
      <c r="E1363" s="9"/>
      <c r="F1363" s="9"/>
      <c r="G1363" s="42"/>
      <c r="L1363" s="9"/>
      <c r="M1363" s="9"/>
      <c r="N1363" s="9"/>
      <c r="O1363" s="9"/>
      <c r="P1363" s="9"/>
      <c r="Q1363" s="9"/>
      <c r="R1363" s="9"/>
      <c r="S1363" s="9"/>
      <c r="T1363" s="9"/>
      <c r="U1363" s="9"/>
      <c r="V1363" s="9"/>
      <c r="W1363" s="9"/>
      <c r="X1363" s="9"/>
      <c r="Y1363" s="9"/>
      <c r="Z1363" s="9"/>
      <c r="AA1363" s="9"/>
      <c r="AB1363" s="9"/>
      <c r="AC1363" s="9"/>
      <c r="AD1363" s="9"/>
      <c r="AE1363" s="9"/>
      <c r="AF1363" s="9"/>
      <c r="AG1363" s="9"/>
      <c r="AH1363" s="9"/>
    </row>
    <row r="1364" ht="15.75" customHeight="1">
      <c r="A1364" s="9"/>
      <c r="B1364" s="197"/>
      <c r="C1364" s="198"/>
      <c r="D1364" s="198"/>
      <c r="E1364" s="9"/>
      <c r="F1364" s="9"/>
      <c r="G1364" s="42"/>
      <c r="L1364" s="9"/>
      <c r="M1364" s="9"/>
      <c r="N1364" s="9"/>
      <c r="O1364" s="9"/>
      <c r="P1364" s="9"/>
      <c r="Q1364" s="9"/>
      <c r="R1364" s="9"/>
      <c r="S1364" s="9"/>
      <c r="T1364" s="9"/>
      <c r="U1364" s="9"/>
      <c r="V1364" s="9"/>
      <c r="W1364" s="9"/>
      <c r="X1364" s="9"/>
      <c r="Y1364" s="9"/>
      <c r="Z1364" s="9"/>
      <c r="AA1364" s="9"/>
      <c r="AB1364" s="9"/>
      <c r="AC1364" s="9"/>
      <c r="AD1364" s="9"/>
      <c r="AE1364" s="9"/>
      <c r="AF1364" s="9"/>
      <c r="AG1364" s="9"/>
      <c r="AH1364" s="9"/>
    </row>
    <row r="1365" ht="15.75" customHeight="1">
      <c r="A1365" s="9"/>
      <c r="B1365" s="197"/>
      <c r="C1365" s="198"/>
      <c r="D1365" s="198"/>
      <c r="E1365" s="9"/>
      <c r="F1365" s="9"/>
      <c r="G1365" s="42"/>
      <c r="L1365" s="9"/>
      <c r="M1365" s="9"/>
      <c r="N1365" s="9"/>
      <c r="O1365" s="9"/>
      <c r="P1365" s="9"/>
      <c r="Q1365" s="9"/>
      <c r="R1365" s="9"/>
      <c r="S1365" s="9"/>
      <c r="T1365" s="9"/>
      <c r="U1365" s="9"/>
      <c r="V1365" s="9"/>
      <c r="W1365" s="9"/>
      <c r="X1365" s="9"/>
      <c r="Y1365" s="9"/>
      <c r="Z1365" s="9"/>
      <c r="AA1365" s="9"/>
      <c r="AB1365" s="9"/>
      <c r="AC1365" s="9"/>
      <c r="AD1365" s="9"/>
      <c r="AE1365" s="9"/>
      <c r="AF1365" s="9"/>
      <c r="AG1365" s="9"/>
      <c r="AH1365" s="9"/>
    </row>
    <row r="1366" ht="15.75" customHeight="1">
      <c r="A1366" s="9"/>
      <c r="B1366" s="197"/>
      <c r="C1366" s="198"/>
      <c r="D1366" s="198"/>
      <c r="E1366" s="9"/>
      <c r="F1366" s="9"/>
      <c r="G1366" s="42"/>
      <c r="L1366" s="9"/>
      <c r="M1366" s="9"/>
      <c r="N1366" s="9"/>
      <c r="O1366" s="9"/>
      <c r="P1366" s="9"/>
      <c r="Q1366" s="9"/>
      <c r="R1366" s="9"/>
      <c r="S1366" s="9"/>
      <c r="T1366" s="9"/>
      <c r="U1366" s="9"/>
      <c r="V1366" s="9"/>
      <c r="W1366" s="9"/>
      <c r="X1366" s="9"/>
      <c r="Y1366" s="9"/>
      <c r="Z1366" s="9"/>
      <c r="AA1366" s="9"/>
      <c r="AB1366" s="9"/>
      <c r="AC1366" s="9"/>
      <c r="AD1366" s="9"/>
      <c r="AE1366" s="9"/>
      <c r="AF1366" s="9"/>
      <c r="AG1366" s="9"/>
      <c r="AH1366" s="9"/>
    </row>
    <row r="1367" ht="15.75" customHeight="1">
      <c r="A1367" s="9"/>
      <c r="B1367" s="197"/>
      <c r="C1367" s="198"/>
      <c r="D1367" s="198"/>
      <c r="E1367" s="9"/>
      <c r="F1367" s="9"/>
      <c r="G1367" s="42"/>
      <c r="L1367" s="9"/>
      <c r="M1367" s="9"/>
      <c r="N1367" s="9"/>
      <c r="O1367" s="9"/>
      <c r="P1367" s="9"/>
      <c r="Q1367" s="9"/>
      <c r="R1367" s="9"/>
      <c r="S1367" s="9"/>
      <c r="T1367" s="9"/>
      <c r="U1367" s="9"/>
      <c r="V1367" s="9"/>
      <c r="W1367" s="9"/>
      <c r="X1367" s="9"/>
      <c r="Y1367" s="9"/>
      <c r="Z1367" s="9"/>
      <c r="AA1367" s="9"/>
      <c r="AB1367" s="9"/>
      <c r="AC1367" s="9"/>
      <c r="AD1367" s="9"/>
      <c r="AE1367" s="9"/>
      <c r="AF1367" s="9"/>
      <c r="AG1367" s="9"/>
      <c r="AH1367" s="9"/>
    </row>
    <row r="1368" ht="15.75" customHeight="1">
      <c r="A1368" s="9"/>
      <c r="B1368" s="197"/>
      <c r="C1368" s="198"/>
      <c r="D1368" s="198"/>
      <c r="E1368" s="9"/>
      <c r="F1368" s="9"/>
      <c r="G1368" s="42"/>
      <c r="L1368" s="9"/>
      <c r="M1368" s="9"/>
      <c r="N1368" s="9"/>
      <c r="O1368" s="9"/>
      <c r="P1368" s="9"/>
      <c r="Q1368" s="9"/>
      <c r="R1368" s="9"/>
      <c r="S1368" s="9"/>
      <c r="T1368" s="9"/>
      <c r="U1368" s="9"/>
      <c r="V1368" s="9"/>
      <c r="W1368" s="9"/>
      <c r="X1368" s="9"/>
      <c r="Y1368" s="9"/>
      <c r="Z1368" s="9"/>
      <c r="AA1368" s="9"/>
      <c r="AB1368" s="9"/>
      <c r="AC1368" s="9"/>
      <c r="AD1368" s="9"/>
      <c r="AE1368" s="9"/>
      <c r="AF1368" s="9"/>
      <c r="AG1368" s="9"/>
      <c r="AH1368" s="9"/>
    </row>
    <row r="1369" ht="15.75" customHeight="1">
      <c r="A1369" s="9"/>
      <c r="B1369" s="197"/>
      <c r="C1369" s="198"/>
      <c r="D1369" s="198"/>
      <c r="E1369" s="9"/>
      <c r="F1369" s="9"/>
      <c r="G1369" s="42"/>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row>
    <row r="1370" ht="15.75" customHeight="1">
      <c r="A1370" s="9"/>
      <c r="B1370" s="197"/>
      <c r="C1370" s="198"/>
      <c r="D1370" s="198"/>
      <c r="E1370" s="9"/>
      <c r="F1370" s="9"/>
      <c r="G1370" s="42"/>
      <c r="L1370" s="9"/>
      <c r="M1370" s="9"/>
      <c r="N1370" s="9"/>
      <c r="O1370" s="9"/>
      <c r="P1370" s="9"/>
      <c r="Q1370" s="9"/>
      <c r="R1370" s="9"/>
      <c r="S1370" s="9"/>
      <c r="T1370" s="9"/>
      <c r="U1370" s="9"/>
      <c r="V1370" s="9"/>
      <c r="W1370" s="9"/>
      <c r="X1370" s="9"/>
      <c r="Y1370" s="9"/>
      <c r="Z1370" s="9"/>
      <c r="AA1370" s="9"/>
      <c r="AB1370" s="9"/>
      <c r="AC1370" s="9"/>
      <c r="AD1370" s="9"/>
      <c r="AE1370" s="9"/>
      <c r="AF1370" s="9"/>
      <c r="AG1370" s="9"/>
      <c r="AH1370" s="9"/>
    </row>
    <row r="1371" ht="15.75" customHeight="1">
      <c r="A1371" s="9"/>
      <c r="B1371" s="197"/>
      <c r="C1371" s="198"/>
      <c r="D1371" s="198"/>
      <c r="E1371" s="9"/>
      <c r="F1371" s="9"/>
      <c r="G1371" s="42"/>
      <c r="L1371" s="9"/>
      <c r="M1371" s="9"/>
      <c r="N1371" s="9"/>
      <c r="O1371" s="9"/>
      <c r="P1371" s="9"/>
      <c r="Q1371" s="9"/>
      <c r="R1371" s="9"/>
      <c r="S1371" s="9"/>
      <c r="T1371" s="9"/>
      <c r="U1371" s="9"/>
      <c r="V1371" s="9"/>
      <c r="W1371" s="9"/>
      <c r="X1371" s="9"/>
      <c r="Y1371" s="9"/>
      <c r="Z1371" s="9"/>
      <c r="AA1371" s="9"/>
      <c r="AB1371" s="9"/>
      <c r="AC1371" s="9"/>
      <c r="AD1371" s="9"/>
      <c r="AE1371" s="9"/>
      <c r="AF1371" s="9"/>
      <c r="AG1371" s="9"/>
      <c r="AH1371" s="9"/>
    </row>
    <row r="1372" ht="15.75" customHeight="1">
      <c r="A1372" s="9"/>
      <c r="B1372" s="197"/>
      <c r="C1372" s="198"/>
      <c r="D1372" s="198"/>
      <c r="E1372" s="9"/>
      <c r="F1372" s="9"/>
      <c r="G1372" s="42"/>
      <c r="L1372" s="9"/>
      <c r="M1372" s="9"/>
      <c r="N1372" s="9"/>
      <c r="O1372" s="9"/>
      <c r="P1372" s="9"/>
      <c r="Q1372" s="9"/>
      <c r="R1372" s="9"/>
      <c r="S1372" s="9"/>
      <c r="T1372" s="9"/>
      <c r="U1372" s="9"/>
      <c r="V1372" s="9"/>
      <c r="W1372" s="9"/>
      <c r="X1372" s="9"/>
      <c r="Y1372" s="9"/>
      <c r="Z1372" s="9"/>
      <c r="AA1372" s="9"/>
      <c r="AB1372" s="9"/>
      <c r="AC1372" s="9"/>
      <c r="AD1372" s="9"/>
      <c r="AE1372" s="9"/>
      <c r="AF1372" s="9"/>
      <c r="AG1372" s="9"/>
      <c r="AH1372" s="9"/>
    </row>
    <row r="1373" ht="15.75" customHeight="1">
      <c r="A1373" s="9"/>
      <c r="B1373" s="197"/>
      <c r="C1373" s="198"/>
      <c r="D1373" s="198"/>
      <c r="E1373" s="9"/>
      <c r="F1373" s="9"/>
      <c r="G1373" s="42"/>
      <c r="L1373" s="9"/>
      <c r="M1373" s="9"/>
      <c r="N1373" s="9"/>
      <c r="O1373" s="9"/>
      <c r="P1373" s="9"/>
      <c r="Q1373" s="9"/>
      <c r="R1373" s="9"/>
      <c r="S1373" s="9"/>
      <c r="T1373" s="9"/>
      <c r="U1373" s="9"/>
      <c r="V1373" s="9"/>
      <c r="W1373" s="9"/>
      <c r="X1373" s="9"/>
      <c r="Y1373" s="9"/>
      <c r="Z1373" s="9"/>
      <c r="AA1373" s="9"/>
      <c r="AB1373" s="9"/>
      <c r="AC1373" s="9"/>
      <c r="AD1373" s="9"/>
      <c r="AE1373" s="9"/>
      <c r="AF1373" s="9"/>
      <c r="AG1373" s="9"/>
      <c r="AH1373" s="9"/>
    </row>
    <row r="1374" ht="15.75" customHeight="1">
      <c r="A1374" s="9"/>
      <c r="B1374" s="197"/>
      <c r="C1374" s="198"/>
      <c r="D1374" s="198"/>
      <c r="E1374" s="9"/>
      <c r="F1374" s="9"/>
      <c r="G1374" s="42"/>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row>
    <row r="1375" ht="15.75" customHeight="1">
      <c r="A1375" s="9"/>
      <c r="B1375" s="197"/>
      <c r="C1375" s="198"/>
      <c r="D1375" s="198"/>
      <c r="E1375" s="9"/>
      <c r="F1375" s="9"/>
      <c r="G1375" s="42"/>
      <c r="L1375" s="9"/>
      <c r="M1375" s="9"/>
      <c r="N1375" s="9"/>
      <c r="O1375" s="9"/>
      <c r="P1375" s="9"/>
      <c r="Q1375" s="9"/>
      <c r="R1375" s="9"/>
      <c r="S1375" s="9"/>
      <c r="T1375" s="9"/>
      <c r="U1375" s="9"/>
      <c r="V1375" s="9"/>
      <c r="W1375" s="9"/>
      <c r="X1375" s="9"/>
      <c r="Y1375" s="9"/>
      <c r="Z1375" s="9"/>
      <c r="AA1375" s="9"/>
      <c r="AB1375" s="9"/>
      <c r="AC1375" s="9"/>
      <c r="AD1375" s="9"/>
      <c r="AE1375" s="9"/>
      <c r="AF1375" s="9"/>
      <c r="AG1375" s="9"/>
      <c r="AH1375" s="9"/>
    </row>
    <row r="1376" ht="15.75" customHeight="1">
      <c r="A1376" s="9"/>
      <c r="B1376" s="197"/>
      <c r="C1376" s="198"/>
      <c r="D1376" s="198"/>
      <c r="E1376" s="9"/>
      <c r="F1376" s="9"/>
      <c r="G1376" s="42"/>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row>
    <row r="1377" ht="15.75" customHeight="1">
      <c r="A1377" s="9"/>
      <c r="B1377" s="197"/>
      <c r="C1377" s="198"/>
      <c r="D1377" s="198"/>
      <c r="E1377" s="9"/>
      <c r="F1377" s="9"/>
      <c r="G1377" s="42"/>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row>
    <row r="1378" ht="15.75" customHeight="1">
      <c r="A1378" s="9"/>
      <c r="B1378" s="197"/>
      <c r="C1378" s="198"/>
      <c r="D1378" s="198"/>
      <c r="E1378" s="9"/>
      <c r="F1378" s="9"/>
      <c r="G1378" s="42"/>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row>
    <row r="1379" ht="15.75" customHeight="1">
      <c r="A1379" s="9"/>
      <c r="B1379" s="197"/>
      <c r="C1379" s="198"/>
      <c r="D1379" s="198"/>
      <c r="E1379" s="9"/>
      <c r="F1379" s="9"/>
      <c r="G1379" s="42"/>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row>
    <row r="1380" ht="15.75" customHeight="1">
      <c r="A1380" s="9"/>
      <c r="B1380" s="197"/>
      <c r="C1380" s="198"/>
      <c r="D1380" s="198"/>
      <c r="E1380" s="9"/>
      <c r="F1380" s="9"/>
      <c r="G1380" s="42"/>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row>
    <row r="1381" ht="15.75" customHeight="1">
      <c r="A1381" s="9"/>
      <c r="B1381" s="197"/>
      <c r="C1381" s="198"/>
      <c r="D1381" s="198"/>
      <c r="E1381" s="9"/>
      <c r="F1381" s="9"/>
      <c r="G1381" s="42"/>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row>
    <row r="1382" ht="15.75" customHeight="1">
      <c r="A1382" s="9"/>
      <c r="B1382" s="197"/>
      <c r="C1382" s="198"/>
      <c r="D1382" s="198"/>
      <c r="E1382" s="9"/>
      <c r="F1382" s="9"/>
      <c r="G1382" s="42"/>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row>
    <row r="1383" ht="15.75" customHeight="1">
      <c r="A1383" s="9"/>
      <c r="B1383" s="197"/>
      <c r="C1383" s="198"/>
      <c r="D1383" s="198"/>
      <c r="E1383" s="9"/>
      <c r="F1383" s="9"/>
      <c r="G1383" s="42"/>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row>
    <row r="1384" ht="15.75" customHeight="1">
      <c r="A1384" s="9"/>
      <c r="B1384" s="197"/>
      <c r="C1384" s="198"/>
      <c r="D1384" s="198"/>
      <c r="E1384" s="9"/>
      <c r="F1384" s="9"/>
      <c r="G1384" s="42"/>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row>
    <row r="1385" ht="15.75" customHeight="1">
      <c r="A1385" s="9"/>
      <c r="B1385" s="197"/>
      <c r="C1385" s="198"/>
      <c r="D1385" s="198"/>
      <c r="E1385" s="9"/>
      <c r="F1385" s="9"/>
      <c r="G1385" s="42"/>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row>
    <row r="1386" ht="15.75" customHeight="1">
      <c r="A1386" s="9"/>
      <c r="B1386" s="197"/>
      <c r="C1386" s="198"/>
      <c r="D1386" s="198"/>
      <c r="E1386" s="9"/>
      <c r="F1386" s="9"/>
      <c r="G1386" s="42"/>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row>
    <row r="1387" ht="15.75" customHeight="1">
      <c r="A1387" s="9"/>
      <c r="B1387" s="197"/>
      <c r="C1387" s="198"/>
      <c r="D1387" s="198"/>
      <c r="E1387" s="9"/>
      <c r="F1387" s="9"/>
      <c r="G1387" s="42"/>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row>
    <row r="1388" ht="15.75" customHeight="1">
      <c r="A1388" s="9"/>
      <c r="B1388" s="197"/>
      <c r="C1388" s="198"/>
      <c r="D1388" s="198"/>
      <c r="E1388" s="9"/>
      <c r="F1388" s="9"/>
      <c r="G1388" s="42"/>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row>
    <row r="1389" ht="15.75" customHeight="1">
      <c r="A1389" s="9"/>
      <c r="B1389" s="197"/>
      <c r="C1389" s="198"/>
      <c r="D1389" s="198"/>
      <c r="E1389" s="9"/>
      <c r="F1389" s="9"/>
      <c r="G1389" s="42"/>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row>
    <row r="1390" ht="15.75" customHeight="1">
      <c r="A1390" s="9"/>
      <c r="B1390" s="197"/>
      <c r="C1390" s="198"/>
      <c r="D1390" s="198"/>
      <c r="E1390" s="9"/>
      <c r="F1390" s="9"/>
      <c r="G1390" s="42"/>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row>
    <row r="1391" ht="15.75" customHeight="1">
      <c r="A1391" s="9"/>
      <c r="B1391" s="197"/>
      <c r="C1391" s="198"/>
      <c r="D1391" s="198"/>
      <c r="E1391" s="9"/>
      <c r="F1391" s="9"/>
      <c r="G1391" s="42"/>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row>
    <row r="1392" ht="15.75" customHeight="1">
      <c r="A1392" s="9"/>
      <c r="B1392" s="197"/>
      <c r="C1392" s="198"/>
      <c r="D1392" s="198"/>
      <c r="E1392" s="9"/>
      <c r="F1392" s="9"/>
      <c r="G1392" s="42"/>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row>
    <row r="1393" ht="15.75" customHeight="1">
      <c r="A1393" s="9"/>
      <c r="B1393" s="197"/>
      <c r="C1393" s="198"/>
      <c r="D1393" s="198"/>
      <c r="E1393" s="9"/>
      <c r="F1393" s="9"/>
      <c r="G1393" s="42"/>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row>
    <row r="1394" ht="15.75" customHeight="1">
      <c r="A1394" s="9"/>
      <c r="B1394" s="197"/>
      <c r="C1394" s="198"/>
      <c r="D1394" s="198"/>
      <c r="E1394" s="9"/>
      <c r="F1394" s="9"/>
      <c r="G1394" s="42"/>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row>
    <row r="1395" ht="15.75" customHeight="1">
      <c r="A1395" s="9"/>
      <c r="B1395" s="197"/>
      <c r="C1395" s="198"/>
      <c r="D1395" s="198"/>
      <c r="E1395" s="9"/>
      <c r="F1395" s="9"/>
      <c r="G1395" s="42"/>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row>
    <row r="1396" ht="15.75" customHeight="1">
      <c r="A1396" s="9"/>
      <c r="B1396" s="197"/>
      <c r="C1396" s="198"/>
      <c r="D1396" s="198"/>
      <c r="E1396" s="9"/>
      <c r="F1396" s="9"/>
      <c r="G1396" s="42"/>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row>
    <row r="1397" ht="15.75" customHeight="1">
      <c r="A1397" s="9"/>
      <c r="B1397" s="197"/>
      <c r="C1397" s="198"/>
      <c r="D1397" s="198"/>
      <c r="E1397" s="9"/>
      <c r="F1397" s="9"/>
      <c r="G1397" s="42"/>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row>
    <row r="1398" ht="15.75" customHeight="1">
      <c r="A1398" s="9"/>
      <c r="B1398" s="197"/>
      <c r="C1398" s="198"/>
      <c r="D1398" s="198"/>
      <c r="E1398" s="9"/>
      <c r="F1398" s="9"/>
      <c r="G1398" s="42"/>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row>
    <row r="1399" ht="15.75" customHeight="1">
      <c r="A1399" s="9"/>
      <c r="B1399" s="197"/>
      <c r="C1399" s="198"/>
      <c r="D1399" s="198"/>
      <c r="E1399" s="9"/>
      <c r="F1399" s="9"/>
      <c r="G1399" s="42"/>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row>
    <row r="1400" ht="15.75" customHeight="1">
      <c r="A1400" s="9"/>
      <c r="B1400" s="197"/>
      <c r="C1400" s="198"/>
      <c r="D1400" s="198"/>
      <c r="E1400" s="9"/>
      <c r="F1400" s="9"/>
      <c r="G1400" s="42"/>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row>
    <row r="1401" ht="15.75" customHeight="1">
      <c r="A1401" s="9"/>
      <c r="B1401" s="197"/>
      <c r="C1401" s="198"/>
      <c r="D1401" s="198"/>
      <c r="E1401" s="9"/>
      <c r="F1401" s="9"/>
      <c r="G1401" s="42"/>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row>
    <row r="1402" ht="15.75" customHeight="1">
      <c r="A1402" s="9"/>
      <c r="B1402" s="197"/>
      <c r="C1402" s="198"/>
      <c r="D1402" s="198"/>
      <c r="E1402" s="9"/>
      <c r="F1402" s="9"/>
      <c r="G1402" s="42"/>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row>
    <row r="1403" ht="15.75" customHeight="1">
      <c r="A1403" s="9"/>
      <c r="B1403" s="197"/>
      <c r="C1403" s="198"/>
      <c r="D1403" s="198"/>
      <c r="E1403" s="9"/>
      <c r="F1403" s="9"/>
      <c r="G1403" s="42"/>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row>
    <row r="1404" ht="15.75" customHeight="1">
      <c r="A1404" s="9"/>
      <c r="B1404" s="197"/>
      <c r="C1404" s="198"/>
      <c r="D1404" s="198"/>
      <c r="E1404" s="9"/>
      <c r="F1404" s="9"/>
      <c r="G1404" s="42"/>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row>
    <row r="1405" ht="15.75" customHeight="1">
      <c r="A1405" s="9"/>
      <c r="B1405" s="197"/>
      <c r="C1405" s="198"/>
      <c r="D1405" s="198"/>
      <c r="E1405" s="9"/>
      <c r="F1405" s="9"/>
      <c r="G1405" s="42"/>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row>
    <row r="1406" ht="15.75" customHeight="1">
      <c r="A1406" s="9"/>
      <c r="B1406" s="197"/>
      <c r="C1406" s="198"/>
      <c r="D1406" s="198"/>
      <c r="E1406" s="9"/>
      <c r="F1406" s="9"/>
      <c r="G1406" s="42"/>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row>
    <row r="1407" ht="15.75" customHeight="1">
      <c r="A1407" s="9"/>
      <c r="B1407" s="197"/>
      <c r="C1407" s="198"/>
      <c r="D1407" s="198"/>
      <c r="E1407" s="9"/>
      <c r="F1407" s="9"/>
      <c r="G1407" s="42"/>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row>
    <row r="1408" ht="15.75" customHeight="1">
      <c r="A1408" s="9"/>
      <c r="B1408" s="197"/>
      <c r="C1408" s="198"/>
      <c r="D1408" s="198"/>
      <c r="E1408" s="9"/>
      <c r="F1408" s="9"/>
      <c r="G1408" s="42"/>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row>
    <row r="1409" ht="15.75" customHeight="1">
      <c r="A1409" s="9"/>
      <c r="B1409" s="197"/>
      <c r="C1409" s="198"/>
      <c r="D1409" s="198"/>
      <c r="E1409" s="9"/>
      <c r="F1409" s="9"/>
      <c r="G1409" s="42"/>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row>
  </sheetData>
  <mergeCells count="251">
    <mergeCell ref="C175:C193"/>
    <mergeCell ref="D175:D193"/>
    <mergeCell ref="B150:B161"/>
    <mergeCell ref="C150:C161"/>
    <mergeCell ref="D150:D161"/>
    <mergeCell ref="B162:B174"/>
    <mergeCell ref="C162:C174"/>
    <mergeCell ref="D162:D174"/>
    <mergeCell ref="B175:B193"/>
    <mergeCell ref="C209:C215"/>
    <mergeCell ref="D209:D215"/>
    <mergeCell ref="B194:B199"/>
    <mergeCell ref="C194:C199"/>
    <mergeCell ref="D194:D199"/>
    <mergeCell ref="B200:B208"/>
    <mergeCell ref="C200:C208"/>
    <mergeCell ref="D200:D208"/>
    <mergeCell ref="B209:B215"/>
    <mergeCell ref="C225:C241"/>
    <mergeCell ref="D225:D241"/>
    <mergeCell ref="B216:B217"/>
    <mergeCell ref="C216:C217"/>
    <mergeCell ref="D216:D217"/>
    <mergeCell ref="B218:B224"/>
    <mergeCell ref="C218:C224"/>
    <mergeCell ref="D218:D224"/>
    <mergeCell ref="B225:B241"/>
    <mergeCell ref="C251:C255"/>
    <mergeCell ref="D251:D255"/>
    <mergeCell ref="B242:B245"/>
    <mergeCell ref="C242:C245"/>
    <mergeCell ref="D242:D245"/>
    <mergeCell ref="B246:B250"/>
    <mergeCell ref="C246:C250"/>
    <mergeCell ref="D246:D250"/>
    <mergeCell ref="B251:B255"/>
    <mergeCell ref="C286:C297"/>
    <mergeCell ref="D286:D297"/>
    <mergeCell ref="B256:B270"/>
    <mergeCell ref="C256:C270"/>
    <mergeCell ref="D256:D270"/>
    <mergeCell ref="B271:B285"/>
    <mergeCell ref="C271:C285"/>
    <mergeCell ref="D271:D285"/>
    <mergeCell ref="B286:B297"/>
    <mergeCell ref="C326:C339"/>
    <mergeCell ref="D326:D339"/>
    <mergeCell ref="B298:B313"/>
    <mergeCell ref="C298:C313"/>
    <mergeCell ref="D298:D313"/>
    <mergeCell ref="B314:B325"/>
    <mergeCell ref="C314:C325"/>
    <mergeCell ref="D314:D325"/>
    <mergeCell ref="B326:B339"/>
    <mergeCell ref="C419:C425"/>
    <mergeCell ref="D419:D425"/>
    <mergeCell ref="A443:A453"/>
    <mergeCell ref="A531:A535"/>
    <mergeCell ref="B393:B410"/>
    <mergeCell ref="C393:C410"/>
    <mergeCell ref="D393:D410"/>
    <mergeCell ref="B411:B418"/>
    <mergeCell ref="C411:C418"/>
    <mergeCell ref="D411:D418"/>
    <mergeCell ref="B419:B425"/>
    <mergeCell ref="C372:C392"/>
    <mergeCell ref="D372:D392"/>
    <mergeCell ref="B340:B358"/>
    <mergeCell ref="C340:C358"/>
    <mergeCell ref="D340:D358"/>
    <mergeCell ref="B359:B371"/>
    <mergeCell ref="C359:C371"/>
    <mergeCell ref="D359:D371"/>
    <mergeCell ref="B372:B392"/>
    <mergeCell ref="C644:C658"/>
    <mergeCell ref="D644:D658"/>
    <mergeCell ref="B616:B630"/>
    <mergeCell ref="C616:C630"/>
    <mergeCell ref="D616:D630"/>
    <mergeCell ref="B631:B643"/>
    <mergeCell ref="C631:C643"/>
    <mergeCell ref="D631:D643"/>
    <mergeCell ref="B644:B658"/>
    <mergeCell ref="C682:C695"/>
    <mergeCell ref="D682:D695"/>
    <mergeCell ref="B659:B672"/>
    <mergeCell ref="C659:C672"/>
    <mergeCell ref="D659:D672"/>
    <mergeCell ref="B673:B681"/>
    <mergeCell ref="C673:C681"/>
    <mergeCell ref="D673:D681"/>
    <mergeCell ref="B682:B695"/>
    <mergeCell ref="C727:C740"/>
    <mergeCell ref="D727:D740"/>
    <mergeCell ref="B696:B712"/>
    <mergeCell ref="C696:C712"/>
    <mergeCell ref="D696:D712"/>
    <mergeCell ref="B713:B726"/>
    <mergeCell ref="C713:C726"/>
    <mergeCell ref="D713:D726"/>
    <mergeCell ref="B727:B740"/>
    <mergeCell ref="C770:C784"/>
    <mergeCell ref="D770:D784"/>
    <mergeCell ref="B741:B754"/>
    <mergeCell ref="C741:C754"/>
    <mergeCell ref="D741:D754"/>
    <mergeCell ref="B755:B769"/>
    <mergeCell ref="C755:C769"/>
    <mergeCell ref="D755:D769"/>
    <mergeCell ref="B770:B784"/>
    <mergeCell ref="C823:C841"/>
    <mergeCell ref="D823:D841"/>
    <mergeCell ref="B785:B799"/>
    <mergeCell ref="C785:C799"/>
    <mergeCell ref="D785:D799"/>
    <mergeCell ref="B800:B822"/>
    <mergeCell ref="C800:C822"/>
    <mergeCell ref="D800:D822"/>
    <mergeCell ref="B823:B841"/>
    <mergeCell ref="B883:B887"/>
    <mergeCell ref="B888:B892"/>
    <mergeCell ref="C888:C892"/>
    <mergeCell ref="C922:C928"/>
    <mergeCell ref="C930:C935"/>
    <mergeCell ref="C937:C942"/>
    <mergeCell ref="C944:C950"/>
    <mergeCell ref="C952:C957"/>
    <mergeCell ref="C959:C965"/>
    <mergeCell ref="C967:C972"/>
    <mergeCell ref="C974:C979"/>
    <mergeCell ref="C982:C987"/>
    <mergeCell ref="C989:C994"/>
    <mergeCell ref="C996:C1001"/>
    <mergeCell ref="C1003:C1009"/>
    <mergeCell ref="C1011:C1016"/>
    <mergeCell ref="C1018:C1023"/>
    <mergeCell ref="C1025:C1047"/>
    <mergeCell ref="C1050:C1054"/>
    <mergeCell ref="C1056:C1073"/>
    <mergeCell ref="C1075:C1092"/>
    <mergeCell ref="C1172:C1183"/>
    <mergeCell ref="C1185:C1197"/>
    <mergeCell ref="C1200:C1211"/>
    <mergeCell ref="C1213:C1220"/>
    <mergeCell ref="C1222:C1238"/>
    <mergeCell ref="C1094:C1103"/>
    <mergeCell ref="C1105:C1114"/>
    <mergeCell ref="C1116:C1124"/>
    <mergeCell ref="C1128:C1136"/>
    <mergeCell ref="C1138:C1150"/>
    <mergeCell ref="C1152:C1157"/>
    <mergeCell ref="C1159:C1170"/>
    <mergeCell ref="C49:C62"/>
    <mergeCell ref="D49:D62"/>
    <mergeCell ref="B6:B28"/>
    <mergeCell ref="C6:C28"/>
    <mergeCell ref="D6:D28"/>
    <mergeCell ref="B29:B48"/>
    <mergeCell ref="C29:C48"/>
    <mergeCell ref="D29:D48"/>
    <mergeCell ref="B49:B62"/>
    <mergeCell ref="C95:C108"/>
    <mergeCell ref="D95:D108"/>
    <mergeCell ref="B63:B79"/>
    <mergeCell ref="C63:C79"/>
    <mergeCell ref="D63:D79"/>
    <mergeCell ref="B81:B94"/>
    <mergeCell ref="C81:C94"/>
    <mergeCell ref="D81:D94"/>
    <mergeCell ref="B95:B108"/>
    <mergeCell ref="C137:C149"/>
    <mergeCell ref="D137:D149"/>
    <mergeCell ref="B109:B122"/>
    <mergeCell ref="C109:C122"/>
    <mergeCell ref="D109:D122"/>
    <mergeCell ref="B123:B136"/>
    <mergeCell ref="C123:C136"/>
    <mergeCell ref="D123:D136"/>
    <mergeCell ref="B137:B149"/>
    <mergeCell ref="B842:B861"/>
    <mergeCell ref="C842:C861"/>
    <mergeCell ref="D842:D861"/>
    <mergeCell ref="B862:B882"/>
    <mergeCell ref="C862:C882"/>
    <mergeCell ref="D862:D882"/>
    <mergeCell ref="C883:C887"/>
    <mergeCell ref="C453:C467"/>
    <mergeCell ref="D453:D467"/>
    <mergeCell ref="B426:B434"/>
    <mergeCell ref="C426:C434"/>
    <mergeCell ref="D426:D434"/>
    <mergeCell ref="B435:B452"/>
    <mergeCell ref="C435:C452"/>
    <mergeCell ref="D435:D452"/>
    <mergeCell ref="B453:B467"/>
    <mergeCell ref="C483:C486"/>
    <mergeCell ref="D483:D486"/>
    <mergeCell ref="B468:B474"/>
    <mergeCell ref="C468:C474"/>
    <mergeCell ref="D468:D474"/>
    <mergeCell ref="B476:B482"/>
    <mergeCell ref="C476:C482"/>
    <mergeCell ref="D476:D482"/>
    <mergeCell ref="B483:B486"/>
    <mergeCell ref="C505:C511"/>
    <mergeCell ref="D505:D511"/>
    <mergeCell ref="B487:B495"/>
    <mergeCell ref="C487:C495"/>
    <mergeCell ref="D487:D495"/>
    <mergeCell ref="B496:B504"/>
    <mergeCell ref="C496:C504"/>
    <mergeCell ref="D496:D504"/>
    <mergeCell ref="B505:B511"/>
    <mergeCell ref="C526:C529"/>
    <mergeCell ref="D526:D529"/>
    <mergeCell ref="B512:B519"/>
    <mergeCell ref="C512:C519"/>
    <mergeCell ref="D512:D519"/>
    <mergeCell ref="B520:B525"/>
    <mergeCell ref="C520:C525"/>
    <mergeCell ref="D520:D525"/>
    <mergeCell ref="B526:B529"/>
    <mergeCell ref="C543:C549"/>
    <mergeCell ref="D543:D549"/>
    <mergeCell ref="B530:B535"/>
    <mergeCell ref="C530:C535"/>
    <mergeCell ref="D530:D535"/>
    <mergeCell ref="B536:B542"/>
    <mergeCell ref="C536:C542"/>
    <mergeCell ref="D536:D542"/>
    <mergeCell ref="B543:B549"/>
    <mergeCell ref="C562:C583"/>
    <mergeCell ref="D562:D583"/>
    <mergeCell ref="B550:B555"/>
    <mergeCell ref="C550:C555"/>
    <mergeCell ref="D550:D555"/>
    <mergeCell ref="B556:B561"/>
    <mergeCell ref="C556:C561"/>
    <mergeCell ref="D556:D561"/>
    <mergeCell ref="B562:B583"/>
    <mergeCell ref="C601:C615"/>
    <mergeCell ref="D601:D615"/>
    <mergeCell ref="A644:A646"/>
    <mergeCell ref="A771:A784"/>
    <mergeCell ref="B584:B585"/>
    <mergeCell ref="C584:C585"/>
    <mergeCell ref="D584:D585"/>
    <mergeCell ref="B586:B600"/>
    <mergeCell ref="C586:C600"/>
    <mergeCell ref="D586:D600"/>
    <mergeCell ref="B601:B615"/>
  </mergeCells>
  <conditionalFormatting sqref="F277:F283">
    <cfRule type="notContainsBlanks" dxfId="3" priority="1">
      <formula>LEN(TRIM(F277))&gt;0</formula>
    </cfRule>
  </conditionalFormatting>
  <dataValidations>
    <dataValidation type="list" allowBlank="1" sqref="H1177:K1177">
      <formula1>"CleanUp,Copy of Data,CreateDoneAwayOrder,SelectAllocatedGroup,EditAllocatedGridWPF,SaveAllocation,Copy of Data 1,EditAllocatedGridWPF1"</formula1>
    </dataValidation>
    <dataValidation type="list" allowBlank="1" sqref="H631:K631">
      <formula1>"CreateDoneAwayOrder,SelectUnallocatedGroup,EnterAccountValuesToAllocate,CheckAllocatedGroups,VerifyLongPositionsGrid,CheckPortfolioManagement,VerifyActivity,GetDataAllocation,GetDataClosing,GetActivityData"</formula1>
    </dataValidation>
    <dataValidation type="list" allowBlank="1" sqref="H1209:K1210">
      <formula1>"CreateDoneAwayOrder,GetDataAllocation,SelectAllocatedGroup,EditAllocatedGridTaxlot,GetActivityData,CheckAllocatedGroups"</formula1>
    </dataValidation>
    <dataValidation type="list" allowBlank="1" sqref="H1149:K1149">
      <formula1>"CleanUp,Copy of Data,CreateDoneAwayOrder,GetDataAllocation,SelectUnallocatedGroup,EditUnallocatedGridWPF,CheckUnallocatedGroups,SelectAllocatedGroup,EditAllocatedGridWPF,CheckAllocatedGroups,GetDataClosing,VerifyLongPositionsGrid,CheckPortfolioManagement,"&amp;"GetRevaluationData,Copy of Data 1,Copy of Data 1_conflict2081662786,Copy of Data 2,GetActivityData"</formula1>
    </dataValidation>
    <dataValidation type="list" allowBlank="1" sqref="F493 F502">
      <formula1>"CheckDashboardPM,CheckPortfolioManagement,OpenPSTFromPM,ClosePM,FilterPM,GroupRowPM,CheckDashboardWithPM,RemoveFilterPM,CheckSummaryRowsPM,OpenPTTFromPM,,,,,,,,,,,,,,,,,,,,,,,,,,,,,,,,,,,,,,,,,,,,,,,,,,,,,,,,,,,,,,,,,,,,,,,,,,,,,,,,,,,,,,,,,,,,,,,,,,,,,,,"&amp;",,,,,,,,,,,,,,,,,,,,,,,,,,,,,,,,,,,,,,,,,,,,,,,,,,,,,,,,,,,,,,,,,,,,,,,,,,,,,,,,,,,,,,,,,,,,,,,,,,,,,,,,,,,,,,,,,,,,,,,,,,,,,,,,,,,,,,,,,,,,,,,,,,,,,,,,,,,,,,,,,,,,,,,,,,,,,,,,,,,,,,,,,,,,,,,,,,,,,,,,,,,,,,,,,,,,,,,,,,,,,,,,,,,,,,,,,,,,,,,,,,,,,,,,,,,,,,,"&amp;",,,,,,,,,,,,,,,,,,,,,,,,,,,,,,,,,,,,,,,,,,,,,,,,,,,,,,,,,,,,,,,,,,,,,,,,,,,,,,,,,,,,,,,,,,,,,,,,,,,,,,,,,,,,,,,,,,,,,,,,,,,,,,,,,"</formula1>
    </dataValidation>
    <dataValidation type="list" allowBlank="1" sqref="H1145:K1145">
      <formula1>"CleanUp,Copy of Data,CreateDoneAwayOrder,GetDataAllocation,SelectUnallocatedGroup,EditUnallocatedGridWPF,CheckUnallocatedGroups,SelectAllocatedGroup,EditAllocatedGridWPF,CheckAllocatedGroups"</formula1>
    </dataValidation>
    <dataValidation type="list" allowBlank="1" sqref="H999:K999">
      <formula1>"ClosingCleanUp,CleanUp,RestartServer,CreateDoneAwayOrder"</formula1>
    </dataValidation>
    <dataValidation type="list" allowBlank="1" sqref="H1227:K1227">
      <formula1>"CleanUp,CreateDoneAwayOrder,Copy of Data 1,GetDataAllocation,SelectUnallocatedGroup,EnterAccountValuesToAllocate"</formula1>
    </dataValidation>
    <dataValidation type="list" allowBlank="1" sqref="F1052 H1052 F1058 H1058 F1077 F1097:F1098 F1108:F1109 F1119:F1122 F1131 F1139 F1153 F1160 F1173 F1186 F1201 F1214 F1223">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UpdateMasterFundOnTT,,,,,,,,,,,,,,,,,,,,,,,,,,,,,,,,,,,,,,,,,,,,,,,,,,,,,,,,,,,,,,,,,,,,,,,,,,,,,,,,,,,,,,,,,,,,,,,,,,,,,,,,,,,,,,,,,,,,,,,,,,,,,,,,,,,,,,,,,,,,,,,,,,,,,,,,,,,,,,,,,,,,,,,,,,,,,,,,,,,,,,,,,,,,,,,,,,,,,,,"&amp;",,,,,,,,,,,,,,,,,,,,,,,,,,,,,,,,,,,,,,,,,,,,,,,,,,,,,,,,,,,,,,,,,,,,,,,,,,,,,,,,,,,,,,,,,,,,,,,,,,,,,,,,,,,,,,,,,,,,,,,,,,,,,,,,,,,,,,,,,,,,,,,,,,,,,,,,,,,,,,,,,,,,,,,,,,,,,,,,,,,,,,,,,,,,,,,,,,,,,,,,,,,,,,,,,,,,,,,,,,,,,,,,,,,,,,,,,,,,,,,,,,,,,,,,,,,,,,,"&amp;",,,,,,,,,,,,,,,,,,,,,,,,,"</formula1>
    </dataValidation>
    <dataValidation type="list" allowBlank="1" sqref="H1229:K1229">
      <formula1>"CleanUp,CreateDoneAwayOrder,Copy of Data 1,GetDataAllocation,SelectUnallocatedGroup,EnterAccountValuesToAllocate,Allocate,Copy of Data 2,SelectAllocatedGroup"</formula1>
    </dataValidation>
    <dataValidation type="list" allowBlank="1" sqref="H359:K360">
      <formula1>"CleanUp,CreateDoneAwayOrder,SelectUnallocatedGroup,EditUnallocatedGrid,CheckUnallocatedGroups,SelectAllocatedGroup,EditAllocatedGrid,CheckAllocatedGroups,GetDataClosing,VerifyLongPositionsGrid,CheckPortfolioManagement,GetActivityData,VerifyActivity"</formula1>
    </dataValidation>
    <dataValidation type="list" allowBlank="1" sqref="H1030:K1030">
      <formula1>"DisableCheckside,AddCalculatedPreferences,CreateDoneAwayOrder,SelectUnallocatedGroup,EnterAccountValuesToAllocate,CreateDoneAwayOrder1,SetGeneralPreferences,SetAccountValueCalculatedPref,SetDefaultRuleCalculatedPref"</formula1>
    </dataValidation>
    <dataValidation type="list" allowBlank="1" sqref="H1165:K1165">
      <formula1>"CleanUp,Copy of Data,CreateDoneAwayOrder,CreateDoneAwayOrder1,CreateDoneAwayOrder2,SelectUnallocatedGroup,EditUnallocatedGridWPF,SaveAllocation,SelectUnallocatedGroup1"</formula1>
    </dataValidation>
    <dataValidation type="list" allowBlank="1" sqref="H1047:K1047">
      <formula1>"DisableCheckside,AddCalculatedPreferences,SetAccountValueCalculatedPref,SetDefaultRuleCalculatedPref,CreateDoneAwayOrder,SelectUnallocatedGroup,EnterAccountValuesToAllocate,CreateDoneAwayOrder1,AddFillsSubOrder,EditAddFillsDetails,VerifyWorkingSubs,GetDat"&amp;"aAllocation,CheckAllocatedGroups,Allocate,CheckUnallocatedGroups"</formula1>
    </dataValidation>
    <dataValidation type="list" allowBlank="1" sqref="H1102:K1102 H1113:K1113">
      <formula1>"ShowMasterFundOnTT,UpdateMasterFundOnTT,CreateDoneAwayOrder,VerifyOrder,GetDataAllocation,CheckUnallocatedGroups,CheckAllocatedGroups"</formula1>
    </dataValidation>
    <dataValidation type="list" allowBlank="1" sqref="H1202:K1202">
      <formula1>"CreateDoneAwayOrder,GetDataAllocation,SelectAllocatedGroup,EditAllocatedGridTaxlot,GetActivityData"</formula1>
    </dataValidation>
    <dataValidation type="list" allowBlank="1" sqref="H1178:K1178">
      <formula1>"CleanUp,Copy of Data,CreateDoneAwayOrder,SelectAllocatedGroup,EditAllocatedGridWPF,SaveAllocation,Copy of Data 1"</formula1>
    </dataValidation>
    <dataValidation type="list" allowBlank="1" sqref="H426:K426 H432:K432">
      <formula1>"CreateDoneAwayOrder,SelectAllocatedGroup,BookOrUpdateSwap,VerifyWorkingSubs,VerifyOrder"</formula1>
    </dataValidation>
    <dataValidation type="list" allowBlank="1" sqref="H1123:K1123">
      <formula1>"CleanUp,ShowMasterFundOnTT,RestartClient,UpdateMasterFundOnTT,CreateDoneAwayOrder,Copy of Data,Copy of Data 1,UpdateMasterFundOnTT1,CreateDoneAwayOrder1,VerifyOrder"</formula1>
    </dataValidation>
    <dataValidation type="list" allowBlank="1" sqref="H1143:K1143">
      <formula1>"CleanUp,Copy of Data,CreateDoneAwayOrder,GetDataAllocation,SelectUnallocatedGroup,EditUnallocatedGridWPF,CheckUnallocatedGroups,SelectAllocatedGroup"</formula1>
    </dataValidation>
    <dataValidation type="list" allowBlank="1" sqref="H20:K20">
      <formula1>"AddCalculatedPreferences,SetAccountValueCalculatedPref,SetDefaultRuleCalculatedPref,SetGeneralRuleCalculatedPref,UpdateGRAccountValue,UpdateGRStrategyValue,UpdateGRDefaultRule,SetGeneralRuleCalculatedPref1,UpdateGRAccountValue1,UpdateGRDefaultRule1,SetGen"&amp;"eralRuleCalculatedPref2,UpdateGRAccountValue2,UpdateGRDefaultRule2,SetGeneralRuleCalculatedPref3,UpdateGRAccountValue3,UpdateGRDefaultRule3,CreateDoneAwayOrder,SelectUnallocatedGroup,EnterAllocatePreference,CheckAllocatedGroups,GetDataClosing,VerifyLongPo"&amp;"sitionsGrid,VerifyShortPositionsGrid,GetDataAllocation"</formula1>
    </dataValidation>
    <dataValidation type="list" allowBlank="1" sqref="H1012:K1012">
      <formula1>"SetGeneralPreferences,CreateDoneAwayOrder,GetDataAllocation,CheckAllocatedGroups,DisableCheckside"</formula1>
    </dataValidation>
    <dataValidation type="list" allowBlank="1" sqref="H923:K923">
      <formula1>"DisableCheckside,CreateDoneAwayOrder,GetDataAllocation,CheckAllocatedGroups,CheckUnallocatedGroups,Copy of Data,Copy of Data 1"</formula1>
    </dataValidation>
    <dataValidation type="list" allowBlank="1" sqref="E6:E1237 E1239:E1409">
      <formula1>'_Modules'!$A$4:$A1409</formula1>
    </dataValidation>
    <dataValidation type="list" allowBlank="1" sqref="F989:F990 F993:F994 F996:F997 F1000:F1001 F1003:F1004 F1007:F1009 F1011:F1012 F1015:F1016 F1018:F1019 F1022:F1023 F1025:F1026 H1026 F1028:F1032 F1034:F1036 F1038 F1045:F104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amp;",,,,,,,,,,,,,,,,,,,,,,,,,,,,,,,,,,,,,,,,,,,,,,,,,,,,,,,,,,,,,,,,,,,,,,,,,,,,,,,,,,,,,,,,,,,,,,,,,,,,,,,,,,,,,,,,,,,,,,,,,,,,,,,,,,,,,,,,,,,,,,,,,,,,,,,,,,,,,,,,,,,,,,,,,,,,,,,,,,,,,,,,,,,,,,,,,,,,,,,,,,,,,,,,,,,,,,,,,,,,,,,,,,,,,,,,,,,,,,,,,,,,,,,,,,,,,,,"&amp;",,,,,,,,,,,,,,,,,,,,,,,,,,,,,,,,,,,,,,,,,,,,,,,,,,,,,,,,,,,,,,,,,,,,,,,,,,,,,,,,,,,,,,,,,,,,,,,,,,,,,"</formula1>
    </dataValidation>
    <dataValidation type="list" allowBlank="1" sqref="H1001:K1001">
      <formula1>"ClosingCleanUp,CleanUp,RestartServer,CreateDoneAwayOrder,GetDataAllocation,Allocate,DisableCheckside,CheckAllocatedGroups"</formula1>
    </dataValidation>
    <dataValidation type="list" allowBlank="1" sqref="H1164:K1164">
      <formula1>"CleanUp,Copy of Data,CreateDoneAwayOrder,CreateDoneAwayOrder1,CreateDoneAwayOrder2,SelectUnallocatedGroup,EditUnallocatedGridWPF,SaveAllocation"</formula1>
    </dataValidation>
    <dataValidation type="list" allowBlank="1" sqref="H1073:K1073">
      <formula1>"CreateDoneAwayOrder,GetDataAllocation,Allocate,CheckUnallocatedGroups,GetDataClosing,VerifyLongPositionsGrid,VerifyShortPositionsGrid"</formula1>
    </dataValidation>
    <dataValidation type="list" allowBlank="1" sqref="H1014:K1014">
      <formula1>"SetGeneralPreferences,CreateDoneAwayOrder,GetDataAllocation,CheckAllocatedGroups,DisableCheckside,RestartServer"</formula1>
    </dataValidation>
    <dataValidation type="list" allowBlank="1" sqref="H1167:K1168">
      <formula1>"CreateDoneAwayOrder,SelectUnallocatedGroup,EditUnallocatedGridWPF,SelectUnallocatedGroup1,EditUnallocatedGridWPF1,CheckUnallocatedGroups"</formula1>
    </dataValidation>
    <dataValidation type="list" allowBlank="1" sqref="H1039 F1039:F1040 F1051 F1053:F1054 H1054 F1057 H1060 F1059:F1070 F1076 F1078:F1088 F1090:F1092 F1094:F1095 F1100:F1102 F1105:F1106 F1111:F1113 F1116:F1117 F1124:F1125 F1128:F1129 F1133:F1134 F1138 F114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amp;",,,,,,,,,,,,,,,,,,,,,,,,,,,,,,,,,,,,,,,,,,,,,,,,,,,,,,,,,,,,,,,,,,,,,,,,,,,,,,,,,,,,,,,,,,,,,,,,,,,,,,,,,,,,,,,,,,,,,,,,,,,,,,,,,,,,,,,,,,,,,,,,,,"</formula1>
    </dataValidation>
    <dataValidation type="list" allowBlank="1" sqref="H1079:K1079">
      <formula1>"CreateDoneAwayOrder,GetDataAllocation,CheckAllocatedGroups"</formula1>
    </dataValidation>
    <dataValidation type="list" allowBlank="1" sqref="H1086:K1086">
      <formula1>"CreateDoneAwayOrder,GetDataAllocation,CheckAllocatedGroups,SetGeneralPreferences,SelectAllocatedGroup,EditAllocatedGrid,CheckAllocatedGroups1,SetGeneralPreferences1,EditAllocatedGrid1,CheckAllocatedGroups2,Unallocate,CheckUnallocatedGroups,se"</formula1>
    </dataValidation>
    <dataValidation type="list" allowBlank="1" sqref="H1009:K1009">
      <formula1>"DisableCheckside,CreateDoneAwayOrder,GetDataAllocation,CheckAllocatedGroups,CheckUnallocatedGroups"</formula1>
    </dataValidation>
    <dataValidation type="list" allowBlank="1" sqref="H1097:K1097">
      <formula1>"CleanUp,ShowMasterFundOnTT,RestartClient,Copy of Data,Copy of Data_conflict1207847268,Up,Copy of Data 1,Copy of Data 1_conflict1764916799,UpdateMasterFundOnTT"</formula1>
    </dataValidation>
    <dataValidation type="list" allowBlank="1" sqref="F470:F471">
      <formula1>"Allocate,CheckAllocation,Unallocate,GetDataAllocation,SelectTradeAllocation,EditTradesAllocated,EditTradesUnallocated,Reallocate,CleanUp,EditTrades,TradeAttributeBulkChange,CommissionBulkChange,GeneralPreferencesDefaultRule,GeneralPreferencesCompanyUserWi"&amp;"se,AttributeRenaming,AutoGroupingRules,MasterFundRatioAllocation,CheckFixedPreferenceScheme,GetFixedScheme,AddCalculatedPreferences,BulkChangeCalculatedPreferences,DeleteCalculatedPreferences,RenameCalculatedPreferences,CopyCalculatedPreferences,RunAutoGr"&amp;"oup,SwapControl,RunProrata,SetDefaultRuleForCalculatedPreference,RenameTradeAttributes,SetAccountValueCalculatedPref,TradeAttributeBulkChange,TradeAttributeBulkChangeGroup,TradeAttributeBulkChangeTaxlots,TradeAttributeBulkChangeGroups,SetMasterFundRatio,A"&amp;"ddCalculatedPreferenceToolbar,SetGroupingRules,ApplyBulkUpdateOnGroups,SetStrategyValueCalculatedPref,ApplyBulkUpdateOnTaxlots,SetDefaultRuleCalculatedPref,CommissionBulkChangeOnGroups,CommissionBulkChangeOnTaxlots,BookOrUpdateSwap,SelectUnallocatedGroup,"&amp;"SelectAllocatedGroup,EnterAccountValuesToAllocate,ApplyPrefetchFilters,EnterAllocatePerference,EnterStrategyValuesToAllocate,CopyCalculatedPreferencesToolbar,SetGeneralRuleCalculatedPref,CopyCalculatedPreferenceToolbar,EnterAllocatePreference,ExportAllCal"&amp;"culatedPreferences,SaveCalculatedPreferences,ExportAllCalculatedPreferences,SaveCalculatedPreferences,CloseCalculatedPreferences,ExportCalculatedPreference,EditUnallocatedGroupSidePanel,ImportCalculatedPreferences,OpenAuditTrailUnallocatedGroup,DeleteCalc"&amp;"ulatedPreferencesTool,ImportCalculatedPreferencesTool,ExportAllCalculatedPreferTool,CheckFixedPreference,DeleteFixedPreference,OpenSymbolLookupUnallocateGroup,OpenSymbolLookupAllocatedGroup,ExportAllCalculatedPreferTool,ExportAllCalculatedPreferences,GetF"&amp;"ixedPreference,CheckAllocatedGroups,CheckUnallocatedGroups,SetGeneralPreferences,EditAllocatedGroupSidePanel,OpenAuditTrailAllocatedGroup,GroupTrades,UngroupTrades,DeleteGroup,CloseOrder,Unallocate,,,,,,,,,,,,,,,,,,,,,,,,,,,,,,,,,,,,,,,,,,,,,,,,,,,,,,,,,,"&amp;",,,,,,,,,,,,,,,,,,,,,,,,,,,,,,,,,,,,,,,,,,,,,,,,,,,,,,,,,,,,,,,,,,,,,,,,,,,,,,,,,,,,,,,,,,,,,,,,,,,,,,,,,,,,,,,,,,,,,,,,,,,,,,,,,,,,,,,,,,,,,,,,,,,,,,,,,,,,,,,,,,,,,,,,,,,,,,,,,,,,,,,,,,,,,,,,,,,,,,,,,,,,,,,,,,,,,,,,,,,,,,,,,,,,,,,,,,,,,,,,,,,,,,,,,,,,,,,"&amp;",,,,,,,,,,,,,,,,,,,,,,,,,,,,,,,,,,,,,,,,,,,,,,,,,,,,,,,,,,,,,,,,,,,,,,,,,,,,,,,,,,,,,,,,,,,,,,,,,,,,,"</formula1>
    </dataValidation>
    <dataValidation type="list" allowBlank="1" sqref="F948:F95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ApplyMasterFundFilter,,,,,,,,,,,,,,,,,,,,,,,,,,,,,,,"&amp;",,,,,,,,,,,,,,,,,,,,,,,,,,,,,,,,,,,,,,,,,,,,,,,,,,,,,,,,,,,,,,,,,,,,,,,,,,,,,,,,,,,,,,,,,,,,,,,,,,,,,,,,,,,,,,,,,,,,,,,,,,,,,,,,,,,,,,,,,,,,,,,,,,,,,,,,,,,,,,,,,,,,,,,,,,,,,,,,,,,,,,,,,,,,,,,,,,,,,,,,,,,,,,,,,,,,,,,,,,,,,,,,,,,,,,,,,,,,,,,,,,,,,,,,,,,,,,,"&amp;",,,,,,,,,,,,,,,,,,,,,,,,,,,,,,,,,,,,,,,,,,,,,,,,,,,,,,,,,,,,,,,,,,,,,,,,,,,,,,,,,,,,,,,,,,,,,,,,,,,,,,,,"</formula1>
    </dataValidation>
    <dataValidation type="list" allowBlank="1" sqref="F80 F475">
      <formula1>"DeleteClientDataUsingScript,DeleteClientData,,,,,,,,,,,,,,,,,,,,,,,,,,,,,,,,,,,,,,,,,,,,,,,,,,,,,,,,,,,,,,,,,,,,,,,,,,,,,,,,,,,,,,,,,,,,,,,,,,,,,,,,,,,,,,,,,,,,,,,,,,,,,,,,,,,,,,,,,,,,,,,,,,,,,,,,,,,,,,,,,,,,,,,,,,,,,,,,,,,,,,,,,,,,,,,,,,,,,,,,,,,,,,,,,,,"&amp;",,,,,,,,,,,,,,,,,,,,,,,,,,,,,,,,,,,,,,,,,,,,,,,,,,,,,,,,,,,,,,,,,,,,,,,,,,,,,,,,,,,,,,,,,,,,,,,,,,,,,,,,,,,,,,,,,,,,,,,,,,,,,,,,,,,,,,,,,,,,,,,,,,,,,,,,,,,,,,,,,,,,,,,,,,,,,,,,,,,,,,,,,,,,,,,,,,,,,,,,,,,,,,,,,,,,,,,,,,,,,,,,,,,,,,,,,,,,,,,,,,,,,,,,,,,,,,,"&amp;",,,,,,,,,,,,,,,,,,,,,,,,,,,,,"</formula1>
    </dataValidation>
    <dataValidation type="list" allowBlank="1" sqref="H1033:K1033">
      <formula1>"DisableCheckside,CreateDoneAwayOrder"</formula1>
    </dataValidation>
    <dataValidation type="list" allowBlank="1" sqref="H1044:K1044">
      <formula1>"DisableCheckside,AddCalculatedPreferences,SetAccountValueCalculatedPref,SetDefaultRuleCalculatedPref,CreateDoneAwayOrder,SelectUnallocatedGroup,EnterAccountValuesToAllocate,CreateDoneAwayOrder1,AddFillsSubOrder,EditAddFillsDetails,VerifyWorkingSubs,GetDat"&amp;"aAllocation"</formula1>
    </dataValidation>
    <dataValidation type="list" allowBlank="1" sqref="F175 F218 F228 F246 F251 F257 F272 F286 F435 F453 F562 F588 F601 F631 F646 F659 F697 F714">
      <formula1>"TradeUsingTT,OpenTTFromPST,EnterDetailsOnTT,ValidateSymbolTT,VerifyDataTT,SetUIPreferencesTT,SetBrokerWisePreferencesTT,TradeNewSub,CreateStageOrder,CreateReplaceOrder,CreateReplaceOrder,EditOrder,SetGeneralPreference,CreateDoneAwayOrder,,,,,,,,,,,,,,,,,,"&amp;",,,,,,,,,,,,,,,,,,,,,,,,,,,,,,,,,,,,,,,,,,,,,,,,,,,,,,,,,,,,,,,,,,,,,,,,,,,,,,,,,,,,,,,,,,,,,,,,,,,,,,,,,,,,,,,,,,,,,,,,,,,,,,,,,,,,,,,,,,,,,,,,,,,,,,,,,,,,,,,,,,,,,,,,,,,,,,,,,,,,,,,,,,,,,,,,,,,,,,,,,,,,,,,,,,,,,,,,,,,,,,,,,,,,,,,,,,,,,,,,,,,,,,,,,,,,,,,"&amp;",,,,,,,,,,,,,,,,,,,,,,,,,,,,,,,,,,,,,,,,,,,,,,,,,,,,,,,,,,,,,,,,,,,,,,,,,,,,,,,,,,,,,,,,,,,,,,,,,,,,,,,,,,,,,,,,,,,,,,,,,,,,,,,,,,,,,,,,,,,,,,,,,,,,,,,,,,,,,,,,,,,,,,,,,,,,,,,,,,,,,,,,,,,,,,,,,,,,,,,,,,,,,,,,,,"</formula1>
    </dataValidation>
    <dataValidation type="list" allowBlank="1" sqref="F449 F464 F597 F612 F627 F640 F655 F669 F692 F737 F751 F766 F781 F796">
      <formula1>"GetDataCash,EnterCashDividends,EnterNonTradingTransaction,VerifyCash,VerifyActivityTabData,VerifyTradingTransactionData,VerifyRevaluationData,VerifyActivityTabData,VerifyTradingTransactionData,GetTransactionData,GetTradingTransaction,GetActivityData,Verif"&amp;"yTradingTransaction,GetRevaluationData,VerifyActivity,GetAccountDetails,GetAccountDetails,GetNonTradingTransactio,GetNonTradingTransaction,GetDividendData,VerifyNonTradingTransaction,VerifyNonTradingTransaction,VerifyRevaluationData,VerifyDividend,GetOpen"&amp;"ingBalance,GetOpeningBalanceData,GetAccountBalance,SelectNonTradingTransaction,SelectNonTradingTranItem,DeleteNonTradingTransaction,DeleteNonTradingTranItem,AddNonTradingTransaction,AddNonTradingTranItem,VerifyOpeningBalance,VerifyOpeningBalanceData,Selec"&amp;"tOpeningBalanceTransaction,SelectOpeningBalanceTransaction,SelectOpeningBalanceTransaction,SelectOpeningBalanceTransaction,SelectOpeningBalanceTranItem,EditNonTradingTransaction,EditNonTradingTransaction,EditNonTradingTranItem,DeleteOpeningBalanceTransact"&amp;"ion,DeleteOpeningBalanceTransaction,DeleteOpeningBalanceTranItem,GetDayEndCash,CalculateDayEndCash,VerifyDayEndCash,RunRevaluation,CalculateDayEndCash,GetCashTransaction,SelectCashTransaction,DeleteCashTransaction,EditCashTransaction,AddCashTransaction,Ad"&amp;"dOpeningBalanceTransaction,AddOpeningBalanceTranItem,GetDailyCalculationsData,CalculateDailyCalculations,EditNonTradingTransaction,EditOpeningBalanceTranItem,EditOpeningBalanceTransaction,VerifyDailyCalTransactions,CloseGeneralLedger,VerifyAccountDetails,"&amp;",,,,,,,,,,,,,,,,,,,,,,,,,,,,,,,,,,,,,,,,,,,,,,,,,,,,,,,,,,,,,,,,,,,,,,,,,,,,,,,,,,,,,,,,,,,,,,,,,,,,,,,,,,,,,,,,,,,,,,,,,,,,,,,,,,,,,,,,,,,,,,,,,,,,,,,,,,,,,,,,,,,,,,,,,,,,,,,,,,,,,,,,,,,,,,,,,,,,,,,,,,,,,,,,,,,,,,,,,,,,,,,,,,,,,,,,,,,,,,,,,,,,,,,,,,,,,,,"&amp;",,,,,,,,,,,,,,,,,,,,,,,,,,,,,,,,,,,,,,,,,,,,,,,,,,,,,,,,,,,,,,,,,,,,,,,,,,,,,,,,,,,,,,,,,,,,,,,,,,,,,,,,,,,,,,,,,,,,,,,,,,,,,,,,,,,,,,,,,,,,,,,,,,,,,,,,,,,,,,,,,,,,,,,,,,,,,,,"</formula1>
    </dataValidation>
    <dataValidation type="list" allowBlank="1" sqref="F359 F411 F414 F416:F417 F419 F422 F424">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SaveCalculatedPreferences,CloseCalculatedPreferences,ExportCalculatedPreference,ImportCalculatedPreferences,OpenAuditTrailUnallocatedGroup,DeleteCalculatedPreferencesTool,ImportCalculatedPreferencesTool,Expo"&amp;"rtAllCalculatedPreferTool,OpenAuditTrailAllocatedGroup,OpenSymbolLookupUnallocateGroup,OpenSymbolLookupAllocatedGroup,DeleteFixedPreference,EditAllocatedGroupSidePanel,CheckUnallocatedGroups,SetGeneralPreferences,UngroupTrades,GroupTrades,DeleteGroup,Clos"&amp;"eOrder,Unallocate,CloseAllocation,UpdateGRAccountValue,UpdateGRStrategyValue,UpdateGRDefaultRule,UpdateGeneralRulePref,ModifyGRPreferenceValues,AddMFPreferences,AddMFPreferenceToolbar,DeleteMFPreferences,DeleteMFPreferenceToolbar,RenameMFPreferences,SaveC"&amp;"loseMFPreference,SetMFPrefAccountValues,ModifyMFPrefGeneralRuleValues,SetMFPrefStrategyValues,SetMFPrefGeneralRule,SetMFPrefFundDistribution,SetMFPreferencesDefaultRule,SetMFPrefFundDefaultRule,ClearPrefetchFilters,ExpandCollapseAllUnallocated,ExpandColla"&amp;"pseAllAllocated,GenerateCashTransaction,SaveAllocation,SaveAllocation,UnallocateWithOutSave,EditUnallocatedGrid,EditAllocatedGrid,SaveLayoutAllocatedGrid,SaveLayoutUnallocatedGrid,SaveLayoutAllocationUI,ClearFiltersAllocatedGrid,ClearFiltersUnallocatedGri"&amp;"d,VerifyLayoutAllocatedGrid,VerifyLayoutUnallocatedGrid,,,,,,,,,,,,,,,,,,,,,,,,,,,,,,,,,,,,,,,,,,,,,,,,,,,,,,,,,,,,,,,,,,,,,,,,,,,,,,,,,,,,,,,,,,,,,,,,,,,,,,,,,,,,,,,,,,,,,,,,,,,,,,,,,,,,,,,,,,,,,,,,,,,,,,,,,,,,,,,,,,,,,,,,,,,,,,,,,,,,,,,,,,,,,,,,,,,,,,,,"&amp;",,,,,,,,,,,,,,,,,,,,,,,,,,,,,,,,,,,,,,,,,,,,,,,,,,,,,,,,,,,,,,,,,,,,,,,,,,,,,,,,,,,,,,,,,,,,,,,,,,,,,,,,,,,,,,,,,,,,,,,,,,,,,,,,,,,,,,,,,,,,,,,,,,,,,,,,,,,,,,,,,,,,,,,,,,,,,,,,,,,,,,,,,,,,,,,,,,,,,"</formula1>
    </dataValidation>
    <dataValidation type="list" allowBlank="1" sqref="F22 F42 F56 F73 F88 F102 F116 F130 F144 F156 F169 F185 F235 F262 F277 F294 F444 F459 F479 F488 F497 F508 F516 F522 F532 F539 F546 F552 F558 F564 F592 F607 F622 F635 F650 F664 F678 F687 F703 F719 F732 F746 F761 F776 F791">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536 F621">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1053:K1053 H1059">
      <formula1>"CreateDoneAwayOrder,Allocate,CheckUnallocatedGroups,GetDataAllocation"</formula1>
    </dataValidation>
    <dataValidation type="list" allowBlank="1" sqref="F924 F932 F939 F946 F954 F961 F969 F976 F984 F991 F998 F1005 F1013 F1020 F1027">
      <formula1>"RestartServer,UpdateServerConfig,,,,,,,,,,,,,,,,,,,,,,,,,,,,,,,,,,,,,,,,,,,,,,,,,,,,,,,,,,,,,,,,,,,,,,,,,,,,,,,,,,,,,,,,,,,,,,,,,,,,,,,,,,,,,,,,,,,,,,,,,,,,,,,,,,,,,,,,,,,,,,,,,,,,,,,,,,,,,,,,,,,,,,,,,,,,,,,,,,,,,,,,,,,,,,,,,,,,,,,,,,,,,,,,,,,,,,,,,,,,,,,"&amp;",,,,,,,,,,,,,,,,,,,,,,,,,,,,,,,,,,,,,,,,,,,,,,,,,,,,,,,,,,,,,,,,,,,,,,,,,,,,,,,,,,,,,,,,,,,,,,,,,,,,,,,,,,,,,,,,,,,,,,,,,,,,,,,,,,,,,,,,,,,,,,,,,,,,,,,,,,,,,,,,,,,,,,,,,,,,,,,,,,,,,,,,,,,,,,,,,,,,,,,,,,,,,,,,,,,,,,,,,,,,,,,,,,,,,,,,,,,,,,,,,,,,,,,,,,,,,,,"&amp;",,,,,,,,,,,,,,,,,"</formula1>
    </dataValidation>
    <dataValidation type="list" allowBlank="1" sqref="F1204 F1206:F120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EditUnallocatedGridWPF,EditAllocatedGridWPF,EditAllocatedGridTaxlot,,,,,,,,,,,,,,,,,,,,,,,,,,,,,,,,,,,,,,,,,,,,,,,,,,,,,,,,,,,,,,,,,,,,,,,,,,,,,,,,,,,,,,,,,,,,,,,,,,,,,,,,,,,,,,,,,,,,,,,,,,,,,,,,,,,,,,,,,,,,,,,,,,,,,,,,,,,,,,,,,,,,,,,,,,,,,,"&amp;",,,,,,,,,,,,,,,,,,,,,,,,,,,,,,,,,,,,,,,,,,,,,,,,,,,,,,,,,,,,,,,,,,,,,,,,,,,,,,,,,,,,,,,,,,,,,,,,,,,,,,,,,,,,,,,,,,,,,,,,,,,,,,,,,,,,,,,,,,,,,,,,,,,,,,,,,,,,,,,,,,,,,,,,,,,,,,,,,,,,,,,,,,,,,,,,,,,,,,,,,,,,,,,,,,,"</formula1>
    </dataValidation>
    <dataValidation type="list" allowBlank="1" sqref="H997:K997">
      <formula1>"ClosingCleanUp,CleanUp,RestartServer,CreateDoneAwayOrder,GetDataAllocation,Allocate,DisableCheckside"</formula1>
    </dataValidation>
    <dataValidation type="list" allowBlank="1" sqref="H1161:K1161">
      <formula1>"CleanUp,Copy of Data,CreateDoneAwayOrder,CreateDoneAwayOrder1,CreateDoneAwayOrder2,SelectUnallocatedGroup"</formula1>
    </dataValidation>
    <dataValidation type="list" allowBlank="1" sqref="H1063:K1064">
      <formula1>"CreateDoneAwayOrder,GetDataAllocation,CheckUnallocatedGroups,SelectUnallocatedGroup,EnterAccountValuesToAllocate,GetDataClosing,VerifyLongPositionsGrid,VerifyShortPositionsGrid,Allocate"</formula1>
    </dataValidation>
    <dataValidation type="list" allowBlank="1" sqref="H1135:K1135">
      <formula1>"CreateDoneAwayOrder,CleanUp,ShowMasterFundOnTT,RestartClient,VerifyOrder,GetDataAllocation,CheckAllocatedGroups,CheckPortfolioManagement"</formula1>
    </dataValidation>
    <dataValidation type="list" allowBlank="1" sqref="H1192:K1192">
      <formula1>"CleanUp,Copy of Data,CreateDoneAwayOrder,ManualClosing,CheckDashboardPM,SelectUnallocatedGroup,Copy of Data 1,SelectAllocatedGroup,EditAllocatedGridWPF,SaveAllocation,CheckPortfolioManagement,Copy of Data 2,Copy of Data 2_conflict200798871"</formula1>
    </dataValidation>
    <dataValidation type="list" allowBlank="1" sqref="F1014 F1021 F1033 F1037">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ShowMasterFund,,,,,,,,,,,,,,,,,,,,,,,,,,,,,,,,,,,,,,,,,,,,,,,,,,,,,,,,,,,,,,,,,,,,,,,,,,,,,,,,,,,,,,,,,,,,,,,,,,,,,,,,,,,,,,,,,,,,,,,,,,,,,,,,,,,,,,,,,,,,,,,,,,,,,,,,,,,,,,,,,,,,,,,,,,,,,,,,,,,,,,,,,,,,,,,,,,,,,,,,,,,,,"&amp;",,,,,,,,,,,,,,,,,,,,,,,,,,,,,,,,,,,,,,,,,,,,,,,,,,,,,,,,,,,,,,,,,,,,,,,,,,,,,,,,,,,,,,,,,,,,,,,,,,,,,,,,,,,,,,,,,,,,,,,,,,,,,,,,,,,,,,,,,,,,,,,,,,,,,,,,,,,,,,,,,,,,,,,,,,,,,,,,,,,,,,,,,,,,,,,,,,,,,,,,,,,,,,,,,,,,,,,,,,,,,,,,,,,,,,,,,,,,,,,,,,,,,,,,,,,,,,,"&amp;",,,,,,,,,,,,,,,,,,,"</formula1>
    </dataValidation>
    <dataValidation type="list" allowBlank="1" sqref="H1021:K1023">
      <formula1>"Copy of Data,ClosingCleanUp,CleanUp,SetGeneralPreferences,GetDataAllocation,CheckAllocatedGroups,Disable,DisableCheckside,RestartServer,Cre,CreateDoneAwayOrder,Res,Cr"</formula1>
    </dataValidation>
    <dataValidation type="list" allowBlank="1" sqref="I1026:K1026">
      <formula1>"DisableCheckside,AddCalculatedPreferences,SetAccountValueCalculatedPref,SetDefaultRuleCalculatedPref,CreateDoneAwayOrder,SelectUnallocatedGroup,EnterAccountValuesToAllocate,CreateDoneAwayOrder1,AddFillsSubOrder,EditAddFillsDetails,VerifyWorkingSubs,GetDat"&amp;"aAllocation,CheckAllocatedGroups,CheckUnallocatedGroups"</formula1>
    </dataValidation>
    <dataValidation type="list" allowBlank="1" sqref="F1041:F1044 F1048 F1099 F1110 F1123 F1132">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GoToAllocation,,,,,,,,,,,,,,,,,,,,,,,,,,,,,,,,,,,,,,,,,,,,,,,,,,,,,,,,,,,,,,,,,,,,,,,,,,,,,,,,,,,,,,,,,,,,,,,,,,"&amp;",,,,,,,,,,,,,,,,,,,,,,,,,,,,,,,,,,,,,,,,,,,,,,,,,,,,,,,,,,,,,,,,,,,,,,,,,,,,,,,,,,,,,,,,,,,,,,,,,,,,,,,,,,,,,,,,,,,,,,,,,,,,,,,,,,,,,,,,,,,,,,,,,,,,,,,,,,,,,,,,,,,,,,,,,,,,,,,,,,,,,,,,,,,,,,,,,,,,,,,,,,,,,,,,,,,,,,,,,,,,,,,,,,,,,,,,,,,,,,,,,,,,,,,,,,,,,,,"&amp;",,,,,,,,,,,,,,,,,,,,,,,,,,,,,,,,,,,,,,,,,,,,,,,,,,,,,,,,,,,,,,,,,,,,,,,,,,,,,,,,,,,,,,,,,,,,,,,,,,,,,"</formula1>
    </dataValidation>
    <dataValidation type="list" allowBlank="1" sqref="H1187:K1187">
      <formula1>"CreateDoneAwayOrder,ManualClosing,CheckPortfolioManagement,SelectAllocatedGroup,EditAllocatedGridWPF,CheckPortfolioManagement1,GetDataClosing"</formula1>
    </dataValidation>
    <dataValidation type="list" allowBlank="1" sqref="H1083:K1083">
      <formula1>"CreateDoneAwayOrder,GetDataAllocation,CheckAllocatedGroups,SetGeneralPreferences,SelectAllocatedGroup,EditAllocatedGrid"</formula1>
    </dataValidation>
    <dataValidation type="list" allowBlank="1" sqref="H1101:K1101 H1112:K1112">
      <formula1>"ShowMasterFundOnTT,UpdateMasterFundOnTT,CreateDoneAwayOrder,VerifyOrder,GetDataAllocation,CheckUnallocatedGroups"</formula1>
    </dataValidation>
    <dataValidation type="list" allowBlank="1" sqref="H1045:K1045">
      <formula1>"DisableCheckside,AddCalculatedPreferences,SetAccountValueCalculatedPref,SetDefaultRuleCalculatedPref,CreateDoneAwayOrder,SelectUnallocatedGroup,EnterAccountValuesToAllocate,CreateDoneAwayOrder1,AddFillsSubOrder,EditAddFillsDetails,VerifyWorkingSubs,GetDat"&amp;"aAllocation,CheckAllocatedGroups,Allocate,Copy of Data_conflict1910384419"</formula1>
    </dataValidation>
    <dataValidation type="list" allowBlank="1" sqref="H945:K945">
      <formula1>"DisableCheckside,CreateDoneAwayOrder,GetDataAllocation,CheckAllocatedGroups,CheckUnallocatedGroups,Copy of Data"</formula1>
    </dataValidation>
    <dataValidation type="list" allowBlank="1" sqref="F189 F266 F281 F448 F463 F596 F611 F626 F639 F654 F668 F691 F708 F723 F736 F750 F765 F780 F795">
      <formula1>"CheckDashboardPM,CheckPortfolioManagement,OpenPSTFromPM,ClosePM,FilterPM,GroupRowPM,CheckDashboardWithPM,RemoveFilterPM,CheckSummaryRowsPM,,,,,,,,,,,,,,,,,,,,,,,,,,,,,,,,,,,,,,,,,,,,,,,,,,,,,,,,,,,,,,,,,,,,,,,,,,,,,,,,,,,,,,,,,,,,,,,,,,,,,,,,,,,,,,,,,,,,,"&amp;",,,,,,,,,,,,,,,,,,,,,,,,,,,,,,,,,,,,,,,,,,,,,,,,,,,,,,,,,,,,,,,,,,,,,,,,,,,,,,,,,,,,,,,,,,,,,,,,,,,,,,,,,,,,,,,,,,,,,,,,,,,,,,,,,,,,,,,,,,,,,,,,,,,,,,,,,,,,,,,,,,,,,,,,,,,,,,,,,,,,,,,,,,,,,,,,,,,,,,,,,,,,,,,,,,,,,,,,,,,,,,,,,,,,,,,,,,,,,,,,,,,,,,,,,,,,,,,"&amp;",,,,,,,,,,,,,,,,,,,,,,,,,,,,,,,,,,,,,,,,,,,,,,,,,,,,,,,,,,,,,,,,,,,,,,,,,,,,,,,,,,,,,,,,,,,,,,,,,,,,,,,,,,,,,,,,,,,,"</formula1>
    </dataValidation>
    <dataValidation type="list" allowBlank="1" sqref="H1197:K1197">
      <formula1>"CleanUp,Copy of Data,CreateDoneAwayOrder,ManualClosing,CheckDashboardPM,SelectUnallocatedGroup,Copy of Data 1,SelectAllocatedGroup,EditAllocatedGridWPF,SaveAllocation,CheckPortfolioManagement"</formula1>
    </dataValidation>
    <dataValidation type="list" allowBlank="1" sqref="F587">
      <formula1>"Allocate,CheckAllocation,Unallocate,GetDataAllocation,SelectTradeAllocation,EditTradesAllocated,EditTradesUnallocated,Reallocate,CleanUp,EditTrades,TradeAttributeBulkChange,CommissionBulkChange,GeneralPreferencesDefaultRule,GeneralPrefCompanyUserWise,Attr"&amp;"ibuteRenaming,AutoGroupingRules,MasterFundRatioAllocation,CheckFixedPreferenceScheme,GetFixedScheme,AddCalculatedPreferences,BulkChangeCalculatedPreferences,DeleteCalculatedPreferences,RenameCalculatedPreferences,CopyCalculatedPreferences,RunAutoGroup,Swa"&amp;"pControl,RunProrata,SetDefaultRuleForCalculatedPreference,RenameTradeAttributes,SetAccountValueCalculatedPref,TradeAttributeBulkChange,TradeAttributeBulkChangeGroup,TradeAttributeBulkChangeTaxlots,TradeAttributeBulkChangeGroups,SetMasterFundRatio,AddCalcu"&amp;"latedPreferenceToolbar,SetGroupingRules,ApplyBulkUpdateOnGroups,SetStrategyValueCalculatedPref,ApplyBulkUpdateOnTaxlots,SetDefaultRuleCalculatedPref,CommissionBulkChangeOnGroups,CommissionBulkChangeOnTaxlots,BookOrUpdateSwap,SelectUnallocatedGroup,SelectA"&amp;"llocatedGroup,EnterAccountValuesToAllocate,ApplyPrefetchFilters,EnterAllocatePerference,EnterStrategyValuesToAllocate,CopyCalculatedPreferencesToolbar,SetGeneralRuleCalculatedPref,CopyCalculatedPreferenceToolbar,EnterAllocatePreference,ExportAllCalculated"&amp;"Preferences,SaveCalculatedPreferences,ExportAllCalculatedPreferences,SaveCalculatedPreferences,CloseCalculatedPreferences,ExportCalculatedPreference,EditUnallocatedGroupSidePanel,ImportCalculatedPreferences,OpenAuditTrailUnallocatedGroup,DeleteCalculatedP"&amp;"referencesTool,ImportCalculatedPreferencesTool,ExportAllCalculatedPreferTool,CheckFixedPreference,DeleteFixedPreference,OpenSymbolLookupUnallocateGroup,OpenSymbolLookupAllocatedGroup,ExportAllCalculatedPreferTool,ExportAllCalculatedPreferences,GetFixedPre"&amp;"ference,CheckAllocatedGroups,CheckUnallocatedGroups,SetGeneralPreferences,EditAllocatedGroupSidePanel,OpenAuditTrailAllocatedGroup,GroupTrades,UngroupTrades,DeleteGroup,CloseOrder,Unallocate,CloseAllocation,,,,,,,,,,,,,,,,,,,,,,,,,,,,,,,,,,,,,,,,,,,,,,,,,"&amp;",,,,,,,,,,,,,,,,,,,,,,,,,,,,,,,,,,,,,,,,,,,,,,,,,,,,,,,,,,,,,,,,,,,,,,,,,,,,,,,,,,,,,,,,,,,,,,,,,,,,,,,,,,,,,,,,,,,,,,,,,,,,,,,,,,,,,,,,,,,,,,,,,,,,,,,,,,,,,,,,,,,,,,,,,,,,,,,,,,,,,,,,,,,,,,,,,,,,,,,,,,,,,,,,,,,,,,,,,,,,,,,,,,,,,,,,,,,,,,,,,,,,,,,,,,,,,,,"&amp;",,,,,,,,,,,,,,,,,,,,,,,,,,,,,,,,,,,,,,,,,,,,,,,,,,,,,,,,,,,,,,,,,,,,,,,,,,,,,,,,,,,,,,,,,,,,,,,,,,,,,,,,,,,,,"</formula1>
    </dataValidation>
    <dataValidation type="list" allowBlank="1" sqref="H1017:K1017 H1077:K1077 H1131:K1131">
      <formula1>"CreateDoneAwayOrder"</formula1>
    </dataValidation>
    <dataValidation type="list" allowBlank="1" sqref="H1194:K1194">
      <formula1>"CleanUp,Copy of Data,CreateDoneAwayOrder,ManualClosing,CheckDashboardPM,SelectUnallocatedGroup,Copy of Data 1,SelectAllocatedGroup"</formula1>
    </dataValidation>
    <dataValidation type="list" allowBlank="1" sqref="H1088:K1088 H1090:K1090">
      <formula1>"CreateDoneAwayOrder,GetDataAllocation,CheckAllocatedGroups,SetGeneralPreferences,SelectAllocatedGroup,EditAllocatedGrid,CheckAllocatedGroups1,SetGeneralPreferences1,SelectAllocatedGroup1,EditAllocatedGrid1"</formula1>
    </dataValidation>
    <dataValidation type="list" allowBlank="1" sqref="H1142:K1142">
      <formula1>"CreateDoneAwayOrder,SelectUnallocatedGroup,EditUnallocatedGridWPF,SelectAllocatedGroup,EditAllocatedGridWPF,CheckAllocatedGroups,GetDataClosing,VerifyLongPositionsGrid,CheckPortfolioManagement,GetActivityData,VerifyActivity,CheckUnallocatedGroups"</formula1>
    </dataValidation>
    <dataValidation type="list" allowBlank="1" sqref="H556:K556">
      <formula1>"Unallocate,CheckUnallocatedGroups,CreateDoneAwayOrder,GetDataAllocation"</formula1>
    </dataValidation>
    <dataValidation type="list" allowBlank="1" sqref="H1226:K1226">
      <formula1>"CleanUp,CreateDoneAwayOrder,Copy of Data 1,GetDataAllocation,SelectUnallocatedGroup"</formula1>
    </dataValidation>
    <dataValidation type="list" allowBlank="1" sqref="H1124:K1124">
      <formula1>"CleanUp,ShowMasterFundOnTT,RestartClient,UpdateMasterFundOnTT,CreateDoneAwayOrder,Copy of Data,Copy of Data 1,UpdateMasterFundOnTT1,CreateDoneAwayOrder1,VerifyOrder,GetDataAllocation"</formula1>
    </dataValidation>
    <dataValidation type="list" allowBlank="1" sqref="F413 F421">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1099:K1099 H1110:K1110">
      <formula1>"ShowMasterFundOnTT,UpdateMasterFundOnTT,CreateDoneAwayOrder,VerifyOrder"</formula1>
    </dataValidation>
    <dataValidation type="list" allowBlank="1" sqref="H1139:K1139 H1160:K1160 H1186:K1186 H1201:K1201">
      <formula1>"CleanUp,Copy of Data,CreateDoneAwayOrder"</formula1>
    </dataValidation>
    <dataValidation type="list" allowBlank="1" sqref="H1173:K1173 H1183:K1183">
      <formula1>"CreateDoneAwayOrder,SelectAllocatedGroup,EditAllocatedGridWPF,SelectAllocatedGroup1,EditAllocatedGridWPF1,SelectAllocatedGroup2,EditAllocatedGridWPF2,CheckAllocatedGroups"</formula1>
    </dataValidation>
    <dataValidation type="list" allowBlank="1" sqref="H1216:K1216">
      <formula1>"CleanUp,CreateDoneAwayOrder,Copy of Data,GetDataAllocation,ExpandCollapseAllocatedGrid,SelectAllocatedGroup"</formula1>
    </dataValidation>
    <dataValidation type="list" allowBlank="1" sqref="F1141:F1145 F1152 F1154:F1157 F1159 F1161:F1170 F1172 F1174:F1183 F1185 F1193:F1196 F1200 F1205 F1208">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EditUnallocatedGridWPF,EditAllocatedGridWPF,,,,,,,,,,,,,,,,,,,,,,,,,,,,,,,,,,,,,,,,,,,,,,,,,,,,,,,,,,,,,,,,,,,,,,,,,,,,,,,,,,,,,,,,,,,,,,,,,,,,,,,,,,,,,,,,,,,,,,,,,,,,,,,,,,,,,,,,,,,,,,,,,,,,,,,,,,,,,,,,,,,,,,,,,,,,,,,,,,,,,,,,,,,,,,,,,,,,,,"&amp;",,,,,,,,,,,,,,,,,,,,,,,,,,,,,,,,,,,,,,,,,,,,,,,,,,,,,,,,,,,,,,,,,,,,,,,,,,,,,,,,,,,,,,,,,,,,,,,,,,,,,,,,,,,,,,,,,,,,,,,,,,,,,,,,,,,,,,,,,,,,,,,,,,,,,,,,,,,,,,,,,,,,,,,,,,,,,,,,,,,,,,,,,,,,"</formula1>
    </dataValidation>
    <dataValidation type="list" allowBlank="1" sqref="H1008:K1008">
      <formula1>"DisableCheckside,CreateDoneAwayOrder,GetDataAllocation,CheckAllocatedGroups"</formula1>
    </dataValidation>
    <dataValidation type="list" allowBlank="1" sqref="H1041:K1041">
      <formula1>"DisableCheckside,AddCalculatedPreferences,SetAccountValueCalculatedPref,SetDefaultRuleCalculatedPref,CreateDoneAwayOrder,SelectUnallocatedGroup,EnterAccountValuesToAllocate,CreateDoneAwayOrder1,SelectUnallocatedGroup1,EnterAllocatePreference,AddFillsSubOr"&amp;"der,EditAddFillsDetails,VerifyWorkingSubs,GetDataAllocation,CheckAllocatedGroups,CheckUnallocatedGroups,SelectTradeOnOrderGrid"</formula1>
    </dataValidation>
    <dataValidation type="list" allowBlank="1" sqref="H1203:K1203 H1211:K1211">
      <formula1>"CreateDoneAwayOrder,GetDataAllocation,SelectAllocatedGroup,EditAllocatedGridTaxlot,GetActivityData,CheckAllocatedGroups,VerifyActivity"</formula1>
    </dataValidation>
    <dataValidation type="list" allowBlank="1" sqref="H1095:K1095 H1106:K1106 H1117:K1117">
      <formula1>"CleanUp,ShowMasterFundOnTT"</formula1>
    </dataValidation>
    <dataValidation type="list" allowBlank="1" sqref="H1174:K1174 H1205:K1205">
      <formula1>"CleanUp,Copy of Data,CreateDoneAwayOrder,SelectAllocatedGroup"</formula1>
    </dataValidation>
    <dataValidation type="list" allowBlank="1" sqref="F195 F426 F468 F476 F483 F487 F496 F505 F512 F520 F526 F530 F537 F543 F550 F556 F618 F673 F682 F727 F741 F756 F771 F786">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1204:K1204">
      <formula1>"CreateDoneAwayOrder,SelectAllocatedGroup,CheckAllocatedGroups,EditAllocatedGridTaxlot,GetDataAllocation"</formula1>
    </dataValidation>
    <dataValidation type="list" allowBlank="1" sqref="H1072:K1072">
      <formula1>"CreateDoneAwayOrder,GetDataAllocation,Allocate,CheckUnallocatedGroups,GetDataClosing,VerifyLongPositionsGrid"</formula1>
    </dataValidation>
    <dataValidation type="list" allowBlank="1" sqref="H1062:K1062 H1065:K1066">
      <formula1>"CreateDoneAwayOrder,GetDataAllocation,CheckUnallocatedGroups,SelectUnallocatedGroup,GetDataClosing,VerifyLongPositionsGrid,VerifyShortPositionsGrid,EnterAccountValuesToAllocate"</formula1>
    </dataValidation>
    <dataValidation type="list" allowBlank="1" sqref="H1000:K1000">
      <formula1>"ClosingCleanUp,CleanUp,RestartServer,CreateDoneAwayOrder,GetDataAllocation"</formula1>
    </dataValidation>
    <dataValidation type="list" allowBlank="1" sqref="H1007:K1007">
      <formula1>"ClosingCleanUp,CleanUp,RestartServer,DisableCheckside,CreateDoneAwayOrder,GetDataAllocation"</formula1>
    </dataValidation>
    <dataValidation type="list" allowBlank="1" sqref="H1162:K1162">
      <formula1>"CleanUp,Copy of Data,CreateDoneAwayOrder,CreateDoneAwayOrder1,CreateDoneAwayOrder2,SelectUnallocatedGroup,EditUnallocatedGridWPF"</formula1>
    </dataValidation>
    <dataValidation type="list" allowBlank="1" sqref="H1231:K1231">
      <formula1>"CleanUp,CreateDoneAwayOrder,Copy of Data 1,GetDataAllocation,SelectUnallocatedGroup,EnterAccountValuesToAllocate,Allocate,Copy of Data 2,SelectAllocatedGroup,EditAllocatedGridTaxlot"</formula1>
    </dataValidation>
    <dataValidation type="list" allowBlank="1" sqref="H1140:K1140">
      <formula1>"CleanUp,Copy of Data,CreateDoneAwayOrder,GetDataAllocation,SelectUnallocatedGroup"</formula1>
    </dataValidation>
    <dataValidation type="list" allowBlank="1" sqref="H1098 H1109:K1109 H1120:K1122">
      <formula1>"CleanUp,ShowMasterFundOnTT,RestartClient,UpdateMasterFundOnTT,CreateDoneAwayOrder"</formula1>
    </dataValidation>
    <dataValidation type="list" allowBlank="1" sqref="H1195:K1195">
      <formula1>"CreateDoneAwayOrder,GetDataClosing,VerifyLongPositionsGrid,VerifyShortPositionsGrid,ManualClosing,VerifyClosedTrades,CheckPortfolioManagement,GetDataAllocation,SelectAllocatedGroup,CheckPortfolioManagement1,Copy of Data,EditAllocatedGridWPF"</formula1>
    </dataValidation>
    <dataValidation type="list" allowBlank="1" sqref="H1153:K1153 H1214:K1214 H1223:K1223">
      <formula1>"CleanUp,CreateDoneAwayOrder"</formula1>
    </dataValidation>
    <dataValidation type="list" allowBlank="1" sqref="F985 F992 F999 F1006 F1017">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amp;",,,,,,,,,,,,,,,,,,,,,,,,,,,,,,,,,,,,,,,,,,,,,,,,,,,,,,,,,,,,,,,,,,,,,,,,,,,,,,,,,,,,,,,,,,,,,,,,,,,,,,,,,,,,,,,,,,,,,,,,,,,,,,,,,,,,,,,,,,,,,,,,,,,,,,,,,,,,,,,,,,,,,,,,,,,,,,,,,,,,,,,,,,,,,,,,,,,,,,,,,,,,,,,,,,,,,,,,,,,,,,,,,,,,,,,,,,,,,,,,,,,,,,,,,,,,,,,"&amp;","</formula1>
    </dataValidation>
    <dataValidation type="list" allowBlank="1" sqref="H1029:K1029">
      <formula1>"DisableCheckside,AddCalculatedPreferences,SetAccountValueCalculatedPref,SetDefaultRuleCalculatedPref,CreateDoneAwayOrder,SelectUnallocatedGroup,EnterAccountValuesToAllocate,CreateDoneAwayOrder1,SaveCalculatedPreferences,CloseCalculatedPreferences"</formula1>
    </dataValidation>
    <dataValidation type="list" allowBlank="1" sqref="H1157:K1157">
      <formula1>"CreateDoneAwayOrder,SelectUnallocatedGroup,EditUnallocatedGridWPF,GetDataAllocation,CheckUnallocatedGroups"</formula1>
    </dataValidation>
    <dataValidation type="list" allowBlank="1" sqref="F1199">
      <formula1>"DeleteClientData,,,,,,,,,,,,,,,,,,,,,,,,,,,,,,,,,,,,,,,,,,,,,,,,,,,,,,,,,,,,,,,,,,,,,,,,,,,,,,,,,,,,,,,,,,,,,,,,,,,,,,,,,,,,,,,,,,,,,,,,,,,,,,,,,,,,,,,,,,,,,,,,,,,,,,,,,,,,,,,,,,,,,,,,,,,,,,,,,,,,,,,,,,,,,,,,,,,,,,,,,,,,,,,,,,,,,,,,,,,,,,,,,,,,,,,,,,,,,,,"&amp;",,,,,,,,,,,,,,,,,,,,,,,,,,,,,,,,,,,,,,,,,,,,,,,,,,,,,,,,,,,,,,,,,,,,,,,,,,,,,,,,,,,,,,,,,,,,,,,,,,,,,,,,,,,,,,,,,,,,,,,,,,,,,,,,,,,,,,,,,,,,,,,,,,,,,,,,,,,,,,,,,,,,,,,,,,,,,,,,,,,,,,,,,,,,,,,,,,,,,,,,,,,,,,,,,,,,,,,,,,,,,,,,,,,,,,,,,,,,,,,,,,,,,,,,,,,,,,,"&amp;",,"</formula1>
    </dataValidation>
    <dataValidation type="list" allowBlank="1" sqref="F922:F923 F926:F928 F930:F931 F934:F935 F937:F938 F941:F942">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mp;",,,,,,,,,,,,,,,,,,,,,,,,,,,,,,,,,,,,,,,,,,,,,,,,,,,,,,,,,,,,,,,,,,,,,,,,,,,,,,,,,,,,,,,,,,,,,,,,,,,,,,,,,,,,,,,,,,,,,,,,,,,,,,,,,,,,,,,,,,,,,,,,,,,,,,,,,,,,,,,,,,,,,,,,,,,,,,,,,,,,,,,,,,,,,,,,,,,,,,,,,,,,,,,,,,,,,,,,,,,,,,,,,,,,,,,,,,,,,,,,,,,,,,,,,,,,,,,"&amp;",,,,,,,,,,,,,,,,,,,,,,,,,,,,,,,,,,,,,,,,,,,,,,,,,,,,,,,,,,,,,,"</formula1>
    </dataValidation>
    <dataValidation type="list" allowBlank="1" sqref="H1155:K1155">
      <formula1>"CleanUp,CreateDoneAwayOrder,SelectUnallocatedGroup,EditUnallocatedGridWPF"</formula1>
    </dataValidation>
    <dataValidation type="list" allowBlank="1" sqref="F1103 F1114 F1126 F1135 F1148 F1192 F1197">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1225:K1225">
      <formula1>"CleanUp,CreateDoneAwayOrder,Copy of Data 1,GetDataAllocation"</formula1>
    </dataValidation>
    <dataValidation type="list" allowBlank="1" sqref="H1175:K1175">
      <formula1>"CleanUp,Copy of Data,CreateDoneAwayOrder,SelectAllocatedGroup,EditAllocatedGridWPF"</formula1>
    </dataValidation>
    <dataValidation type="list" allowBlank="1" sqref="H1071:K1071">
      <formula1>"CreateDoneAwayOrder,GetDataAllocation,Allocate,CheckUnallocatedGroups,GetDataClosing"</formula1>
    </dataValidation>
    <dataValidation type="list" allowBlank="1" sqref="H1006:K1006">
      <formula1>"ClosingCleanUp,CleanUp,RestartServer,DisableCheckside,CreateDoneAwayOrder"</formula1>
    </dataValidation>
    <dataValidation type="list" allowBlank="1" sqref="H1091:K1091">
      <formula1>"CreateDoneAwayOrder,GetDataAllocation,CheckAllocatedGroups,SetGeneralPreferences,SelectAllocatedGroup,EditAllocatedGrid,CheckAllocatedGroups1,SetGeneralPreferences1,SelectAllocatedGroup1,EditAllocatedGrid1,Unallocate"</formula1>
    </dataValidation>
    <dataValidation type="list" allowBlank="1" sqref="H1067:K1068">
      <formula1>"CreateDoneAwayOrder,GetDataAllocation,CheckUnallocatedGroups,SelectUnallocatedGroup,EnterAccountValuesToAllocate,SelectUnallocatedGroup1,EnterAccountValuesToAllocate1,GetDataClosing,VerifyLongPositionsGrid,VerifyShortPositionsGrid"</formula1>
    </dataValidation>
    <dataValidation type="list" allowBlank="1" sqref="H218:K218">
      <formula1>"CreateDoneAwayOrder,SelectUnallocatedGroup,BookOrUpdateSwap"</formula1>
    </dataValidation>
    <dataValidation type="list" allowBlank="1" sqref="H1128:K1128">
      <formula1>"CreateDoneAwayOrder,CleanUp"</formula1>
    </dataValidation>
    <dataValidation type="list" allowBlank="1" sqref="H1220:K1220">
      <formula1>"CleanUp,CreateDoneAwayOrder,Copy of Data,GetDataAllocation,ExpandCollapseAllocatedGrid,SelectAllocatedGroup,EditAllocatedGridTaxlot,SaveAllocation,Copy of Data 1,CheckAllocatedGroups"</formula1>
    </dataValidation>
    <dataValidation type="list" allowBlank="1" sqref="H1084:K1084">
      <formula1>"CreateDoneAwayOrder,GetDataAllocation,CheckAllocatedGroups,SetGeneralPreferences,SelectAllocatedGroup,EditAllocatedGrid,CheckAllocatedGroups1"</formula1>
    </dataValidation>
    <dataValidation type="list" allowBlank="1" sqref="H1092:K1092">
      <formula1>"CreateDoneAwayOrder,GetDataAllocation,CheckAllocatedGroups,SetGeneralPreferences,SelectAllocatedGroup,EditAllocatedGrid,CheckAllocatedGroups1,SetGeneralPreferences1,SelectAllocatedGroup1,EditAllocatedGrid1,Unallocate,CheckUnallocatedGroups"</formula1>
    </dataValidation>
    <dataValidation type="list" allowBlank="1" sqref="H1133:K1133">
      <formula1>"CreateDoneAwayOrder,CleanUp,ShowMasterFundOnTT,RestartClient,VerifyOrder,GetDataAllocation"</formula1>
    </dataValidation>
    <dataValidation type="list" allowBlank="1" sqref="H1080:K1080">
      <formula1>"CreateDoneAwayOrder,GetDataAllocation,CheckAllocatedGroups,SetGeneralPreferences"</formula1>
    </dataValidation>
    <dataValidation type="list" allowBlank="1" sqref="F1209 F1213 F1215:F1220 F1222 F1224:F1238">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EditUnallocatedGridWPF,EditAllocatedGridWPF,EditAllocatedGridTaxlot,ExpandCollapseAllocatedGrid,ExpandCollapseUnallocatedGrid,,,,,,,,,,,,,,,,,,,,,,,,,,,,,,,,,,,,,,,,,,,,,,,,,,,,,,,,,,,,,,,,,,,,,,,,,,,,,,,,,,,,,,,,,,,,,,,,,,,,,,,,,,,,,,,,,,,,"&amp;",,,,,,,,,,,,,,,,,,,,,,,,,,,,,,,,,,,,,,,,,,,,,,,,,,,,,,,,,,,,,,,,,,,,,,,,,,,,,,,,,,,,,,,,,,,,,,,,,,,,,,,,,,,,,,,,,,,,,,,,,,,,,,,,,,,,,,,,,,,,,,,,,,,,,,,,,,,,,,,,,,,,,,,,,,,,,,,,,,,,,,,,,,,,,,,,,,,,,,,,,,,,,,,,,,,,,,,,,,,,,,,,,,,,,,,,,,,,,,,,,,,,,,,,,,,,,,,"&amp;",,,,,,,,,,,,"</formula1>
    </dataValidation>
    <dataValidation type="list" allowBlank="1" sqref="H1233:K1233">
      <formula1>"CleanUp,CreateDoneAwayOrder,Copy of Data 1,GetDataAllocation,SelectUnallocatedGroup,EnterAccountValuesToAllocate,Allocate,Copy of Data 2,SelectAllocatedGroup,EditAllocatedGridTaxlot,ExpandCollapseAllocatedGrid,Copy of Data 3,SaveAllocation,CheckAllocatedG"&amp;"roups"</formula1>
    </dataValidation>
    <dataValidation type="list" allowBlank="1" sqref="H1236:K1236 H1238:K1238">
      <formula1>"CreateDoneAwayOrder,GetDataAllocation,SelectUnallocatedGroup,EnterAccountValuesToAllocate,SelectAllocatedGroup,EditAllocatedGridTaxlot,CheckAllocatedGroups,SelectAllocatedGroup1,EditAllocatedGridWPF"</formula1>
    </dataValidation>
    <dataValidation type="list" allowBlank="1" sqref="H990:K990 H992:K992">
      <formula1>"DisableCheckside,CreateDoneAwayOrder,GetDataAllocation,CheckAllocatedGroups,ClosingCleanUp,CleanUp"</formula1>
    </dataValidation>
    <dataValidation type="list" allowBlank="1" sqref="H1129:K1129">
      <formula1>"CreateDoneAwayOrder,CleanUp,ShowMasterFundOnTT"</formula1>
    </dataValidation>
    <dataValidation type="list" allowBlank="1" sqref="H1156:K1156">
      <formula1>"CleanUp,CreateDoneAwayOrder,SelectUnallocatedGroup,EditUnallocatedGridWPF,GetDataAllocation"</formula1>
    </dataValidation>
    <dataValidation type="list" allowBlank="1" sqref="F427:F428">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H1170:K1170">
      <formula1>"CreateDoneAwayOrder,SelectUnallocatedGroup,EditUnallocatedGridWPF,SelectUnallocatedGroup1,EditUnallocatedGridWPF1,SelectUnallocatedGroup2,EditUnallocatedGridWPF2,CheckUnallocatedGroups"</formula1>
    </dataValidation>
    <dataValidation type="list" allowBlank="1" sqref="H1125:K1125">
      <formula1>"ShowMasterFundOnTT,UpdateMasterFundOnTT,CreateDoneAwayOrder,UpdateMasterFundOnTT1,CreateDoneAwayOrder1,VerifyOrder,GetDataAllocation,CheckAllocatedGroups,CheckPortfolioManagement"</formula1>
    </dataValidation>
    <dataValidation type="list" allowBlank="1" sqref="H1070:K1070">
      <formula1>"CreateDoneAwayOrder,GetDataAllocation,CheckUnallocatedGroups,SelectUnallocatedGroup,EnterAccountValuesToAllocate,SelectUnallocatedGroup1,EnterAccountValuesToAllocate1,SelectUnallocatedGroup2,EnterAccountValuesToAllocate2,GetDataClosing,VerifyLongPositions"&amp;"Grid,VerifyShortPositionsGrid,CheckAllocatedGroups"</formula1>
    </dataValidation>
    <dataValidation type="list" allowBlank="1" sqref="H1191:K1191">
      <formula1>"CreateDoneAwayOrder,GetDataClosing,VerifyLongPositionsGrid,VerifyShortPositionsGrid,ManualClosing,CheckPortfolioManagement,SelectAllocatedGroup,EditAllocatedGridWPF,CheckPortfolioManagement1,VerifyClosedTrades"</formula1>
    </dataValidation>
    <dataValidation type="list" allowBlank="1" sqref="F197:F207 F209 F212:F214 F216 F429 F469 F473:F474 F477:F478 F480:F482 F484:F486 F490:F492 F494:F495 F499:F501 F503:F504 F506:F507 F509:F511 F513:F515 F517:F519 F521 F523:F525 F527:F529 F531 F533:F535 F538 F540:F542 F544:F545 F547:F549 F551 F553:F555 F557 F559:F561 F563 F565:F566 F582:F583 F586 F589:F591 F593 F599:F600 F698 F700:F702 F704 F711:F712">
      <formula1>"Allocate,CheckAllocation,Unallocate,GetDataAllocation,SelectTradeAllocation,EditTradesAllocated,EditTradesUnallocated,Reallocate,CleanUp,EditTrades,TradeAttributeBulkChange,CommissionBulkChange,GeneralPreferencesDefaultRule,GeneralPreferencesCompanyUserWi"&amp;"se,AttributeRenaming,AutoGroupingRules,MasterFundRatioAllocation,CheckFixedPreferenceScheme,GetFixedScheme,AddCalculatedPreferences,BulkChangeCalculatedPreferences,DeleteCalculatedPreferences,RenameCalculatedPreferences,CopyCalculatedPreferences,RunAutoGr"&amp;"oup,SwapControl,RunProrata,SetDefaultRuleForCalculatedPreference,RenameTradeAttributes,SetAccountValueCalculatedPref,TradeAttributeBulkChange,TradeAttributeBulkChangeGroup,TradeAttributeBulkChangeTaxlots,TradeAttributeBulkChangeGroups,SetMasterFundRatio,A"&amp;"ddCalculatedPreferenceToolbar,SetGroupingRules,ApplyBulkUpdateOnGroups,SetStrategyValueCalculatedPref,ApplyBulkUpdateOnTaxlots,SetDefaultRuleCalculatedPref,CommissionBulkChangeOnGroups,CommissionBulkChangeOnTaxlots,BookOrUpdateSwap,SelectUnallocatedGroup,"&amp;"SelectAllocatedGroup,EnterAccountValuesToAllocate,ApplyPrefetchFilters,EnterAllocatePerference,EnterStrategyValuesToAllocate,CopyCalculatedPreferencesToolbar,SetGeneralRuleCalculatedPref,CopyCalculatedPreferenceToolbar,EnterAllocatePreference,ExportAllCal"&amp;"culatedPreferences,SaveCalculatedPreferences,ExportAllCalculatedPreferences,SaveCalculatedPreferences,CloseCalculatedPreferences,ExportCalculatedPreference,EditUnallocatedGroupSidePanel,ImportCalculatedPreferences,OpenAuditTrailUnallocatedGroup,DeleteCalc"&amp;"ulatedPreferencesTool,ImportCalculatedPreferencesTool,ExportAllCalculatedPreferTool,CheckFixedPreference,DeleteFixedPreference,OpenSymbolLookupUnallocateGroup,OpenSymbolLookupAllocatedGroup,ExportAllCalculatedPreferTool,ExportAllCalculatedPreferences,GetF"&amp;"ixedPreference,CheckAllocatedGroups,CheckUnallocatedGroups,SetGeneralPreferences,EditAllocatedGroupSidePanel,OpenAuditTrailAllocatedGroup,GroupTrades,UngroupTrades,DeleteGroup,CloseOrder,Unallocate,CloseAllocation,,,,,,,,,,,,,,,,,,,,,,,,,,,,,,,,,,,,,,,,,,"&amp;",,,,,,,,,,,,,,,,,,,,,,,,,,,,,,,,,,,,,,,,,,,,,,,,,,,,,,,,,,,,,,,,,,,,,,,,,,,,,,,,,,,,,,,,,,,,,,,,,,,,,,,,,,,,,,,,,,,,,,,,,,,,,,,,,,,,,,,,,,,,,,,,,,,,,,,,,,,,,,,,,,,,,,,,,,,,,,,,,,,,,,,,,,,,,,,,,,,,,,,,,,,,,,,,,,,,,,,,,,,,,,,,,,,,,,,,,,,,,,,,,,,,,,,,,,,,,,,"&amp;",,,,,,,,,,,,,,,,,,,,,,,,,,,,,,,,,,,,,,,,,,,,,,,,,,,,,,,,,,,,,,,,,,,,,,,,,,,,,,,,,,,,,,,,,,,,,,,,,,,,,,,,,,,,,,,,,,,,"</formula1>
    </dataValidation>
    <dataValidation type="list" allowBlank="1" sqref="H1130:K1130">
      <formula1>"CreateDoneAwayOrder,CleanUp,ShowMasterFundOnTT,RestartClient"</formula1>
    </dataValidation>
    <dataValidation type="list" allowBlank="1" sqref="H618:K618">
      <formula1>"GeneralPreferencesDefaultRule,GeneralPrefCompanyUserWise,CheckAllocatedGroups,CreateDoneAwayOrder,EnterAccountValuesToAllocate,SelectUnallocatedGroup,VerifyLongPositionsGrid,CheckPortfolioManagement,GetDataAllocation,GetDataClosing,GetActivityData,VerifyA"&amp;"ctivity"</formula1>
    </dataValidation>
    <dataValidation type="list" allowBlank="1" sqref="H1234:K1234">
      <formula1>"CreateDoneAwayOrder,GetDataAllocation,SelectUnallocatedGroup,EnterAccountValuesToAllocate,SelectAllocatedGroup,EditAllocatedGridTaxlot,CheckAllocatedGroups"</formula1>
    </dataValidation>
    <dataValidation type="list" allowBlank="1" sqref="F883 F885:F888 F890:F893 F895:F897 F899:F900 F904 F906 F908:F92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1046:K1046">
      <formula1>"DisableCheckside,AddCalculatedPreferences,SetAccountValueCalculatedPref,SetDefaultRuleCalculatedPref,CreateDoneAwayOrder,SelectUnallocatedGroup,EnterAccountValuesToAllocate,CreateDoneAwayOrder1,AddFillsSubOrder,EditAddFillsDetails,VerifyWorkingSubs,GetDat"&amp;"aAllocation,CheckAllocatedGroups"</formula1>
    </dataValidation>
    <dataValidation type="list" allowBlank="1" sqref="H411:K411 H418:K418">
      <formula1>"CleanUp,CreateDoneAwayOrder,VerifyOrder,OpenSymbolLookupUnallocateGroup,VerifySymbolLookUp,MulTradOpenSymbolLookupUnallGrp,ForMultipleVerifySymbolLookUp"</formula1>
    </dataValidation>
    <dataValidation type="list" allowBlank="1" sqref="F944:F945 F952:F953 F956:F957 F959:F960 F963:F965 F967:F968 F971:F972 F974:F975 F978:F980 F982:F983 F986:F98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amp;",,,,,,,,,,,,,,,,,,,,,,,,,,,,,,,,,,,,,,,,,,,,,,,,,,,,,,,,,,,,,,,,,,,,,,,,,,,,,,,,,,,,,,,,,,,,,,,,,,,,,,,,,,,,,,,,,,,,,,,,,,,,,,,,,,,,,,,,,,,,,,,,,,,,,,,,,,,,,,,,,,,,,,,,,,,,,,,,,,,,,,,,,,,,,,,,,,,,,,,,,,,,,,,,,,,,,,,,,,,,,,,,,,,,,,,,,,,,,,,,,,,,,,,,,,,,,,,"&amp;",,,,,,,,,,,,,,,,,,,,,,,,,,,,,,,,,,,,,,,,,,,,,,,,,,,,,,,,,,,,,,,,,,,,,,,,,,,,,,,,,,,"</formula1>
    </dataValidation>
    <dataValidation type="list" allowBlank="1" sqref="D6 D29 D49 D63 D80:D81 D95 D109 D123 D137 D150 D162 D175 D194 D200 D209 D216 D218 D225 D242 D246 D251 D256 D271 D286 D298 D314 D326 D340 D359 D372 D393 D411 D419 D426 D435 D453 D468 D475:D476 D483 D487 D496 D505 D512 D520 D526 D530 D536 D543 D550 D556 D562 D584 D586 D601 D616 D631 D644 D659 D673 D682 D696 D713 D727 D741 D755 D770 D785 D800 D823 D842 D862 D883:D1409">
      <formula1>'_Categories'!$A$4:$A1409</formula1>
    </dataValidation>
    <dataValidation type="list" allowBlank="1" sqref="H70:K70">
      <formula1>"CreateDoneAwayOrder,AddCalculatedPreferences,SetDefaultRuleCalculatedPref,SetGeneralRuleCalculatedPref,UpdateGRAccountValues,UpdateGRDefaultRule,SelectUnallocatedGroup,EnterAllocatePreference,CheckAllocatedGroups,CheckUnallocatedGroups,GetDataClosing,Veri"&amp;"fyLongPositionsGrid,GetDataAllocation"</formula1>
    </dataValidation>
    <dataValidation type="list" allowBlank="1" sqref="H1134:K1134">
      <formula1>"CreateDoneAwayOrder,CleanUp,ShowMasterFundOnTT,RestartClient,VerifyOrder,GetDataAllocation,CheckAllocatedGroups"</formula1>
    </dataValidation>
    <dataValidation type="list" allowBlank="1" sqref="F1149:F1150 F1202:F1203 F1210:F1211">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CalculateDayEndCash,CalculateDayEndCash,VerifyOpeningBalanceData,,,,,,,,,,,,,,,,,,,,,,,,,,,,,,,,,,,,,,,,,,,,,,,,,,,,,,,,,,,,,,,,,,,,,,,,,,,,,,,,,,,,,,,,,,,,,,,"&amp;",,,,,,,,,,,,,,,,,,,,,,,,,,,,,,,,,,,,,,,,,,,,,,,,,,,,,,,,,,,,,,,,,,,,,,,,,,,,,,,,,,,,,,,,,,,,,,,,,,,,,,,,,,,,,,,,,,,,,,,,,,,,,,,,,,,,,,,,,,,,,,,,,,,,,,,,,,,,,,,,,,,,,,,,,,,,,,,,,,,,,,,,,,,,,,,,,,,,,,,,,,,,,,,,,,,,,,,,,,,,,,,,,,,,,,,,,,,,,,,,,,,,,,,,,,,,,,,"&amp;",,,,,,,,,,,,,,,,,,,,,,,,,,,,,,,,,,,,,,,,,,,,,,,,,,,,,,,,,,,,,,,,,,,,,,,,,,,,,,,,,,,,,,,,,,,,,,"</formula1>
    </dataValidation>
    <dataValidation type="list" allowBlank="1" sqref="H1035:K1035 H1037:K1037">
      <formula1>"DisableCheckside,CreateDoneAwayOrder,SelectUnallocatedGroup,EnterAccountValuesToAllocate"</formula1>
    </dataValidation>
    <dataValidation type="list" allowBlank="1" sqref="H1141:K1141">
      <formula1>"CleanUp,Copy of Data,CreateDoneAwayOrder,GetDataAllocation,SelectUnallocatedGroup,EditUnallocatedGridWPF"</formula1>
    </dataValidation>
    <dataValidation type="list" allowBlank="1" sqref="F49:F54 F57:F58 F61:F62 F64:F72 F74:F75 F78:F79 F113 F153:F155 F157 F160:F161 F164:F167 F170 F173:F174 F225 F233:F234 F236 F239:F240 F489 F498">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amp;",,,,,,,,,,,,,,,,,,,,,,,,,,,,,,,,,,,,,,,,,,,,,,,,,,,,,,,,,,,,,,,,,,,,,,,,,,,,,,,,,,,,,,,,,,,,,,,,,,,,,,,,,,,,,,,,,,,,,,,,,,,,,,,,,,,,,,,,,,,,,,,,,,,,,,,,,,,,,,,,,,,,,,,,,,,,,,,,,,,,,,,,,,,,,,,,,,,,,,,,,,,,,,,,,,,,,,,,,,,,,,,,,,,,,,,,,,,,,,,,,,,,,,,,,,,,,,,"&amp;",,,,,,,,,,,,,,,,,,,,,,,,,,,,,,,,,,,,,,,,,,,,,,,,,,,,,,,,,,,,,,,,,,,,,,,,,,,,,,,,,,,,,,,,,,,,,,,,,,,,,,,,,,,,,,,,,,,,,"</formula1>
    </dataValidation>
    <dataValidation type="list" allowBlank="1" sqref="H1148:K1148">
      <formula1>"CleanUp,Copy of Data,CreateDoneAwayOrder,GetDataAllocation,SelectUnallocatedGroup,EditUnallocatedGridWPF,CheckUnallocatedGroups,SelectAllocatedGroup,EditAllocatedGridWPF,CheckAllocatedGroups,GetDataClosing,VerifyLongPositionsGrid,CheckPortfolioManagement"</formula1>
    </dataValidation>
    <dataValidation type="list" allowBlank="1" sqref="H340:K340 H358:K358">
      <formula1>"CleanUp,CreateDoneAwayOrder,SetGeneralPreferences,RunProrata,CreateDoneAwayOrder1,GetFixedPreference,CheckFixedPreference,SelectUnallocatedGroup,EnterAllocatePreference,VerifyOrder,CheckAllocatedGroups,GetDataClosing,VerifyLongPositionsGrid,VerifyShortPos"&amp;"itionsGrid,CheckPortfolioManagement,GetActivityData,VerifyActivity,ResetGeneralPreferences"</formula1>
    </dataValidation>
    <dataValidation type="list" allowBlank="1" sqref="H1108:K1108 H1119:K1119">
      <formula1>"CleanUp,ShowMasterFundOnTT,RestartClient,UpdateMasterFundOnTT"</formula1>
    </dataValidation>
    <dataValidation type="list" allowBlank="1" sqref="F81:F82 F95:F96 F109:F110 F123:F124 F137:F138 F150:F151 F162:F163">
      <formula1>"UpdateBeta,UpdateDailyCash,UpdateForexConversion,CleanUp,GetMarkPriceData,GetForwardPoints,GetForexConversion,AddForexConversion,GetNAV,AddNAV,DeleteNAV,GetDailyCash,AddDailyCash,GetDailyBeta,GetDailyVolatility,GetDailyDividendYield,GetDailyTradingVolume,"&amp;"GetDailyOutstandings,GetDailyDelta,UpdateDailyVolatility,UpdateDividendYield,DataManagement.Click(MouseButtons.Left);,UpdateTradingVolume,UpdateDailyDelta,UpdateDailyOutstandings,AddForexConversion,UpdateBeta,UpdateNAV,UpdateDailyCash,UpdateCreditLimt,Upd"&amp;"ateDailyCreditLimt,AddDailyCreditLimit,RemoveDailyCreditLimt,RemoveDailyCreditLimit,RemoveDailyCash,RemoveNAV,UpdateMarkPrice,UpdateForwardPoints,,,,,,,,,,,,,,,,,,,,,,,,,,,,,,,,,,,,,,,,,,,,,,,,,,,,,,,,,,,,,,,,,,,,,,,,,,,,,,,,,,,,,,,,,,,,,,,,,,,,,,,,,,,,,,"&amp;",,,,,,,,,,,,,,,,,,,,,,,,,,,,,,,,,,,,,,,,,,,,,,,,,,,,,,,,,,,,,,,,,,,,,,,,,,,,,,,,,,,,,,,,,,,,,,,,,,,,,,,,,,,,,,,,,,,,,,,,,,,,,,,,,,,,,,,,,,,,,,,,,,,,,,,,,,,,,,,,,,,,,,,,,,,,,,,,,,,,,,,,,,,,,,,,,,,,,,,,,,,,,,,,,,,,,,,,,,,,,,,,,,,,,,,,,,,,,,,,,,,,,,,,,,,,,,,"&amp;",,,,,,,,,,,,,,,,,,,,,,,,,,,,,,,,,,,,,,,,,,,,,,,,,,,,,,,,,,,,,,,,,,,,,,,,,,,,,,,,,,,,,,,,,,,,,,"</formula1>
    </dataValidation>
    <dataValidation type="list" allowBlank="1" sqref="F412 F420 F884 F889 F894 F898">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1034:K1034 H1038:K1038">
      <formula1>"DisableCheckside,CreateDoneAwayOrder,SelectUnallocatedGroup"</formula1>
    </dataValidation>
    <dataValidation type="list" allowBlank="1" sqref="H1188:K1188">
      <formula1>"CreateDoneAwayOrder,ManualClosing,CheckPortfolioManagement,SelectAllocatedGroup,EditAllocatedGridWPF,CheckPortfolioManagement1,GetDataClosing,VerifyShortPositionsGrid,VerifyLongPositionsGrid"</formula1>
    </dataValidation>
    <dataValidation type="list" allowBlank="1" sqref="H1019:K1019">
      <formula1>"Copy of Data,ClosingCleanUp,CleanUp,SetGeneralPreferences,GetDataAllocation,CheckAllocatedGroups,Disable,DisableCheckside,RestartServer,Cre,CreateDoneAwayOrder"</formula1>
    </dataValidation>
    <dataValidation type="list" allowBlank="1" sqref="H1078:K1078">
      <formula1>"CreateDoneAwayOrder,GetDataAllocation"</formula1>
    </dataValidation>
    <dataValidation type="list" allowBlank="1" sqref="F1096 F1107 F1118 F1130">
      <formula1>"RestartClient,UpdateClientConfig,,,,,,,,,,,,,,,,,,,,,,,,,,,,,,,,,,,,,,,,,,,,,,,,,,,,,,,,,,,,,,,,,,,,,,,,,,,,,,,,,,,,,,,,,,,,,,,,,,,,,,,,,,,,,,,,,,,,,,,,,,,,,,,,,,,,,,,,,,,,,,,,,,,,,,,,,,,,,,,,,,,,,,,,,,,,,,,,,,,,,,,,,,,,,,,,,,,,,,,,,,,,,,,,,,,,,,,,,,,,,,,"&amp;",,,,,,,,,,,,,,,,,,,,,,,,,,,,,,,,,,,,,,,,,,,,,,,,,,,,,,,,,,,,,,,,,,,,,,,,,,,,,,,,,,,,,,,,,,,,,,,,,,,,,,,,,,,,,,,,,,,,,,,,,,,,,,,,,,,,,,,,,,,,,,,,,,,,,,,,,,,,,,,,,,,,,,,,,,,,,,,,,,,,,,,,,,,,,,,,,,,,,,,,,,,,,,,,,,,,,,,,,,,,,,,,,,,,,,,,,,,,,,,,,,,,,,,,,,,,,,,"&amp;",,,,,,,,,,,,,,,,,"</formula1>
    </dataValidation>
    <dataValidation type="list" allowBlank="1" sqref="H1043:K1043">
      <formula1>"DisableCheckside,AddCalculatedPreferences,SetAccountValueCalculatedPref,SetDefaultRuleCalculatedPref,CreateDoneAwayOrder,SelectUnallocatedGroup,EnterAccountValuesToAllocate,CreateDoneAwayOrder1,AddFillsSubOrder,EditAddFillsDetails"</formula1>
    </dataValidation>
    <dataValidation type="list" allowBlank="1" sqref="H1081:K1081">
      <formula1>"CreateDoneAwayOrder,GetDataAllocation,CheckAllocatedGroups,SetGeneralPreferences,SelectAllocatedGroup"</formula1>
    </dataValidation>
    <dataValidation type="list" allowBlank="1" sqref="H1193:K1193">
      <formula1>"CreateDoneAwayOrder,GetDataClosing,VerifyLongPositionsGrid,VerifyShortPositionsGrid,ManualClosing,VerifyClosedTrades,CheckPortfolioManagement,SelectAllocatedGroup,EditAllocatedGridWPF,CheckPortfolioManagement1,GetDataAllocation"</formula1>
    </dataValidation>
    <dataValidation type="list" allowBlank="1" sqref="H1224:K1224">
      <formula1>"CreateDoneAwayOrder,GetDataAllocation,SelectUnallocatedGroup,EnterAccountValuesToAllocate,SelectAllocatedGroup,EditAllocatedGridTaxlot,CheckAllocatedGroups,SelectAllocatedGroup1,EditAllocatedGridWPF,CheckAllocatedGroups1,SetGeneralPreferences"</formula1>
    </dataValidation>
    <dataValidation type="list" allowBlank="1" sqref="H1144:K1144">
      <formula1>"CleanUp,Copy of Data,CreateDoneAwayOrder,GetDataAllocation,SelectUnallocatedGroup,EditUnallocatedGridWPF,CheckUnallocatedGroups,SelectAllocatedGroup,EditAllocatedGridWPF"</formula1>
    </dataValidation>
    <dataValidation type="list" allowBlank="1" sqref="H1154:K1154">
      <formula1>"CleanUp,CreateDoneAwayOrder,SelectUnallocatedGroup"</formula1>
    </dataValidation>
    <dataValidation type="list" allowBlank="1" sqref="F6:F8 F10 F12 F14 F16:F17 F19:F21 F23 F27:F31 F33 F35 F37 F39:F40 F43 F47:F48">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amp;",,,,,,,,,,,,,,,,,,,,,,,,,,,,,,,,,,,,,,,,,,,,,,,,,,,,,,,,,,,,,,,,,,,,,,,,,,,,,,,,,,,,,,,,,,,,,,,,,,,,,,,,,,,,,,,,,,,,,,,,,,,,,,,,,,,,,,,,,,,,,,,,,,,,,,,,,,,,,,,,,,,,,,,,,,,,,,,,,,,,,,,,,,,,,,,,,,,,,,,,,,,,,,,,,,,,,,,,,,,,,,,,,,,,,,,,,,,,,,,,,,,,,,,,,,,,,,,"&amp;",,,,,,,,,,,,,,,,,,,,,,,,,,,,,,,,,,,,,,,,,,,,,,,,,,,,,,,,"</formula1>
    </dataValidation>
    <dataValidation type="list" allowBlank="1" sqref="F24:F26 F44:F46 F59:F60 F76:F77 F90:F92 F104:F106 F118:F120 F132:F134 F146:F147 F158:F159 F171:F172 F187:F188 F237:F238 F264:F265 F279:F280 F446:F447 F461:F462 F594:F595 F609:F610 F624:F625 F637:F638 F652:F653 F666:F667 F689:F690 F705:F707 F721:F722 F734:F735 F748:F749 F763:F764 F778:F779 F793:F794">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419:K419 H425:K425">
      <formula1>"CleanUp,CreateDoneAwayOrder,VerifyOrder,OpenSymbolLookupAllocatedGroup,VerifySymbolLookUp,MulTradOpenSymbolLookupalloGrp,ForMultipleVerifySymbolLookUp,Ver"</formula1>
    </dataValidation>
    <dataValidation type="list" allowBlank="1" sqref="H1085:K1085">
      <formula1>"CreateDoneAwayOrder,GetDataAllocation,CheckAllocatedGroups,SetGeneralPreferences,SelectAllocatedGroup,EditAllocatedGrid,CheckAllocatedGroups1,SetGeneralPreferences1"</formula1>
    </dataValidation>
    <dataValidation type="list" allowBlank="1" sqref="I1089:K1089">
      <formula1>"CreateDoneAwayOrder,GetDataAllocation,CheckAllocatedGroups,SetGeneralPreferences,SelectAllocatedGroup,ApplyBulkUpdateOnGroups,EditAllocatedGrid,CheckAllocatedGroups1,SetGeneralPreferences1,SelectAllocatedGroup1,EditAllocatedGrid1,SelectAllocatedGroup2,Sel"&amp;"ectAllocatedGroup3,SelectAllocatedGroup4,SelectAllocatedGroup5,CheckAllocatedGroups2,Unallocate,CheckUnallocatedGroups"</formula1>
    </dataValidation>
    <dataValidation type="list" allowBlank="1" sqref="H1146:K1146">
      <formula1>"CleanUp,Copy of Data,CreateDoneAwayOrder,GetDataAllocation,SelectUnallocatedGroup,EditUnallocatedGridWPF,CheckUnallocatedGroups,SelectAllocatedGroup,EditAllocatedGridWPF,CheckAllocatedGroups,GetDataClosing"</formula1>
    </dataValidation>
    <dataValidation type="list" allowBlank="1" sqref="I1098:K1098 H1103:K1103 H1114:K1114">
      <formula1>"ShowMasterFundOnTT,UpdateMasterFundOnTT,CreateDoneAwayOrder,VerifyOrder,GetDataAllocation,CheckUnallocatedGroups,CheckAllocatedGroups,CheckPortfolioManagement"</formula1>
    </dataValidation>
    <dataValidation type="list" allowBlank="1" sqref="H1180:K1181">
      <formula1>"CleanUp,Copy of Data,CreateDoneAwayOrder,SelectAllocatedGroup,EditAllocatedGridWPF,SaveAllocation,Copy of Data 1,EditAllocatedGridWPF1,SelectAllocatedGroup1,Copy of Data 2,SelectUnallocatedGroup,Copy of Data 3,Copy of Data 4"</formula1>
    </dataValidation>
    <dataValidation type="list" allowBlank="1" sqref="H993:K994">
      <formula1>"DisableCheckside,CreateDoneAwayOrder,GetDataAllocation,CheckAllocatedGroups,ClosingCleanUp,CleanUp,RestartServer"</formula1>
    </dataValidation>
    <dataValidation type="list" allowBlank="1" sqref="H1190:K1190">
      <formula1>"CleanUp,Copy of Data,CreateDoneAwayOrder,ManualClosing"</formula1>
    </dataValidation>
    <dataValidation type="list" allowBlank="1" sqref="H550:K550">
      <formula1>"Unallocate,CreateDoneAwayOrder,CheckUnallocatedGroups,GetDataAllocation"</formula1>
    </dataValidation>
    <dataValidation type="list" allowBlank="1" sqref="F196 F219:F224 F226 F229:F230 F602:F606 F608 F614:F617 F619:F620 F623 F629:F630 F632:F634 F636 F642:F643 F645">
      <formula1>"Allocate,CheckAllocation,Unallocate,GetDataAllocation,SelectTradeAllocation,EditTradesAllocated,EditTradesUnallocated,Reallocate,CleanUp,EditTrades,TradeAttributeBulkChange,CommissionBulkChange,GeneralPreferencesDefaultRule,GeneralPrefCompanyUserWise,Attr"&amp;"ibuteRenaming,AutoGroupingRules,MasterFundRatioAllocation,CheckFixedPreferenceScheme,GetFixedScheme,AddCalculatedPreferences,BulkChangeCalculatedPreferences,DeleteCalculatedPreferences,RenameCalculatedPreferences,CopyCalculatedPreferences,RunAutoGroup,Swa"&amp;"pControl,RunProrata,SetDefaultRuleForCalculatedPreference,RenameTradeAttributes,SetAccountValueCalculatedPref,TradeAttributeBulkChange,TradeAttributeBulkChangeGroup,TradeAttributeBulkChangeTaxlots,TradeAttributeBulkChangeGroups,SetMasterFundRatio,AddCalcu"&amp;"latedPreferenceToolbar,SetGroupingRules,ApplyBulkUpdateOnGroups,SetStrategyValueCalculatedPref,ApplyBulkUpdateOnTaxlots,SetDefaultRuleCalculatedPref,CommissionBulkChangeOnGroups,CommissionBulkChangeOnTaxlots,BookOrUpdateSwap,SelectUnallocatedGroup,SelectA"&amp;"llocatedGroup,EnterAccountValuesToAllocate,ApplyPrefetchFilters,EnterAllocatePerference,EnterStrategyValuesToAllocate,CopyCalculatedPreferencesToolbar,SetGeneralRuleCalculatedPref,CopyCalculatedPreferenceToolbar,EnterAllocatePreference,ExportAllCalculated"&amp;"Preferences,SaveCalculatedPreferences,ExportAllCalculatedPreferences,SaveCalculatedPreferences,CloseCalculatedPreferences,ExportCalculatedPreference,EditUnallocatedGroupSidePanel,ImportCalculatedPreferences,OpenAuditTrailUnallocatedGroup,DeleteCalculatedP"&amp;"referencesTool,ImportCalculatedPreferencesTool,ExportAllCalculatedPreferTool,CheckFixedPreference,DeleteFixedPreference,OpenSymbolLookupUnallocateGroup,OpenSymbolLookupAllocatedGroup,ExportAllCalculatedPreferTool,ExportAllCalculatedPreferences,GetFixedPre"&amp;"ference,CheckAllocatedGroups,CheckUnallocatedGroups,SetGeneralPreferences,EditAllocatedGroupSidePanel,OpenAuditTrailAllocatedGroup,GroupTrades,UngroupTrades,DeleteGroup,CloseOrder,Unallocate,CloseAllocation,GeneralPrefCompanyUserWise,,,,,,,,,,,,,,,,,,,,,,"&amp;",,,,,,,,,,,,,,,,,,,,,,,,,,,,,,,,,,,,,,,,,,,,,,,,,,,,,,,,,,,,,,,,,,,,,,,,,,,,,,,,,,,,,,,,,,,,,,,,,,,,,,,,,,,,,,,,,,,,,,,,,,,,,,,,,,,,,,,,,,,,,,,,,,,,,,,,,,,,,,,,,,,,,,,,,,,,,,,,,,,,,,,,,,,,,,,,,,,,,,,,,,,,,,,,,,,,,,,,,,,,,,,,,,,,,,,,,,,,,,,,,,,,,,,,,,,,,,,"&amp;",,,,,,,,,,,,,,,,,,,,,,,,,,,,,,,,,,,,,,,,,,,,,,,,,,,,,,,,,,,,,,,,,,,,,,,,,,,,,,,,,,,,,,,,,,,,,,,,,,,,,,,,,,,,,,,,,,,,,,,,,,,,,,,,,,,,,,,"</formula1>
    </dataValidation>
    <dataValidation type="list" allowBlank="1" sqref="H1042:K1042">
      <formula1>"DisableCheckside,AddCalculatedPreferences,SetAccountValueCalculatedPref,SetDefaultRuleCalculatedPref,CreateDoneAwayOrder,SelectUnallocatedGroup,EnterAccountValuesToAllocate,CreateDoneAwayOrder1,AddFillsSubOrder"</formula1>
    </dataValidation>
    <dataValidation type="list" allowBlank="1" sqref="F415 F418 F423 F425">
      <formula1>"SymbolLookupFromTT,UpdateUDA,GetSymbol,GetDataSymbolLookup,VerifySymbolLookUp,,,,,,,,,,,,,,,,,,,,,,,,,,,,,,,,,,,,,,,,,,,,,,,,,,,,,,,,,,,,,,,,,,,,,,,,,,,,,,,,,,,,,,,,,,,,,,,,,,,,,,,,,,,,,,,,,,,,,,,,,,,,,,,,,,,,,,,,,,,,,,,,,,,,,,,,,,,,,,,,,,,,,,,,,,,,,,,,,,"&amp;",,,,,,,,,,,,,,,,,,,,,,,,,,,,,,,,,,,,,,,,,,,,,,,,,,,,,,,,,,,,,,,,,,,,,,,,,,,,,,,,,,,,,,,,,,,,,,,,,,,,,,,,,,,,,,,,,,,,,,,,,,,,,,,,,,,,,,,,,,,,,,,,,,,,,,,,,,,,,,,,,,,,,,,,,,,,,,,,,,,,,,,,,,,,,,,,,,,,,,,,,,,,,,,,,,,,,,,,,,,,,,,,,,,,,,,,,,,,,,,,,,,,,,,,,,,,,,,"&amp;",,,,,,,,,,,,,,,,,,,,,,,,,,,,,,,,,,,,,,,,,,,,,,,,,,,,,,,,,,,"</formula1>
    </dataValidation>
    <dataValidation type="list" allowBlank="1" sqref="F9 F11 F13 F15 F32 F34 F36 F38 F83:F86 F89 F93:F94 F97:F100 F103 F107:F108 F111 F114:F115 F117 F121:F122 F125 F127:F129 F131 F135:F136 F139 F141:F143 F145 F148:F149">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mp;",,,,,,,,,,,,,,,,,,,,,,,,,,,,,,,,,,,,,,,,,,,,,,,,,,,,,,,,,,,,,,,,,,,,,,,,,,,,,,,,,,,,,,,,,,,,,,,,,,,,,,,,,,,,,,,,,,,,,,,,,,,,,,,,,,,,,,,,,,,,,,,,,,,,,,,,,,,,,,,,,,,,,,,,,,,,,,,,,,,,,,,,,,,,,,,,,,,,,,,,,,,,,,,,,,,,,,,,,,,,,,,,,,,,,,,,,,,,,,,,,,,,,,,,,,,,,,,"&amp;",,,,,,,,,,,,,,,,,,,,,,,,,,,,,,,,,,,,,,,,,,,,,,,,,,,,,,,,,,,,,,,,,,,,,,,,,,,,,,,,"</formula1>
    </dataValidation>
    <dataValidation type="list" allowBlank="1" sqref="F18 F41 F55 F63 F87 F101 F112 F126 F140 F152 F168">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H393:K393 H410:K410">
      <formula1>"CleanUp,CreateDoneAwayOrder,SetGeneralPreferences,RunProrata,SelectUnallocatedGroup,EnterAllocatePreference,VerifyOrder,CheckAllocatedGroups,GetFixedPreference,CheckFixedPreference,GetDataClosing,VerifyLongPositionsGrid,VerifyShortPositionsGrid,CheckPortf"&amp;"olioManagement,GetActivityData,VerifyActivity,ResetGeneralPreferences"</formula1>
    </dataValidation>
    <dataValidation type="list" allowBlank="1" sqref="F567:F581">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amp;",,,,,,,,,,,,,,,,,,,,,,,,,,,,,,,,,,,,,,,,,,,,,,,,,,,,,,,,,,,,,,,,,,,,,,,,,,,,,,,,,,,,,,,,,,,,,,,,,,,,,,,,,,,,,,,,,,,,,,,,,,,,,,,,,,,,,,,,,,,,,,,,,,,,,,,,,,,,,,,,,,,,,,,,,,,,,,,,,,,,,,,,,,,,,,,,,,,,,,,,,,,,,,,,,,,,,,,,,,,,,,,,,,,,,,,,,,,,,,,,,,,,,,,,,,,,,,,"&amp;",,,,,,,,,,,,,,,,,,,,,,,,,,,,,,,,,,,,,,,,,,,,,,,,,,,,,,,,,,,,,,,,,,,,,,,,,,,,,,,,,,,,,,,,,,,,,,,,,,,,,,,,,,,,,,,,,,,,,,,,,,,,,,,,,,,,,,,,,"</formula1>
    </dataValidation>
    <dataValidation type="list" allowBlank="1" sqref="H1132:K1132">
      <formula1>"CreateDoneAwayOrder,CleanUp,ShowMasterFundOnTT,RestartClient,VerifyOrder"</formula1>
    </dataValidation>
    <dataValidation type="list" allowBlank="1" sqref="F190:F191 F267:F268 F282:F283 F450 F465 F598 F613 F628 F641 F656 F670 F693 F709:F710 F724 F738 F752 F767 F782 F797">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V"&amp;"erifyAccountDetails,,,,,,,,,,,,,,,,,,,,,,,,,,,,,,,,,,,,,,,,,,,,,,,,,,,,,,,,,,,,,,,,,,,,,,,,,,,,,,,,,,,,,,,,,,,,,,,,,,,,,,,,,,,,,,,,,,,,,,,,,,,,,,,,,,,,,,,,,,,,,,,,,,,,,,,,,,,,,,,,,,,,,,,,,,,,,,,,,,,,,,,,,,,,,,,,,,,,,,,,,,,,,,,,,,,,,,,,,,,,,,,,,,,,,,,,,,,,"&amp;",,,,,,,,,,,,,,,,,,,,,,,,,,,,,,,,,,,,,,,,,,,,,,,,,,,,,,,,,,,,,,,,,,,,,,,,,,,,,,,,,,,,,,,,,,,,,,,,,,,,,,,,,,,,,,,,,,,,,,,,,,,,,,,,,,,,,,,,,,,,,,,,,,,,,,,,,,,,,,,,,,,,,,,,,,,,,,,,,,,,,,,,,,,,,,,,,,"</formula1>
    </dataValidation>
    <dataValidation type="list" allowBlank="1" sqref="F907 F925 F933 F940 F947 F955 F962 F970 F977">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F210:F211 F232 F243:F245 F696 F713 F755 F770 F785">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1189:K1189">
      <formula1>"CreateDoneAwayOrder,ManualClosing,CheckPortfolioManagement,SelectAllocatedGroup,EditAllocatedGridWPF,CheckPortfolioManagement1,GetDataClosing,VerifyShortPositionsGrid"</formula1>
    </dataValidation>
    <dataValidation type="list" allowBlank="1" sqref="F903 F905 F1050 F1056 F1071:F1073 F1075 F1146:F1147 F1187:F1191">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1061:K1061">
      <formula1>"CreateDoneAwayOrder,GetDataAllocation,CheckUnallocatedGroups,GetDataClosing,VerifyLongPositionsGrid,VerifyShortPositionsGrid,SelectUnallocatedGroup"</formula1>
    </dataValidation>
    <dataValidation type="list" allowBlank="1" sqref="H1147:K1147">
      <formula1>"CleanUp,Copy of Data,CreateDoneAwayOrder,GetDataAllocation,SelectUnallocatedGroup,EditUnallocatedGridWPF,CheckUnallocatedGroups,SelectAllocatedGroup,EditAllocatedGridWPF,CheckAllocatedGroups,GetDataClosing,VerifyLongPositionsGrid"</formula1>
    </dataValidation>
    <dataValidation type="list" allowBlank="1" sqref="H1150:K1150">
      <formula1>"CleanUp,Copy of Data,CreateDoneAwayOrder,GetDataAllocation,SelectUnallocatedGroup,EditUnallocatedGridWPF,CheckUnallocatedGroups,SelectAllocatedGroup,EditAllocatedGridWPF,CheckAllocatedGroups,GetDataClosing,VerifyLongPositionsGrid,CheckPortfolioManagement,"&amp;"GetRevaluationData,Copy of Data 1,Copy of Data 1_conflict2081662786,Copy of Data 2,GetActivityData,Copy of Data 3,V,VerifyActivity"</formula1>
    </dataValidation>
    <dataValidation type="list" allowBlank="1" sqref="H1015:K1015">
      <formula1>"SetGeneralPreferences,CreateDoneAwayOrder,GetDataAllocation"</formula1>
    </dataValidation>
    <dataValidation type="list" allowBlank="1" sqref="H1028:K1028">
      <formula1>"DisableCheckside,CreateDoneAwayOrder,SelectUnallocatedGroup,EnterAccountValuesToAllocate,CreateDoneAwayOrder1,SetGeneralPreferences,AddCalculatedPreferences"</formula1>
    </dataValidation>
    <dataValidation type="list" allowBlank="1" sqref="I1039:K1039">
      <formula1>"DisableCheckside,AddCalculatedPreferences,SetAccountValueCalculatedPref,SetDefaultRuleCalculatedPref,CreateDoneAwayOrder,SelectUnallocatedGroup,EnterAccountValuesToAllocate,CreateDoneAwayOrder1,SelectUnallocatedGroup1,AddFillsSubOrder,EditAddFillsDetails,"&amp;"VerifyWorkingSubs,GetDataAllocation,CheckAllocatedGroups,CheckUnallocatedGroups,EnterAllocatePreference"</formula1>
    </dataValidation>
    <dataValidation type="list" allowBlank="1" sqref="H1016:K1016">
      <formula1>"SetGeneralPreferences,CreateDoneAwayOrder,GetDataAllocation,CheckAllocatedGroups"</formula1>
    </dataValidation>
    <dataValidation type="list" allowBlank="1" sqref="H1126:K1126">
      <formula1>"CleanUp,ShowMasterFundOnTT,RestartClient,UpdateMasterFundOnTT,CreateDoneAwayOrder,Copy of Data,Copy of Data 1,UpdateMasterFundOnTT1,CreateDoneAwayOrder1,VerifyOrder,GetDataAllocation,CheckAllocatedTaxlots,CheckUnallocatedGroups,Copy of Data 2_conflict1029"&amp;"44048,CheckAllocatedGroups,CheckPortfolioManagement"</formula1>
    </dataValidation>
    <dataValidation type="list" allowBlank="1" sqref="H1082:K1082 F1089 H1089">
      <formula1>"CreateDoneAwayOrder,GetDataAllocation,CheckAllocatedGroups,SetGeneralPreferences,SelectAllocatedGroup,ApplyBulkUpdateOnGroups,EditAllocatedGrid,CheckAllocatedGroups1,SetGeneralPreferences1,SelectAllocatedGroup1,ApplyBulkUpdateOnGroups1,EditAllocatedGrid1,"&amp;"SelectAllocatedGroup2,SelectAllocatedGroup3,SelectAllocatedGroup4,SelectAllocatedGroup5,CheckAllocatedGroups2,Unallocate,CheckUnallocatedGroups,SaveAllocation,Copy of Data,Copy of Data 1,Copy of Data 2,Copy of Data 3"</formula1>
    </dataValidation>
    <dataValidation type="list" allowBlank="1" sqref="H1207:K1207 H1215:K1215 H1218:K1218">
      <formula1>"CreateDoneAwayOrder,GetDataAllocation,SelectAllocatedGroup,EditAllocatedGridTaxlot,CheckAllocatedGroups"</formula1>
    </dataValidation>
    <dataValidation type="list" allowBlank="1" sqref="H1004:K1004">
      <formula1>"ClosingCleanUp,CleanUp,Copy of Data,DisableCheckside"</formula1>
    </dataValidation>
    <dataValidation type="list" allowBlank="1" sqref="H1100:K1100 H1111:K1111">
      <formula1>"ShowMasterFundOnTT,UpdateMasterFundOnTT,CreateDoneAwayOrder,VerifyOrder,GetDataAllocation"</formula1>
    </dataValidation>
    <dataValidation type="list" allowBlank="1" sqref="F176:F184 F186 F192:F194 F208 F215 F217 F227 F231 F241:F242 F247:F250 F252:F256 F258:F261 F263 F269:F271 F273:F276 F278 F284:F285 F287:F293 F295:F297 F430:F434 F436:F443 F445 F451:F452 F454:F458 F460 F466:F467 F472 F584:F585 F644 F647:F649 F651 F657:F658 F660:F663 F665 F671:F672 F674:F677 F679:F681 F683:F686 F688 F694:F695 F699 F715:F718 F720 F725:F726 F728:F731 F733 F739:F740 F742:F745 F747 F753:F754 F757:F760 F762 F768:F769 F772:F775 F777 F783:F784 F787:F790 F792 F798:F799">
      <formula1>"Allocate,CheckAllocation,Unallocate,GetDataAllocation,SelectTradeAllocation,EditTradesAllocated,EditTradesUnallocated,Reallocate,CleanUp,EditTrades,TradeAttributeBulkChange,CommissionBulkChange,GeneralPreferencesDefaultRule,AttributeRenaming,AutoGroupingR"&amp;"ules,MasterFundRatioAllocation,CheckFixedPreferenceScheme,GetFixedScheme,AddCalculatedPreferences,BulkChangeCalculatedPreferences,DeleteCalculatedPreferences,RenameCalculatedPreferences,CopyCalculatedPreferences,RunAutoGroup,SwapControl,RunProrata,SetDefa"&amp;"ultRuleForCalculatedPreference,RenameTradeAttributes,SetAccountValueCalculatedPref,TradeAttributeBulkChange,TradeAttributeBulkChangeGroup,TradeAttributeBulkChangeTaxlots,TradeAttributeBulkChangeGroups,SetMasterFundRatio,AddCalculatedPreferenceToolbar,SetG"&amp;"roupingRules,ApplyBulkUpdateOnGroups,SetStrategyValueCalculatedPref,ApplyBulkUpdateOnTaxlots,SetDefaultRuleCalculatedPref,CommissionBulkChangeOnGroups,CommissionBulkChangeOnTaxlots,BookOrUpdateSwap,SelectUnallocatedGroup,SelectAllocatedGroup,EnterAccountV"&amp;"aluesToAllocate,ApplyPrefetchFilters,EnterAllocatePerference,EnterStrategyValuesToAllocate,CopyCalculatedPreferencesToolbar,SetGeneralRuleCalculatedPref,CopyCalculatedPreferenceToolbar,EnterAllocatePreference,ExportAllCalculatedPreferences,SaveCalculatedP"&amp;"references,ExportAllCalculatedPreferences,SaveCalculatedPreferences,CloseCalculatedPreferences,ExportCalculatedPreference,EditUnallocatedGroupSidePanel,ImportCalculatedPreferences,OpenAuditTrailUnallocatedGroup,DeleteCalculatedPreferencesTool,ImportCalcul"&amp;"atedPreferencesTool,ExportAllCalculatedPreferTool,CheckFixedPreference,DeleteFixedPreference,OpenSymbolLookupUnallocateGroup,OpenSymbolLookupAllocatedGroup,ExportAllCalculatedPreferTool,ExportAllCalculatedPreferences,GetFixedPreference,CheckAllocatedGroup"&amp;"s,CheckUnallocatedGroups,SetGeneralPreferences,EditAllocatedGroupSidePanel,OpenAuditTrailAllocatedGroup,GroupTrades,UngroupTrades,DeleteGroup,CloseOrder,Unallocate,CloseAllocation,GeneralPrefCompanyUserWise,,,,,,,,,,,,,,,,,,,,,,,,,,,,,,,,,,,,,,,,,,,,,,,,,"&amp;",,,,,,,,,,,,,,,,,,,,,,,,,,,,,,,,,,,,,,,,,,,,,,,,,,,,,,,,,,,,,,,,,,,,,,,,,,,,,,,,,,,,,,,,,,,,,,,,,,,,,,,,,,,,,,,,,,,,,,,,,,,,,,,,,,,,,,,,,,,,,,,,,,,,,,,,,,,,,,,,,,,,,,,,,,,,,,,,,,,,,,,,,,,,,,,,,,,,,,,,,,,,,,,,,,,,,,,,,,,,,,,,,,,,,,,,,,,,,,,,,,,,,,,,,,,,,,,"&amp;",,,,,,,,,,,,,,,,,,,,,,,,,,,,,,,,,,,,,,,,,,,,,,,,,,,,,,,,,,,,,,,,,,,,,,,,,,,,,,,,,,,,,,,,,,,,,,,,,,,,,,,,,,,,,"</formula1>
    </dataValidation>
    <dataValidation type="list" allowBlank="1" sqref="H1087:K1087">
      <formula1>"CreateDoneAwayOrder,GetDataAllocation,CheckAllocatedGroups,SetGeneralPreferences,SelectAllocatedGroup,EditAllocatedGrid,CheckAllocatedGroups1,SetGeneralPreferences1,EditAllocatedGrid1,CheckAllocatedGroups2,Unallocate,CheckUnallocatedGroups"</formula1>
    </dataValidation>
  </dataValidations>
  <hyperlinks>
    <hyperlink r:id="rId1" location="gid=945675207" ref="G6"/>
    <hyperlink r:id="rId2" location="gid=1385689893" ref="G7"/>
    <hyperlink r:id="rId3" location="gid=1866030020" ref="G8"/>
    <hyperlink r:id="rId4" location="gid=1219518518" ref="G9"/>
    <hyperlink r:id="rId5" location="gid=1607706245" ref="G10"/>
    <hyperlink r:id="rId6" location="gid=682200002" ref="G11"/>
    <hyperlink r:id="rId7" location="gid=2135988556" ref="G12"/>
    <hyperlink r:id="rId8" location="gid=917230216" ref="G13"/>
    <hyperlink r:id="rId9" location="gid=688694307" ref="G14"/>
    <hyperlink r:id="rId10" location="gid=2020053882" ref="G15"/>
    <hyperlink r:id="rId11" location="gid=824268590" ref="G18"/>
    <hyperlink r:id="rId12" location="gid=690482143" ref="G19"/>
    <hyperlink r:id="rId13" location="gid=872955406" ref="G20"/>
    <hyperlink r:id="rId14" location="gid=24917259" ref="G22"/>
    <hyperlink r:id="rId15" location="gid=240791589" ref="G23"/>
    <hyperlink r:id="rId16" location="gid=1229600475" ref="G24"/>
    <hyperlink r:id="rId17" location="gid=1624573453" ref="G25"/>
    <hyperlink r:id="rId18" location="gid=1671847217" ref="G26"/>
    <hyperlink r:id="rId19" location="gid=739375516" ref="G29"/>
    <hyperlink r:id="rId20" location="gid=163309445" ref="G30"/>
    <hyperlink r:id="rId21" location="gid=1250170642" ref="G31"/>
    <hyperlink r:id="rId22" location="gid=2034179571" ref="G32"/>
    <hyperlink r:id="rId23" location="gid=6024352" ref="G33"/>
    <hyperlink r:id="rId24" location="gid=701977132" ref="G34"/>
    <hyperlink r:id="rId25" location="gid=1692916221" ref="G35"/>
    <hyperlink r:id="rId26" location="gid=23242344" ref="G36"/>
    <hyperlink r:id="rId27" location="gid=2011535565" ref="G37"/>
    <hyperlink r:id="rId28" location="gid=1114477504" ref="G38"/>
    <hyperlink r:id="rId29" location="gid=1721623626" ref="G41"/>
    <hyperlink r:id="rId30" location="gid=1068305720" ref="G42"/>
    <hyperlink r:id="rId31" location="gid=1218876040" ref="G43"/>
    <hyperlink r:id="rId32" location="gid=622448239" ref="G44"/>
    <hyperlink r:id="rId33" location="gid=2033492808" ref="G45"/>
    <hyperlink r:id="rId34" location="gid=1732416356" ref="G46"/>
    <hyperlink r:id="rId35" location="gid=1905507206" ref="G49"/>
    <hyperlink r:id="rId36" location="gid=177591972" ref="G50"/>
    <hyperlink r:id="rId37" location="gid=1604187378" ref="G51"/>
    <hyperlink r:id="rId38" location="gid=1100976793" ref="G52"/>
    <hyperlink r:id="rId39" location="gid=1911321665" ref="G55"/>
    <hyperlink r:id="rId40" location="gid=1488067738" ref="G56"/>
    <hyperlink r:id="rId41" location="gid=1763487928" ref="G57"/>
    <hyperlink r:id="rId42" location="gid=341866858" ref="G58"/>
    <hyperlink r:id="rId43" location="gid=62593608" ref="G59"/>
    <hyperlink r:id="rId44" location="gid=1827532098" ref="G60"/>
    <hyperlink r:id="rId45" location="gid=675952245" ref="G63"/>
    <hyperlink r:id="rId46" location="gid=1512838456" ref="G64"/>
    <hyperlink r:id="rId47" location="gid=7659016" ref="G65"/>
    <hyperlink r:id="rId48" location="gid=572777777" ref="G66"/>
    <hyperlink r:id="rId49" location="gid=1207380893" ref="G67"/>
    <hyperlink r:id="rId50" location="gid=1325668901" ref="G70"/>
    <hyperlink r:id="rId51" location="gid=1749888180" ref="G71"/>
    <hyperlink r:id="rId52" location="gid=1592393932" ref="G73"/>
    <hyperlink r:id="rId53" location="gid=890331545" ref="G74"/>
    <hyperlink r:id="rId54" location="gid=485052253" ref="G75"/>
    <hyperlink r:id="rId55" location="gid=1171386742" ref="G76"/>
    <hyperlink r:id="rId56" location="gid=458396814" ref="G77"/>
    <hyperlink r:id="rId57" location="gid=2108381199" ref="G81"/>
    <hyperlink r:id="rId58" location="gid=8838582" ref="G82"/>
    <hyperlink r:id="rId59" location="gid=291326854" ref="G83"/>
    <hyperlink r:id="rId60" location="gid=1986353782" ref="G84"/>
    <hyperlink r:id="rId61" location="gid=900858367" ref="G87"/>
    <hyperlink r:id="rId62" location="gid=928411986" ref="G88"/>
    <hyperlink r:id="rId63" location="gid=399632959" ref="G89"/>
    <hyperlink r:id="rId64" location="gid=1829766820" ref="G90"/>
    <hyperlink r:id="rId65" location="gid=220852531" ref="G91"/>
    <hyperlink r:id="rId66" location="gid=1931781337" ref="G92"/>
    <hyperlink r:id="rId67" location="gid=176029357" ref="G95"/>
    <hyperlink r:id="rId68" location="gid=17182188" ref="G96"/>
    <hyperlink r:id="rId69" location="gid=1887914641" ref="G97"/>
    <hyperlink r:id="rId70" location="gid=1412173100" ref="G98"/>
    <hyperlink r:id="rId71" location="gid=480812976" ref="G101"/>
    <hyperlink r:id="rId72" location="gid=1296498079" ref="G102"/>
    <hyperlink r:id="rId73" location="gid=1958421769" ref="G103"/>
    <hyperlink r:id="rId74" location="gid=1773552751" ref="G104"/>
    <hyperlink r:id="rId75" location="gid=1383646717" ref="G105"/>
    <hyperlink r:id="rId76" location="gid=909779536" ref="G106"/>
    <hyperlink r:id="rId77" location="gid=1753263377" ref="G109"/>
    <hyperlink r:id="rId78" location="gid=1425380497" ref="G110"/>
    <hyperlink r:id="rId79" location="gid=1776516553" ref="G111"/>
    <hyperlink r:id="rId80" location="gid=977165423" ref="G112"/>
    <hyperlink r:id="rId81" location="gid=161085792" ref="G113"/>
    <hyperlink r:id="rId82" location="gid=2110022642" ref="G114"/>
    <hyperlink r:id="rId83" location="gid=1239895923" ref="G116"/>
    <hyperlink r:id="rId84" location="gid=2140228634" ref="G117"/>
    <hyperlink r:id="rId85" location="gid=666177706" ref="G118"/>
    <hyperlink r:id="rId86" location="gid=155546221" ref="G119"/>
    <hyperlink r:id="rId87" location="gid=935137956" ref="G120"/>
    <hyperlink r:id="rId88" location="gid=1853059382" ref="G123"/>
    <hyperlink r:id="rId89" location="gid=1238749366" ref="G124"/>
    <hyperlink r:id="rId90" location="gid=499365654" ref="G125"/>
    <hyperlink r:id="rId91" location="gid=919121815" ref="G126"/>
    <hyperlink r:id="rId92" location="gid=576026858" ref="G127"/>
    <hyperlink r:id="rId93" location="gid=441875545" ref="G128"/>
    <hyperlink r:id="rId94" location="gid=734372369" ref="G130"/>
    <hyperlink r:id="rId95" location="gid=340505176" ref="G131"/>
    <hyperlink r:id="rId96" location="gid=1159793029" ref="G132"/>
    <hyperlink r:id="rId97" location="gid=565976116" ref="G133"/>
    <hyperlink r:id="rId98" location="gid=2119382432" ref="G134"/>
    <hyperlink r:id="rId99" location="gid=1860445077" ref="G137"/>
    <hyperlink r:id="rId100" location="gid=1959906071" ref="G138"/>
    <hyperlink r:id="rId101" location="gid=2063166207" ref="G139"/>
    <hyperlink r:id="rId102" location="gid=1318782427" ref="G140"/>
    <hyperlink r:id="rId103" location="gid=327102075" ref="G141"/>
    <hyperlink r:id="rId104" location="gid=408839816" ref="G142"/>
    <hyperlink r:id="rId105" location="gid=462655551" ref="G144"/>
    <hyperlink r:id="rId106" location="gid=1635967158" ref="G145"/>
    <hyperlink r:id="rId107" location="gid=67805543" ref="G146"/>
    <hyperlink r:id="rId108" location="gid=1545159088" ref="G147"/>
    <hyperlink r:id="rId109" location="gid=1699453041" ref="G150"/>
    <hyperlink r:id="rId110" location="gid=654979074" ref="G151"/>
    <hyperlink r:id="rId111" location="gid=819599620" ref="G152"/>
    <hyperlink r:id="rId112" location="gid=1701340744" ref="G153"/>
    <hyperlink r:id="rId113" location="gid=646119170" ref="G154"/>
    <hyperlink r:id="rId114" location="gid=1548997494" ref="G156"/>
    <hyperlink r:id="rId115" location="gid=945582300" ref="G157"/>
    <hyperlink r:id="rId116" location="gid=1032668664" ref="G158"/>
    <hyperlink r:id="rId117" location="gid=1457743581" ref="G159"/>
    <hyperlink r:id="rId118" location="gid=1496174210" ref="G162"/>
    <hyperlink r:id="rId119" location="gid=346833308" ref="G163"/>
    <hyperlink r:id="rId120" location="gid=749234337" ref="G164"/>
    <hyperlink r:id="rId121" location="gid=1643679782" ref="G165"/>
    <hyperlink r:id="rId122" location="gid=221118522" ref="G168"/>
    <hyperlink r:id="rId123" location="gid=240056224" ref="G169"/>
    <hyperlink r:id="rId124" location="gid=886899580" ref="G170"/>
    <hyperlink r:id="rId125" location="gid=1458162283" ref="G171"/>
    <hyperlink r:id="rId126" location="gid=1730235506" ref="G172"/>
    <hyperlink r:id="rId127" location="gid=756921024" ref="G175"/>
    <hyperlink r:id="rId128" location="gid=1410397664" ref="G176"/>
    <hyperlink r:id="rId129" location="gid=1285646612" ref="G178"/>
    <hyperlink r:id="rId130" location="gid=1041571911" ref="G179"/>
    <hyperlink r:id="rId131" location="gid=1500013900" ref="G182"/>
    <hyperlink r:id="rId132" location="gid=1463470369" ref="G183"/>
    <hyperlink r:id="rId133" location="gid=42263271" ref="G185"/>
    <hyperlink r:id="rId134" location="gid=1793604002" ref="G186"/>
    <hyperlink r:id="rId135" location="gid=1422061057" ref="G187"/>
    <hyperlink r:id="rId136" location="gid=1082273193" ref="G188"/>
    <hyperlink r:id="rId137" location="gid=816981708" ref="G189"/>
    <hyperlink r:id="rId138" location="gid=403204335" ref="G190"/>
    <hyperlink r:id="rId139" location="gid=989632709" ref="G191"/>
    <hyperlink r:id="rId140" location="gid=356141440" ref="G195"/>
    <hyperlink r:id="rId141" location="gid=1003804682" ref="G196"/>
    <hyperlink r:id="rId142" location="gid=1836427195" ref="G197"/>
    <hyperlink r:id="rId143" location="gid=1292408850" ref="G198"/>
    <hyperlink r:id="rId144" location="gid=653015328" ref="G199"/>
    <hyperlink r:id="rId145" location="gid=1339523006" ref="G200"/>
    <hyperlink r:id="rId146" location="gid=1686494265" ref="G201"/>
    <hyperlink r:id="rId147" location="gid=535108421" ref="G203"/>
    <hyperlink r:id="rId148" location="gid=51711026" ref="G204"/>
    <hyperlink r:id="rId149" location="gid=883987619" ref="G205"/>
    <hyperlink r:id="rId150" location="gid=802667153" ref="G206"/>
    <hyperlink r:id="rId151" location="gid=57464401" ref="G207"/>
    <hyperlink r:id="rId152" location="gid=1161268779" ref="G209"/>
    <hyperlink r:id="rId153" location="gid=1375111469" ref="G210"/>
    <hyperlink r:id="rId154" location="gid=531225679" ref="G212"/>
    <hyperlink r:id="rId155" location="gid=2006261113" ref="G213"/>
    <hyperlink r:id="rId156" location="gid=1673956248" ref="G214"/>
    <hyperlink r:id="rId157" location="gid=1371762524" ref="G216"/>
    <hyperlink r:id="rId158" location="gid=575630585" ref="G218"/>
    <hyperlink r:id="rId159" location="gid=2097788891" ref="G219"/>
    <hyperlink r:id="rId160" location="gid=1213963318" ref="G220"/>
    <hyperlink r:id="rId161" location="gid=2097788891" ref="G221"/>
    <hyperlink r:id="rId162" location="gid=1213963318" ref="G222"/>
    <hyperlink r:id="rId163" location="gid=2019710448" ref="G225"/>
    <hyperlink r:id="rId164" location="gid=827065942" ref="G226"/>
    <hyperlink r:id="rId165" location="gid=2020234868" ref="G228"/>
    <hyperlink r:id="rId166" location="gid=197856381" ref="G229"/>
    <hyperlink r:id="rId167" location="gid=1585336270" ref="G230"/>
    <hyperlink r:id="rId168" location="gid=1151376867" ref="G231"/>
    <hyperlink r:id="rId169" location="gid=172641211" ref="G232"/>
    <hyperlink r:id="rId170" location="gid=468209760" ref="G233"/>
    <hyperlink r:id="rId171" location="gid=515291838" ref="G235"/>
    <hyperlink r:id="rId172" location="gid=1711147725" ref="G236"/>
    <hyperlink r:id="rId173" location="gid=1552042036" ref="G237"/>
    <hyperlink r:id="rId174" location="gid=256757817" ref="G238"/>
    <hyperlink r:id="rId175" location="gid=1136369085" ref="G239"/>
    <hyperlink r:id="rId176" location="gid=238340812" ref="G242"/>
    <hyperlink r:id="rId177" location="gid=721496547" ref="G244"/>
    <hyperlink r:id="rId178" location="gid=275166109" ref="G246"/>
    <hyperlink r:id="rId179" location="gid=1205335677" ref="G247"/>
    <hyperlink r:id="rId180" location="gid=2145580812" ref="G248"/>
    <hyperlink r:id="rId181" location="gid=413321828" ref="G251"/>
    <hyperlink r:id="rId182" location="gid=460690180" ref="G252"/>
    <hyperlink r:id="rId183" location="gid=1972278486" ref="G253"/>
    <hyperlink r:id="rId184" location="gid=1557485736" ref="G257"/>
    <hyperlink r:id="rId185" location="gid=830707400" ref="G258"/>
    <hyperlink r:id="rId186" location="gid=491598765" ref="G259"/>
    <hyperlink r:id="rId187" location="gid=1715503428" ref="G260"/>
    <hyperlink r:id="rId188" location="gid=1463338880" ref="G262"/>
    <hyperlink r:id="rId189" location="gid=1515563446" ref="G263"/>
    <hyperlink r:id="rId190" location="gid=370895819" ref="G264"/>
    <hyperlink r:id="rId191" location="gid=15588261" ref="G265"/>
    <hyperlink r:id="rId192" location="gid=1367290732" ref="G266"/>
    <hyperlink r:id="rId193" location="gid=429649389" ref="G267"/>
    <hyperlink r:id="rId194" location="gid=1007308504" ref="G268"/>
    <hyperlink r:id="rId195" location="gid=32820059" ref="G272"/>
    <hyperlink r:id="rId196" location="gid=1026358251" ref="G273"/>
    <hyperlink r:id="rId197" location="gid=360547347" ref="G274"/>
    <hyperlink r:id="rId198" location="gid=954464237" ref="G275"/>
    <hyperlink r:id="rId199" location="gid=127131649" ref="G277"/>
    <hyperlink r:id="rId200" location="gid=1766950143" ref="G278"/>
    <hyperlink r:id="rId201" location="gid=1458974471" ref="G279"/>
    <hyperlink r:id="rId202" location="gid=1488023057" ref="G280"/>
    <hyperlink r:id="rId203" location="gid=17486355" ref="G281"/>
    <hyperlink r:id="rId204" location="gid=2054000040" ref="G282"/>
    <hyperlink r:id="rId205" location="gid=1128212263" ref="G283"/>
    <hyperlink r:id="rId206" location="gid=1886443998" ref="G286"/>
    <hyperlink r:id="rId207" location="gid=402205988" ref="G287"/>
    <hyperlink r:id="rId208" location="gid=1777486759" ref="G288"/>
    <hyperlink r:id="rId209" location="gid=233696214" ref="G291"/>
    <hyperlink r:id="rId210" location="gid=962118788" ref="G292"/>
    <hyperlink r:id="rId211" location="gid=98166813" ref="G294"/>
    <hyperlink r:id="rId212" location="gid=289458807" ref="G295"/>
    <hyperlink r:id="rId213" location="gid=179309735" ref="G298"/>
    <hyperlink r:id="rId214" location="gid=1934557438" ref="G299"/>
    <hyperlink r:id="rId215" location="gid=1936705354" ref="G300"/>
    <hyperlink r:id="rId216" location="gid=610729750" ref="G301"/>
    <hyperlink r:id="rId217" location="gid=1627655992" ref="G304"/>
    <hyperlink r:id="rId218" location="gid=178809093" ref="G305"/>
    <hyperlink r:id="rId219" location="gid=1611629058" ref="G307"/>
    <hyperlink r:id="rId220" location="gid=1909612712" ref="G308"/>
    <hyperlink r:id="rId221" location="gid=1617040660" ref="G309"/>
    <hyperlink r:id="rId222" location="gid=316575702" ref="G310"/>
    <hyperlink r:id="rId223" location="gid=1633488542" ref="G311"/>
    <hyperlink r:id="rId224" location="gid=1316920810" ref="G314"/>
    <hyperlink r:id="rId225" location="gid=84295695" ref="G315"/>
    <hyperlink r:id="rId226" location="gid=34944726" ref="G316"/>
    <hyperlink r:id="rId227" location="gid=1646602013" ref="G317"/>
    <hyperlink r:id="rId228" location="gid=193684996" ref="G318"/>
    <hyperlink r:id="rId229" location="gid=1646602013" ref="G319"/>
    <hyperlink r:id="rId230" location="gid=1795343760" ref="G320"/>
    <hyperlink r:id="rId231" location="gid=648692049" ref="G322"/>
    <hyperlink r:id="rId232" location="gid=206744070" ref="G323"/>
    <hyperlink r:id="rId233" location="gid=911076797" ref="G324"/>
    <hyperlink r:id="rId234" location="gid=1468219194" ref="G326"/>
    <hyperlink r:id="rId235" location="gid=1444351732" ref="G327"/>
    <hyperlink r:id="rId236" location="gid=112981983" ref="G328"/>
    <hyperlink r:id="rId237" location="gid=273622828" ref="G329"/>
    <hyperlink r:id="rId238" location="gid=2113580380" ref="G330"/>
    <hyperlink r:id="rId239" location="gid=1206740922" ref="G331"/>
    <hyperlink r:id="rId240" location="gid=216279040" ref="G333"/>
    <hyperlink r:id="rId241" location="gid=620465801" ref="G334"/>
    <hyperlink r:id="rId242" location="gid=1812209618" ref="G335"/>
    <hyperlink r:id="rId243" location="gid=1562653261" ref="G336"/>
    <hyperlink r:id="rId244" location="gid=1120756598" ref="G337"/>
    <hyperlink r:id="rId245" location="gid=394696045" ref="G338"/>
    <hyperlink r:id="rId246" location="gid=350066026" ref="G339"/>
    <hyperlink r:id="rId247" location="gid=1727785877" ref="G340"/>
    <hyperlink r:id="rId248" location="gid=1415464398" ref="G341"/>
    <hyperlink r:id="rId249" location="gid=1893283597" ref="G342"/>
    <hyperlink r:id="rId250" location="gid=79254341" ref="G343"/>
    <hyperlink r:id="rId251" location="gid=493163125" ref="G344"/>
    <hyperlink r:id="rId252" location="gid=1891630744" ref="G345"/>
    <hyperlink r:id="rId253" location="gid=1697801092" ref="G346"/>
    <hyperlink r:id="rId254" location="gid=177790491" ref="G347"/>
    <hyperlink r:id="rId255" location="gid=925348846" ref="G348"/>
    <hyperlink r:id="rId256" location="gid=346777087" ref="G350"/>
    <hyperlink r:id="rId257" location="gid=662789368" ref="G351"/>
    <hyperlink r:id="rId258" location="gid=32225471" ref="G352"/>
    <hyperlink r:id="rId259" location="gid=1915314852" ref="G353"/>
    <hyperlink r:id="rId260" location="gid=1313771061" ref="G354"/>
    <hyperlink r:id="rId261" location="gid=592206617" ref="G355"/>
    <hyperlink r:id="rId262" location="gid=2081768671" ref="G356"/>
    <hyperlink r:id="rId263" location="gid=2134042077" ref="G357"/>
    <hyperlink r:id="rId264" location="gid=1173900750" ref="G358"/>
    <hyperlink r:id="rId265" location="gid=699945574" ref="G359"/>
    <hyperlink r:id="rId266" location="gid=575251893" ref="G360"/>
    <hyperlink r:id="rId267" location="gid=2144607735" ref="G361"/>
    <hyperlink r:id="rId268" location="gid=1335926512" ref="G362"/>
    <hyperlink r:id="rId269" location="gid=1930713758" ref="G363"/>
    <hyperlink r:id="rId270" location="gid=662254501" ref="G364"/>
    <hyperlink r:id="rId271" location="gid=785450001" ref="G365"/>
    <hyperlink r:id="rId272" location="gid=519268972" ref="G366"/>
    <hyperlink r:id="rId273" location="gid=15908599" ref="G367"/>
    <hyperlink r:id="rId274" location="gid=1121414623" ref="G368"/>
    <hyperlink r:id="rId275" location="gid=961808157" ref="G369"/>
    <hyperlink r:id="rId276" location="gid=410518087" ref="G370"/>
    <hyperlink r:id="rId277" location="gid=1531900266" ref="G371"/>
    <hyperlink r:id="rId278" location="gid=2102840007" ref="G372"/>
    <hyperlink r:id="rId279" location="gid=168622284" ref="G373"/>
    <hyperlink r:id="rId280" location="gid=1119825656" ref="G374"/>
    <hyperlink r:id="rId281" location="gid=941093872" ref="G375"/>
    <hyperlink r:id="rId282" location="gid=1403012953" ref="G376"/>
    <hyperlink r:id="rId283" location="gid=182305228" ref="G377"/>
    <hyperlink r:id="rId284" location="gid=1755675013" ref="G378"/>
    <hyperlink r:id="rId285" location="gid=32245058" ref="G379"/>
    <hyperlink r:id="rId286" location="gid=517578214" ref="G381"/>
    <hyperlink r:id="rId287" location="gid=390147551" ref="G382"/>
    <hyperlink r:id="rId288" location="gid=1680166551" ref="G383"/>
    <hyperlink r:id="rId289" location="gid=1453732824" ref="G384"/>
    <hyperlink r:id="rId290" location="gid=91750420" ref="G385"/>
    <hyperlink r:id="rId291" location="gid=65673055" ref="G386"/>
    <hyperlink r:id="rId292" location="gid=1217606308" ref="G387"/>
    <hyperlink r:id="rId293" location="gid=173451735" ref="G388"/>
    <hyperlink r:id="rId294" location="gid=1053145088" ref="G389"/>
    <hyperlink r:id="rId295" location="gid=1196936435" ref="G390"/>
    <hyperlink r:id="rId296" location="gid=359567404" ref="G391"/>
    <hyperlink r:id="rId297" location="gid=1536426044" ref="G392"/>
    <hyperlink r:id="rId298" location="gid=1672902603" ref="G393"/>
    <hyperlink r:id="rId299" location="gid=1130977505" ref="G394"/>
    <hyperlink r:id="rId300" location="gid=361680848" ref="G395"/>
    <hyperlink r:id="rId301" location="gid=388147581" ref="G396"/>
    <hyperlink r:id="rId302" location="gid=2133430115" ref="G397"/>
    <hyperlink r:id="rId303" location="gid=1447121183" ref="G398"/>
    <hyperlink r:id="rId304" location="gid=1514628461" ref="G400"/>
    <hyperlink r:id="rId305" location="gid=639061869" ref="G401"/>
    <hyperlink r:id="rId306" location="gid=511446134" ref="G402"/>
    <hyperlink r:id="rId307" location="gid=1828802773" ref="G403"/>
    <hyperlink r:id="rId308" location="gid=109683484" ref="G404"/>
    <hyperlink r:id="rId309" location="gid=1849453699" ref="G405"/>
    <hyperlink r:id="rId310" location="gid=1453372079" ref="G406"/>
    <hyperlink r:id="rId311" location="gid=949054342" ref="G407"/>
    <hyperlink r:id="rId312" location="gid=1570585279" ref="G408"/>
    <hyperlink r:id="rId313" location="gid=207642618" ref="G409"/>
    <hyperlink r:id="rId314" location="gid=629902054" ref="G410"/>
    <hyperlink r:id="rId315" location="gid=1469957268" ref="G411"/>
    <hyperlink r:id="rId316" location="gid=1543957225" ref="G412"/>
    <hyperlink r:id="rId317" location="gid=127670826" ref="G413"/>
    <hyperlink r:id="rId318" location="gid=48179377" ref="G414"/>
    <hyperlink r:id="rId319" location="gid=612131016" ref="G415"/>
    <hyperlink r:id="rId320" location="gid=1479884930" ref="G417"/>
    <hyperlink r:id="rId321" location="gid=1636989931" ref="G418"/>
    <hyperlink r:id="rId322" location="gid=423723829" ref="G419"/>
    <hyperlink r:id="rId323" location="gid=1208160762" ref="G420"/>
    <hyperlink r:id="rId324" location="gid=2031285883" ref="G421"/>
    <hyperlink r:id="rId325" location="gid=370067176" ref="G422"/>
    <hyperlink r:id="rId326" location="gid=1658927955" ref="G423"/>
    <hyperlink r:id="rId327" location="gid=63075931" ref="G424"/>
    <hyperlink r:id="rId328" location="gid=1354291193" ref="G425"/>
    <hyperlink r:id="rId329" location="gid=705345017" ref="G426"/>
    <hyperlink r:id="rId330" location="gid=1642321094" ref="G427"/>
    <hyperlink r:id="rId331" location="gid=1341127855" ref="G428"/>
    <hyperlink r:id="rId332" location="gid=1011331688" ref="G429"/>
    <hyperlink r:id="rId333" location="gid=2045117431" ref="G430"/>
    <hyperlink r:id="rId334" location="gid=1011331688" ref="G431"/>
    <hyperlink r:id="rId335" location="gid=2045117431" ref="G432"/>
    <hyperlink r:id="rId336" location="gid=973912738" ref="G435"/>
    <hyperlink r:id="rId337" location="gid=1608594838" ref="G436"/>
    <hyperlink r:id="rId338" location="gid=168718207" ref="G437"/>
    <hyperlink r:id="rId339" location="gid=280021207" ref="G438"/>
    <hyperlink r:id="rId340" location="gid=203733411" ref="G441"/>
    <hyperlink r:id="rId341" location="gid=13294154" ref="G442"/>
    <hyperlink r:id="rId342" location="gid=458085175" ref="G444"/>
    <hyperlink r:id="rId343" location="gid=737291619" ref="G445"/>
    <hyperlink r:id="rId344" location="gid=1021549106" ref="G446"/>
    <hyperlink r:id="rId345" location="gid=1484250258" ref="G447"/>
    <hyperlink r:id="rId346" location="gid=1287647638" ref="G448"/>
    <hyperlink r:id="rId347" location="gid=519878075" ref="G449"/>
    <hyperlink r:id="rId348" location="gid=854786684" ref="G450"/>
    <hyperlink r:id="rId349" location="gid=361311667" ref="G453"/>
    <hyperlink r:id="rId350" location="gid=2039412502" ref="G454"/>
    <hyperlink r:id="rId351" location="gid=1915568114" ref="G455"/>
    <hyperlink r:id="rId352" location="gid=690437691" ref="G456"/>
    <hyperlink r:id="rId353" location="gid=967563050" ref="G457"/>
    <hyperlink r:id="rId354" location="gid=707003580" ref="G459"/>
    <hyperlink r:id="rId355" location="gid=140592219" ref="G460"/>
    <hyperlink r:id="rId356" location="gid=304884740" ref="G461"/>
    <hyperlink r:id="rId357" location="gid=861703059" ref="G462"/>
    <hyperlink r:id="rId358" location="gid=558402369" ref="G463"/>
    <hyperlink r:id="rId359" location="gid=1184711660" ref="G464"/>
    <hyperlink r:id="rId360" location="gid=1569585591" ref="G465"/>
    <hyperlink r:id="rId361" location="gid=1769864458" ref="G468"/>
    <hyperlink r:id="rId362" location="gid=17385608" ref="G469"/>
    <hyperlink r:id="rId363" location="gid=1427878927" ref="G470"/>
    <hyperlink r:id="rId364" location="gid=612105018" ref="G472"/>
    <hyperlink r:id="rId365" location="gid=601311717" ref="G476"/>
    <hyperlink r:id="rId366" location="gid=2130927009" ref="G477"/>
    <hyperlink r:id="rId367" location="gid=953568890" ref="G479"/>
    <hyperlink r:id="rId368" location="gid=1290511958" ref="G480"/>
    <hyperlink r:id="rId369" location="gid=352475199" ref="G483"/>
    <hyperlink r:id="rId370" location="gid=542640411" ref="G484"/>
    <hyperlink r:id="rId371" location="gid=308257452" ref="G487"/>
    <hyperlink r:id="rId372" location="gid=2009416569" ref="G488"/>
    <hyperlink r:id="rId373" location="gid=1571597072" ref="G489"/>
    <hyperlink r:id="rId374" location="gid=768583585" ref="G490"/>
    <hyperlink r:id="rId375" location="gid=265730646" ref="G491"/>
    <hyperlink r:id="rId376" location="gid=301275571" ref="G492"/>
    <hyperlink r:id="rId377" location="gid=1387722520" ref="G493"/>
    <hyperlink r:id="rId378" location="gid=2146824324" ref="G496"/>
    <hyperlink r:id="rId379" location="gid=957951386" ref="G497"/>
    <hyperlink r:id="rId380" location="gid=1931446018" ref="G498"/>
    <hyperlink r:id="rId381" location="gid=1338397170" ref="G499"/>
    <hyperlink r:id="rId382" location="gid=1036108279" ref="G500"/>
    <hyperlink r:id="rId383" location="gid=1543227078" ref="G501"/>
    <hyperlink r:id="rId384" location="gid=801995367" ref="G502"/>
    <hyperlink r:id="rId385" location="gid=1623433323" ref="G505"/>
    <hyperlink r:id="rId386" location="gid=10435549" ref="G506"/>
    <hyperlink r:id="rId387" location="gid=1748746327" ref="G507"/>
    <hyperlink r:id="rId388" location="gid=328676802" ref="G508"/>
    <hyperlink r:id="rId389" location="gid=1172781248" ref="G509"/>
    <hyperlink r:id="rId390" location="gid=1622096416" ref="G512"/>
    <hyperlink r:id="rId391" location="gid=1294343961" ref="G513"/>
    <hyperlink r:id="rId392" location="gid=295712679" ref="G514"/>
    <hyperlink r:id="rId393" location="gid=1200049684" ref="G515"/>
    <hyperlink r:id="rId394" location="gid=1491044973" ref="G516"/>
    <hyperlink r:id="rId395" location="gid=1983271939" ref="G517"/>
    <hyperlink r:id="rId396" location="gid=146036471" ref="G520"/>
    <hyperlink r:id="rId397" location="gid=1258668423" ref="G521"/>
    <hyperlink r:id="rId398" location="gid=1200950074" ref="G522"/>
    <hyperlink r:id="rId399" location="gid=2058414042" ref="G523"/>
    <hyperlink r:id="rId400" location="gid=1792946807" ref="G526"/>
    <hyperlink r:id="rId401" location="gid=1755465612" ref="G527"/>
    <hyperlink r:id="rId402" location="gid=2058455915" ref="G530"/>
    <hyperlink r:id="rId403" location="gid=357883180" ref="G531"/>
    <hyperlink r:id="rId404" location="gid=381644666" ref="G532"/>
    <hyperlink r:id="rId405" location="gid=864054424" ref="G533"/>
    <hyperlink r:id="rId406" location="gid=1364800305" ref="G537"/>
    <hyperlink r:id="rId407" location="gid=1408551177" ref="G538"/>
    <hyperlink r:id="rId408" location="gid=1807383106" ref="G539"/>
    <hyperlink r:id="rId409" location="gid=172889407" ref="G540"/>
    <hyperlink r:id="rId410" location="gid=854181695" ref="G543"/>
    <hyperlink r:id="rId411" location="gid=275106131" ref="G544"/>
    <hyperlink r:id="rId412" location="gid=1256074551" ref="G545"/>
    <hyperlink r:id="rId413" location="gid=563008075" ref="G546"/>
    <hyperlink r:id="rId414" location="gid=1914590386" ref="G547"/>
    <hyperlink r:id="rId415" location="gid=2089300639" ref="G550"/>
    <hyperlink r:id="rId416" location="gid=206502653" ref="G551"/>
    <hyperlink r:id="rId417" location="gid=1206349031" ref="G552"/>
    <hyperlink r:id="rId418" location="gid=1381705004" ref="G553"/>
    <hyperlink r:id="rId419" location="gid=1442903562" ref="G556"/>
    <hyperlink r:id="rId420" location="gid=242659830" ref="G557"/>
    <hyperlink r:id="rId421" location="gid=368242153" ref="G558"/>
    <hyperlink r:id="rId422" location="gid=1161464414" ref="G559"/>
    <hyperlink r:id="rId423" location="gid=1783404460" ref="G562"/>
    <hyperlink r:id="rId424" location="gid=578146446" ref="G563"/>
    <hyperlink r:id="rId425" location="gid=2129544965" ref="G564"/>
    <hyperlink r:id="rId426" location="gid=2021036528" ref="G565"/>
    <hyperlink r:id="rId427" location="gid=1455689302" ref="G566"/>
    <hyperlink r:id="rId428" location="gid=2129544965" ref="G568"/>
    <hyperlink r:id="rId429" location="gid=200299119" ref="G569"/>
    <hyperlink r:id="rId430" location="gid=383961102" ref="G570"/>
    <hyperlink r:id="rId431" location="gid=790840540" ref="G571"/>
    <hyperlink r:id="rId432" location="gid=1455689302" ref="G572"/>
    <hyperlink r:id="rId433" location="gid=2129544965" ref="G574"/>
    <hyperlink r:id="rId434" location="gid=200299119" ref="G575"/>
    <hyperlink r:id="rId435" location="gid=984011461" ref="G576"/>
    <hyperlink r:id="rId436" location="gid=1837383584" ref="G577"/>
    <hyperlink r:id="rId437" location="gid=2129544965" ref="G579"/>
    <hyperlink r:id="rId438" location="gid=200299119" ref="G580"/>
    <hyperlink r:id="rId439" location="gid=984011461" ref="G581"/>
    <hyperlink r:id="rId440" location="gid=1409236042" ref="G584"/>
    <hyperlink r:id="rId441" location="gid=779319670" ref="G586"/>
    <hyperlink r:id="rId442" location="gid=341329382" ref="G587"/>
    <hyperlink r:id="rId443" location="gid=1588598128" ref="G588"/>
    <hyperlink r:id="rId444" location="gid=844762275" ref="G589"/>
    <hyperlink r:id="rId445" location="gid=622409128" ref="G590"/>
    <hyperlink r:id="rId446" location="gid=1140679464" ref="G592"/>
    <hyperlink r:id="rId447" location="gid=2014289673" ref="G593"/>
    <hyperlink r:id="rId448" location="gid=581288203" ref="G594"/>
    <hyperlink r:id="rId449" location="gid=1235690495" ref="G595"/>
    <hyperlink r:id="rId450" location="gid=1402875441" ref="G597"/>
    <hyperlink r:id="rId451" location="gid=2003729218" ref="G598"/>
    <hyperlink r:id="rId452" location="gid=1144044038" ref="G601"/>
    <hyperlink r:id="rId453" location="gid=603396001" ref="G602"/>
    <hyperlink r:id="rId454" location="gid=1443713583" ref="G603"/>
    <hyperlink r:id="rId455" location="gid=34632148" ref="G604"/>
    <hyperlink r:id="rId456" location="gid=397390223" ref="G605"/>
    <hyperlink r:id="rId457" location="gid=707264970" ref="G607"/>
    <hyperlink r:id="rId458" location="gid=547527432" ref="G608"/>
    <hyperlink r:id="rId459" location="gid=1068835512" ref="G609"/>
    <hyperlink r:id="rId460" location="gid=1070441458" ref="G610"/>
    <hyperlink r:id="rId461" location="gid=776292520" ref="G611"/>
    <hyperlink r:id="rId462" location="gid=1364845104" ref="G612"/>
    <hyperlink r:id="rId463" location="gid=2020262852" ref="G613"/>
    <hyperlink r:id="rId464" location="gid=39461887" ref="G616"/>
    <hyperlink r:id="rId465" location="gid=1832897897" ref="G617"/>
    <hyperlink r:id="rId466" location="gid=678503636" ref="G618"/>
    <hyperlink r:id="rId467" location="gid=1304054430" ref="G619"/>
    <hyperlink r:id="rId468" location="gid=1627685431" ref="G620"/>
    <hyperlink r:id="rId469" location="gid=1703569126" ref="G622"/>
    <hyperlink r:id="rId470" location="gid=1028207681" ref="G623"/>
    <hyperlink r:id="rId471" location="gid=432646672" ref="G624"/>
    <hyperlink r:id="rId472" location="gid=950196765" ref="G625"/>
    <hyperlink r:id="rId473" location="gid=785601459" ref="G626"/>
    <hyperlink r:id="rId474" location="gid=171911238" ref="G627"/>
    <hyperlink r:id="rId475" location="gid=544970862" ref="G628"/>
    <hyperlink r:id="rId476" location="gid=1035289257" ref="G631"/>
    <hyperlink r:id="rId477" location="gid=1856098754" ref="G632"/>
    <hyperlink r:id="rId478" location="gid=1571452713" ref="G633"/>
    <hyperlink r:id="rId479" location="gid=39530933" ref="G635"/>
    <hyperlink r:id="rId480" location="gid=997032167" ref="G636"/>
    <hyperlink r:id="rId481" location="gid=1904830994" ref="G637"/>
    <hyperlink r:id="rId482" location="gid=672156024" ref="G638"/>
    <hyperlink r:id="rId483" location="gid=238610183" ref="G639"/>
    <hyperlink r:id="rId484" location="gid=637554444" ref="G640"/>
    <hyperlink r:id="rId485" location="gid=1605358267" ref="G641"/>
    <hyperlink r:id="rId486" location="gid=658866472" ref="G644"/>
    <hyperlink r:id="rId487" location="gid=967347301" ref="G645"/>
    <hyperlink r:id="rId488" location="gid=272334881" ref="G646"/>
    <hyperlink r:id="rId489" location="gid=1565559239" ref="G647"/>
    <hyperlink r:id="rId490" location="gid=1648142050" ref="G648"/>
    <hyperlink r:id="rId491" location="gid=1726699151" ref="G650"/>
    <hyperlink r:id="rId492" location="gid=1908077160" ref="G651"/>
    <hyperlink r:id="rId493" location="gid=1261485785" ref="G652"/>
    <hyperlink r:id="rId494" location="gid=2040309361" ref="G653"/>
    <hyperlink r:id="rId495" location="gid=11128372" ref="G654"/>
    <hyperlink r:id="rId496" location="gid=132023973" ref="G655"/>
    <hyperlink r:id="rId497" location="gid=819238395" ref="G656"/>
    <hyperlink r:id="rId498" location="gid=2131462418" ref="G659"/>
    <hyperlink r:id="rId499" location="gid=1792452256" ref="G660"/>
    <hyperlink r:id="rId500" location="gid=820505092" ref="G661"/>
    <hyperlink r:id="rId501" location="gid=436967982" ref="G662"/>
    <hyperlink r:id="rId502" location="gid=1853860411" ref="G664"/>
    <hyperlink r:id="rId503" location="gid=519738925" ref="G665"/>
    <hyperlink r:id="rId504" location="gid=609178946" ref="G666"/>
    <hyperlink r:id="rId505" location="gid=747681120" ref="G667"/>
    <hyperlink r:id="rId506" location="gid=462935626" ref="G668"/>
    <hyperlink r:id="rId507" location="gid=1267503170" ref="G669"/>
    <hyperlink r:id="rId508" location="gid=1788410491" ref="G670"/>
    <hyperlink r:id="rId509" location="gid=302506615" ref="G673"/>
    <hyperlink r:id="rId510" location="gid=2064763723" ref="G674"/>
    <hyperlink r:id="rId511" location="gid=230516657" ref="G675"/>
    <hyperlink r:id="rId512" location="gid=241060978" ref="G676"/>
    <hyperlink r:id="rId513" location="gid=1980427285" ref="G678"/>
    <hyperlink r:id="rId514" location="gid=1585766963" ref="G679"/>
    <hyperlink r:id="rId515" location="gid=225945766" ref="G682"/>
    <hyperlink r:id="rId516" location="gid=1206256305" ref="G683"/>
    <hyperlink r:id="rId517" location="gid=681057744" ref="G684"/>
    <hyperlink r:id="rId518" location="gid=367943723" ref="G685"/>
    <hyperlink r:id="rId519" location="gid=988733875" ref="G687"/>
    <hyperlink r:id="rId520" location="gid=1128286667" ref="G688"/>
    <hyperlink r:id="rId521" location="gid=797085891" ref="G689"/>
    <hyperlink r:id="rId522" location="gid=1640960539" ref="G690"/>
    <hyperlink r:id="rId523" location="gid=49479959" ref="G691"/>
    <hyperlink r:id="rId524" location="gid=1241812310" ref="G692"/>
    <hyperlink r:id="rId525" location="gid=1419049335" ref="G693"/>
    <hyperlink r:id="rId526" location="gid=1250492686" ref="G697"/>
    <hyperlink r:id="rId527" location="gid=280161161" ref="G698"/>
    <hyperlink r:id="rId528" location="gid=569673102" ref="G699"/>
    <hyperlink r:id="rId529" location="gid=1064364280" ref="G700"/>
    <hyperlink r:id="rId530" location="gid=2042067119" ref="G701"/>
    <hyperlink r:id="rId531" location="gid=569673102" ref="G703"/>
    <hyperlink r:id="rId532" location="gid=1920381640" ref="G704"/>
    <hyperlink r:id="rId533" location="gid=1619500223" ref="G705"/>
    <hyperlink r:id="rId534" location="gid=1634648661" ref="G706"/>
    <hyperlink r:id="rId535" location="gid=677672702" ref="G707"/>
    <hyperlink r:id="rId536" location="gid=320867663" ref="G708"/>
    <hyperlink r:id="rId537" location="gid=1416701255" ref="G709"/>
    <hyperlink r:id="rId538" location="gid=1062905812" ref="G710"/>
    <hyperlink r:id="rId539" location="gid=1638669807" ref="G714"/>
    <hyperlink r:id="rId540" location="gid=2113382464" ref="G715"/>
    <hyperlink r:id="rId541" location="gid=54358564" ref="G716"/>
    <hyperlink r:id="rId542" location="gid=1405161601" ref="G717"/>
    <hyperlink r:id="rId543" location="gid=1143823006" ref="G719"/>
    <hyperlink r:id="rId544" location="gid=114134952" ref="G720"/>
    <hyperlink r:id="rId545" location="gid=63256709" ref="G721"/>
    <hyperlink r:id="rId546" location="gid=676701402" ref="G722"/>
    <hyperlink r:id="rId547" location="gid=406133406" ref="G723"/>
    <hyperlink r:id="rId548" location="gid=1141463892" ref="G724"/>
    <hyperlink r:id="rId549" location="gid=966874977" ref="G727"/>
    <hyperlink r:id="rId550" location="gid=826272452" ref="G728"/>
    <hyperlink r:id="rId551" location="gid=1046269927" ref="G729"/>
    <hyperlink r:id="rId552" location="gid=1387536563" ref="G730"/>
    <hyperlink r:id="rId553" location="gid=958589925" ref="G732"/>
    <hyperlink r:id="rId554" location="gid=350517786" ref="G733"/>
    <hyperlink r:id="rId555" location="gid=1808149514" ref="G734"/>
    <hyperlink r:id="rId556" location="gid=479347323" ref="G735"/>
    <hyperlink r:id="rId557" location="gid=605120704" ref="G736"/>
    <hyperlink r:id="rId558" location="gid=1271176863" ref="G737"/>
    <hyperlink r:id="rId559" location="gid=642315466" ref="G738"/>
    <hyperlink r:id="rId560" location="gid=2053445158" ref="G741"/>
    <hyperlink r:id="rId561" location="gid=157997485" ref="G742"/>
    <hyperlink r:id="rId562" location="gid=35830390" ref="G743"/>
    <hyperlink r:id="rId563" location="gid=1524743461" ref="G744"/>
    <hyperlink r:id="rId564" location="gid=764630551" ref="G746"/>
    <hyperlink r:id="rId565" location="gid=448386292" ref="G747"/>
    <hyperlink r:id="rId566" location="gid=577844037" ref="G748"/>
    <hyperlink r:id="rId567" location="gid=1461839121" ref="G749"/>
    <hyperlink r:id="rId568" location="gid=699540239" ref="G750"/>
    <hyperlink r:id="rId569" location="gid=1222641042" ref="G751"/>
    <hyperlink r:id="rId570" location="gid=591860442" ref="G752"/>
    <hyperlink r:id="rId571" location="gid=1883790906" ref="G756"/>
    <hyperlink r:id="rId572" location="gid=2127337272" ref="G757"/>
    <hyperlink r:id="rId573" location="gid=1508130840" ref="G758"/>
    <hyperlink r:id="rId574" location="gid=2110443337" ref="G759"/>
    <hyperlink r:id="rId575" location="gid=381016734" ref="G761"/>
    <hyperlink r:id="rId576" location="gid=365332694" ref="G762"/>
    <hyperlink r:id="rId577" location="gid=371624152" ref="G763"/>
    <hyperlink r:id="rId578" location="gid=1525037543" ref="G764"/>
    <hyperlink r:id="rId579" location="gid=803366603" ref="G765"/>
    <hyperlink r:id="rId580" location="gid=1653730303" ref="G766"/>
    <hyperlink r:id="rId581" location="gid=515262983" ref="G767"/>
    <hyperlink r:id="rId582" location="gid=585135034" ref="G771"/>
    <hyperlink r:id="rId583" location="gid=1113022275" ref="G772"/>
    <hyperlink r:id="rId584" location="gid=1039403166" ref="G773"/>
    <hyperlink r:id="rId585" location="gid=1775241733" ref="G774"/>
    <hyperlink r:id="rId586" location="gid=673204378" ref="G776"/>
    <hyperlink r:id="rId587" location="gid=944556543" ref="G777"/>
    <hyperlink r:id="rId588" location="gid=634408267" ref="G778"/>
    <hyperlink r:id="rId589" location="gid=220629480" ref="G779"/>
    <hyperlink r:id="rId590" location="gid=2071273897" ref="G780"/>
    <hyperlink r:id="rId591" location="gid=2008691436" ref="G781"/>
    <hyperlink r:id="rId592" location="gid=1435622841" ref="G782"/>
    <hyperlink r:id="rId593" location="gid=814190207" ref="G786"/>
    <hyperlink r:id="rId594" location="gid=1538075936" ref="G787"/>
    <hyperlink r:id="rId595" location="gid=199208312" ref="G788"/>
    <hyperlink r:id="rId596" location="gid=610672918" ref="G789"/>
    <hyperlink r:id="rId597" location="gid=575235289" ref="G791"/>
    <hyperlink r:id="rId598" location="gid=1087391670" ref="G792"/>
    <hyperlink r:id="rId599" location="gid=1059052045" ref="G793"/>
    <hyperlink r:id="rId600" location="gid=1818809939" ref="G794"/>
    <hyperlink r:id="rId601" location="gid=380108051" ref="G795"/>
    <hyperlink r:id="rId602" location="gid=1010310639" ref="G796"/>
    <hyperlink r:id="rId603" location="gid=1371320795" ref="G797"/>
    <hyperlink r:id="rId604" location="gid=595440823" ref="G800"/>
    <hyperlink r:id="rId605" location="gid=541937662" ref="G801"/>
    <hyperlink r:id="rId606" location="gid=1476335025" ref="G802"/>
    <hyperlink r:id="rId607" location="gid=2134151439" ref="G803"/>
    <hyperlink r:id="rId608" location="gid=1117399938" ref="G804"/>
    <hyperlink r:id="rId609" location="gid=354556253" ref="G805"/>
    <hyperlink r:id="rId610" location="gid=1333070149" ref="G806"/>
    <hyperlink r:id="rId611" location="gid=1451401938" ref="G807"/>
    <hyperlink r:id="rId612" location="gid=1208677942" ref="G808"/>
    <hyperlink r:id="rId613" location="gid=1765792079" ref="G809"/>
    <hyperlink r:id="rId614" location="gid=1264292234" ref="G810"/>
    <hyperlink r:id="rId615" location="gid=590958756" ref="G811"/>
    <hyperlink r:id="rId616" location="gid=150234507" ref="G812"/>
    <hyperlink r:id="rId617" location="gid=2024217817" ref="G813"/>
    <hyperlink r:id="rId618" location="gid=1594437896" ref="G815"/>
    <hyperlink r:id="rId619" location="gid=1522295285" ref="G816"/>
    <hyperlink r:id="rId620" location="gid=512349591" ref="G817"/>
    <hyperlink r:id="rId621" location="gid=262920659" ref="G818"/>
    <hyperlink r:id="rId622" location="gid=1206481225" ref="G819"/>
    <hyperlink r:id="rId623" location="gid=857072888" ref="G820"/>
    <hyperlink r:id="rId624" location="gid=1522295285" ref="G821"/>
    <hyperlink r:id="rId625" location="gid=381210546" ref="G822"/>
    <hyperlink r:id="rId626" location="gid=478161980" ref="G823"/>
    <hyperlink r:id="rId627" location="gid=56770037" ref="G824"/>
    <hyperlink r:id="rId628" location="gid=1389093969" ref="G825"/>
    <hyperlink r:id="rId629" location="gid=1172620602" ref="G826"/>
    <hyperlink r:id="rId630" location="gid=1429439461" ref="G827"/>
    <hyperlink r:id="rId631" location="gid=2038363053" ref="G828"/>
    <hyperlink r:id="rId632" location="gid=1546376255" ref="G829"/>
    <hyperlink r:id="rId633" location="gid=1032937450" ref="G830"/>
    <hyperlink r:id="rId634" location="gid=1643356156" ref="G831"/>
    <hyperlink r:id="rId635" location="gid=1397961877" ref="G832"/>
    <hyperlink r:id="rId636" location="gid=206269191" ref="G834"/>
    <hyperlink r:id="rId637" location="gid=932283666" ref="G835"/>
    <hyperlink r:id="rId638" location="gid=1013946953" ref="G836"/>
    <hyperlink r:id="rId639" location="gid=1046236853" ref="G837"/>
    <hyperlink r:id="rId640" location="gid=1689304893" ref="G838"/>
    <hyperlink r:id="rId641" location="gid=2026362995" ref="G839"/>
    <hyperlink r:id="rId642" location="gid=932283666" ref="G840"/>
    <hyperlink r:id="rId643" location="gid=1013946953" ref="G841"/>
    <hyperlink r:id="rId644" location="gid=1160241181" ref="G842"/>
    <hyperlink r:id="rId645" location="gid=1948523518" ref="G843"/>
    <hyperlink r:id="rId646" location="gid=2077165891" ref="G844"/>
    <hyperlink r:id="rId647" location="gid=84330367" ref="G845"/>
    <hyperlink r:id="rId648" location="gid=1598893465" ref="G846"/>
    <hyperlink r:id="rId649" location="gid=314533722" ref="G847"/>
    <hyperlink r:id="rId650" location="gid=1002615363" ref="G848"/>
    <hyperlink r:id="rId651" location="gid=1539458601" ref="G849"/>
    <hyperlink r:id="rId652" location="gid=2105850592" ref="G850"/>
    <hyperlink r:id="rId653" location="gid=722191404" ref="G851"/>
    <hyperlink r:id="rId654" location="gid=795717404" ref="G852"/>
    <hyperlink r:id="rId655" location="gid=1210640776" ref="G854"/>
    <hyperlink r:id="rId656" location="gid=98263003" ref="G855"/>
    <hyperlink r:id="rId657" location="gid=1588087109" ref="G856"/>
    <hyperlink r:id="rId658" location="gid=1385305511" ref="G857"/>
    <hyperlink r:id="rId659" location="gid=1175855976" ref="G858"/>
    <hyperlink r:id="rId660" location="gid=1034318079" ref="G859"/>
    <hyperlink r:id="rId661" location="gid=98263003" ref="G860"/>
    <hyperlink r:id="rId662" location="gid=1217765883" ref="G861"/>
    <hyperlink r:id="rId663" location="gid=1662414583" ref="G862"/>
    <hyperlink r:id="rId664" location="gid=1625517210" ref="G863"/>
    <hyperlink r:id="rId665" location="gid=590086983" ref="G864"/>
    <hyperlink r:id="rId666" location="gid=1335282785" ref="G865"/>
    <hyperlink r:id="rId667" location="gid=1118666659" ref="G866"/>
    <hyperlink r:id="rId668" location="gid=1246208532" ref="G867"/>
    <hyperlink r:id="rId669" location="gid=1238503299" ref="G868"/>
    <hyperlink r:id="rId670" location="gid=1462650339" ref="G869"/>
    <hyperlink r:id="rId671" location="gid=1340440019" ref="G870"/>
    <hyperlink r:id="rId672" location="gid=478587445" ref="G871"/>
    <hyperlink r:id="rId673" location="gid=451051641" ref="G872"/>
    <hyperlink r:id="rId674" location="gid=1486761812" ref="G873"/>
    <hyperlink r:id="rId675" location="gid=1887383730" ref="G875"/>
    <hyperlink r:id="rId676" location="gid=1364696549" ref="G876"/>
    <hyperlink r:id="rId677" location="gid=1837025499" ref="G877"/>
    <hyperlink r:id="rId678" location="gid=1079930488" ref="G878"/>
    <hyperlink r:id="rId679" location="gid=1408459118" ref="G879"/>
    <hyperlink r:id="rId680" location="gid=516687857" ref="G880"/>
    <hyperlink r:id="rId681" location="gid=1364696549" ref="G881"/>
    <hyperlink r:id="rId682" location="gid=383471580" ref="G882"/>
    <hyperlink r:id="rId683" location="gid=2118651027" ref="G884"/>
    <hyperlink r:id="rId684" location="gid=1514385299" ref="G885"/>
    <hyperlink r:id="rId685" location="gid=163284748" ref="G886"/>
    <hyperlink r:id="rId686" location="gid=779069583" ref="G887"/>
    <hyperlink r:id="rId687" location="gid=2114731885" ref="G889"/>
    <hyperlink r:id="rId688" location="gid=2130042823" ref="G890"/>
    <hyperlink r:id="rId689" location="gid=1374742363" ref="G891"/>
    <hyperlink r:id="rId690" location="gid=672117998" ref="G892"/>
    <hyperlink r:id="rId691" location="gid=1160460756" ref="G894"/>
    <hyperlink r:id="rId692" location="gid=569968217" ref="G895"/>
    <hyperlink r:id="rId693" location="gid=857232768" ref="G896"/>
    <hyperlink r:id="rId694" location="gid=466845878" ref="G898"/>
    <hyperlink r:id="rId695" location="gid=303551975" ref="G899"/>
    <hyperlink r:id="rId696" location="gid=897455025" ref="G900"/>
  </hyperlinks>
  <drawing r:id="rId69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3.86"/>
    <col customWidth="1" min="3" max="3" width="65.0"/>
    <col customWidth="1" min="4" max="4" width="13.43"/>
    <col customWidth="1" min="5" max="5" width="18.57"/>
    <col customWidth="1" min="6" max="6" width="24.29"/>
    <col customWidth="1" min="7" max="7" width="110.71"/>
    <col customWidth="1" min="8" max="8" width="29.71"/>
    <col customWidth="1" min="9" max="12" width="18.0"/>
    <col customWidth="1" min="13" max="34" width="14.43"/>
  </cols>
  <sheetData>
    <row r="1" ht="1.5" customHeight="1">
      <c r="A1" s="12"/>
      <c r="B1" s="12"/>
      <c r="C1" s="13"/>
      <c r="D1" s="14"/>
      <c r="E1" s="14"/>
      <c r="F1" s="14"/>
      <c r="G1" s="14"/>
      <c r="H1" s="14"/>
      <c r="I1" s="14"/>
      <c r="J1" s="12"/>
      <c r="K1" s="12"/>
      <c r="L1" s="12"/>
      <c r="M1" s="15"/>
      <c r="N1" s="15"/>
      <c r="O1" s="15"/>
      <c r="P1" s="15"/>
      <c r="Q1" s="15"/>
      <c r="R1" s="15"/>
      <c r="S1" s="15"/>
      <c r="T1" s="15"/>
      <c r="U1" s="15"/>
      <c r="V1" s="15"/>
      <c r="W1" s="15"/>
      <c r="X1" s="15"/>
      <c r="Y1" s="15"/>
      <c r="Z1" s="15"/>
      <c r="AA1" s="15"/>
      <c r="AB1" s="15"/>
      <c r="AC1" s="15"/>
      <c r="AD1" s="15"/>
      <c r="AE1" s="15"/>
      <c r="AF1" s="15"/>
      <c r="AG1" s="15"/>
      <c r="AH1" s="15"/>
    </row>
    <row r="2" ht="1.5" customHeight="1">
      <c r="A2" s="16"/>
      <c r="B2" s="16"/>
      <c r="C2" s="17"/>
      <c r="D2" s="17"/>
      <c r="E2" s="17"/>
      <c r="F2" s="17"/>
      <c r="G2" s="17"/>
      <c r="H2" s="17"/>
      <c r="I2" s="17"/>
      <c r="J2" s="16"/>
      <c r="K2" s="16"/>
      <c r="L2" s="16"/>
      <c r="M2" s="18"/>
      <c r="N2" s="18"/>
      <c r="O2" s="18"/>
      <c r="P2" s="18"/>
      <c r="Q2" s="18"/>
      <c r="R2" s="18"/>
      <c r="S2" s="18"/>
      <c r="T2" s="18"/>
      <c r="U2" s="18"/>
      <c r="V2" s="18"/>
      <c r="W2" s="18"/>
      <c r="X2" s="18"/>
      <c r="Y2" s="18"/>
      <c r="Z2" s="18"/>
      <c r="AA2" s="18"/>
      <c r="AB2" s="18"/>
      <c r="AC2" s="18"/>
      <c r="AD2" s="18"/>
      <c r="AE2" s="18"/>
      <c r="AF2" s="18"/>
      <c r="AG2" s="18"/>
      <c r="AH2" s="18"/>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c r="AG3" s="15"/>
      <c r="AH3" s="15"/>
    </row>
    <row r="4" ht="15.75" customHeight="1">
      <c r="A4" s="20"/>
      <c r="B4" s="20"/>
      <c r="C4" s="21"/>
      <c r="D4" s="20"/>
      <c r="E4" s="20"/>
      <c r="F4" s="20"/>
      <c r="G4" s="20"/>
      <c r="H4" s="20"/>
      <c r="I4" s="20"/>
      <c r="J4" s="20"/>
      <c r="K4" s="20"/>
      <c r="L4" s="20"/>
      <c r="M4" s="15"/>
      <c r="N4" s="15"/>
      <c r="O4" s="15"/>
      <c r="P4" s="15"/>
      <c r="Q4" s="15"/>
      <c r="R4" s="15"/>
      <c r="S4" s="15"/>
      <c r="T4" s="15"/>
      <c r="U4" s="15"/>
      <c r="V4" s="15"/>
      <c r="W4" s="15"/>
      <c r="X4" s="15"/>
      <c r="Y4" s="15"/>
      <c r="Z4" s="15"/>
      <c r="AA4" s="15"/>
      <c r="AB4" s="15"/>
      <c r="AC4" s="15"/>
      <c r="AD4" s="15"/>
      <c r="AE4" s="15"/>
      <c r="AF4" s="15"/>
      <c r="AG4" s="15"/>
      <c r="AH4" s="15"/>
    </row>
    <row r="5" ht="15.75" customHeight="1">
      <c r="A5" s="22" t="s">
        <v>5</v>
      </c>
      <c r="B5" s="22" t="s">
        <v>7</v>
      </c>
      <c r="C5" s="23" t="s">
        <v>8</v>
      </c>
      <c r="D5" s="24" t="s">
        <v>9</v>
      </c>
      <c r="E5" s="24" t="s">
        <v>10</v>
      </c>
      <c r="F5" s="24" t="s">
        <v>11</v>
      </c>
      <c r="G5" s="24" t="s">
        <v>12</v>
      </c>
      <c r="H5" s="24" t="s">
        <v>13</v>
      </c>
      <c r="I5" s="25" t="s">
        <v>14</v>
      </c>
      <c r="J5" s="25" t="s">
        <v>15</v>
      </c>
      <c r="K5" s="25" t="s">
        <v>16</v>
      </c>
      <c r="L5" s="22" t="s">
        <v>17</v>
      </c>
      <c r="M5" s="15"/>
      <c r="N5" s="15"/>
      <c r="O5" s="15"/>
      <c r="P5" s="15"/>
      <c r="Q5" s="15"/>
      <c r="R5" s="15"/>
      <c r="S5" s="15"/>
      <c r="T5" s="15"/>
      <c r="U5" s="15"/>
      <c r="V5" s="15"/>
      <c r="W5" s="15"/>
      <c r="X5" s="15"/>
      <c r="Y5" s="15"/>
      <c r="Z5" s="15"/>
      <c r="AA5" s="15"/>
      <c r="AB5" s="15"/>
      <c r="AC5" s="15"/>
      <c r="AD5" s="15"/>
      <c r="AE5" s="15"/>
      <c r="AF5" s="15"/>
      <c r="AG5" s="15"/>
      <c r="AH5" s="15"/>
    </row>
    <row r="6" ht="15.75" customHeight="1">
      <c r="A6" s="15"/>
      <c r="B6" s="26" t="s">
        <v>1992</v>
      </c>
      <c r="C6" s="27"/>
      <c r="D6" s="8" t="s">
        <v>20</v>
      </c>
      <c r="E6" s="28" t="s">
        <v>89</v>
      </c>
      <c r="F6" s="8" t="s">
        <v>291</v>
      </c>
      <c r="G6" s="29"/>
      <c r="H6" s="36"/>
      <c r="I6" s="36"/>
      <c r="L6" s="11"/>
      <c r="M6" s="15"/>
      <c r="N6" s="15"/>
      <c r="O6" s="15"/>
      <c r="P6" s="15"/>
      <c r="Q6" s="15"/>
      <c r="R6" s="15"/>
      <c r="S6" s="15"/>
      <c r="T6" s="15"/>
      <c r="U6" s="15"/>
      <c r="V6" s="15"/>
      <c r="W6" s="15"/>
      <c r="X6" s="15"/>
      <c r="Y6" s="15"/>
      <c r="Z6" s="15"/>
      <c r="AA6" s="15"/>
      <c r="AB6" s="15"/>
      <c r="AC6" s="15"/>
      <c r="AD6" s="15"/>
      <c r="AE6" s="15"/>
      <c r="AF6" s="15"/>
      <c r="AG6" s="15"/>
      <c r="AH6" s="15"/>
    </row>
    <row r="7" ht="15.75" customHeight="1">
      <c r="A7" s="15"/>
      <c r="B7" s="203" t="s">
        <v>1993</v>
      </c>
      <c r="C7" s="204" t="s">
        <v>1994</v>
      </c>
      <c r="D7" s="205" t="s">
        <v>20</v>
      </c>
      <c r="E7" s="35" t="s">
        <v>178</v>
      </c>
      <c r="F7" s="35" t="s">
        <v>201</v>
      </c>
      <c r="G7" s="84" t="str">
        <f>HYPERLINK("https://docs.google.com/spreadsheets/d/1JDxgzImkRziUrFYv1lfVETVYKLSG05063d4eXOCq7YU/edit#gid=265470537", "https://docs.google.com/spreadsheets/d/1JDxgzImkRziUrFYv1lfVETVYKLSG05063d4eXOCq7YU/edit#gid=265470537")</f>
        <v>https://docs.google.com/spreadsheets/d/1JDxgzImkRziUrFYv1lfVETVYKLSG05063d4eXOCq7YU/edit#gid=265470537</v>
      </c>
      <c r="H7" s="35" t="s">
        <v>201</v>
      </c>
      <c r="L7" s="11"/>
      <c r="M7" s="15"/>
      <c r="N7" s="15"/>
      <c r="O7" s="15"/>
      <c r="P7" s="15"/>
      <c r="Q7" s="15"/>
      <c r="R7" s="15"/>
      <c r="S7" s="15"/>
      <c r="T7" s="15"/>
      <c r="U7" s="15"/>
      <c r="V7" s="15"/>
      <c r="W7" s="15"/>
      <c r="X7" s="15"/>
      <c r="Y7" s="15"/>
      <c r="Z7" s="15"/>
      <c r="AA7" s="15"/>
      <c r="AB7" s="15"/>
      <c r="AC7" s="15"/>
      <c r="AD7" s="15"/>
      <c r="AE7" s="15"/>
      <c r="AF7" s="15"/>
      <c r="AG7" s="15"/>
      <c r="AH7" s="15"/>
    </row>
    <row r="8" ht="15.75" customHeight="1">
      <c r="A8" s="15"/>
      <c r="E8" s="35" t="s">
        <v>178</v>
      </c>
      <c r="F8" s="35" t="s">
        <v>202</v>
      </c>
      <c r="G8" s="84" t="str">
        <f>HYPERLINK("https://docs.google.com/spreadsheets/d/1JDxgzImkRziUrFYv1lfVETVYKLSG05063d4eXOCq7YU/edit#gid=665050807", "https://docs.google.com/spreadsheets/d/1JDxgzImkRziUrFYv1lfVETVYKLSG05063d4eXOCq7YU/edit#gid=665050807")</f>
        <v>https://docs.google.com/spreadsheets/d/1JDxgzImkRziUrFYv1lfVETVYKLSG05063d4eXOCq7YU/edit#gid=665050807</v>
      </c>
      <c r="H8" s="35" t="s">
        <v>202</v>
      </c>
      <c r="L8" s="11"/>
      <c r="M8" s="15"/>
      <c r="N8" s="15"/>
      <c r="O8" s="15"/>
      <c r="P8" s="15"/>
      <c r="Q8" s="15"/>
      <c r="R8" s="15"/>
      <c r="S8" s="15"/>
      <c r="T8" s="15"/>
      <c r="U8" s="15"/>
      <c r="V8" s="15"/>
      <c r="W8" s="15"/>
      <c r="X8" s="15"/>
      <c r="Y8" s="15"/>
      <c r="Z8" s="15"/>
      <c r="AA8" s="15"/>
      <c r="AB8" s="15"/>
      <c r="AC8" s="15"/>
      <c r="AD8" s="15"/>
      <c r="AE8" s="15"/>
      <c r="AF8" s="15"/>
      <c r="AG8" s="15"/>
      <c r="AH8" s="15"/>
    </row>
    <row r="9" ht="15.75" customHeight="1">
      <c r="A9" s="15"/>
      <c r="E9" s="35" t="s">
        <v>21</v>
      </c>
      <c r="F9" s="35" t="s">
        <v>51</v>
      </c>
      <c r="G9" s="84" t="str">
        <f>HYPERLINK("https://docs.google.com/spreadsheets/d/1JDxgzImkRziUrFYv1lfVETVYKLSG05063d4eXOCq7YU/edit#gid=190124068", "https://docs.google.com/spreadsheets/d/1JDxgzImkRziUrFYv1lfVETVYKLSG05063d4eXOCq7YU/edit#gid=190124068")</f>
        <v>https://docs.google.com/spreadsheets/d/1JDxgzImkRziUrFYv1lfVETVYKLSG05063d4eXOCq7YU/edit#gid=190124068</v>
      </c>
      <c r="H9" s="35" t="s">
        <v>51</v>
      </c>
      <c r="I9" s="11"/>
      <c r="J9" s="11"/>
      <c r="K9" s="11"/>
      <c r="L9" s="11"/>
      <c r="M9" s="15"/>
      <c r="N9" s="15"/>
      <c r="O9" s="15"/>
      <c r="P9" s="15"/>
      <c r="Q9" s="15"/>
      <c r="R9" s="15"/>
      <c r="S9" s="15"/>
      <c r="T9" s="15"/>
      <c r="U9" s="15"/>
      <c r="V9" s="15"/>
      <c r="W9" s="15"/>
      <c r="X9" s="15"/>
      <c r="Y9" s="15"/>
      <c r="Z9" s="15"/>
      <c r="AA9" s="15"/>
      <c r="AB9" s="15"/>
      <c r="AC9" s="15"/>
      <c r="AD9" s="15"/>
      <c r="AE9" s="15"/>
      <c r="AF9" s="15"/>
      <c r="AG9" s="15"/>
      <c r="AH9" s="15"/>
    </row>
    <row r="10" ht="15.75" customHeight="1">
      <c r="A10" s="15"/>
      <c r="E10" s="35" t="s">
        <v>172</v>
      </c>
      <c r="F10" s="35" t="s">
        <v>203</v>
      </c>
      <c r="G10" s="84" t="str">
        <f>HYPERLINK("https://docs.google.com/spreadsheets/d/1JDxgzImkRziUrFYv1lfVETVYKLSG05063d4eXOCq7YU/edit#gid=1510893628", "https://docs.google.com/spreadsheets/d/1JDxgzImkRziUrFYv1lfVETVYKLSG05063d4eXOCq7YU/edit#gid=1510893628")</f>
        <v>https://docs.google.com/spreadsheets/d/1JDxgzImkRziUrFYv1lfVETVYKLSG05063d4eXOCq7YU/edit#gid=1510893628</v>
      </c>
      <c r="H10" s="35" t="s">
        <v>203</v>
      </c>
      <c r="I10" s="11"/>
      <c r="J10" s="11"/>
      <c r="K10" s="11"/>
      <c r="L10" s="11"/>
      <c r="M10" s="15"/>
      <c r="N10" s="15"/>
      <c r="O10" s="15"/>
      <c r="P10" s="15"/>
      <c r="Q10" s="15"/>
      <c r="R10" s="15"/>
      <c r="S10" s="15"/>
      <c r="T10" s="15"/>
      <c r="U10" s="15"/>
      <c r="V10" s="15"/>
      <c r="W10" s="15"/>
      <c r="X10" s="15"/>
      <c r="Y10" s="15"/>
      <c r="Z10" s="15"/>
      <c r="AA10" s="15"/>
      <c r="AB10" s="15"/>
      <c r="AC10" s="15"/>
      <c r="AD10" s="15"/>
      <c r="AE10" s="15"/>
      <c r="AF10" s="15"/>
      <c r="AG10" s="15"/>
      <c r="AH10" s="15"/>
    </row>
    <row r="11" ht="15.75" customHeight="1">
      <c r="A11" s="15"/>
      <c r="E11" s="35" t="s">
        <v>172</v>
      </c>
      <c r="F11" s="35" t="s">
        <v>204</v>
      </c>
      <c r="G11" s="84" t="str">
        <f>HYPERLINK("https://docs.google.com/spreadsheets/d/1JDxgzImkRziUrFYv1lfVETVYKLSG05063d4eXOCq7YU/edit#gid=1999059072", "https://docs.google.com/spreadsheets/d/1JDxgzImkRziUrFYv1lfVETVYKLSG05063d4eXOCq7YU/edit#gid=1999059072")</f>
        <v>https://docs.google.com/spreadsheets/d/1JDxgzImkRziUrFYv1lfVETVYKLSG05063d4eXOCq7YU/edit#gid=1999059072</v>
      </c>
      <c r="H11" s="35" t="s">
        <v>204</v>
      </c>
      <c r="I11" s="11"/>
      <c r="J11" s="11"/>
      <c r="K11" s="11"/>
      <c r="L11" s="11"/>
      <c r="M11" s="15"/>
      <c r="N11" s="15"/>
      <c r="O11" s="15"/>
      <c r="P11" s="15"/>
      <c r="Q11" s="15"/>
      <c r="R11" s="15"/>
      <c r="S11" s="15"/>
      <c r="T11" s="15"/>
      <c r="U11" s="15"/>
      <c r="V11" s="15"/>
      <c r="W11" s="15"/>
      <c r="X11" s="15"/>
      <c r="Y11" s="15"/>
      <c r="Z11" s="15"/>
      <c r="AA11" s="15"/>
      <c r="AB11" s="15"/>
      <c r="AC11" s="15"/>
      <c r="AD11" s="15"/>
      <c r="AE11" s="15"/>
      <c r="AF11" s="15"/>
      <c r="AG11" s="15"/>
      <c r="AH11" s="15"/>
    </row>
    <row r="12" ht="15.75" customHeight="1">
      <c r="A12" s="15"/>
      <c r="E12" s="8" t="s">
        <v>178</v>
      </c>
      <c r="F12" s="8" t="s">
        <v>205</v>
      </c>
      <c r="G12" s="34" t="str">
        <f>HYPERLINK("https://docs.google.com/spreadsheets/d/1JDxgzImkRziUrFYv1lfVETVYKLSG05063d4eXOCq7YU/edit#gid=1383578549", "https://docs.google.com/spreadsheets/d/1JDxgzImkRziUrFYv1lfVETVYKLSG05063d4eXOCq7YU/edit#gid=1383578549")</f>
        <v>https://docs.google.com/spreadsheets/d/1JDxgzImkRziUrFYv1lfVETVYKLSG05063d4eXOCq7YU/edit#gid=1383578549</v>
      </c>
      <c r="H12" s="8" t="s">
        <v>205</v>
      </c>
      <c r="I12" s="11"/>
      <c r="J12" s="11"/>
      <c r="K12" s="11"/>
      <c r="L12" s="11"/>
      <c r="M12" s="15"/>
      <c r="N12" s="15"/>
      <c r="O12" s="15"/>
      <c r="P12" s="15"/>
      <c r="Q12" s="15"/>
      <c r="R12" s="15"/>
      <c r="S12" s="15"/>
      <c r="T12" s="15"/>
      <c r="U12" s="15"/>
      <c r="V12" s="15"/>
      <c r="W12" s="15"/>
      <c r="X12" s="15"/>
      <c r="Y12" s="15"/>
      <c r="Z12" s="15"/>
      <c r="AA12" s="15"/>
      <c r="AB12" s="15"/>
      <c r="AC12" s="15"/>
      <c r="AD12" s="15"/>
      <c r="AE12" s="15"/>
      <c r="AF12" s="15"/>
      <c r="AG12" s="15"/>
      <c r="AH12" s="15"/>
    </row>
    <row r="13" ht="15.75" customHeight="1">
      <c r="A13" s="15"/>
      <c r="E13" s="8" t="s">
        <v>178</v>
      </c>
      <c r="F13" s="8" t="s">
        <v>206</v>
      </c>
      <c r="G13" s="34"/>
      <c r="L13" s="11"/>
      <c r="M13" s="15"/>
      <c r="N13" s="15"/>
      <c r="O13" s="15"/>
      <c r="P13" s="15"/>
      <c r="Q13" s="15"/>
      <c r="R13" s="15"/>
      <c r="S13" s="15"/>
      <c r="T13" s="15"/>
      <c r="U13" s="15"/>
      <c r="V13" s="15"/>
      <c r="W13" s="15"/>
      <c r="X13" s="15"/>
      <c r="Y13" s="15"/>
      <c r="Z13" s="15"/>
      <c r="AA13" s="15"/>
      <c r="AB13" s="15"/>
      <c r="AC13" s="15"/>
      <c r="AD13" s="15"/>
      <c r="AE13" s="15"/>
      <c r="AF13" s="15"/>
      <c r="AG13" s="15"/>
      <c r="AH13" s="15"/>
    </row>
    <row r="14" ht="15.75" customHeight="1">
      <c r="A14" s="15"/>
      <c r="E14" s="8" t="s">
        <v>178</v>
      </c>
      <c r="F14" s="8" t="s">
        <v>207</v>
      </c>
      <c r="G14" s="34" t="str">
        <f>HYPERLINK("https://docs.google.com/spreadsheets/d/1JDxgzImkRziUrFYv1lfVETVYKLSG05063d4eXOCq7YU/edit#gid=872403284", "https://docs.google.com/spreadsheets/d/1JDxgzImkRziUrFYv1lfVETVYKLSG05063d4eXOCq7YU/edit#gid=872403284")</f>
        <v>https://docs.google.com/spreadsheets/d/1JDxgzImkRziUrFYv1lfVETVYKLSG05063d4eXOCq7YU/edit#gid=872403284</v>
      </c>
      <c r="H14" s="35" t="s">
        <v>207</v>
      </c>
      <c r="L14" s="11"/>
      <c r="M14" s="15"/>
      <c r="N14" s="15"/>
      <c r="O14" s="15"/>
      <c r="P14" s="15"/>
      <c r="Q14" s="15"/>
      <c r="R14" s="15"/>
      <c r="S14" s="15"/>
      <c r="T14" s="15"/>
      <c r="U14" s="15"/>
      <c r="V14" s="15"/>
      <c r="W14" s="15"/>
      <c r="X14" s="15"/>
      <c r="Y14" s="15"/>
      <c r="Z14" s="15"/>
      <c r="AA14" s="15"/>
      <c r="AB14" s="15"/>
      <c r="AC14" s="15"/>
      <c r="AD14" s="15"/>
      <c r="AE14" s="15"/>
      <c r="AF14" s="15"/>
      <c r="AG14" s="15"/>
      <c r="AH14" s="15"/>
    </row>
    <row r="15" ht="15.75" customHeight="1">
      <c r="A15" s="15"/>
      <c r="E15" s="28" t="s">
        <v>172</v>
      </c>
      <c r="F15" s="8" t="s">
        <v>203</v>
      </c>
      <c r="G15" s="34" t="str">
        <f>HYPERLINK("https://docs.google.com/spreadsheets/d/1JDxgzImkRziUrFYv1lfVETVYKLSG05063d4eXOCq7YU/edit#gid=862177069", "https://docs.google.com/spreadsheets/d/1JDxgzImkRziUrFYv1lfVETVYKLSG05063d4eXOCq7YU/edit#gid=862177069")</f>
        <v>https://docs.google.com/spreadsheets/d/1JDxgzImkRziUrFYv1lfVETVYKLSG05063d4eXOCq7YU/edit#gid=862177069</v>
      </c>
      <c r="H15" s="8" t="s">
        <v>1995</v>
      </c>
      <c r="I15" s="11"/>
      <c r="J15" s="11"/>
      <c r="K15" s="11"/>
      <c r="L15" s="11"/>
      <c r="M15" s="15"/>
      <c r="N15" s="15"/>
      <c r="O15" s="15"/>
      <c r="P15" s="15"/>
      <c r="Q15" s="15"/>
      <c r="R15" s="15"/>
      <c r="S15" s="15"/>
      <c r="T15" s="15"/>
      <c r="U15" s="15"/>
      <c r="V15" s="15"/>
      <c r="W15" s="15"/>
      <c r="X15" s="15"/>
      <c r="Y15" s="15"/>
      <c r="Z15" s="15"/>
      <c r="AA15" s="15"/>
      <c r="AB15" s="15"/>
      <c r="AC15" s="15"/>
      <c r="AD15" s="15"/>
      <c r="AE15" s="15"/>
      <c r="AF15" s="15"/>
      <c r="AG15" s="15"/>
      <c r="AH15" s="15"/>
    </row>
    <row r="16" ht="15.75" customHeight="1">
      <c r="A16" s="15"/>
      <c r="E16" s="28" t="s">
        <v>172</v>
      </c>
      <c r="F16" s="38" t="s">
        <v>204</v>
      </c>
      <c r="G16" s="34" t="str">
        <f>HYPERLINK("https://docs.google.com/spreadsheets/d/1JDxgzImkRziUrFYv1lfVETVYKLSG05063d4eXOCq7YU/edit#gid=744518741", "https://docs.google.com/spreadsheets/d/1JDxgzImkRziUrFYv1lfVETVYKLSG05063d4eXOCq7YU/edit#gid=744518741")</f>
        <v>https://docs.google.com/spreadsheets/d/1JDxgzImkRziUrFYv1lfVETVYKLSG05063d4eXOCq7YU/edit#gid=744518741</v>
      </c>
      <c r="H16" s="38" t="s">
        <v>1996</v>
      </c>
      <c r="I16" s="11"/>
      <c r="J16" s="11"/>
      <c r="K16" s="11"/>
      <c r="L16" s="11"/>
      <c r="M16" s="15"/>
      <c r="N16" s="15"/>
      <c r="O16" s="15"/>
      <c r="P16" s="15"/>
      <c r="Q16" s="15"/>
      <c r="R16" s="15"/>
      <c r="S16" s="15"/>
      <c r="T16" s="15"/>
      <c r="U16" s="15"/>
      <c r="V16" s="15"/>
      <c r="W16" s="15"/>
      <c r="X16" s="15"/>
      <c r="Y16" s="15"/>
      <c r="Z16" s="15"/>
      <c r="AA16" s="15"/>
      <c r="AB16" s="15"/>
      <c r="AC16" s="15"/>
      <c r="AD16" s="15"/>
      <c r="AE16" s="15"/>
      <c r="AF16" s="15"/>
      <c r="AG16" s="15"/>
      <c r="AH16" s="15"/>
    </row>
    <row r="17" ht="15.75" customHeight="1">
      <c r="A17" s="15"/>
      <c r="E17" s="28" t="s">
        <v>178</v>
      </c>
      <c r="F17" s="38" t="s">
        <v>205</v>
      </c>
      <c r="G17" s="34" t="str">
        <f>HYPERLINK("https://docs.google.com/spreadsheets/d/1JDxgzImkRziUrFYv1lfVETVYKLSG05063d4eXOCq7YU/edit#gid=1395468706", "https://docs.google.com/spreadsheets/d/1JDxgzImkRziUrFYv1lfVETVYKLSG05063d4eXOCq7YU/edit#gid=1395468706")</f>
        <v>https://docs.google.com/spreadsheets/d/1JDxgzImkRziUrFYv1lfVETVYKLSG05063d4eXOCq7YU/edit#gid=1395468706</v>
      </c>
      <c r="H17" s="35" t="s">
        <v>1997</v>
      </c>
      <c r="I17" s="11"/>
      <c r="J17" s="11"/>
      <c r="K17" s="11"/>
      <c r="L17" s="11"/>
      <c r="M17" s="15"/>
      <c r="N17" s="15"/>
      <c r="O17" s="15"/>
      <c r="P17" s="15"/>
      <c r="Q17" s="15"/>
      <c r="R17" s="15"/>
      <c r="S17" s="15"/>
      <c r="T17" s="15"/>
      <c r="U17" s="15"/>
      <c r="V17" s="15"/>
      <c r="W17" s="15"/>
      <c r="X17" s="15"/>
      <c r="Y17" s="15"/>
      <c r="Z17" s="15"/>
      <c r="AA17" s="15"/>
      <c r="AB17" s="15"/>
      <c r="AC17" s="15"/>
      <c r="AD17" s="15"/>
      <c r="AE17" s="15"/>
      <c r="AF17" s="15"/>
      <c r="AG17" s="15"/>
      <c r="AH17" s="15"/>
    </row>
    <row r="18" ht="15.75" customHeight="1">
      <c r="A18" s="15"/>
      <c r="E18" s="8" t="s">
        <v>178</v>
      </c>
      <c r="F18" s="38" t="s">
        <v>206</v>
      </c>
      <c r="G18" s="34"/>
      <c r="H18" s="36"/>
      <c r="L18" s="11"/>
      <c r="M18" s="15"/>
      <c r="N18" s="15"/>
      <c r="O18" s="15"/>
      <c r="P18" s="15"/>
      <c r="Q18" s="15"/>
      <c r="R18" s="15"/>
      <c r="S18" s="15"/>
      <c r="T18" s="15"/>
      <c r="U18" s="15"/>
      <c r="V18" s="15"/>
      <c r="W18" s="15"/>
      <c r="X18" s="15"/>
      <c r="Y18" s="15"/>
      <c r="Z18" s="15"/>
      <c r="AA18" s="15"/>
      <c r="AB18" s="15"/>
      <c r="AC18" s="15"/>
      <c r="AD18" s="15"/>
      <c r="AE18" s="15"/>
      <c r="AF18" s="15"/>
      <c r="AG18" s="15"/>
      <c r="AH18" s="15"/>
    </row>
    <row r="19" ht="15.75" customHeight="1">
      <c r="A19" s="15"/>
      <c r="E19" s="35" t="s">
        <v>178</v>
      </c>
      <c r="F19" s="35" t="s">
        <v>207</v>
      </c>
      <c r="G19" s="34" t="str">
        <f>HYPERLINK("https://docs.google.com/spreadsheets/d/1JDxgzImkRziUrFYv1lfVETVYKLSG05063d4eXOCq7YU/edit#gid=488039970", "https://docs.google.com/spreadsheets/d/1JDxgzImkRziUrFYv1lfVETVYKLSG05063d4eXOCq7YU/edit#gid=488039970")</f>
        <v>https://docs.google.com/spreadsheets/d/1JDxgzImkRziUrFYv1lfVETVYKLSG05063d4eXOCq7YU/edit#gid=488039970</v>
      </c>
      <c r="H19" s="35" t="s">
        <v>1998</v>
      </c>
      <c r="L19" s="11"/>
      <c r="M19" s="15"/>
      <c r="N19" s="15"/>
      <c r="O19" s="15"/>
      <c r="P19" s="15"/>
      <c r="Q19" s="15"/>
      <c r="R19" s="15"/>
      <c r="S19" s="15"/>
      <c r="T19" s="15"/>
      <c r="U19" s="15"/>
      <c r="V19" s="15"/>
      <c r="W19" s="15"/>
      <c r="X19" s="15"/>
      <c r="Y19" s="15"/>
      <c r="Z19" s="15"/>
      <c r="AA19" s="15"/>
      <c r="AB19" s="15"/>
      <c r="AC19" s="15"/>
      <c r="AD19" s="15"/>
      <c r="AE19" s="15"/>
      <c r="AF19" s="15"/>
      <c r="AG19" s="15"/>
      <c r="AH19" s="15"/>
    </row>
    <row r="20" ht="15.75" customHeight="1">
      <c r="A20" s="15"/>
      <c r="E20" s="32" t="s">
        <v>178</v>
      </c>
      <c r="F20" s="35" t="s">
        <v>208</v>
      </c>
      <c r="G20" s="34" t="str">
        <f>HYPERLINK("https://docs.google.com/spreadsheets/d/1JDxgzImkRziUrFYv1lfVETVYKLSG05063d4eXOCq7YU/edit#gid=794579242", "https://docs.google.com/spreadsheets/d/1JDxgzImkRziUrFYv1lfVETVYKLSG05063d4eXOCq7YU/edit#gid=794579242")</f>
        <v>https://docs.google.com/spreadsheets/d/1JDxgzImkRziUrFYv1lfVETVYKLSG05063d4eXOCq7YU/edit#gid=794579242</v>
      </c>
      <c r="H20" s="35" t="s">
        <v>208</v>
      </c>
      <c r="L20" s="11"/>
      <c r="M20" s="15"/>
      <c r="N20" s="15"/>
      <c r="O20" s="15"/>
      <c r="P20" s="15"/>
      <c r="Q20" s="15"/>
      <c r="R20" s="15"/>
      <c r="S20" s="15"/>
      <c r="T20" s="15"/>
      <c r="U20" s="15"/>
      <c r="V20" s="15"/>
      <c r="W20" s="15"/>
      <c r="X20" s="15"/>
      <c r="Y20" s="15"/>
      <c r="Z20" s="15"/>
      <c r="AA20" s="15"/>
      <c r="AB20" s="15"/>
      <c r="AC20" s="15"/>
      <c r="AD20" s="15"/>
      <c r="AE20" s="15"/>
      <c r="AF20" s="15"/>
      <c r="AG20" s="15"/>
      <c r="AH20" s="15"/>
    </row>
    <row r="21" ht="15.75" customHeight="1">
      <c r="A21" s="15"/>
      <c r="E21" s="32" t="s">
        <v>178</v>
      </c>
      <c r="F21" s="35" t="s">
        <v>182</v>
      </c>
      <c r="G21" s="34" t="str">
        <f>HYPERLINK("https://docs.google.com/spreadsheets/d/1JDxgzImkRziUrFYv1lfVETVYKLSG05063d4eXOCq7YU/edit#gid=1334922780", "https://docs.google.com/spreadsheets/d/1JDxgzImkRziUrFYv1lfVETVYKLSG05063d4eXOCq7YU/edit#gid=1334922780")</f>
        <v>https://docs.google.com/spreadsheets/d/1JDxgzImkRziUrFYv1lfVETVYKLSG05063d4eXOCq7YU/edit#gid=1334922780</v>
      </c>
      <c r="H21" s="62" t="s">
        <v>182</v>
      </c>
      <c r="I21" s="11"/>
      <c r="J21" s="11"/>
      <c r="K21" s="11"/>
      <c r="L21" s="11"/>
      <c r="M21" s="15"/>
      <c r="N21" s="15"/>
      <c r="O21" s="15"/>
      <c r="P21" s="15"/>
      <c r="Q21" s="15"/>
      <c r="R21" s="15"/>
      <c r="S21" s="15"/>
      <c r="T21" s="15"/>
      <c r="U21" s="15"/>
      <c r="V21" s="15"/>
      <c r="W21" s="15"/>
      <c r="X21" s="15"/>
      <c r="Y21" s="15"/>
      <c r="Z21" s="15"/>
      <c r="AA21" s="15"/>
      <c r="AB21" s="15"/>
      <c r="AC21" s="15"/>
      <c r="AD21" s="15"/>
      <c r="AE21" s="15"/>
      <c r="AF21" s="15"/>
      <c r="AG21" s="15"/>
      <c r="AH21" s="15"/>
    </row>
    <row r="22" ht="15.75" customHeight="1">
      <c r="A22" s="15"/>
      <c r="E22" s="32" t="s">
        <v>178</v>
      </c>
      <c r="F22" s="35" t="s">
        <v>180</v>
      </c>
      <c r="G22" s="34" t="str">
        <f>HYPERLINK("https://docs.google.com/spreadsheets/d/1JDxgzImkRziUrFYv1lfVETVYKLSG05063d4eXOCq7YU/edit#gid=412910764", "https://docs.google.com/spreadsheets/d/1JDxgzImkRziUrFYv1lfVETVYKLSG05063d4eXOCq7YU/edit#gid=412910764")</f>
        <v>https://docs.google.com/spreadsheets/d/1JDxgzImkRziUrFYv1lfVETVYKLSG05063d4eXOCq7YU/edit#gid=412910764</v>
      </c>
      <c r="H22" s="62" t="s">
        <v>180</v>
      </c>
      <c r="I22" s="11"/>
      <c r="J22" s="11"/>
      <c r="K22" s="11"/>
      <c r="L22" s="11"/>
      <c r="M22" s="15"/>
      <c r="N22" s="15"/>
      <c r="O22" s="15"/>
      <c r="P22" s="15"/>
      <c r="Q22" s="15"/>
      <c r="R22" s="15"/>
      <c r="S22" s="15"/>
      <c r="T22" s="15"/>
      <c r="U22" s="15"/>
      <c r="V22" s="15"/>
      <c r="W22" s="15"/>
      <c r="X22" s="15"/>
      <c r="Y22" s="15"/>
      <c r="Z22" s="15"/>
      <c r="AA22" s="15"/>
      <c r="AB22" s="15"/>
      <c r="AC22" s="15"/>
      <c r="AD22" s="15"/>
      <c r="AE22" s="15"/>
      <c r="AF22" s="15"/>
      <c r="AG22" s="15"/>
      <c r="AH22" s="15"/>
    </row>
    <row r="23" ht="15.75" customHeight="1">
      <c r="A23" s="15"/>
      <c r="E23" s="32" t="s">
        <v>178</v>
      </c>
      <c r="F23" s="35" t="s">
        <v>209</v>
      </c>
      <c r="G23" s="34" t="str">
        <f>HYPERLINK("https://docs.google.com/spreadsheets/d/1JDxgzImkRziUrFYv1lfVETVYKLSG05063d4eXOCq7YU/edit#gid=793630015", "https://docs.google.com/spreadsheets/d/1JDxgzImkRziUrFYv1lfVETVYKLSG05063d4eXOCq7YU/edit#gid=793630015")</f>
        <v>https://docs.google.com/spreadsheets/d/1JDxgzImkRziUrFYv1lfVETVYKLSG05063d4eXOCq7YU/edit#gid=793630015</v>
      </c>
      <c r="H23" s="36"/>
      <c r="L23" s="11"/>
      <c r="M23" s="15"/>
      <c r="N23" s="15"/>
      <c r="O23" s="15"/>
      <c r="P23" s="15"/>
      <c r="Q23" s="15"/>
      <c r="R23" s="15"/>
      <c r="S23" s="15"/>
      <c r="T23" s="15"/>
      <c r="U23" s="15"/>
      <c r="V23" s="15"/>
      <c r="W23" s="15"/>
      <c r="X23" s="15"/>
      <c r="Y23" s="15"/>
      <c r="Z23" s="15"/>
      <c r="AA23" s="15"/>
      <c r="AB23" s="15"/>
      <c r="AC23" s="15"/>
      <c r="AD23" s="15"/>
      <c r="AE23" s="15"/>
      <c r="AF23" s="15"/>
      <c r="AG23" s="15"/>
      <c r="AH23" s="15"/>
    </row>
    <row r="24" ht="15.75" customHeight="1">
      <c r="A24" s="15"/>
      <c r="E24" s="32" t="s">
        <v>178</v>
      </c>
      <c r="F24" s="35" t="s">
        <v>210</v>
      </c>
      <c r="G24" s="34" t="str">
        <f>HYPERLINK("https://docs.google.com/spreadsheets/d/1JDxgzImkRziUrFYv1lfVETVYKLSG05063d4eXOCq7YU/edit#gid=1317946882", "https://docs.google.com/spreadsheets/d/1JDxgzImkRziUrFYv1lfVETVYKLSG05063d4eXOCq7YU/edit#gid=1317946882")</f>
        <v>https://docs.google.com/spreadsheets/d/1JDxgzImkRziUrFYv1lfVETVYKLSG05063d4eXOCq7YU/edit#gid=1317946882</v>
      </c>
      <c r="H24" s="62" t="s">
        <v>210</v>
      </c>
      <c r="I24" s="11"/>
      <c r="J24" s="11"/>
      <c r="K24" s="11"/>
      <c r="L24" s="11"/>
      <c r="M24" s="15"/>
      <c r="N24" s="15"/>
      <c r="O24" s="15"/>
      <c r="P24" s="15"/>
      <c r="Q24" s="15"/>
      <c r="R24" s="15"/>
      <c r="S24" s="15"/>
      <c r="T24" s="15"/>
      <c r="U24" s="15"/>
      <c r="V24" s="15"/>
      <c r="W24" s="15"/>
      <c r="X24" s="15"/>
      <c r="Y24" s="15"/>
      <c r="Z24" s="15"/>
      <c r="AA24" s="15"/>
      <c r="AB24" s="15"/>
      <c r="AC24" s="15"/>
      <c r="AD24" s="15"/>
      <c r="AE24" s="15"/>
      <c r="AF24" s="15"/>
      <c r="AG24" s="15"/>
      <c r="AH24" s="15"/>
    </row>
    <row r="25" ht="15.75" customHeight="1">
      <c r="A25" s="15"/>
      <c r="E25" s="32" t="s">
        <v>157</v>
      </c>
      <c r="F25" s="35" t="s">
        <v>161</v>
      </c>
      <c r="G25" s="34" t="str">
        <f>HYPERLINK("https://docs.google.com/spreadsheets/d/1JDxgzImkRziUrFYv1lfVETVYKLSG05063d4eXOCq7YU/edit#gid=1820777629", "https://docs.google.com/spreadsheets/d/1JDxgzImkRziUrFYv1lfVETVYKLSG05063d4eXOCq7YU/edit#gid=1820777629")</f>
        <v>https://docs.google.com/spreadsheets/d/1JDxgzImkRziUrFYv1lfVETVYKLSG05063d4eXOCq7YU/edit#gid=1820777629</v>
      </c>
      <c r="H25" s="62" t="s">
        <v>161</v>
      </c>
      <c r="I25" s="11"/>
      <c r="J25" s="11"/>
      <c r="K25" s="11"/>
      <c r="L25" s="11"/>
      <c r="M25" s="15"/>
      <c r="N25" s="15"/>
      <c r="O25" s="15"/>
      <c r="P25" s="15"/>
      <c r="Q25" s="15"/>
      <c r="R25" s="15"/>
      <c r="S25" s="15"/>
      <c r="T25" s="15"/>
      <c r="U25" s="15"/>
      <c r="V25" s="15"/>
      <c r="W25" s="15"/>
      <c r="X25" s="15"/>
      <c r="Y25" s="15"/>
      <c r="Z25" s="15"/>
      <c r="AA25" s="15"/>
      <c r="AB25" s="15"/>
      <c r="AC25" s="15"/>
      <c r="AD25" s="15"/>
      <c r="AE25" s="15"/>
      <c r="AF25" s="15"/>
      <c r="AG25" s="15"/>
      <c r="AH25" s="15"/>
    </row>
    <row r="26" ht="15.75" customHeight="1">
      <c r="A26" s="15"/>
      <c r="E26" s="32" t="s">
        <v>157</v>
      </c>
      <c r="F26" s="35" t="s">
        <v>158</v>
      </c>
      <c r="G26" s="34" t="str">
        <f>HYPERLINK("https://docs.google.com/spreadsheets/d/1JDxgzImkRziUrFYv1lfVETVYKLSG05063d4eXOCq7YU/edit#gid=1247686663", "https://docs.google.com/spreadsheets/d/1JDxgzImkRziUrFYv1lfVETVYKLSG05063d4eXOCq7YU/edit#gid=1247686663")</f>
        <v>https://docs.google.com/spreadsheets/d/1JDxgzImkRziUrFYv1lfVETVYKLSG05063d4eXOCq7YU/edit#gid=1247686663</v>
      </c>
      <c r="H26" s="62" t="s">
        <v>158</v>
      </c>
      <c r="I26" s="11"/>
      <c r="J26" s="11"/>
      <c r="K26" s="11"/>
      <c r="L26" s="11"/>
      <c r="M26" s="15"/>
      <c r="N26" s="15"/>
      <c r="O26" s="15"/>
      <c r="P26" s="15"/>
      <c r="Q26" s="15"/>
      <c r="R26" s="15"/>
      <c r="S26" s="15"/>
      <c r="T26" s="15"/>
      <c r="U26" s="15"/>
      <c r="V26" s="15"/>
      <c r="W26" s="15"/>
      <c r="X26" s="15"/>
      <c r="Y26" s="15"/>
      <c r="Z26" s="15"/>
      <c r="AA26" s="15"/>
      <c r="AB26" s="15"/>
      <c r="AC26" s="15"/>
      <c r="AD26" s="15"/>
      <c r="AE26" s="15"/>
      <c r="AF26" s="15"/>
      <c r="AG26" s="15"/>
      <c r="AH26" s="15"/>
    </row>
    <row r="27" ht="15.75" customHeight="1">
      <c r="A27" s="15"/>
      <c r="E27" s="32" t="s">
        <v>157</v>
      </c>
      <c r="F27" s="35" t="s">
        <v>196</v>
      </c>
      <c r="G27" s="34" t="str">
        <f>HYPERLINK("https://docs.google.com/spreadsheets/d/1JDxgzImkRziUrFYv1lfVETVYKLSG05063d4eXOCq7YU/edit#gid=168841625", "https://docs.google.com/spreadsheets/d/1JDxgzImkRziUrFYv1lfVETVYKLSG05063d4eXOCq7YU/edit#gid=168841625")</f>
        <v>https://docs.google.com/spreadsheets/d/1JDxgzImkRziUrFYv1lfVETVYKLSG05063d4eXOCq7YU/edit#gid=168841625</v>
      </c>
      <c r="H27" s="62" t="s">
        <v>196</v>
      </c>
      <c r="I27" s="11"/>
      <c r="J27" s="11"/>
      <c r="K27" s="11"/>
      <c r="L27" s="11"/>
      <c r="M27" s="15"/>
      <c r="N27" s="15"/>
      <c r="O27" s="15"/>
      <c r="P27" s="15"/>
      <c r="Q27" s="15"/>
      <c r="R27" s="15"/>
      <c r="S27" s="15"/>
      <c r="T27" s="15"/>
      <c r="U27" s="15"/>
      <c r="V27" s="15"/>
      <c r="W27" s="15"/>
      <c r="X27" s="15"/>
      <c r="Y27" s="15"/>
      <c r="Z27" s="15"/>
      <c r="AA27" s="15"/>
      <c r="AB27" s="15"/>
      <c r="AC27" s="15"/>
      <c r="AD27" s="15"/>
      <c r="AE27" s="15"/>
      <c r="AF27" s="15"/>
      <c r="AG27" s="15"/>
      <c r="AH27" s="15"/>
    </row>
    <row r="28" ht="15.75" customHeight="1">
      <c r="A28" s="15"/>
      <c r="E28" s="32" t="s">
        <v>172</v>
      </c>
      <c r="F28" s="35" t="s">
        <v>203</v>
      </c>
      <c r="G28" s="34" t="str">
        <f>HYPERLINK("https://docs.google.com/spreadsheets/d/1JDxgzImkRziUrFYv1lfVETVYKLSG05063d4eXOCq7YU/edit#gid=1110511409", "https://docs.google.com/spreadsheets/d/1JDxgzImkRziUrFYv1lfVETVYKLSG05063d4eXOCq7YU/edit#gid=1110511409")</f>
        <v>https://docs.google.com/spreadsheets/d/1JDxgzImkRziUrFYv1lfVETVYKLSG05063d4eXOCq7YU/edit#gid=1110511409</v>
      </c>
      <c r="H28" s="62" t="s">
        <v>1999</v>
      </c>
      <c r="I28" s="11"/>
      <c r="J28" s="11"/>
      <c r="K28" s="11"/>
      <c r="L28" s="11"/>
      <c r="M28" s="15"/>
      <c r="N28" s="15"/>
      <c r="O28" s="15"/>
      <c r="P28" s="15"/>
      <c r="Q28" s="15"/>
      <c r="R28" s="15"/>
      <c r="S28" s="15"/>
      <c r="T28" s="15"/>
      <c r="U28" s="15"/>
      <c r="V28" s="15"/>
      <c r="W28" s="15"/>
      <c r="X28" s="15"/>
      <c r="Y28" s="15"/>
      <c r="Z28" s="15"/>
      <c r="AA28" s="15"/>
      <c r="AB28" s="15"/>
      <c r="AC28" s="15"/>
      <c r="AD28" s="15"/>
      <c r="AE28" s="15"/>
      <c r="AF28" s="15"/>
      <c r="AG28" s="15"/>
      <c r="AH28" s="15"/>
    </row>
    <row r="29" ht="15.75" customHeight="1">
      <c r="A29" s="15"/>
      <c r="E29" s="32" t="s">
        <v>172</v>
      </c>
      <c r="F29" s="35" t="s">
        <v>204</v>
      </c>
      <c r="G29" s="34" t="str">
        <f>HYPERLINK("https://docs.google.com/spreadsheets/d/1JDxgzImkRziUrFYv1lfVETVYKLSG05063d4eXOCq7YU/edit#gid=2115791917", "https://docs.google.com/spreadsheets/d/1JDxgzImkRziUrFYv1lfVETVYKLSG05063d4eXOCq7YU/edit#gid=2115791917")</f>
        <v>https://docs.google.com/spreadsheets/d/1JDxgzImkRziUrFYv1lfVETVYKLSG05063d4eXOCq7YU/edit#gid=2115791917</v>
      </c>
      <c r="H29" s="62" t="s">
        <v>2000</v>
      </c>
      <c r="I29" s="11"/>
      <c r="J29" s="11"/>
      <c r="K29" s="11"/>
      <c r="L29" s="11"/>
      <c r="M29" s="15"/>
      <c r="N29" s="15"/>
      <c r="O29" s="15"/>
      <c r="P29" s="15"/>
      <c r="Q29" s="15"/>
      <c r="R29" s="15"/>
      <c r="S29" s="15"/>
      <c r="T29" s="15"/>
      <c r="U29" s="15"/>
      <c r="V29" s="15"/>
      <c r="W29" s="15"/>
      <c r="X29" s="15"/>
      <c r="Y29" s="15"/>
      <c r="Z29" s="15"/>
      <c r="AA29" s="15"/>
      <c r="AB29" s="15"/>
      <c r="AC29" s="15"/>
      <c r="AD29" s="15"/>
      <c r="AE29" s="15"/>
      <c r="AF29" s="15"/>
      <c r="AG29" s="15"/>
      <c r="AH29" s="15"/>
    </row>
    <row r="30" ht="15.75" customHeight="1">
      <c r="A30" s="15"/>
      <c r="E30" s="32" t="s">
        <v>178</v>
      </c>
      <c r="F30" s="35" t="s">
        <v>207</v>
      </c>
      <c r="G30" s="34" t="str">
        <f>HYPERLINK("https://docs.google.com/spreadsheets/d/1JDxgzImkRziUrFYv1lfVETVYKLSG05063d4eXOCq7YU/edit#gid=1266874687", "https://docs.google.com/spreadsheets/d/1JDxgzImkRziUrFYv1lfVETVYKLSG05063d4eXOCq7YU/edit#gid=1266874687")</f>
        <v>https://docs.google.com/spreadsheets/d/1JDxgzImkRziUrFYv1lfVETVYKLSG05063d4eXOCq7YU/edit#gid=1266874687</v>
      </c>
      <c r="H30" s="62" t="s">
        <v>2001</v>
      </c>
      <c r="I30" s="11"/>
      <c r="J30" s="11"/>
      <c r="K30" s="11"/>
      <c r="L30" s="11"/>
      <c r="M30" s="15"/>
      <c r="N30" s="15"/>
      <c r="O30" s="15"/>
      <c r="P30" s="15"/>
      <c r="Q30" s="15"/>
      <c r="R30" s="15"/>
      <c r="S30" s="15"/>
      <c r="T30" s="15"/>
      <c r="U30" s="15"/>
      <c r="V30" s="15"/>
      <c r="W30" s="15"/>
      <c r="X30" s="15"/>
      <c r="Y30" s="15"/>
      <c r="Z30" s="15"/>
      <c r="AA30" s="15"/>
      <c r="AB30" s="15"/>
      <c r="AC30" s="15"/>
      <c r="AD30" s="15"/>
      <c r="AE30" s="15"/>
      <c r="AF30" s="15"/>
      <c r="AG30" s="15"/>
      <c r="AH30" s="15"/>
    </row>
    <row r="31" ht="15.75" customHeight="1">
      <c r="A31" s="15"/>
      <c r="E31" s="32" t="s">
        <v>178</v>
      </c>
      <c r="F31" s="35" t="s">
        <v>208</v>
      </c>
      <c r="G31" s="34" t="str">
        <f>HYPERLINK("https://docs.google.com/spreadsheets/d/1JDxgzImkRziUrFYv1lfVETVYKLSG05063d4eXOCq7YU/edit#gid=1757782226", "https://docs.google.com/spreadsheets/d/1JDxgzImkRziUrFYv1lfVETVYKLSG05063d4eXOCq7YU/edit#gid=1757782226")</f>
        <v>https://docs.google.com/spreadsheets/d/1JDxgzImkRziUrFYv1lfVETVYKLSG05063d4eXOCq7YU/edit#gid=1757782226</v>
      </c>
      <c r="H31" s="62" t="s">
        <v>2002</v>
      </c>
      <c r="I31" s="11"/>
      <c r="J31" s="11"/>
      <c r="K31" s="11"/>
      <c r="L31" s="11"/>
      <c r="M31" s="15"/>
      <c r="N31" s="15"/>
      <c r="O31" s="15"/>
      <c r="P31" s="15"/>
      <c r="Q31" s="15"/>
      <c r="R31" s="15"/>
      <c r="S31" s="15"/>
      <c r="T31" s="15"/>
      <c r="U31" s="15"/>
      <c r="V31" s="15"/>
      <c r="W31" s="15"/>
      <c r="X31" s="15"/>
      <c r="Y31" s="15"/>
      <c r="Z31" s="15"/>
      <c r="AA31" s="15"/>
      <c r="AB31" s="15"/>
      <c r="AC31" s="15"/>
      <c r="AD31" s="15"/>
      <c r="AE31" s="15"/>
      <c r="AF31" s="15"/>
      <c r="AG31" s="15"/>
      <c r="AH31" s="15"/>
    </row>
    <row r="32" ht="15.75" customHeight="1">
      <c r="A32" s="15"/>
      <c r="E32" s="32" t="s">
        <v>178</v>
      </c>
      <c r="F32" s="35" t="s">
        <v>182</v>
      </c>
      <c r="G32" s="34" t="str">
        <f>HYPERLINK("https://docs.google.com/spreadsheets/d/1JDxgzImkRziUrFYv1lfVETVYKLSG05063d4eXOCq7YU/edit#gid=1216708523", "https://docs.google.com/spreadsheets/d/1JDxgzImkRziUrFYv1lfVETVYKLSG05063d4eXOCq7YU/edit#gid=1216708523")</f>
        <v>https://docs.google.com/spreadsheets/d/1JDxgzImkRziUrFYv1lfVETVYKLSG05063d4eXOCq7YU/edit#gid=1216708523</v>
      </c>
      <c r="H32" s="62" t="s">
        <v>2003</v>
      </c>
      <c r="I32" s="11"/>
      <c r="J32" s="11"/>
      <c r="K32" s="11"/>
      <c r="L32" s="11"/>
      <c r="M32" s="15"/>
      <c r="N32" s="15"/>
      <c r="O32" s="15"/>
      <c r="P32" s="15"/>
      <c r="Q32" s="15"/>
      <c r="R32" s="15"/>
      <c r="S32" s="15"/>
      <c r="T32" s="15"/>
      <c r="U32" s="15"/>
      <c r="V32" s="15"/>
      <c r="W32" s="15"/>
      <c r="X32" s="15"/>
      <c r="Y32" s="15"/>
      <c r="Z32" s="15"/>
      <c r="AA32" s="15"/>
      <c r="AB32" s="15"/>
      <c r="AC32" s="15"/>
      <c r="AD32" s="15"/>
      <c r="AE32" s="15"/>
      <c r="AF32" s="15"/>
      <c r="AG32" s="15"/>
      <c r="AH32" s="15"/>
    </row>
    <row r="33" ht="15.75" customHeight="1">
      <c r="A33" s="15"/>
      <c r="E33" s="32" t="s">
        <v>178</v>
      </c>
      <c r="F33" s="35" t="s">
        <v>180</v>
      </c>
      <c r="G33" s="34" t="str">
        <f>HYPERLINK("https://docs.google.com/spreadsheets/d/1JDxgzImkRziUrFYv1lfVETVYKLSG05063d4eXOCq7YU/edit#gid=1298734407", "https://docs.google.com/spreadsheets/d/1JDxgzImkRziUrFYv1lfVETVYKLSG05063d4eXOCq7YU/edit#gid=1298734407")</f>
        <v>https://docs.google.com/spreadsheets/d/1JDxgzImkRziUrFYv1lfVETVYKLSG05063d4eXOCq7YU/edit#gid=1298734407</v>
      </c>
      <c r="H33" s="62" t="s">
        <v>2004</v>
      </c>
      <c r="I33" s="11"/>
      <c r="J33" s="11"/>
      <c r="K33" s="11"/>
      <c r="L33" s="11"/>
      <c r="M33" s="15"/>
      <c r="N33" s="15"/>
      <c r="O33" s="15"/>
      <c r="P33" s="15"/>
      <c r="Q33" s="15"/>
      <c r="R33" s="15"/>
      <c r="S33" s="15"/>
      <c r="T33" s="15"/>
      <c r="U33" s="15"/>
      <c r="V33" s="15"/>
      <c r="W33" s="15"/>
      <c r="X33" s="15"/>
      <c r="Y33" s="15"/>
      <c r="Z33" s="15"/>
      <c r="AA33" s="15"/>
      <c r="AB33" s="15"/>
      <c r="AC33" s="15"/>
      <c r="AD33" s="15"/>
      <c r="AE33" s="15"/>
      <c r="AF33" s="15"/>
      <c r="AG33" s="15"/>
      <c r="AH33" s="15"/>
    </row>
    <row r="34" ht="15.75" customHeight="1">
      <c r="A34" s="15"/>
      <c r="E34" s="32" t="s">
        <v>178</v>
      </c>
      <c r="F34" s="35" t="s">
        <v>209</v>
      </c>
      <c r="G34" s="34" t="str">
        <f>HYPERLINK("https://docs.google.com/spreadsheets/d/1JDxgzImkRziUrFYv1lfVETVYKLSG05063d4eXOCq7YU/edit#gid=1355828058", "https://docs.google.com/spreadsheets/d/1JDxgzImkRziUrFYv1lfVETVYKLSG05063d4eXOCq7YU/edit#gid=1355828058")</f>
        <v>https://docs.google.com/spreadsheets/d/1JDxgzImkRziUrFYv1lfVETVYKLSG05063d4eXOCq7YU/edit#gid=1355828058</v>
      </c>
      <c r="H34" s="62" t="s">
        <v>1986</v>
      </c>
      <c r="I34" s="11"/>
      <c r="J34" s="11"/>
      <c r="K34" s="11"/>
      <c r="L34" s="11"/>
      <c r="M34" s="15"/>
      <c r="N34" s="15"/>
      <c r="O34" s="15"/>
      <c r="P34" s="15"/>
      <c r="Q34" s="15"/>
      <c r="R34" s="15"/>
      <c r="S34" s="15"/>
      <c r="T34" s="15"/>
      <c r="U34" s="15"/>
      <c r="V34" s="15"/>
      <c r="W34" s="15"/>
      <c r="X34" s="15"/>
      <c r="Y34" s="15"/>
      <c r="Z34" s="15"/>
      <c r="AA34" s="15"/>
      <c r="AB34" s="15"/>
      <c r="AC34" s="15"/>
      <c r="AD34" s="15"/>
      <c r="AE34" s="15"/>
      <c r="AF34" s="15"/>
      <c r="AG34" s="15"/>
      <c r="AH34" s="15"/>
    </row>
    <row r="35" ht="15.75" customHeight="1">
      <c r="A35" s="15"/>
      <c r="E35" s="32" t="s">
        <v>178</v>
      </c>
      <c r="F35" s="35" t="s">
        <v>210</v>
      </c>
      <c r="G35" s="34" t="str">
        <f>HYPERLINK("https://docs.google.com/spreadsheets/d/1JDxgzImkRziUrFYv1lfVETVYKLSG05063d4eXOCq7YU/edit#gid=441092264", "https://docs.google.com/spreadsheets/d/1JDxgzImkRziUrFYv1lfVETVYKLSG05063d4eXOCq7YU/edit#gid=441092264")</f>
        <v>https://docs.google.com/spreadsheets/d/1JDxgzImkRziUrFYv1lfVETVYKLSG05063d4eXOCq7YU/edit#gid=441092264</v>
      </c>
      <c r="H35" s="62" t="s">
        <v>1987</v>
      </c>
      <c r="I35" s="11"/>
      <c r="J35" s="11"/>
      <c r="K35" s="11"/>
      <c r="L35" s="11"/>
      <c r="M35" s="15"/>
      <c r="N35" s="15"/>
      <c r="O35" s="15"/>
      <c r="P35" s="15"/>
      <c r="Q35" s="15"/>
      <c r="R35" s="15"/>
      <c r="S35" s="15"/>
      <c r="T35" s="15"/>
      <c r="U35" s="15"/>
      <c r="V35" s="15"/>
      <c r="W35" s="15"/>
      <c r="X35" s="15"/>
      <c r="Y35" s="15"/>
      <c r="Z35" s="15"/>
      <c r="AA35" s="15"/>
      <c r="AB35" s="15"/>
      <c r="AC35" s="15"/>
      <c r="AD35" s="15"/>
      <c r="AE35" s="15"/>
      <c r="AF35" s="15"/>
      <c r="AG35" s="15"/>
      <c r="AH35" s="15"/>
    </row>
    <row r="36" ht="15.75" customHeight="1">
      <c r="A36" s="15"/>
      <c r="E36" s="32" t="s">
        <v>86</v>
      </c>
      <c r="F36" s="35" t="s">
        <v>90</v>
      </c>
      <c r="G36" s="34" t="str">
        <f>HYPERLINK("https://docs.google.com/spreadsheets/d/1JDxgzImkRziUrFYv1lfVETVYKLSG05063d4eXOCq7YU/edit#gid=1922245933", "https://docs.google.com/spreadsheets/d/1JDxgzImkRziUrFYv1lfVETVYKLSG05063d4eXOCq7YU/edit#gid=1922245933")</f>
        <v>https://docs.google.com/spreadsheets/d/1JDxgzImkRziUrFYv1lfVETVYKLSG05063d4eXOCq7YU/edit#gid=1922245933</v>
      </c>
      <c r="H36" s="62" t="s">
        <v>90</v>
      </c>
      <c r="I36" s="11"/>
      <c r="J36" s="11"/>
      <c r="K36" s="11"/>
      <c r="L36" s="11"/>
      <c r="M36" s="15"/>
      <c r="N36" s="15"/>
      <c r="O36" s="15"/>
      <c r="P36" s="15"/>
      <c r="Q36" s="15"/>
      <c r="R36" s="15"/>
      <c r="S36" s="15"/>
      <c r="T36" s="15"/>
      <c r="U36" s="15"/>
      <c r="V36" s="15"/>
      <c r="W36" s="15"/>
      <c r="X36" s="15"/>
      <c r="Y36" s="15"/>
      <c r="Z36" s="15"/>
      <c r="AA36" s="15"/>
      <c r="AB36" s="15"/>
      <c r="AC36" s="15"/>
      <c r="AD36" s="15"/>
      <c r="AE36" s="15"/>
      <c r="AF36" s="15"/>
      <c r="AG36" s="15"/>
      <c r="AH36" s="15"/>
    </row>
    <row r="37" ht="15.75" customHeight="1">
      <c r="A37" s="15"/>
      <c r="E37" s="32" t="s">
        <v>86</v>
      </c>
      <c r="F37" s="35" t="s">
        <v>338</v>
      </c>
      <c r="G37" s="34" t="str">
        <f>HYPERLINK("https://docs.google.com/spreadsheets/d/1JDxgzImkRziUrFYv1lfVETVYKLSG05063d4eXOCq7YU/edit#gid=1945710196", "https://docs.google.com/spreadsheets/d/1JDxgzImkRziUrFYv1lfVETVYKLSG05063d4eXOCq7YU/edit#gid=1945710196")</f>
        <v>https://docs.google.com/spreadsheets/d/1JDxgzImkRziUrFYv1lfVETVYKLSG05063d4eXOCq7YU/edit#gid=1945710196</v>
      </c>
      <c r="H37" s="62" t="s">
        <v>338</v>
      </c>
      <c r="I37" s="11"/>
      <c r="J37" s="11"/>
      <c r="K37" s="11"/>
      <c r="L37" s="11"/>
      <c r="M37" s="15"/>
      <c r="N37" s="15"/>
      <c r="O37" s="15"/>
      <c r="P37" s="15"/>
      <c r="Q37" s="15"/>
      <c r="R37" s="15"/>
      <c r="S37" s="15"/>
      <c r="T37" s="15"/>
      <c r="U37" s="15"/>
      <c r="V37" s="15"/>
      <c r="W37" s="15"/>
      <c r="X37" s="15"/>
      <c r="Y37" s="15"/>
      <c r="Z37" s="15"/>
      <c r="AA37" s="15"/>
      <c r="AB37" s="15"/>
      <c r="AC37" s="15"/>
      <c r="AD37" s="15"/>
      <c r="AE37" s="15"/>
      <c r="AF37" s="15"/>
      <c r="AG37" s="15"/>
      <c r="AH37" s="15"/>
    </row>
    <row r="38" ht="15.75" customHeight="1">
      <c r="A38" s="15"/>
      <c r="E38" s="32" t="s">
        <v>88</v>
      </c>
      <c r="F38" s="35" t="s">
        <v>95</v>
      </c>
      <c r="G38" s="34" t="str">
        <f>HYPERLINK("https://docs.google.com/spreadsheets/d/1JDxgzImkRziUrFYv1lfVETVYKLSG05063d4eXOCq7YU/edit#gid=704959442", "https://docs.google.com/spreadsheets/d/1JDxgzImkRziUrFYv1lfVETVYKLSG05063d4eXOCq7YU/edit#gid=704959442")</f>
        <v>https://docs.google.com/spreadsheets/d/1JDxgzImkRziUrFYv1lfVETVYKLSG05063d4eXOCq7YU/edit#gid=704959442</v>
      </c>
      <c r="H38" s="62" t="s">
        <v>95</v>
      </c>
      <c r="I38" s="11"/>
      <c r="J38" s="11"/>
      <c r="K38" s="11"/>
      <c r="L38" s="11"/>
      <c r="M38" s="15"/>
      <c r="N38" s="15"/>
      <c r="O38" s="15"/>
      <c r="P38" s="15"/>
      <c r="Q38" s="15"/>
      <c r="R38" s="15"/>
      <c r="S38" s="15"/>
      <c r="T38" s="15"/>
      <c r="U38" s="15"/>
      <c r="V38" s="15"/>
      <c r="W38" s="15"/>
      <c r="X38" s="15"/>
      <c r="Y38" s="15"/>
      <c r="Z38" s="15"/>
      <c r="AA38" s="15"/>
      <c r="AB38" s="15"/>
      <c r="AC38" s="15"/>
      <c r="AD38" s="15"/>
      <c r="AE38" s="15"/>
      <c r="AF38" s="15"/>
      <c r="AG38" s="15"/>
      <c r="AH38" s="15"/>
    </row>
    <row r="39" ht="15.75" customHeight="1">
      <c r="A39" s="15"/>
      <c r="E39" s="32" t="s">
        <v>88</v>
      </c>
      <c r="F39" s="35" t="s">
        <v>96</v>
      </c>
      <c r="G39" s="34" t="str">
        <f>HYPERLINK("https://docs.google.com/spreadsheets/d/1JDxgzImkRziUrFYv1lfVETVYKLSG05063d4eXOCq7YU/edit#gid=1248492773", "https://docs.google.com/spreadsheets/d/1JDxgzImkRziUrFYv1lfVETVYKLSG05063d4eXOCq7YU/edit#gid=1248492773")</f>
        <v>https://docs.google.com/spreadsheets/d/1JDxgzImkRziUrFYv1lfVETVYKLSG05063d4eXOCq7YU/edit#gid=1248492773</v>
      </c>
      <c r="H39" s="62" t="s">
        <v>96</v>
      </c>
      <c r="I39" s="11"/>
      <c r="J39" s="11"/>
      <c r="K39" s="11"/>
      <c r="L39" s="11"/>
      <c r="M39" s="15"/>
      <c r="N39" s="15"/>
      <c r="O39" s="15"/>
      <c r="P39" s="15"/>
      <c r="Q39" s="15"/>
      <c r="R39" s="15"/>
      <c r="S39" s="15"/>
      <c r="T39" s="15"/>
      <c r="U39" s="15"/>
      <c r="V39" s="15"/>
      <c r="W39" s="15"/>
      <c r="X39" s="15"/>
      <c r="Y39" s="15"/>
      <c r="Z39" s="15"/>
      <c r="AA39" s="15"/>
      <c r="AB39" s="15"/>
      <c r="AC39" s="15"/>
      <c r="AD39" s="15"/>
      <c r="AE39" s="15"/>
      <c r="AF39" s="15"/>
      <c r="AG39" s="15"/>
      <c r="AH39" s="15"/>
    </row>
    <row r="40" ht="15.75" customHeight="1">
      <c r="A40" s="15"/>
      <c r="B40" s="26"/>
      <c r="C40" s="39"/>
      <c r="D40" s="8"/>
      <c r="E40" s="32"/>
      <c r="F40" s="35"/>
      <c r="G40" s="34"/>
      <c r="H40" s="62"/>
      <c r="I40" s="11"/>
      <c r="J40" s="11"/>
      <c r="K40" s="11"/>
      <c r="L40" s="11"/>
      <c r="M40" s="15"/>
      <c r="N40" s="15"/>
      <c r="O40" s="15"/>
      <c r="P40" s="15"/>
      <c r="Q40" s="15"/>
      <c r="R40" s="15"/>
      <c r="S40" s="15"/>
      <c r="T40" s="15"/>
      <c r="U40" s="15"/>
      <c r="V40" s="15"/>
      <c r="W40" s="15"/>
      <c r="X40" s="15"/>
      <c r="Y40" s="15"/>
      <c r="Z40" s="15"/>
      <c r="AA40" s="15"/>
      <c r="AB40" s="15"/>
      <c r="AC40" s="15"/>
      <c r="AD40" s="15"/>
      <c r="AE40" s="15"/>
      <c r="AF40" s="15"/>
      <c r="AG40" s="15"/>
      <c r="AH40" s="15"/>
    </row>
    <row r="41" ht="15.75" customHeight="1">
      <c r="A41" s="15"/>
      <c r="B41" s="26"/>
      <c r="C41" s="39"/>
      <c r="D41" s="8"/>
      <c r="E41" s="32"/>
      <c r="F41" s="35"/>
      <c r="G41" s="34"/>
      <c r="H41" s="62"/>
      <c r="I41" s="11"/>
      <c r="J41" s="11"/>
      <c r="K41" s="11"/>
      <c r="L41" s="11"/>
      <c r="M41" s="15"/>
      <c r="N41" s="15"/>
      <c r="O41" s="15"/>
      <c r="P41" s="15"/>
      <c r="Q41" s="15"/>
      <c r="R41" s="15"/>
      <c r="S41" s="15"/>
      <c r="T41" s="15"/>
      <c r="U41" s="15"/>
      <c r="V41" s="15"/>
      <c r="W41" s="15"/>
      <c r="X41" s="15"/>
      <c r="Y41" s="15"/>
      <c r="Z41" s="15"/>
      <c r="AA41" s="15"/>
      <c r="AB41" s="15"/>
      <c r="AC41" s="15"/>
      <c r="AD41" s="15"/>
      <c r="AE41" s="15"/>
      <c r="AF41" s="15"/>
      <c r="AG41" s="15"/>
      <c r="AH41" s="15"/>
    </row>
    <row r="42" ht="15.75" customHeight="1">
      <c r="A42" s="15"/>
      <c r="B42" s="32" t="s">
        <v>2005</v>
      </c>
      <c r="C42" s="66" t="s">
        <v>2006</v>
      </c>
      <c r="D42" s="32" t="s">
        <v>20</v>
      </c>
      <c r="E42" s="32" t="s">
        <v>89</v>
      </c>
      <c r="F42" s="35" t="s">
        <v>291</v>
      </c>
      <c r="H42" s="36"/>
      <c r="L42" s="11"/>
      <c r="M42" s="15"/>
      <c r="N42" s="15"/>
      <c r="O42" s="15"/>
      <c r="P42" s="15"/>
      <c r="Q42" s="15"/>
      <c r="R42" s="15"/>
      <c r="S42" s="15"/>
      <c r="T42" s="15"/>
      <c r="U42" s="15"/>
      <c r="V42" s="15"/>
      <c r="W42" s="15"/>
      <c r="X42" s="15"/>
      <c r="Y42" s="15"/>
      <c r="Z42" s="15"/>
      <c r="AA42" s="15"/>
      <c r="AB42" s="15"/>
      <c r="AC42" s="15"/>
      <c r="AD42" s="15"/>
      <c r="AE42" s="15"/>
      <c r="AF42" s="15"/>
      <c r="AG42" s="15"/>
      <c r="AH42" s="15"/>
    </row>
    <row r="43" ht="15.75" customHeight="1">
      <c r="A43" s="15"/>
      <c r="B43" s="32" t="s">
        <v>2007</v>
      </c>
      <c r="C43" s="206" t="s">
        <v>2008</v>
      </c>
      <c r="D43" s="207" t="s">
        <v>20</v>
      </c>
      <c r="E43" s="65" t="s">
        <v>178</v>
      </c>
      <c r="F43" s="35" t="s">
        <v>201</v>
      </c>
      <c r="G43" s="165" t="str">
        <f>HYPERLINK("https://docs.google.com/spreadsheets/d/1t8Gbd63tn-6DxlO43FCigOLRWvO75Swg6GSlZnBBhIE/edit#gid=669252387", "https://docs.google.com/spreadsheets/d/1t8Gbd63tn-6DxlO43FCigOLRWvO75Swg6GSlZnBBhIE/edit#gid=669252387")</f>
        <v>https://docs.google.com/spreadsheets/d/1t8Gbd63tn-6DxlO43FCigOLRWvO75Swg6GSlZnBBhIE/edit#gid=669252387</v>
      </c>
      <c r="H43" s="35" t="s">
        <v>201</v>
      </c>
      <c r="I43" s="11"/>
      <c r="J43" s="11"/>
      <c r="K43" s="11"/>
      <c r="L43" s="11"/>
      <c r="M43" s="15"/>
      <c r="N43" s="15"/>
      <c r="O43" s="15"/>
      <c r="P43" s="15"/>
      <c r="Q43" s="15"/>
      <c r="R43" s="15"/>
      <c r="S43" s="15"/>
      <c r="T43" s="15"/>
      <c r="U43" s="15"/>
      <c r="V43" s="15"/>
      <c r="W43" s="15"/>
      <c r="X43" s="15"/>
      <c r="Y43" s="15"/>
      <c r="Z43" s="15"/>
      <c r="AA43" s="15"/>
      <c r="AB43" s="15"/>
      <c r="AC43" s="15"/>
      <c r="AD43" s="15"/>
      <c r="AE43" s="15"/>
      <c r="AF43" s="15"/>
      <c r="AG43" s="15"/>
      <c r="AH43" s="15"/>
    </row>
    <row r="44" ht="15.75" customHeight="1">
      <c r="A44" s="15"/>
      <c r="B44" s="67"/>
      <c r="C44" s="68"/>
      <c r="E44" s="8" t="s">
        <v>178</v>
      </c>
      <c r="F44" s="8" t="s">
        <v>202</v>
      </c>
      <c r="G44" s="69" t="str">
        <f>HYPERLINK("https://docs.google.com/spreadsheets/d/1t8Gbd63tn-6DxlO43FCigOLRWvO75Swg6GSlZnBBhIE/edit#gid=409447691", "https://docs.google.com/spreadsheets/d/1t8Gbd63tn-6DxlO43FCigOLRWvO75Swg6GSlZnBBhIE/edit#gid=409447691")</f>
        <v>https://docs.google.com/spreadsheets/d/1t8Gbd63tn-6DxlO43FCigOLRWvO75Swg6GSlZnBBhIE/edit#gid=409447691</v>
      </c>
      <c r="H44" s="8" t="s">
        <v>202</v>
      </c>
      <c r="I44" s="11"/>
      <c r="J44" s="11"/>
      <c r="K44" s="11"/>
      <c r="L44" s="11"/>
      <c r="M44" s="15"/>
      <c r="N44" s="15"/>
      <c r="O44" s="15"/>
      <c r="P44" s="15"/>
      <c r="Q44" s="15"/>
      <c r="R44" s="15"/>
      <c r="S44" s="15"/>
      <c r="T44" s="15"/>
      <c r="U44" s="15"/>
      <c r="V44" s="15"/>
      <c r="W44" s="15"/>
      <c r="X44" s="15"/>
      <c r="Y44" s="15"/>
      <c r="Z44" s="15"/>
      <c r="AA44" s="15"/>
      <c r="AB44" s="15"/>
      <c r="AC44" s="15"/>
      <c r="AD44" s="15"/>
      <c r="AE44" s="15"/>
      <c r="AF44" s="15"/>
      <c r="AG44" s="15"/>
      <c r="AH44" s="15"/>
    </row>
    <row r="45" ht="15.75" customHeight="1">
      <c r="A45" s="15"/>
      <c r="B45" s="67"/>
      <c r="C45" s="68"/>
      <c r="E45" s="8" t="s">
        <v>21</v>
      </c>
      <c r="F45" s="8" t="s">
        <v>51</v>
      </c>
      <c r="G45" s="60" t="str">
        <f>HYPERLINK("https://docs.google.com/spreadsheets/d/1t8Gbd63tn-6DxlO43FCigOLRWvO75Swg6GSlZnBBhIE/edit#gid=803085266", "https://docs.google.com/spreadsheets/d/1t8Gbd63tn-6DxlO43FCigOLRWvO75Swg6GSlZnBBhIE/edit#gid=803085266")</f>
        <v>https://docs.google.com/spreadsheets/d/1t8Gbd63tn-6DxlO43FCigOLRWvO75Swg6GSlZnBBhIE/edit#gid=803085266</v>
      </c>
      <c r="H45" s="8" t="s">
        <v>51</v>
      </c>
      <c r="I45" s="11"/>
      <c r="J45" s="11"/>
      <c r="K45" s="11"/>
      <c r="L45" s="11"/>
      <c r="M45" s="15"/>
      <c r="N45" s="15"/>
      <c r="O45" s="15"/>
      <c r="P45" s="15"/>
      <c r="Q45" s="15"/>
      <c r="R45" s="15"/>
      <c r="S45" s="15"/>
      <c r="T45" s="15"/>
      <c r="U45" s="15"/>
      <c r="V45" s="15"/>
      <c r="W45" s="15"/>
      <c r="X45" s="15"/>
      <c r="Y45" s="15"/>
      <c r="Z45" s="15"/>
      <c r="AA45" s="15"/>
      <c r="AB45" s="15"/>
      <c r="AC45" s="15"/>
      <c r="AD45" s="15"/>
      <c r="AE45" s="15"/>
      <c r="AF45" s="15"/>
      <c r="AG45" s="15"/>
      <c r="AH45" s="15"/>
    </row>
    <row r="46" ht="15.75" customHeight="1">
      <c r="A46" s="15"/>
      <c r="B46" s="67"/>
      <c r="C46" s="68"/>
      <c r="E46" s="8" t="s">
        <v>172</v>
      </c>
      <c r="F46" s="8" t="s">
        <v>203</v>
      </c>
      <c r="G46" s="60" t="str">
        <f>HYPERLINK("https://docs.google.com/spreadsheets/d/1t8Gbd63tn-6DxlO43FCigOLRWvO75Swg6GSlZnBBhIE/edit#gid=1752580078", "https://docs.google.com/spreadsheets/d/1t8Gbd63tn-6DxlO43FCigOLRWvO75Swg6GSlZnBBhIE/edit#gid=1752580078")</f>
        <v>https://docs.google.com/spreadsheets/d/1t8Gbd63tn-6DxlO43FCigOLRWvO75Swg6GSlZnBBhIE/edit#gid=1752580078</v>
      </c>
      <c r="H46" s="8" t="s">
        <v>203</v>
      </c>
      <c r="I46" s="11"/>
      <c r="J46" s="11"/>
      <c r="K46" s="11"/>
      <c r="L46" s="11"/>
      <c r="M46" s="15"/>
      <c r="N46" s="15"/>
      <c r="O46" s="15"/>
      <c r="P46" s="15"/>
      <c r="Q46" s="15"/>
      <c r="R46" s="15"/>
      <c r="S46" s="15"/>
      <c r="T46" s="15"/>
      <c r="U46" s="15"/>
      <c r="V46" s="15"/>
      <c r="W46" s="15"/>
      <c r="X46" s="15"/>
      <c r="Y46" s="15"/>
      <c r="Z46" s="15"/>
      <c r="AA46" s="15"/>
      <c r="AB46" s="15"/>
      <c r="AC46" s="15"/>
      <c r="AD46" s="15"/>
      <c r="AE46" s="15"/>
      <c r="AF46" s="15"/>
      <c r="AG46" s="15"/>
      <c r="AH46" s="15"/>
    </row>
    <row r="47" ht="15.75" customHeight="1">
      <c r="A47" s="15"/>
      <c r="B47" s="15"/>
      <c r="C47" s="21"/>
      <c r="E47" s="32" t="s">
        <v>172</v>
      </c>
      <c r="F47" s="32" t="s">
        <v>204</v>
      </c>
      <c r="G47" s="70" t="str">
        <f>HYPERLINK("https://docs.google.com/spreadsheets/d/1t8Gbd63tn-6DxlO43FCigOLRWvO75Swg6GSlZnBBhIE/edit#gid=566649030", "https://docs.google.com/spreadsheets/d/1t8Gbd63tn-6DxlO43FCigOLRWvO75Swg6GSlZnBBhIE/edit#gid=566649030")</f>
        <v>https://docs.google.com/spreadsheets/d/1t8Gbd63tn-6DxlO43FCigOLRWvO75Swg6GSlZnBBhIE/edit#gid=566649030</v>
      </c>
      <c r="H47" s="32" t="s">
        <v>204</v>
      </c>
      <c r="I47" s="11"/>
      <c r="J47" s="11"/>
      <c r="K47" s="11"/>
      <c r="L47" s="11"/>
      <c r="M47" s="15"/>
      <c r="N47" s="15"/>
      <c r="O47" s="15"/>
      <c r="P47" s="15"/>
      <c r="Q47" s="15"/>
      <c r="R47" s="15"/>
      <c r="S47" s="15"/>
      <c r="T47" s="15"/>
      <c r="U47" s="15"/>
      <c r="V47" s="15"/>
      <c r="W47" s="15"/>
      <c r="X47" s="15"/>
      <c r="Y47" s="15"/>
      <c r="Z47" s="15"/>
      <c r="AA47" s="15"/>
      <c r="AB47" s="15"/>
      <c r="AC47" s="15"/>
      <c r="AD47" s="15"/>
      <c r="AE47" s="15"/>
      <c r="AF47" s="15"/>
      <c r="AG47" s="15"/>
      <c r="AH47" s="15"/>
    </row>
    <row r="48" ht="15.75" customHeight="1">
      <c r="A48" s="15"/>
      <c r="B48" s="15"/>
      <c r="C48" s="21"/>
      <c r="E48" s="32" t="s">
        <v>178</v>
      </c>
      <c r="F48" s="32" t="s">
        <v>205</v>
      </c>
      <c r="G48" s="70" t="str">
        <f>HYPERLINK("https://docs.google.com/spreadsheets/d/1t8Gbd63tn-6DxlO43FCigOLRWvO75Swg6GSlZnBBhIE/edit#gid=1711868353", "https://docs.google.com/spreadsheets/d/1t8Gbd63tn-6DxlO43FCigOLRWvO75Swg6GSlZnBBhIE/edit#gid=1711868353")</f>
        <v>https://docs.google.com/spreadsheets/d/1t8Gbd63tn-6DxlO43FCigOLRWvO75Swg6GSlZnBBhIE/edit#gid=1711868353</v>
      </c>
      <c r="H48" s="32" t="s">
        <v>205</v>
      </c>
      <c r="I48" s="11"/>
      <c r="J48" s="11"/>
      <c r="K48" s="11"/>
      <c r="L48" s="11"/>
      <c r="M48" s="15"/>
      <c r="N48" s="15"/>
      <c r="O48" s="15"/>
      <c r="P48" s="15"/>
      <c r="Q48" s="15"/>
      <c r="R48" s="15"/>
      <c r="S48" s="15"/>
      <c r="T48" s="15"/>
      <c r="U48" s="15"/>
      <c r="V48" s="15"/>
      <c r="W48" s="15"/>
      <c r="X48" s="15"/>
      <c r="Y48" s="15"/>
      <c r="Z48" s="15"/>
      <c r="AA48" s="15"/>
      <c r="AB48" s="15"/>
      <c r="AC48" s="15"/>
      <c r="AD48" s="15"/>
      <c r="AE48" s="15"/>
      <c r="AF48" s="15"/>
      <c r="AG48" s="15"/>
      <c r="AH48" s="15"/>
    </row>
    <row r="49" ht="15.75" customHeight="1">
      <c r="A49" s="15"/>
      <c r="B49" s="15"/>
      <c r="C49" s="21"/>
      <c r="E49" s="32" t="s">
        <v>178</v>
      </c>
      <c r="F49" s="32" t="s">
        <v>206</v>
      </c>
      <c r="G49" s="15"/>
      <c r="H49" s="36"/>
      <c r="L49" s="11"/>
      <c r="M49" s="15"/>
      <c r="N49" s="15"/>
      <c r="O49" s="15"/>
      <c r="P49" s="15"/>
      <c r="Q49" s="15"/>
      <c r="R49" s="15"/>
      <c r="S49" s="15"/>
      <c r="T49" s="15"/>
      <c r="U49" s="15"/>
      <c r="V49" s="15"/>
      <c r="W49" s="15"/>
      <c r="X49" s="15"/>
      <c r="Y49" s="15"/>
      <c r="Z49" s="15"/>
      <c r="AA49" s="15"/>
      <c r="AB49" s="15"/>
      <c r="AC49" s="15"/>
      <c r="AD49" s="15"/>
      <c r="AE49" s="15"/>
      <c r="AF49" s="15"/>
      <c r="AG49" s="15"/>
      <c r="AH49" s="15"/>
    </row>
    <row r="50" ht="15.75" customHeight="1">
      <c r="A50" s="15"/>
      <c r="B50" s="15"/>
      <c r="C50" s="21"/>
      <c r="E50" s="32" t="s">
        <v>178</v>
      </c>
      <c r="F50" s="32" t="s">
        <v>207</v>
      </c>
      <c r="G50" s="70" t="str">
        <f>HYPERLINK("https://docs.google.com/spreadsheets/d/1t8Gbd63tn-6DxlO43FCigOLRWvO75Swg6GSlZnBBhIE/edit#gid=1776079610", "https://docs.google.com/spreadsheets/d/1t8Gbd63tn-6DxlO43FCigOLRWvO75Swg6GSlZnBBhIE/edit#gid=1776079610")</f>
        <v>https://docs.google.com/spreadsheets/d/1t8Gbd63tn-6DxlO43FCigOLRWvO75Swg6GSlZnBBhIE/edit#gid=1776079610</v>
      </c>
      <c r="H50" s="32" t="s">
        <v>207</v>
      </c>
      <c r="I50" s="11"/>
      <c r="J50" s="11"/>
      <c r="K50" s="11"/>
      <c r="L50" s="11"/>
      <c r="M50" s="15"/>
      <c r="N50" s="15"/>
      <c r="O50" s="15"/>
      <c r="P50" s="15"/>
      <c r="Q50" s="15"/>
      <c r="R50" s="15"/>
      <c r="S50" s="15"/>
      <c r="T50" s="15"/>
      <c r="U50" s="15"/>
      <c r="V50" s="15"/>
      <c r="W50" s="15"/>
      <c r="X50" s="15"/>
      <c r="Y50" s="15"/>
      <c r="Z50" s="15"/>
      <c r="AA50" s="15"/>
      <c r="AB50" s="15"/>
      <c r="AC50" s="15"/>
      <c r="AD50" s="15"/>
      <c r="AE50" s="15"/>
      <c r="AF50" s="15"/>
      <c r="AG50" s="15"/>
      <c r="AH50" s="15"/>
    </row>
    <row r="51" ht="15.75" customHeight="1">
      <c r="A51" s="15"/>
      <c r="B51" s="15"/>
      <c r="C51" s="21"/>
      <c r="E51" s="32" t="s">
        <v>172</v>
      </c>
      <c r="F51" s="32" t="s">
        <v>203</v>
      </c>
      <c r="G51" s="70" t="str">
        <f>HYPERLINK("https://docs.google.com/spreadsheets/d/1t8Gbd63tn-6DxlO43FCigOLRWvO75Swg6GSlZnBBhIE/edit#gid=1107804277", "https://docs.google.com/spreadsheets/d/1t8Gbd63tn-6DxlO43FCigOLRWvO75Swg6GSlZnBBhIE/edit#gid=1107804277")</f>
        <v>https://docs.google.com/spreadsheets/d/1t8Gbd63tn-6DxlO43FCigOLRWvO75Swg6GSlZnBBhIE/edit#gid=1107804277</v>
      </c>
      <c r="H51" s="32" t="s">
        <v>1995</v>
      </c>
      <c r="I51" s="11"/>
      <c r="J51" s="11"/>
      <c r="K51" s="11"/>
      <c r="L51" s="11"/>
      <c r="M51" s="15"/>
      <c r="N51" s="15"/>
      <c r="O51" s="15"/>
      <c r="P51" s="15"/>
      <c r="Q51" s="15"/>
      <c r="R51" s="15"/>
      <c r="S51" s="15"/>
      <c r="T51" s="15"/>
      <c r="U51" s="15"/>
      <c r="V51" s="15"/>
      <c r="W51" s="15"/>
      <c r="X51" s="15"/>
      <c r="Y51" s="15"/>
      <c r="Z51" s="15"/>
      <c r="AA51" s="15"/>
      <c r="AB51" s="15"/>
      <c r="AC51" s="15"/>
      <c r="AD51" s="15"/>
      <c r="AE51" s="15"/>
      <c r="AF51" s="15"/>
      <c r="AG51" s="15"/>
      <c r="AH51" s="15"/>
    </row>
    <row r="52" ht="15.75" customHeight="1">
      <c r="A52" s="15"/>
      <c r="B52" s="15"/>
      <c r="C52" s="21"/>
      <c r="E52" s="32" t="s">
        <v>172</v>
      </c>
      <c r="F52" s="32" t="s">
        <v>204</v>
      </c>
      <c r="G52" s="70" t="str">
        <f>HYPERLINK("https://docs.google.com/spreadsheets/d/1t8Gbd63tn-6DxlO43FCigOLRWvO75Swg6GSlZnBBhIE/edit#gid=158611906", "https://docs.google.com/spreadsheets/d/1t8Gbd63tn-6DxlO43FCigOLRWvO75Swg6GSlZnBBhIE/edit#gid=158611906")</f>
        <v>https://docs.google.com/spreadsheets/d/1t8Gbd63tn-6DxlO43FCigOLRWvO75Swg6GSlZnBBhIE/edit#gid=158611906</v>
      </c>
      <c r="H52" s="32" t="s">
        <v>1996</v>
      </c>
      <c r="I52" s="11"/>
      <c r="J52" s="11"/>
      <c r="K52" s="11"/>
      <c r="L52" s="11"/>
      <c r="M52" s="15"/>
      <c r="N52" s="15"/>
      <c r="O52" s="15"/>
      <c r="P52" s="15"/>
      <c r="Q52" s="15"/>
      <c r="R52" s="15"/>
      <c r="S52" s="15"/>
      <c r="T52" s="15"/>
      <c r="U52" s="15"/>
      <c r="V52" s="15"/>
      <c r="W52" s="15"/>
      <c r="X52" s="15"/>
      <c r="Y52" s="15"/>
      <c r="Z52" s="15"/>
      <c r="AA52" s="15"/>
      <c r="AB52" s="15"/>
      <c r="AC52" s="15"/>
      <c r="AD52" s="15"/>
      <c r="AE52" s="15"/>
      <c r="AF52" s="15"/>
      <c r="AG52" s="15"/>
      <c r="AH52" s="15"/>
    </row>
    <row r="53" ht="15.75" customHeight="1">
      <c r="A53" s="15"/>
      <c r="B53" s="15"/>
      <c r="C53" s="21"/>
      <c r="E53" s="32" t="s">
        <v>178</v>
      </c>
      <c r="F53" s="32" t="s">
        <v>205</v>
      </c>
      <c r="G53" s="70" t="str">
        <f>HYPERLINK("https://docs.google.com/spreadsheets/d/1t8Gbd63tn-6DxlO43FCigOLRWvO75Swg6GSlZnBBhIE/edit#gid=439078092", "https://docs.google.com/spreadsheets/d/1t8Gbd63tn-6DxlO43FCigOLRWvO75Swg6GSlZnBBhIE/edit#gid=439078092")</f>
        <v>https://docs.google.com/spreadsheets/d/1t8Gbd63tn-6DxlO43FCigOLRWvO75Swg6GSlZnBBhIE/edit#gid=439078092</v>
      </c>
      <c r="H53" s="32" t="s">
        <v>1997</v>
      </c>
      <c r="I53" s="11"/>
      <c r="J53" s="11"/>
      <c r="K53" s="11"/>
      <c r="L53" s="11"/>
      <c r="M53" s="15"/>
      <c r="N53" s="15"/>
      <c r="O53" s="15"/>
      <c r="P53" s="15"/>
      <c r="Q53" s="15"/>
      <c r="R53" s="15"/>
      <c r="S53" s="15"/>
      <c r="T53" s="15"/>
      <c r="U53" s="15"/>
      <c r="V53" s="15"/>
      <c r="W53" s="15"/>
      <c r="X53" s="15"/>
      <c r="Y53" s="15"/>
      <c r="Z53" s="15"/>
      <c r="AA53" s="15"/>
      <c r="AB53" s="15"/>
      <c r="AC53" s="15"/>
      <c r="AD53" s="15"/>
      <c r="AE53" s="15"/>
      <c r="AF53" s="15"/>
      <c r="AG53" s="15"/>
      <c r="AH53" s="15"/>
    </row>
    <row r="54" ht="15.75" customHeight="1">
      <c r="A54" s="15"/>
      <c r="B54" s="15"/>
      <c r="C54" s="21"/>
      <c r="E54" s="32" t="s">
        <v>178</v>
      </c>
      <c r="F54" s="32" t="s">
        <v>206</v>
      </c>
      <c r="G54" s="15"/>
      <c r="H54" s="36"/>
      <c r="L54" s="11"/>
      <c r="M54" s="15"/>
      <c r="N54" s="15"/>
      <c r="O54" s="15"/>
      <c r="P54" s="15"/>
      <c r="Q54" s="15"/>
      <c r="R54" s="15"/>
      <c r="S54" s="15"/>
      <c r="T54" s="15"/>
      <c r="U54" s="15"/>
      <c r="V54" s="15"/>
      <c r="W54" s="15"/>
      <c r="X54" s="15"/>
      <c r="Y54" s="15"/>
      <c r="Z54" s="15"/>
      <c r="AA54" s="15"/>
      <c r="AB54" s="15"/>
      <c r="AC54" s="15"/>
      <c r="AD54" s="15"/>
      <c r="AE54" s="15"/>
      <c r="AF54" s="15"/>
      <c r="AG54" s="15"/>
      <c r="AH54" s="15"/>
    </row>
    <row r="55" ht="15.75" customHeight="1">
      <c r="A55" s="15"/>
      <c r="B55" s="15"/>
      <c r="C55" s="21"/>
      <c r="E55" s="32" t="s">
        <v>178</v>
      </c>
      <c r="F55" s="32" t="s">
        <v>207</v>
      </c>
      <c r="G55" s="70" t="str">
        <f>HYPERLINK("https://docs.google.com/spreadsheets/d/1t8Gbd63tn-6DxlO43FCigOLRWvO75Swg6GSlZnBBhIE/edit#gid=1363034288", "https://docs.google.com/spreadsheets/d/1t8Gbd63tn-6DxlO43FCigOLRWvO75Swg6GSlZnBBhIE/edit#gid=1363034288")</f>
        <v>https://docs.google.com/spreadsheets/d/1t8Gbd63tn-6DxlO43FCigOLRWvO75Swg6GSlZnBBhIE/edit#gid=1363034288</v>
      </c>
      <c r="H55" s="32" t="s">
        <v>1998</v>
      </c>
      <c r="I55" s="11"/>
      <c r="J55" s="11"/>
      <c r="K55" s="11"/>
      <c r="L55" s="11"/>
      <c r="M55" s="15"/>
      <c r="N55" s="15"/>
      <c r="O55" s="15"/>
      <c r="P55" s="15"/>
      <c r="Q55" s="15"/>
      <c r="R55" s="15"/>
      <c r="S55" s="15"/>
      <c r="T55" s="15"/>
      <c r="U55" s="15"/>
      <c r="V55" s="15"/>
      <c r="W55" s="15"/>
      <c r="X55" s="15"/>
      <c r="Y55" s="15"/>
      <c r="Z55" s="15"/>
      <c r="AA55" s="15"/>
      <c r="AB55" s="15"/>
      <c r="AC55" s="15"/>
      <c r="AD55" s="15"/>
      <c r="AE55" s="15"/>
      <c r="AF55" s="15"/>
      <c r="AG55" s="15"/>
      <c r="AH55" s="15"/>
    </row>
    <row r="56" ht="15.75" customHeight="1">
      <c r="A56" s="15"/>
      <c r="B56" s="15"/>
      <c r="C56" s="21"/>
      <c r="E56" s="32" t="s">
        <v>178</v>
      </c>
      <c r="F56" s="32" t="s">
        <v>208</v>
      </c>
      <c r="G56" s="70" t="str">
        <f>HYPERLINK("https://docs.google.com/spreadsheets/d/1t8Gbd63tn-6DxlO43FCigOLRWvO75Swg6GSlZnBBhIE/edit#gid=1614766132", "https://docs.google.com/spreadsheets/d/1t8Gbd63tn-6DxlO43FCigOLRWvO75Swg6GSlZnBBhIE/edit#gid=1614766132")</f>
        <v>https://docs.google.com/spreadsheets/d/1t8Gbd63tn-6DxlO43FCigOLRWvO75Swg6GSlZnBBhIE/edit#gid=1614766132</v>
      </c>
      <c r="H56" s="32" t="s">
        <v>208</v>
      </c>
      <c r="I56" s="11"/>
      <c r="J56" s="11"/>
      <c r="K56" s="11"/>
      <c r="L56" s="11"/>
      <c r="M56" s="15"/>
      <c r="N56" s="15"/>
      <c r="O56" s="15"/>
      <c r="P56" s="15"/>
      <c r="Q56" s="15"/>
      <c r="R56" s="15"/>
      <c r="S56" s="15"/>
      <c r="T56" s="15"/>
      <c r="U56" s="15"/>
      <c r="V56" s="15"/>
      <c r="W56" s="15"/>
      <c r="X56" s="15"/>
      <c r="Y56" s="15"/>
      <c r="Z56" s="15"/>
      <c r="AA56" s="15"/>
      <c r="AB56" s="15"/>
      <c r="AC56" s="15"/>
      <c r="AD56" s="15"/>
      <c r="AE56" s="15"/>
      <c r="AF56" s="15"/>
      <c r="AG56" s="15"/>
      <c r="AH56" s="15"/>
    </row>
    <row r="57" ht="15.75" customHeight="1">
      <c r="A57" s="15"/>
      <c r="B57" s="15"/>
      <c r="C57" s="21"/>
      <c r="E57" s="32" t="s">
        <v>178</v>
      </c>
      <c r="F57" s="32" t="s">
        <v>182</v>
      </c>
      <c r="G57" s="70" t="str">
        <f>HYPERLINK("https://docs.google.com/spreadsheets/d/1t8Gbd63tn-6DxlO43FCigOLRWvO75Swg6GSlZnBBhIE/edit#gid=103722851", "https://docs.google.com/spreadsheets/d/1t8Gbd63tn-6DxlO43FCigOLRWvO75Swg6GSlZnBBhIE/edit#gid=103722851")</f>
        <v>https://docs.google.com/spreadsheets/d/1t8Gbd63tn-6DxlO43FCigOLRWvO75Swg6GSlZnBBhIE/edit#gid=103722851</v>
      </c>
      <c r="H57" s="32" t="s">
        <v>182</v>
      </c>
      <c r="I57" s="11"/>
      <c r="J57" s="11"/>
      <c r="K57" s="11"/>
      <c r="L57" s="11"/>
      <c r="M57" s="15"/>
      <c r="N57" s="15"/>
      <c r="O57" s="15"/>
      <c r="P57" s="15"/>
      <c r="Q57" s="15"/>
      <c r="R57" s="15"/>
      <c r="S57" s="15"/>
      <c r="T57" s="15"/>
      <c r="U57" s="15"/>
      <c r="V57" s="15"/>
      <c r="W57" s="15"/>
      <c r="X57" s="15"/>
      <c r="Y57" s="15"/>
      <c r="Z57" s="15"/>
      <c r="AA57" s="15"/>
      <c r="AB57" s="15"/>
      <c r="AC57" s="15"/>
      <c r="AD57" s="15"/>
      <c r="AE57" s="15"/>
      <c r="AF57" s="15"/>
      <c r="AG57" s="15"/>
      <c r="AH57" s="15"/>
    </row>
    <row r="58" ht="15.75" customHeight="1">
      <c r="A58" s="15"/>
      <c r="B58" s="15"/>
      <c r="C58" s="21"/>
      <c r="E58" s="32" t="s">
        <v>178</v>
      </c>
      <c r="F58" s="32" t="s">
        <v>180</v>
      </c>
      <c r="G58" s="70" t="str">
        <f>HYPERLINK("https://docs.google.com/spreadsheets/d/1t8Gbd63tn-6DxlO43FCigOLRWvO75Swg6GSlZnBBhIE/edit#gid=2092588568", "https://docs.google.com/spreadsheets/d/1t8Gbd63tn-6DxlO43FCigOLRWvO75Swg6GSlZnBBhIE/edit#gid=2092588568")</f>
        <v>https://docs.google.com/spreadsheets/d/1t8Gbd63tn-6DxlO43FCigOLRWvO75Swg6GSlZnBBhIE/edit#gid=2092588568</v>
      </c>
      <c r="H58" s="32" t="s">
        <v>180</v>
      </c>
      <c r="I58" s="11"/>
      <c r="J58" s="11"/>
      <c r="K58" s="11"/>
      <c r="L58" s="11"/>
      <c r="M58" s="15"/>
      <c r="N58" s="15"/>
      <c r="O58" s="15"/>
      <c r="P58" s="15"/>
      <c r="Q58" s="15"/>
      <c r="R58" s="15"/>
      <c r="S58" s="15"/>
      <c r="T58" s="15"/>
      <c r="U58" s="15"/>
      <c r="V58" s="15"/>
      <c r="W58" s="15"/>
      <c r="X58" s="15"/>
      <c r="Y58" s="15"/>
      <c r="Z58" s="15"/>
      <c r="AA58" s="15"/>
      <c r="AB58" s="15"/>
      <c r="AC58" s="15"/>
      <c r="AD58" s="15"/>
      <c r="AE58" s="15"/>
      <c r="AF58" s="15"/>
      <c r="AG58" s="15"/>
      <c r="AH58" s="15"/>
    </row>
    <row r="59" ht="15.75" customHeight="1">
      <c r="A59" s="15"/>
      <c r="B59" s="15"/>
      <c r="C59" s="21"/>
      <c r="E59" s="32" t="s">
        <v>178</v>
      </c>
      <c r="F59" s="32" t="s">
        <v>209</v>
      </c>
      <c r="G59" s="70" t="str">
        <f>HYPERLINK("https://docs.google.com/spreadsheets/d/1t8Gbd63tn-6DxlO43FCigOLRWvO75Swg6GSlZnBBhIE/edit#gid=1772022505", "https://docs.google.com/spreadsheets/d/1t8Gbd63tn-6DxlO43FCigOLRWvO75Swg6GSlZnBBhIE/edit#gid=1772022505")</f>
        <v>https://docs.google.com/spreadsheets/d/1t8Gbd63tn-6DxlO43FCigOLRWvO75Swg6GSlZnBBhIE/edit#gid=1772022505</v>
      </c>
      <c r="H59" s="32" t="s">
        <v>209</v>
      </c>
      <c r="I59" s="11"/>
      <c r="J59" s="11"/>
      <c r="K59" s="11"/>
      <c r="L59" s="11"/>
      <c r="M59" s="15"/>
      <c r="N59" s="15"/>
      <c r="O59" s="15"/>
      <c r="P59" s="15"/>
      <c r="Q59" s="15"/>
      <c r="R59" s="15"/>
      <c r="S59" s="15"/>
      <c r="T59" s="15"/>
      <c r="U59" s="15"/>
      <c r="V59" s="15"/>
      <c r="W59" s="15"/>
      <c r="X59" s="15"/>
      <c r="Y59" s="15"/>
      <c r="Z59" s="15"/>
      <c r="AA59" s="15"/>
      <c r="AB59" s="15"/>
      <c r="AC59" s="15"/>
      <c r="AD59" s="15"/>
      <c r="AE59" s="15"/>
      <c r="AF59" s="15"/>
      <c r="AG59" s="15"/>
      <c r="AH59" s="15"/>
    </row>
    <row r="60" ht="15.75" customHeight="1">
      <c r="A60" s="15"/>
      <c r="B60" s="15"/>
      <c r="C60" s="21"/>
      <c r="E60" s="32" t="s">
        <v>178</v>
      </c>
      <c r="F60" s="32" t="s">
        <v>210</v>
      </c>
      <c r="G60" s="70" t="str">
        <f>HYPERLINK("https://docs.google.com/spreadsheets/d/1t8Gbd63tn-6DxlO43FCigOLRWvO75Swg6GSlZnBBhIE/edit#gid=1262497338", "https://docs.google.com/spreadsheets/d/1t8Gbd63tn-6DxlO43FCigOLRWvO75Swg6GSlZnBBhIE/edit#gid=1262497338")</f>
        <v>https://docs.google.com/spreadsheets/d/1t8Gbd63tn-6DxlO43FCigOLRWvO75Swg6GSlZnBBhIE/edit#gid=1262497338</v>
      </c>
      <c r="H60" s="32" t="s">
        <v>210</v>
      </c>
      <c r="I60" s="11"/>
      <c r="J60" s="11"/>
      <c r="K60" s="11"/>
      <c r="L60" s="11"/>
      <c r="M60" s="15"/>
      <c r="N60" s="15"/>
      <c r="O60" s="15"/>
      <c r="P60" s="15"/>
      <c r="Q60" s="15"/>
      <c r="R60" s="15"/>
      <c r="S60" s="15"/>
      <c r="T60" s="15"/>
      <c r="U60" s="15"/>
      <c r="V60" s="15"/>
      <c r="W60" s="15"/>
      <c r="X60" s="15"/>
      <c r="Y60" s="15"/>
      <c r="Z60" s="15"/>
      <c r="AA60" s="15"/>
      <c r="AB60" s="15"/>
      <c r="AC60" s="15"/>
      <c r="AD60" s="15"/>
      <c r="AE60" s="15"/>
      <c r="AF60" s="15"/>
      <c r="AG60" s="15"/>
      <c r="AH60" s="15"/>
    </row>
    <row r="61" ht="15.75" customHeight="1">
      <c r="A61" s="15"/>
      <c r="B61" s="15"/>
      <c r="C61" s="21"/>
      <c r="E61" s="32" t="s">
        <v>157</v>
      </c>
      <c r="F61" s="32" t="s">
        <v>161</v>
      </c>
      <c r="G61" s="70" t="str">
        <f>HYPERLINK("https://docs.google.com/spreadsheets/d/1t8Gbd63tn-6DxlO43FCigOLRWvO75Swg6GSlZnBBhIE/edit#gid=1684659277", "https://docs.google.com/spreadsheets/d/1t8Gbd63tn-6DxlO43FCigOLRWvO75Swg6GSlZnBBhIE/edit#gid=1684659277")</f>
        <v>https://docs.google.com/spreadsheets/d/1t8Gbd63tn-6DxlO43FCigOLRWvO75Swg6GSlZnBBhIE/edit#gid=1684659277</v>
      </c>
      <c r="H61" s="32" t="s">
        <v>161</v>
      </c>
      <c r="I61" s="11"/>
      <c r="J61" s="11"/>
      <c r="K61" s="11"/>
      <c r="L61" s="11"/>
      <c r="M61" s="15"/>
      <c r="N61" s="15"/>
      <c r="O61" s="15"/>
      <c r="P61" s="15"/>
      <c r="Q61" s="15"/>
      <c r="R61" s="15"/>
      <c r="S61" s="15"/>
      <c r="T61" s="15"/>
      <c r="U61" s="15"/>
      <c r="V61" s="15"/>
      <c r="W61" s="15"/>
      <c r="X61" s="15"/>
      <c r="Y61" s="15"/>
      <c r="Z61" s="15"/>
      <c r="AA61" s="15"/>
      <c r="AB61" s="15"/>
      <c r="AC61" s="15"/>
      <c r="AD61" s="15"/>
      <c r="AE61" s="15"/>
      <c r="AF61" s="15"/>
      <c r="AG61" s="15"/>
      <c r="AH61" s="15"/>
    </row>
    <row r="62" ht="15.75" customHeight="1">
      <c r="A62" s="15"/>
      <c r="B62" s="15"/>
      <c r="C62" s="21"/>
      <c r="E62" s="32" t="s">
        <v>157</v>
      </c>
      <c r="F62" s="32" t="s">
        <v>158</v>
      </c>
      <c r="G62" s="70" t="str">
        <f>HYPERLINK("https://docs.google.com/spreadsheets/d/1t8Gbd63tn-6DxlO43FCigOLRWvO75Swg6GSlZnBBhIE/edit#gid=1794508284", "https://docs.google.com/spreadsheets/d/1t8Gbd63tn-6DxlO43FCigOLRWvO75Swg6GSlZnBBhIE/edit#gid=1794508284")</f>
        <v>https://docs.google.com/spreadsheets/d/1t8Gbd63tn-6DxlO43FCigOLRWvO75Swg6GSlZnBBhIE/edit#gid=1794508284</v>
      </c>
      <c r="H62" s="32" t="s">
        <v>158</v>
      </c>
      <c r="I62" s="11"/>
      <c r="J62" s="11"/>
      <c r="K62" s="11"/>
      <c r="L62" s="11"/>
      <c r="M62" s="15"/>
      <c r="N62" s="15"/>
      <c r="O62" s="15"/>
      <c r="P62" s="15"/>
      <c r="Q62" s="15"/>
      <c r="R62" s="15"/>
      <c r="S62" s="15"/>
      <c r="T62" s="15"/>
      <c r="U62" s="15"/>
      <c r="V62" s="15"/>
      <c r="W62" s="15"/>
      <c r="X62" s="15"/>
      <c r="Y62" s="15"/>
      <c r="Z62" s="15"/>
      <c r="AA62" s="15"/>
      <c r="AB62" s="15"/>
      <c r="AC62" s="15"/>
      <c r="AD62" s="15"/>
      <c r="AE62" s="15"/>
      <c r="AF62" s="15"/>
      <c r="AG62" s="15"/>
      <c r="AH62" s="15"/>
    </row>
    <row r="63" ht="15.75" customHeight="1">
      <c r="A63" s="15"/>
      <c r="B63" s="15"/>
      <c r="C63" s="21"/>
      <c r="E63" s="32" t="s">
        <v>157</v>
      </c>
      <c r="F63" s="32" t="s">
        <v>196</v>
      </c>
      <c r="G63" s="70" t="str">
        <f>HYPERLINK("https://docs.google.com/spreadsheets/d/1t8Gbd63tn-6DxlO43FCigOLRWvO75Swg6GSlZnBBhIE/edit#gid=803147010", "https://docs.google.com/spreadsheets/d/1t8Gbd63tn-6DxlO43FCigOLRWvO75Swg6GSlZnBBhIE/edit#gid=803147010")</f>
        <v>https://docs.google.com/spreadsheets/d/1t8Gbd63tn-6DxlO43FCigOLRWvO75Swg6GSlZnBBhIE/edit#gid=803147010</v>
      </c>
      <c r="H63" s="32" t="s">
        <v>196</v>
      </c>
      <c r="I63" s="11"/>
      <c r="J63" s="11"/>
      <c r="K63" s="11"/>
      <c r="L63" s="11"/>
      <c r="M63" s="15"/>
      <c r="N63" s="15"/>
      <c r="O63" s="15"/>
      <c r="P63" s="15"/>
      <c r="Q63" s="15"/>
      <c r="R63" s="15"/>
      <c r="S63" s="15"/>
      <c r="T63" s="15"/>
      <c r="U63" s="15"/>
      <c r="V63" s="15"/>
      <c r="W63" s="15"/>
      <c r="X63" s="15"/>
      <c r="Y63" s="15"/>
      <c r="Z63" s="15"/>
      <c r="AA63" s="15"/>
      <c r="AB63" s="15"/>
      <c r="AC63" s="15"/>
      <c r="AD63" s="15"/>
      <c r="AE63" s="15"/>
      <c r="AF63" s="15"/>
      <c r="AG63" s="15"/>
      <c r="AH63" s="15"/>
    </row>
    <row r="64" ht="15.75" customHeight="1">
      <c r="A64" s="15"/>
      <c r="B64" s="15"/>
      <c r="C64" s="21"/>
      <c r="E64" s="32" t="s">
        <v>172</v>
      </c>
      <c r="F64" s="32" t="s">
        <v>203</v>
      </c>
      <c r="G64" s="70" t="str">
        <f>HYPERLINK("https://docs.google.com/spreadsheets/d/1t8Gbd63tn-6DxlO43FCigOLRWvO75Swg6GSlZnBBhIE/edit#gid=1487969189", "https://docs.google.com/spreadsheets/d/1t8Gbd63tn-6DxlO43FCigOLRWvO75Swg6GSlZnBBhIE/edit#gid=1487969189")</f>
        <v>https://docs.google.com/spreadsheets/d/1t8Gbd63tn-6DxlO43FCigOLRWvO75Swg6GSlZnBBhIE/edit#gid=1487969189</v>
      </c>
      <c r="H64" s="32" t="s">
        <v>1999</v>
      </c>
      <c r="I64" s="11"/>
      <c r="J64" s="11"/>
      <c r="K64" s="11"/>
      <c r="L64" s="11"/>
      <c r="M64" s="15"/>
      <c r="N64" s="15"/>
      <c r="O64" s="15"/>
      <c r="P64" s="15"/>
      <c r="Q64" s="15"/>
      <c r="R64" s="15"/>
      <c r="S64" s="15"/>
      <c r="T64" s="15"/>
      <c r="U64" s="15"/>
      <c r="V64" s="15"/>
      <c r="W64" s="15"/>
      <c r="X64" s="15"/>
      <c r="Y64" s="15"/>
      <c r="Z64" s="15"/>
      <c r="AA64" s="15"/>
      <c r="AB64" s="15"/>
      <c r="AC64" s="15"/>
      <c r="AD64" s="15"/>
      <c r="AE64" s="15"/>
      <c r="AF64" s="15"/>
      <c r="AG64" s="15"/>
      <c r="AH64" s="15"/>
    </row>
    <row r="65" ht="15.75" customHeight="1">
      <c r="A65" s="15"/>
      <c r="B65" s="15"/>
      <c r="C65" s="21"/>
      <c r="E65" s="32" t="s">
        <v>172</v>
      </c>
      <c r="F65" s="32" t="s">
        <v>204</v>
      </c>
      <c r="G65" s="70" t="str">
        <f>HYPERLINK("https://docs.google.com/spreadsheets/d/1t8Gbd63tn-6DxlO43FCigOLRWvO75Swg6GSlZnBBhIE/edit#gid=920596369", "https://docs.google.com/spreadsheets/d/1t8Gbd63tn-6DxlO43FCigOLRWvO75Swg6GSlZnBBhIE/edit#gid=920596369")</f>
        <v>https://docs.google.com/spreadsheets/d/1t8Gbd63tn-6DxlO43FCigOLRWvO75Swg6GSlZnBBhIE/edit#gid=920596369</v>
      </c>
      <c r="H65" s="32" t="s">
        <v>2000</v>
      </c>
      <c r="I65" s="11"/>
      <c r="J65" s="11"/>
      <c r="K65" s="11"/>
      <c r="L65" s="11"/>
      <c r="M65" s="15"/>
      <c r="N65" s="15"/>
      <c r="O65" s="15"/>
      <c r="P65" s="15"/>
      <c r="Q65" s="15"/>
      <c r="R65" s="15"/>
      <c r="S65" s="15"/>
      <c r="T65" s="15"/>
      <c r="U65" s="15"/>
      <c r="V65" s="15"/>
      <c r="W65" s="15"/>
      <c r="X65" s="15"/>
      <c r="Y65" s="15"/>
      <c r="Z65" s="15"/>
      <c r="AA65" s="15"/>
      <c r="AB65" s="15"/>
      <c r="AC65" s="15"/>
      <c r="AD65" s="15"/>
      <c r="AE65" s="15"/>
      <c r="AF65" s="15"/>
      <c r="AG65" s="15"/>
      <c r="AH65" s="15"/>
    </row>
    <row r="66" ht="15.75" customHeight="1">
      <c r="A66" s="15"/>
      <c r="B66" s="15"/>
      <c r="C66" s="21"/>
      <c r="E66" s="32" t="s">
        <v>178</v>
      </c>
      <c r="F66" s="32" t="s">
        <v>207</v>
      </c>
      <c r="G66" s="70" t="str">
        <f>HYPERLINK("https://docs.google.com/spreadsheets/d/1t8Gbd63tn-6DxlO43FCigOLRWvO75Swg6GSlZnBBhIE/edit#gid=1577039633", "https://docs.google.com/spreadsheets/d/1t8Gbd63tn-6DxlO43FCigOLRWvO75Swg6GSlZnBBhIE/edit#gid=1577039633")</f>
        <v>https://docs.google.com/spreadsheets/d/1t8Gbd63tn-6DxlO43FCigOLRWvO75Swg6GSlZnBBhIE/edit#gid=1577039633</v>
      </c>
      <c r="H66" s="32" t="s">
        <v>2001</v>
      </c>
      <c r="I66" s="11"/>
      <c r="J66" s="11"/>
      <c r="K66" s="11"/>
      <c r="L66" s="11"/>
      <c r="M66" s="15"/>
      <c r="N66" s="15"/>
      <c r="O66" s="15"/>
      <c r="P66" s="15"/>
      <c r="Q66" s="15"/>
      <c r="R66" s="15"/>
      <c r="S66" s="15"/>
      <c r="T66" s="15"/>
      <c r="U66" s="15"/>
      <c r="V66" s="15"/>
      <c r="W66" s="15"/>
      <c r="X66" s="15"/>
      <c r="Y66" s="15"/>
      <c r="Z66" s="15"/>
      <c r="AA66" s="15"/>
      <c r="AB66" s="15"/>
      <c r="AC66" s="15"/>
      <c r="AD66" s="15"/>
      <c r="AE66" s="15"/>
      <c r="AF66" s="15"/>
      <c r="AG66" s="15"/>
      <c r="AH66" s="15"/>
    </row>
    <row r="67" ht="15.75" customHeight="1">
      <c r="A67" s="15"/>
      <c r="B67" s="15"/>
      <c r="C67" s="21"/>
      <c r="E67" s="32" t="s">
        <v>178</v>
      </c>
      <c r="F67" s="32" t="s">
        <v>208</v>
      </c>
      <c r="G67" s="70" t="str">
        <f>HYPERLINK("https://docs.google.com/spreadsheets/d/1t8Gbd63tn-6DxlO43FCigOLRWvO75Swg6GSlZnBBhIE/edit#gid=816330804", "https://docs.google.com/spreadsheets/d/1t8Gbd63tn-6DxlO43FCigOLRWvO75Swg6GSlZnBBhIE/edit#gid=816330804")</f>
        <v>https://docs.google.com/spreadsheets/d/1t8Gbd63tn-6DxlO43FCigOLRWvO75Swg6GSlZnBBhIE/edit#gid=816330804</v>
      </c>
      <c r="H67" s="32" t="s">
        <v>2002</v>
      </c>
      <c r="I67" s="11"/>
      <c r="J67" s="11"/>
      <c r="K67" s="11"/>
      <c r="L67" s="11"/>
      <c r="M67" s="15"/>
      <c r="N67" s="15"/>
      <c r="O67" s="15"/>
      <c r="P67" s="15"/>
      <c r="Q67" s="15"/>
      <c r="R67" s="15"/>
      <c r="S67" s="15"/>
      <c r="T67" s="15"/>
      <c r="U67" s="15"/>
      <c r="V67" s="15"/>
      <c r="W67" s="15"/>
      <c r="X67" s="15"/>
      <c r="Y67" s="15"/>
      <c r="Z67" s="15"/>
      <c r="AA67" s="15"/>
      <c r="AB67" s="15"/>
      <c r="AC67" s="15"/>
      <c r="AD67" s="15"/>
      <c r="AE67" s="15"/>
      <c r="AF67" s="15"/>
      <c r="AG67" s="15"/>
      <c r="AH67" s="15"/>
    </row>
    <row r="68" ht="15.75" customHeight="1">
      <c r="A68" s="15"/>
      <c r="B68" s="15"/>
      <c r="C68" s="21"/>
      <c r="E68" s="32" t="s">
        <v>178</v>
      </c>
      <c r="F68" s="32" t="s">
        <v>182</v>
      </c>
      <c r="G68" s="70" t="str">
        <f>HYPERLINK("https://docs.google.com/spreadsheets/d/1t8Gbd63tn-6DxlO43FCigOLRWvO75Swg6GSlZnBBhIE/edit#gid=884967339", "https://docs.google.com/spreadsheets/d/1t8Gbd63tn-6DxlO43FCigOLRWvO75Swg6GSlZnBBhIE/edit#gid=884967339")</f>
        <v>https://docs.google.com/spreadsheets/d/1t8Gbd63tn-6DxlO43FCigOLRWvO75Swg6GSlZnBBhIE/edit#gid=884967339</v>
      </c>
      <c r="H68" s="32" t="s">
        <v>2003</v>
      </c>
      <c r="I68" s="11"/>
      <c r="J68" s="11"/>
      <c r="K68" s="11"/>
      <c r="L68" s="11"/>
      <c r="M68" s="15"/>
      <c r="N68" s="15"/>
      <c r="O68" s="15"/>
      <c r="P68" s="15"/>
      <c r="Q68" s="15"/>
      <c r="R68" s="15"/>
      <c r="S68" s="15"/>
      <c r="T68" s="15"/>
      <c r="U68" s="15"/>
      <c r="V68" s="15"/>
      <c r="W68" s="15"/>
      <c r="X68" s="15"/>
      <c r="Y68" s="15"/>
      <c r="Z68" s="15"/>
      <c r="AA68" s="15"/>
      <c r="AB68" s="15"/>
      <c r="AC68" s="15"/>
      <c r="AD68" s="15"/>
      <c r="AE68" s="15"/>
      <c r="AF68" s="15"/>
      <c r="AG68" s="15"/>
      <c r="AH68" s="15"/>
    </row>
    <row r="69" ht="15.75" customHeight="1">
      <c r="A69" s="15"/>
      <c r="B69" s="15"/>
      <c r="C69" s="21"/>
      <c r="E69" s="32" t="s">
        <v>178</v>
      </c>
      <c r="F69" s="32" t="s">
        <v>180</v>
      </c>
      <c r="G69" s="70" t="str">
        <f>HYPERLINK("https://docs.google.com/spreadsheets/d/1t8Gbd63tn-6DxlO43FCigOLRWvO75Swg6GSlZnBBhIE/edit#gid=477367478", "https://docs.google.com/spreadsheets/d/1t8Gbd63tn-6DxlO43FCigOLRWvO75Swg6GSlZnBBhIE/edit#gid=477367478")</f>
        <v>https://docs.google.com/spreadsheets/d/1t8Gbd63tn-6DxlO43FCigOLRWvO75Swg6GSlZnBBhIE/edit#gid=477367478</v>
      </c>
      <c r="H69" s="32" t="s">
        <v>2009</v>
      </c>
      <c r="I69" s="11"/>
      <c r="J69" s="11"/>
      <c r="K69" s="11"/>
      <c r="L69" s="11"/>
      <c r="M69" s="15"/>
      <c r="N69" s="15"/>
      <c r="O69" s="15"/>
      <c r="P69" s="15"/>
      <c r="Q69" s="15"/>
      <c r="R69" s="15"/>
      <c r="S69" s="15"/>
      <c r="T69" s="15"/>
      <c r="U69" s="15"/>
      <c r="V69" s="15"/>
      <c r="W69" s="15"/>
      <c r="X69" s="15"/>
      <c r="Y69" s="15"/>
      <c r="Z69" s="15"/>
      <c r="AA69" s="15"/>
      <c r="AB69" s="15"/>
      <c r="AC69" s="15"/>
      <c r="AD69" s="15"/>
      <c r="AE69" s="15"/>
      <c r="AF69" s="15"/>
      <c r="AG69" s="15"/>
      <c r="AH69" s="15"/>
    </row>
    <row r="70" ht="15.75" customHeight="1">
      <c r="A70" s="15"/>
      <c r="B70" s="15"/>
      <c r="C70" s="21"/>
      <c r="E70" s="32" t="s">
        <v>178</v>
      </c>
      <c r="F70" s="32" t="s">
        <v>209</v>
      </c>
      <c r="G70" s="70" t="str">
        <f>HYPERLINK("https://docs.google.com/spreadsheets/d/1t8Gbd63tn-6DxlO43FCigOLRWvO75Swg6GSlZnBBhIE/edit#gid=471925439", "https://docs.google.com/spreadsheets/d/1t8Gbd63tn-6DxlO43FCigOLRWvO75Swg6GSlZnBBhIE/edit#gid=471925439")</f>
        <v>https://docs.google.com/spreadsheets/d/1t8Gbd63tn-6DxlO43FCigOLRWvO75Swg6GSlZnBBhIE/edit#gid=471925439</v>
      </c>
      <c r="H70" s="32" t="s">
        <v>1986</v>
      </c>
      <c r="I70" s="11"/>
      <c r="J70" s="11"/>
      <c r="K70" s="11"/>
      <c r="L70" s="11"/>
      <c r="M70" s="15"/>
      <c r="N70" s="15"/>
      <c r="O70" s="15"/>
      <c r="P70" s="15"/>
      <c r="Q70" s="15"/>
      <c r="R70" s="15"/>
      <c r="S70" s="15"/>
      <c r="T70" s="15"/>
      <c r="U70" s="15"/>
      <c r="V70" s="15"/>
      <c r="W70" s="15"/>
      <c r="X70" s="15"/>
      <c r="Y70" s="15"/>
      <c r="Z70" s="15"/>
      <c r="AA70" s="15"/>
      <c r="AB70" s="15"/>
      <c r="AC70" s="15"/>
      <c r="AD70" s="15"/>
      <c r="AE70" s="15"/>
      <c r="AF70" s="15"/>
      <c r="AG70" s="15"/>
      <c r="AH70" s="15"/>
    </row>
    <row r="71" ht="15.75" customHeight="1">
      <c r="A71" s="15"/>
      <c r="B71" s="15"/>
      <c r="C71" s="21"/>
      <c r="E71" s="32" t="s">
        <v>178</v>
      </c>
      <c r="F71" s="32" t="s">
        <v>210</v>
      </c>
      <c r="G71" s="70" t="str">
        <f>HYPERLINK("https://docs.google.com/spreadsheets/d/1t8Gbd63tn-6DxlO43FCigOLRWvO75Swg6GSlZnBBhIE/edit#gid=1714755212", "https://docs.google.com/spreadsheets/d/1t8Gbd63tn-6DxlO43FCigOLRWvO75Swg6GSlZnBBhIE/edit#gid=1714755212")</f>
        <v>https://docs.google.com/spreadsheets/d/1t8Gbd63tn-6DxlO43FCigOLRWvO75Swg6GSlZnBBhIE/edit#gid=1714755212</v>
      </c>
      <c r="H71" s="32" t="s">
        <v>1987</v>
      </c>
      <c r="I71" s="11"/>
      <c r="J71" s="11"/>
      <c r="K71" s="11"/>
      <c r="L71" s="11"/>
      <c r="M71" s="15"/>
      <c r="N71" s="15"/>
      <c r="O71" s="15"/>
      <c r="P71" s="15"/>
      <c r="Q71" s="15"/>
      <c r="R71" s="15"/>
      <c r="S71" s="15"/>
      <c r="T71" s="15"/>
      <c r="U71" s="15"/>
      <c r="V71" s="15"/>
      <c r="W71" s="15"/>
      <c r="X71" s="15"/>
      <c r="Y71" s="15"/>
      <c r="Z71" s="15"/>
      <c r="AA71" s="15"/>
      <c r="AB71" s="15"/>
      <c r="AC71" s="15"/>
      <c r="AD71" s="15"/>
      <c r="AE71" s="15"/>
      <c r="AF71" s="15"/>
      <c r="AG71" s="15"/>
      <c r="AH71" s="15"/>
    </row>
    <row r="72" ht="15.75" customHeight="1">
      <c r="A72" s="15"/>
      <c r="B72" s="15"/>
      <c r="C72" s="21"/>
      <c r="E72" s="32" t="s">
        <v>86</v>
      </c>
      <c r="F72" s="32" t="s">
        <v>90</v>
      </c>
      <c r="G72" s="70" t="str">
        <f>HYPERLINK("https://docs.google.com/spreadsheets/d/1t8Gbd63tn-6DxlO43FCigOLRWvO75Swg6GSlZnBBhIE/edit#gid=64736523", "https://docs.google.com/spreadsheets/d/1t8Gbd63tn-6DxlO43FCigOLRWvO75Swg6GSlZnBBhIE/edit#gid=64736523")</f>
        <v>https://docs.google.com/spreadsheets/d/1t8Gbd63tn-6DxlO43FCigOLRWvO75Swg6GSlZnBBhIE/edit#gid=64736523</v>
      </c>
      <c r="H72" s="32" t="s">
        <v>90</v>
      </c>
      <c r="I72" s="11"/>
      <c r="J72" s="11"/>
      <c r="K72" s="11"/>
      <c r="L72" s="11"/>
      <c r="M72" s="15"/>
      <c r="N72" s="15"/>
      <c r="O72" s="15"/>
      <c r="P72" s="15"/>
      <c r="Q72" s="15"/>
      <c r="R72" s="15"/>
      <c r="S72" s="15"/>
      <c r="T72" s="15"/>
      <c r="U72" s="15"/>
      <c r="V72" s="15"/>
      <c r="W72" s="15"/>
      <c r="X72" s="15"/>
      <c r="Y72" s="15"/>
      <c r="Z72" s="15"/>
      <c r="AA72" s="15"/>
      <c r="AB72" s="15"/>
      <c r="AC72" s="15"/>
      <c r="AD72" s="15"/>
      <c r="AE72" s="15"/>
      <c r="AF72" s="15"/>
      <c r="AG72" s="15"/>
      <c r="AH72" s="15"/>
    </row>
    <row r="73" ht="15.75" customHeight="1">
      <c r="A73" s="15"/>
      <c r="B73" s="15"/>
      <c r="C73" s="21"/>
      <c r="E73" s="32" t="s">
        <v>86</v>
      </c>
      <c r="F73" s="32" t="s">
        <v>91</v>
      </c>
      <c r="G73" s="70" t="str">
        <f>HYPERLINK("https://docs.google.com/spreadsheets/d/1t8Gbd63tn-6DxlO43FCigOLRWvO75Swg6GSlZnBBhIE/edit#gid=2044184689", "https://docs.google.com/spreadsheets/d/1t8Gbd63tn-6DxlO43FCigOLRWvO75Swg6GSlZnBBhIE/edit#gid=2044184689")</f>
        <v>https://docs.google.com/spreadsheets/d/1t8Gbd63tn-6DxlO43FCigOLRWvO75Swg6GSlZnBBhIE/edit#gid=2044184689</v>
      </c>
      <c r="H73" s="32" t="s">
        <v>91</v>
      </c>
      <c r="I73" s="11"/>
      <c r="J73" s="11"/>
      <c r="K73" s="11"/>
      <c r="L73" s="11"/>
      <c r="M73" s="15"/>
      <c r="N73" s="15"/>
      <c r="O73" s="15"/>
      <c r="P73" s="15"/>
      <c r="Q73" s="15"/>
      <c r="R73" s="15"/>
      <c r="S73" s="15"/>
      <c r="T73" s="15"/>
      <c r="U73" s="15"/>
      <c r="V73" s="15"/>
      <c r="W73" s="15"/>
      <c r="X73" s="15"/>
      <c r="Y73" s="15"/>
      <c r="Z73" s="15"/>
      <c r="AA73" s="15"/>
      <c r="AB73" s="15"/>
      <c r="AC73" s="15"/>
      <c r="AD73" s="15"/>
      <c r="AE73" s="15"/>
      <c r="AF73" s="15"/>
      <c r="AG73" s="15"/>
      <c r="AH73" s="15"/>
    </row>
    <row r="74" ht="15.75" customHeight="1">
      <c r="A74" s="15"/>
      <c r="B74" s="15"/>
      <c r="C74" s="21"/>
      <c r="E74" s="32" t="s">
        <v>88</v>
      </c>
      <c r="F74" s="32" t="s">
        <v>95</v>
      </c>
      <c r="G74" s="70" t="str">
        <f>HYPERLINK("https://docs.google.com/spreadsheets/d/1t8Gbd63tn-6DxlO43FCigOLRWvO75Swg6GSlZnBBhIE/edit#gid=2141091739", "https://docs.google.com/spreadsheets/d/1t8Gbd63tn-6DxlO43FCigOLRWvO75Swg6GSlZnBBhIE/edit#gid=2141091739")</f>
        <v>https://docs.google.com/spreadsheets/d/1t8Gbd63tn-6DxlO43FCigOLRWvO75Swg6GSlZnBBhIE/edit#gid=2141091739</v>
      </c>
      <c r="H74" s="32" t="s">
        <v>95</v>
      </c>
      <c r="I74" s="11"/>
      <c r="J74" s="11"/>
      <c r="K74" s="11"/>
      <c r="L74" s="11"/>
      <c r="M74" s="15"/>
      <c r="N74" s="15"/>
      <c r="O74" s="15"/>
      <c r="P74" s="15"/>
      <c r="Q74" s="15"/>
      <c r="R74" s="15"/>
      <c r="S74" s="15"/>
      <c r="T74" s="15"/>
      <c r="U74" s="15"/>
      <c r="V74" s="15"/>
      <c r="W74" s="15"/>
      <c r="X74" s="15"/>
      <c r="Y74" s="15"/>
      <c r="Z74" s="15"/>
      <c r="AA74" s="15"/>
      <c r="AB74" s="15"/>
      <c r="AC74" s="15"/>
      <c r="AD74" s="15"/>
      <c r="AE74" s="15"/>
      <c r="AF74" s="15"/>
      <c r="AG74" s="15"/>
      <c r="AH74" s="15"/>
    </row>
    <row r="75" ht="15.75" customHeight="1">
      <c r="A75" s="15"/>
      <c r="B75" s="15"/>
      <c r="C75" s="21"/>
      <c r="E75" s="32" t="s">
        <v>88</v>
      </c>
      <c r="F75" s="32" t="s">
        <v>96</v>
      </c>
      <c r="G75" s="70" t="str">
        <f>HYPERLINK("https://docs.google.com/spreadsheets/d/1t8Gbd63tn-6DxlO43FCigOLRWvO75Swg6GSlZnBBhIE/edit#gid=1951388446", "https://docs.google.com/spreadsheets/d/1t8Gbd63tn-6DxlO43FCigOLRWvO75Swg6GSlZnBBhIE/edit#gid=1951388446")</f>
        <v>https://docs.google.com/spreadsheets/d/1t8Gbd63tn-6DxlO43FCigOLRWvO75Swg6GSlZnBBhIE/edit#gid=1951388446</v>
      </c>
      <c r="H75" s="32" t="s">
        <v>96</v>
      </c>
      <c r="I75" s="11"/>
      <c r="J75" s="11"/>
      <c r="K75" s="11"/>
      <c r="L75" s="11"/>
      <c r="M75" s="15"/>
      <c r="N75" s="15"/>
      <c r="O75" s="15"/>
      <c r="P75" s="15"/>
      <c r="Q75" s="15"/>
      <c r="R75" s="15"/>
      <c r="S75" s="15"/>
      <c r="T75" s="15"/>
      <c r="U75" s="15"/>
      <c r="V75" s="15"/>
      <c r="W75" s="15"/>
      <c r="X75" s="15"/>
      <c r="Y75" s="15"/>
      <c r="Z75" s="15"/>
      <c r="AA75" s="15"/>
      <c r="AB75" s="15"/>
      <c r="AC75" s="15"/>
      <c r="AD75" s="15"/>
      <c r="AE75" s="15"/>
      <c r="AF75" s="15"/>
      <c r="AG75" s="15"/>
      <c r="AH75" s="15"/>
    </row>
    <row r="76" ht="15.75" customHeight="1">
      <c r="A76" s="15"/>
      <c r="B76" s="15"/>
      <c r="C76" s="21"/>
      <c r="D76" s="15"/>
      <c r="E76" s="15"/>
      <c r="F76" s="15"/>
      <c r="G76" s="15"/>
      <c r="H76" s="15"/>
      <c r="I76" s="11"/>
      <c r="J76" s="11"/>
      <c r="K76" s="11"/>
      <c r="L76" s="11"/>
      <c r="M76" s="15"/>
      <c r="N76" s="15"/>
      <c r="O76" s="15"/>
      <c r="P76" s="15"/>
      <c r="Q76" s="15"/>
      <c r="R76" s="15"/>
      <c r="S76" s="15"/>
      <c r="T76" s="15"/>
      <c r="U76" s="15"/>
      <c r="V76" s="15"/>
      <c r="W76" s="15"/>
      <c r="X76" s="15"/>
      <c r="Y76" s="15"/>
      <c r="Z76" s="15"/>
      <c r="AA76" s="15"/>
      <c r="AB76" s="15"/>
      <c r="AC76" s="15"/>
      <c r="AD76" s="15"/>
      <c r="AE76" s="15"/>
      <c r="AF76" s="15"/>
      <c r="AG76" s="15"/>
      <c r="AH76" s="15"/>
    </row>
    <row r="77" ht="15.75" customHeight="1">
      <c r="A77" s="15"/>
      <c r="B77" s="32" t="s">
        <v>2010</v>
      </c>
      <c r="C77" s="66" t="s">
        <v>2011</v>
      </c>
      <c r="D77" s="32" t="s">
        <v>20</v>
      </c>
      <c r="E77" s="32" t="s">
        <v>89</v>
      </c>
      <c r="F77" s="32" t="s">
        <v>291</v>
      </c>
      <c r="G77" s="15"/>
      <c r="H77" s="36"/>
      <c r="L77" s="11"/>
      <c r="M77" s="15"/>
      <c r="N77" s="15"/>
      <c r="O77" s="15"/>
      <c r="P77" s="15"/>
      <c r="Q77" s="15"/>
      <c r="R77" s="15"/>
      <c r="S77" s="15"/>
      <c r="T77" s="15"/>
      <c r="U77" s="15"/>
      <c r="V77" s="15"/>
      <c r="W77" s="15"/>
      <c r="X77" s="15"/>
      <c r="Y77" s="15"/>
      <c r="Z77" s="15"/>
      <c r="AA77" s="15"/>
      <c r="AB77" s="15"/>
      <c r="AC77" s="15"/>
      <c r="AD77" s="15"/>
      <c r="AE77" s="15"/>
      <c r="AF77" s="15"/>
      <c r="AG77" s="15"/>
      <c r="AH77" s="15"/>
    </row>
    <row r="78" ht="15.75" customHeight="1">
      <c r="A78" s="15"/>
      <c r="B78" s="32" t="s">
        <v>2012</v>
      </c>
      <c r="C78" s="206" t="s">
        <v>2013</v>
      </c>
      <c r="D78" s="32" t="s">
        <v>20</v>
      </c>
      <c r="E78" s="65" t="s">
        <v>178</v>
      </c>
      <c r="F78" s="35" t="s">
        <v>201</v>
      </c>
      <c r="G78" s="70" t="str">
        <f>HYPERLINK("https://docs.google.com/spreadsheets/d/1BIyp_fIM8CS-pPrAAYxSv2lf-NJGcux6qzPqpTPOh1g/edit#gid=442459062", "https://docs.google.com/spreadsheets/d/1BIyp_fIM8CS-pPrAAYxSv2lf-NJGcux6qzPqpTPOh1g/edit#gid=442459062")</f>
        <v>https://docs.google.com/spreadsheets/d/1BIyp_fIM8CS-pPrAAYxSv2lf-NJGcux6qzPqpTPOh1g/edit#gid=442459062</v>
      </c>
      <c r="H78" s="32" t="s">
        <v>201</v>
      </c>
      <c r="I78" s="11"/>
      <c r="J78" s="11"/>
      <c r="K78" s="11"/>
      <c r="L78" s="11"/>
      <c r="M78" s="15"/>
      <c r="N78" s="15"/>
      <c r="O78" s="15"/>
      <c r="P78" s="15"/>
      <c r="Q78" s="15"/>
      <c r="R78" s="15"/>
      <c r="S78" s="15"/>
      <c r="T78" s="15"/>
      <c r="U78" s="15"/>
      <c r="V78" s="15"/>
      <c r="W78" s="15"/>
      <c r="X78" s="15"/>
      <c r="Y78" s="15"/>
      <c r="Z78" s="15"/>
      <c r="AA78" s="15"/>
      <c r="AB78" s="15"/>
      <c r="AC78" s="15"/>
      <c r="AD78" s="15"/>
      <c r="AE78" s="15"/>
      <c r="AF78" s="15"/>
      <c r="AG78" s="15"/>
      <c r="AH78" s="15"/>
    </row>
    <row r="79" ht="15.75" customHeight="1">
      <c r="A79" s="15"/>
      <c r="B79" s="15"/>
      <c r="C79" s="21"/>
      <c r="D79" s="15"/>
      <c r="E79" s="9" t="s">
        <v>178</v>
      </c>
      <c r="F79" s="32" t="s">
        <v>202</v>
      </c>
      <c r="G79" s="70" t="str">
        <f>HYPERLINK("https://docs.google.com/spreadsheets/d/1BIyp_fIM8CS-pPrAAYxSv2lf-NJGcux6qzPqpTPOh1g/edit#gid=1509516235", "https://docs.google.com/spreadsheets/d/1BIyp_fIM8CS-pPrAAYxSv2lf-NJGcux6qzPqpTPOh1g/edit#gid=1509516235")</f>
        <v>https://docs.google.com/spreadsheets/d/1BIyp_fIM8CS-pPrAAYxSv2lf-NJGcux6qzPqpTPOh1g/edit#gid=1509516235</v>
      </c>
      <c r="H79" s="32" t="s">
        <v>202</v>
      </c>
      <c r="I79" s="11"/>
      <c r="J79" s="11"/>
      <c r="K79" s="11"/>
      <c r="L79" s="11"/>
      <c r="M79" s="15"/>
      <c r="N79" s="15"/>
      <c r="O79" s="15"/>
      <c r="P79" s="15"/>
      <c r="Q79" s="15"/>
      <c r="R79" s="15"/>
      <c r="S79" s="15"/>
      <c r="T79" s="15"/>
      <c r="U79" s="15"/>
      <c r="V79" s="15"/>
      <c r="W79" s="15"/>
      <c r="X79" s="15"/>
      <c r="Y79" s="15"/>
      <c r="Z79" s="15"/>
      <c r="AA79" s="15"/>
      <c r="AB79" s="15"/>
      <c r="AC79" s="15"/>
      <c r="AD79" s="15"/>
      <c r="AE79" s="15"/>
      <c r="AF79" s="15"/>
      <c r="AG79" s="15"/>
      <c r="AH79" s="15"/>
    </row>
    <row r="80" ht="15.75" customHeight="1">
      <c r="A80" s="15"/>
      <c r="B80" s="15"/>
      <c r="C80" s="21"/>
      <c r="D80" s="15"/>
      <c r="E80" s="8" t="s">
        <v>21</v>
      </c>
      <c r="F80" s="32" t="s">
        <v>51</v>
      </c>
      <c r="G80" s="70" t="str">
        <f>HYPERLINK("https://docs.google.com/spreadsheets/d/1BIyp_fIM8CS-pPrAAYxSv2lf-NJGcux6qzPqpTPOh1g/edit#gid=978606369", "https://docs.google.com/spreadsheets/d/1BIyp_fIM8CS-pPrAAYxSv2lf-NJGcux6qzPqpTPOh1g/edit#gid=978606369")</f>
        <v>https://docs.google.com/spreadsheets/d/1BIyp_fIM8CS-pPrAAYxSv2lf-NJGcux6qzPqpTPOh1g/edit#gid=978606369</v>
      </c>
      <c r="H80" s="32" t="s">
        <v>51</v>
      </c>
      <c r="I80" s="11"/>
      <c r="J80" s="11"/>
      <c r="K80" s="11"/>
      <c r="L80" s="11"/>
      <c r="M80" s="15"/>
      <c r="N80" s="15"/>
      <c r="O80" s="15"/>
      <c r="P80" s="15"/>
      <c r="Q80" s="15"/>
      <c r="R80" s="15"/>
      <c r="S80" s="15"/>
      <c r="T80" s="15"/>
      <c r="U80" s="15"/>
      <c r="V80" s="15"/>
      <c r="W80" s="15"/>
      <c r="X80" s="15"/>
      <c r="Y80" s="15"/>
      <c r="Z80" s="15"/>
      <c r="AA80" s="15"/>
      <c r="AB80" s="15"/>
      <c r="AC80" s="15"/>
      <c r="AD80" s="15"/>
      <c r="AE80" s="15"/>
      <c r="AF80" s="15"/>
      <c r="AG80" s="15"/>
      <c r="AH80" s="15"/>
    </row>
    <row r="81" ht="15.75" customHeight="1">
      <c r="A81" s="15"/>
      <c r="B81" s="15"/>
      <c r="C81" s="21"/>
      <c r="D81" s="15"/>
      <c r="E81" s="8" t="s">
        <v>172</v>
      </c>
      <c r="F81" s="32" t="s">
        <v>203</v>
      </c>
      <c r="G81" s="70" t="str">
        <f>HYPERLINK("https://docs.google.com/spreadsheets/d/1BIyp_fIM8CS-pPrAAYxSv2lf-NJGcux6qzPqpTPOh1g/edit#gid=991639166", "https://docs.google.com/spreadsheets/d/1BIyp_fIM8CS-pPrAAYxSv2lf-NJGcux6qzPqpTPOh1g/edit#gid=991639166")</f>
        <v>https://docs.google.com/spreadsheets/d/1BIyp_fIM8CS-pPrAAYxSv2lf-NJGcux6qzPqpTPOh1g/edit#gid=991639166</v>
      </c>
      <c r="H81" s="32" t="s">
        <v>203</v>
      </c>
      <c r="I81" s="11"/>
      <c r="J81" s="11"/>
      <c r="K81" s="11"/>
      <c r="L81" s="11"/>
      <c r="M81" s="15"/>
      <c r="N81" s="15"/>
      <c r="O81" s="15"/>
      <c r="P81" s="15"/>
      <c r="Q81" s="15"/>
      <c r="R81" s="15"/>
      <c r="S81" s="15"/>
      <c r="T81" s="15"/>
      <c r="U81" s="15"/>
      <c r="V81" s="15"/>
      <c r="W81" s="15"/>
      <c r="X81" s="15"/>
      <c r="Y81" s="15"/>
      <c r="Z81" s="15"/>
      <c r="AA81" s="15"/>
      <c r="AB81" s="15"/>
      <c r="AC81" s="15"/>
      <c r="AD81" s="15"/>
      <c r="AE81" s="15"/>
      <c r="AF81" s="15"/>
      <c r="AG81" s="15"/>
      <c r="AH81" s="15"/>
    </row>
    <row r="82" ht="15.75" customHeight="1">
      <c r="A82" s="15"/>
      <c r="B82" s="15"/>
      <c r="C82" s="21"/>
      <c r="D82" s="15"/>
      <c r="E82" s="8" t="s">
        <v>172</v>
      </c>
      <c r="F82" s="32" t="s">
        <v>204</v>
      </c>
      <c r="G82" s="70" t="str">
        <f>HYPERLINK("https://docs.google.com/spreadsheets/d/1BIyp_fIM8CS-pPrAAYxSv2lf-NJGcux6qzPqpTPOh1g/edit#gid=1402887976", "https://docs.google.com/spreadsheets/d/1BIyp_fIM8CS-pPrAAYxSv2lf-NJGcux6qzPqpTPOh1g/edit#gid=1402887976")</f>
        <v>https://docs.google.com/spreadsheets/d/1BIyp_fIM8CS-pPrAAYxSv2lf-NJGcux6qzPqpTPOh1g/edit#gid=1402887976</v>
      </c>
      <c r="H82" s="32" t="s">
        <v>204</v>
      </c>
      <c r="I82" s="11"/>
      <c r="J82" s="11"/>
      <c r="K82" s="11"/>
      <c r="L82" s="11"/>
      <c r="M82" s="15"/>
      <c r="N82" s="15"/>
      <c r="O82" s="15"/>
      <c r="P82" s="15"/>
      <c r="Q82" s="15"/>
      <c r="R82" s="15"/>
      <c r="S82" s="15"/>
      <c r="T82" s="15"/>
      <c r="U82" s="15"/>
      <c r="V82" s="15"/>
      <c r="W82" s="15"/>
      <c r="X82" s="15"/>
      <c r="Y82" s="15"/>
      <c r="Z82" s="15"/>
      <c r="AA82" s="15"/>
      <c r="AB82" s="15"/>
      <c r="AC82" s="15"/>
      <c r="AD82" s="15"/>
      <c r="AE82" s="15"/>
      <c r="AF82" s="15"/>
      <c r="AG82" s="15"/>
      <c r="AH82" s="15"/>
    </row>
    <row r="83" ht="15.75" customHeight="1">
      <c r="A83" s="15"/>
      <c r="B83" s="15"/>
      <c r="C83" s="21"/>
      <c r="D83" s="15"/>
      <c r="E83" s="8" t="s">
        <v>178</v>
      </c>
      <c r="F83" s="32" t="s">
        <v>205</v>
      </c>
      <c r="G83" s="70" t="str">
        <f>HYPERLINK("https://docs.google.com/spreadsheets/d/1BIyp_fIM8CS-pPrAAYxSv2lf-NJGcux6qzPqpTPOh1g/edit#gid=1445808845", "https://docs.google.com/spreadsheets/d/1BIyp_fIM8CS-pPrAAYxSv2lf-NJGcux6qzPqpTPOh1g/edit#gid=1445808845")</f>
        <v>https://docs.google.com/spreadsheets/d/1BIyp_fIM8CS-pPrAAYxSv2lf-NJGcux6qzPqpTPOh1g/edit#gid=1445808845</v>
      </c>
      <c r="H83" s="32" t="s">
        <v>205</v>
      </c>
      <c r="I83" s="11"/>
      <c r="J83" s="11"/>
      <c r="K83" s="11"/>
      <c r="L83" s="11"/>
      <c r="M83" s="15"/>
      <c r="N83" s="15"/>
      <c r="O83" s="15"/>
      <c r="P83" s="15"/>
      <c r="Q83" s="15"/>
      <c r="R83" s="15"/>
      <c r="S83" s="15"/>
      <c r="T83" s="15"/>
      <c r="U83" s="15"/>
      <c r="V83" s="15"/>
      <c r="W83" s="15"/>
      <c r="X83" s="15"/>
      <c r="Y83" s="15"/>
      <c r="Z83" s="15"/>
      <c r="AA83" s="15"/>
      <c r="AB83" s="15"/>
      <c r="AC83" s="15"/>
      <c r="AD83" s="15"/>
      <c r="AE83" s="15"/>
      <c r="AF83" s="15"/>
      <c r="AG83" s="15"/>
      <c r="AH83" s="15"/>
    </row>
    <row r="84" ht="15.75" customHeight="1">
      <c r="A84" s="15"/>
      <c r="B84" s="15"/>
      <c r="C84" s="21"/>
      <c r="D84" s="15"/>
      <c r="E84" s="8" t="s">
        <v>178</v>
      </c>
      <c r="F84" s="32" t="s">
        <v>206</v>
      </c>
      <c r="G84" s="15"/>
      <c r="H84" s="36"/>
      <c r="L84" s="11"/>
      <c r="M84" s="15"/>
      <c r="N84" s="15"/>
      <c r="O84" s="15"/>
      <c r="P84" s="15"/>
      <c r="Q84" s="15"/>
      <c r="R84" s="15"/>
      <c r="S84" s="15"/>
      <c r="T84" s="15"/>
      <c r="U84" s="15"/>
      <c r="V84" s="15"/>
      <c r="W84" s="15"/>
      <c r="X84" s="15"/>
      <c r="Y84" s="15"/>
      <c r="Z84" s="15"/>
      <c r="AA84" s="15"/>
      <c r="AB84" s="15"/>
      <c r="AC84" s="15"/>
      <c r="AD84" s="15"/>
      <c r="AE84" s="15"/>
      <c r="AF84" s="15"/>
      <c r="AG84" s="15"/>
      <c r="AH84" s="15"/>
    </row>
    <row r="85" ht="15.75" customHeight="1">
      <c r="A85" s="15"/>
      <c r="B85" s="15"/>
      <c r="C85" s="21"/>
      <c r="D85" s="15"/>
      <c r="E85" s="8" t="s">
        <v>178</v>
      </c>
      <c r="F85" s="32" t="s">
        <v>207</v>
      </c>
      <c r="G85" s="70" t="str">
        <f>HYPERLINK("https://docs.google.com/spreadsheets/d/1BIyp_fIM8CS-pPrAAYxSv2lf-NJGcux6qzPqpTPOh1g/edit#gid=316945183", "https://docs.google.com/spreadsheets/d/1BIyp_fIM8CS-pPrAAYxSv2lf-NJGcux6qzPqpTPOh1g/edit#gid=316945183")</f>
        <v>https://docs.google.com/spreadsheets/d/1BIyp_fIM8CS-pPrAAYxSv2lf-NJGcux6qzPqpTPOh1g/edit#gid=316945183</v>
      </c>
      <c r="H85" s="32" t="s">
        <v>207</v>
      </c>
      <c r="I85" s="11"/>
      <c r="J85" s="11"/>
      <c r="K85" s="11"/>
      <c r="L85" s="11"/>
      <c r="M85" s="15"/>
      <c r="N85" s="15"/>
      <c r="O85" s="15"/>
      <c r="P85" s="15"/>
      <c r="Q85" s="15"/>
      <c r="R85" s="15"/>
      <c r="S85" s="15"/>
      <c r="T85" s="15"/>
      <c r="U85" s="15"/>
      <c r="V85" s="15"/>
      <c r="W85" s="15"/>
      <c r="X85" s="15"/>
      <c r="Y85" s="15"/>
      <c r="Z85" s="15"/>
      <c r="AA85" s="15"/>
      <c r="AB85" s="15"/>
      <c r="AC85" s="15"/>
      <c r="AD85" s="15"/>
      <c r="AE85" s="15"/>
      <c r="AF85" s="15"/>
      <c r="AG85" s="15"/>
      <c r="AH85" s="15"/>
    </row>
    <row r="86" ht="15.75" customHeight="1">
      <c r="A86" s="15"/>
      <c r="B86" s="15"/>
      <c r="C86" s="21"/>
      <c r="D86" s="15"/>
      <c r="E86" s="8" t="s">
        <v>172</v>
      </c>
      <c r="F86" s="32" t="s">
        <v>203</v>
      </c>
      <c r="G86" s="70" t="str">
        <f>HYPERLINK("https://docs.google.com/spreadsheets/d/1BIyp_fIM8CS-pPrAAYxSv2lf-NJGcux6qzPqpTPOh1g/edit#gid=1089346314", "https://docs.google.com/spreadsheets/d/1BIyp_fIM8CS-pPrAAYxSv2lf-NJGcux6qzPqpTPOh1g/edit#gid=1089346314")</f>
        <v>https://docs.google.com/spreadsheets/d/1BIyp_fIM8CS-pPrAAYxSv2lf-NJGcux6qzPqpTPOh1g/edit#gid=1089346314</v>
      </c>
      <c r="H86" s="32" t="s">
        <v>1995</v>
      </c>
      <c r="I86" s="11"/>
      <c r="J86" s="11"/>
      <c r="K86" s="11"/>
      <c r="L86" s="11"/>
      <c r="M86" s="15"/>
      <c r="N86" s="15"/>
      <c r="O86" s="15"/>
      <c r="P86" s="15"/>
      <c r="Q86" s="15"/>
      <c r="R86" s="15"/>
      <c r="S86" s="15"/>
      <c r="T86" s="15"/>
      <c r="U86" s="15"/>
      <c r="V86" s="15"/>
      <c r="W86" s="15"/>
      <c r="X86" s="15"/>
      <c r="Y86" s="15"/>
      <c r="Z86" s="15"/>
      <c r="AA86" s="15"/>
      <c r="AB86" s="15"/>
      <c r="AC86" s="15"/>
      <c r="AD86" s="15"/>
      <c r="AE86" s="15"/>
      <c r="AF86" s="15"/>
      <c r="AG86" s="15"/>
      <c r="AH86" s="15"/>
    </row>
    <row r="87" ht="15.75" customHeight="1">
      <c r="A87" s="15"/>
      <c r="B87" s="15"/>
      <c r="C87" s="21"/>
      <c r="D87" s="15"/>
      <c r="E87" s="8" t="s">
        <v>172</v>
      </c>
      <c r="F87" s="32" t="s">
        <v>204</v>
      </c>
      <c r="G87" s="70" t="str">
        <f>HYPERLINK("https://docs.google.com/spreadsheets/d/1BIyp_fIM8CS-pPrAAYxSv2lf-NJGcux6qzPqpTPOh1g/edit#gid=1893988658", "https://docs.google.com/spreadsheets/d/1BIyp_fIM8CS-pPrAAYxSv2lf-NJGcux6qzPqpTPOh1g/edit#gid=1893988658")</f>
        <v>https://docs.google.com/spreadsheets/d/1BIyp_fIM8CS-pPrAAYxSv2lf-NJGcux6qzPqpTPOh1g/edit#gid=1893988658</v>
      </c>
      <c r="H87" s="32" t="s">
        <v>1996</v>
      </c>
      <c r="I87" s="11"/>
      <c r="J87" s="11"/>
      <c r="K87" s="11"/>
      <c r="L87" s="11"/>
      <c r="M87" s="15"/>
      <c r="N87" s="15"/>
      <c r="O87" s="15"/>
      <c r="P87" s="15"/>
      <c r="Q87" s="15"/>
      <c r="R87" s="15"/>
      <c r="S87" s="15"/>
      <c r="T87" s="15"/>
      <c r="U87" s="15"/>
      <c r="V87" s="15"/>
      <c r="W87" s="15"/>
      <c r="X87" s="15"/>
      <c r="Y87" s="15"/>
      <c r="Z87" s="15"/>
      <c r="AA87" s="15"/>
      <c r="AB87" s="15"/>
      <c r="AC87" s="15"/>
      <c r="AD87" s="15"/>
      <c r="AE87" s="15"/>
      <c r="AF87" s="15"/>
      <c r="AG87" s="15"/>
      <c r="AH87" s="15"/>
    </row>
    <row r="88" ht="15.75" customHeight="1">
      <c r="A88" s="15"/>
      <c r="B88" s="15"/>
      <c r="C88" s="21"/>
      <c r="D88" s="15"/>
      <c r="E88" s="8" t="s">
        <v>178</v>
      </c>
      <c r="F88" s="32" t="s">
        <v>205</v>
      </c>
      <c r="G88" s="70" t="str">
        <f>HYPERLINK("https://docs.google.com/spreadsheets/d/1BIyp_fIM8CS-pPrAAYxSv2lf-NJGcux6qzPqpTPOh1g/edit#gid=528616879", "https://docs.google.com/spreadsheets/d/1BIyp_fIM8CS-pPrAAYxSv2lf-NJGcux6qzPqpTPOh1g/edit#gid=528616879")</f>
        <v>https://docs.google.com/spreadsheets/d/1BIyp_fIM8CS-pPrAAYxSv2lf-NJGcux6qzPqpTPOh1g/edit#gid=528616879</v>
      </c>
      <c r="H88" s="32" t="s">
        <v>1997</v>
      </c>
      <c r="I88" s="11"/>
      <c r="J88" s="11"/>
      <c r="K88" s="11"/>
      <c r="L88" s="11"/>
      <c r="M88" s="15"/>
      <c r="N88" s="15"/>
      <c r="O88" s="15"/>
      <c r="P88" s="15"/>
      <c r="Q88" s="15"/>
      <c r="R88" s="15"/>
      <c r="S88" s="15"/>
      <c r="T88" s="15"/>
      <c r="U88" s="15"/>
      <c r="V88" s="15"/>
      <c r="W88" s="15"/>
      <c r="X88" s="15"/>
      <c r="Y88" s="15"/>
      <c r="Z88" s="15"/>
      <c r="AA88" s="15"/>
      <c r="AB88" s="15"/>
      <c r="AC88" s="15"/>
      <c r="AD88" s="15"/>
      <c r="AE88" s="15"/>
      <c r="AF88" s="15"/>
      <c r="AG88" s="15"/>
      <c r="AH88" s="15"/>
    </row>
    <row r="89" ht="15.75" customHeight="1">
      <c r="A89" s="15"/>
      <c r="B89" s="15"/>
      <c r="C89" s="21"/>
      <c r="D89" s="15"/>
      <c r="E89" s="8" t="s">
        <v>178</v>
      </c>
      <c r="F89" s="32" t="s">
        <v>206</v>
      </c>
      <c r="G89" s="15"/>
      <c r="H89" s="36"/>
      <c r="L89" s="11"/>
      <c r="M89" s="15"/>
      <c r="N89" s="15"/>
      <c r="O89" s="15"/>
      <c r="P89" s="15"/>
      <c r="Q89" s="15"/>
      <c r="R89" s="15"/>
      <c r="S89" s="15"/>
      <c r="T89" s="15"/>
      <c r="U89" s="15"/>
      <c r="V89" s="15"/>
      <c r="W89" s="15"/>
      <c r="X89" s="15"/>
      <c r="Y89" s="15"/>
      <c r="Z89" s="15"/>
      <c r="AA89" s="15"/>
      <c r="AB89" s="15"/>
      <c r="AC89" s="15"/>
      <c r="AD89" s="15"/>
      <c r="AE89" s="15"/>
      <c r="AF89" s="15"/>
      <c r="AG89" s="15"/>
      <c r="AH89" s="15"/>
    </row>
    <row r="90" ht="15.75" customHeight="1">
      <c r="A90" s="15"/>
      <c r="B90" s="15"/>
      <c r="C90" s="21"/>
      <c r="D90" s="15"/>
      <c r="E90" s="8" t="s">
        <v>178</v>
      </c>
      <c r="F90" s="32" t="s">
        <v>207</v>
      </c>
      <c r="G90" s="70" t="str">
        <f>HYPERLINK("https://docs.google.com/spreadsheets/d/1BIyp_fIM8CS-pPrAAYxSv2lf-NJGcux6qzPqpTPOh1g/edit#gid=647170467", "https://docs.google.com/spreadsheets/d/1BIyp_fIM8CS-pPrAAYxSv2lf-NJGcux6qzPqpTPOh1g/edit#gid=647170467")</f>
        <v>https://docs.google.com/spreadsheets/d/1BIyp_fIM8CS-pPrAAYxSv2lf-NJGcux6qzPqpTPOh1g/edit#gid=647170467</v>
      </c>
      <c r="H90" s="32" t="s">
        <v>1998</v>
      </c>
      <c r="I90" s="11"/>
      <c r="J90" s="11"/>
      <c r="K90" s="11"/>
      <c r="L90" s="11"/>
      <c r="M90" s="15"/>
      <c r="N90" s="15"/>
      <c r="O90" s="15"/>
      <c r="P90" s="15"/>
      <c r="Q90" s="15"/>
      <c r="R90" s="15"/>
      <c r="S90" s="15"/>
      <c r="T90" s="15"/>
      <c r="U90" s="15"/>
      <c r="V90" s="15"/>
      <c r="W90" s="15"/>
      <c r="X90" s="15"/>
      <c r="Y90" s="15"/>
      <c r="Z90" s="15"/>
      <c r="AA90" s="15"/>
      <c r="AB90" s="15"/>
      <c r="AC90" s="15"/>
      <c r="AD90" s="15"/>
      <c r="AE90" s="15"/>
      <c r="AF90" s="15"/>
      <c r="AG90" s="15"/>
      <c r="AH90" s="15"/>
    </row>
    <row r="91" ht="15.75" customHeight="1">
      <c r="A91" s="15"/>
      <c r="B91" s="15"/>
      <c r="C91" s="21"/>
      <c r="D91" s="15"/>
      <c r="E91" s="8" t="s">
        <v>178</v>
      </c>
      <c r="F91" s="32" t="s">
        <v>208</v>
      </c>
      <c r="G91" s="70" t="str">
        <f>HYPERLINK("https://docs.google.com/spreadsheets/d/1BIyp_fIM8CS-pPrAAYxSv2lf-NJGcux6qzPqpTPOh1g/edit#gid=107276320", "https://docs.google.com/spreadsheets/d/1BIyp_fIM8CS-pPrAAYxSv2lf-NJGcux6qzPqpTPOh1g/edit#gid=107276320")</f>
        <v>https://docs.google.com/spreadsheets/d/1BIyp_fIM8CS-pPrAAYxSv2lf-NJGcux6qzPqpTPOh1g/edit#gid=107276320</v>
      </c>
      <c r="H91" s="32" t="s">
        <v>208</v>
      </c>
      <c r="I91" s="11"/>
      <c r="J91" s="11"/>
      <c r="K91" s="11"/>
      <c r="L91" s="11"/>
      <c r="M91" s="15"/>
      <c r="N91" s="15"/>
      <c r="O91" s="15"/>
      <c r="P91" s="15"/>
      <c r="Q91" s="15"/>
      <c r="R91" s="15"/>
      <c r="S91" s="15"/>
      <c r="T91" s="15"/>
      <c r="U91" s="15"/>
      <c r="V91" s="15"/>
      <c r="W91" s="15"/>
      <c r="X91" s="15"/>
      <c r="Y91" s="15"/>
      <c r="Z91" s="15"/>
      <c r="AA91" s="15"/>
      <c r="AB91" s="15"/>
      <c r="AC91" s="15"/>
      <c r="AD91" s="15"/>
      <c r="AE91" s="15"/>
      <c r="AF91" s="15"/>
      <c r="AG91" s="15"/>
      <c r="AH91" s="15"/>
    </row>
    <row r="92" ht="15.75" customHeight="1">
      <c r="A92" s="15"/>
      <c r="B92" s="15"/>
      <c r="C92" s="21"/>
      <c r="D92" s="15"/>
      <c r="E92" s="8" t="s">
        <v>178</v>
      </c>
      <c r="F92" s="32" t="s">
        <v>182</v>
      </c>
      <c r="G92" s="70" t="str">
        <f>HYPERLINK("https://docs.google.com/spreadsheets/d/1BIyp_fIM8CS-pPrAAYxSv2lf-NJGcux6qzPqpTPOh1g/edit#gid=16919357", "https://docs.google.com/spreadsheets/d/1BIyp_fIM8CS-pPrAAYxSv2lf-NJGcux6qzPqpTPOh1g/edit#gid=16919357")</f>
        <v>https://docs.google.com/spreadsheets/d/1BIyp_fIM8CS-pPrAAYxSv2lf-NJGcux6qzPqpTPOh1g/edit#gid=16919357</v>
      </c>
      <c r="H92" s="32" t="s">
        <v>182</v>
      </c>
      <c r="I92" s="11"/>
      <c r="J92" s="11"/>
      <c r="K92" s="11"/>
      <c r="L92" s="11"/>
      <c r="M92" s="15"/>
      <c r="N92" s="15"/>
      <c r="O92" s="15"/>
      <c r="P92" s="15"/>
      <c r="Q92" s="15"/>
      <c r="R92" s="15"/>
      <c r="S92" s="15"/>
      <c r="T92" s="15"/>
      <c r="U92" s="15"/>
      <c r="V92" s="15"/>
      <c r="W92" s="15"/>
      <c r="X92" s="15"/>
      <c r="Y92" s="15"/>
      <c r="Z92" s="15"/>
      <c r="AA92" s="15"/>
      <c r="AB92" s="15"/>
      <c r="AC92" s="15"/>
      <c r="AD92" s="15"/>
      <c r="AE92" s="15"/>
      <c r="AF92" s="15"/>
      <c r="AG92" s="15"/>
      <c r="AH92" s="15"/>
    </row>
    <row r="93" ht="15.75" customHeight="1">
      <c r="A93" s="15"/>
      <c r="B93" s="15"/>
      <c r="C93" s="21"/>
      <c r="D93" s="15"/>
      <c r="E93" s="8" t="s">
        <v>178</v>
      </c>
      <c r="F93" s="32" t="s">
        <v>180</v>
      </c>
      <c r="G93" s="70" t="str">
        <f>HYPERLINK("https://docs.google.com/spreadsheets/d/1BIyp_fIM8CS-pPrAAYxSv2lf-NJGcux6qzPqpTPOh1g/edit#gid=1350729797", "https://docs.google.com/spreadsheets/d/1BIyp_fIM8CS-pPrAAYxSv2lf-NJGcux6qzPqpTPOh1g/edit#gid=1350729797")</f>
        <v>https://docs.google.com/spreadsheets/d/1BIyp_fIM8CS-pPrAAYxSv2lf-NJGcux6qzPqpTPOh1g/edit#gid=1350729797</v>
      </c>
      <c r="H93" s="32" t="s">
        <v>180</v>
      </c>
      <c r="I93" s="11"/>
      <c r="J93" s="11"/>
      <c r="K93" s="11"/>
      <c r="L93" s="11"/>
      <c r="M93" s="15"/>
      <c r="N93" s="15"/>
      <c r="O93" s="15"/>
      <c r="P93" s="15"/>
      <c r="Q93" s="15"/>
      <c r="R93" s="15"/>
      <c r="S93" s="15"/>
      <c r="T93" s="15"/>
      <c r="U93" s="15"/>
      <c r="V93" s="15"/>
      <c r="W93" s="15"/>
      <c r="X93" s="15"/>
      <c r="Y93" s="15"/>
      <c r="Z93" s="15"/>
      <c r="AA93" s="15"/>
      <c r="AB93" s="15"/>
      <c r="AC93" s="15"/>
      <c r="AD93" s="15"/>
      <c r="AE93" s="15"/>
      <c r="AF93" s="15"/>
      <c r="AG93" s="15"/>
      <c r="AH93" s="15"/>
    </row>
    <row r="94" ht="15.75" customHeight="1">
      <c r="A94" s="15"/>
      <c r="B94" s="15"/>
      <c r="C94" s="21"/>
      <c r="D94" s="15"/>
      <c r="E94" s="8" t="s">
        <v>178</v>
      </c>
      <c r="F94" s="32" t="s">
        <v>209</v>
      </c>
      <c r="G94" s="70" t="str">
        <f>HYPERLINK("https://docs.google.com/spreadsheets/d/1BIyp_fIM8CS-pPrAAYxSv2lf-NJGcux6qzPqpTPOh1g/edit#gid=788912671", "https://docs.google.com/spreadsheets/d/1BIyp_fIM8CS-pPrAAYxSv2lf-NJGcux6qzPqpTPOh1g/edit#gid=788912671")</f>
        <v>https://docs.google.com/spreadsheets/d/1BIyp_fIM8CS-pPrAAYxSv2lf-NJGcux6qzPqpTPOh1g/edit#gid=788912671</v>
      </c>
      <c r="H94" s="32" t="s">
        <v>209</v>
      </c>
      <c r="I94" s="11"/>
      <c r="J94" s="11"/>
      <c r="K94" s="11"/>
      <c r="L94" s="11"/>
      <c r="M94" s="15"/>
      <c r="N94" s="15"/>
      <c r="O94" s="15"/>
      <c r="P94" s="15"/>
      <c r="Q94" s="15"/>
      <c r="R94" s="15"/>
      <c r="S94" s="15"/>
      <c r="T94" s="15"/>
      <c r="U94" s="15"/>
      <c r="V94" s="15"/>
      <c r="W94" s="15"/>
      <c r="X94" s="15"/>
      <c r="Y94" s="15"/>
      <c r="Z94" s="15"/>
      <c r="AA94" s="15"/>
      <c r="AB94" s="15"/>
      <c r="AC94" s="15"/>
      <c r="AD94" s="15"/>
      <c r="AE94" s="15"/>
      <c r="AF94" s="15"/>
      <c r="AG94" s="15"/>
      <c r="AH94" s="15"/>
    </row>
    <row r="95" ht="15.75" customHeight="1">
      <c r="A95" s="15"/>
      <c r="B95" s="15"/>
      <c r="C95" s="21"/>
      <c r="D95" s="15"/>
      <c r="E95" s="8" t="s">
        <v>178</v>
      </c>
      <c r="F95" s="32" t="s">
        <v>210</v>
      </c>
      <c r="G95" s="70" t="str">
        <f>HYPERLINK("https://docs.google.com/spreadsheets/d/1BIyp_fIM8CS-pPrAAYxSv2lf-NJGcux6qzPqpTPOh1g/edit#gid=1836101952", "https://docs.google.com/spreadsheets/d/1BIyp_fIM8CS-pPrAAYxSv2lf-NJGcux6qzPqpTPOh1g/edit#gid=1836101952")</f>
        <v>https://docs.google.com/spreadsheets/d/1BIyp_fIM8CS-pPrAAYxSv2lf-NJGcux6qzPqpTPOh1g/edit#gid=1836101952</v>
      </c>
      <c r="H95" s="32" t="s">
        <v>210</v>
      </c>
      <c r="I95" s="11"/>
      <c r="J95" s="11"/>
      <c r="K95" s="11"/>
      <c r="L95" s="11"/>
      <c r="M95" s="15"/>
      <c r="N95" s="15"/>
      <c r="O95" s="15"/>
      <c r="P95" s="15"/>
      <c r="Q95" s="15"/>
      <c r="R95" s="15"/>
      <c r="S95" s="15"/>
      <c r="T95" s="15"/>
      <c r="U95" s="15"/>
      <c r="V95" s="15"/>
      <c r="W95" s="15"/>
      <c r="X95" s="15"/>
      <c r="Y95" s="15"/>
      <c r="Z95" s="15"/>
      <c r="AA95" s="15"/>
      <c r="AB95" s="15"/>
      <c r="AC95" s="15"/>
      <c r="AD95" s="15"/>
      <c r="AE95" s="15"/>
      <c r="AF95" s="15"/>
      <c r="AG95" s="15"/>
      <c r="AH95" s="15"/>
    </row>
    <row r="96" ht="15.75" customHeight="1">
      <c r="A96" s="15"/>
      <c r="B96" s="15"/>
      <c r="C96" s="21"/>
      <c r="D96" s="15"/>
      <c r="E96" s="8" t="s">
        <v>157</v>
      </c>
      <c r="F96" s="32" t="s">
        <v>161</v>
      </c>
      <c r="G96" s="70" t="str">
        <f>HYPERLINK("https://docs.google.com/spreadsheets/d/1BIyp_fIM8CS-pPrAAYxSv2lf-NJGcux6qzPqpTPOh1g/edit#gid=967444157", "https://docs.google.com/spreadsheets/d/1BIyp_fIM8CS-pPrAAYxSv2lf-NJGcux6qzPqpTPOh1g/edit#gid=967444157")</f>
        <v>https://docs.google.com/spreadsheets/d/1BIyp_fIM8CS-pPrAAYxSv2lf-NJGcux6qzPqpTPOh1g/edit#gid=967444157</v>
      </c>
      <c r="H96" s="32" t="s">
        <v>161</v>
      </c>
      <c r="I96" s="11"/>
      <c r="J96" s="11"/>
      <c r="K96" s="11"/>
      <c r="L96" s="11"/>
      <c r="M96" s="15"/>
      <c r="N96" s="15"/>
      <c r="O96" s="15"/>
      <c r="P96" s="15"/>
      <c r="Q96" s="15"/>
      <c r="R96" s="15"/>
      <c r="S96" s="15"/>
      <c r="T96" s="15"/>
      <c r="U96" s="15"/>
      <c r="V96" s="15"/>
      <c r="W96" s="15"/>
      <c r="X96" s="15"/>
      <c r="Y96" s="15"/>
      <c r="Z96" s="15"/>
      <c r="AA96" s="15"/>
      <c r="AB96" s="15"/>
      <c r="AC96" s="15"/>
      <c r="AD96" s="15"/>
      <c r="AE96" s="15"/>
      <c r="AF96" s="15"/>
      <c r="AG96" s="15"/>
      <c r="AH96" s="15"/>
    </row>
    <row r="97" ht="15.75" customHeight="1">
      <c r="A97" s="15"/>
      <c r="B97" s="15"/>
      <c r="C97" s="21"/>
      <c r="D97" s="15"/>
      <c r="E97" s="8" t="s">
        <v>157</v>
      </c>
      <c r="F97" s="32" t="s">
        <v>158</v>
      </c>
      <c r="G97" s="70" t="str">
        <f>HYPERLINK("https://docs.google.com/spreadsheets/d/1BIyp_fIM8CS-pPrAAYxSv2lf-NJGcux6qzPqpTPOh1g/edit#gid=1533829627", "https://docs.google.com/spreadsheets/d/1BIyp_fIM8CS-pPrAAYxSv2lf-NJGcux6qzPqpTPOh1g/edit#gid=1533829627")</f>
        <v>https://docs.google.com/spreadsheets/d/1BIyp_fIM8CS-pPrAAYxSv2lf-NJGcux6qzPqpTPOh1g/edit#gid=1533829627</v>
      </c>
      <c r="H97" s="32" t="s">
        <v>158</v>
      </c>
      <c r="I97" s="11"/>
      <c r="J97" s="11"/>
      <c r="K97" s="11"/>
      <c r="L97" s="11"/>
      <c r="M97" s="15"/>
      <c r="N97" s="15"/>
      <c r="O97" s="15"/>
      <c r="P97" s="15"/>
      <c r="Q97" s="15"/>
      <c r="R97" s="15"/>
      <c r="S97" s="15"/>
      <c r="T97" s="15"/>
      <c r="U97" s="15"/>
      <c r="V97" s="15"/>
      <c r="W97" s="15"/>
      <c r="X97" s="15"/>
      <c r="Y97" s="15"/>
      <c r="Z97" s="15"/>
      <c r="AA97" s="15"/>
      <c r="AB97" s="15"/>
      <c r="AC97" s="15"/>
      <c r="AD97" s="15"/>
      <c r="AE97" s="15"/>
      <c r="AF97" s="15"/>
      <c r="AG97" s="15"/>
      <c r="AH97" s="15"/>
    </row>
    <row r="98" ht="15.75" customHeight="1">
      <c r="A98" s="15"/>
      <c r="B98" s="15"/>
      <c r="C98" s="21"/>
      <c r="D98" s="15"/>
      <c r="E98" s="8" t="s">
        <v>157</v>
      </c>
      <c r="F98" s="32" t="s">
        <v>196</v>
      </c>
      <c r="G98" s="70" t="str">
        <f>HYPERLINK("https://docs.google.com/spreadsheets/d/1BIyp_fIM8CS-pPrAAYxSv2lf-NJGcux6qzPqpTPOh1g/edit#gid=760802026", "https://docs.google.com/spreadsheets/d/1BIyp_fIM8CS-pPrAAYxSv2lf-NJGcux6qzPqpTPOh1g/edit#gid=760802026")</f>
        <v>https://docs.google.com/spreadsheets/d/1BIyp_fIM8CS-pPrAAYxSv2lf-NJGcux6qzPqpTPOh1g/edit#gid=760802026</v>
      </c>
      <c r="H98" s="32" t="s">
        <v>196</v>
      </c>
      <c r="I98" s="11"/>
      <c r="J98" s="11"/>
      <c r="K98" s="11"/>
      <c r="L98" s="11"/>
      <c r="M98" s="15"/>
      <c r="N98" s="15"/>
      <c r="O98" s="15"/>
      <c r="P98" s="15"/>
      <c r="Q98" s="15"/>
      <c r="R98" s="15"/>
      <c r="S98" s="15"/>
      <c r="T98" s="15"/>
      <c r="U98" s="15"/>
      <c r="V98" s="15"/>
      <c r="W98" s="15"/>
      <c r="X98" s="15"/>
      <c r="Y98" s="15"/>
      <c r="Z98" s="15"/>
      <c r="AA98" s="15"/>
      <c r="AB98" s="15"/>
      <c r="AC98" s="15"/>
      <c r="AD98" s="15"/>
      <c r="AE98" s="15"/>
      <c r="AF98" s="15"/>
      <c r="AG98" s="15"/>
      <c r="AH98" s="15"/>
    </row>
    <row r="99" ht="15.75" customHeight="1">
      <c r="A99" s="15"/>
      <c r="B99" s="15"/>
      <c r="C99" s="21"/>
      <c r="D99" s="15"/>
      <c r="E99" s="8" t="s">
        <v>172</v>
      </c>
      <c r="F99" s="32" t="s">
        <v>203</v>
      </c>
      <c r="G99" s="70" t="str">
        <f>HYPERLINK("https://docs.google.com/spreadsheets/d/1BIyp_fIM8CS-pPrAAYxSv2lf-NJGcux6qzPqpTPOh1g/edit#gid=2050939008", "https://docs.google.com/spreadsheets/d/1BIyp_fIM8CS-pPrAAYxSv2lf-NJGcux6qzPqpTPOh1g/edit#gid=2050939008")</f>
        <v>https://docs.google.com/spreadsheets/d/1BIyp_fIM8CS-pPrAAYxSv2lf-NJGcux6qzPqpTPOh1g/edit#gid=2050939008</v>
      </c>
      <c r="H99" s="32" t="s">
        <v>1999</v>
      </c>
      <c r="I99" s="11"/>
      <c r="J99" s="11"/>
      <c r="K99" s="11"/>
      <c r="L99" s="11"/>
      <c r="M99" s="15"/>
      <c r="N99" s="15"/>
      <c r="O99" s="15"/>
      <c r="P99" s="15"/>
      <c r="Q99" s="15"/>
      <c r="R99" s="15"/>
      <c r="S99" s="15"/>
      <c r="T99" s="15"/>
      <c r="U99" s="15"/>
      <c r="V99" s="15"/>
      <c r="W99" s="15"/>
      <c r="X99" s="15"/>
      <c r="Y99" s="15"/>
      <c r="Z99" s="15"/>
      <c r="AA99" s="15"/>
      <c r="AB99" s="15"/>
      <c r="AC99" s="15"/>
      <c r="AD99" s="15"/>
      <c r="AE99" s="15"/>
      <c r="AF99" s="15"/>
      <c r="AG99" s="15"/>
      <c r="AH99" s="15"/>
    </row>
    <row r="100" ht="15.75" customHeight="1">
      <c r="A100" s="15"/>
      <c r="B100" s="15"/>
      <c r="C100" s="21"/>
      <c r="D100" s="15"/>
      <c r="E100" s="8" t="s">
        <v>172</v>
      </c>
      <c r="F100" s="32" t="s">
        <v>204</v>
      </c>
      <c r="G100" s="70" t="str">
        <f>HYPERLINK("https://docs.google.com/spreadsheets/d/1BIyp_fIM8CS-pPrAAYxSv2lf-NJGcux6qzPqpTPOh1g/edit#gid=827734223", "https://docs.google.com/spreadsheets/d/1BIyp_fIM8CS-pPrAAYxSv2lf-NJGcux6qzPqpTPOh1g/edit#gid=827734223")</f>
        <v>https://docs.google.com/spreadsheets/d/1BIyp_fIM8CS-pPrAAYxSv2lf-NJGcux6qzPqpTPOh1g/edit#gid=827734223</v>
      </c>
      <c r="H100" s="32" t="s">
        <v>2000</v>
      </c>
      <c r="I100" s="11"/>
      <c r="J100" s="11"/>
      <c r="K100" s="11"/>
      <c r="L100" s="11"/>
      <c r="M100" s="15"/>
      <c r="N100" s="15"/>
      <c r="O100" s="15"/>
      <c r="P100" s="15"/>
      <c r="Q100" s="15"/>
      <c r="R100" s="15"/>
      <c r="S100" s="15"/>
      <c r="T100" s="15"/>
      <c r="U100" s="15"/>
      <c r="V100" s="15"/>
      <c r="W100" s="15"/>
      <c r="X100" s="15"/>
      <c r="Y100" s="15"/>
      <c r="Z100" s="15"/>
      <c r="AA100" s="15"/>
      <c r="AB100" s="15"/>
      <c r="AC100" s="15"/>
      <c r="AD100" s="15"/>
      <c r="AE100" s="15"/>
      <c r="AF100" s="15"/>
      <c r="AG100" s="15"/>
      <c r="AH100" s="15"/>
    </row>
    <row r="101" ht="15.75" customHeight="1">
      <c r="A101" s="15"/>
      <c r="B101" s="15"/>
      <c r="C101" s="21"/>
      <c r="D101" s="15"/>
      <c r="E101" s="8" t="s">
        <v>178</v>
      </c>
      <c r="F101" s="32" t="s">
        <v>207</v>
      </c>
      <c r="G101" s="70" t="str">
        <f>HYPERLINK("https://docs.google.com/spreadsheets/d/1BIyp_fIM8CS-pPrAAYxSv2lf-NJGcux6qzPqpTPOh1g/edit#gid=636922162", "https://docs.google.com/spreadsheets/d/1BIyp_fIM8CS-pPrAAYxSv2lf-NJGcux6qzPqpTPOh1g/edit#gid=636922162")</f>
        <v>https://docs.google.com/spreadsheets/d/1BIyp_fIM8CS-pPrAAYxSv2lf-NJGcux6qzPqpTPOh1g/edit#gid=636922162</v>
      </c>
      <c r="H101" s="32" t="s">
        <v>2001</v>
      </c>
      <c r="I101" s="11"/>
      <c r="J101" s="11"/>
      <c r="K101" s="11"/>
      <c r="L101" s="11"/>
      <c r="M101" s="15"/>
      <c r="N101" s="15"/>
      <c r="O101" s="15"/>
      <c r="P101" s="15"/>
      <c r="Q101" s="15"/>
      <c r="R101" s="15"/>
      <c r="S101" s="15"/>
      <c r="T101" s="15"/>
      <c r="U101" s="15"/>
      <c r="V101" s="15"/>
      <c r="W101" s="15"/>
      <c r="X101" s="15"/>
      <c r="Y101" s="15"/>
      <c r="Z101" s="15"/>
      <c r="AA101" s="15"/>
      <c r="AB101" s="15"/>
      <c r="AC101" s="15"/>
      <c r="AD101" s="15"/>
      <c r="AE101" s="15"/>
      <c r="AF101" s="15"/>
      <c r="AG101" s="15"/>
      <c r="AH101" s="15"/>
    </row>
    <row r="102" ht="15.75" customHeight="1">
      <c r="A102" s="15"/>
      <c r="B102" s="15"/>
      <c r="C102" s="21"/>
      <c r="D102" s="15"/>
      <c r="E102" s="8" t="s">
        <v>178</v>
      </c>
      <c r="F102" s="32" t="s">
        <v>208</v>
      </c>
      <c r="G102" s="70" t="str">
        <f>HYPERLINK("https://docs.google.com/spreadsheets/d/1BIyp_fIM8CS-pPrAAYxSv2lf-NJGcux6qzPqpTPOh1g/edit#gid=1789970360", "https://docs.google.com/spreadsheets/d/1BIyp_fIM8CS-pPrAAYxSv2lf-NJGcux6qzPqpTPOh1g/edit#gid=1789970360")</f>
        <v>https://docs.google.com/spreadsheets/d/1BIyp_fIM8CS-pPrAAYxSv2lf-NJGcux6qzPqpTPOh1g/edit#gid=1789970360</v>
      </c>
      <c r="H102" s="32" t="s">
        <v>2002</v>
      </c>
      <c r="I102" s="11"/>
      <c r="J102" s="11"/>
      <c r="K102" s="11"/>
      <c r="L102" s="11"/>
      <c r="M102" s="15"/>
      <c r="N102" s="15"/>
      <c r="O102" s="15"/>
      <c r="P102" s="15"/>
      <c r="Q102" s="15"/>
      <c r="R102" s="15"/>
      <c r="S102" s="15"/>
      <c r="T102" s="15"/>
      <c r="U102" s="15"/>
      <c r="V102" s="15"/>
      <c r="W102" s="15"/>
      <c r="X102" s="15"/>
      <c r="Y102" s="15"/>
      <c r="Z102" s="15"/>
      <c r="AA102" s="15"/>
      <c r="AB102" s="15"/>
      <c r="AC102" s="15"/>
      <c r="AD102" s="15"/>
      <c r="AE102" s="15"/>
      <c r="AF102" s="15"/>
      <c r="AG102" s="15"/>
      <c r="AH102" s="15"/>
    </row>
    <row r="103" ht="15.75" customHeight="1">
      <c r="A103" s="15"/>
      <c r="B103" s="15"/>
      <c r="C103" s="21"/>
      <c r="D103" s="15"/>
      <c r="E103" s="8" t="s">
        <v>178</v>
      </c>
      <c r="F103" s="32" t="s">
        <v>182</v>
      </c>
      <c r="G103" s="70" t="str">
        <f>HYPERLINK("https://docs.google.com/spreadsheets/d/1BIyp_fIM8CS-pPrAAYxSv2lf-NJGcux6qzPqpTPOh1g/edit#gid=49301033", "https://docs.google.com/spreadsheets/d/1BIyp_fIM8CS-pPrAAYxSv2lf-NJGcux6qzPqpTPOh1g/edit#gid=49301033")</f>
        <v>https://docs.google.com/spreadsheets/d/1BIyp_fIM8CS-pPrAAYxSv2lf-NJGcux6qzPqpTPOh1g/edit#gid=49301033</v>
      </c>
      <c r="H103" s="32" t="s">
        <v>2003</v>
      </c>
      <c r="I103" s="11"/>
      <c r="J103" s="11"/>
      <c r="K103" s="11"/>
      <c r="L103" s="11"/>
      <c r="M103" s="15"/>
      <c r="N103" s="15"/>
      <c r="O103" s="15"/>
      <c r="P103" s="15"/>
      <c r="Q103" s="15"/>
      <c r="R103" s="15"/>
      <c r="S103" s="15"/>
      <c r="T103" s="15"/>
      <c r="U103" s="15"/>
      <c r="V103" s="15"/>
      <c r="W103" s="15"/>
      <c r="X103" s="15"/>
      <c r="Y103" s="15"/>
      <c r="Z103" s="15"/>
      <c r="AA103" s="15"/>
      <c r="AB103" s="15"/>
      <c r="AC103" s="15"/>
      <c r="AD103" s="15"/>
      <c r="AE103" s="15"/>
      <c r="AF103" s="15"/>
      <c r="AG103" s="15"/>
      <c r="AH103" s="15"/>
    </row>
    <row r="104" ht="15.75" customHeight="1">
      <c r="A104" s="15"/>
      <c r="B104" s="15"/>
      <c r="C104" s="21"/>
      <c r="D104" s="15"/>
      <c r="E104" s="8" t="s">
        <v>178</v>
      </c>
      <c r="F104" s="32" t="s">
        <v>180</v>
      </c>
      <c r="G104" s="70" t="str">
        <f>HYPERLINK("https://docs.google.com/spreadsheets/d/1BIyp_fIM8CS-pPrAAYxSv2lf-NJGcux6qzPqpTPOh1g/edit#gid=1339019720", "https://docs.google.com/spreadsheets/d/1BIyp_fIM8CS-pPrAAYxSv2lf-NJGcux6qzPqpTPOh1g/edit#gid=1339019720")</f>
        <v>https://docs.google.com/spreadsheets/d/1BIyp_fIM8CS-pPrAAYxSv2lf-NJGcux6qzPqpTPOh1g/edit#gid=1339019720</v>
      </c>
      <c r="H104" s="32" t="s">
        <v>2009</v>
      </c>
      <c r="I104" s="11"/>
      <c r="J104" s="11"/>
      <c r="K104" s="11"/>
      <c r="L104" s="11"/>
      <c r="M104" s="15"/>
      <c r="N104" s="15"/>
      <c r="O104" s="15"/>
      <c r="P104" s="15"/>
      <c r="Q104" s="15"/>
      <c r="R104" s="15"/>
      <c r="S104" s="15"/>
      <c r="T104" s="15"/>
      <c r="U104" s="15"/>
      <c r="V104" s="15"/>
      <c r="W104" s="15"/>
      <c r="X104" s="15"/>
      <c r="Y104" s="15"/>
      <c r="Z104" s="15"/>
      <c r="AA104" s="15"/>
      <c r="AB104" s="15"/>
      <c r="AC104" s="15"/>
      <c r="AD104" s="15"/>
      <c r="AE104" s="15"/>
      <c r="AF104" s="15"/>
      <c r="AG104" s="15"/>
      <c r="AH104" s="15"/>
    </row>
    <row r="105" ht="15.75" customHeight="1">
      <c r="A105" s="15"/>
      <c r="B105" s="15"/>
      <c r="C105" s="21"/>
      <c r="D105" s="15"/>
      <c r="E105" s="8" t="s">
        <v>178</v>
      </c>
      <c r="F105" s="32" t="s">
        <v>209</v>
      </c>
      <c r="G105" s="70" t="str">
        <f>HYPERLINK("https://docs.google.com/spreadsheets/d/1BIyp_fIM8CS-pPrAAYxSv2lf-NJGcux6qzPqpTPOh1g/edit#gid=1367874446", "https://docs.google.com/spreadsheets/d/1BIyp_fIM8CS-pPrAAYxSv2lf-NJGcux6qzPqpTPOh1g/edit#gid=1367874446")</f>
        <v>https://docs.google.com/spreadsheets/d/1BIyp_fIM8CS-pPrAAYxSv2lf-NJGcux6qzPqpTPOh1g/edit#gid=1367874446</v>
      </c>
      <c r="H105" s="32" t="s">
        <v>1986</v>
      </c>
      <c r="I105" s="11"/>
      <c r="J105" s="11"/>
      <c r="K105" s="11"/>
      <c r="L105" s="11"/>
      <c r="M105" s="15"/>
      <c r="N105" s="15"/>
      <c r="O105" s="15"/>
      <c r="P105" s="15"/>
      <c r="Q105" s="15"/>
      <c r="R105" s="15"/>
      <c r="S105" s="15"/>
      <c r="T105" s="15"/>
      <c r="U105" s="15"/>
      <c r="V105" s="15"/>
      <c r="W105" s="15"/>
      <c r="X105" s="15"/>
      <c r="Y105" s="15"/>
      <c r="Z105" s="15"/>
      <c r="AA105" s="15"/>
      <c r="AB105" s="15"/>
      <c r="AC105" s="15"/>
      <c r="AD105" s="15"/>
      <c r="AE105" s="15"/>
      <c r="AF105" s="15"/>
      <c r="AG105" s="15"/>
      <c r="AH105" s="15"/>
    </row>
    <row r="106" ht="15.75" customHeight="1">
      <c r="A106" s="15"/>
      <c r="B106" s="15"/>
      <c r="C106" s="21"/>
      <c r="D106" s="15"/>
      <c r="E106" s="8" t="s">
        <v>178</v>
      </c>
      <c r="F106" s="32" t="s">
        <v>210</v>
      </c>
      <c r="G106" s="70" t="str">
        <f>HYPERLINK("https://docs.google.com/spreadsheets/d/1BIyp_fIM8CS-pPrAAYxSv2lf-NJGcux6qzPqpTPOh1g/edit#gid=1989325558", "https://docs.google.com/spreadsheets/d/1BIyp_fIM8CS-pPrAAYxSv2lf-NJGcux6qzPqpTPOh1g/edit#gid=1989325558")</f>
        <v>https://docs.google.com/spreadsheets/d/1BIyp_fIM8CS-pPrAAYxSv2lf-NJGcux6qzPqpTPOh1g/edit#gid=1989325558</v>
      </c>
      <c r="H106" s="32" t="s">
        <v>1987</v>
      </c>
      <c r="I106" s="11"/>
      <c r="J106" s="11"/>
      <c r="K106" s="11"/>
      <c r="L106" s="11"/>
      <c r="M106" s="15"/>
      <c r="N106" s="15"/>
      <c r="O106" s="15"/>
      <c r="P106" s="15"/>
      <c r="Q106" s="15"/>
      <c r="R106" s="15"/>
      <c r="S106" s="15"/>
      <c r="T106" s="15"/>
      <c r="U106" s="15"/>
      <c r="V106" s="15"/>
      <c r="W106" s="15"/>
      <c r="X106" s="15"/>
      <c r="Y106" s="15"/>
      <c r="Z106" s="15"/>
      <c r="AA106" s="15"/>
      <c r="AB106" s="15"/>
      <c r="AC106" s="15"/>
      <c r="AD106" s="15"/>
      <c r="AE106" s="15"/>
      <c r="AF106" s="15"/>
      <c r="AG106" s="15"/>
      <c r="AH106" s="15"/>
    </row>
    <row r="107" ht="15.75" customHeight="1">
      <c r="A107" s="15"/>
      <c r="B107" s="15"/>
      <c r="C107" s="21"/>
      <c r="D107" s="15"/>
      <c r="E107" s="8" t="s">
        <v>86</v>
      </c>
      <c r="F107" s="32" t="s">
        <v>90</v>
      </c>
      <c r="G107" s="70" t="str">
        <f>HYPERLINK("https://docs.google.com/spreadsheets/d/1BIyp_fIM8CS-pPrAAYxSv2lf-NJGcux6qzPqpTPOh1g/edit#gid=523325080", "https://docs.google.com/spreadsheets/d/1BIyp_fIM8CS-pPrAAYxSv2lf-NJGcux6qzPqpTPOh1g/edit#gid=523325080")</f>
        <v>https://docs.google.com/spreadsheets/d/1BIyp_fIM8CS-pPrAAYxSv2lf-NJGcux6qzPqpTPOh1g/edit#gid=523325080</v>
      </c>
      <c r="H107" s="32" t="s">
        <v>90</v>
      </c>
      <c r="I107" s="11"/>
      <c r="J107" s="11"/>
      <c r="K107" s="11"/>
      <c r="L107" s="11"/>
      <c r="M107" s="15"/>
      <c r="N107" s="15"/>
      <c r="O107" s="15"/>
      <c r="P107" s="15"/>
      <c r="Q107" s="15"/>
      <c r="R107" s="15"/>
      <c r="S107" s="15"/>
      <c r="T107" s="15"/>
      <c r="U107" s="15"/>
      <c r="V107" s="15"/>
      <c r="W107" s="15"/>
      <c r="X107" s="15"/>
      <c r="Y107" s="15"/>
      <c r="Z107" s="15"/>
      <c r="AA107" s="15"/>
      <c r="AB107" s="15"/>
      <c r="AC107" s="15"/>
      <c r="AD107" s="15"/>
      <c r="AE107" s="15"/>
      <c r="AF107" s="15"/>
      <c r="AG107" s="15"/>
      <c r="AH107" s="15"/>
    </row>
    <row r="108" ht="15.75" customHeight="1">
      <c r="A108" s="15"/>
      <c r="B108" s="15"/>
      <c r="C108" s="21"/>
      <c r="D108" s="15"/>
      <c r="E108" s="8" t="s">
        <v>86</v>
      </c>
      <c r="F108" s="32" t="s">
        <v>91</v>
      </c>
      <c r="G108" s="70" t="str">
        <f>HYPERLINK("https://docs.google.com/spreadsheets/d/1BIyp_fIM8CS-pPrAAYxSv2lf-NJGcux6qzPqpTPOh1g/edit#gid=897494020", "https://docs.google.com/spreadsheets/d/1BIyp_fIM8CS-pPrAAYxSv2lf-NJGcux6qzPqpTPOh1g/edit#gid=897494020")</f>
        <v>https://docs.google.com/spreadsheets/d/1BIyp_fIM8CS-pPrAAYxSv2lf-NJGcux6qzPqpTPOh1g/edit#gid=897494020</v>
      </c>
      <c r="H108" s="32" t="s">
        <v>91</v>
      </c>
      <c r="I108" s="11"/>
      <c r="J108" s="11"/>
      <c r="K108" s="11"/>
      <c r="L108" s="11"/>
      <c r="M108" s="15"/>
      <c r="N108" s="15"/>
      <c r="O108" s="15"/>
      <c r="P108" s="15"/>
      <c r="Q108" s="15"/>
      <c r="R108" s="15"/>
      <c r="S108" s="15"/>
      <c r="T108" s="15"/>
      <c r="U108" s="15"/>
      <c r="V108" s="15"/>
      <c r="W108" s="15"/>
      <c r="X108" s="15"/>
      <c r="Y108" s="15"/>
      <c r="Z108" s="15"/>
      <c r="AA108" s="15"/>
      <c r="AB108" s="15"/>
      <c r="AC108" s="15"/>
      <c r="AD108" s="15"/>
      <c r="AE108" s="15"/>
      <c r="AF108" s="15"/>
      <c r="AG108" s="15"/>
      <c r="AH108" s="15"/>
    </row>
    <row r="109" ht="15.75" customHeight="1">
      <c r="A109" s="15"/>
      <c r="B109" s="15"/>
      <c r="C109" s="21"/>
      <c r="D109" s="15"/>
      <c r="E109" s="8" t="s">
        <v>88</v>
      </c>
      <c r="F109" s="32" t="s">
        <v>95</v>
      </c>
      <c r="G109" s="70" t="str">
        <f>HYPERLINK("https://docs.google.com/spreadsheets/d/1BIyp_fIM8CS-pPrAAYxSv2lf-NJGcux6qzPqpTPOh1g/edit#gid=1035334777", "https://docs.google.com/spreadsheets/d/1BIyp_fIM8CS-pPrAAYxSv2lf-NJGcux6qzPqpTPOh1g/edit#gid=1035334777")</f>
        <v>https://docs.google.com/spreadsheets/d/1BIyp_fIM8CS-pPrAAYxSv2lf-NJGcux6qzPqpTPOh1g/edit#gid=1035334777</v>
      </c>
      <c r="H109" s="32" t="s">
        <v>95</v>
      </c>
      <c r="I109" s="11"/>
      <c r="J109" s="11"/>
      <c r="K109" s="11"/>
      <c r="L109" s="11"/>
      <c r="M109" s="15"/>
      <c r="N109" s="15"/>
      <c r="O109" s="15"/>
      <c r="P109" s="15"/>
      <c r="Q109" s="15"/>
      <c r="R109" s="15"/>
      <c r="S109" s="15"/>
      <c r="T109" s="15"/>
      <c r="U109" s="15"/>
      <c r="V109" s="15"/>
      <c r="W109" s="15"/>
      <c r="X109" s="15"/>
      <c r="Y109" s="15"/>
      <c r="Z109" s="15"/>
      <c r="AA109" s="15"/>
      <c r="AB109" s="15"/>
      <c r="AC109" s="15"/>
      <c r="AD109" s="15"/>
      <c r="AE109" s="15"/>
      <c r="AF109" s="15"/>
      <c r="AG109" s="15"/>
      <c r="AH109" s="15"/>
    </row>
    <row r="110" ht="15.75" customHeight="1">
      <c r="A110" s="15"/>
      <c r="B110" s="15"/>
      <c r="C110" s="21"/>
      <c r="D110" s="15"/>
      <c r="E110" s="8" t="s">
        <v>88</v>
      </c>
      <c r="F110" s="32" t="s">
        <v>96</v>
      </c>
      <c r="G110" s="70" t="str">
        <f>HYPERLINK("https://docs.google.com/spreadsheets/d/1BIyp_fIM8CS-pPrAAYxSv2lf-NJGcux6qzPqpTPOh1g/edit#gid=1948145395", "https://docs.google.com/spreadsheets/d/1BIyp_fIM8CS-pPrAAYxSv2lf-NJGcux6qzPqpTPOh1g/edit#gid=1948145395")</f>
        <v>https://docs.google.com/spreadsheets/d/1BIyp_fIM8CS-pPrAAYxSv2lf-NJGcux6qzPqpTPOh1g/edit#gid=1948145395</v>
      </c>
      <c r="H110" s="32" t="s">
        <v>96</v>
      </c>
      <c r="I110" s="11"/>
      <c r="J110" s="11"/>
      <c r="K110" s="11"/>
      <c r="L110" s="11"/>
      <c r="M110" s="15"/>
      <c r="N110" s="15"/>
      <c r="O110" s="15"/>
      <c r="P110" s="15"/>
      <c r="Q110" s="15"/>
      <c r="R110" s="15"/>
      <c r="S110" s="15"/>
      <c r="T110" s="15"/>
      <c r="U110" s="15"/>
      <c r="V110" s="15"/>
      <c r="W110" s="15"/>
      <c r="X110" s="15"/>
      <c r="Y110" s="15"/>
      <c r="Z110" s="15"/>
      <c r="AA110" s="15"/>
      <c r="AB110" s="15"/>
      <c r="AC110" s="15"/>
      <c r="AD110" s="15"/>
      <c r="AE110" s="15"/>
      <c r="AF110" s="15"/>
      <c r="AG110" s="15"/>
      <c r="AH110" s="15"/>
    </row>
    <row r="111" ht="15.75" customHeight="1">
      <c r="A111" s="15"/>
      <c r="B111" s="15"/>
      <c r="C111" s="21"/>
      <c r="D111" s="15"/>
      <c r="E111" s="15"/>
      <c r="F111" s="15"/>
      <c r="G111" s="15"/>
      <c r="H111" s="15"/>
      <c r="I111" s="11"/>
      <c r="J111" s="11"/>
      <c r="K111" s="11"/>
      <c r="L111" s="11"/>
      <c r="M111" s="15"/>
      <c r="N111" s="15"/>
      <c r="O111" s="15"/>
      <c r="P111" s="15"/>
      <c r="Q111" s="15"/>
      <c r="R111" s="15"/>
      <c r="S111" s="15"/>
      <c r="T111" s="15"/>
      <c r="U111" s="15"/>
      <c r="V111" s="15"/>
      <c r="W111" s="15"/>
      <c r="X111" s="15"/>
      <c r="Y111" s="15"/>
      <c r="Z111" s="15"/>
      <c r="AA111" s="15"/>
      <c r="AB111" s="15"/>
      <c r="AC111" s="15"/>
      <c r="AD111" s="15"/>
      <c r="AE111" s="15"/>
      <c r="AF111" s="15"/>
      <c r="AG111" s="15"/>
      <c r="AH111" s="15"/>
    </row>
    <row r="112" ht="15.75" customHeight="1">
      <c r="A112" s="15"/>
      <c r="B112" s="32" t="s">
        <v>2014</v>
      </c>
      <c r="C112" s="66" t="s">
        <v>2015</v>
      </c>
      <c r="D112" s="32" t="s">
        <v>20</v>
      </c>
      <c r="E112" s="32" t="s">
        <v>89</v>
      </c>
      <c r="F112" s="32" t="s">
        <v>291</v>
      </c>
      <c r="G112" s="15"/>
      <c r="H112" s="15"/>
      <c r="I112" s="11"/>
      <c r="J112" s="11"/>
      <c r="K112" s="11"/>
      <c r="L112" s="11"/>
      <c r="M112" s="15"/>
      <c r="N112" s="15"/>
      <c r="O112" s="15"/>
      <c r="P112" s="15"/>
      <c r="Q112" s="15"/>
      <c r="R112" s="15"/>
      <c r="S112" s="15"/>
      <c r="T112" s="15"/>
      <c r="U112" s="15"/>
      <c r="V112" s="15"/>
      <c r="W112" s="15"/>
      <c r="X112" s="15"/>
      <c r="Y112" s="15"/>
      <c r="Z112" s="15"/>
      <c r="AA112" s="15"/>
      <c r="AB112" s="15"/>
      <c r="AC112" s="15"/>
      <c r="AD112" s="15"/>
      <c r="AE112" s="15"/>
      <c r="AF112" s="15"/>
      <c r="AG112" s="15"/>
      <c r="AH112" s="15"/>
    </row>
    <row r="113" ht="15.75" customHeight="1">
      <c r="A113" s="15"/>
      <c r="B113" s="32" t="s">
        <v>2016</v>
      </c>
      <c r="C113" s="206" t="s">
        <v>2017</v>
      </c>
      <c r="D113" s="15"/>
      <c r="E113" s="32" t="s">
        <v>178</v>
      </c>
      <c r="F113" s="32" t="s">
        <v>201</v>
      </c>
      <c r="G113" s="70" t="str">
        <f>HYPERLINK("https://docs.google.com/spreadsheets/d/1iFIywCDqHWKhd1QlBzQ0g5yZiR4B2MmoSHbMJsFiCYM/edit#gid=1147537564", "https://docs.google.com/spreadsheets/d/1iFIywCDqHWKhd1QlBzQ0g5yZiR4B2MmoSHbMJsFiCYM/edit#gid=1147537564")</f>
        <v>https://docs.google.com/spreadsheets/d/1iFIywCDqHWKhd1QlBzQ0g5yZiR4B2MmoSHbMJsFiCYM/edit#gid=1147537564</v>
      </c>
      <c r="H113" s="32" t="s">
        <v>201</v>
      </c>
      <c r="I113" s="11"/>
      <c r="J113" s="11"/>
      <c r="K113" s="11"/>
      <c r="L113" s="11"/>
      <c r="M113" s="15"/>
      <c r="N113" s="15"/>
      <c r="O113" s="15"/>
      <c r="P113" s="15"/>
      <c r="Q113" s="15"/>
      <c r="R113" s="15"/>
      <c r="S113" s="15"/>
      <c r="T113" s="15"/>
      <c r="U113" s="15"/>
      <c r="V113" s="15"/>
      <c r="W113" s="15"/>
      <c r="X113" s="15"/>
      <c r="Y113" s="15"/>
      <c r="Z113" s="15"/>
      <c r="AA113" s="15"/>
      <c r="AB113" s="15"/>
      <c r="AC113" s="15"/>
      <c r="AD113" s="15"/>
      <c r="AE113" s="15"/>
      <c r="AF113" s="15"/>
      <c r="AG113" s="15"/>
      <c r="AH113" s="15"/>
    </row>
    <row r="114" ht="15.75" customHeight="1">
      <c r="A114" s="15"/>
      <c r="B114" s="15"/>
      <c r="C114" s="21"/>
      <c r="D114" s="15"/>
      <c r="E114" s="32" t="s">
        <v>178</v>
      </c>
      <c r="F114" s="32" t="s">
        <v>202</v>
      </c>
      <c r="G114" s="70" t="str">
        <f>HYPERLINK("https://docs.google.com/spreadsheets/d/1iFIywCDqHWKhd1QlBzQ0g5yZiR4B2MmoSHbMJsFiCYM/edit#gid=1891731604", "https://docs.google.com/spreadsheets/d/1iFIywCDqHWKhd1QlBzQ0g5yZiR4B2MmoSHbMJsFiCYM/edit#gid=1891731604")</f>
        <v>https://docs.google.com/spreadsheets/d/1iFIywCDqHWKhd1QlBzQ0g5yZiR4B2MmoSHbMJsFiCYM/edit#gid=1891731604</v>
      </c>
      <c r="H114" s="32" t="s">
        <v>202</v>
      </c>
      <c r="I114" s="11"/>
      <c r="J114" s="11"/>
      <c r="K114" s="11"/>
      <c r="L114" s="11"/>
      <c r="M114" s="15"/>
      <c r="N114" s="15"/>
      <c r="O114" s="15"/>
      <c r="P114" s="15"/>
      <c r="Q114" s="15"/>
      <c r="R114" s="15"/>
      <c r="S114" s="15"/>
      <c r="T114" s="15"/>
      <c r="U114" s="15"/>
      <c r="V114" s="15"/>
      <c r="W114" s="15"/>
      <c r="X114" s="15"/>
      <c r="Y114" s="15"/>
      <c r="Z114" s="15"/>
      <c r="AA114" s="15"/>
      <c r="AB114" s="15"/>
      <c r="AC114" s="15"/>
      <c r="AD114" s="15"/>
      <c r="AE114" s="15"/>
      <c r="AF114" s="15"/>
      <c r="AG114" s="15"/>
      <c r="AH114" s="15"/>
    </row>
    <row r="115" ht="15.75" customHeight="1">
      <c r="A115" s="15"/>
      <c r="B115" s="15"/>
      <c r="C115" s="21"/>
      <c r="D115" s="15"/>
      <c r="E115" s="32" t="s">
        <v>21</v>
      </c>
      <c r="F115" s="32" t="s">
        <v>51</v>
      </c>
      <c r="G115" s="70" t="str">
        <f>HYPERLINK("https://docs.google.com/spreadsheets/d/1iFIywCDqHWKhd1QlBzQ0g5yZiR4B2MmoSHbMJsFiCYM/edit#gid=988262588", "https://docs.google.com/spreadsheets/d/1iFIywCDqHWKhd1QlBzQ0g5yZiR4B2MmoSHbMJsFiCYM/edit#gid=988262588")</f>
        <v>https://docs.google.com/spreadsheets/d/1iFIywCDqHWKhd1QlBzQ0g5yZiR4B2MmoSHbMJsFiCYM/edit#gid=988262588</v>
      </c>
      <c r="H115" s="32" t="s">
        <v>51</v>
      </c>
      <c r="I115" s="11"/>
      <c r="J115" s="11"/>
      <c r="K115" s="11"/>
      <c r="L115" s="11"/>
      <c r="M115" s="15"/>
      <c r="N115" s="15"/>
      <c r="O115" s="15"/>
      <c r="P115" s="15"/>
      <c r="Q115" s="15"/>
      <c r="R115" s="15"/>
      <c r="S115" s="15"/>
      <c r="T115" s="15"/>
      <c r="U115" s="15"/>
      <c r="V115" s="15"/>
      <c r="W115" s="15"/>
      <c r="X115" s="15"/>
      <c r="Y115" s="15"/>
      <c r="Z115" s="15"/>
      <c r="AA115" s="15"/>
      <c r="AB115" s="15"/>
      <c r="AC115" s="15"/>
      <c r="AD115" s="15"/>
      <c r="AE115" s="15"/>
      <c r="AF115" s="15"/>
      <c r="AG115" s="15"/>
      <c r="AH115" s="15"/>
    </row>
    <row r="116" ht="15.75" customHeight="1">
      <c r="A116" s="15"/>
      <c r="B116" s="15"/>
      <c r="C116" s="21"/>
      <c r="D116" s="15"/>
      <c r="E116" s="32" t="s">
        <v>172</v>
      </c>
      <c r="F116" s="32" t="s">
        <v>203</v>
      </c>
      <c r="G116" s="70" t="str">
        <f>HYPERLINK("https://docs.google.com/spreadsheets/d/1iFIywCDqHWKhd1QlBzQ0g5yZiR4B2MmoSHbMJsFiCYM/edit#gid=204721112", "https://docs.google.com/spreadsheets/d/1iFIywCDqHWKhd1QlBzQ0g5yZiR4B2MmoSHbMJsFiCYM/edit#gid=204721112")</f>
        <v>https://docs.google.com/spreadsheets/d/1iFIywCDqHWKhd1QlBzQ0g5yZiR4B2MmoSHbMJsFiCYM/edit#gid=204721112</v>
      </c>
      <c r="H116" s="32" t="s">
        <v>203</v>
      </c>
      <c r="I116" s="11"/>
      <c r="J116" s="11"/>
      <c r="K116" s="11"/>
      <c r="L116" s="11"/>
      <c r="M116" s="15"/>
      <c r="N116" s="15"/>
      <c r="O116" s="15"/>
      <c r="P116" s="15"/>
      <c r="Q116" s="15"/>
      <c r="R116" s="15"/>
      <c r="S116" s="15"/>
      <c r="T116" s="15"/>
      <c r="U116" s="15"/>
      <c r="V116" s="15"/>
      <c r="W116" s="15"/>
      <c r="X116" s="15"/>
      <c r="Y116" s="15"/>
      <c r="Z116" s="15"/>
      <c r="AA116" s="15"/>
      <c r="AB116" s="15"/>
      <c r="AC116" s="15"/>
      <c r="AD116" s="15"/>
      <c r="AE116" s="15"/>
      <c r="AF116" s="15"/>
      <c r="AG116" s="15"/>
      <c r="AH116" s="15"/>
    </row>
    <row r="117" ht="15.75" customHeight="1">
      <c r="A117" s="15"/>
      <c r="B117" s="15"/>
      <c r="C117" s="21"/>
      <c r="D117" s="15"/>
      <c r="E117" s="32" t="s">
        <v>172</v>
      </c>
      <c r="F117" s="32" t="s">
        <v>204</v>
      </c>
      <c r="G117" s="70" t="str">
        <f>HYPERLINK("https://docs.google.com/spreadsheets/d/1iFIywCDqHWKhd1QlBzQ0g5yZiR4B2MmoSHbMJsFiCYM/edit#gid=1437801557", "https://docs.google.com/spreadsheets/d/1iFIywCDqHWKhd1QlBzQ0g5yZiR4B2MmoSHbMJsFiCYM/edit#gid=1437801557")</f>
        <v>https://docs.google.com/spreadsheets/d/1iFIywCDqHWKhd1QlBzQ0g5yZiR4B2MmoSHbMJsFiCYM/edit#gid=1437801557</v>
      </c>
      <c r="H117" s="32" t="s">
        <v>204</v>
      </c>
      <c r="I117" s="11"/>
      <c r="J117" s="11"/>
      <c r="K117" s="11"/>
      <c r="L117" s="11"/>
      <c r="M117" s="15"/>
      <c r="N117" s="15"/>
      <c r="O117" s="15"/>
      <c r="P117" s="15"/>
      <c r="Q117" s="15"/>
      <c r="R117" s="15"/>
      <c r="S117" s="15"/>
      <c r="T117" s="15"/>
      <c r="U117" s="15"/>
      <c r="V117" s="15"/>
      <c r="W117" s="15"/>
      <c r="X117" s="15"/>
      <c r="Y117" s="15"/>
      <c r="Z117" s="15"/>
      <c r="AA117" s="15"/>
      <c r="AB117" s="15"/>
      <c r="AC117" s="15"/>
      <c r="AD117" s="15"/>
      <c r="AE117" s="15"/>
      <c r="AF117" s="15"/>
      <c r="AG117" s="15"/>
      <c r="AH117" s="15"/>
    </row>
    <row r="118" ht="15.75" customHeight="1">
      <c r="A118" s="15"/>
      <c r="B118" s="15"/>
      <c r="C118" s="21"/>
      <c r="D118" s="15"/>
      <c r="E118" s="32" t="s">
        <v>178</v>
      </c>
      <c r="F118" s="32" t="s">
        <v>205</v>
      </c>
      <c r="G118" s="70" t="str">
        <f>HYPERLINK("https://docs.google.com/spreadsheets/d/1iFIywCDqHWKhd1QlBzQ0g5yZiR4B2MmoSHbMJsFiCYM/edit#gid=1929160296", "https://docs.google.com/spreadsheets/d/1iFIywCDqHWKhd1QlBzQ0g5yZiR4B2MmoSHbMJsFiCYM/edit#gid=1929160296")</f>
        <v>https://docs.google.com/spreadsheets/d/1iFIywCDqHWKhd1QlBzQ0g5yZiR4B2MmoSHbMJsFiCYM/edit#gid=1929160296</v>
      </c>
      <c r="H118" s="32" t="s">
        <v>205</v>
      </c>
      <c r="I118" s="11"/>
      <c r="J118" s="11"/>
      <c r="K118" s="11"/>
      <c r="L118" s="11"/>
      <c r="M118" s="15"/>
      <c r="N118" s="15"/>
      <c r="O118" s="15"/>
      <c r="P118" s="15"/>
      <c r="Q118" s="15"/>
      <c r="R118" s="15"/>
      <c r="S118" s="15"/>
      <c r="T118" s="15"/>
      <c r="U118" s="15"/>
      <c r="V118" s="15"/>
      <c r="W118" s="15"/>
      <c r="X118" s="15"/>
      <c r="Y118" s="15"/>
      <c r="Z118" s="15"/>
      <c r="AA118" s="15"/>
      <c r="AB118" s="15"/>
      <c r="AC118" s="15"/>
      <c r="AD118" s="15"/>
      <c r="AE118" s="15"/>
      <c r="AF118" s="15"/>
      <c r="AG118" s="15"/>
      <c r="AH118" s="15"/>
    </row>
    <row r="119" ht="15.75" customHeight="1">
      <c r="A119" s="15"/>
      <c r="B119" s="15"/>
      <c r="C119" s="21"/>
      <c r="D119" s="15"/>
      <c r="E119" s="32" t="s">
        <v>178</v>
      </c>
      <c r="F119" s="32" t="s">
        <v>206</v>
      </c>
      <c r="G119" s="15"/>
      <c r="H119" s="36"/>
      <c r="L119" s="11"/>
      <c r="M119" s="15"/>
      <c r="N119" s="15"/>
      <c r="O119" s="15"/>
      <c r="P119" s="15"/>
      <c r="Q119" s="15"/>
      <c r="R119" s="15"/>
      <c r="S119" s="15"/>
      <c r="T119" s="15"/>
      <c r="U119" s="15"/>
      <c r="V119" s="15"/>
      <c r="W119" s="15"/>
      <c r="X119" s="15"/>
      <c r="Y119" s="15"/>
      <c r="Z119" s="15"/>
      <c r="AA119" s="15"/>
      <c r="AB119" s="15"/>
      <c r="AC119" s="15"/>
      <c r="AD119" s="15"/>
      <c r="AE119" s="15"/>
      <c r="AF119" s="15"/>
      <c r="AG119" s="15"/>
      <c r="AH119" s="15"/>
    </row>
    <row r="120" ht="15.75" customHeight="1">
      <c r="A120" s="15"/>
      <c r="B120" s="15"/>
      <c r="C120" s="21"/>
      <c r="D120" s="15"/>
      <c r="E120" s="32" t="s">
        <v>178</v>
      </c>
      <c r="F120" s="32" t="s">
        <v>207</v>
      </c>
      <c r="G120" s="70" t="str">
        <f>HYPERLINK("https://docs.google.com/spreadsheets/d/1iFIywCDqHWKhd1QlBzQ0g5yZiR4B2MmoSHbMJsFiCYM/edit#gid=2022791666", "https://docs.google.com/spreadsheets/d/1iFIywCDqHWKhd1QlBzQ0g5yZiR4B2MmoSHbMJsFiCYM/edit#gid=2022791666")</f>
        <v>https://docs.google.com/spreadsheets/d/1iFIywCDqHWKhd1QlBzQ0g5yZiR4B2MmoSHbMJsFiCYM/edit#gid=2022791666</v>
      </c>
      <c r="H120" s="32" t="s">
        <v>207</v>
      </c>
      <c r="I120" s="11"/>
      <c r="J120" s="11"/>
      <c r="K120" s="11"/>
      <c r="L120" s="11"/>
      <c r="M120" s="15"/>
      <c r="N120" s="15"/>
      <c r="O120" s="15"/>
      <c r="P120" s="15"/>
      <c r="Q120" s="15"/>
      <c r="R120" s="15"/>
      <c r="S120" s="15"/>
      <c r="T120" s="15"/>
      <c r="U120" s="15"/>
      <c r="V120" s="15"/>
      <c r="W120" s="15"/>
      <c r="X120" s="15"/>
      <c r="Y120" s="15"/>
      <c r="Z120" s="15"/>
      <c r="AA120" s="15"/>
      <c r="AB120" s="15"/>
      <c r="AC120" s="15"/>
      <c r="AD120" s="15"/>
      <c r="AE120" s="15"/>
      <c r="AF120" s="15"/>
      <c r="AG120" s="15"/>
      <c r="AH120" s="15"/>
    </row>
    <row r="121" ht="15.75" customHeight="1">
      <c r="A121" s="15"/>
      <c r="B121" s="15"/>
      <c r="C121" s="21"/>
      <c r="D121" s="15"/>
      <c r="E121" s="32" t="s">
        <v>172</v>
      </c>
      <c r="F121" s="32" t="s">
        <v>203</v>
      </c>
      <c r="G121" s="70" t="str">
        <f>HYPERLINK("https://docs.google.com/spreadsheets/d/1iFIywCDqHWKhd1QlBzQ0g5yZiR4B2MmoSHbMJsFiCYM/edit#gid=1845633881", "https://docs.google.com/spreadsheets/d/1iFIywCDqHWKhd1QlBzQ0g5yZiR4B2MmoSHbMJsFiCYM/edit#gid=1845633881")</f>
        <v>https://docs.google.com/spreadsheets/d/1iFIywCDqHWKhd1QlBzQ0g5yZiR4B2MmoSHbMJsFiCYM/edit#gid=1845633881</v>
      </c>
      <c r="H121" s="32" t="s">
        <v>1995</v>
      </c>
      <c r="I121" s="11"/>
      <c r="J121" s="11"/>
      <c r="K121" s="11"/>
      <c r="L121" s="11"/>
      <c r="M121" s="15"/>
      <c r="N121" s="15"/>
      <c r="O121" s="15"/>
      <c r="P121" s="15"/>
      <c r="Q121" s="15"/>
      <c r="R121" s="15"/>
      <c r="S121" s="15"/>
      <c r="T121" s="15"/>
      <c r="U121" s="15"/>
      <c r="V121" s="15"/>
      <c r="W121" s="15"/>
      <c r="X121" s="15"/>
      <c r="Y121" s="15"/>
      <c r="Z121" s="15"/>
      <c r="AA121" s="15"/>
      <c r="AB121" s="15"/>
      <c r="AC121" s="15"/>
      <c r="AD121" s="15"/>
      <c r="AE121" s="15"/>
      <c r="AF121" s="15"/>
      <c r="AG121" s="15"/>
      <c r="AH121" s="15"/>
    </row>
    <row r="122" ht="15.75" customHeight="1">
      <c r="A122" s="15"/>
      <c r="B122" s="15"/>
      <c r="C122" s="21"/>
      <c r="D122" s="15"/>
      <c r="E122" s="32" t="s">
        <v>172</v>
      </c>
      <c r="F122" s="32" t="s">
        <v>204</v>
      </c>
      <c r="G122" s="70" t="str">
        <f>HYPERLINK("https://docs.google.com/spreadsheets/d/1iFIywCDqHWKhd1QlBzQ0g5yZiR4B2MmoSHbMJsFiCYM/edit#gid=1482199837", "https://docs.google.com/spreadsheets/d/1iFIywCDqHWKhd1QlBzQ0g5yZiR4B2MmoSHbMJsFiCYM/edit#gid=1482199837")</f>
        <v>https://docs.google.com/spreadsheets/d/1iFIywCDqHWKhd1QlBzQ0g5yZiR4B2MmoSHbMJsFiCYM/edit#gid=1482199837</v>
      </c>
      <c r="H122" s="32" t="s">
        <v>1996</v>
      </c>
      <c r="I122" s="11"/>
      <c r="J122" s="11"/>
      <c r="K122" s="11"/>
      <c r="L122" s="11"/>
      <c r="M122" s="15"/>
      <c r="N122" s="15"/>
      <c r="O122" s="15"/>
      <c r="P122" s="15"/>
      <c r="Q122" s="15"/>
      <c r="R122" s="15"/>
      <c r="S122" s="15"/>
      <c r="T122" s="15"/>
      <c r="U122" s="15"/>
      <c r="V122" s="15"/>
      <c r="W122" s="15"/>
      <c r="X122" s="15"/>
      <c r="Y122" s="15"/>
      <c r="Z122" s="15"/>
      <c r="AA122" s="15"/>
      <c r="AB122" s="15"/>
      <c r="AC122" s="15"/>
      <c r="AD122" s="15"/>
      <c r="AE122" s="15"/>
      <c r="AF122" s="15"/>
      <c r="AG122" s="15"/>
      <c r="AH122" s="15"/>
    </row>
    <row r="123" ht="15.75" customHeight="1">
      <c r="A123" s="15"/>
      <c r="B123" s="15"/>
      <c r="C123" s="21"/>
      <c r="D123" s="15"/>
      <c r="E123" s="32" t="s">
        <v>178</v>
      </c>
      <c r="F123" s="32" t="s">
        <v>205</v>
      </c>
      <c r="G123" s="70" t="str">
        <f>HYPERLINK("https://docs.google.com/spreadsheets/d/1iFIywCDqHWKhd1QlBzQ0g5yZiR4B2MmoSHbMJsFiCYM/edit#gid=1630113212", "https://docs.google.com/spreadsheets/d/1iFIywCDqHWKhd1QlBzQ0g5yZiR4B2MmoSHbMJsFiCYM/edit#gid=1630113212")</f>
        <v>https://docs.google.com/spreadsheets/d/1iFIywCDqHWKhd1QlBzQ0g5yZiR4B2MmoSHbMJsFiCYM/edit#gid=1630113212</v>
      </c>
      <c r="H123" s="32" t="s">
        <v>1997</v>
      </c>
      <c r="I123" s="11"/>
      <c r="J123" s="11"/>
      <c r="K123" s="11"/>
      <c r="L123" s="11"/>
      <c r="M123" s="15"/>
      <c r="N123" s="15"/>
      <c r="O123" s="15"/>
      <c r="P123" s="15"/>
      <c r="Q123" s="15"/>
      <c r="R123" s="15"/>
      <c r="S123" s="15"/>
      <c r="T123" s="15"/>
      <c r="U123" s="15"/>
      <c r="V123" s="15"/>
      <c r="W123" s="15"/>
      <c r="X123" s="15"/>
      <c r="Y123" s="15"/>
      <c r="Z123" s="15"/>
      <c r="AA123" s="15"/>
      <c r="AB123" s="15"/>
      <c r="AC123" s="15"/>
      <c r="AD123" s="15"/>
      <c r="AE123" s="15"/>
      <c r="AF123" s="15"/>
      <c r="AG123" s="15"/>
      <c r="AH123" s="15"/>
    </row>
    <row r="124" ht="15.75" customHeight="1">
      <c r="A124" s="15"/>
      <c r="B124" s="15"/>
      <c r="C124" s="21"/>
      <c r="D124" s="15"/>
      <c r="E124" s="32" t="s">
        <v>178</v>
      </c>
      <c r="F124" s="32" t="s">
        <v>206</v>
      </c>
      <c r="G124" s="15"/>
      <c r="H124" s="36"/>
      <c r="L124" s="11"/>
      <c r="M124" s="15"/>
      <c r="N124" s="15"/>
      <c r="O124" s="15"/>
      <c r="P124" s="15"/>
      <c r="Q124" s="15"/>
      <c r="R124" s="15"/>
      <c r="S124" s="15"/>
      <c r="T124" s="15"/>
      <c r="U124" s="15"/>
      <c r="V124" s="15"/>
      <c r="W124" s="15"/>
      <c r="X124" s="15"/>
      <c r="Y124" s="15"/>
      <c r="Z124" s="15"/>
      <c r="AA124" s="15"/>
      <c r="AB124" s="15"/>
      <c r="AC124" s="15"/>
      <c r="AD124" s="15"/>
      <c r="AE124" s="15"/>
      <c r="AF124" s="15"/>
      <c r="AG124" s="15"/>
      <c r="AH124" s="15"/>
    </row>
    <row r="125" ht="15.75" customHeight="1">
      <c r="A125" s="15"/>
      <c r="B125" s="15"/>
      <c r="C125" s="21"/>
      <c r="D125" s="15"/>
      <c r="E125" s="32" t="s">
        <v>178</v>
      </c>
      <c r="F125" s="32" t="s">
        <v>207</v>
      </c>
      <c r="G125" s="70" t="str">
        <f>HYPERLINK("https://docs.google.com/spreadsheets/d/1iFIywCDqHWKhd1QlBzQ0g5yZiR4B2MmoSHbMJsFiCYM/edit#gid=464658561", "https://docs.google.com/spreadsheets/d/1iFIywCDqHWKhd1QlBzQ0g5yZiR4B2MmoSHbMJsFiCYM/edit#gid=464658561")</f>
        <v>https://docs.google.com/spreadsheets/d/1iFIywCDqHWKhd1QlBzQ0g5yZiR4B2MmoSHbMJsFiCYM/edit#gid=464658561</v>
      </c>
      <c r="H125" s="32" t="s">
        <v>1998</v>
      </c>
      <c r="I125" s="11"/>
      <c r="J125" s="11"/>
      <c r="K125" s="11"/>
      <c r="L125" s="11"/>
      <c r="M125" s="15"/>
      <c r="N125" s="15"/>
      <c r="O125" s="15"/>
      <c r="P125" s="15"/>
      <c r="Q125" s="15"/>
      <c r="R125" s="15"/>
      <c r="S125" s="15"/>
      <c r="T125" s="15"/>
      <c r="U125" s="15"/>
      <c r="V125" s="15"/>
      <c r="W125" s="15"/>
      <c r="X125" s="15"/>
      <c r="Y125" s="15"/>
      <c r="Z125" s="15"/>
      <c r="AA125" s="15"/>
      <c r="AB125" s="15"/>
      <c r="AC125" s="15"/>
      <c r="AD125" s="15"/>
      <c r="AE125" s="15"/>
      <c r="AF125" s="15"/>
      <c r="AG125" s="15"/>
      <c r="AH125" s="15"/>
    </row>
    <row r="126" ht="15.75" customHeight="1">
      <c r="A126" s="15"/>
      <c r="B126" s="15"/>
      <c r="C126" s="21"/>
      <c r="D126" s="15"/>
      <c r="E126" s="32" t="s">
        <v>178</v>
      </c>
      <c r="F126" s="32" t="s">
        <v>208</v>
      </c>
      <c r="G126" s="70" t="str">
        <f>HYPERLINK("https://docs.google.com/spreadsheets/d/1iFIywCDqHWKhd1QlBzQ0g5yZiR4B2MmoSHbMJsFiCYM/edit#gid=589252480", "https://docs.google.com/spreadsheets/d/1iFIywCDqHWKhd1QlBzQ0g5yZiR4B2MmoSHbMJsFiCYM/edit#gid=589252480")</f>
        <v>https://docs.google.com/spreadsheets/d/1iFIywCDqHWKhd1QlBzQ0g5yZiR4B2MmoSHbMJsFiCYM/edit#gid=589252480</v>
      </c>
      <c r="H126" s="32" t="s">
        <v>208</v>
      </c>
      <c r="I126" s="11"/>
      <c r="J126" s="11"/>
      <c r="K126" s="11"/>
      <c r="L126" s="11"/>
      <c r="M126" s="15"/>
      <c r="N126" s="15"/>
      <c r="O126" s="15"/>
      <c r="P126" s="15"/>
      <c r="Q126" s="15"/>
      <c r="R126" s="15"/>
      <c r="S126" s="15"/>
      <c r="T126" s="15"/>
      <c r="U126" s="15"/>
      <c r="V126" s="15"/>
      <c r="W126" s="15"/>
      <c r="X126" s="15"/>
      <c r="Y126" s="15"/>
      <c r="Z126" s="15"/>
      <c r="AA126" s="15"/>
      <c r="AB126" s="15"/>
      <c r="AC126" s="15"/>
      <c r="AD126" s="15"/>
      <c r="AE126" s="15"/>
      <c r="AF126" s="15"/>
      <c r="AG126" s="15"/>
      <c r="AH126" s="15"/>
    </row>
    <row r="127" ht="15.75" customHeight="1">
      <c r="A127" s="15"/>
      <c r="B127" s="15"/>
      <c r="C127" s="21"/>
      <c r="D127" s="15"/>
      <c r="E127" s="32" t="s">
        <v>178</v>
      </c>
      <c r="F127" s="32" t="s">
        <v>182</v>
      </c>
      <c r="G127" s="70" t="str">
        <f>HYPERLINK("https://docs.google.com/spreadsheets/d/1iFIywCDqHWKhd1QlBzQ0g5yZiR4B2MmoSHbMJsFiCYM/edit#gid=645665930", "https://docs.google.com/spreadsheets/d/1iFIywCDqHWKhd1QlBzQ0g5yZiR4B2MmoSHbMJsFiCYM/edit#gid=645665930")</f>
        <v>https://docs.google.com/spreadsheets/d/1iFIywCDqHWKhd1QlBzQ0g5yZiR4B2MmoSHbMJsFiCYM/edit#gid=645665930</v>
      </c>
      <c r="H127" s="32" t="s">
        <v>182</v>
      </c>
      <c r="I127" s="11"/>
      <c r="J127" s="11"/>
      <c r="K127" s="11"/>
      <c r="L127" s="11"/>
      <c r="M127" s="15"/>
      <c r="N127" s="15"/>
      <c r="O127" s="15"/>
      <c r="P127" s="15"/>
      <c r="Q127" s="15"/>
      <c r="R127" s="15"/>
      <c r="S127" s="15"/>
      <c r="T127" s="15"/>
      <c r="U127" s="15"/>
      <c r="V127" s="15"/>
      <c r="W127" s="15"/>
      <c r="X127" s="15"/>
      <c r="Y127" s="15"/>
      <c r="Z127" s="15"/>
      <c r="AA127" s="15"/>
      <c r="AB127" s="15"/>
      <c r="AC127" s="15"/>
      <c r="AD127" s="15"/>
      <c r="AE127" s="15"/>
      <c r="AF127" s="15"/>
      <c r="AG127" s="15"/>
      <c r="AH127" s="15"/>
    </row>
    <row r="128" ht="15.75" customHeight="1">
      <c r="A128" s="15"/>
      <c r="B128" s="15"/>
      <c r="C128" s="21"/>
      <c r="D128" s="15"/>
      <c r="E128" s="32" t="s">
        <v>178</v>
      </c>
      <c r="F128" s="32" t="s">
        <v>180</v>
      </c>
      <c r="G128" s="70" t="str">
        <f>HYPERLINK("https://docs.google.com/spreadsheets/d/1iFIywCDqHWKhd1QlBzQ0g5yZiR4B2MmoSHbMJsFiCYM/edit#gid=1753111682", "https://docs.google.com/spreadsheets/d/1iFIywCDqHWKhd1QlBzQ0g5yZiR4B2MmoSHbMJsFiCYM/edit#gid=1753111682")</f>
        <v>https://docs.google.com/spreadsheets/d/1iFIywCDqHWKhd1QlBzQ0g5yZiR4B2MmoSHbMJsFiCYM/edit#gid=1753111682</v>
      </c>
      <c r="H128" s="32" t="s">
        <v>180</v>
      </c>
      <c r="I128" s="11"/>
      <c r="J128" s="11"/>
      <c r="K128" s="11"/>
      <c r="L128" s="11"/>
      <c r="M128" s="15"/>
      <c r="N128" s="15"/>
      <c r="O128" s="15"/>
      <c r="P128" s="15"/>
      <c r="Q128" s="15"/>
      <c r="R128" s="15"/>
      <c r="S128" s="15"/>
      <c r="T128" s="15"/>
      <c r="U128" s="15"/>
      <c r="V128" s="15"/>
      <c r="W128" s="15"/>
      <c r="X128" s="15"/>
      <c r="Y128" s="15"/>
      <c r="Z128" s="15"/>
      <c r="AA128" s="15"/>
      <c r="AB128" s="15"/>
      <c r="AC128" s="15"/>
      <c r="AD128" s="15"/>
      <c r="AE128" s="15"/>
      <c r="AF128" s="15"/>
      <c r="AG128" s="15"/>
      <c r="AH128" s="15"/>
    </row>
    <row r="129" ht="15.75" customHeight="1">
      <c r="A129" s="15"/>
      <c r="B129" s="15"/>
      <c r="C129" s="21"/>
      <c r="D129" s="15"/>
      <c r="E129" s="32" t="s">
        <v>178</v>
      </c>
      <c r="F129" s="32" t="s">
        <v>209</v>
      </c>
      <c r="G129" s="70" t="str">
        <f>HYPERLINK("https://docs.google.com/spreadsheets/d/1iFIywCDqHWKhd1QlBzQ0g5yZiR4B2MmoSHbMJsFiCYM/edit#gid=1939371284", "https://docs.google.com/spreadsheets/d/1iFIywCDqHWKhd1QlBzQ0g5yZiR4B2MmoSHbMJsFiCYM/edit#gid=1939371284")</f>
        <v>https://docs.google.com/spreadsheets/d/1iFIywCDqHWKhd1QlBzQ0g5yZiR4B2MmoSHbMJsFiCYM/edit#gid=1939371284</v>
      </c>
      <c r="H129" s="32" t="s">
        <v>209</v>
      </c>
      <c r="I129" s="11"/>
      <c r="J129" s="11"/>
      <c r="K129" s="11"/>
      <c r="L129" s="11"/>
      <c r="M129" s="15"/>
      <c r="N129" s="15"/>
      <c r="O129" s="15"/>
      <c r="P129" s="15"/>
      <c r="Q129" s="15"/>
      <c r="R129" s="15"/>
      <c r="S129" s="15"/>
      <c r="T129" s="15"/>
      <c r="U129" s="15"/>
      <c r="V129" s="15"/>
      <c r="W129" s="15"/>
      <c r="X129" s="15"/>
      <c r="Y129" s="15"/>
      <c r="Z129" s="15"/>
      <c r="AA129" s="15"/>
      <c r="AB129" s="15"/>
      <c r="AC129" s="15"/>
      <c r="AD129" s="15"/>
      <c r="AE129" s="15"/>
      <c r="AF129" s="15"/>
      <c r="AG129" s="15"/>
      <c r="AH129" s="15"/>
    </row>
    <row r="130" ht="15.75" customHeight="1">
      <c r="A130" s="15"/>
      <c r="B130" s="15"/>
      <c r="C130" s="21"/>
      <c r="D130" s="15"/>
      <c r="E130" s="32" t="s">
        <v>178</v>
      </c>
      <c r="F130" s="32" t="s">
        <v>210</v>
      </c>
      <c r="G130" s="70" t="str">
        <f>HYPERLINK("https://docs.google.com/spreadsheets/d/1iFIywCDqHWKhd1QlBzQ0g5yZiR4B2MmoSHbMJsFiCYM/edit#gid=1503646997", "https://docs.google.com/spreadsheets/d/1iFIywCDqHWKhd1QlBzQ0g5yZiR4B2MmoSHbMJsFiCYM/edit#gid=1503646997")</f>
        <v>https://docs.google.com/spreadsheets/d/1iFIywCDqHWKhd1QlBzQ0g5yZiR4B2MmoSHbMJsFiCYM/edit#gid=1503646997</v>
      </c>
      <c r="H130" s="32" t="s">
        <v>210</v>
      </c>
      <c r="I130" s="11"/>
      <c r="J130" s="11"/>
      <c r="K130" s="11"/>
      <c r="L130" s="11"/>
      <c r="M130" s="15"/>
      <c r="N130" s="15"/>
      <c r="O130" s="15"/>
      <c r="P130" s="15"/>
      <c r="Q130" s="15"/>
      <c r="R130" s="15"/>
      <c r="S130" s="15"/>
      <c r="T130" s="15"/>
      <c r="U130" s="15"/>
      <c r="V130" s="15"/>
      <c r="W130" s="15"/>
      <c r="X130" s="15"/>
      <c r="Y130" s="15"/>
      <c r="Z130" s="15"/>
      <c r="AA130" s="15"/>
      <c r="AB130" s="15"/>
      <c r="AC130" s="15"/>
      <c r="AD130" s="15"/>
      <c r="AE130" s="15"/>
      <c r="AF130" s="15"/>
      <c r="AG130" s="15"/>
      <c r="AH130" s="15"/>
    </row>
    <row r="131" ht="15.75" customHeight="1">
      <c r="A131" s="15"/>
      <c r="B131" s="15"/>
      <c r="C131" s="21"/>
      <c r="D131" s="15"/>
      <c r="E131" s="32" t="s">
        <v>157</v>
      </c>
      <c r="F131" s="32" t="s">
        <v>161</v>
      </c>
      <c r="G131" s="70" t="str">
        <f>HYPERLINK("https://docs.google.com/spreadsheets/d/1iFIywCDqHWKhd1QlBzQ0g5yZiR4B2MmoSHbMJsFiCYM/edit#gid=2108246312", "https://docs.google.com/spreadsheets/d/1iFIywCDqHWKhd1QlBzQ0g5yZiR4B2MmoSHbMJsFiCYM/edit#gid=2108246312")</f>
        <v>https://docs.google.com/spreadsheets/d/1iFIywCDqHWKhd1QlBzQ0g5yZiR4B2MmoSHbMJsFiCYM/edit#gid=2108246312</v>
      </c>
      <c r="H131" s="32" t="s">
        <v>161</v>
      </c>
      <c r="I131" s="11"/>
      <c r="J131" s="11"/>
      <c r="K131" s="11"/>
      <c r="L131" s="11"/>
      <c r="M131" s="15"/>
      <c r="N131" s="15"/>
      <c r="O131" s="15"/>
      <c r="P131" s="15"/>
      <c r="Q131" s="15"/>
      <c r="R131" s="15"/>
      <c r="S131" s="15"/>
      <c r="T131" s="15"/>
      <c r="U131" s="15"/>
      <c r="V131" s="15"/>
      <c r="W131" s="15"/>
      <c r="X131" s="15"/>
      <c r="Y131" s="15"/>
      <c r="Z131" s="15"/>
      <c r="AA131" s="15"/>
      <c r="AB131" s="15"/>
      <c r="AC131" s="15"/>
      <c r="AD131" s="15"/>
      <c r="AE131" s="15"/>
      <c r="AF131" s="15"/>
      <c r="AG131" s="15"/>
      <c r="AH131" s="15"/>
    </row>
    <row r="132" ht="15.75" customHeight="1">
      <c r="A132" s="15"/>
      <c r="B132" s="15"/>
      <c r="C132" s="21"/>
      <c r="D132" s="15"/>
      <c r="E132" s="32" t="s">
        <v>157</v>
      </c>
      <c r="F132" s="32" t="s">
        <v>158</v>
      </c>
      <c r="G132" s="70" t="str">
        <f>HYPERLINK("https://docs.google.com/spreadsheets/d/1iFIywCDqHWKhd1QlBzQ0g5yZiR4B2MmoSHbMJsFiCYM/edit#gid=1892031399", "https://docs.google.com/spreadsheets/d/1iFIywCDqHWKhd1QlBzQ0g5yZiR4B2MmoSHbMJsFiCYM/edit#gid=1892031399")</f>
        <v>https://docs.google.com/spreadsheets/d/1iFIywCDqHWKhd1QlBzQ0g5yZiR4B2MmoSHbMJsFiCYM/edit#gid=1892031399</v>
      </c>
      <c r="H132" s="32" t="s">
        <v>158</v>
      </c>
      <c r="I132" s="11"/>
      <c r="J132" s="11"/>
      <c r="K132" s="11"/>
      <c r="L132" s="11"/>
      <c r="M132" s="15"/>
      <c r="N132" s="15"/>
      <c r="O132" s="15"/>
      <c r="P132" s="15"/>
      <c r="Q132" s="15"/>
      <c r="R132" s="15"/>
      <c r="S132" s="15"/>
      <c r="T132" s="15"/>
      <c r="U132" s="15"/>
      <c r="V132" s="15"/>
      <c r="W132" s="15"/>
      <c r="X132" s="15"/>
      <c r="Y132" s="15"/>
      <c r="Z132" s="15"/>
      <c r="AA132" s="15"/>
      <c r="AB132" s="15"/>
      <c r="AC132" s="15"/>
      <c r="AD132" s="15"/>
      <c r="AE132" s="15"/>
      <c r="AF132" s="15"/>
      <c r="AG132" s="15"/>
      <c r="AH132" s="15"/>
    </row>
    <row r="133" ht="15.75" customHeight="1">
      <c r="A133" s="15"/>
      <c r="B133" s="15"/>
      <c r="C133" s="21"/>
      <c r="D133" s="15"/>
      <c r="E133" s="32" t="s">
        <v>157</v>
      </c>
      <c r="F133" s="32" t="s">
        <v>196</v>
      </c>
      <c r="G133" s="70" t="str">
        <f>HYPERLINK("https://docs.google.com/spreadsheets/d/1iFIywCDqHWKhd1QlBzQ0g5yZiR4B2MmoSHbMJsFiCYM/edit#gid=892215146", "https://docs.google.com/spreadsheets/d/1iFIywCDqHWKhd1QlBzQ0g5yZiR4B2MmoSHbMJsFiCYM/edit#gid=892215146")</f>
        <v>https://docs.google.com/spreadsheets/d/1iFIywCDqHWKhd1QlBzQ0g5yZiR4B2MmoSHbMJsFiCYM/edit#gid=892215146</v>
      </c>
      <c r="H133" s="32" t="s">
        <v>196</v>
      </c>
      <c r="I133" s="11"/>
      <c r="J133" s="11"/>
      <c r="K133" s="11"/>
      <c r="L133" s="11"/>
      <c r="M133" s="15"/>
      <c r="N133" s="15"/>
      <c r="O133" s="15"/>
      <c r="P133" s="15"/>
      <c r="Q133" s="15"/>
      <c r="R133" s="15"/>
      <c r="S133" s="15"/>
      <c r="T133" s="15"/>
      <c r="U133" s="15"/>
      <c r="V133" s="15"/>
      <c r="W133" s="15"/>
      <c r="X133" s="15"/>
      <c r="Y133" s="15"/>
      <c r="Z133" s="15"/>
      <c r="AA133" s="15"/>
      <c r="AB133" s="15"/>
      <c r="AC133" s="15"/>
      <c r="AD133" s="15"/>
      <c r="AE133" s="15"/>
      <c r="AF133" s="15"/>
      <c r="AG133" s="15"/>
      <c r="AH133" s="15"/>
    </row>
    <row r="134" ht="15.75" customHeight="1">
      <c r="A134" s="15"/>
      <c r="B134" s="15"/>
      <c r="C134" s="21"/>
      <c r="D134" s="15"/>
      <c r="E134" s="32" t="s">
        <v>172</v>
      </c>
      <c r="F134" s="32" t="s">
        <v>203</v>
      </c>
      <c r="G134" s="70" t="str">
        <f>HYPERLINK("https://docs.google.com/spreadsheets/d/1iFIywCDqHWKhd1QlBzQ0g5yZiR4B2MmoSHbMJsFiCYM/edit#gid=1546874093", "https://docs.google.com/spreadsheets/d/1iFIywCDqHWKhd1QlBzQ0g5yZiR4B2MmoSHbMJsFiCYM/edit#gid=1546874093")</f>
        <v>https://docs.google.com/spreadsheets/d/1iFIywCDqHWKhd1QlBzQ0g5yZiR4B2MmoSHbMJsFiCYM/edit#gid=1546874093</v>
      </c>
      <c r="H134" s="32" t="s">
        <v>1999</v>
      </c>
      <c r="I134" s="11"/>
      <c r="J134" s="11"/>
      <c r="K134" s="11"/>
      <c r="L134" s="11"/>
      <c r="M134" s="15"/>
      <c r="N134" s="15"/>
      <c r="O134" s="15"/>
      <c r="P134" s="15"/>
      <c r="Q134" s="15"/>
      <c r="R134" s="15"/>
      <c r="S134" s="15"/>
      <c r="T134" s="15"/>
      <c r="U134" s="15"/>
      <c r="V134" s="15"/>
      <c r="W134" s="15"/>
      <c r="X134" s="15"/>
      <c r="Y134" s="15"/>
      <c r="Z134" s="15"/>
      <c r="AA134" s="15"/>
      <c r="AB134" s="15"/>
      <c r="AC134" s="15"/>
      <c r="AD134" s="15"/>
      <c r="AE134" s="15"/>
      <c r="AF134" s="15"/>
      <c r="AG134" s="15"/>
      <c r="AH134" s="15"/>
    </row>
    <row r="135" ht="15.75" customHeight="1">
      <c r="A135" s="15"/>
      <c r="B135" s="15"/>
      <c r="C135" s="21"/>
      <c r="D135" s="15"/>
      <c r="E135" s="32" t="s">
        <v>172</v>
      </c>
      <c r="F135" s="32" t="s">
        <v>204</v>
      </c>
      <c r="G135" s="70" t="str">
        <f>HYPERLINK("https://docs.google.com/spreadsheets/d/1iFIywCDqHWKhd1QlBzQ0g5yZiR4B2MmoSHbMJsFiCYM/edit#gid=767570563", "https://docs.google.com/spreadsheets/d/1iFIywCDqHWKhd1QlBzQ0g5yZiR4B2MmoSHbMJsFiCYM/edit#gid=767570563")</f>
        <v>https://docs.google.com/spreadsheets/d/1iFIywCDqHWKhd1QlBzQ0g5yZiR4B2MmoSHbMJsFiCYM/edit#gid=767570563</v>
      </c>
      <c r="H135" s="32" t="s">
        <v>2000</v>
      </c>
      <c r="I135" s="11"/>
      <c r="J135" s="11"/>
      <c r="K135" s="11"/>
      <c r="L135" s="11"/>
      <c r="M135" s="15"/>
      <c r="N135" s="15"/>
      <c r="O135" s="15"/>
      <c r="P135" s="15"/>
      <c r="Q135" s="15"/>
      <c r="R135" s="15"/>
      <c r="S135" s="15"/>
      <c r="T135" s="15"/>
      <c r="U135" s="15"/>
      <c r="V135" s="15"/>
      <c r="W135" s="15"/>
      <c r="X135" s="15"/>
      <c r="Y135" s="15"/>
      <c r="Z135" s="15"/>
      <c r="AA135" s="15"/>
      <c r="AB135" s="15"/>
      <c r="AC135" s="15"/>
      <c r="AD135" s="15"/>
      <c r="AE135" s="15"/>
      <c r="AF135" s="15"/>
      <c r="AG135" s="15"/>
      <c r="AH135" s="15"/>
    </row>
    <row r="136" ht="15.75" customHeight="1">
      <c r="A136" s="15"/>
      <c r="B136" s="15"/>
      <c r="C136" s="21"/>
      <c r="D136" s="15"/>
      <c r="E136" s="32" t="s">
        <v>178</v>
      </c>
      <c r="F136" s="32" t="s">
        <v>207</v>
      </c>
      <c r="G136" s="70" t="str">
        <f>HYPERLINK("https://docs.google.com/spreadsheets/d/1iFIywCDqHWKhd1QlBzQ0g5yZiR4B2MmoSHbMJsFiCYM/edit#gid=1007898764", "https://docs.google.com/spreadsheets/d/1iFIywCDqHWKhd1QlBzQ0g5yZiR4B2MmoSHbMJsFiCYM/edit#gid=1007898764")</f>
        <v>https://docs.google.com/spreadsheets/d/1iFIywCDqHWKhd1QlBzQ0g5yZiR4B2MmoSHbMJsFiCYM/edit#gid=1007898764</v>
      </c>
      <c r="H136" s="32" t="s">
        <v>2001</v>
      </c>
      <c r="I136" s="11"/>
      <c r="J136" s="11"/>
      <c r="K136" s="11"/>
      <c r="L136" s="11"/>
      <c r="M136" s="15"/>
      <c r="N136" s="15"/>
      <c r="O136" s="15"/>
      <c r="P136" s="15"/>
      <c r="Q136" s="15"/>
      <c r="R136" s="15"/>
      <c r="S136" s="15"/>
      <c r="T136" s="15"/>
      <c r="U136" s="15"/>
      <c r="V136" s="15"/>
      <c r="W136" s="15"/>
      <c r="X136" s="15"/>
      <c r="Y136" s="15"/>
      <c r="Z136" s="15"/>
      <c r="AA136" s="15"/>
      <c r="AB136" s="15"/>
      <c r="AC136" s="15"/>
      <c r="AD136" s="15"/>
      <c r="AE136" s="15"/>
      <c r="AF136" s="15"/>
      <c r="AG136" s="15"/>
      <c r="AH136" s="15"/>
    </row>
    <row r="137" ht="15.75" customHeight="1">
      <c r="A137" s="15"/>
      <c r="B137" s="15"/>
      <c r="C137" s="21"/>
      <c r="D137" s="15"/>
      <c r="E137" s="32" t="s">
        <v>178</v>
      </c>
      <c r="F137" s="32" t="s">
        <v>208</v>
      </c>
      <c r="G137" s="70" t="str">
        <f>HYPERLINK("https://docs.google.com/spreadsheets/d/1iFIywCDqHWKhd1QlBzQ0g5yZiR4B2MmoSHbMJsFiCYM/edit#gid=1106366262", "https://docs.google.com/spreadsheets/d/1iFIywCDqHWKhd1QlBzQ0g5yZiR4B2MmoSHbMJsFiCYM/edit#gid=1106366262")</f>
        <v>https://docs.google.com/spreadsheets/d/1iFIywCDqHWKhd1QlBzQ0g5yZiR4B2MmoSHbMJsFiCYM/edit#gid=1106366262</v>
      </c>
      <c r="H137" s="32" t="s">
        <v>2002</v>
      </c>
      <c r="I137" s="11"/>
      <c r="J137" s="11"/>
      <c r="K137" s="11"/>
      <c r="L137" s="11"/>
      <c r="M137" s="15"/>
      <c r="N137" s="15"/>
      <c r="O137" s="15"/>
      <c r="P137" s="15"/>
      <c r="Q137" s="15"/>
      <c r="R137" s="15"/>
      <c r="S137" s="15"/>
      <c r="T137" s="15"/>
      <c r="U137" s="15"/>
      <c r="V137" s="15"/>
      <c r="W137" s="15"/>
      <c r="X137" s="15"/>
      <c r="Y137" s="15"/>
      <c r="Z137" s="15"/>
      <c r="AA137" s="15"/>
      <c r="AB137" s="15"/>
      <c r="AC137" s="15"/>
      <c r="AD137" s="15"/>
      <c r="AE137" s="15"/>
      <c r="AF137" s="15"/>
      <c r="AG137" s="15"/>
      <c r="AH137" s="15"/>
    </row>
    <row r="138" ht="15.75" customHeight="1">
      <c r="A138" s="15"/>
      <c r="B138" s="15"/>
      <c r="C138" s="21"/>
      <c r="D138" s="15"/>
      <c r="E138" s="32" t="s">
        <v>178</v>
      </c>
      <c r="F138" s="32" t="s">
        <v>182</v>
      </c>
      <c r="G138" s="70" t="str">
        <f>HYPERLINK("https://docs.google.com/spreadsheets/d/1iFIywCDqHWKhd1QlBzQ0g5yZiR4B2MmoSHbMJsFiCYM/edit#gid=317884684", "https://docs.google.com/spreadsheets/d/1iFIywCDqHWKhd1QlBzQ0g5yZiR4B2MmoSHbMJsFiCYM/edit#gid=317884684")</f>
        <v>https://docs.google.com/spreadsheets/d/1iFIywCDqHWKhd1QlBzQ0g5yZiR4B2MmoSHbMJsFiCYM/edit#gid=317884684</v>
      </c>
      <c r="H138" s="32" t="s">
        <v>2003</v>
      </c>
      <c r="I138" s="11"/>
      <c r="J138" s="11"/>
      <c r="K138" s="11"/>
      <c r="L138" s="11"/>
      <c r="M138" s="15"/>
      <c r="N138" s="15"/>
      <c r="O138" s="15"/>
      <c r="P138" s="15"/>
      <c r="Q138" s="15"/>
      <c r="R138" s="15"/>
      <c r="S138" s="15"/>
      <c r="T138" s="15"/>
      <c r="U138" s="15"/>
      <c r="V138" s="15"/>
      <c r="W138" s="15"/>
      <c r="X138" s="15"/>
      <c r="Y138" s="15"/>
      <c r="Z138" s="15"/>
      <c r="AA138" s="15"/>
      <c r="AB138" s="15"/>
      <c r="AC138" s="15"/>
      <c r="AD138" s="15"/>
      <c r="AE138" s="15"/>
      <c r="AF138" s="15"/>
      <c r="AG138" s="15"/>
      <c r="AH138" s="15"/>
    </row>
    <row r="139" ht="15.75" customHeight="1">
      <c r="A139" s="15"/>
      <c r="B139" s="15"/>
      <c r="C139" s="21"/>
      <c r="D139" s="15"/>
      <c r="E139" s="32" t="s">
        <v>178</v>
      </c>
      <c r="F139" s="32" t="s">
        <v>180</v>
      </c>
      <c r="G139" s="70" t="str">
        <f>HYPERLINK("https://docs.google.com/spreadsheets/d/1iFIywCDqHWKhd1QlBzQ0g5yZiR4B2MmoSHbMJsFiCYM/edit#gid=2002421006", "https://docs.google.com/spreadsheets/d/1iFIywCDqHWKhd1QlBzQ0g5yZiR4B2MmoSHbMJsFiCYM/edit#gid=2002421006")</f>
        <v>https://docs.google.com/spreadsheets/d/1iFIywCDqHWKhd1QlBzQ0g5yZiR4B2MmoSHbMJsFiCYM/edit#gid=2002421006</v>
      </c>
      <c r="H139" s="32" t="s">
        <v>2009</v>
      </c>
      <c r="I139" s="11"/>
      <c r="J139" s="11"/>
      <c r="K139" s="11"/>
      <c r="L139" s="11"/>
      <c r="M139" s="15"/>
      <c r="N139" s="15"/>
      <c r="O139" s="15"/>
      <c r="P139" s="15"/>
      <c r="Q139" s="15"/>
      <c r="R139" s="15"/>
      <c r="S139" s="15"/>
      <c r="T139" s="15"/>
      <c r="U139" s="15"/>
      <c r="V139" s="15"/>
      <c r="W139" s="15"/>
      <c r="X139" s="15"/>
      <c r="Y139" s="15"/>
      <c r="Z139" s="15"/>
      <c r="AA139" s="15"/>
      <c r="AB139" s="15"/>
      <c r="AC139" s="15"/>
      <c r="AD139" s="15"/>
      <c r="AE139" s="15"/>
      <c r="AF139" s="15"/>
      <c r="AG139" s="15"/>
      <c r="AH139" s="15"/>
    </row>
    <row r="140" ht="15.75" customHeight="1">
      <c r="A140" s="15"/>
      <c r="B140" s="15"/>
      <c r="C140" s="21"/>
      <c r="D140" s="15"/>
      <c r="E140" s="32" t="s">
        <v>178</v>
      </c>
      <c r="F140" s="32" t="s">
        <v>209</v>
      </c>
      <c r="G140" s="70" t="str">
        <f>HYPERLINK("https://docs.google.com/spreadsheets/d/1iFIywCDqHWKhd1QlBzQ0g5yZiR4B2MmoSHbMJsFiCYM/edit#gid=1218958340", "https://docs.google.com/spreadsheets/d/1iFIywCDqHWKhd1QlBzQ0g5yZiR4B2MmoSHbMJsFiCYM/edit#gid=1218958340")</f>
        <v>https://docs.google.com/spreadsheets/d/1iFIywCDqHWKhd1QlBzQ0g5yZiR4B2MmoSHbMJsFiCYM/edit#gid=1218958340</v>
      </c>
      <c r="H140" s="32" t="s">
        <v>1986</v>
      </c>
      <c r="I140" s="11"/>
      <c r="J140" s="11"/>
      <c r="K140" s="11"/>
      <c r="L140" s="11"/>
      <c r="M140" s="15"/>
      <c r="N140" s="15"/>
      <c r="O140" s="15"/>
      <c r="P140" s="15"/>
      <c r="Q140" s="15"/>
      <c r="R140" s="15"/>
      <c r="S140" s="15"/>
      <c r="T140" s="15"/>
      <c r="U140" s="15"/>
      <c r="V140" s="15"/>
      <c r="W140" s="15"/>
      <c r="X140" s="15"/>
      <c r="Y140" s="15"/>
      <c r="Z140" s="15"/>
      <c r="AA140" s="15"/>
      <c r="AB140" s="15"/>
      <c r="AC140" s="15"/>
      <c r="AD140" s="15"/>
      <c r="AE140" s="15"/>
      <c r="AF140" s="15"/>
      <c r="AG140" s="15"/>
      <c r="AH140" s="15"/>
    </row>
    <row r="141" ht="15.75" customHeight="1">
      <c r="A141" s="15"/>
      <c r="B141" s="15"/>
      <c r="C141" s="21"/>
      <c r="D141" s="15"/>
      <c r="E141" s="32" t="s">
        <v>178</v>
      </c>
      <c r="F141" s="32" t="s">
        <v>210</v>
      </c>
      <c r="G141" s="70" t="str">
        <f>HYPERLINK("https://docs.google.com/spreadsheets/d/1iFIywCDqHWKhd1QlBzQ0g5yZiR4B2MmoSHbMJsFiCYM/edit#gid=2123095748", "https://docs.google.com/spreadsheets/d/1iFIywCDqHWKhd1QlBzQ0g5yZiR4B2MmoSHbMJsFiCYM/edit#gid=2123095748")</f>
        <v>https://docs.google.com/spreadsheets/d/1iFIywCDqHWKhd1QlBzQ0g5yZiR4B2MmoSHbMJsFiCYM/edit#gid=2123095748</v>
      </c>
      <c r="H141" s="32" t="s">
        <v>1987</v>
      </c>
      <c r="I141" s="11"/>
      <c r="J141" s="11"/>
      <c r="K141" s="11"/>
      <c r="L141" s="11"/>
      <c r="M141" s="15"/>
      <c r="N141" s="15"/>
      <c r="O141" s="15"/>
      <c r="P141" s="15"/>
      <c r="Q141" s="15"/>
      <c r="R141" s="15"/>
      <c r="S141" s="15"/>
      <c r="T141" s="15"/>
      <c r="U141" s="15"/>
      <c r="V141" s="15"/>
      <c r="W141" s="15"/>
      <c r="X141" s="15"/>
      <c r="Y141" s="15"/>
      <c r="Z141" s="15"/>
      <c r="AA141" s="15"/>
      <c r="AB141" s="15"/>
      <c r="AC141" s="15"/>
      <c r="AD141" s="15"/>
      <c r="AE141" s="15"/>
      <c r="AF141" s="15"/>
      <c r="AG141" s="15"/>
      <c r="AH141" s="15"/>
    </row>
    <row r="142" ht="15.75" customHeight="1">
      <c r="A142" s="15"/>
      <c r="B142" s="15"/>
      <c r="C142" s="21"/>
      <c r="D142" s="15"/>
      <c r="E142" s="32" t="s">
        <v>86</v>
      </c>
      <c r="F142" s="32" t="s">
        <v>90</v>
      </c>
      <c r="G142" s="70" t="str">
        <f>HYPERLINK("https://docs.google.com/spreadsheets/d/1iFIywCDqHWKhd1QlBzQ0g5yZiR4B2MmoSHbMJsFiCYM/edit#gid=1755806641", "https://docs.google.com/spreadsheets/d/1iFIywCDqHWKhd1QlBzQ0g5yZiR4B2MmoSHbMJsFiCYM/edit#gid=1755806641")</f>
        <v>https://docs.google.com/spreadsheets/d/1iFIywCDqHWKhd1QlBzQ0g5yZiR4B2MmoSHbMJsFiCYM/edit#gid=1755806641</v>
      </c>
      <c r="H142" s="32" t="s">
        <v>90</v>
      </c>
      <c r="I142" s="11"/>
      <c r="J142" s="11"/>
      <c r="K142" s="11"/>
      <c r="L142" s="11"/>
      <c r="M142" s="15"/>
      <c r="N142" s="15"/>
      <c r="O142" s="15"/>
      <c r="P142" s="15"/>
      <c r="Q142" s="15"/>
      <c r="R142" s="15"/>
      <c r="S142" s="15"/>
      <c r="T142" s="15"/>
      <c r="U142" s="15"/>
      <c r="V142" s="15"/>
      <c r="W142" s="15"/>
      <c r="X142" s="15"/>
      <c r="Y142" s="15"/>
      <c r="Z142" s="15"/>
      <c r="AA142" s="15"/>
      <c r="AB142" s="15"/>
      <c r="AC142" s="15"/>
      <c r="AD142" s="15"/>
      <c r="AE142" s="15"/>
      <c r="AF142" s="15"/>
      <c r="AG142" s="15"/>
      <c r="AH142" s="15"/>
    </row>
    <row r="143" ht="15.75" customHeight="1">
      <c r="A143" s="15"/>
      <c r="B143" s="15"/>
      <c r="C143" s="21"/>
      <c r="D143" s="15"/>
      <c r="E143" s="32" t="s">
        <v>86</v>
      </c>
      <c r="F143" s="32" t="s">
        <v>338</v>
      </c>
      <c r="G143" s="70" t="str">
        <f>HYPERLINK("https://docs.google.com/spreadsheets/d/1iFIywCDqHWKhd1QlBzQ0g5yZiR4B2MmoSHbMJsFiCYM/edit#gid=2104808790", "https://docs.google.com/spreadsheets/d/1iFIywCDqHWKhd1QlBzQ0g5yZiR4B2MmoSHbMJsFiCYM/edit#gid=2104808790")</f>
        <v>https://docs.google.com/spreadsheets/d/1iFIywCDqHWKhd1QlBzQ0g5yZiR4B2MmoSHbMJsFiCYM/edit#gid=2104808790</v>
      </c>
      <c r="H143" s="32" t="s">
        <v>338</v>
      </c>
      <c r="I143" s="11"/>
      <c r="J143" s="11"/>
      <c r="K143" s="11"/>
      <c r="L143" s="11"/>
      <c r="M143" s="15"/>
      <c r="N143" s="15"/>
      <c r="O143" s="15"/>
      <c r="P143" s="15"/>
      <c r="Q143" s="15"/>
      <c r="R143" s="15"/>
      <c r="S143" s="15"/>
      <c r="T143" s="15"/>
      <c r="U143" s="15"/>
      <c r="V143" s="15"/>
      <c r="W143" s="15"/>
      <c r="X143" s="15"/>
      <c r="Y143" s="15"/>
      <c r="Z143" s="15"/>
      <c r="AA143" s="15"/>
      <c r="AB143" s="15"/>
      <c r="AC143" s="15"/>
      <c r="AD143" s="15"/>
      <c r="AE143" s="15"/>
      <c r="AF143" s="15"/>
      <c r="AG143" s="15"/>
      <c r="AH143" s="15"/>
    </row>
    <row r="144" ht="15.75" customHeight="1">
      <c r="A144" s="15"/>
      <c r="B144" s="15"/>
      <c r="C144" s="21"/>
      <c r="D144" s="15"/>
      <c r="E144" s="32" t="s">
        <v>88</v>
      </c>
      <c r="F144" s="32" t="s">
        <v>95</v>
      </c>
      <c r="G144" s="70" t="str">
        <f>HYPERLINK("https://docs.google.com/spreadsheets/d/1iFIywCDqHWKhd1QlBzQ0g5yZiR4B2MmoSHbMJsFiCYM/edit#gid=905242217", "https://docs.google.com/spreadsheets/d/1iFIywCDqHWKhd1QlBzQ0g5yZiR4B2MmoSHbMJsFiCYM/edit#gid=905242217")</f>
        <v>https://docs.google.com/spreadsheets/d/1iFIywCDqHWKhd1QlBzQ0g5yZiR4B2MmoSHbMJsFiCYM/edit#gid=905242217</v>
      </c>
      <c r="H144" s="32" t="s">
        <v>95</v>
      </c>
      <c r="I144" s="11"/>
      <c r="J144" s="11"/>
      <c r="K144" s="11"/>
      <c r="L144" s="11"/>
      <c r="M144" s="15"/>
      <c r="N144" s="15"/>
      <c r="O144" s="15"/>
      <c r="P144" s="15"/>
      <c r="Q144" s="15"/>
      <c r="R144" s="15"/>
      <c r="S144" s="15"/>
      <c r="T144" s="15"/>
      <c r="U144" s="15"/>
      <c r="V144" s="15"/>
      <c r="W144" s="15"/>
      <c r="X144" s="15"/>
      <c r="Y144" s="15"/>
      <c r="Z144" s="15"/>
      <c r="AA144" s="15"/>
      <c r="AB144" s="15"/>
      <c r="AC144" s="15"/>
      <c r="AD144" s="15"/>
      <c r="AE144" s="15"/>
      <c r="AF144" s="15"/>
      <c r="AG144" s="15"/>
      <c r="AH144" s="15"/>
    </row>
    <row r="145" ht="15.75" customHeight="1">
      <c r="A145" s="15"/>
      <c r="B145" s="15"/>
      <c r="C145" s="21"/>
      <c r="D145" s="15"/>
      <c r="E145" s="32" t="s">
        <v>88</v>
      </c>
      <c r="F145" s="32" t="s">
        <v>96</v>
      </c>
      <c r="G145" s="70" t="str">
        <f>HYPERLINK("https://docs.google.com/spreadsheets/d/1iFIywCDqHWKhd1QlBzQ0g5yZiR4B2MmoSHbMJsFiCYM/edit#gid=1053725950", "https://docs.google.com/spreadsheets/d/1iFIywCDqHWKhd1QlBzQ0g5yZiR4B2MmoSHbMJsFiCYM/edit#gid=1053725950")</f>
        <v>https://docs.google.com/spreadsheets/d/1iFIywCDqHWKhd1QlBzQ0g5yZiR4B2MmoSHbMJsFiCYM/edit#gid=1053725950</v>
      </c>
      <c r="H145" s="32" t="s">
        <v>96</v>
      </c>
      <c r="I145" s="11"/>
      <c r="J145" s="11"/>
      <c r="K145" s="11"/>
      <c r="L145" s="11"/>
      <c r="M145" s="15"/>
      <c r="N145" s="15"/>
      <c r="O145" s="15"/>
      <c r="P145" s="15"/>
      <c r="Q145" s="15"/>
      <c r="R145" s="15"/>
      <c r="S145" s="15"/>
      <c r="T145" s="15"/>
      <c r="U145" s="15"/>
      <c r="V145" s="15"/>
      <c r="W145" s="15"/>
      <c r="X145" s="15"/>
      <c r="Y145" s="15"/>
      <c r="Z145" s="15"/>
      <c r="AA145" s="15"/>
      <c r="AB145" s="15"/>
      <c r="AC145" s="15"/>
      <c r="AD145" s="15"/>
      <c r="AE145" s="15"/>
      <c r="AF145" s="15"/>
      <c r="AG145" s="15"/>
      <c r="AH145" s="15"/>
    </row>
    <row r="146" ht="15.75" customHeight="1">
      <c r="A146" s="15"/>
      <c r="B146" s="15"/>
      <c r="C146" s="21"/>
      <c r="D146" s="15"/>
      <c r="E146" s="15"/>
      <c r="F146" s="15"/>
      <c r="G146" s="15"/>
      <c r="H146" s="15"/>
      <c r="I146" s="11"/>
      <c r="J146" s="11"/>
      <c r="K146" s="11"/>
      <c r="L146" s="11"/>
      <c r="M146" s="15"/>
      <c r="N146" s="15"/>
      <c r="O146" s="15"/>
      <c r="P146" s="15"/>
      <c r="Q146" s="15"/>
      <c r="R146" s="15"/>
      <c r="S146" s="15"/>
      <c r="T146" s="15"/>
      <c r="U146" s="15"/>
      <c r="V146" s="15"/>
      <c r="W146" s="15"/>
      <c r="X146" s="15"/>
      <c r="Y146" s="15"/>
      <c r="Z146" s="15"/>
      <c r="AA146" s="15"/>
      <c r="AB146" s="15"/>
      <c r="AC146" s="15"/>
      <c r="AD146" s="15"/>
      <c r="AE146" s="15"/>
      <c r="AF146" s="15"/>
      <c r="AG146" s="15"/>
      <c r="AH146" s="15"/>
    </row>
    <row r="147" ht="15.75" customHeight="1">
      <c r="A147" s="15"/>
      <c r="B147" s="32" t="s">
        <v>2018</v>
      </c>
      <c r="C147" s="66" t="s">
        <v>2015</v>
      </c>
      <c r="D147" s="32" t="s">
        <v>20</v>
      </c>
      <c r="E147" s="32" t="s">
        <v>89</v>
      </c>
      <c r="F147" s="32" t="s">
        <v>291</v>
      </c>
      <c r="G147" s="15"/>
      <c r="H147" s="15"/>
      <c r="I147" s="11"/>
      <c r="J147" s="11"/>
      <c r="K147" s="11"/>
      <c r="L147" s="11"/>
      <c r="M147" s="15"/>
      <c r="N147" s="15"/>
      <c r="O147" s="15"/>
      <c r="P147" s="15"/>
      <c r="Q147" s="15"/>
      <c r="R147" s="15"/>
      <c r="S147" s="15"/>
      <c r="T147" s="15"/>
      <c r="U147" s="15"/>
      <c r="V147" s="15"/>
      <c r="W147" s="15"/>
      <c r="X147" s="15"/>
      <c r="Y147" s="15"/>
      <c r="Z147" s="15"/>
      <c r="AA147" s="15"/>
      <c r="AB147" s="15"/>
      <c r="AC147" s="15"/>
      <c r="AD147" s="15"/>
      <c r="AE147" s="15"/>
      <c r="AF147" s="15"/>
      <c r="AG147" s="15"/>
      <c r="AH147" s="15"/>
    </row>
    <row r="148" ht="15.75" customHeight="1">
      <c r="A148" s="15"/>
      <c r="B148" s="32" t="s">
        <v>2019</v>
      </c>
      <c r="C148" s="208" t="s">
        <v>2020</v>
      </c>
      <c r="D148" s="32" t="s">
        <v>20</v>
      </c>
      <c r="E148" s="32" t="s">
        <v>178</v>
      </c>
      <c r="F148" s="32" t="s">
        <v>201</v>
      </c>
      <c r="G148" s="70" t="str">
        <f>HYPERLINK("https://docs.google.com/spreadsheets/d/1KMhXe9tY0eMaYX9ZyoujS3bpBQWLVDhPOzn9hGxei5Q/edit#gid=379049203", "https://docs.google.com/spreadsheets/d/1KMhXe9tY0eMaYX9ZyoujS3bpBQWLVDhPOzn9hGxei5Q/edit#gid=379049203")</f>
        <v>https://docs.google.com/spreadsheets/d/1KMhXe9tY0eMaYX9ZyoujS3bpBQWLVDhPOzn9hGxei5Q/edit#gid=379049203</v>
      </c>
      <c r="H148" s="32" t="s">
        <v>201</v>
      </c>
      <c r="I148" s="11"/>
      <c r="J148" s="11"/>
      <c r="K148" s="11"/>
      <c r="L148" s="11"/>
      <c r="M148" s="15"/>
      <c r="N148" s="15"/>
      <c r="O148" s="15"/>
      <c r="P148" s="15"/>
      <c r="Q148" s="15"/>
      <c r="R148" s="15"/>
      <c r="S148" s="15"/>
      <c r="T148" s="15"/>
      <c r="U148" s="15"/>
      <c r="V148" s="15"/>
      <c r="W148" s="15"/>
      <c r="X148" s="15"/>
      <c r="Y148" s="15"/>
      <c r="Z148" s="15"/>
      <c r="AA148" s="15"/>
      <c r="AB148" s="15"/>
      <c r="AC148" s="15"/>
      <c r="AD148" s="15"/>
      <c r="AE148" s="15"/>
      <c r="AF148" s="15"/>
      <c r="AG148" s="15"/>
      <c r="AH148" s="15"/>
    </row>
    <row r="149" ht="15.75" customHeight="1">
      <c r="A149" s="15"/>
      <c r="B149" s="15"/>
      <c r="C149" s="21"/>
      <c r="D149" s="15"/>
      <c r="E149" s="32" t="s">
        <v>178</v>
      </c>
      <c r="F149" s="32" t="s">
        <v>202</v>
      </c>
      <c r="G149" s="70" t="str">
        <f>HYPERLINK("https://docs.google.com/spreadsheets/d/1KMhXe9tY0eMaYX9ZyoujS3bpBQWLVDhPOzn9hGxei5Q/edit#gid=1333884011", "https://docs.google.com/spreadsheets/d/1KMhXe9tY0eMaYX9ZyoujS3bpBQWLVDhPOzn9hGxei5Q/edit#gid=1333884011")</f>
        <v>https://docs.google.com/spreadsheets/d/1KMhXe9tY0eMaYX9ZyoujS3bpBQWLVDhPOzn9hGxei5Q/edit#gid=1333884011</v>
      </c>
      <c r="H149" s="32" t="s">
        <v>202</v>
      </c>
      <c r="I149" s="11"/>
      <c r="J149" s="11"/>
      <c r="K149" s="11"/>
      <c r="L149" s="11"/>
      <c r="M149" s="15"/>
      <c r="N149" s="15"/>
      <c r="O149" s="15"/>
      <c r="P149" s="15"/>
      <c r="Q149" s="15"/>
      <c r="R149" s="15"/>
      <c r="S149" s="15"/>
      <c r="T149" s="15"/>
      <c r="U149" s="15"/>
      <c r="V149" s="15"/>
      <c r="W149" s="15"/>
      <c r="X149" s="15"/>
      <c r="Y149" s="15"/>
      <c r="Z149" s="15"/>
      <c r="AA149" s="15"/>
      <c r="AB149" s="15"/>
      <c r="AC149" s="15"/>
      <c r="AD149" s="15"/>
      <c r="AE149" s="15"/>
      <c r="AF149" s="15"/>
      <c r="AG149" s="15"/>
      <c r="AH149" s="15"/>
    </row>
    <row r="150" ht="15.75" customHeight="1">
      <c r="A150" s="15"/>
      <c r="B150" s="15"/>
      <c r="C150" s="21"/>
      <c r="D150" s="15"/>
      <c r="E150" s="32" t="s">
        <v>21</v>
      </c>
      <c r="F150" s="32" t="s">
        <v>51</v>
      </c>
      <c r="G150" s="70" t="str">
        <f>HYPERLINK("https://docs.google.com/spreadsheets/d/1KMhXe9tY0eMaYX9ZyoujS3bpBQWLVDhPOzn9hGxei5Q/edit#gid=1690508381", "https://docs.google.com/spreadsheets/d/1KMhXe9tY0eMaYX9ZyoujS3bpBQWLVDhPOzn9hGxei5Q/edit#gid=1690508381")</f>
        <v>https://docs.google.com/spreadsheets/d/1KMhXe9tY0eMaYX9ZyoujS3bpBQWLVDhPOzn9hGxei5Q/edit#gid=1690508381</v>
      </c>
      <c r="H150" s="32" t="s">
        <v>51</v>
      </c>
      <c r="I150" s="11"/>
      <c r="J150" s="11"/>
      <c r="K150" s="11"/>
      <c r="L150" s="11"/>
      <c r="M150" s="15"/>
      <c r="N150" s="15"/>
      <c r="O150" s="15"/>
      <c r="P150" s="15"/>
      <c r="Q150" s="15"/>
      <c r="R150" s="15"/>
      <c r="S150" s="15"/>
      <c r="T150" s="15"/>
      <c r="U150" s="15"/>
      <c r="V150" s="15"/>
      <c r="W150" s="15"/>
      <c r="X150" s="15"/>
      <c r="Y150" s="15"/>
      <c r="Z150" s="15"/>
      <c r="AA150" s="15"/>
      <c r="AB150" s="15"/>
      <c r="AC150" s="15"/>
      <c r="AD150" s="15"/>
      <c r="AE150" s="15"/>
      <c r="AF150" s="15"/>
      <c r="AG150" s="15"/>
      <c r="AH150" s="15"/>
    </row>
    <row r="151" ht="15.75" customHeight="1">
      <c r="A151" s="15"/>
      <c r="B151" s="15"/>
      <c r="C151" s="21"/>
      <c r="D151" s="15"/>
      <c r="E151" s="32" t="s">
        <v>172</v>
      </c>
      <c r="F151" s="32" t="s">
        <v>203</v>
      </c>
      <c r="G151" s="70" t="str">
        <f>HYPERLINK("https://docs.google.com/spreadsheets/d/1KMhXe9tY0eMaYX9ZyoujS3bpBQWLVDhPOzn9hGxei5Q/edit#gid=1268607528", "https://docs.google.com/spreadsheets/d/1KMhXe9tY0eMaYX9ZyoujS3bpBQWLVDhPOzn9hGxei5Q/edit#gid=1268607528")</f>
        <v>https://docs.google.com/spreadsheets/d/1KMhXe9tY0eMaYX9ZyoujS3bpBQWLVDhPOzn9hGxei5Q/edit#gid=1268607528</v>
      </c>
      <c r="H151" s="32" t="s">
        <v>203</v>
      </c>
      <c r="I151" s="11"/>
      <c r="J151" s="11"/>
      <c r="K151" s="11"/>
      <c r="L151" s="11"/>
      <c r="M151" s="15"/>
      <c r="N151" s="15"/>
      <c r="O151" s="15"/>
      <c r="P151" s="15"/>
      <c r="Q151" s="15"/>
      <c r="R151" s="15"/>
      <c r="S151" s="15"/>
      <c r="T151" s="15"/>
      <c r="U151" s="15"/>
      <c r="V151" s="15"/>
      <c r="W151" s="15"/>
      <c r="X151" s="15"/>
      <c r="Y151" s="15"/>
      <c r="Z151" s="15"/>
      <c r="AA151" s="15"/>
      <c r="AB151" s="15"/>
      <c r="AC151" s="15"/>
      <c r="AD151" s="15"/>
      <c r="AE151" s="15"/>
      <c r="AF151" s="15"/>
      <c r="AG151" s="15"/>
      <c r="AH151" s="15"/>
    </row>
    <row r="152" ht="15.75" customHeight="1">
      <c r="A152" s="15"/>
      <c r="B152" s="15"/>
      <c r="C152" s="21"/>
      <c r="D152" s="15"/>
      <c r="E152" s="32" t="s">
        <v>172</v>
      </c>
      <c r="F152" s="32" t="s">
        <v>204</v>
      </c>
      <c r="G152" s="70" t="str">
        <f>HYPERLINK("https://docs.google.com/spreadsheets/d/1KMhXe9tY0eMaYX9ZyoujS3bpBQWLVDhPOzn9hGxei5Q/edit#gid=1048165680", "https://docs.google.com/spreadsheets/d/1KMhXe9tY0eMaYX9ZyoujS3bpBQWLVDhPOzn9hGxei5Q/edit#gid=1048165680")</f>
        <v>https://docs.google.com/spreadsheets/d/1KMhXe9tY0eMaYX9ZyoujS3bpBQWLVDhPOzn9hGxei5Q/edit#gid=1048165680</v>
      </c>
      <c r="H152" s="32" t="s">
        <v>204</v>
      </c>
      <c r="I152" s="11"/>
      <c r="J152" s="11"/>
      <c r="K152" s="11"/>
      <c r="L152" s="11"/>
      <c r="M152" s="15"/>
      <c r="N152" s="15"/>
      <c r="O152" s="15"/>
      <c r="P152" s="15"/>
      <c r="Q152" s="15"/>
      <c r="R152" s="15"/>
      <c r="S152" s="15"/>
      <c r="T152" s="15"/>
      <c r="U152" s="15"/>
      <c r="V152" s="15"/>
      <c r="W152" s="15"/>
      <c r="X152" s="15"/>
      <c r="Y152" s="15"/>
      <c r="Z152" s="15"/>
      <c r="AA152" s="15"/>
      <c r="AB152" s="15"/>
      <c r="AC152" s="15"/>
      <c r="AD152" s="15"/>
      <c r="AE152" s="15"/>
      <c r="AF152" s="15"/>
      <c r="AG152" s="15"/>
      <c r="AH152" s="15"/>
    </row>
    <row r="153" ht="15.75" customHeight="1">
      <c r="A153" s="15"/>
      <c r="B153" s="15"/>
      <c r="C153" s="21"/>
      <c r="D153" s="15"/>
      <c r="E153" s="32" t="s">
        <v>178</v>
      </c>
      <c r="F153" s="32" t="s">
        <v>205</v>
      </c>
      <c r="G153" s="70" t="str">
        <f>HYPERLINK("https://docs.google.com/spreadsheets/d/1KMhXe9tY0eMaYX9ZyoujS3bpBQWLVDhPOzn9hGxei5Q/edit#gid=365291451", "https://docs.google.com/spreadsheets/d/1KMhXe9tY0eMaYX9ZyoujS3bpBQWLVDhPOzn9hGxei5Q/edit#gid=365291451")</f>
        <v>https://docs.google.com/spreadsheets/d/1KMhXe9tY0eMaYX9ZyoujS3bpBQWLVDhPOzn9hGxei5Q/edit#gid=365291451</v>
      </c>
      <c r="H153" s="32" t="s">
        <v>205</v>
      </c>
      <c r="I153" s="11"/>
      <c r="J153" s="11"/>
      <c r="K153" s="11"/>
      <c r="L153" s="11"/>
      <c r="M153" s="15"/>
      <c r="N153" s="15"/>
      <c r="O153" s="15"/>
      <c r="P153" s="15"/>
      <c r="Q153" s="15"/>
      <c r="R153" s="15"/>
      <c r="S153" s="15"/>
      <c r="T153" s="15"/>
      <c r="U153" s="15"/>
      <c r="V153" s="15"/>
      <c r="W153" s="15"/>
      <c r="X153" s="15"/>
      <c r="Y153" s="15"/>
      <c r="Z153" s="15"/>
      <c r="AA153" s="15"/>
      <c r="AB153" s="15"/>
      <c r="AC153" s="15"/>
      <c r="AD153" s="15"/>
      <c r="AE153" s="15"/>
      <c r="AF153" s="15"/>
      <c r="AG153" s="15"/>
      <c r="AH153" s="15"/>
    </row>
    <row r="154" ht="15.75" customHeight="1">
      <c r="A154" s="15"/>
      <c r="B154" s="15"/>
      <c r="C154" s="21"/>
      <c r="D154" s="15"/>
      <c r="E154" s="32" t="s">
        <v>178</v>
      </c>
      <c r="F154" s="32" t="s">
        <v>206</v>
      </c>
      <c r="G154" s="15"/>
      <c r="H154" s="36"/>
      <c r="L154" s="11"/>
      <c r="M154" s="15"/>
      <c r="N154" s="15"/>
      <c r="O154" s="15"/>
      <c r="P154" s="15"/>
      <c r="Q154" s="15"/>
      <c r="R154" s="15"/>
      <c r="S154" s="15"/>
      <c r="T154" s="15"/>
      <c r="U154" s="15"/>
      <c r="V154" s="15"/>
      <c r="W154" s="15"/>
      <c r="X154" s="15"/>
      <c r="Y154" s="15"/>
      <c r="Z154" s="15"/>
      <c r="AA154" s="15"/>
      <c r="AB154" s="15"/>
      <c r="AC154" s="15"/>
      <c r="AD154" s="15"/>
      <c r="AE154" s="15"/>
      <c r="AF154" s="15"/>
      <c r="AG154" s="15"/>
      <c r="AH154" s="15"/>
    </row>
    <row r="155" ht="15.75" customHeight="1">
      <c r="A155" s="15"/>
      <c r="B155" s="15"/>
      <c r="C155" s="21"/>
      <c r="D155" s="15"/>
      <c r="E155" s="32" t="s">
        <v>178</v>
      </c>
      <c r="F155" s="32" t="s">
        <v>207</v>
      </c>
      <c r="G155" s="70" t="str">
        <f>HYPERLINK("https://docs.google.com/spreadsheets/d/1KMhXe9tY0eMaYX9ZyoujS3bpBQWLVDhPOzn9hGxei5Q/edit#gid=1114175402", "https://docs.google.com/spreadsheets/d/1KMhXe9tY0eMaYX9ZyoujS3bpBQWLVDhPOzn9hGxei5Q/edit#gid=1114175402")</f>
        <v>https://docs.google.com/spreadsheets/d/1KMhXe9tY0eMaYX9ZyoujS3bpBQWLVDhPOzn9hGxei5Q/edit#gid=1114175402</v>
      </c>
      <c r="H155" s="32" t="s">
        <v>207</v>
      </c>
      <c r="I155" s="11"/>
      <c r="J155" s="11"/>
      <c r="K155" s="11"/>
      <c r="L155" s="11"/>
      <c r="M155" s="15"/>
      <c r="N155" s="15"/>
      <c r="O155" s="15"/>
      <c r="P155" s="15"/>
      <c r="Q155" s="15"/>
      <c r="R155" s="15"/>
      <c r="S155" s="15"/>
      <c r="T155" s="15"/>
      <c r="U155" s="15"/>
      <c r="V155" s="15"/>
      <c r="W155" s="15"/>
      <c r="X155" s="15"/>
      <c r="Y155" s="15"/>
      <c r="Z155" s="15"/>
      <c r="AA155" s="15"/>
      <c r="AB155" s="15"/>
      <c r="AC155" s="15"/>
      <c r="AD155" s="15"/>
      <c r="AE155" s="15"/>
      <c r="AF155" s="15"/>
      <c r="AG155" s="15"/>
      <c r="AH155" s="15"/>
    </row>
    <row r="156" ht="15.75" customHeight="1">
      <c r="A156" s="15"/>
      <c r="B156" s="15"/>
      <c r="C156" s="21"/>
      <c r="D156" s="15"/>
      <c r="E156" s="32" t="s">
        <v>178</v>
      </c>
      <c r="F156" s="32" t="s">
        <v>208</v>
      </c>
      <c r="G156" s="70" t="str">
        <f>HYPERLINK("https://docs.google.com/spreadsheets/d/1KMhXe9tY0eMaYX9ZyoujS3bpBQWLVDhPOzn9hGxei5Q/edit#gid=1419939483", "https://docs.google.com/spreadsheets/d/1KMhXe9tY0eMaYX9ZyoujS3bpBQWLVDhPOzn9hGxei5Q/edit#gid=1419939483")</f>
        <v>https://docs.google.com/spreadsheets/d/1KMhXe9tY0eMaYX9ZyoujS3bpBQWLVDhPOzn9hGxei5Q/edit#gid=1419939483</v>
      </c>
      <c r="H156" s="32" t="s">
        <v>208</v>
      </c>
      <c r="I156" s="11"/>
      <c r="J156" s="11"/>
      <c r="K156" s="11"/>
      <c r="L156" s="11"/>
      <c r="M156" s="15"/>
      <c r="N156" s="15"/>
      <c r="O156" s="15"/>
      <c r="P156" s="15"/>
      <c r="Q156" s="15"/>
      <c r="R156" s="15"/>
      <c r="S156" s="15"/>
      <c r="T156" s="15"/>
      <c r="U156" s="15"/>
      <c r="V156" s="15"/>
      <c r="W156" s="15"/>
      <c r="X156" s="15"/>
      <c r="Y156" s="15"/>
      <c r="Z156" s="15"/>
      <c r="AA156" s="15"/>
      <c r="AB156" s="15"/>
      <c r="AC156" s="15"/>
      <c r="AD156" s="15"/>
      <c r="AE156" s="15"/>
      <c r="AF156" s="15"/>
      <c r="AG156" s="15"/>
      <c r="AH156" s="15"/>
    </row>
    <row r="157" ht="15.75" customHeight="1">
      <c r="A157" s="15"/>
      <c r="B157" s="15"/>
      <c r="C157" s="21"/>
      <c r="D157" s="15"/>
      <c r="E157" s="32" t="s">
        <v>21</v>
      </c>
      <c r="F157" s="32" t="s">
        <v>51</v>
      </c>
      <c r="G157" s="70" t="str">
        <f>HYPERLINK("https://docs.google.com/spreadsheets/d/1KMhXe9tY0eMaYX9ZyoujS3bpBQWLVDhPOzn9hGxei5Q/edit#gid=821705363", "https://docs.google.com/spreadsheets/d/1KMhXe9tY0eMaYX9ZyoujS3bpBQWLVDhPOzn9hGxei5Q/edit#gid=821705363")</f>
        <v>https://docs.google.com/spreadsheets/d/1KMhXe9tY0eMaYX9ZyoujS3bpBQWLVDhPOzn9hGxei5Q/edit#gid=821705363</v>
      </c>
      <c r="H157" s="32" t="s">
        <v>1383</v>
      </c>
      <c r="I157" s="11"/>
      <c r="J157" s="11"/>
      <c r="K157" s="11"/>
      <c r="L157" s="11"/>
      <c r="M157" s="15"/>
      <c r="N157" s="15"/>
      <c r="O157" s="15"/>
      <c r="P157" s="15"/>
      <c r="Q157" s="15"/>
      <c r="R157" s="15"/>
      <c r="S157" s="15"/>
      <c r="T157" s="15"/>
      <c r="U157" s="15"/>
      <c r="V157" s="15"/>
      <c r="W157" s="15"/>
      <c r="X157" s="15"/>
      <c r="Y157" s="15"/>
      <c r="Z157" s="15"/>
      <c r="AA157" s="15"/>
      <c r="AB157" s="15"/>
      <c r="AC157" s="15"/>
      <c r="AD157" s="15"/>
      <c r="AE157" s="15"/>
      <c r="AF157" s="15"/>
      <c r="AG157" s="15"/>
      <c r="AH157" s="15"/>
    </row>
    <row r="158" ht="15.75" customHeight="1">
      <c r="A158" s="15"/>
      <c r="B158" s="15"/>
      <c r="C158" s="21"/>
      <c r="D158" s="15"/>
      <c r="E158" s="32" t="s">
        <v>86</v>
      </c>
      <c r="F158" s="32" t="s">
        <v>90</v>
      </c>
      <c r="G158" s="70" t="str">
        <f>HYPERLINK("https://docs.google.com/spreadsheets/d/1KMhXe9tY0eMaYX9ZyoujS3bpBQWLVDhPOzn9hGxei5Q/edit#gid=112557085", "https://docs.google.com/spreadsheets/d/1KMhXe9tY0eMaYX9ZyoujS3bpBQWLVDhPOzn9hGxei5Q/edit#gid=112557085")</f>
        <v>https://docs.google.com/spreadsheets/d/1KMhXe9tY0eMaYX9ZyoujS3bpBQWLVDhPOzn9hGxei5Q/edit#gid=112557085</v>
      </c>
      <c r="H158" s="32" t="s">
        <v>90</v>
      </c>
      <c r="I158" s="11"/>
      <c r="J158" s="11"/>
      <c r="K158" s="11"/>
      <c r="L158" s="11"/>
      <c r="M158" s="15"/>
      <c r="N158" s="15"/>
      <c r="O158" s="15"/>
      <c r="P158" s="15"/>
      <c r="Q158" s="15"/>
      <c r="R158" s="15"/>
      <c r="S158" s="15"/>
      <c r="T158" s="15"/>
      <c r="U158" s="15"/>
      <c r="V158" s="15"/>
      <c r="W158" s="15"/>
      <c r="X158" s="15"/>
      <c r="Y158" s="15"/>
      <c r="Z158" s="15"/>
      <c r="AA158" s="15"/>
      <c r="AB158" s="15"/>
      <c r="AC158" s="15"/>
      <c r="AD158" s="15"/>
      <c r="AE158" s="15"/>
      <c r="AF158" s="15"/>
      <c r="AG158" s="15"/>
      <c r="AH158" s="15"/>
    </row>
    <row r="159" ht="15.75" customHeight="1">
      <c r="A159" s="15"/>
      <c r="B159" s="15"/>
      <c r="C159" s="21"/>
      <c r="D159" s="15"/>
      <c r="E159" s="32" t="s">
        <v>86</v>
      </c>
      <c r="F159" s="32" t="s">
        <v>339</v>
      </c>
      <c r="G159" s="70" t="str">
        <f>HYPERLINK("https://docs.google.com/spreadsheets/d/1KMhXe9tY0eMaYX9ZyoujS3bpBQWLVDhPOzn9hGxei5Q/edit#gid=1155996084", "https://docs.google.com/spreadsheets/d/1KMhXe9tY0eMaYX9ZyoujS3bpBQWLVDhPOzn9hGxei5Q/edit#gid=1155996084")</f>
        <v>https://docs.google.com/spreadsheets/d/1KMhXe9tY0eMaYX9ZyoujS3bpBQWLVDhPOzn9hGxei5Q/edit#gid=1155996084</v>
      </c>
      <c r="H159" s="32" t="s">
        <v>339</v>
      </c>
      <c r="I159" s="11"/>
      <c r="J159" s="11"/>
      <c r="K159" s="11"/>
      <c r="L159" s="11"/>
      <c r="M159" s="15"/>
      <c r="N159" s="15"/>
      <c r="O159" s="15"/>
      <c r="P159" s="15"/>
      <c r="Q159" s="15"/>
      <c r="R159" s="15"/>
      <c r="S159" s="15"/>
      <c r="T159" s="15"/>
      <c r="U159" s="15"/>
      <c r="V159" s="15"/>
      <c r="W159" s="15"/>
      <c r="X159" s="15"/>
      <c r="Y159" s="15"/>
      <c r="Z159" s="15"/>
      <c r="AA159" s="15"/>
      <c r="AB159" s="15"/>
      <c r="AC159" s="15"/>
      <c r="AD159" s="15"/>
      <c r="AE159" s="15"/>
      <c r="AF159" s="15"/>
      <c r="AG159" s="15"/>
      <c r="AH159" s="15"/>
    </row>
    <row r="160" ht="15.75" customHeight="1">
      <c r="A160" s="15"/>
      <c r="B160" s="15"/>
      <c r="C160" s="21"/>
      <c r="D160" s="15"/>
      <c r="E160" s="32" t="s">
        <v>172</v>
      </c>
      <c r="F160" s="32" t="s">
        <v>203</v>
      </c>
      <c r="G160" s="70" t="str">
        <f>HYPERLINK("https://docs.google.com/spreadsheets/d/1KMhXe9tY0eMaYX9ZyoujS3bpBQWLVDhPOzn9hGxei5Q/edit#gid=1130669026", "https://docs.google.com/spreadsheets/d/1KMhXe9tY0eMaYX9ZyoujS3bpBQWLVDhPOzn9hGxei5Q/edit#gid=1130669026")</f>
        <v>https://docs.google.com/spreadsheets/d/1KMhXe9tY0eMaYX9ZyoujS3bpBQWLVDhPOzn9hGxei5Q/edit#gid=1130669026</v>
      </c>
      <c r="H160" s="32" t="s">
        <v>1995</v>
      </c>
      <c r="I160" s="11"/>
      <c r="J160" s="11"/>
      <c r="K160" s="11"/>
      <c r="L160" s="11"/>
      <c r="M160" s="15"/>
      <c r="N160" s="15"/>
      <c r="O160" s="15"/>
      <c r="P160" s="15"/>
      <c r="Q160" s="15"/>
      <c r="R160" s="15"/>
      <c r="S160" s="15"/>
      <c r="T160" s="15"/>
      <c r="U160" s="15"/>
      <c r="V160" s="15"/>
      <c r="W160" s="15"/>
      <c r="X160" s="15"/>
      <c r="Y160" s="15"/>
      <c r="Z160" s="15"/>
      <c r="AA160" s="15"/>
      <c r="AB160" s="15"/>
      <c r="AC160" s="15"/>
      <c r="AD160" s="15"/>
      <c r="AE160" s="15"/>
      <c r="AF160" s="15"/>
      <c r="AG160" s="15"/>
      <c r="AH160" s="15"/>
    </row>
    <row r="161" ht="15.75" customHeight="1">
      <c r="A161" s="15"/>
      <c r="B161" s="15"/>
      <c r="C161" s="21"/>
      <c r="D161" s="15"/>
      <c r="E161" s="32" t="s">
        <v>172</v>
      </c>
      <c r="F161" s="32" t="s">
        <v>204</v>
      </c>
      <c r="G161" s="70" t="str">
        <f>HYPERLINK("https://docs.google.com/spreadsheets/d/1KMhXe9tY0eMaYX9ZyoujS3bpBQWLVDhPOzn9hGxei5Q/edit#gid=1540507502", "https://docs.google.com/spreadsheets/d/1KMhXe9tY0eMaYX9ZyoujS3bpBQWLVDhPOzn9hGxei5Q/edit#gid=1540507502")</f>
        <v>https://docs.google.com/spreadsheets/d/1KMhXe9tY0eMaYX9ZyoujS3bpBQWLVDhPOzn9hGxei5Q/edit#gid=1540507502</v>
      </c>
      <c r="H161" s="32" t="s">
        <v>1996</v>
      </c>
      <c r="I161" s="11"/>
      <c r="J161" s="11"/>
      <c r="K161" s="11"/>
      <c r="L161" s="11"/>
      <c r="M161" s="15"/>
      <c r="N161" s="15"/>
      <c r="O161" s="15"/>
      <c r="P161" s="15"/>
      <c r="Q161" s="15"/>
      <c r="R161" s="15"/>
      <c r="S161" s="15"/>
      <c r="T161" s="15"/>
      <c r="U161" s="15"/>
      <c r="V161" s="15"/>
      <c r="W161" s="15"/>
      <c r="X161" s="15"/>
      <c r="Y161" s="15"/>
      <c r="Z161" s="15"/>
      <c r="AA161" s="15"/>
      <c r="AB161" s="15"/>
      <c r="AC161" s="15"/>
      <c r="AD161" s="15"/>
      <c r="AE161" s="15"/>
      <c r="AF161" s="15"/>
      <c r="AG161" s="15"/>
      <c r="AH161" s="15"/>
    </row>
    <row r="162" ht="15.75" customHeight="1">
      <c r="A162" s="15"/>
      <c r="B162" s="15"/>
      <c r="C162" s="21"/>
      <c r="D162" s="15"/>
      <c r="E162" s="32" t="s">
        <v>178</v>
      </c>
      <c r="F162" s="32" t="s">
        <v>205</v>
      </c>
      <c r="G162" s="70" t="str">
        <f>HYPERLINK("https://docs.google.com/spreadsheets/d/1KMhXe9tY0eMaYX9ZyoujS3bpBQWLVDhPOzn9hGxei5Q/edit#gid=879970602", "https://docs.google.com/spreadsheets/d/1KMhXe9tY0eMaYX9ZyoujS3bpBQWLVDhPOzn9hGxei5Q/edit#gid=879970602")</f>
        <v>https://docs.google.com/spreadsheets/d/1KMhXe9tY0eMaYX9ZyoujS3bpBQWLVDhPOzn9hGxei5Q/edit#gid=879970602</v>
      </c>
      <c r="H162" s="32" t="s">
        <v>1997</v>
      </c>
      <c r="I162" s="11"/>
      <c r="J162" s="11"/>
      <c r="K162" s="11"/>
      <c r="L162" s="11"/>
      <c r="M162" s="15"/>
      <c r="N162" s="15"/>
      <c r="O162" s="15"/>
      <c r="P162" s="15"/>
      <c r="Q162" s="15"/>
      <c r="R162" s="15"/>
      <c r="S162" s="15"/>
      <c r="T162" s="15"/>
      <c r="U162" s="15"/>
      <c r="V162" s="15"/>
      <c r="W162" s="15"/>
      <c r="X162" s="15"/>
      <c r="Y162" s="15"/>
      <c r="Z162" s="15"/>
      <c r="AA162" s="15"/>
      <c r="AB162" s="15"/>
      <c r="AC162" s="15"/>
      <c r="AD162" s="15"/>
      <c r="AE162" s="15"/>
      <c r="AF162" s="15"/>
      <c r="AG162" s="15"/>
      <c r="AH162" s="15"/>
    </row>
    <row r="163" ht="15.75" customHeight="1">
      <c r="A163" s="15"/>
      <c r="B163" s="15"/>
      <c r="C163" s="21"/>
      <c r="D163" s="15"/>
      <c r="E163" s="32" t="s">
        <v>178</v>
      </c>
      <c r="F163" s="32" t="s">
        <v>206</v>
      </c>
      <c r="G163" s="15"/>
      <c r="H163" s="36"/>
      <c r="L163" s="11"/>
      <c r="M163" s="15"/>
      <c r="N163" s="15"/>
      <c r="O163" s="15"/>
      <c r="P163" s="15"/>
      <c r="Q163" s="15"/>
      <c r="R163" s="15"/>
      <c r="S163" s="15"/>
      <c r="T163" s="15"/>
      <c r="U163" s="15"/>
      <c r="V163" s="15"/>
      <c r="W163" s="15"/>
      <c r="X163" s="15"/>
      <c r="Y163" s="15"/>
      <c r="Z163" s="15"/>
      <c r="AA163" s="15"/>
      <c r="AB163" s="15"/>
      <c r="AC163" s="15"/>
      <c r="AD163" s="15"/>
      <c r="AE163" s="15"/>
      <c r="AF163" s="15"/>
      <c r="AG163" s="15"/>
      <c r="AH163" s="15"/>
    </row>
    <row r="164" ht="15.75" customHeight="1">
      <c r="A164" s="15"/>
      <c r="B164" s="15"/>
      <c r="C164" s="21"/>
      <c r="D164" s="15"/>
      <c r="E164" s="32" t="s">
        <v>178</v>
      </c>
      <c r="F164" s="32" t="s">
        <v>207</v>
      </c>
      <c r="G164" s="70" t="str">
        <f>HYPERLINK("https://docs.google.com/spreadsheets/d/1KMhXe9tY0eMaYX9ZyoujS3bpBQWLVDhPOzn9hGxei5Q/edit#gid=306598931", "https://docs.google.com/spreadsheets/d/1KMhXe9tY0eMaYX9ZyoujS3bpBQWLVDhPOzn9hGxei5Q/edit#gid=306598931")</f>
        <v>https://docs.google.com/spreadsheets/d/1KMhXe9tY0eMaYX9ZyoujS3bpBQWLVDhPOzn9hGxei5Q/edit#gid=306598931</v>
      </c>
      <c r="H164" s="32" t="s">
        <v>1998</v>
      </c>
      <c r="I164" s="11"/>
      <c r="J164" s="11"/>
      <c r="K164" s="11"/>
      <c r="L164" s="11"/>
      <c r="M164" s="15"/>
      <c r="N164" s="15"/>
      <c r="O164" s="15"/>
      <c r="P164" s="15"/>
      <c r="Q164" s="15"/>
      <c r="R164" s="15"/>
      <c r="S164" s="15"/>
      <c r="T164" s="15"/>
      <c r="U164" s="15"/>
      <c r="V164" s="15"/>
      <c r="W164" s="15"/>
      <c r="X164" s="15"/>
      <c r="Y164" s="15"/>
      <c r="Z164" s="15"/>
      <c r="AA164" s="15"/>
      <c r="AB164" s="15"/>
      <c r="AC164" s="15"/>
      <c r="AD164" s="15"/>
      <c r="AE164" s="15"/>
      <c r="AF164" s="15"/>
      <c r="AG164" s="15"/>
      <c r="AH164" s="15"/>
    </row>
    <row r="165" ht="15.75" customHeight="1">
      <c r="A165" s="15"/>
      <c r="B165" s="15"/>
      <c r="C165" s="21"/>
      <c r="D165" s="15"/>
      <c r="E165" s="32" t="s">
        <v>178</v>
      </c>
      <c r="F165" s="32" t="s">
        <v>208</v>
      </c>
      <c r="G165" s="70" t="str">
        <f>HYPERLINK("https://docs.google.com/spreadsheets/d/1KMhXe9tY0eMaYX9ZyoujS3bpBQWLVDhPOzn9hGxei5Q/edit#gid=815896754", "https://docs.google.com/spreadsheets/d/1KMhXe9tY0eMaYX9ZyoujS3bpBQWLVDhPOzn9hGxei5Q/edit#gid=815896754")</f>
        <v>https://docs.google.com/spreadsheets/d/1KMhXe9tY0eMaYX9ZyoujS3bpBQWLVDhPOzn9hGxei5Q/edit#gid=815896754</v>
      </c>
      <c r="H165" s="32" t="s">
        <v>2002</v>
      </c>
      <c r="I165" s="11"/>
      <c r="J165" s="11"/>
      <c r="K165" s="11"/>
      <c r="L165" s="11"/>
      <c r="M165" s="15"/>
      <c r="N165" s="15"/>
      <c r="O165" s="15"/>
      <c r="P165" s="15"/>
      <c r="Q165" s="15"/>
      <c r="R165" s="15"/>
      <c r="S165" s="15"/>
      <c r="T165" s="15"/>
      <c r="U165" s="15"/>
      <c r="V165" s="15"/>
      <c r="W165" s="15"/>
      <c r="X165" s="15"/>
      <c r="Y165" s="15"/>
      <c r="Z165" s="15"/>
      <c r="AA165" s="15"/>
      <c r="AB165" s="15"/>
      <c r="AC165" s="15"/>
      <c r="AD165" s="15"/>
      <c r="AE165" s="15"/>
      <c r="AF165" s="15"/>
      <c r="AG165" s="15"/>
      <c r="AH165" s="15"/>
    </row>
    <row r="166" ht="15.75" customHeight="1">
      <c r="A166" s="15"/>
      <c r="B166" s="15"/>
      <c r="C166" s="21"/>
      <c r="D166" s="15"/>
      <c r="E166" s="32" t="s">
        <v>178</v>
      </c>
      <c r="F166" s="32" t="s">
        <v>182</v>
      </c>
      <c r="G166" s="70" t="str">
        <f>HYPERLINK("https://docs.google.com/spreadsheets/d/1KMhXe9tY0eMaYX9ZyoujS3bpBQWLVDhPOzn9hGxei5Q/edit#gid=321809557", "https://docs.google.com/spreadsheets/d/1KMhXe9tY0eMaYX9ZyoujS3bpBQWLVDhPOzn9hGxei5Q/edit#gid=321809557")</f>
        <v>https://docs.google.com/spreadsheets/d/1KMhXe9tY0eMaYX9ZyoujS3bpBQWLVDhPOzn9hGxei5Q/edit#gid=321809557</v>
      </c>
      <c r="H166" s="32" t="s">
        <v>182</v>
      </c>
      <c r="I166" s="11"/>
      <c r="J166" s="11"/>
      <c r="K166" s="11"/>
      <c r="L166" s="11"/>
      <c r="M166" s="15"/>
      <c r="N166" s="15"/>
      <c r="O166" s="15"/>
      <c r="P166" s="15"/>
      <c r="Q166" s="15"/>
      <c r="R166" s="15"/>
      <c r="S166" s="15"/>
      <c r="T166" s="15"/>
      <c r="U166" s="15"/>
      <c r="V166" s="15"/>
      <c r="W166" s="15"/>
      <c r="X166" s="15"/>
      <c r="Y166" s="15"/>
      <c r="Z166" s="15"/>
      <c r="AA166" s="15"/>
      <c r="AB166" s="15"/>
      <c r="AC166" s="15"/>
      <c r="AD166" s="15"/>
      <c r="AE166" s="15"/>
      <c r="AF166" s="15"/>
      <c r="AG166" s="15"/>
      <c r="AH166" s="15"/>
    </row>
    <row r="167" ht="15.75" customHeight="1">
      <c r="A167" s="15"/>
      <c r="B167" s="15"/>
      <c r="C167" s="21"/>
      <c r="D167" s="15"/>
      <c r="E167" s="32" t="s">
        <v>178</v>
      </c>
      <c r="F167" s="32" t="s">
        <v>180</v>
      </c>
      <c r="G167" s="70" t="str">
        <f>HYPERLINK("https://docs.google.com/spreadsheets/d/1KMhXe9tY0eMaYX9ZyoujS3bpBQWLVDhPOzn9hGxei5Q/edit#gid=1417763246", "https://docs.google.com/spreadsheets/d/1KMhXe9tY0eMaYX9ZyoujS3bpBQWLVDhPOzn9hGxei5Q/edit#gid=1417763246")</f>
        <v>https://docs.google.com/spreadsheets/d/1KMhXe9tY0eMaYX9ZyoujS3bpBQWLVDhPOzn9hGxei5Q/edit#gid=1417763246</v>
      </c>
      <c r="H167" s="32" t="s">
        <v>180</v>
      </c>
      <c r="I167" s="11"/>
      <c r="J167" s="11"/>
      <c r="K167" s="11"/>
      <c r="L167" s="11"/>
      <c r="M167" s="15"/>
      <c r="N167" s="15"/>
      <c r="O167" s="15"/>
      <c r="P167" s="15"/>
      <c r="Q167" s="15"/>
      <c r="R167" s="15"/>
      <c r="S167" s="15"/>
      <c r="T167" s="15"/>
      <c r="U167" s="15"/>
      <c r="V167" s="15"/>
      <c r="W167" s="15"/>
      <c r="X167" s="15"/>
      <c r="Y167" s="15"/>
      <c r="Z167" s="15"/>
      <c r="AA167" s="15"/>
      <c r="AB167" s="15"/>
      <c r="AC167" s="15"/>
      <c r="AD167" s="15"/>
      <c r="AE167" s="15"/>
      <c r="AF167" s="15"/>
      <c r="AG167" s="15"/>
      <c r="AH167" s="15"/>
    </row>
    <row r="168" ht="15.75" customHeight="1">
      <c r="A168" s="15"/>
      <c r="B168" s="15"/>
      <c r="C168" s="21"/>
      <c r="D168" s="15"/>
      <c r="E168" s="32" t="s">
        <v>178</v>
      </c>
      <c r="F168" s="32" t="s">
        <v>209</v>
      </c>
      <c r="G168" s="70" t="str">
        <f>HYPERLINK("https://docs.google.com/spreadsheets/d/1KMhXe9tY0eMaYX9ZyoujS3bpBQWLVDhPOzn9hGxei5Q/edit#gid=1002654886", "https://docs.google.com/spreadsheets/d/1KMhXe9tY0eMaYX9ZyoujS3bpBQWLVDhPOzn9hGxei5Q/edit#gid=1002654886")</f>
        <v>https://docs.google.com/spreadsheets/d/1KMhXe9tY0eMaYX9ZyoujS3bpBQWLVDhPOzn9hGxei5Q/edit#gid=1002654886</v>
      </c>
      <c r="H168" s="32" t="s">
        <v>209</v>
      </c>
      <c r="I168" s="11"/>
      <c r="J168" s="11"/>
      <c r="K168" s="11"/>
      <c r="L168" s="11"/>
      <c r="M168" s="15"/>
      <c r="N168" s="15"/>
      <c r="O168" s="15"/>
      <c r="P168" s="15"/>
      <c r="Q168" s="15"/>
      <c r="R168" s="15"/>
      <c r="S168" s="15"/>
      <c r="T168" s="15"/>
      <c r="U168" s="15"/>
      <c r="V168" s="15"/>
      <c r="W168" s="15"/>
      <c r="X168" s="15"/>
      <c r="Y168" s="15"/>
      <c r="Z168" s="15"/>
      <c r="AA168" s="15"/>
      <c r="AB168" s="15"/>
      <c r="AC168" s="15"/>
      <c r="AD168" s="15"/>
      <c r="AE168" s="15"/>
      <c r="AF168" s="15"/>
      <c r="AG168" s="15"/>
      <c r="AH168" s="15"/>
    </row>
    <row r="169" ht="15.75" customHeight="1">
      <c r="A169" s="15"/>
      <c r="B169" s="15"/>
      <c r="C169" s="21"/>
      <c r="D169" s="15"/>
      <c r="E169" s="32" t="s">
        <v>178</v>
      </c>
      <c r="F169" s="32" t="s">
        <v>210</v>
      </c>
      <c r="G169" s="70" t="str">
        <f>HYPERLINK("https://docs.google.com/spreadsheets/d/1KMhXe9tY0eMaYX9ZyoujS3bpBQWLVDhPOzn9hGxei5Q/edit#gid=726312725", "https://docs.google.com/spreadsheets/d/1KMhXe9tY0eMaYX9ZyoujS3bpBQWLVDhPOzn9hGxei5Q/edit#gid=726312725")</f>
        <v>https://docs.google.com/spreadsheets/d/1KMhXe9tY0eMaYX9ZyoujS3bpBQWLVDhPOzn9hGxei5Q/edit#gid=726312725</v>
      </c>
      <c r="H169" s="32" t="s">
        <v>210</v>
      </c>
      <c r="I169" s="11"/>
      <c r="J169" s="11"/>
      <c r="K169" s="11"/>
      <c r="L169" s="11"/>
      <c r="M169" s="15"/>
      <c r="N169" s="15"/>
      <c r="O169" s="15"/>
      <c r="P169" s="15"/>
      <c r="Q169" s="15"/>
      <c r="R169" s="15"/>
      <c r="S169" s="15"/>
      <c r="T169" s="15"/>
      <c r="U169" s="15"/>
      <c r="V169" s="15"/>
      <c r="W169" s="15"/>
      <c r="X169" s="15"/>
      <c r="Y169" s="15"/>
      <c r="Z169" s="15"/>
      <c r="AA169" s="15"/>
      <c r="AB169" s="15"/>
      <c r="AC169" s="15"/>
      <c r="AD169" s="15"/>
      <c r="AE169" s="15"/>
      <c r="AF169" s="15"/>
      <c r="AG169" s="15"/>
      <c r="AH169" s="15"/>
    </row>
    <row r="170" ht="15.75" customHeight="1">
      <c r="A170" s="15"/>
      <c r="B170" s="15"/>
      <c r="C170" s="21"/>
      <c r="D170" s="15"/>
      <c r="E170" s="32" t="s">
        <v>157</v>
      </c>
      <c r="F170" s="32" t="s">
        <v>161</v>
      </c>
      <c r="G170" s="70" t="str">
        <f>HYPERLINK("https://docs.google.com/spreadsheets/d/1KMhXe9tY0eMaYX9ZyoujS3bpBQWLVDhPOzn9hGxei5Q/edit#gid=1815776661", "https://docs.google.com/spreadsheets/d/1KMhXe9tY0eMaYX9ZyoujS3bpBQWLVDhPOzn9hGxei5Q/edit#gid=1815776661")</f>
        <v>https://docs.google.com/spreadsheets/d/1KMhXe9tY0eMaYX9ZyoujS3bpBQWLVDhPOzn9hGxei5Q/edit#gid=1815776661</v>
      </c>
      <c r="H170" s="32" t="s">
        <v>161</v>
      </c>
      <c r="I170" s="11"/>
      <c r="J170" s="11"/>
      <c r="K170" s="11"/>
      <c r="L170" s="11"/>
      <c r="M170" s="15"/>
      <c r="N170" s="15"/>
      <c r="O170" s="15"/>
      <c r="P170" s="15"/>
      <c r="Q170" s="15"/>
      <c r="R170" s="15"/>
      <c r="S170" s="15"/>
      <c r="T170" s="15"/>
      <c r="U170" s="15"/>
      <c r="V170" s="15"/>
      <c r="W170" s="15"/>
      <c r="X170" s="15"/>
      <c r="Y170" s="15"/>
      <c r="Z170" s="15"/>
      <c r="AA170" s="15"/>
      <c r="AB170" s="15"/>
      <c r="AC170" s="15"/>
      <c r="AD170" s="15"/>
      <c r="AE170" s="15"/>
      <c r="AF170" s="15"/>
      <c r="AG170" s="15"/>
      <c r="AH170" s="15"/>
    </row>
    <row r="171" ht="15.75" customHeight="1">
      <c r="A171" s="15"/>
      <c r="B171" s="15"/>
      <c r="C171" s="21"/>
      <c r="D171" s="15"/>
      <c r="E171" s="32" t="s">
        <v>157</v>
      </c>
      <c r="F171" s="32" t="s">
        <v>158</v>
      </c>
      <c r="G171" s="70" t="str">
        <f>HYPERLINK("https://docs.google.com/spreadsheets/d/1KMhXe9tY0eMaYX9ZyoujS3bpBQWLVDhPOzn9hGxei5Q/edit#gid=1917466182", "https://docs.google.com/spreadsheets/d/1KMhXe9tY0eMaYX9ZyoujS3bpBQWLVDhPOzn9hGxei5Q/edit#gid=1917466182")</f>
        <v>https://docs.google.com/spreadsheets/d/1KMhXe9tY0eMaYX9ZyoujS3bpBQWLVDhPOzn9hGxei5Q/edit#gid=1917466182</v>
      </c>
      <c r="H171" s="32" t="s">
        <v>158</v>
      </c>
      <c r="I171" s="11"/>
      <c r="J171" s="11"/>
      <c r="K171" s="11"/>
      <c r="L171" s="11"/>
      <c r="M171" s="15"/>
      <c r="N171" s="15"/>
      <c r="O171" s="15"/>
      <c r="P171" s="15"/>
      <c r="Q171" s="15"/>
      <c r="R171" s="15"/>
      <c r="S171" s="15"/>
      <c r="T171" s="15"/>
      <c r="U171" s="15"/>
      <c r="V171" s="15"/>
      <c r="W171" s="15"/>
      <c r="X171" s="15"/>
      <c r="Y171" s="15"/>
      <c r="Z171" s="15"/>
      <c r="AA171" s="15"/>
      <c r="AB171" s="15"/>
      <c r="AC171" s="15"/>
      <c r="AD171" s="15"/>
      <c r="AE171" s="15"/>
      <c r="AF171" s="15"/>
      <c r="AG171" s="15"/>
      <c r="AH171" s="15"/>
    </row>
    <row r="172" ht="15.75" customHeight="1">
      <c r="A172" s="15"/>
      <c r="B172" s="15"/>
      <c r="C172" s="21"/>
      <c r="D172" s="15"/>
      <c r="E172" s="32" t="s">
        <v>157</v>
      </c>
      <c r="F172" s="32" t="s">
        <v>196</v>
      </c>
      <c r="G172" s="70" t="str">
        <f>HYPERLINK("https://docs.google.com/spreadsheets/d/1KMhXe9tY0eMaYX9ZyoujS3bpBQWLVDhPOzn9hGxei5Q/edit#gid=1520566327", "https://docs.google.com/spreadsheets/d/1KMhXe9tY0eMaYX9ZyoujS3bpBQWLVDhPOzn9hGxei5Q/edit#gid=1520566327")</f>
        <v>https://docs.google.com/spreadsheets/d/1KMhXe9tY0eMaYX9ZyoujS3bpBQWLVDhPOzn9hGxei5Q/edit#gid=1520566327</v>
      </c>
      <c r="H172" s="32" t="s">
        <v>196</v>
      </c>
      <c r="I172" s="11"/>
      <c r="J172" s="11"/>
      <c r="K172" s="11"/>
      <c r="L172" s="11"/>
      <c r="M172" s="15"/>
      <c r="N172" s="15"/>
      <c r="O172" s="15"/>
      <c r="P172" s="15"/>
      <c r="Q172" s="15"/>
      <c r="R172" s="15"/>
      <c r="S172" s="15"/>
      <c r="T172" s="15"/>
      <c r="U172" s="15"/>
      <c r="V172" s="15"/>
      <c r="W172" s="15"/>
      <c r="X172" s="15"/>
      <c r="Y172" s="15"/>
      <c r="Z172" s="15"/>
      <c r="AA172" s="15"/>
      <c r="AB172" s="15"/>
      <c r="AC172" s="15"/>
      <c r="AD172" s="15"/>
      <c r="AE172" s="15"/>
      <c r="AF172" s="15"/>
      <c r="AG172" s="15"/>
      <c r="AH172" s="15"/>
    </row>
    <row r="173" ht="15.75" customHeight="1">
      <c r="A173" s="15"/>
      <c r="B173" s="15"/>
      <c r="C173" s="21"/>
      <c r="D173" s="15"/>
      <c r="E173" s="32" t="s">
        <v>172</v>
      </c>
      <c r="F173" s="32" t="s">
        <v>203</v>
      </c>
      <c r="G173" s="70" t="str">
        <f>HYPERLINK("https://docs.google.com/spreadsheets/d/1KMhXe9tY0eMaYX9ZyoujS3bpBQWLVDhPOzn9hGxei5Q/edit#gid=2000677471", "https://docs.google.com/spreadsheets/d/1KMhXe9tY0eMaYX9ZyoujS3bpBQWLVDhPOzn9hGxei5Q/edit#gid=2000677471")</f>
        <v>https://docs.google.com/spreadsheets/d/1KMhXe9tY0eMaYX9ZyoujS3bpBQWLVDhPOzn9hGxei5Q/edit#gid=2000677471</v>
      </c>
      <c r="H173" s="32" t="s">
        <v>1999</v>
      </c>
      <c r="I173" s="11"/>
      <c r="J173" s="11"/>
      <c r="K173" s="11"/>
      <c r="L173" s="11"/>
      <c r="M173" s="15"/>
      <c r="N173" s="15"/>
      <c r="O173" s="15"/>
      <c r="P173" s="15"/>
      <c r="Q173" s="15"/>
      <c r="R173" s="15"/>
      <c r="S173" s="15"/>
      <c r="T173" s="15"/>
      <c r="U173" s="15"/>
      <c r="V173" s="15"/>
      <c r="W173" s="15"/>
      <c r="X173" s="15"/>
      <c r="Y173" s="15"/>
      <c r="Z173" s="15"/>
      <c r="AA173" s="15"/>
      <c r="AB173" s="15"/>
      <c r="AC173" s="15"/>
      <c r="AD173" s="15"/>
      <c r="AE173" s="15"/>
      <c r="AF173" s="15"/>
      <c r="AG173" s="15"/>
      <c r="AH173" s="15"/>
    </row>
    <row r="174" ht="15.75" customHeight="1">
      <c r="A174" s="15"/>
      <c r="B174" s="15"/>
      <c r="C174" s="21"/>
      <c r="D174" s="15"/>
      <c r="E174" s="32" t="s">
        <v>172</v>
      </c>
      <c r="F174" s="32" t="s">
        <v>204</v>
      </c>
      <c r="G174" s="70" t="str">
        <f>HYPERLINK("https://docs.google.com/spreadsheets/d/1KMhXe9tY0eMaYX9ZyoujS3bpBQWLVDhPOzn9hGxei5Q/edit#gid=1974636950", "https://docs.google.com/spreadsheets/d/1KMhXe9tY0eMaYX9ZyoujS3bpBQWLVDhPOzn9hGxei5Q/edit#gid=1974636950")</f>
        <v>https://docs.google.com/spreadsheets/d/1KMhXe9tY0eMaYX9ZyoujS3bpBQWLVDhPOzn9hGxei5Q/edit#gid=1974636950</v>
      </c>
      <c r="H174" s="32" t="s">
        <v>2000</v>
      </c>
      <c r="I174" s="11"/>
      <c r="J174" s="11"/>
      <c r="K174" s="11"/>
      <c r="L174" s="11"/>
      <c r="M174" s="15"/>
      <c r="N174" s="15"/>
      <c r="O174" s="15"/>
      <c r="P174" s="15"/>
      <c r="Q174" s="15"/>
      <c r="R174" s="15"/>
      <c r="S174" s="15"/>
      <c r="T174" s="15"/>
      <c r="U174" s="15"/>
      <c r="V174" s="15"/>
      <c r="W174" s="15"/>
      <c r="X174" s="15"/>
      <c r="Y174" s="15"/>
      <c r="Z174" s="15"/>
      <c r="AA174" s="15"/>
      <c r="AB174" s="15"/>
      <c r="AC174" s="15"/>
      <c r="AD174" s="15"/>
      <c r="AE174" s="15"/>
      <c r="AF174" s="15"/>
      <c r="AG174" s="15"/>
      <c r="AH174" s="15"/>
    </row>
    <row r="175" ht="15.75" customHeight="1">
      <c r="A175" s="15"/>
      <c r="B175" s="15"/>
      <c r="C175" s="21"/>
      <c r="D175" s="15"/>
      <c r="E175" s="32" t="s">
        <v>178</v>
      </c>
      <c r="F175" s="32" t="s">
        <v>207</v>
      </c>
      <c r="G175" s="70" t="str">
        <f>HYPERLINK("https://docs.google.com/spreadsheets/d/1KMhXe9tY0eMaYX9ZyoujS3bpBQWLVDhPOzn9hGxei5Q/edit#gid=1720161872", "https://docs.google.com/spreadsheets/d/1KMhXe9tY0eMaYX9ZyoujS3bpBQWLVDhPOzn9hGxei5Q/edit#gid=1720161872")</f>
        <v>https://docs.google.com/spreadsheets/d/1KMhXe9tY0eMaYX9ZyoujS3bpBQWLVDhPOzn9hGxei5Q/edit#gid=1720161872</v>
      </c>
      <c r="H175" s="32" t="s">
        <v>2001</v>
      </c>
      <c r="I175" s="11"/>
      <c r="J175" s="11"/>
      <c r="K175" s="11"/>
      <c r="L175" s="11"/>
      <c r="M175" s="15"/>
      <c r="N175" s="15"/>
      <c r="O175" s="15"/>
      <c r="P175" s="15"/>
      <c r="Q175" s="15"/>
      <c r="R175" s="15"/>
      <c r="S175" s="15"/>
      <c r="T175" s="15"/>
      <c r="U175" s="15"/>
      <c r="V175" s="15"/>
      <c r="W175" s="15"/>
      <c r="X175" s="15"/>
      <c r="Y175" s="15"/>
      <c r="Z175" s="15"/>
      <c r="AA175" s="15"/>
      <c r="AB175" s="15"/>
      <c r="AC175" s="15"/>
      <c r="AD175" s="15"/>
      <c r="AE175" s="15"/>
      <c r="AF175" s="15"/>
      <c r="AG175" s="15"/>
      <c r="AH175" s="15"/>
    </row>
    <row r="176" ht="15.75" customHeight="1">
      <c r="A176" s="15"/>
      <c r="B176" s="15"/>
      <c r="C176" s="21"/>
      <c r="D176" s="15"/>
      <c r="E176" s="32" t="s">
        <v>178</v>
      </c>
      <c r="F176" s="32" t="s">
        <v>208</v>
      </c>
      <c r="G176" s="70" t="str">
        <f>HYPERLINK("https://docs.google.com/spreadsheets/d/1KMhXe9tY0eMaYX9ZyoujS3bpBQWLVDhPOzn9hGxei5Q/edit#gid=2092429427", "https://docs.google.com/spreadsheets/d/1KMhXe9tY0eMaYX9ZyoujS3bpBQWLVDhPOzn9hGxei5Q/edit#gid=2092429427")</f>
        <v>https://docs.google.com/spreadsheets/d/1KMhXe9tY0eMaYX9ZyoujS3bpBQWLVDhPOzn9hGxei5Q/edit#gid=2092429427</v>
      </c>
      <c r="H176" s="32" t="s">
        <v>2021</v>
      </c>
      <c r="I176" s="11"/>
      <c r="J176" s="11"/>
      <c r="K176" s="11"/>
      <c r="L176" s="11"/>
      <c r="M176" s="15"/>
      <c r="N176" s="15"/>
      <c r="O176" s="15"/>
      <c r="P176" s="15"/>
      <c r="Q176" s="15"/>
      <c r="R176" s="15"/>
      <c r="S176" s="15"/>
      <c r="T176" s="15"/>
      <c r="U176" s="15"/>
      <c r="V176" s="15"/>
      <c r="W176" s="15"/>
      <c r="X176" s="15"/>
      <c r="Y176" s="15"/>
      <c r="Z176" s="15"/>
      <c r="AA176" s="15"/>
      <c r="AB176" s="15"/>
      <c r="AC176" s="15"/>
      <c r="AD176" s="15"/>
      <c r="AE176" s="15"/>
      <c r="AF176" s="15"/>
      <c r="AG176" s="15"/>
      <c r="AH176" s="15"/>
    </row>
    <row r="177" ht="15.75" customHeight="1">
      <c r="A177" s="15"/>
      <c r="B177" s="15"/>
      <c r="C177" s="21"/>
      <c r="D177" s="15"/>
      <c r="E177" s="32" t="s">
        <v>178</v>
      </c>
      <c r="F177" s="32" t="s">
        <v>182</v>
      </c>
      <c r="G177" s="70" t="str">
        <f>HYPERLINK("https://docs.google.com/spreadsheets/d/1KMhXe9tY0eMaYX9ZyoujS3bpBQWLVDhPOzn9hGxei5Q/edit#gid=1652990034", "https://docs.google.com/spreadsheets/d/1KMhXe9tY0eMaYX9ZyoujS3bpBQWLVDhPOzn9hGxei5Q/edit#gid=1652990034")</f>
        <v>https://docs.google.com/spreadsheets/d/1KMhXe9tY0eMaYX9ZyoujS3bpBQWLVDhPOzn9hGxei5Q/edit#gid=1652990034</v>
      </c>
      <c r="H177" s="32" t="s">
        <v>2003</v>
      </c>
      <c r="I177" s="11"/>
      <c r="J177" s="11"/>
      <c r="K177" s="11"/>
      <c r="L177" s="11"/>
      <c r="M177" s="15"/>
      <c r="N177" s="15"/>
      <c r="O177" s="15"/>
      <c r="P177" s="15"/>
      <c r="Q177" s="15"/>
      <c r="R177" s="15"/>
      <c r="S177" s="15"/>
      <c r="T177" s="15"/>
      <c r="U177" s="15"/>
      <c r="V177" s="15"/>
      <c r="W177" s="15"/>
      <c r="X177" s="15"/>
      <c r="Y177" s="15"/>
      <c r="Z177" s="15"/>
      <c r="AA177" s="15"/>
      <c r="AB177" s="15"/>
      <c r="AC177" s="15"/>
      <c r="AD177" s="15"/>
      <c r="AE177" s="15"/>
      <c r="AF177" s="15"/>
      <c r="AG177" s="15"/>
      <c r="AH177" s="15"/>
    </row>
    <row r="178" ht="15.75" customHeight="1">
      <c r="A178" s="15"/>
      <c r="B178" s="15"/>
      <c r="C178" s="21"/>
      <c r="D178" s="15"/>
      <c r="E178" s="32" t="s">
        <v>178</v>
      </c>
      <c r="F178" s="32" t="s">
        <v>180</v>
      </c>
      <c r="G178" s="70" t="str">
        <f>HYPERLINK("https://docs.google.com/spreadsheets/d/1KMhXe9tY0eMaYX9ZyoujS3bpBQWLVDhPOzn9hGxei5Q/edit#gid=1483553598", "https://docs.google.com/spreadsheets/d/1KMhXe9tY0eMaYX9ZyoujS3bpBQWLVDhPOzn9hGxei5Q/edit#gid=1483553598")</f>
        <v>https://docs.google.com/spreadsheets/d/1KMhXe9tY0eMaYX9ZyoujS3bpBQWLVDhPOzn9hGxei5Q/edit#gid=1483553598</v>
      </c>
      <c r="H178" s="32" t="s">
        <v>2009</v>
      </c>
      <c r="I178" s="11"/>
      <c r="J178" s="11"/>
      <c r="K178" s="11"/>
      <c r="L178" s="11"/>
      <c r="M178" s="15"/>
      <c r="N178" s="15"/>
      <c r="O178" s="15"/>
      <c r="P178" s="15"/>
      <c r="Q178" s="15"/>
      <c r="R178" s="15"/>
      <c r="S178" s="15"/>
      <c r="T178" s="15"/>
      <c r="U178" s="15"/>
      <c r="V178" s="15"/>
      <c r="W178" s="15"/>
      <c r="X178" s="15"/>
      <c r="Y178" s="15"/>
      <c r="Z178" s="15"/>
      <c r="AA178" s="15"/>
      <c r="AB178" s="15"/>
      <c r="AC178" s="15"/>
      <c r="AD178" s="15"/>
      <c r="AE178" s="15"/>
      <c r="AF178" s="15"/>
      <c r="AG178" s="15"/>
      <c r="AH178" s="15"/>
    </row>
    <row r="179" ht="15.75" customHeight="1">
      <c r="A179" s="15"/>
      <c r="B179" s="15"/>
      <c r="C179" s="21"/>
      <c r="D179" s="15"/>
      <c r="E179" s="32" t="s">
        <v>178</v>
      </c>
      <c r="F179" s="32" t="s">
        <v>209</v>
      </c>
      <c r="G179" s="70" t="str">
        <f>HYPERLINK("https://docs.google.com/spreadsheets/d/1KMhXe9tY0eMaYX9ZyoujS3bpBQWLVDhPOzn9hGxei5Q/edit#gid=858003622", "https://docs.google.com/spreadsheets/d/1KMhXe9tY0eMaYX9ZyoujS3bpBQWLVDhPOzn9hGxei5Q/edit#gid=858003622")</f>
        <v>https://docs.google.com/spreadsheets/d/1KMhXe9tY0eMaYX9ZyoujS3bpBQWLVDhPOzn9hGxei5Q/edit#gid=858003622</v>
      </c>
      <c r="H179" s="32" t="s">
        <v>1986</v>
      </c>
      <c r="I179" s="11"/>
      <c r="J179" s="11"/>
      <c r="K179" s="11"/>
      <c r="L179" s="11"/>
      <c r="M179" s="15"/>
      <c r="N179" s="15"/>
      <c r="O179" s="15"/>
      <c r="P179" s="15"/>
      <c r="Q179" s="15"/>
      <c r="R179" s="15"/>
      <c r="S179" s="15"/>
      <c r="T179" s="15"/>
      <c r="U179" s="15"/>
      <c r="V179" s="15"/>
      <c r="W179" s="15"/>
      <c r="X179" s="15"/>
      <c r="Y179" s="15"/>
      <c r="Z179" s="15"/>
      <c r="AA179" s="15"/>
      <c r="AB179" s="15"/>
      <c r="AC179" s="15"/>
      <c r="AD179" s="15"/>
      <c r="AE179" s="15"/>
      <c r="AF179" s="15"/>
      <c r="AG179" s="15"/>
      <c r="AH179" s="15"/>
    </row>
    <row r="180" ht="15.75" customHeight="1">
      <c r="A180" s="15"/>
      <c r="B180" s="15"/>
      <c r="C180" s="21"/>
      <c r="D180" s="15"/>
      <c r="E180" s="32" t="s">
        <v>178</v>
      </c>
      <c r="F180" s="32" t="s">
        <v>210</v>
      </c>
      <c r="G180" s="70" t="str">
        <f>HYPERLINK("https://docs.google.com/spreadsheets/d/1KMhXe9tY0eMaYX9ZyoujS3bpBQWLVDhPOzn9hGxei5Q/edit#gid=1301990480", "https://docs.google.com/spreadsheets/d/1KMhXe9tY0eMaYX9ZyoujS3bpBQWLVDhPOzn9hGxei5Q/edit#gid=1301990480")</f>
        <v>https://docs.google.com/spreadsheets/d/1KMhXe9tY0eMaYX9ZyoujS3bpBQWLVDhPOzn9hGxei5Q/edit#gid=1301990480</v>
      </c>
      <c r="H180" s="32" t="s">
        <v>1987</v>
      </c>
      <c r="I180" s="11"/>
      <c r="J180" s="11"/>
      <c r="K180" s="11"/>
      <c r="L180" s="11"/>
      <c r="M180" s="15"/>
      <c r="N180" s="15"/>
      <c r="O180" s="15"/>
      <c r="P180" s="15"/>
      <c r="Q180" s="15"/>
      <c r="R180" s="15"/>
      <c r="S180" s="15"/>
      <c r="T180" s="15"/>
      <c r="U180" s="15"/>
      <c r="V180" s="15"/>
      <c r="W180" s="15"/>
      <c r="X180" s="15"/>
      <c r="Y180" s="15"/>
      <c r="Z180" s="15"/>
      <c r="AA180" s="15"/>
      <c r="AB180" s="15"/>
      <c r="AC180" s="15"/>
      <c r="AD180" s="15"/>
      <c r="AE180" s="15"/>
      <c r="AF180" s="15"/>
      <c r="AG180" s="15"/>
      <c r="AH180" s="15"/>
    </row>
    <row r="181" ht="15.75" customHeight="1">
      <c r="A181" s="15"/>
      <c r="B181" s="15"/>
      <c r="C181" s="21"/>
      <c r="D181" s="15"/>
      <c r="E181" s="32" t="s">
        <v>86</v>
      </c>
      <c r="F181" s="32" t="s">
        <v>90</v>
      </c>
      <c r="G181" s="70" t="str">
        <f>HYPERLINK("https://docs.google.com/spreadsheets/d/1KMhXe9tY0eMaYX9ZyoujS3bpBQWLVDhPOzn9hGxei5Q/edit#gid=1227245880", "https://docs.google.com/spreadsheets/d/1KMhXe9tY0eMaYX9ZyoujS3bpBQWLVDhPOzn9hGxei5Q/edit#gid=1227245880")</f>
        <v>https://docs.google.com/spreadsheets/d/1KMhXe9tY0eMaYX9ZyoujS3bpBQWLVDhPOzn9hGxei5Q/edit#gid=1227245880</v>
      </c>
      <c r="H181" s="32" t="s">
        <v>2022</v>
      </c>
      <c r="I181" s="11"/>
      <c r="J181" s="11"/>
      <c r="K181" s="11"/>
      <c r="L181" s="11"/>
      <c r="M181" s="15"/>
      <c r="N181" s="15"/>
      <c r="O181" s="15"/>
      <c r="P181" s="15"/>
      <c r="Q181" s="15"/>
      <c r="R181" s="15"/>
      <c r="S181" s="15"/>
      <c r="T181" s="15"/>
      <c r="U181" s="15"/>
      <c r="V181" s="15"/>
      <c r="W181" s="15"/>
      <c r="X181" s="15"/>
      <c r="Y181" s="15"/>
      <c r="Z181" s="15"/>
      <c r="AA181" s="15"/>
      <c r="AB181" s="15"/>
      <c r="AC181" s="15"/>
      <c r="AD181" s="15"/>
      <c r="AE181" s="15"/>
      <c r="AF181" s="15"/>
      <c r="AG181" s="15"/>
      <c r="AH181" s="15"/>
    </row>
    <row r="182" ht="15.75" customHeight="1">
      <c r="A182" s="15"/>
      <c r="B182" s="15"/>
      <c r="C182" s="21"/>
      <c r="D182" s="15"/>
      <c r="E182" s="32" t="s">
        <v>86</v>
      </c>
      <c r="F182" s="32" t="s">
        <v>91</v>
      </c>
      <c r="G182" s="70" t="str">
        <f>HYPERLINK("https://docs.google.com/spreadsheets/d/1KMhXe9tY0eMaYX9ZyoujS3bpBQWLVDhPOzn9hGxei5Q/edit#gid=1606284073", "https://docs.google.com/spreadsheets/d/1KMhXe9tY0eMaYX9ZyoujS3bpBQWLVDhPOzn9hGxei5Q/edit#gid=1606284073")</f>
        <v>https://docs.google.com/spreadsheets/d/1KMhXe9tY0eMaYX9ZyoujS3bpBQWLVDhPOzn9hGxei5Q/edit#gid=1606284073</v>
      </c>
      <c r="H182" s="32" t="s">
        <v>91</v>
      </c>
      <c r="I182" s="11"/>
      <c r="J182" s="11"/>
      <c r="K182" s="11"/>
      <c r="L182" s="11"/>
      <c r="M182" s="15"/>
      <c r="N182" s="15"/>
      <c r="O182" s="15"/>
      <c r="P182" s="15"/>
      <c r="Q182" s="15"/>
      <c r="R182" s="15"/>
      <c r="S182" s="15"/>
      <c r="T182" s="15"/>
      <c r="U182" s="15"/>
      <c r="V182" s="15"/>
      <c r="W182" s="15"/>
      <c r="X182" s="15"/>
      <c r="Y182" s="15"/>
      <c r="Z182" s="15"/>
      <c r="AA182" s="15"/>
      <c r="AB182" s="15"/>
      <c r="AC182" s="15"/>
      <c r="AD182" s="15"/>
      <c r="AE182" s="15"/>
      <c r="AF182" s="15"/>
      <c r="AG182" s="15"/>
      <c r="AH182" s="15"/>
    </row>
    <row r="183" ht="15.75" customHeight="1">
      <c r="A183" s="15"/>
      <c r="B183" s="15"/>
      <c r="C183" s="21"/>
      <c r="D183" s="15"/>
      <c r="E183" s="32" t="s">
        <v>88</v>
      </c>
      <c r="F183" s="32" t="s">
        <v>95</v>
      </c>
      <c r="G183" s="70" t="str">
        <f>HYPERLINK("https://docs.google.com/spreadsheets/d/1KMhXe9tY0eMaYX9ZyoujS3bpBQWLVDhPOzn9hGxei5Q/edit#gid=1527090427", "https://docs.google.com/spreadsheets/d/1KMhXe9tY0eMaYX9ZyoujS3bpBQWLVDhPOzn9hGxei5Q/edit#gid=1527090427")</f>
        <v>https://docs.google.com/spreadsheets/d/1KMhXe9tY0eMaYX9ZyoujS3bpBQWLVDhPOzn9hGxei5Q/edit#gid=1527090427</v>
      </c>
      <c r="H183" s="32" t="s">
        <v>95</v>
      </c>
      <c r="I183" s="11"/>
      <c r="J183" s="11"/>
      <c r="K183" s="11"/>
      <c r="L183" s="11"/>
      <c r="M183" s="15"/>
      <c r="N183" s="15"/>
      <c r="O183" s="15"/>
      <c r="P183" s="15"/>
      <c r="Q183" s="15"/>
      <c r="R183" s="15"/>
      <c r="S183" s="15"/>
      <c r="T183" s="15"/>
      <c r="U183" s="15"/>
      <c r="V183" s="15"/>
      <c r="W183" s="15"/>
      <c r="X183" s="15"/>
      <c r="Y183" s="15"/>
      <c r="Z183" s="15"/>
      <c r="AA183" s="15"/>
      <c r="AB183" s="15"/>
      <c r="AC183" s="15"/>
      <c r="AD183" s="15"/>
      <c r="AE183" s="15"/>
      <c r="AF183" s="15"/>
      <c r="AG183" s="15"/>
      <c r="AH183" s="15"/>
    </row>
    <row r="184" ht="15.75" customHeight="1">
      <c r="A184" s="15"/>
      <c r="B184" s="15"/>
      <c r="C184" s="21"/>
      <c r="D184" s="15"/>
      <c r="E184" s="32" t="s">
        <v>88</v>
      </c>
      <c r="F184" s="32" t="s">
        <v>96</v>
      </c>
      <c r="G184" s="70" t="str">
        <f>HYPERLINK("https://docs.google.com/spreadsheets/d/1KMhXe9tY0eMaYX9ZyoujS3bpBQWLVDhPOzn9hGxei5Q/edit#gid=432522830", "https://docs.google.com/spreadsheets/d/1KMhXe9tY0eMaYX9ZyoujS3bpBQWLVDhPOzn9hGxei5Q/edit#gid=432522830")</f>
        <v>https://docs.google.com/spreadsheets/d/1KMhXe9tY0eMaYX9ZyoujS3bpBQWLVDhPOzn9hGxei5Q/edit#gid=432522830</v>
      </c>
      <c r="H184" s="32" t="s">
        <v>96</v>
      </c>
      <c r="I184" s="11"/>
      <c r="J184" s="11"/>
      <c r="K184" s="11"/>
      <c r="L184" s="11"/>
      <c r="M184" s="15"/>
      <c r="N184" s="15"/>
      <c r="O184" s="15"/>
      <c r="P184" s="15"/>
      <c r="Q184" s="15"/>
      <c r="R184" s="15"/>
      <c r="S184" s="15"/>
      <c r="T184" s="15"/>
      <c r="U184" s="15"/>
      <c r="V184" s="15"/>
      <c r="W184" s="15"/>
      <c r="X184" s="15"/>
      <c r="Y184" s="15"/>
      <c r="Z184" s="15"/>
      <c r="AA184" s="15"/>
      <c r="AB184" s="15"/>
      <c r="AC184" s="15"/>
      <c r="AD184" s="15"/>
      <c r="AE184" s="15"/>
      <c r="AF184" s="15"/>
      <c r="AG184" s="15"/>
      <c r="AH184" s="15"/>
    </row>
    <row r="185" ht="15.75" customHeight="1">
      <c r="A185" s="15"/>
      <c r="B185" s="15"/>
      <c r="C185" s="21"/>
      <c r="D185" s="15"/>
      <c r="E185" s="32"/>
      <c r="F185" s="32"/>
      <c r="G185" s="15"/>
      <c r="H185" s="32"/>
      <c r="I185" s="11"/>
      <c r="J185" s="11"/>
      <c r="K185" s="11"/>
      <c r="L185" s="11"/>
      <c r="M185" s="15"/>
      <c r="N185" s="15"/>
      <c r="O185" s="15"/>
      <c r="P185" s="15"/>
      <c r="Q185" s="15"/>
      <c r="R185" s="15"/>
      <c r="S185" s="15"/>
      <c r="T185" s="15"/>
      <c r="U185" s="15"/>
      <c r="V185" s="15"/>
      <c r="W185" s="15"/>
      <c r="X185" s="15"/>
      <c r="Y185" s="15"/>
      <c r="Z185" s="15"/>
      <c r="AA185" s="15"/>
      <c r="AB185" s="15"/>
      <c r="AC185" s="15"/>
      <c r="AD185" s="15"/>
      <c r="AE185" s="15"/>
      <c r="AF185" s="15"/>
      <c r="AG185" s="15"/>
      <c r="AH185" s="15"/>
    </row>
    <row r="186" ht="15.75" customHeight="1">
      <c r="A186" s="15"/>
      <c r="B186" s="32" t="s">
        <v>2023</v>
      </c>
      <c r="C186" s="66" t="s">
        <v>2015</v>
      </c>
      <c r="D186" s="32" t="s">
        <v>20</v>
      </c>
      <c r="E186" s="32" t="s">
        <v>89</v>
      </c>
      <c r="F186" s="32" t="s">
        <v>291</v>
      </c>
      <c r="G186" s="15"/>
      <c r="H186" s="15"/>
      <c r="I186" s="11"/>
      <c r="J186" s="11"/>
      <c r="K186" s="11"/>
      <c r="L186" s="11"/>
      <c r="M186" s="15"/>
      <c r="N186" s="15"/>
      <c r="O186" s="15"/>
      <c r="P186" s="15"/>
      <c r="Q186" s="15"/>
      <c r="R186" s="15"/>
      <c r="S186" s="15"/>
      <c r="T186" s="15"/>
      <c r="U186" s="15"/>
      <c r="V186" s="15"/>
      <c r="W186" s="15"/>
      <c r="X186" s="15"/>
      <c r="Y186" s="15"/>
      <c r="Z186" s="15"/>
      <c r="AA186" s="15"/>
      <c r="AB186" s="15"/>
      <c r="AC186" s="15"/>
      <c r="AD186" s="15"/>
      <c r="AE186" s="15"/>
      <c r="AF186" s="15"/>
      <c r="AG186" s="15"/>
      <c r="AH186" s="15"/>
    </row>
    <row r="187" ht="15.75" customHeight="1">
      <c r="A187" s="15"/>
      <c r="B187" s="32" t="s">
        <v>2024</v>
      </c>
      <c r="C187" s="21"/>
      <c r="D187" s="32" t="s">
        <v>20</v>
      </c>
      <c r="E187" s="32" t="s">
        <v>178</v>
      </c>
      <c r="F187" s="32" t="s">
        <v>201</v>
      </c>
      <c r="G187" s="70" t="str">
        <f>HYPERLINK("https://docs.google.com/spreadsheets/d/1aBd0Zc5ZXDAzJ3RiLHZFxY5YERXGWBzSx8slg91li2M/edit#gid=1907012388", "https://docs.google.com/spreadsheets/d/1aBd0Zc5ZXDAzJ3RiLHZFxY5YERXGWBzSx8slg91li2M/edit#gid=1907012388")</f>
        <v>https://docs.google.com/spreadsheets/d/1aBd0Zc5ZXDAzJ3RiLHZFxY5YERXGWBzSx8slg91li2M/edit#gid=1907012388</v>
      </c>
      <c r="H187" s="32" t="s">
        <v>201</v>
      </c>
      <c r="I187" s="11"/>
      <c r="J187" s="11"/>
      <c r="K187" s="11"/>
      <c r="L187" s="11"/>
      <c r="M187" s="15"/>
      <c r="N187" s="15"/>
      <c r="O187" s="15"/>
      <c r="P187" s="15"/>
      <c r="Q187" s="15"/>
      <c r="R187" s="15"/>
      <c r="S187" s="15"/>
      <c r="T187" s="15"/>
      <c r="U187" s="15"/>
      <c r="V187" s="15"/>
      <c r="W187" s="15"/>
      <c r="X187" s="15"/>
      <c r="Y187" s="15"/>
      <c r="Z187" s="15"/>
      <c r="AA187" s="15"/>
      <c r="AB187" s="15"/>
      <c r="AC187" s="15"/>
      <c r="AD187" s="15"/>
      <c r="AE187" s="15"/>
      <c r="AF187" s="15"/>
      <c r="AG187" s="15"/>
      <c r="AH187" s="15"/>
    </row>
    <row r="188" ht="15.75" customHeight="1">
      <c r="A188" s="15"/>
      <c r="B188" s="15"/>
      <c r="C188" s="21"/>
      <c r="D188" s="15"/>
      <c r="E188" s="32" t="s">
        <v>178</v>
      </c>
      <c r="F188" s="32" t="s">
        <v>202</v>
      </c>
      <c r="G188" s="70" t="str">
        <f>HYPERLINK("https://docs.google.com/spreadsheets/d/1aBd0Zc5ZXDAzJ3RiLHZFxY5YERXGWBzSx8slg91li2M/edit#gid=1112986924", "https://docs.google.com/spreadsheets/d/1aBd0Zc5ZXDAzJ3RiLHZFxY5YERXGWBzSx8slg91li2M/edit#gid=1112986924")</f>
        <v>https://docs.google.com/spreadsheets/d/1aBd0Zc5ZXDAzJ3RiLHZFxY5YERXGWBzSx8slg91li2M/edit#gid=1112986924</v>
      </c>
      <c r="H188" s="32" t="s">
        <v>202</v>
      </c>
      <c r="I188" s="11"/>
      <c r="J188" s="11"/>
      <c r="K188" s="11"/>
      <c r="L188" s="11"/>
      <c r="M188" s="15"/>
      <c r="N188" s="15"/>
      <c r="O188" s="15"/>
      <c r="P188" s="15"/>
      <c r="Q188" s="15"/>
      <c r="R188" s="15"/>
      <c r="S188" s="15"/>
      <c r="T188" s="15"/>
      <c r="U188" s="15"/>
      <c r="V188" s="15"/>
      <c r="W188" s="15"/>
      <c r="X188" s="15"/>
      <c r="Y188" s="15"/>
      <c r="Z188" s="15"/>
      <c r="AA188" s="15"/>
      <c r="AB188" s="15"/>
      <c r="AC188" s="15"/>
      <c r="AD188" s="15"/>
      <c r="AE188" s="15"/>
      <c r="AF188" s="15"/>
      <c r="AG188" s="15"/>
      <c r="AH188" s="15"/>
    </row>
    <row r="189" ht="15.75" customHeight="1">
      <c r="A189" s="15"/>
      <c r="B189" s="15"/>
      <c r="C189" s="21"/>
      <c r="D189" s="15"/>
      <c r="E189" s="32" t="s">
        <v>178</v>
      </c>
      <c r="F189" s="32" t="s">
        <v>202</v>
      </c>
      <c r="G189" s="70" t="str">
        <f>HYPERLINK("https://docs.google.com/spreadsheets/d/1aBd0Zc5ZXDAzJ3RiLHZFxY5YERXGWBzSx8slg91li2M/edit#gid=100211717", "https://docs.google.com/spreadsheets/d/1aBd0Zc5ZXDAzJ3RiLHZFxY5YERXGWBzSx8slg91li2M/edit#gid=100211717")</f>
        <v>https://docs.google.com/spreadsheets/d/1aBd0Zc5ZXDAzJ3RiLHZFxY5YERXGWBzSx8slg91li2M/edit#gid=100211717</v>
      </c>
      <c r="H189" s="32" t="s">
        <v>2025</v>
      </c>
      <c r="I189" s="11"/>
      <c r="J189" s="11"/>
      <c r="K189" s="11"/>
      <c r="L189" s="11"/>
      <c r="M189" s="15"/>
      <c r="N189" s="15"/>
      <c r="O189" s="15"/>
      <c r="P189" s="15"/>
      <c r="Q189" s="15"/>
      <c r="R189" s="15"/>
      <c r="S189" s="15"/>
      <c r="T189" s="15"/>
      <c r="U189" s="15"/>
      <c r="V189" s="15"/>
      <c r="W189" s="15"/>
      <c r="X189" s="15"/>
      <c r="Y189" s="15"/>
      <c r="Z189" s="15"/>
      <c r="AA189" s="15"/>
      <c r="AB189" s="15"/>
      <c r="AC189" s="15"/>
      <c r="AD189" s="15"/>
      <c r="AE189" s="15"/>
      <c r="AF189" s="15"/>
      <c r="AG189" s="15"/>
      <c r="AH189" s="15"/>
    </row>
    <row r="190" ht="15.75" customHeight="1">
      <c r="A190" s="15"/>
      <c r="B190" s="15"/>
      <c r="C190" s="21"/>
      <c r="D190" s="15"/>
      <c r="E190" s="32" t="s">
        <v>21</v>
      </c>
      <c r="F190" s="32" t="s">
        <v>51</v>
      </c>
      <c r="G190" s="70" t="str">
        <f>HYPERLINK("https://docs.google.com/spreadsheets/d/1aBd0Zc5ZXDAzJ3RiLHZFxY5YERXGWBzSx8slg91li2M/edit#gid=1021397533", "https://docs.google.com/spreadsheets/d/1aBd0Zc5ZXDAzJ3RiLHZFxY5YERXGWBzSx8slg91li2M/edit#gid=1021397533")</f>
        <v>https://docs.google.com/spreadsheets/d/1aBd0Zc5ZXDAzJ3RiLHZFxY5YERXGWBzSx8slg91li2M/edit#gid=1021397533</v>
      </c>
      <c r="H190" s="32" t="s">
        <v>51</v>
      </c>
      <c r="I190" s="11"/>
      <c r="J190" s="11"/>
      <c r="K190" s="11"/>
      <c r="L190" s="11"/>
      <c r="M190" s="15"/>
      <c r="N190" s="15"/>
      <c r="O190" s="15"/>
      <c r="P190" s="15"/>
      <c r="Q190" s="15"/>
      <c r="R190" s="15"/>
      <c r="S190" s="15"/>
      <c r="T190" s="15"/>
      <c r="U190" s="15"/>
      <c r="V190" s="15"/>
      <c r="W190" s="15"/>
      <c r="X190" s="15"/>
      <c r="Y190" s="15"/>
      <c r="Z190" s="15"/>
      <c r="AA190" s="15"/>
      <c r="AB190" s="15"/>
      <c r="AC190" s="15"/>
      <c r="AD190" s="15"/>
      <c r="AE190" s="15"/>
      <c r="AF190" s="15"/>
      <c r="AG190" s="15"/>
      <c r="AH190" s="15"/>
    </row>
    <row r="191" ht="15.75" customHeight="1">
      <c r="A191" s="15"/>
      <c r="B191" s="15"/>
      <c r="C191" s="21"/>
      <c r="D191" s="15"/>
      <c r="E191" s="32" t="s">
        <v>172</v>
      </c>
      <c r="F191" s="32" t="s">
        <v>203</v>
      </c>
      <c r="G191" s="70" t="str">
        <f>HYPERLINK("https://docs.google.com/spreadsheets/d/1aBd0Zc5ZXDAzJ3RiLHZFxY5YERXGWBzSx8slg91li2M/edit#gid=1124721835", "https://docs.google.com/spreadsheets/d/1aBd0Zc5ZXDAzJ3RiLHZFxY5YERXGWBzSx8slg91li2M/edit#gid=1124721835")</f>
        <v>https://docs.google.com/spreadsheets/d/1aBd0Zc5ZXDAzJ3RiLHZFxY5YERXGWBzSx8slg91li2M/edit#gid=1124721835</v>
      </c>
      <c r="H191" s="32" t="s">
        <v>203</v>
      </c>
      <c r="I191" s="11"/>
      <c r="J191" s="11"/>
      <c r="K191" s="11"/>
      <c r="L191" s="11"/>
      <c r="M191" s="15"/>
      <c r="N191" s="15"/>
      <c r="O191" s="15"/>
      <c r="P191" s="15"/>
      <c r="Q191" s="15"/>
      <c r="R191" s="15"/>
      <c r="S191" s="15"/>
      <c r="T191" s="15"/>
      <c r="U191" s="15"/>
      <c r="V191" s="15"/>
      <c r="W191" s="15"/>
      <c r="X191" s="15"/>
      <c r="Y191" s="15"/>
      <c r="Z191" s="15"/>
      <c r="AA191" s="15"/>
      <c r="AB191" s="15"/>
      <c r="AC191" s="15"/>
      <c r="AD191" s="15"/>
      <c r="AE191" s="15"/>
      <c r="AF191" s="15"/>
      <c r="AG191" s="15"/>
      <c r="AH191" s="15"/>
    </row>
    <row r="192" ht="15.75" customHeight="1">
      <c r="A192" s="15"/>
      <c r="B192" s="15"/>
      <c r="C192" s="21"/>
      <c r="D192" s="15"/>
      <c r="E192" s="32" t="s">
        <v>172</v>
      </c>
      <c r="F192" s="32" t="s">
        <v>204</v>
      </c>
      <c r="G192" s="70" t="str">
        <f>HYPERLINK("https://docs.google.com/spreadsheets/d/1aBd0Zc5ZXDAzJ3RiLHZFxY5YERXGWBzSx8slg91li2M/edit#gid=1918870926", "https://docs.google.com/spreadsheets/d/1aBd0Zc5ZXDAzJ3RiLHZFxY5YERXGWBzSx8slg91li2M/edit#gid=1918870926")</f>
        <v>https://docs.google.com/spreadsheets/d/1aBd0Zc5ZXDAzJ3RiLHZFxY5YERXGWBzSx8slg91li2M/edit#gid=1918870926</v>
      </c>
      <c r="H192" s="32" t="s">
        <v>204</v>
      </c>
      <c r="I192" s="11"/>
      <c r="J192" s="11"/>
      <c r="K192" s="11"/>
      <c r="L192" s="11"/>
      <c r="M192" s="15"/>
      <c r="N192" s="15"/>
      <c r="O192" s="15"/>
      <c r="P192" s="15"/>
      <c r="Q192" s="15"/>
      <c r="R192" s="15"/>
      <c r="S192" s="15"/>
      <c r="T192" s="15"/>
      <c r="U192" s="15"/>
      <c r="V192" s="15"/>
      <c r="W192" s="15"/>
      <c r="X192" s="15"/>
      <c r="Y192" s="15"/>
      <c r="Z192" s="15"/>
      <c r="AA192" s="15"/>
      <c r="AB192" s="15"/>
      <c r="AC192" s="15"/>
      <c r="AD192" s="15"/>
      <c r="AE192" s="15"/>
      <c r="AF192" s="15"/>
      <c r="AG192" s="15"/>
      <c r="AH192" s="15"/>
    </row>
    <row r="193" ht="15.75" customHeight="1">
      <c r="A193" s="15"/>
      <c r="B193" s="15"/>
      <c r="C193" s="21"/>
      <c r="D193" s="15"/>
      <c r="E193" s="32" t="s">
        <v>178</v>
      </c>
      <c r="F193" s="32" t="s">
        <v>205</v>
      </c>
      <c r="G193" s="70" t="str">
        <f>HYPERLINK("https://docs.google.com/spreadsheets/d/1aBd0Zc5ZXDAzJ3RiLHZFxY5YERXGWBzSx8slg91li2M/edit#gid=29011319", "https://docs.google.com/spreadsheets/d/1aBd0Zc5ZXDAzJ3RiLHZFxY5YERXGWBzSx8slg91li2M/edit#gid=29011319")</f>
        <v>https://docs.google.com/spreadsheets/d/1aBd0Zc5ZXDAzJ3RiLHZFxY5YERXGWBzSx8slg91li2M/edit#gid=29011319</v>
      </c>
      <c r="H193" s="32" t="s">
        <v>205</v>
      </c>
      <c r="I193" s="11"/>
      <c r="J193" s="11"/>
      <c r="K193" s="11"/>
      <c r="L193" s="11"/>
      <c r="M193" s="15"/>
      <c r="N193" s="15"/>
      <c r="O193" s="15"/>
      <c r="P193" s="15"/>
      <c r="Q193" s="15"/>
      <c r="R193" s="15"/>
      <c r="S193" s="15"/>
      <c r="T193" s="15"/>
      <c r="U193" s="15"/>
      <c r="V193" s="15"/>
      <c r="W193" s="15"/>
      <c r="X193" s="15"/>
      <c r="Y193" s="15"/>
      <c r="Z193" s="15"/>
      <c r="AA193" s="15"/>
      <c r="AB193" s="15"/>
      <c r="AC193" s="15"/>
      <c r="AD193" s="15"/>
      <c r="AE193" s="15"/>
      <c r="AF193" s="15"/>
      <c r="AG193" s="15"/>
      <c r="AH193" s="15"/>
    </row>
    <row r="194" ht="15.75" customHeight="1">
      <c r="A194" s="15"/>
      <c r="B194" s="15"/>
      <c r="C194" s="21"/>
      <c r="D194" s="15"/>
      <c r="E194" s="32" t="s">
        <v>178</v>
      </c>
      <c r="F194" s="32" t="s">
        <v>206</v>
      </c>
      <c r="G194" s="15"/>
      <c r="H194" s="36"/>
      <c r="L194" s="11"/>
      <c r="M194" s="15"/>
      <c r="N194" s="15"/>
      <c r="O194" s="15"/>
      <c r="P194" s="15"/>
      <c r="Q194" s="15"/>
      <c r="R194" s="15"/>
      <c r="S194" s="15"/>
      <c r="T194" s="15"/>
      <c r="U194" s="15"/>
      <c r="V194" s="15"/>
      <c r="W194" s="15"/>
      <c r="X194" s="15"/>
      <c r="Y194" s="15"/>
      <c r="Z194" s="15"/>
      <c r="AA194" s="15"/>
      <c r="AB194" s="15"/>
      <c r="AC194" s="15"/>
      <c r="AD194" s="15"/>
      <c r="AE194" s="15"/>
      <c r="AF194" s="15"/>
      <c r="AG194" s="15"/>
      <c r="AH194" s="15"/>
    </row>
    <row r="195" ht="15.75" customHeight="1">
      <c r="A195" s="15"/>
      <c r="B195" s="15"/>
      <c r="C195" s="21"/>
      <c r="D195" s="15"/>
      <c r="E195" s="32" t="s">
        <v>178</v>
      </c>
      <c r="F195" s="32" t="s">
        <v>207</v>
      </c>
      <c r="G195" s="70" t="str">
        <f>HYPERLINK("https://docs.google.com/spreadsheets/d/1aBd0Zc5ZXDAzJ3RiLHZFxY5YERXGWBzSx8slg91li2M/edit#gid=948388443", "https://docs.google.com/spreadsheets/d/1aBd0Zc5ZXDAzJ3RiLHZFxY5YERXGWBzSx8slg91li2M/edit#gid=948388443")</f>
        <v>https://docs.google.com/spreadsheets/d/1aBd0Zc5ZXDAzJ3RiLHZFxY5YERXGWBzSx8slg91li2M/edit#gid=948388443</v>
      </c>
      <c r="H195" s="32" t="s">
        <v>207</v>
      </c>
      <c r="I195" s="11"/>
      <c r="J195" s="11"/>
      <c r="K195" s="11"/>
      <c r="L195" s="11"/>
      <c r="M195" s="15"/>
      <c r="N195" s="15"/>
      <c r="O195" s="15"/>
      <c r="P195" s="15"/>
      <c r="Q195" s="15"/>
      <c r="R195" s="15"/>
      <c r="S195" s="15"/>
      <c r="T195" s="15"/>
      <c r="U195" s="15"/>
      <c r="V195" s="15"/>
      <c r="W195" s="15"/>
      <c r="X195" s="15"/>
      <c r="Y195" s="15"/>
      <c r="Z195" s="15"/>
      <c r="AA195" s="15"/>
      <c r="AB195" s="15"/>
      <c r="AC195" s="15"/>
      <c r="AD195" s="15"/>
      <c r="AE195" s="15"/>
      <c r="AF195" s="15"/>
      <c r="AG195" s="15"/>
      <c r="AH195" s="15"/>
    </row>
    <row r="196" ht="15.75" customHeight="1">
      <c r="A196" s="15"/>
      <c r="B196" s="15"/>
      <c r="C196" s="21"/>
      <c r="D196" s="15"/>
      <c r="E196" s="32" t="s">
        <v>178</v>
      </c>
      <c r="F196" s="32" t="s">
        <v>208</v>
      </c>
      <c r="G196" s="70" t="str">
        <f>HYPERLINK("https://docs.google.com/spreadsheets/d/1aBd0Zc5ZXDAzJ3RiLHZFxY5YERXGWBzSx8slg91li2M/edit#gid=163295545", "https://docs.google.com/spreadsheets/d/1aBd0Zc5ZXDAzJ3RiLHZFxY5YERXGWBzSx8slg91li2M/edit#gid=163295545")</f>
        <v>https://docs.google.com/spreadsheets/d/1aBd0Zc5ZXDAzJ3RiLHZFxY5YERXGWBzSx8slg91li2M/edit#gid=163295545</v>
      </c>
      <c r="H196" s="32" t="s">
        <v>208</v>
      </c>
      <c r="I196" s="11"/>
      <c r="J196" s="11"/>
      <c r="K196" s="11"/>
      <c r="L196" s="11"/>
      <c r="M196" s="15"/>
      <c r="N196" s="15"/>
      <c r="O196" s="15"/>
      <c r="P196" s="15"/>
      <c r="Q196" s="15"/>
      <c r="R196" s="15"/>
      <c r="S196" s="15"/>
      <c r="T196" s="15"/>
      <c r="U196" s="15"/>
      <c r="V196" s="15"/>
      <c r="W196" s="15"/>
      <c r="X196" s="15"/>
      <c r="Y196" s="15"/>
      <c r="Z196" s="15"/>
      <c r="AA196" s="15"/>
      <c r="AB196" s="15"/>
      <c r="AC196" s="15"/>
      <c r="AD196" s="15"/>
      <c r="AE196" s="15"/>
      <c r="AF196" s="15"/>
      <c r="AG196" s="15"/>
      <c r="AH196" s="15"/>
    </row>
    <row r="197" ht="15.75" customHeight="1">
      <c r="A197" s="15"/>
      <c r="B197" s="15"/>
      <c r="C197" s="21"/>
      <c r="D197" s="15"/>
      <c r="E197" s="32" t="s">
        <v>21</v>
      </c>
      <c r="F197" s="32" t="s">
        <v>51</v>
      </c>
      <c r="G197" s="70" t="str">
        <f>HYPERLINK("https://docs.google.com/spreadsheets/d/1aBd0Zc5ZXDAzJ3RiLHZFxY5YERXGWBzSx8slg91li2M/edit#gid=1067040076", "https://docs.google.com/spreadsheets/d/1aBd0Zc5ZXDAzJ3RiLHZFxY5YERXGWBzSx8slg91li2M/edit#gid=1067040076")</f>
        <v>https://docs.google.com/spreadsheets/d/1aBd0Zc5ZXDAzJ3RiLHZFxY5YERXGWBzSx8slg91li2M/edit#gid=1067040076</v>
      </c>
      <c r="H197" s="32" t="s">
        <v>1383</v>
      </c>
      <c r="I197" s="11"/>
      <c r="J197" s="11"/>
      <c r="K197" s="11"/>
      <c r="L197" s="11"/>
      <c r="M197" s="15"/>
      <c r="N197" s="15"/>
      <c r="O197" s="15"/>
      <c r="P197" s="15"/>
      <c r="Q197" s="15"/>
      <c r="R197" s="15"/>
      <c r="S197" s="15"/>
      <c r="T197" s="15"/>
      <c r="U197" s="15"/>
      <c r="V197" s="15"/>
      <c r="W197" s="15"/>
      <c r="X197" s="15"/>
      <c r="Y197" s="15"/>
      <c r="Z197" s="15"/>
      <c r="AA197" s="15"/>
      <c r="AB197" s="15"/>
      <c r="AC197" s="15"/>
      <c r="AD197" s="15"/>
      <c r="AE197" s="15"/>
      <c r="AF197" s="15"/>
      <c r="AG197" s="15"/>
      <c r="AH197" s="15"/>
    </row>
    <row r="198" ht="15.75" customHeight="1">
      <c r="A198" s="15"/>
      <c r="B198" s="15"/>
      <c r="C198" s="21"/>
      <c r="D198" s="15"/>
      <c r="E198" s="32" t="s">
        <v>86</v>
      </c>
      <c r="F198" s="32" t="s">
        <v>90</v>
      </c>
      <c r="G198" s="70" t="str">
        <f>HYPERLINK("https://docs.google.com/spreadsheets/d/1aBd0Zc5ZXDAzJ3RiLHZFxY5YERXGWBzSx8slg91li2M/edit#gid=395686368", "https://docs.google.com/spreadsheets/d/1aBd0Zc5ZXDAzJ3RiLHZFxY5YERXGWBzSx8slg91li2M/edit#gid=395686368")</f>
        <v>https://docs.google.com/spreadsheets/d/1aBd0Zc5ZXDAzJ3RiLHZFxY5YERXGWBzSx8slg91li2M/edit#gid=395686368</v>
      </c>
      <c r="H198" s="32" t="s">
        <v>90</v>
      </c>
      <c r="I198" s="11"/>
      <c r="J198" s="11"/>
      <c r="K198" s="11"/>
      <c r="L198" s="11"/>
      <c r="M198" s="15"/>
      <c r="N198" s="15"/>
      <c r="O198" s="15"/>
      <c r="P198" s="15"/>
      <c r="Q198" s="15"/>
      <c r="R198" s="15"/>
      <c r="S198" s="15"/>
      <c r="T198" s="15"/>
      <c r="U198" s="15"/>
      <c r="V198" s="15"/>
      <c r="W198" s="15"/>
      <c r="X198" s="15"/>
      <c r="Y198" s="15"/>
      <c r="Z198" s="15"/>
      <c r="AA198" s="15"/>
      <c r="AB198" s="15"/>
      <c r="AC198" s="15"/>
      <c r="AD198" s="15"/>
      <c r="AE198" s="15"/>
      <c r="AF198" s="15"/>
      <c r="AG198" s="15"/>
      <c r="AH198" s="15"/>
    </row>
    <row r="199" ht="15.75" customHeight="1">
      <c r="A199" s="15"/>
      <c r="B199" s="15"/>
      <c r="C199" s="21"/>
      <c r="D199" s="15"/>
      <c r="E199" s="32" t="s">
        <v>86</v>
      </c>
      <c r="F199" s="32" t="s">
        <v>339</v>
      </c>
      <c r="G199" s="70" t="str">
        <f>HYPERLINK("https://docs.google.com/spreadsheets/d/1aBd0Zc5ZXDAzJ3RiLHZFxY5YERXGWBzSx8slg91li2M/edit#gid=1756737768", "https://docs.google.com/spreadsheets/d/1aBd0Zc5ZXDAzJ3RiLHZFxY5YERXGWBzSx8slg91li2M/edit#gid=1756737768")</f>
        <v>https://docs.google.com/spreadsheets/d/1aBd0Zc5ZXDAzJ3RiLHZFxY5YERXGWBzSx8slg91li2M/edit#gid=1756737768</v>
      </c>
      <c r="H199" s="32" t="s">
        <v>339</v>
      </c>
      <c r="I199" s="11"/>
      <c r="J199" s="11"/>
      <c r="K199" s="11"/>
      <c r="L199" s="11"/>
      <c r="M199" s="15"/>
      <c r="N199" s="15"/>
      <c r="O199" s="15"/>
      <c r="P199" s="15"/>
      <c r="Q199" s="15"/>
      <c r="R199" s="15"/>
      <c r="S199" s="15"/>
      <c r="T199" s="15"/>
      <c r="U199" s="15"/>
      <c r="V199" s="15"/>
      <c r="W199" s="15"/>
      <c r="X199" s="15"/>
      <c r="Y199" s="15"/>
      <c r="Z199" s="15"/>
      <c r="AA199" s="15"/>
      <c r="AB199" s="15"/>
      <c r="AC199" s="15"/>
      <c r="AD199" s="15"/>
      <c r="AE199" s="15"/>
      <c r="AF199" s="15"/>
      <c r="AG199" s="15"/>
      <c r="AH199" s="15"/>
    </row>
    <row r="200" ht="15.75" customHeight="1">
      <c r="A200" s="15"/>
      <c r="B200" s="15"/>
      <c r="C200" s="21"/>
      <c r="D200" s="15"/>
      <c r="E200" s="32" t="s">
        <v>172</v>
      </c>
      <c r="F200" s="32" t="s">
        <v>203</v>
      </c>
      <c r="G200" s="70" t="str">
        <f>HYPERLINK("https://docs.google.com/spreadsheets/d/1aBd0Zc5ZXDAzJ3RiLHZFxY5YERXGWBzSx8slg91li2M/edit#gid=1524286725", "https://docs.google.com/spreadsheets/d/1aBd0Zc5ZXDAzJ3RiLHZFxY5YERXGWBzSx8slg91li2M/edit#gid=1524286725")</f>
        <v>https://docs.google.com/spreadsheets/d/1aBd0Zc5ZXDAzJ3RiLHZFxY5YERXGWBzSx8slg91li2M/edit#gid=1524286725</v>
      </c>
      <c r="H200" s="32" t="s">
        <v>1995</v>
      </c>
      <c r="I200" s="11"/>
      <c r="J200" s="11"/>
      <c r="K200" s="11"/>
      <c r="L200" s="11"/>
      <c r="M200" s="15"/>
      <c r="N200" s="15"/>
      <c r="O200" s="15"/>
      <c r="P200" s="15"/>
      <c r="Q200" s="15"/>
      <c r="R200" s="15"/>
      <c r="S200" s="15"/>
      <c r="T200" s="15"/>
      <c r="U200" s="15"/>
      <c r="V200" s="15"/>
      <c r="W200" s="15"/>
      <c r="X200" s="15"/>
      <c r="Y200" s="15"/>
      <c r="Z200" s="15"/>
      <c r="AA200" s="15"/>
      <c r="AB200" s="15"/>
      <c r="AC200" s="15"/>
      <c r="AD200" s="15"/>
      <c r="AE200" s="15"/>
      <c r="AF200" s="15"/>
      <c r="AG200" s="15"/>
      <c r="AH200" s="15"/>
    </row>
    <row r="201" ht="15.75" customHeight="1">
      <c r="A201" s="15"/>
      <c r="B201" s="15"/>
      <c r="C201" s="21"/>
      <c r="D201" s="15"/>
      <c r="E201" s="32" t="s">
        <v>172</v>
      </c>
      <c r="F201" s="32" t="s">
        <v>204</v>
      </c>
      <c r="G201" s="70" t="str">
        <f>HYPERLINK("https://docs.google.com/spreadsheets/d/1aBd0Zc5ZXDAzJ3RiLHZFxY5YERXGWBzSx8slg91li2M/edit#gid=1520133653", "https://docs.google.com/spreadsheets/d/1aBd0Zc5ZXDAzJ3RiLHZFxY5YERXGWBzSx8slg91li2M/edit#gid=1520133653")</f>
        <v>https://docs.google.com/spreadsheets/d/1aBd0Zc5ZXDAzJ3RiLHZFxY5YERXGWBzSx8slg91li2M/edit#gid=1520133653</v>
      </c>
      <c r="H201" s="32" t="s">
        <v>1996</v>
      </c>
      <c r="I201" s="11"/>
      <c r="J201" s="11"/>
      <c r="K201" s="11"/>
      <c r="L201" s="11"/>
      <c r="M201" s="15"/>
      <c r="N201" s="15"/>
      <c r="O201" s="15"/>
      <c r="P201" s="15"/>
      <c r="Q201" s="15"/>
      <c r="R201" s="15"/>
      <c r="S201" s="15"/>
      <c r="T201" s="15"/>
      <c r="U201" s="15"/>
      <c r="V201" s="15"/>
      <c r="W201" s="15"/>
      <c r="X201" s="15"/>
      <c r="Y201" s="15"/>
      <c r="Z201" s="15"/>
      <c r="AA201" s="15"/>
      <c r="AB201" s="15"/>
      <c r="AC201" s="15"/>
      <c r="AD201" s="15"/>
      <c r="AE201" s="15"/>
      <c r="AF201" s="15"/>
      <c r="AG201" s="15"/>
      <c r="AH201" s="15"/>
    </row>
    <row r="202" ht="15.75" customHeight="1">
      <c r="A202" s="15"/>
      <c r="B202" s="15"/>
      <c r="C202" s="21"/>
      <c r="D202" s="15"/>
      <c r="E202" s="32" t="s">
        <v>178</v>
      </c>
      <c r="F202" s="32" t="s">
        <v>205</v>
      </c>
      <c r="G202" s="70" t="str">
        <f>HYPERLINK("https://docs.google.com/spreadsheets/d/1aBd0Zc5ZXDAzJ3RiLHZFxY5YERXGWBzSx8slg91li2M/edit#gid=721016956", "https://docs.google.com/spreadsheets/d/1aBd0Zc5ZXDAzJ3RiLHZFxY5YERXGWBzSx8slg91li2M/edit#gid=721016956")</f>
        <v>https://docs.google.com/spreadsheets/d/1aBd0Zc5ZXDAzJ3RiLHZFxY5YERXGWBzSx8slg91li2M/edit#gid=721016956</v>
      </c>
      <c r="H202" s="32" t="s">
        <v>1997</v>
      </c>
      <c r="I202" s="11"/>
      <c r="J202" s="11"/>
      <c r="K202" s="11"/>
      <c r="L202" s="11"/>
      <c r="M202" s="15"/>
      <c r="N202" s="15"/>
      <c r="O202" s="15"/>
      <c r="P202" s="15"/>
      <c r="Q202" s="15"/>
      <c r="R202" s="15"/>
      <c r="S202" s="15"/>
      <c r="T202" s="15"/>
      <c r="U202" s="15"/>
      <c r="V202" s="15"/>
      <c r="W202" s="15"/>
      <c r="X202" s="15"/>
      <c r="Y202" s="15"/>
      <c r="Z202" s="15"/>
      <c r="AA202" s="15"/>
      <c r="AB202" s="15"/>
      <c r="AC202" s="15"/>
      <c r="AD202" s="15"/>
      <c r="AE202" s="15"/>
      <c r="AF202" s="15"/>
      <c r="AG202" s="15"/>
      <c r="AH202" s="15"/>
    </row>
    <row r="203" ht="15.75" customHeight="1">
      <c r="A203" s="15"/>
      <c r="B203" s="15"/>
      <c r="C203" s="21"/>
      <c r="D203" s="15"/>
      <c r="E203" s="32" t="s">
        <v>178</v>
      </c>
      <c r="F203" s="32" t="s">
        <v>206</v>
      </c>
      <c r="G203" s="15"/>
      <c r="H203" s="36"/>
      <c r="L203" s="11"/>
      <c r="M203" s="15"/>
      <c r="N203" s="15"/>
      <c r="O203" s="15"/>
      <c r="P203" s="15"/>
      <c r="Q203" s="15"/>
      <c r="R203" s="15"/>
      <c r="S203" s="15"/>
      <c r="T203" s="15"/>
      <c r="U203" s="15"/>
      <c r="V203" s="15"/>
      <c r="W203" s="15"/>
      <c r="X203" s="15"/>
      <c r="Y203" s="15"/>
      <c r="Z203" s="15"/>
      <c r="AA203" s="15"/>
      <c r="AB203" s="15"/>
      <c r="AC203" s="15"/>
      <c r="AD203" s="15"/>
      <c r="AE203" s="15"/>
      <c r="AF203" s="15"/>
      <c r="AG203" s="15"/>
      <c r="AH203" s="15"/>
    </row>
    <row r="204" ht="15.75" customHeight="1">
      <c r="A204" s="15"/>
      <c r="B204" s="15"/>
      <c r="C204" s="21"/>
      <c r="D204" s="15"/>
      <c r="E204" s="32" t="s">
        <v>178</v>
      </c>
      <c r="F204" s="32" t="s">
        <v>207</v>
      </c>
      <c r="G204" s="70" t="str">
        <f>HYPERLINK("https://docs.google.com/spreadsheets/d/1aBd0Zc5ZXDAzJ3RiLHZFxY5YERXGWBzSx8slg91li2M/edit#gid=198127117", "https://docs.google.com/spreadsheets/d/1aBd0Zc5ZXDAzJ3RiLHZFxY5YERXGWBzSx8slg91li2M/edit#gid=198127117")</f>
        <v>https://docs.google.com/spreadsheets/d/1aBd0Zc5ZXDAzJ3RiLHZFxY5YERXGWBzSx8slg91li2M/edit#gid=198127117</v>
      </c>
      <c r="H204" s="32" t="s">
        <v>1998</v>
      </c>
      <c r="I204" s="11"/>
      <c r="J204" s="11"/>
      <c r="K204" s="11"/>
      <c r="L204" s="11"/>
      <c r="M204" s="15"/>
      <c r="N204" s="15"/>
      <c r="O204" s="15"/>
      <c r="P204" s="15"/>
      <c r="Q204" s="15"/>
      <c r="R204" s="15"/>
      <c r="S204" s="15"/>
      <c r="T204" s="15"/>
      <c r="U204" s="15"/>
      <c r="V204" s="15"/>
      <c r="W204" s="15"/>
      <c r="X204" s="15"/>
      <c r="Y204" s="15"/>
      <c r="Z204" s="15"/>
      <c r="AA204" s="15"/>
      <c r="AB204" s="15"/>
      <c r="AC204" s="15"/>
      <c r="AD204" s="15"/>
      <c r="AE204" s="15"/>
      <c r="AF204" s="15"/>
      <c r="AG204" s="15"/>
      <c r="AH204" s="15"/>
    </row>
    <row r="205" ht="15.75" customHeight="1">
      <c r="A205" s="15"/>
      <c r="B205" s="15"/>
      <c r="C205" s="21"/>
      <c r="D205" s="15"/>
      <c r="E205" s="32" t="s">
        <v>178</v>
      </c>
      <c r="F205" s="32" t="s">
        <v>208</v>
      </c>
      <c r="G205" s="70" t="str">
        <f>HYPERLINK("https://docs.google.com/spreadsheets/d/1aBd0Zc5ZXDAzJ3RiLHZFxY5YERXGWBzSx8slg91li2M/edit#gid=692303858", "https://docs.google.com/spreadsheets/d/1aBd0Zc5ZXDAzJ3RiLHZFxY5YERXGWBzSx8slg91li2M/edit#gid=692303858")</f>
        <v>https://docs.google.com/spreadsheets/d/1aBd0Zc5ZXDAzJ3RiLHZFxY5YERXGWBzSx8slg91li2M/edit#gid=692303858</v>
      </c>
      <c r="H205" s="32" t="s">
        <v>2002</v>
      </c>
      <c r="I205" s="11"/>
      <c r="J205" s="11"/>
      <c r="K205" s="11"/>
      <c r="L205" s="11"/>
      <c r="M205" s="15"/>
      <c r="N205" s="15"/>
      <c r="O205" s="15"/>
      <c r="P205" s="15"/>
      <c r="Q205" s="15"/>
      <c r="R205" s="15"/>
      <c r="S205" s="15"/>
      <c r="T205" s="15"/>
      <c r="U205" s="15"/>
      <c r="V205" s="15"/>
      <c r="W205" s="15"/>
      <c r="X205" s="15"/>
      <c r="Y205" s="15"/>
      <c r="Z205" s="15"/>
      <c r="AA205" s="15"/>
      <c r="AB205" s="15"/>
      <c r="AC205" s="15"/>
      <c r="AD205" s="15"/>
      <c r="AE205" s="15"/>
      <c r="AF205" s="15"/>
      <c r="AG205" s="15"/>
      <c r="AH205" s="15"/>
    </row>
    <row r="206" ht="15.75" customHeight="1">
      <c r="A206" s="15"/>
      <c r="B206" s="15"/>
      <c r="C206" s="21"/>
      <c r="D206" s="15"/>
      <c r="E206" s="32" t="s">
        <v>178</v>
      </c>
      <c r="F206" s="32" t="s">
        <v>182</v>
      </c>
      <c r="G206" s="70" t="str">
        <f>HYPERLINK("https://docs.google.com/spreadsheets/d/1aBd0Zc5ZXDAzJ3RiLHZFxY5YERXGWBzSx8slg91li2M/edit#gid=741775915", "https://docs.google.com/spreadsheets/d/1aBd0Zc5ZXDAzJ3RiLHZFxY5YERXGWBzSx8slg91li2M/edit#gid=741775915")</f>
        <v>https://docs.google.com/spreadsheets/d/1aBd0Zc5ZXDAzJ3RiLHZFxY5YERXGWBzSx8slg91li2M/edit#gid=741775915</v>
      </c>
      <c r="H206" s="32" t="s">
        <v>182</v>
      </c>
      <c r="I206" s="11"/>
      <c r="J206" s="11"/>
      <c r="K206" s="11"/>
      <c r="L206" s="11"/>
      <c r="M206" s="15"/>
      <c r="N206" s="15"/>
      <c r="O206" s="15"/>
      <c r="P206" s="15"/>
      <c r="Q206" s="15"/>
      <c r="R206" s="15"/>
      <c r="S206" s="15"/>
      <c r="T206" s="15"/>
      <c r="U206" s="15"/>
      <c r="V206" s="15"/>
      <c r="W206" s="15"/>
      <c r="X206" s="15"/>
      <c r="Y206" s="15"/>
      <c r="Z206" s="15"/>
      <c r="AA206" s="15"/>
      <c r="AB206" s="15"/>
      <c r="AC206" s="15"/>
      <c r="AD206" s="15"/>
      <c r="AE206" s="15"/>
      <c r="AF206" s="15"/>
      <c r="AG206" s="15"/>
      <c r="AH206" s="15"/>
    </row>
    <row r="207" ht="15.75" customHeight="1">
      <c r="A207" s="15"/>
      <c r="B207" s="15"/>
      <c r="C207" s="21"/>
      <c r="D207" s="15"/>
      <c r="E207" s="32" t="s">
        <v>178</v>
      </c>
      <c r="F207" s="32" t="s">
        <v>180</v>
      </c>
      <c r="G207" s="70" t="str">
        <f>HYPERLINK("https://docs.google.com/spreadsheets/d/1aBd0Zc5ZXDAzJ3RiLHZFxY5YERXGWBzSx8slg91li2M/edit#gid=1405615545", "https://docs.google.com/spreadsheets/d/1aBd0Zc5ZXDAzJ3RiLHZFxY5YERXGWBzSx8slg91li2M/edit#gid=1405615545")</f>
        <v>https://docs.google.com/spreadsheets/d/1aBd0Zc5ZXDAzJ3RiLHZFxY5YERXGWBzSx8slg91li2M/edit#gid=1405615545</v>
      </c>
      <c r="H207" s="32" t="s">
        <v>180</v>
      </c>
      <c r="I207" s="11"/>
      <c r="J207" s="11"/>
      <c r="K207" s="11"/>
      <c r="L207" s="11"/>
      <c r="M207" s="15"/>
      <c r="N207" s="15"/>
      <c r="O207" s="15"/>
      <c r="P207" s="15"/>
      <c r="Q207" s="15"/>
      <c r="R207" s="15"/>
      <c r="S207" s="15"/>
      <c r="T207" s="15"/>
      <c r="U207" s="15"/>
      <c r="V207" s="15"/>
      <c r="W207" s="15"/>
      <c r="X207" s="15"/>
      <c r="Y207" s="15"/>
      <c r="Z207" s="15"/>
      <c r="AA207" s="15"/>
      <c r="AB207" s="15"/>
      <c r="AC207" s="15"/>
      <c r="AD207" s="15"/>
      <c r="AE207" s="15"/>
      <c r="AF207" s="15"/>
      <c r="AG207" s="15"/>
      <c r="AH207" s="15"/>
    </row>
    <row r="208" ht="15.75" customHeight="1">
      <c r="A208" s="15"/>
      <c r="B208" s="15"/>
      <c r="C208" s="21"/>
      <c r="D208" s="15"/>
      <c r="E208" s="32" t="s">
        <v>178</v>
      </c>
      <c r="F208" s="32" t="s">
        <v>209</v>
      </c>
      <c r="G208" s="70" t="str">
        <f>HYPERLINK("https://docs.google.com/spreadsheets/d/1aBd0Zc5ZXDAzJ3RiLHZFxY5YERXGWBzSx8slg91li2M/edit#gid=1877007053", "https://docs.google.com/spreadsheets/d/1aBd0Zc5ZXDAzJ3RiLHZFxY5YERXGWBzSx8slg91li2M/edit#gid=1877007053")</f>
        <v>https://docs.google.com/spreadsheets/d/1aBd0Zc5ZXDAzJ3RiLHZFxY5YERXGWBzSx8slg91li2M/edit#gid=1877007053</v>
      </c>
      <c r="H208" s="32" t="s">
        <v>209</v>
      </c>
      <c r="I208" s="11"/>
      <c r="J208" s="11"/>
      <c r="K208" s="11"/>
      <c r="L208" s="11"/>
      <c r="M208" s="15"/>
      <c r="N208" s="15"/>
      <c r="O208" s="15"/>
      <c r="P208" s="15"/>
      <c r="Q208" s="15"/>
      <c r="R208" s="15"/>
      <c r="S208" s="15"/>
      <c r="T208" s="15"/>
      <c r="U208" s="15"/>
      <c r="V208" s="15"/>
      <c r="W208" s="15"/>
      <c r="X208" s="15"/>
      <c r="Y208" s="15"/>
      <c r="Z208" s="15"/>
      <c r="AA208" s="15"/>
      <c r="AB208" s="15"/>
      <c r="AC208" s="15"/>
      <c r="AD208" s="15"/>
      <c r="AE208" s="15"/>
      <c r="AF208" s="15"/>
      <c r="AG208" s="15"/>
      <c r="AH208" s="15"/>
    </row>
    <row r="209" ht="15.75" customHeight="1">
      <c r="A209" s="15"/>
      <c r="B209" s="15"/>
      <c r="C209" s="21"/>
      <c r="D209" s="15"/>
      <c r="E209" s="32" t="s">
        <v>178</v>
      </c>
      <c r="F209" s="32" t="s">
        <v>210</v>
      </c>
      <c r="G209" s="70" t="str">
        <f>HYPERLINK("https://docs.google.com/spreadsheets/d/1aBd0Zc5ZXDAzJ3RiLHZFxY5YERXGWBzSx8slg91li2M/edit#gid=880774074", "https://docs.google.com/spreadsheets/d/1aBd0Zc5ZXDAzJ3RiLHZFxY5YERXGWBzSx8slg91li2M/edit#gid=880774074")</f>
        <v>https://docs.google.com/spreadsheets/d/1aBd0Zc5ZXDAzJ3RiLHZFxY5YERXGWBzSx8slg91li2M/edit#gid=880774074</v>
      </c>
      <c r="H209" s="32" t="s">
        <v>210</v>
      </c>
      <c r="I209" s="11"/>
      <c r="J209" s="11"/>
      <c r="K209" s="11"/>
      <c r="L209" s="11"/>
      <c r="M209" s="15"/>
      <c r="N209" s="15"/>
      <c r="O209" s="15"/>
      <c r="P209" s="15"/>
      <c r="Q209" s="15"/>
      <c r="R209" s="15"/>
      <c r="S209" s="15"/>
      <c r="T209" s="15"/>
      <c r="U209" s="15"/>
      <c r="V209" s="15"/>
      <c r="W209" s="15"/>
      <c r="X209" s="15"/>
      <c r="Y209" s="15"/>
      <c r="Z209" s="15"/>
      <c r="AA209" s="15"/>
      <c r="AB209" s="15"/>
      <c r="AC209" s="15"/>
      <c r="AD209" s="15"/>
      <c r="AE209" s="15"/>
      <c r="AF209" s="15"/>
      <c r="AG209" s="15"/>
      <c r="AH209" s="15"/>
    </row>
    <row r="210" ht="15.75" customHeight="1">
      <c r="A210" s="15"/>
      <c r="B210" s="15"/>
      <c r="C210" s="21"/>
      <c r="D210" s="15"/>
      <c r="E210" s="32" t="s">
        <v>157</v>
      </c>
      <c r="F210" s="32" t="s">
        <v>161</v>
      </c>
      <c r="G210" s="70" t="str">
        <f>HYPERLINK("https://docs.google.com/spreadsheets/d/1aBd0Zc5ZXDAzJ3RiLHZFxY5YERXGWBzSx8slg91li2M/edit#gid=476195774", "https://docs.google.com/spreadsheets/d/1aBd0Zc5ZXDAzJ3RiLHZFxY5YERXGWBzSx8slg91li2M/edit#gid=476195774")</f>
        <v>https://docs.google.com/spreadsheets/d/1aBd0Zc5ZXDAzJ3RiLHZFxY5YERXGWBzSx8slg91li2M/edit#gid=476195774</v>
      </c>
      <c r="H210" s="32" t="s">
        <v>161</v>
      </c>
      <c r="I210" s="11"/>
      <c r="J210" s="11"/>
      <c r="K210" s="11"/>
      <c r="L210" s="11"/>
      <c r="M210" s="15"/>
      <c r="N210" s="15"/>
      <c r="O210" s="15"/>
      <c r="P210" s="15"/>
      <c r="Q210" s="15"/>
      <c r="R210" s="15"/>
      <c r="S210" s="15"/>
      <c r="T210" s="15"/>
      <c r="U210" s="15"/>
      <c r="V210" s="15"/>
      <c r="W210" s="15"/>
      <c r="X210" s="15"/>
      <c r="Y210" s="15"/>
      <c r="Z210" s="15"/>
      <c r="AA210" s="15"/>
      <c r="AB210" s="15"/>
      <c r="AC210" s="15"/>
      <c r="AD210" s="15"/>
      <c r="AE210" s="15"/>
      <c r="AF210" s="15"/>
      <c r="AG210" s="15"/>
      <c r="AH210" s="15"/>
    </row>
    <row r="211" ht="15.75" customHeight="1">
      <c r="A211" s="15"/>
      <c r="B211" s="15"/>
      <c r="C211" s="21"/>
      <c r="D211" s="15"/>
      <c r="E211" s="32" t="s">
        <v>157</v>
      </c>
      <c r="F211" s="32" t="s">
        <v>158</v>
      </c>
      <c r="G211" s="70" t="str">
        <f>HYPERLINK("https://docs.google.com/spreadsheets/d/1aBd0Zc5ZXDAzJ3RiLHZFxY5YERXGWBzSx8slg91li2M/edit#gid=701139657", "https://docs.google.com/spreadsheets/d/1aBd0Zc5ZXDAzJ3RiLHZFxY5YERXGWBzSx8slg91li2M/edit#gid=701139657")</f>
        <v>https://docs.google.com/spreadsheets/d/1aBd0Zc5ZXDAzJ3RiLHZFxY5YERXGWBzSx8slg91li2M/edit#gid=701139657</v>
      </c>
      <c r="H211" s="32" t="s">
        <v>158</v>
      </c>
      <c r="I211" s="11"/>
      <c r="J211" s="11"/>
      <c r="K211" s="11"/>
      <c r="L211" s="11"/>
      <c r="M211" s="15"/>
      <c r="N211" s="15"/>
      <c r="O211" s="15"/>
      <c r="P211" s="15"/>
      <c r="Q211" s="15"/>
      <c r="R211" s="15"/>
      <c r="S211" s="15"/>
      <c r="T211" s="15"/>
      <c r="U211" s="15"/>
      <c r="V211" s="15"/>
      <c r="W211" s="15"/>
      <c r="X211" s="15"/>
      <c r="Y211" s="15"/>
      <c r="Z211" s="15"/>
      <c r="AA211" s="15"/>
      <c r="AB211" s="15"/>
      <c r="AC211" s="15"/>
      <c r="AD211" s="15"/>
      <c r="AE211" s="15"/>
      <c r="AF211" s="15"/>
      <c r="AG211" s="15"/>
      <c r="AH211" s="15"/>
    </row>
    <row r="212" ht="15.75" customHeight="1">
      <c r="A212" s="15"/>
      <c r="B212" s="15"/>
      <c r="C212" s="21"/>
      <c r="D212" s="15"/>
      <c r="E212" s="32" t="s">
        <v>157</v>
      </c>
      <c r="F212" s="32" t="s">
        <v>196</v>
      </c>
      <c r="G212" s="70" t="str">
        <f>HYPERLINK("https://docs.google.com/spreadsheets/d/1aBd0Zc5ZXDAzJ3RiLHZFxY5YERXGWBzSx8slg91li2M/edit#gid=506178788", "https://docs.google.com/spreadsheets/d/1aBd0Zc5ZXDAzJ3RiLHZFxY5YERXGWBzSx8slg91li2M/edit#gid=506178788")</f>
        <v>https://docs.google.com/spreadsheets/d/1aBd0Zc5ZXDAzJ3RiLHZFxY5YERXGWBzSx8slg91li2M/edit#gid=506178788</v>
      </c>
      <c r="H212" s="32" t="s">
        <v>196</v>
      </c>
      <c r="I212" s="11"/>
      <c r="J212" s="11"/>
      <c r="K212" s="11"/>
      <c r="L212" s="11"/>
      <c r="M212" s="15"/>
      <c r="N212" s="15"/>
      <c r="O212" s="15"/>
      <c r="P212" s="15"/>
      <c r="Q212" s="15"/>
      <c r="R212" s="15"/>
      <c r="S212" s="15"/>
      <c r="T212" s="15"/>
      <c r="U212" s="15"/>
      <c r="V212" s="15"/>
      <c r="W212" s="15"/>
      <c r="X212" s="15"/>
      <c r="Y212" s="15"/>
      <c r="Z212" s="15"/>
      <c r="AA212" s="15"/>
      <c r="AB212" s="15"/>
      <c r="AC212" s="15"/>
      <c r="AD212" s="15"/>
      <c r="AE212" s="15"/>
      <c r="AF212" s="15"/>
      <c r="AG212" s="15"/>
      <c r="AH212" s="15"/>
    </row>
    <row r="213" ht="15.75" customHeight="1">
      <c r="A213" s="15"/>
      <c r="B213" s="15"/>
      <c r="C213" s="21"/>
      <c r="D213" s="15"/>
      <c r="E213" s="32" t="s">
        <v>172</v>
      </c>
      <c r="F213" s="32" t="s">
        <v>203</v>
      </c>
      <c r="G213" s="70" t="str">
        <f>HYPERLINK("https://docs.google.com/spreadsheets/d/1aBd0Zc5ZXDAzJ3RiLHZFxY5YERXGWBzSx8slg91li2M/edit#gid=41231940", "https://docs.google.com/spreadsheets/d/1aBd0Zc5ZXDAzJ3RiLHZFxY5YERXGWBzSx8slg91li2M/edit#gid=41231940")</f>
        <v>https://docs.google.com/spreadsheets/d/1aBd0Zc5ZXDAzJ3RiLHZFxY5YERXGWBzSx8slg91li2M/edit#gid=41231940</v>
      </c>
      <c r="H213" s="32" t="s">
        <v>1999</v>
      </c>
      <c r="I213" s="11"/>
      <c r="J213" s="11"/>
      <c r="K213" s="11"/>
      <c r="L213" s="11"/>
      <c r="M213" s="15"/>
      <c r="N213" s="15"/>
      <c r="O213" s="15"/>
      <c r="P213" s="15"/>
      <c r="Q213" s="15"/>
      <c r="R213" s="15"/>
      <c r="S213" s="15"/>
      <c r="T213" s="15"/>
      <c r="U213" s="15"/>
      <c r="V213" s="15"/>
      <c r="W213" s="15"/>
      <c r="X213" s="15"/>
      <c r="Y213" s="15"/>
      <c r="Z213" s="15"/>
      <c r="AA213" s="15"/>
      <c r="AB213" s="15"/>
      <c r="AC213" s="15"/>
      <c r="AD213" s="15"/>
      <c r="AE213" s="15"/>
      <c r="AF213" s="15"/>
      <c r="AG213" s="15"/>
      <c r="AH213" s="15"/>
    </row>
    <row r="214" ht="15.75" customHeight="1">
      <c r="A214" s="15"/>
      <c r="B214" s="15"/>
      <c r="C214" s="21"/>
      <c r="D214" s="15"/>
      <c r="E214" s="32" t="s">
        <v>172</v>
      </c>
      <c r="F214" s="32" t="s">
        <v>204</v>
      </c>
      <c r="G214" s="70" t="str">
        <f>HYPERLINK("https://docs.google.com/spreadsheets/d/1aBd0Zc5ZXDAzJ3RiLHZFxY5YERXGWBzSx8slg91li2M/edit#gid=921001364", "https://docs.google.com/spreadsheets/d/1aBd0Zc5ZXDAzJ3RiLHZFxY5YERXGWBzSx8slg91li2M/edit#gid=921001364")</f>
        <v>https://docs.google.com/spreadsheets/d/1aBd0Zc5ZXDAzJ3RiLHZFxY5YERXGWBzSx8slg91li2M/edit#gid=921001364</v>
      </c>
      <c r="H214" s="32" t="s">
        <v>2000</v>
      </c>
      <c r="I214" s="11"/>
      <c r="J214" s="11"/>
      <c r="K214" s="11"/>
      <c r="L214" s="11"/>
      <c r="M214" s="15"/>
      <c r="N214" s="15"/>
      <c r="O214" s="15"/>
      <c r="P214" s="15"/>
      <c r="Q214" s="15"/>
      <c r="R214" s="15"/>
      <c r="S214" s="15"/>
      <c r="T214" s="15"/>
      <c r="U214" s="15"/>
      <c r="V214" s="15"/>
      <c r="W214" s="15"/>
      <c r="X214" s="15"/>
      <c r="Y214" s="15"/>
      <c r="Z214" s="15"/>
      <c r="AA214" s="15"/>
      <c r="AB214" s="15"/>
      <c r="AC214" s="15"/>
      <c r="AD214" s="15"/>
      <c r="AE214" s="15"/>
      <c r="AF214" s="15"/>
      <c r="AG214" s="15"/>
      <c r="AH214" s="15"/>
    </row>
    <row r="215" ht="15.75" customHeight="1">
      <c r="A215" s="15"/>
      <c r="B215" s="15"/>
      <c r="C215" s="21"/>
      <c r="D215" s="15"/>
      <c r="E215" s="32" t="s">
        <v>178</v>
      </c>
      <c r="F215" s="32" t="s">
        <v>207</v>
      </c>
      <c r="G215" s="70" t="str">
        <f>HYPERLINK("https://docs.google.com/spreadsheets/d/1aBd0Zc5ZXDAzJ3RiLHZFxY5YERXGWBzSx8slg91li2M/edit#gid=854522386", "https://docs.google.com/spreadsheets/d/1aBd0Zc5ZXDAzJ3RiLHZFxY5YERXGWBzSx8slg91li2M/edit#gid=854522386")</f>
        <v>https://docs.google.com/spreadsheets/d/1aBd0Zc5ZXDAzJ3RiLHZFxY5YERXGWBzSx8slg91li2M/edit#gid=854522386</v>
      </c>
      <c r="H215" s="32" t="s">
        <v>2001</v>
      </c>
      <c r="I215" s="11"/>
      <c r="J215" s="11"/>
      <c r="K215" s="11"/>
      <c r="L215" s="11"/>
      <c r="M215" s="15"/>
      <c r="N215" s="15"/>
      <c r="O215" s="15"/>
      <c r="P215" s="15"/>
      <c r="Q215" s="15"/>
      <c r="R215" s="15"/>
      <c r="S215" s="15"/>
      <c r="T215" s="15"/>
      <c r="U215" s="15"/>
      <c r="V215" s="15"/>
      <c r="W215" s="15"/>
      <c r="X215" s="15"/>
      <c r="Y215" s="15"/>
      <c r="Z215" s="15"/>
      <c r="AA215" s="15"/>
      <c r="AB215" s="15"/>
      <c r="AC215" s="15"/>
      <c r="AD215" s="15"/>
      <c r="AE215" s="15"/>
      <c r="AF215" s="15"/>
      <c r="AG215" s="15"/>
      <c r="AH215" s="15"/>
    </row>
    <row r="216" ht="15.75" customHeight="1">
      <c r="A216" s="15"/>
      <c r="B216" s="15"/>
      <c r="C216" s="21"/>
      <c r="D216" s="15"/>
      <c r="E216" s="32" t="s">
        <v>178</v>
      </c>
      <c r="F216" s="32" t="s">
        <v>208</v>
      </c>
      <c r="G216" s="70" t="str">
        <f>HYPERLINK("https://docs.google.com/spreadsheets/d/1aBd0Zc5ZXDAzJ3RiLHZFxY5YERXGWBzSx8slg91li2M/edit#gid=186682317", "https://docs.google.com/spreadsheets/d/1aBd0Zc5ZXDAzJ3RiLHZFxY5YERXGWBzSx8slg91li2M/edit#gid=186682317")</f>
        <v>https://docs.google.com/spreadsheets/d/1aBd0Zc5ZXDAzJ3RiLHZFxY5YERXGWBzSx8slg91li2M/edit#gid=186682317</v>
      </c>
      <c r="H216" s="32" t="s">
        <v>2021</v>
      </c>
      <c r="I216" s="11"/>
      <c r="J216" s="11"/>
      <c r="K216" s="11"/>
      <c r="L216" s="11"/>
      <c r="M216" s="15"/>
      <c r="N216" s="15"/>
      <c r="O216" s="15"/>
      <c r="P216" s="15"/>
      <c r="Q216" s="15"/>
      <c r="R216" s="15"/>
      <c r="S216" s="15"/>
      <c r="T216" s="15"/>
      <c r="U216" s="15"/>
      <c r="V216" s="15"/>
      <c r="W216" s="15"/>
      <c r="X216" s="15"/>
      <c r="Y216" s="15"/>
      <c r="Z216" s="15"/>
      <c r="AA216" s="15"/>
      <c r="AB216" s="15"/>
      <c r="AC216" s="15"/>
      <c r="AD216" s="15"/>
      <c r="AE216" s="15"/>
      <c r="AF216" s="15"/>
      <c r="AG216" s="15"/>
      <c r="AH216" s="15"/>
    </row>
    <row r="217" ht="15.75" customHeight="1">
      <c r="A217" s="15"/>
      <c r="B217" s="15"/>
      <c r="C217" s="21"/>
      <c r="D217" s="15"/>
      <c r="E217" s="32" t="s">
        <v>178</v>
      </c>
      <c r="F217" s="32" t="s">
        <v>182</v>
      </c>
      <c r="G217" s="70" t="str">
        <f>HYPERLINK("https://docs.google.com/spreadsheets/d/1aBd0Zc5ZXDAzJ3RiLHZFxY5YERXGWBzSx8slg91li2M/edit#gid=640243505", "https://docs.google.com/spreadsheets/d/1aBd0Zc5ZXDAzJ3RiLHZFxY5YERXGWBzSx8slg91li2M/edit#gid=640243505")</f>
        <v>https://docs.google.com/spreadsheets/d/1aBd0Zc5ZXDAzJ3RiLHZFxY5YERXGWBzSx8slg91li2M/edit#gid=640243505</v>
      </c>
      <c r="H217" s="32" t="s">
        <v>2003</v>
      </c>
      <c r="I217" s="11"/>
      <c r="J217" s="11"/>
      <c r="K217" s="11"/>
      <c r="L217" s="11"/>
      <c r="M217" s="15"/>
      <c r="N217" s="15"/>
      <c r="O217" s="15"/>
      <c r="P217" s="15"/>
      <c r="Q217" s="15"/>
      <c r="R217" s="15"/>
      <c r="S217" s="15"/>
      <c r="T217" s="15"/>
      <c r="U217" s="15"/>
      <c r="V217" s="15"/>
      <c r="W217" s="15"/>
      <c r="X217" s="15"/>
      <c r="Y217" s="15"/>
      <c r="Z217" s="15"/>
      <c r="AA217" s="15"/>
      <c r="AB217" s="15"/>
      <c r="AC217" s="15"/>
      <c r="AD217" s="15"/>
      <c r="AE217" s="15"/>
      <c r="AF217" s="15"/>
      <c r="AG217" s="15"/>
      <c r="AH217" s="15"/>
    </row>
    <row r="218" ht="15.75" customHeight="1">
      <c r="A218" s="15"/>
      <c r="B218" s="15"/>
      <c r="C218" s="21"/>
      <c r="D218" s="15"/>
      <c r="E218" s="32" t="s">
        <v>178</v>
      </c>
      <c r="F218" s="32" t="s">
        <v>180</v>
      </c>
      <c r="G218" s="70" t="str">
        <f>HYPERLINK("https://docs.google.com/spreadsheets/d/1aBd0Zc5ZXDAzJ3RiLHZFxY5YERXGWBzSx8slg91li2M/edit#gid=899914602", "https://docs.google.com/spreadsheets/d/1aBd0Zc5ZXDAzJ3RiLHZFxY5YERXGWBzSx8slg91li2M/edit#gid=899914602")</f>
        <v>https://docs.google.com/spreadsheets/d/1aBd0Zc5ZXDAzJ3RiLHZFxY5YERXGWBzSx8slg91li2M/edit#gid=899914602</v>
      </c>
      <c r="H218" s="32" t="s">
        <v>2009</v>
      </c>
      <c r="I218" s="11"/>
      <c r="J218" s="11"/>
      <c r="K218" s="11"/>
      <c r="L218" s="11"/>
      <c r="M218" s="15"/>
      <c r="N218" s="15"/>
      <c r="O218" s="15"/>
      <c r="P218" s="15"/>
      <c r="Q218" s="15"/>
      <c r="R218" s="15"/>
      <c r="S218" s="15"/>
      <c r="T218" s="15"/>
      <c r="U218" s="15"/>
      <c r="V218" s="15"/>
      <c r="W218" s="15"/>
      <c r="X218" s="15"/>
      <c r="Y218" s="15"/>
      <c r="Z218" s="15"/>
      <c r="AA218" s="15"/>
      <c r="AB218" s="15"/>
      <c r="AC218" s="15"/>
      <c r="AD218" s="15"/>
      <c r="AE218" s="15"/>
      <c r="AF218" s="15"/>
      <c r="AG218" s="15"/>
      <c r="AH218" s="15"/>
    </row>
    <row r="219" ht="15.75" customHeight="1">
      <c r="A219" s="15"/>
      <c r="B219" s="15"/>
      <c r="C219" s="21"/>
      <c r="D219" s="15"/>
      <c r="E219" s="32" t="s">
        <v>178</v>
      </c>
      <c r="F219" s="32" t="s">
        <v>209</v>
      </c>
      <c r="G219" s="70" t="str">
        <f>HYPERLINK("https://docs.google.com/spreadsheets/d/1aBd0Zc5ZXDAzJ3RiLHZFxY5YERXGWBzSx8slg91li2M/edit#gid=824193707", "https://docs.google.com/spreadsheets/d/1aBd0Zc5ZXDAzJ3RiLHZFxY5YERXGWBzSx8slg91li2M/edit#gid=824193707")</f>
        <v>https://docs.google.com/spreadsheets/d/1aBd0Zc5ZXDAzJ3RiLHZFxY5YERXGWBzSx8slg91li2M/edit#gid=824193707</v>
      </c>
      <c r="H219" s="32" t="s">
        <v>1986</v>
      </c>
      <c r="I219" s="11"/>
      <c r="J219" s="11"/>
      <c r="K219" s="11"/>
      <c r="L219" s="11"/>
      <c r="M219" s="15"/>
      <c r="N219" s="15"/>
      <c r="O219" s="15"/>
      <c r="P219" s="15"/>
      <c r="Q219" s="15"/>
      <c r="R219" s="15"/>
      <c r="S219" s="15"/>
      <c r="T219" s="15"/>
      <c r="U219" s="15"/>
      <c r="V219" s="15"/>
      <c r="W219" s="15"/>
      <c r="X219" s="15"/>
      <c r="Y219" s="15"/>
      <c r="Z219" s="15"/>
      <c r="AA219" s="15"/>
      <c r="AB219" s="15"/>
      <c r="AC219" s="15"/>
      <c r="AD219" s="15"/>
      <c r="AE219" s="15"/>
      <c r="AF219" s="15"/>
      <c r="AG219" s="15"/>
      <c r="AH219" s="15"/>
    </row>
    <row r="220" ht="15.75" customHeight="1">
      <c r="A220" s="15"/>
      <c r="B220" s="15"/>
      <c r="C220" s="21"/>
      <c r="D220" s="15"/>
      <c r="E220" s="32" t="s">
        <v>178</v>
      </c>
      <c r="F220" s="32" t="s">
        <v>210</v>
      </c>
      <c r="G220" s="70" t="str">
        <f>HYPERLINK("https://docs.google.com/spreadsheets/d/1aBd0Zc5ZXDAzJ3RiLHZFxY5YERXGWBzSx8slg91li2M/edit#gid=1031881337", "https://docs.google.com/spreadsheets/d/1aBd0Zc5ZXDAzJ3RiLHZFxY5YERXGWBzSx8slg91li2M/edit#gid=1031881337")</f>
        <v>https://docs.google.com/spreadsheets/d/1aBd0Zc5ZXDAzJ3RiLHZFxY5YERXGWBzSx8slg91li2M/edit#gid=1031881337</v>
      </c>
      <c r="H220" s="32" t="s">
        <v>1987</v>
      </c>
      <c r="I220" s="11"/>
      <c r="J220" s="11"/>
      <c r="K220" s="11"/>
      <c r="L220" s="11"/>
      <c r="M220" s="15"/>
      <c r="N220" s="15"/>
      <c r="O220" s="15"/>
      <c r="P220" s="15"/>
      <c r="Q220" s="15"/>
      <c r="R220" s="15"/>
      <c r="S220" s="15"/>
      <c r="T220" s="15"/>
      <c r="U220" s="15"/>
      <c r="V220" s="15"/>
      <c r="W220" s="15"/>
      <c r="X220" s="15"/>
      <c r="Y220" s="15"/>
      <c r="Z220" s="15"/>
      <c r="AA220" s="15"/>
      <c r="AB220" s="15"/>
      <c r="AC220" s="15"/>
      <c r="AD220" s="15"/>
      <c r="AE220" s="15"/>
      <c r="AF220" s="15"/>
      <c r="AG220" s="15"/>
      <c r="AH220" s="15"/>
    </row>
    <row r="221" ht="15.75" customHeight="1">
      <c r="A221" s="15"/>
      <c r="B221" s="15"/>
      <c r="C221" s="21"/>
      <c r="D221" s="15"/>
      <c r="E221" s="32" t="s">
        <v>86</v>
      </c>
      <c r="F221" s="32" t="s">
        <v>90</v>
      </c>
      <c r="G221" s="70" t="str">
        <f>HYPERLINK("https://docs.google.com/spreadsheets/d/1aBd0Zc5ZXDAzJ3RiLHZFxY5YERXGWBzSx8slg91li2M/edit#gid=840794480", "https://docs.google.com/spreadsheets/d/1aBd0Zc5ZXDAzJ3RiLHZFxY5YERXGWBzSx8slg91li2M/edit#gid=840794480")</f>
        <v>https://docs.google.com/spreadsheets/d/1aBd0Zc5ZXDAzJ3RiLHZFxY5YERXGWBzSx8slg91li2M/edit#gid=840794480</v>
      </c>
      <c r="H221" s="32" t="s">
        <v>2022</v>
      </c>
      <c r="I221" s="11"/>
      <c r="J221" s="11"/>
      <c r="K221" s="11"/>
      <c r="L221" s="11"/>
      <c r="M221" s="15"/>
      <c r="N221" s="15"/>
      <c r="O221" s="15"/>
      <c r="P221" s="15"/>
      <c r="Q221" s="15"/>
      <c r="R221" s="15"/>
      <c r="S221" s="15"/>
      <c r="T221" s="15"/>
      <c r="U221" s="15"/>
      <c r="V221" s="15"/>
      <c r="W221" s="15"/>
      <c r="X221" s="15"/>
      <c r="Y221" s="15"/>
      <c r="Z221" s="15"/>
      <c r="AA221" s="15"/>
      <c r="AB221" s="15"/>
      <c r="AC221" s="15"/>
      <c r="AD221" s="15"/>
      <c r="AE221" s="15"/>
      <c r="AF221" s="15"/>
      <c r="AG221" s="15"/>
      <c r="AH221" s="15"/>
    </row>
    <row r="222" ht="15.75" customHeight="1">
      <c r="A222" s="15"/>
      <c r="B222" s="15"/>
      <c r="C222" s="21"/>
      <c r="D222" s="15"/>
      <c r="E222" s="32" t="s">
        <v>86</v>
      </c>
      <c r="F222" s="32" t="s">
        <v>91</v>
      </c>
      <c r="G222" s="70" t="str">
        <f>HYPERLINK("https://docs.google.com/spreadsheets/d/1aBd0Zc5ZXDAzJ3RiLHZFxY5YERXGWBzSx8slg91li2M/edit#gid=1658391800", "https://docs.google.com/spreadsheets/d/1aBd0Zc5ZXDAzJ3RiLHZFxY5YERXGWBzSx8slg91li2M/edit#gid=1658391800")</f>
        <v>https://docs.google.com/spreadsheets/d/1aBd0Zc5ZXDAzJ3RiLHZFxY5YERXGWBzSx8slg91li2M/edit#gid=1658391800</v>
      </c>
      <c r="H222" s="32" t="s">
        <v>91</v>
      </c>
      <c r="I222" s="11"/>
      <c r="J222" s="11"/>
      <c r="K222" s="11"/>
      <c r="L222" s="11"/>
      <c r="M222" s="15"/>
      <c r="N222" s="15"/>
      <c r="O222" s="15"/>
      <c r="P222" s="15"/>
      <c r="Q222" s="15"/>
      <c r="R222" s="15"/>
      <c r="S222" s="15"/>
      <c r="T222" s="15"/>
      <c r="U222" s="15"/>
      <c r="V222" s="15"/>
      <c r="W222" s="15"/>
      <c r="X222" s="15"/>
      <c r="Y222" s="15"/>
      <c r="Z222" s="15"/>
      <c r="AA222" s="15"/>
      <c r="AB222" s="15"/>
      <c r="AC222" s="15"/>
      <c r="AD222" s="15"/>
      <c r="AE222" s="15"/>
      <c r="AF222" s="15"/>
      <c r="AG222" s="15"/>
      <c r="AH222" s="15"/>
    </row>
    <row r="223" ht="15.75" customHeight="1">
      <c r="A223" s="15"/>
      <c r="B223" s="15"/>
      <c r="C223" s="21"/>
      <c r="D223" s="15"/>
      <c r="E223" s="32" t="s">
        <v>88</v>
      </c>
      <c r="F223" s="32" t="s">
        <v>95</v>
      </c>
      <c r="G223" s="70" t="str">
        <f>HYPERLINK("https://docs.google.com/spreadsheets/d/1aBd0Zc5ZXDAzJ3RiLHZFxY5YERXGWBzSx8slg91li2M/edit#gid=1615268137", "https://docs.google.com/spreadsheets/d/1aBd0Zc5ZXDAzJ3RiLHZFxY5YERXGWBzSx8slg91li2M/edit#gid=1615268137")</f>
        <v>https://docs.google.com/spreadsheets/d/1aBd0Zc5ZXDAzJ3RiLHZFxY5YERXGWBzSx8slg91li2M/edit#gid=1615268137</v>
      </c>
      <c r="H223" s="32" t="s">
        <v>95</v>
      </c>
      <c r="I223" s="11"/>
      <c r="J223" s="11"/>
      <c r="K223" s="11"/>
      <c r="L223" s="11"/>
      <c r="M223" s="15"/>
      <c r="N223" s="15"/>
      <c r="O223" s="15"/>
      <c r="P223" s="15"/>
      <c r="Q223" s="15"/>
      <c r="R223" s="15"/>
      <c r="S223" s="15"/>
      <c r="T223" s="15"/>
      <c r="U223" s="15"/>
      <c r="V223" s="15"/>
      <c r="W223" s="15"/>
      <c r="X223" s="15"/>
      <c r="Y223" s="15"/>
      <c r="Z223" s="15"/>
      <c r="AA223" s="15"/>
      <c r="AB223" s="15"/>
      <c r="AC223" s="15"/>
      <c r="AD223" s="15"/>
      <c r="AE223" s="15"/>
      <c r="AF223" s="15"/>
      <c r="AG223" s="15"/>
      <c r="AH223" s="15"/>
    </row>
    <row r="224" ht="15.75" customHeight="1">
      <c r="A224" s="15"/>
      <c r="B224" s="15"/>
      <c r="C224" s="21"/>
      <c r="D224" s="15"/>
      <c r="E224" s="32" t="s">
        <v>88</v>
      </c>
      <c r="F224" s="32" t="s">
        <v>96</v>
      </c>
      <c r="G224" s="70" t="str">
        <f>HYPERLINK("https://docs.google.com/spreadsheets/d/1aBd0Zc5ZXDAzJ3RiLHZFxY5YERXGWBzSx8slg91li2M/edit#gid=1891556052", "https://docs.google.com/spreadsheets/d/1aBd0Zc5ZXDAzJ3RiLHZFxY5YERXGWBzSx8slg91li2M/edit#gid=1891556052")</f>
        <v>https://docs.google.com/spreadsheets/d/1aBd0Zc5ZXDAzJ3RiLHZFxY5YERXGWBzSx8slg91li2M/edit#gid=1891556052</v>
      </c>
      <c r="H224" s="32" t="s">
        <v>96</v>
      </c>
      <c r="I224" s="11"/>
      <c r="J224" s="11"/>
      <c r="K224" s="11"/>
      <c r="L224" s="11"/>
      <c r="M224" s="15"/>
      <c r="N224" s="15"/>
      <c r="O224" s="15"/>
      <c r="P224" s="15"/>
      <c r="Q224" s="15"/>
      <c r="R224" s="15"/>
      <c r="S224" s="15"/>
      <c r="T224" s="15"/>
      <c r="U224" s="15"/>
      <c r="V224" s="15"/>
      <c r="W224" s="15"/>
      <c r="X224" s="15"/>
      <c r="Y224" s="15"/>
      <c r="Z224" s="15"/>
      <c r="AA224" s="15"/>
      <c r="AB224" s="15"/>
      <c r="AC224" s="15"/>
      <c r="AD224" s="15"/>
      <c r="AE224" s="15"/>
      <c r="AF224" s="15"/>
      <c r="AG224" s="15"/>
      <c r="AH224" s="15"/>
    </row>
    <row r="225" ht="15.75" customHeight="1">
      <c r="A225" s="15"/>
      <c r="B225" s="15"/>
      <c r="C225" s="21"/>
      <c r="D225" s="15"/>
      <c r="E225" s="15"/>
      <c r="F225" s="15"/>
      <c r="G225" s="15"/>
      <c r="H225" s="15"/>
      <c r="I225" s="11"/>
      <c r="J225" s="11"/>
      <c r="K225" s="11"/>
      <c r="L225" s="11"/>
      <c r="M225" s="15"/>
      <c r="N225" s="15"/>
      <c r="O225" s="15"/>
      <c r="P225" s="15"/>
      <c r="Q225" s="15"/>
      <c r="R225" s="15"/>
      <c r="S225" s="15"/>
      <c r="T225" s="15"/>
      <c r="U225" s="15"/>
      <c r="V225" s="15"/>
      <c r="W225" s="15"/>
      <c r="X225" s="15"/>
      <c r="Y225" s="15"/>
      <c r="Z225" s="15"/>
      <c r="AA225" s="15"/>
      <c r="AB225" s="15"/>
      <c r="AC225" s="15"/>
      <c r="AD225" s="15"/>
      <c r="AE225" s="15"/>
      <c r="AF225" s="15"/>
      <c r="AG225" s="15"/>
      <c r="AH225" s="15"/>
    </row>
    <row r="226" ht="15.75" customHeight="1">
      <c r="A226" s="15"/>
      <c r="B226" s="32" t="s">
        <v>2026</v>
      </c>
      <c r="C226" s="21"/>
      <c r="D226" s="15"/>
      <c r="E226" s="32" t="s">
        <v>89</v>
      </c>
      <c r="F226" s="32" t="s">
        <v>291</v>
      </c>
      <c r="G226" s="15"/>
      <c r="H226" s="36"/>
      <c r="L226" s="11"/>
      <c r="M226" s="15"/>
      <c r="N226" s="15"/>
      <c r="O226" s="15"/>
      <c r="P226" s="15"/>
      <c r="Q226" s="15"/>
      <c r="R226" s="15"/>
      <c r="S226" s="15"/>
      <c r="T226" s="15"/>
      <c r="U226" s="15"/>
      <c r="V226" s="15"/>
      <c r="W226" s="15"/>
      <c r="X226" s="15"/>
      <c r="Y226" s="15"/>
      <c r="Z226" s="15"/>
      <c r="AA226" s="15"/>
      <c r="AB226" s="15"/>
      <c r="AC226" s="15"/>
      <c r="AD226" s="15"/>
      <c r="AE226" s="15"/>
      <c r="AF226" s="15"/>
      <c r="AG226" s="15"/>
      <c r="AH226" s="15"/>
    </row>
    <row r="227" ht="15.75" customHeight="1">
      <c r="A227" s="15"/>
      <c r="B227" s="32" t="s">
        <v>2027</v>
      </c>
      <c r="C227" s="21"/>
      <c r="D227" s="15"/>
      <c r="E227" s="32" t="s">
        <v>178</v>
      </c>
      <c r="F227" s="32" t="s">
        <v>201</v>
      </c>
      <c r="G227" s="70" t="str">
        <f>HYPERLINK("https://docs.google.com/spreadsheets/d/1J9UDkOFuH9N2AK2BYKYHFESD87xs2F9d_iAPOwX-MVg/edit#gid=1454819357", "https://docs.google.com/spreadsheets/d/1J9UDkOFuH9N2AK2BYKYHFESD87xs2F9d_iAPOwX-MVg/edit#gid=1454819357")</f>
        <v>https://docs.google.com/spreadsheets/d/1J9UDkOFuH9N2AK2BYKYHFESD87xs2F9d_iAPOwX-MVg/edit#gid=1454819357</v>
      </c>
      <c r="H227" s="32" t="s">
        <v>201</v>
      </c>
      <c r="I227" s="11"/>
      <c r="J227" s="11"/>
      <c r="K227" s="11"/>
      <c r="L227" s="11"/>
      <c r="M227" s="15"/>
      <c r="N227" s="15"/>
      <c r="O227" s="15"/>
      <c r="P227" s="15"/>
      <c r="Q227" s="15"/>
      <c r="R227" s="15"/>
      <c r="S227" s="15"/>
      <c r="T227" s="15"/>
      <c r="U227" s="15"/>
      <c r="V227" s="15"/>
      <c r="W227" s="15"/>
      <c r="X227" s="15"/>
      <c r="Y227" s="15"/>
      <c r="Z227" s="15"/>
      <c r="AA227" s="15"/>
      <c r="AB227" s="15"/>
      <c r="AC227" s="15"/>
      <c r="AD227" s="15"/>
      <c r="AE227" s="15"/>
      <c r="AF227" s="15"/>
      <c r="AG227" s="15"/>
      <c r="AH227" s="15"/>
    </row>
    <row r="228" ht="15.75" customHeight="1">
      <c r="A228" s="15"/>
      <c r="B228" s="15"/>
      <c r="C228" s="21"/>
      <c r="D228" s="15"/>
      <c r="E228" s="32" t="s">
        <v>178</v>
      </c>
      <c r="F228" s="32" t="s">
        <v>202</v>
      </c>
      <c r="G228" s="70" t="str">
        <f>HYPERLINK("https://docs.google.com/spreadsheets/d/1J9UDkOFuH9N2AK2BYKYHFESD87xs2F9d_iAPOwX-MVg/edit#gid=144693613", "https://docs.google.com/spreadsheets/d/1J9UDkOFuH9N2AK2BYKYHFESD87xs2F9d_iAPOwX-MVg/edit#gid=144693613")</f>
        <v>https://docs.google.com/spreadsheets/d/1J9UDkOFuH9N2AK2BYKYHFESD87xs2F9d_iAPOwX-MVg/edit#gid=144693613</v>
      </c>
      <c r="H228" s="32" t="s">
        <v>202</v>
      </c>
      <c r="I228" s="11"/>
      <c r="J228" s="11"/>
      <c r="K228" s="11"/>
      <c r="L228" s="11"/>
      <c r="M228" s="15"/>
      <c r="N228" s="15"/>
      <c r="O228" s="15"/>
      <c r="P228" s="15"/>
      <c r="Q228" s="15"/>
      <c r="R228" s="15"/>
      <c r="S228" s="15"/>
      <c r="T228" s="15"/>
      <c r="U228" s="15"/>
      <c r="V228" s="15"/>
      <c r="W228" s="15"/>
      <c r="X228" s="15"/>
      <c r="Y228" s="15"/>
      <c r="Z228" s="15"/>
      <c r="AA228" s="15"/>
      <c r="AB228" s="15"/>
      <c r="AC228" s="15"/>
      <c r="AD228" s="15"/>
      <c r="AE228" s="15"/>
      <c r="AF228" s="15"/>
      <c r="AG228" s="15"/>
      <c r="AH228" s="15"/>
    </row>
    <row r="229" ht="15.75" customHeight="1">
      <c r="A229" s="15"/>
      <c r="B229" s="15"/>
      <c r="C229" s="21"/>
      <c r="D229" s="15"/>
      <c r="E229" s="32" t="s">
        <v>178</v>
      </c>
      <c r="F229" s="32" t="s">
        <v>202</v>
      </c>
      <c r="G229" s="70" t="str">
        <f>HYPERLINK("https://docs.google.com/spreadsheets/d/1J9UDkOFuH9N2AK2BYKYHFESD87xs2F9d_iAPOwX-MVg/edit#gid=1175502888", "https://docs.google.com/spreadsheets/d/1J9UDkOFuH9N2AK2BYKYHFESD87xs2F9d_iAPOwX-MVg/edit#gid=1175502888")</f>
        <v>https://docs.google.com/spreadsheets/d/1J9UDkOFuH9N2AK2BYKYHFESD87xs2F9d_iAPOwX-MVg/edit#gid=1175502888</v>
      </c>
      <c r="H229" s="32" t="s">
        <v>2025</v>
      </c>
      <c r="I229" s="11"/>
      <c r="J229" s="11"/>
      <c r="K229" s="11"/>
      <c r="L229" s="11"/>
      <c r="M229" s="15"/>
      <c r="N229" s="15"/>
      <c r="O229" s="15"/>
      <c r="P229" s="15"/>
      <c r="Q229" s="15"/>
      <c r="R229" s="15"/>
      <c r="S229" s="15"/>
      <c r="T229" s="15"/>
      <c r="U229" s="15"/>
      <c r="V229" s="15"/>
      <c r="W229" s="15"/>
      <c r="X229" s="15"/>
      <c r="Y229" s="15"/>
      <c r="Z229" s="15"/>
      <c r="AA229" s="15"/>
      <c r="AB229" s="15"/>
      <c r="AC229" s="15"/>
      <c r="AD229" s="15"/>
      <c r="AE229" s="15"/>
      <c r="AF229" s="15"/>
      <c r="AG229" s="15"/>
      <c r="AH229" s="15"/>
    </row>
    <row r="230" ht="15.75" customHeight="1">
      <c r="A230" s="15"/>
      <c r="B230" s="15"/>
      <c r="C230" s="21"/>
      <c r="D230" s="15"/>
      <c r="E230" s="32" t="s">
        <v>21</v>
      </c>
      <c r="F230" s="32" t="s">
        <v>51</v>
      </c>
      <c r="G230" s="70" t="str">
        <f>HYPERLINK("https://docs.google.com/spreadsheets/d/1J9UDkOFuH9N2AK2BYKYHFESD87xs2F9d_iAPOwX-MVg/edit#gid=1974148024", "https://docs.google.com/spreadsheets/d/1J9UDkOFuH9N2AK2BYKYHFESD87xs2F9d_iAPOwX-MVg/edit#gid=1974148024")</f>
        <v>https://docs.google.com/spreadsheets/d/1J9UDkOFuH9N2AK2BYKYHFESD87xs2F9d_iAPOwX-MVg/edit#gid=1974148024</v>
      </c>
      <c r="H230" s="32" t="s">
        <v>51</v>
      </c>
      <c r="I230" s="11"/>
      <c r="J230" s="11"/>
      <c r="K230" s="11"/>
      <c r="L230" s="11"/>
      <c r="M230" s="15"/>
      <c r="N230" s="15"/>
      <c r="O230" s="15"/>
      <c r="P230" s="15"/>
      <c r="Q230" s="15"/>
      <c r="R230" s="15"/>
      <c r="S230" s="15"/>
      <c r="T230" s="15"/>
      <c r="U230" s="15"/>
      <c r="V230" s="15"/>
      <c r="W230" s="15"/>
      <c r="X230" s="15"/>
      <c r="Y230" s="15"/>
      <c r="Z230" s="15"/>
      <c r="AA230" s="15"/>
      <c r="AB230" s="15"/>
      <c r="AC230" s="15"/>
      <c r="AD230" s="15"/>
      <c r="AE230" s="15"/>
      <c r="AF230" s="15"/>
      <c r="AG230" s="15"/>
      <c r="AH230" s="15"/>
    </row>
    <row r="231" ht="15.75" customHeight="1">
      <c r="A231" s="15"/>
      <c r="B231" s="15"/>
      <c r="C231" s="21"/>
      <c r="D231" s="15"/>
      <c r="E231" s="32" t="s">
        <v>172</v>
      </c>
      <c r="F231" s="32" t="s">
        <v>203</v>
      </c>
      <c r="G231" s="70" t="str">
        <f>HYPERLINK("https://docs.google.com/spreadsheets/d/1J9UDkOFuH9N2AK2BYKYHFESD87xs2F9d_iAPOwX-MVg/edit#gid=523509658", "https://docs.google.com/spreadsheets/d/1J9UDkOFuH9N2AK2BYKYHFESD87xs2F9d_iAPOwX-MVg/edit#gid=523509658")</f>
        <v>https://docs.google.com/spreadsheets/d/1J9UDkOFuH9N2AK2BYKYHFESD87xs2F9d_iAPOwX-MVg/edit#gid=523509658</v>
      </c>
      <c r="H231" s="32" t="s">
        <v>203</v>
      </c>
      <c r="I231" s="11"/>
      <c r="J231" s="11"/>
      <c r="K231" s="11"/>
      <c r="L231" s="11"/>
      <c r="M231" s="15"/>
      <c r="N231" s="15"/>
      <c r="O231" s="15"/>
      <c r="P231" s="15"/>
      <c r="Q231" s="15"/>
      <c r="R231" s="15"/>
      <c r="S231" s="15"/>
      <c r="T231" s="15"/>
      <c r="U231" s="15"/>
      <c r="V231" s="15"/>
      <c r="W231" s="15"/>
      <c r="X231" s="15"/>
      <c r="Y231" s="15"/>
      <c r="Z231" s="15"/>
      <c r="AA231" s="15"/>
      <c r="AB231" s="15"/>
      <c r="AC231" s="15"/>
      <c r="AD231" s="15"/>
      <c r="AE231" s="15"/>
      <c r="AF231" s="15"/>
      <c r="AG231" s="15"/>
      <c r="AH231" s="15"/>
    </row>
    <row r="232" ht="15.75" customHeight="1">
      <c r="A232" s="15"/>
      <c r="B232" s="15"/>
      <c r="C232" s="21"/>
      <c r="D232" s="15"/>
      <c r="E232" s="32" t="s">
        <v>172</v>
      </c>
      <c r="F232" s="32" t="s">
        <v>204</v>
      </c>
      <c r="G232" s="70" t="str">
        <f>HYPERLINK("https://docs.google.com/spreadsheets/d/1J9UDkOFuH9N2AK2BYKYHFESD87xs2F9d_iAPOwX-MVg/edit#gid=2048772475", "https://docs.google.com/spreadsheets/d/1J9UDkOFuH9N2AK2BYKYHFESD87xs2F9d_iAPOwX-MVg/edit#gid=2048772475")</f>
        <v>https://docs.google.com/spreadsheets/d/1J9UDkOFuH9N2AK2BYKYHFESD87xs2F9d_iAPOwX-MVg/edit#gid=2048772475</v>
      </c>
      <c r="H232" s="32" t="s">
        <v>204</v>
      </c>
      <c r="I232" s="11"/>
      <c r="J232" s="11"/>
      <c r="K232" s="11"/>
      <c r="L232" s="11"/>
      <c r="M232" s="15"/>
      <c r="N232" s="15"/>
      <c r="O232" s="15"/>
      <c r="P232" s="15"/>
      <c r="Q232" s="15"/>
      <c r="R232" s="15"/>
      <c r="S232" s="15"/>
      <c r="T232" s="15"/>
      <c r="U232" s="15"/>
      <c r="V232" s="15"/>
      <c r="W232" s="15"/>
      <c r="X232" s="15"/>
      <c r="Y232" s="15"/>
      <c r="Z232" s="15"/>
      <c r="AA232" s="15"/>
      <c r="AB232" s="15"/>
      <c r="AC232" s="15"/>
      <c r="AD232" s="15"/>
      <c r="AE232" s="15"/>
      <c r="AF232" s="15"/>
      <c r="AG232" s="15"/>
      <c r="AH232" s="15"/>
    </row>
    <row r="233" ht="15.75" customHeight="1">
      <c r="A233" s="15"/>
      <c r="B233" s="15"/>
      <c r="C233" s="21"/>
      <c r="D233" s="15"/>
      <c r="E233" s="32" t="s">
        <v>178</v>
      </c>
      <c r="F233" s="32" t="s">
        <v>205</v>
      </c>
      <c r="G233" s="70" t="str">
        <f>HYPERLINK("https://docs.google.com/spreadsheets/d/1J9UDkOFuH9N2AK2BYKYHFESD87xs2F9d_iAPOwX-MVg/edit#gid=726577889", "https://docs.google.com/spreadsheets/d/1J9UDkOFuH9N2AK2BYKYHFESD87xs2F9d_iAPOwX-MVg/edit#gid=726577889")</f>
        <v>https://docs.google.com/spreadsheets/d/1J9UDkOFuH9N2AK2BYKYHFESD87xs2F9d_iAPOwX-MVg/edit#gid=726577889</v>
      </c>
      <c r="H233" s="32" t="s">
        <v>205</v>
      </c>
      <c r="I233" s="11"/>
      <c r="J233" s="11"/>
      <c r="K233" s="11"/>
      <c r="L233" s="11"/>
      <c r="M233" s="15"/>
      <c r="N233" s="15"/>
      <c r="O233" s="15"/>
      <c r="P233" s="15"/>
      <c r="Q233" s="15"/>
      <c r="R233" s="15"/>
      <c r="S233" s="15"/>
      <c r="T233" s="15"/>
      <c r="U233" s="15"/>
      <c r="V233" s="15"/>
      <c r="W233" s="15"/>
      <c r="X233" s="15"/>
      <c r="Y233" s="15"/>
      <c r="Z233" s="15"/>
      <c r="AA233" s="15"/>
      <c r="AB233" s="15"/>
      <c r="AC233" s="15"/>
      <c r="AD233" s="15"/>
      <c r="AE233" s="15"/>
      <c r="AF233" s="15"/>
      <c r="AG233" s="15"/>
      <c r="AH233" s="15"/>
    </row>
    <row r="234" ht="15.75" customHeight="1">
      <c r="A234" s="15"/>
      <c r="B234" s="15"/>
      <c r="C234" s="21"/>
      <c r="D234" s="15"/>
      <c r="E234" s="32" t="s">
        <v>178</v>
      </c>
      <c r="F234" s="32" t="s">
        <v>206</v>
      </c>
      <c r="G234" s="15"/>
      <c r="H234" s="36"/>
      <c r="L234" s="11"/>
      <c r="M234" s="15"/>
      <c r="N234" s="15"/>
      <c r="O234" s="15"/>
      <c r="P234" s="15"/>
      <c r="Q234" s="15"/>
      <c r="R234" s="15"/>
      <c r="S234" s="15"/>
      <c r="T234" s="15"/>
      <c r="U234" s="15"/>
      <c r="V234" s="15"/>
      <c r="W234" s="15"/>
      <c r="X234" s="15"/>
      <c r="Y234" s="15"/>
      <c r="Z234" s="15"/>
      <c r="AA234" s="15"/>
      <c r="AB234" s="15"/>
      <c r="AC234" s="15"/>
      <c r="AD234" s="15"/>
      <c r="AE234" s="15"/>
      <c r="AF234" s="15"/>
      <c r="AG234" s="15"/>
      <c r="AH234" s="15"/>
    </row>
    <row r="235" ht="15.75" customHeight="1">
      <c r="A235" s="15"/>
      <c r="B235" s="15"/>
      <c r="C235" s="21"/>
      <c r="D235" s="15"/>
      <c r="E235" s="32" t="s">
        <v>178</v>
      </c>
      <c r="F235" s="32" t="s">
        <v>207</v>
      </c>
      <c r="G235" s="70" t="str">
        <f>HYPERLINK("https://docs.google.com/spreadsheets/d/1J9UDkOFuH9N2AK2BYKYHFESD87xs2F9d_iAPOwX-MVg/edit#gid=741759463", "https://docs.google.com/spreadsheets/d/1J9UDkOFuH9N2AK2BYKYHFESD87xs2F9d_iAPOwX-MVg/edit#gid=741759463")</f>
        <v>https://docs.google.com/spreadsheets/d/1J9UDkOFuH9N2AK2BYKYHFESD87xs2F9d_iAPOwX-MVg/edit#gid=741759463</v>
      </c>
      <c r="H235" s="32" t="s">
        <v>207</v>
      </c>
      <c r="I235" s="11"/>
      <c r="J235" s="11"/>
      <c r="K235" s="11"/>
      <c r="L235" s="11"/>
      <c r="M235" s="15"/>
      <c r="N235" s="15"/>
      <c r="O235" s="15"/>
      <c r="P235" s="15"/>
      <c r="Q235" s="15"/>
      <c r="R235" s="15"/>
      <c r="S235" s="15"/>
      <c r="T235" s="15"/>
      <c r="U235" s="15"/>
      <c r="V235" s="15"/>
      <c r="W235" s="15"/>
      <c r="X235" s="15"/>
      <c r="Y235" s="15"/>
      <c r="Z235" s="15"/>
      <c r="AA235" s="15"/>
      <c r="AB235" s="15"/>
      <c r="AC235" s="15"/>
      <c r="AD235" s="15"/>
      <c r="AE235" s="15"/>
      <c r="AF235" s="15"/>
      <c r="AG235" s="15"/>
      <c r="AH235" s="15"/>
    </row>
    <row r="236" ht="15.75" customHeight="1">
      <c r="A236" s="15"/>
      <c r="B236" s="15"/>
      <c r="C236" s="21"/>
      <c r="D236" s="15"/>
      <c r="E236" s="32" t="s">
        <v>178</v>
      </c>
      <c r="F236" s="32" t="s">
        <v>208</v>
      </c>
      <c r="G236" s="70" t="str">
        <f>HYPERLINK("https://docs.google.com/spreadsheets/d/1J9UDkOFuH9N2AK2BYKYHFESD87xs2F9d_iAPOwX-MVg/edit#gid=285898187", "https://docs.google.com/spreadsheets/d/1J9UDkOFuH9N2AK2BYKYHFESD87xs2F9d_iAPOwX-MVg/edit#gid=285898187")</f>
        <v>https://docs.google.com/spreadsheets/d/1J9UDkOFuH9N2AK2BYKYHFESD87xs2F9d_iAPOwX-MVg/edit#gid=285898187</v>
      </c>
      <c r="H236" s="32" t="s">
        <v>208</v>
      </c>
      <c r="I236" s="11"/>
      <c r="J236" s="11"/>
      <c r="K236" s="11"/>
      <c r="L236" s="11"/>
      <c r="M236" s="15"/>
      <c r="N236" s="15"/>
      <c r="O236" s="15"/>
      <c r="P236" s="15"/>
      <c r="Q236" s="15"/>
      <c r="R236" s="15"/>
      <c r="S236" s="15"/>
      <c r="T236" s="15"/>
      <c r="U236" s="15"/>
      <c r="V236" s="15"/>
      <c r="W236" s="15"/>
      <c r="X236" s="15"/>
      <c r="Y236" s="15"/>
      <c r="Z236" s="15"/>
      <c r="AA236" s="15"/>
      <c r="AB236" s="15"/>
      <c r="AC236" s="15"/>
      <c r="AD236" s="15"/>
      <c r="AE236" s="15"/>
      <c r="AF236" s="15"/>
      <c r="AG236" s="15"/>
      <c r="AH236" s="15"/>
    </row>
    <row r="237" ht="15.75" customHeight="1">
      <c r="A237" s="15"/>
      <c r="B237" s="15"/>
      <c r="C237" s="21"/>
      <c r="D237" s="15"/>
      <c r="E237" s="32" t="s">
        <v>21</v>
      </c>
      <c r="F237" s="32" t="s">
        <v>51</v>
      </c>
      <c r="G237" s="70" t="str">
        <f>HYPERLINK("https://docs.google.com/spreadsheets/d/1J9UDkOFuH9N2AK2BYKYHFESD87xs2F9d_iAPOwX-MVg/edit#gid=1790839987", "https://docs.google.com/spreadsheets/d/1J9UDkOFuH9N2AK2BYKYHFESD87xs2F9d_iAPOwX-MVg/edit#gid=1790839987")</f>
        <v>https://docs.google.com/spreadsheets/d/1J9UDkOFuH9N2AK2BYKYHFESD87xs2F9d_iAPOwX-MVg/edit#gid=1790839987</v>
      </c>
      <c r="H237" s="32" t="s">
        <v>1383</v>
      </c>
      <c r="I237" s="11"/>
      <c r="J237" s="11"/>
      <c r="K237" s="11"/>
      <c r="L237" s="11"/>
      <c r="M237" s="15"/>
      <c r="N237" s="15"/>
      <c r="O237" s="15"/>
      <c r="P237" s="15"/>
      <c r="Q237" s="15"/>
      <c r="R237" s="15"/>
      <c r="S237" s="15"/>
      <c r="T237" s="15"/>
      <c r="U237" s="15"/>
      <c r="V237" s="15"/>
      <c r="W237" s="15"/>
      <c r="X237" s="15"/>
      <c r="Y237" s="15"/>
      <c r="Z237" s="15"/>
      <c r="AA237" s="15"/>
      <c r="AB237" s="15"/>
      <c r="AC237" s="15"/>
      <c r="AD237" s="15"/>
      <c r="AE237" s="15"/>
      <c r="AF237" s="15"/>
      <c r="AG237" s="15"/>
      <c r="AH237" s="15"/>
    </row>
    <row r="238" ht="15.75" customHeight="1">
      <c r="A238" s="15"/>
      <c r="B238" s="15"/>
      <c r="C238" s="21"/>
      <c r="D238" s="15"/>
      <c r="E238" s="32" t="s">
        <v>86</v>
      </c>
      <c r="F238" s="32" t="s">
        <v>90</v>
      </c>
      <c r="G238" s="70" t="str">
        <f>HYPERLINK("https://docs.google.com/spreadsheets/d/1J9UDkOFuH9N2AK2BYKYHFESD87xs2F9d_iAPOwX-MVg/edit#gid=425602372", "https://docs.google.com/spreadsheets/d/1J9UDkOFuH9N2AK2BYKYHFESD87xs2F9d_iAPOwX-MVg/edit#gid=425602372")</f>
        <v>https://docs.google.com/spreadsheets/d/1J9UDkOFuH9N2AK2BYKYHFESD87xs2F9d_iAPOwX-MVg/edit#gid=425602372</v>
      </c>
      <c r="H238" s="32" t="s">
        <v>90</v>
      </c>
      <c r="I238" s="11"/>
      <c r="J238" s="11"/>
      <c r="K238" s="11"/>
      <c r="L238" s="11"/>
      <c r="M238" s="15"/>
      <c r="N238" s="15"/>
      <c r="O238" s="15"/>
      <c r="P238" s="15"/>
      <c r="Q238" s="15"/>
      <c r="R238" s="15"/>
      <c r="S238" s="15"/>
      <c r="T238" s="15"/>
      <c r="U238" s="15"/>
      <c r="V238" s="15"/>
      <c r="W238" s="15"/>
      <c r="X238" s="15"/>
      <c r="Y238" s="15"/>
      <c r="Z238" s="15"/>
      <c r="AA238" s="15"/>
      <c r="AB238" s="15"/>
      <c r="AC238" s="15"/>
      <c r="AD238" s="15"/>
      <c r="AE238" s="15"/>
      <c r="AF238" s="15"/>
      <c r="AG238" s="15"/>
      <c r="AH238" s="15"/>
    </row>
    <row r="239" ht="15.75" customHeight="1">
      <c r="A239" s="15"/>
      <c r="B239" s="15"/>
      <c r="C239" s="21"/>
      <c r="D239" s="15"/>
      <c r="E239" s="32" t="s">
        <v>86</v>
      </c>
      <c r="F239" s="32" t="s">
        <v>339</v>
      </c>
      <c r="G239" s="70" t="str">
        <f>HYPERLINK("https://docs.google.com/spreadsheets/d/1J9UDkOFuH9N2AK2BYKYHFESD87xs2F9d_iAPOwX-MVg/edit#gid=387676037", "https://docs.google.com/spreadsheets/d/1J9UDkOFuH9N2AK2BYKYHFESD87xs2F9d_iAPOwX-MVg/edit#gid=387676037")</f>
        <v>https://docs.google.com/spreadsheets/d/1J9UDkOFuH9N2AK2BYKYHFESD87xs2F9d_iAPOwX-MVg/edit#gid=387676037</v>
      </c>
      <c r="H239" s="32" t="s">
        <v>339</v>
      </c>
      <c r="I239" s="11"/>
      <c r="J239" s="11"/>
      <c r="K239" s="11"/>
      <c r="L239" s="11"/>
      <c r="M239" s="15"/>
      <c r="N239" s="15"/>
      <c r="O239" s="15"/>
      <c r="P239" s="15"/>
      <c r="Q239" s="15"/>
      <c r="R239" s="15"/>
      <c r="S239" s="15"/>
      <c r="T239" s="15"/>
      <c r="U239" s="15"/>
      <c r="V239" s="15"/>
      <c r="W239" s="15"/>
      <c r="X239" s="15"/>
      <c r="Y239" s="15"/>
      <c r="Z239" s="15"/>
      <c r="AA239" s="15"/>
      <c r="AB239" s="15"/>
      <c r="AC239" s="15"/>
      <c r="AD239" s="15"/>
      <c r="AE239" s="15"/>
      <c r="AF239" s="15"/>
      <c r="AG239" s="15"/>
      <c r="AH239" s="15"/>
    </row>
    <row r="240" ht="15.75" customHeight="1">
      <c r="A240" s="15"/>
      <c r="B240" s="15"/>
      <c r="C240" s="21"/>
      <c r="D240" s="15"/>
      <c r="E240" s="32" t="s">
        <v>172</v>
      </c>
      <c r="F240" s="32" t="s">
        <v>203</v>
      </c>
      <c r="G240" s="70" t="str">
        <f>HYPERLINK("https://docs.google.com/spreadsheets/d/1J9UDkOFuH9N2AK2BYKYHFESD87xs2F9d_iAPOwX-MVg/edit#gid=1562877272", "https://docs.google.com/spreadsheets/d/1J9UDkOFuH9N2AK2BYKYHFESD87xs2F9d_iAPOwX-MVg/edit#gid=1562877272")</f>
        <v>https://docs.google.com/spreadsheets/d/1J9UDkOFuH9N2AK2BYKYHFESD87xs2F9d_iAPOwX-MVg/edit#gid=1562877272</v>
      </c>
      <c r="H240" s="32" t="s">
        <v>1995</v>
      </c>
      <c r="I240" s="11"/>
      <c r="J240" s="11"/>
      <c r="K240" s="11"/>
      <c r="L240" s="11"/>
      <c r="M240" s="15"/>
      <c r="N240" s="15"/>
      <c r="O240" s="15"/>
      <c r="P240" s="15"/>
      <c r="Q240" s="15"/>
      <c r="R240" s="15"/>
      <c r="S240" s="15"/>
      <c r="T240" s="15"/>
      <c r="U240" s="15"/>
      <c r="V240" s="15"/>
      <c r="W240" s="15"/>
      <c r="X240" s="15"/>
      <c r="Y240" s="15"/>
      <c r="Z240" s="15"/>
      <c r="AA240" s="15"/>
      <c r="AB240" s="15"/>
      <c r="AC240" s="15"/>
      <c r="AD240" s="15"/>
      <c r="AE240" s="15"/>
      <c r="AF240" s="15"/>
      <c r="AG240" s="15"/>
      <c r="AH240" s="15"/>
    </row>
    <row r="241" ht="15.75" customHeight="1">
      <c r="A241" s="15"/>
      <c r="B241" s="15"/>
      <c r="C241" s="21"/>
      <c r="D241" s="15"/>
      <c r="E241" s="32" t="s">
        <v>172</v>
      </c>
      <c r="F241" s="32" t="s">
        <v>204</v>
      </c>
      <c r="G241" s="70" t="str">
        <f>HYPERLINK("https://docs.google.com/spreadsheets/d/1J9UDkOFuH9N2AK2BYKYHFESD87xs2F9d_iAPOwX-MVg/edit#gid=330675936", "https://docs.google.com/spreadsheets/d/1J9UDkOFuH9N2AK2BYKYHFESD87xs2F9d_iAPOwX-MVg/edit#gid=330675936")</f>
        <v>https://docs.google.com/spreadsheets/d/1J9UDkOFuH9N2AK2BYKYHFESD87xs2F9d_iAPOwX-MVg/edit#gid=330675936</v>
      </c>
      <c r="H241" s="32" t="s">
        <v>1996</v>
      </c>
      <c r="I241" s="11"/>
      <c r="J241" s="11"/>
      <c r="K241" s="11"/>
      <c r="L241" s="11"/>
      <c r="M241" s="15"/>
      <c r="N241" s="15"/>
      <c r="O241" s="15"/>
      <c r="P241" s="15"/>
      <c r="Q241" s="15"/>
      <c r="R241" s="15"/>
      <c r="S241" s="15"/>
      <c r="T241" s="15"/>
      <c r="U241" s="15"/>
      <c r="V241" s="15"/>
      <c r="W241" s="15"/>
      <c r="X241" s="15"/>
      <c r="Y241" s="15"/>
      <c r="Z241" s="15"/>
      <c r="AA241" s="15"/>
      <c r="AB241" s="15"/>
      <c r="AC241" s="15"/>
      <c r="AD241" s="15"/>
      <c r="AE241" s="15"/>
      <c r="AF241" s="15"/>
      <c r="AG241" s="15"/>
      <c r="AH241" s="15"/>
    </row>
    <row r="242" ht="15.75" customHeight="1">
      <c r="A242" s="15"/>
      <c r="B242" s="15"/>
      <c r="C242" s="21"/>
      <c r="D242" s="15"/>
      <c r="E242" s="32" t="s">
        <v>178</v>
      </c>
      <c r="F242" s="32" t="s">
        <v>205</v>
      </c>
      <c r="G242" s="70" t="str">
        <f>HYPERLINK("https://docs.google.com/spreadsheets/d/1J9UDkOFuH9N2AK2BYKYHFESD87xs2F9d_iAPOwX-MVg/edit#gid=1424185047", "https://docs.google.com/spreadsheets/d/1J9UDkOFuH9N2AK2BYKYHFESD87xs2F9d_iAPOwX-MVg/edit#gid=1424185047")</f>
        <v>https://docs.google.com/spreadsheets/d/1J9UDkOFuH9N2AK2BYKYHFESD87xs2F9d_iAPOwX-MVg/edit#gid=1424185047</v>
      </c>
      <c r="H242" s="32" t="s">
        <v>1997</v>
      </c>
      <c r="I242" s="11"/>
      <c r="J242" s="11"/>
      <c r="K242" s="11"/>
      <c r="L242" s="11"/>
      <c r="M242" s="15"/>
      <c r="N242" s="15"/>
      <c r="O242" s="15"/>
      <c r="P242" s="15"/>
      <c r="Q242" s="15"/>
      <c r="R242" s="15"/>
      <c r="S242" s="15"/>
      <c r="T242" s="15"/>
      <c r="U242" s="15"/>
      <c r="V242" s="15"/>
      <c r="W242" s="15"/>
      <c r="X242" s="15"/>
      <c r="Y242" s="15"/>
      <c r="Z242" s="15"/>
      <c r="AA242" s="15"/>
      <c r="AB242" s="15"/>
      <c r="AC242" s="15"/>
      <c r="AD242" s="15"/>
      <c r="AE242" s="15"/>
      <c r="AF242" s="15"/>
      <c r="AG242" s="15"/>
      <c r="AH242" s="15"/>
    </row>
    <row r="243" ht="15.75" customHeight="1">
      <c r="A243" s="15"/>
      <c r="B243" s="15"/>
      <c r="C243" s="21"/>
      <c r="D243" s="15"/>
      <c r="E243" s="32" t="s">
        <v>178</v>
      </c>
      <c r="F243" s="32" t="s">
        <v>206</v>
      </c>
      <c r="G243" s="15"/>
      <c r="H243" s="36"/>
      <c r="L243" s="11"/>
      <c r="M243" s="15"/>
      <c r="N243" s="15"/>
      <c r="O243" s="15"/>
      <c r="P243" s="15"/>
      <c r="Q243" s="15"/>
      <c r="R243" s="15"/>
      <c r="S243" s="15"/>
      <c r="T243" s="15"/>
      <c r="U243" s="15"/>
      <c r="V243" s="15"/>
      <c r="W243" s="15"/>
      <c r="X243" s="15"/>
      <c r="Y243" s="15"/>
      <c r="Z243" s="15"/>
      <c r="AA243" s="15"/>
      <c r="AB243" s="15"/>
      <c r="AC243" s="15"/>
      <c r="AD243" s="15"/>
      <c r="AE243" s="15"/>
      <c r="AF243" s="15"/>
      <c r="AG243" s="15"/>
      <c r="AH243" s="15"/>
    </row>
    <row r="244" ht="15.75" customHeight="1">
      <c r="A244" s="15"/>
      <c r="B244" s="15"/>
      <c r="C244" s="21"/>
      <c r="D244" s="15"/>
      <c r="E244" s="32" t="s">
        <v>178</v>
      </c>
      <c r="F244" s="32" t="s">
        <v>207</v>
      </c>
      <c r="G244" s="70" t="str">
        <f>HYPERLINK("https://docs.google.com/spreadsheets/d/1J9UDkOFuH9N2AK2BYKYHFESD87xs2F9d_iAPOwX-MVg/edit#gid=447974987", "https://docs.google.com/spreadsheets/d/1J9UDkOFuH9N2AK2BYKYHFESD87xs2F9d_iAPOwX-MVg/edit#gid=447974987")</f>
        <v>https://docs.google.com/spreadsheets/d/1J9UDkOFuH9N2AK2BYKYHFESD87xs2F9d_iAPOwX-MVg/edit#gid=447974987</v>
      </c>
      <c r="H244" s="32" t="s">
        <v>1998</v>
      </c>
      <c r="I244" s="11"/>
      <c r="J244" s="11"/>
      <c r="K244" s="11"/>
      <c r="L244" s="11"/>
      <c r="M244" s="15"/>
      <c r="N244" s="15"/>
      <c r="O244" s="15"/>
      <c r="P244" s="15"/>
      <c r="Q244" s="15"/>
      <c r="R244" s="15"/>
      <c r="S244" s="15"/>
      <c r="T244" s="15"/>
      <c r="U244" s="15"/>
      <c r="V244" s="15"/>
      <c r="W244" s="15"/>
      <c r="X244" s="15"/>
      <c r="Y244" s="15"/>
      <c r="Z244" s="15"/>
      <c r="AA244" s="15"/>
      <c r="AB244" s="15"/>
      <c r="AC244" s="15"/>
      <c r="AD244" s="15"/>
      <c r="AE244" s="15"/>
      <c r="AF244" s="15"/>
      <c r="AG244" s="15"/>
      <c r="AH244" s="15"/>
    </row>
    <row r="245" ht="15.75" customHeight="1">
      <c r="A245" s="15"/>
      <c r="B245" s="15"/>
      <c r="C245" s="21"/>
      <c r="D245" s="15"/>
      <c r="E245" s="32" t="s">
        <v>178</v>
      </c>
      <c r="F245" s="32" t="s">
        <v>208</v>
      </c>
      <c r="G245" s="70" t="str">
        <f>HYPERLINK("https://docs.google.com/spreadsheets/d/1J9UDkOFuH9N2AK2BYKYHFESD87xs2F9d_iAPOwX-MVg/edit#gid=1486257064", "https://docs.google.com/spreadsheets/d/1J9UDkOFuH9N2AK2BYKYHFESD87xs2F9d_iAPOwX-MVg/edit#gid=1486257064")</f>
        <v>https://docs.google.com/spreadsheets/d/1J9UDkOFuH9N2AK2BYKYHFESD87xs2F9d_iAPOwX-MVg/edit#gid=1486257064</v>
      </c>
      <c r="H245" s="32" t="s">
        <v>2002</v>
      </c>
      <c r="I245" s="11"/>
      <c r="J245" s="11"/>
      <c r="K245" s="11"/>
      <c r="L245" s="11"/>
      <c r="M245" s="15"/>
      <c r="N245" s="15"/>
      <c r="O245" s="15"/>
      <c r="P245" s="15"/>
      <c r="Q245" s="15"/>
      <c r="R245" s="15"/>
      <c r="S245" s="15"/>
      <c r="T245" s="15"/>
      <c r="U245" s="15"/>
      <c r="V245" s="15"/>
      <c r="W245" s="15"/>
      <c r="X245" s="15"/>
      <c r="Y245" s="15"/>
      <c r="Z245" s="15"/>
      <c r="AA245" s="15"/>
      <c r="AB245" s="15"/>
      <c r="AC245" s="15"/>
      <c r="AD245" s="15"/>
      <c r="AE245" s="15"/>
      <c r="AF245" s="15"/>
      <c r="AG245" s="15"/>
      <c r="AH245" s="15"/>
    </row>
    <row r="246" ht="15.75" customHeight="1">
      <c r="A246" s="15"/>
      <c r="B246" s="15"/>
      <c r="C246" s="21"/>
      <c r="D246" s="15"/>
      <c r="E246" s="32" t="s">
        <v>178</v>
      </c>
      <c r="F246" s="32" t="s">
        <v>182</v>
      </c>
      <c r="G246" s="70" t="str">
        <f>HYPERLINK("https://docs.google.com/spreadsheets/d/1J9UDkOFuH9N2AK2BYKYHFESD87xs2F9d_iAPOwX-MVg/edit#gid=1250867119", "https://docs.google.com/spreadsheets/d/1J9UDkOFuH9N2AK2BYKYHFESD87xs2F9d_iAPOwX-MVg/edit#gid=1250867119")</f>
        <v>https://docs.google.com/spreadsheets/d/1J9UDkOFuH9N2AK2BYKYHFESD87xs2F9d_iAPOwX-MVg/edit#gid=1250867119</v>
      </c>
      <c r="H246" s="32" t="s">
        <v>182</v>
      </c>
      <c r="I246" s="11"/>
      <c r="J246" s="11"/>
      <c r="K246" s="11"/>
      <c r="L246" s="11"/>
      <c r="M246" s="15"/>
      <c r="N246" s="15"/>
      <c r="O246" s="15"/>
      <c r="P246" s="15"/>
      <c r="Q246" s="15"/>
      <c r="R246" s="15"/>
      <c r="S246" s="15"/>
      <c r="T246" s="15"/>
      <c r="U246" s="15"/>
      <c r="V246" s="15"/>
      <c r="W246" s="15"/>
      <c r="X246" s="15"/>
      <c r="Y246" s="15"/>
      <c r="Z246" s="15"/>
      <c r="AA246" s="15"/>
      <c r="AB246" s="15"/>
      <c r="AC246" s="15"/>
      <c r="AD246" s="15"/>
      <c r="AE246" s="15"/>
      <c r="AF246" s="15"/>
      <c r="AG246" s="15"/>
      <c r="AH246" s="15"/>
    </row>
    <row r="247" ht="15.75" customHeight="1">
      <c r="A247" s="15"/>
      <c r="B247" s="15"/>
      <c r="C247" s="21"/>
      <c r="D247" s="15"/>
      <c r="E247" s="32" t="s">
        <v>178</v>
      </c>
      <c r="F247" s="32" t="s">
        <v>180</v>
      </c>
      <c r="G247" s="70" t="str">
        <f>HYPERLINK("https://docs.google.com/spreadsheets/d/1J9UDkOFuH9N2AK2BYKYHFESD87xs2F9d_iAPOwX-MVg/edit#gid=678344037", "https://docs.google.com/spreadsheets/d/1J9UDkOFuH9N2AK2BYKYHFESD87xs2F9d_iAPOwX-MVg/edit#gid=678344037")</f>
        <v>https://docs.google.com/spreadsheets/d/1J9UDkOFuH9N2AK2BYKYHFESD87xs2F9d_iAPOwX-MVg/edit#gid=678344037</v>
      </c>
      <c r="H247" s="32" t="s">
        <v>180</v>
      </c>
      <c r="I247" s="11"/>
      <c r="J247" s="11"/>
      <c r="K247" s="11"/>
      <c r="L247" s="11"/>
      <c r="M247" s="15"/>
      <c r="N247" s="15"/>
      <c r="O247" s="15"/>
      <c r="P247" s="15"/>
      <c r="Q247" s="15"/>
      <c r="R247" s="15"/>
      <c r="S247" s="15"/>
      <c r="T247" s="15"/>
      <c r="U247" s="15"/>
      <c r="V247" s="15"/>
      <c r="W247" s="15"/>
      <c r="X247" s="15"/>
      <c r="Y247" s="15"/>
      <c r="Z247" s="15"/>
      <c r="AA247" s="15"/>
      <c r="AB247" s="15"/>
      <c r="AC247" s="15"/>
      <c r="AD247" s="15"/>
      <c r="AE247" s="15"/>
      <c r="AF247" s="15"/>
      <c r="AG247" s="15"/>
      <c r="AH247" s="15"/>
    </row>
    <row r="248" ht="15.75" customHeight="1">
      <c r="A248" s="15"/>
      <c r="B248" s="15"/>
      <c r="C248" s="21"/>
      <c r="D248" s="15"/>
      <c r="E248" s="32" t="s">
        <v>178</v>
      </c>
      <c r="F248" s="32" t="s">
        <v>209</v>
      </c>
      <c r="G248" s="70" t="str">
        <f>HYPERLINK("https://docs.google.com/spreadsheets/d/1J9UDkOFuH9N2AK2BYKYHFESD87xs2F9d_iAPOwX-MVg/edit#gid=1088407513", "https://docs.google.com/spreadsheets/d/1J9UDkOFuH9N2AK2BYKYHFESD87xs2F9d_iAPOwX-MVg/edit#gid=1088407513")</f>
        <v>https://docs.google.com/spreadsheets/d/1J9UDkOFuH9N2AK2BYKYHFESD87xs2F9d_iAPOwX-MVg/edit#gid=1088407513</v>
      </c>
      <c r="H248" s="32" t="s">
        <v>209</v>
      </c>
      <c r="I248" s="11"/>
      <c r="J248" s="11"/>
      <c r="K248" s="11"/>
      <c r="L248" s="11"/>
      <c r="M248" s="15"/>
      <c r="N248" s="15"/>
      <c r="O248" s="15"/>
      <c r="P248" s="15"/>
      <c r="Q248" s="15"/>
      <c r="R248" s="15"/>
      <c r="S248" s="15"/>
      <c r="T248" s="15"/>
      <c r="U248" s="15"/>
      <c r="V248" s="15"/>
      <c r="W248" s="15"/>
      <c r="X248" s="15"/>
      <c r="Y248" s="15"/>
      <c r="Z248" s="15"/>
      <c r="AA248" s="15"/>
      <c r="AB248" s="15"/>
      <c r="AC248" s="15"/>
      <c r="AD248" s="15"/>
      <c r="AE248" s="15"/>
      <c r="AF248" s="15"/>
      <c r="AG248" s="15"/>
      <c r="AH248" s="15"/>
    </row>
    <row r="249" ht="15.75" customHeight="1">
      <c r="A249" s="15"/>
      <c r="B249" s="15"/>
      <c r="C249" s="21"/>
      <c r="D249" s="15"/>
      <c r="E249" s="32" t="s">
        <v>178</v>
      </c>
      <c r="F249" s="32" t="s">
        <v>210</v>
      </c>
      <c r="G249" s="70" t="str">
        <f>HYPERLINK("https://docs.google.com/spreadsheets/d/1J9UDkOFuH9N2AK2BYKYHFESD87xs2F9d_iAPOwX-MVg/edit#gid=241271747", "https://docs.google.com/spreadsheets/d/1J9UDkOFuH9N2AK2BYKYHFESD87xs2F9d_iAPOwX-MVg/edit#gid=241271747")</f>
        <v>https://docs.google.com/spreadsheets/d/1J9UDkOFuH9N2AK2BYKYHFESD87xs2F9d_iAPOwX-MVg/edit#gid=241271747</v>
      </c>
      <c r="H249" s="32" t="s">
        <v>210</v>
      </c>
      <c r="I249" s="11"/>
      <c r="J249" s="11"/>
      <c r="K249" s="11"/>
      <c r="L249" s="11"/>
      <c r="M249" s="15"/>
      <c r="N249" s="15"/>
      <c r="O249" s="15"/>
      <c r="P249" s="15"/>
      <c r="Q249" s="15"/>
      <c r="R249" s="15"/>
      <c r="S249" s="15"/>
      <c r="T249" s="15"/>
      <c r="U249" s="15"/>
      <c r="V249" s="15"/>
      <c r="W249" s="15"/>
      <c r="X249" s="15"/>
      <c r="Y249" s="15"/>
      <c r="Z249" s="15"/>
      <c r="AA249" s="15"/>
      <c r="AB249" s="15"/>
      <c r="AC249" s="15"/>
      <c r="AD249" s="15"/>
      <c r="AE249" s="15"/>
      <c r="AF249" s="15"/>
      <c r="AG249" s="15"/>
      <c r="AH249" s="15"/>
    </row>
    <row r="250" ht="15.75" customHeight="1">
      <c r="A250" s="15"/>
      <c r="B250" s="15"/>
      <c r="C250" s="21"/>
      <c r="D250" s="15"/>
      <c r="E250" s="32" t="s">
        <v>157</v>
      </c>
      <c r="F250" s="32" t="s">
        <v>161</v>
      </c>
      <c r="G250" s="70" t="str">
        <f>HYPERLINK("https://docs.google.com/spreadsheets/d/1J9UDkOFuH9N2AK2BYKYHFESD87xs2F9d_iAPOwX-MVg/edit#gid=787286112", "https://docs.google.com/spreadsheets/d/1J9UDkOFuH9N2AK2BYKYHFESD87xs2F9d_iAPOwX-MVg/edit#gid=787286112")</f>
        <v>https://docs.google.com/spreadsheets/d/1J9UDkOFuH9N2AK2BYKYHFESD87xs2F9d_iAPOwX-MVg/edit#gid=787286112</v>
      </c>
      <c r="H250" s="32" t="s">
        <v>161</v>
      </c>
      <c r="I250" s="11"/>
      <c r="J250" s="11"/>
      <c r="K250" s="11"/>
      <c r="L250" s="11"/>
      <c r="M250" s="15"/>
      <c r="N250" s="15"/>
      <c r="O250" s="15"/>
      <c r="P250" s="15"/>
      <c r="Q250" s="15"/>
      <c r="R250" s="15"/>
      <c r="S250" s="15"/>
      <c r="T250" s="15"/>
      <c r="U250" s="15"/>
      <c r="V250" s="15"/>
      <c r="W250" s="15"/>
      <c r="X250" s="15"/>
      <c r="Y250" s="15"/>
      <c r="Z250" s="15"/>
      <c r="AA250" s="15"/>
      <c r="AB250" s="15"/>
      <c r="AC250" s="15"/>
      <c r="AD250" s="15"/>
      <c r="AE250" s="15"/>
      <c r="AF250" s="15"/>
      <c r="AG250" s="15"/>
      <c r="AH250" s="15"/>
    </row>
    <row r="251" ht="15.75" customHeight="1">
      <c r="A251" s="15"/>
      <c r="B251" s="15"/>
      <c r="C251" s="21"/>
      <c r="D251" s="15"/>
      <c r="E251" s="32" t="s">
        <v>157</v>
      </c>
      <c r="F251" s="32" t="s">
        <v>158</v>
      </c>
      <c r="G251" s="70" t="str">
        <f>HYPERLINK("https://docs.google.com/spreadsheets/d/1J9UDkOFuH9N2AK2BYKYHFESD87xs2F9d_iAPOwX-MVg/edit#gid=484083366", "https://docs.google.com/spreadsheets/d/1J9UDkOFuH9N2AK2BYKYHFESD87xs2F9d_iAPOwX-MVg/edit#gid=484083366")</f>
        <v>https://docs.google.com/spreadsheets/d/1J9UDkOFuH9N2AK2BYKYHFESD87xs2F9d_iAPOwX-MVg/edit#gid=484083366</v>
      </c>
      <c r="H251" s="32" t="s">
        <v>158</v>
      </c>
      <c r="I251" s="11"/>
      <c r="J251" s="11"/>
      <c r="K251" s="11"/>
      <c r="L251" s="11"/>
      <c r="M251" s="15"/>
      <c r="N251" s="15"/>
      <c r="O251" s="15"/>
      <c r="P251" s="15"/>
      <c r="Q251" s="15"/>
      <c r="R251" s="15"/>
      <c r="S251" s="15"/>
      <c r="T251" s="15"/>
      <c r="U251" s="15"/>
      <c r="V251" s="15"/>
      <c r="W251" s="15"/>
      <c r="X251" s="15"/>
      <c r="Y251" s="15"/>
      <c r="Z251" s="15"/>
      <c r="AA251" s="15"/>
      <c r="AB251" s="15"/>
      <c r="AC251" s="15"/>
      <c r="AD251" s="15"/>
      <c r="AE251" s="15"/>
      <c r="AF251" s="15"/>
      <c r="AG251" s="15"/>
      <c r="AH251" s="15"/>
    </row>
    <row r="252" ht="15.75" customHeight="1">
      <c r="A252" s="15"/>
      <c r="B252" s="15"/>
      <c r="C252" s="21"/>
      <c r="D252" s="15"/>
      <c r="E252" s="32" t="s">
        <v>157</v>
      </c>
      <c r="F252" s="32" t="s">
        <v>196</v>
      </c>
      <c r="G252" s="70" t="str">
        <f>HYPERLINK("https://docs.google.com/spreadsheets/d/1J9UDkOFuH9N2AK2BYKYHFESD87xs2F9d_iAPOwX-MVg/edit#gid=335122799", "https://docs.google.com/spreadsheets/d/1J9UDkOFuH9N2AK2BYKYHFESD87xs2F9d_iAPOwX-MVg/edit#gid=335122799")</f>
        <v>https://docs.google.com/spreadsheets/d/1J9UDkOFuH9N2AK2BYKYHFESD87xs2F9d_iAPOwX-MVg/edit#gid=335122799</v>
      </c>
      <c r="H252" s="32" t="s">
        <v>196</v>
      </c>
      <c r="I252" s="11"/>
      <c r="J252" s="11"/>
      <c r="K252" s="11"/>
      <c r="L252" s="11"/>
      <c r="M252" s="15"/>
      <c r="N252" s="15"/>
      <c r="O252" s="15"/>
      <c r="P252" s="15"/>
      <c r="Q252" s="15"/>
      <c r="R252" s="15"/>
      <c r="S252" s="15"/>
      <c r="T252" s="15"/>
      <c r="U252" s="15"/>
      <c r="V252" s="15"/>
      <c r="W252" s="15"/>
      <c r="X252" s="15"/>
      <c r="Y252" s="15"/>
      <c r="Z252" s="15"/>
      <c r="AA252" s="15"/>
      <c r="AB252" s="15"/>
      <c r="AC252" s="15"/>
      <c r="AD252" s="15"/>
      <c r="AE252" s="15"/>
      <c r="AF252" s="15"/>
      <c r="AG252" s="15"/>
      <c r="AH252" s="15"/>
    </row>
    <row r="253" ht="15.75" customHeight="1">
      <c r="A253" s="15"/>
      <c r="B253" s="15"/>
      <c r="C253" s="21"/>
      <c r="D253" s="15"/>
      <c r="E253" s="32" t="s">
        <v>172</v>
      </c>
      <c r="F253" s="32" t="s">
        <v>203</v>
      </c>
      <c r="G253" s="70" t="str">
        <f>HYPERLINK("https://docs.google.com/spreadsheets/d/1J9UDkOFuH9N2AK2BYKYHFESD87xs2F9d_iAPOwX-MVg/edit#gid=1429985689", "https://docs.google.com/spreadsheets/d/1J9UDkOFuH9N2AK2BYKYHFESD87xs2F9d_iAPOwX-MVg/edit#gid=1429985689")</f>
        <v>https://docs.google.com/spreadsheets/d/1J9UDkOFuH9N2AK2BYKYHFESD87xs2F9d_iAPOwX-MVg/edit#gid=1429985689</v>
      </c>
      <c r="H253" s="32" t="s">
        <v>1999</v>
      </c>
      <c r="I253" s="11"/>
      <c r="J253" s="11"/>
      <c r="K253" s="11"/>
      <c r="L253" s="11"/>
      <c r="M253" s="15"/>
      <c r="N253" s="15"/>
      <c r="O253" s="15"/>
      <c r="P253" s="15"/>
      <c r="Q253" s="15"/>
      <c r="R253" s="15"/>
      <c r="S253" s="15"/>
      <c r="T253" s="15"/>
      <c r="U253" s="15"/>
      <c r="V253" s="15"/>
      <c r="W253" s="15"/>
      <c r="X253" s="15"/>
      <c r="Y253" s="15"/>
      <c r="Z253" s="15"/>
      <c r="AA253" s="15"/>
      <c r="AB253" s="15"/>
      <c r="AC253" s="15"/>
      <c r="AD253" s="15"/>
      <c r="AE253" s="15"/>
      <c r="AF253" s="15"/>
      <c r="AG253" s="15"/>
      <c r="AH253" s="15"/>
    </row>
    <row r="254" ht="15.75" customHeight="1">
      <c r="A254" s="15"/>
      <c r="B254" s="15"/>
      <c r="C254" s="21"/>
      <c r="D254" s="15"/>
      <c r="E254" s="32" t="s">
        <v>172</v>
      </c>
      <c r="F254" s="32" t="s">
        <v>204</v>
      </c>
      <c r="G254" s="70" t="str">
        <f>HYPERLINK("https://docs.google.com/spreadsheets/d/1J9UDkOFuH9N2AK2BYKYHFESD87xs2F9d_iAPOwX-MVg/edit#gid=1677864713", "https://docs.google.com/spreadsheets/d/1J9UDkOFuH9N2AK2BYKYHFESD87xs2F9d_iAPOwX-MVg/edit#gid=1677864713")</f>
        <v>https://docs.google.com/spreadsheets/d/1J9UDkOFuH9N2AK2BYKYHFESD87xs2F9d_iAPOwX-MVg/edit#gid=1677864713</v>
      </c>
      <c r="H254" s="32" t="s">
        <v>2000</v>
      </c>
      <c r="I254" s="11"/>
      <c r="J254" s="11"/>
      <c r="K254" s="11"/>
      <c r="L254" s="11"/>
      <c r="M254" s="15"/>
      <c r="N254" s="15"/>
      <c r="O254" s="15"/>
      <c r="P254" s="15"/>
      <c r="Q254" s="15"/>
      <c r="R254" s="15"/>
      <c r="S254" s="15"/>
      <c r="T254" s="15"/>
      <c r="U254" s="15"/>
      <c r="V254" s="15"/>
      <c r="W254" s="15"/>
      <c r="X254" s="15"/>
      <c r="Y254" s="15"/>
      <c r="Z254" s="15"/>
      <c r="AA254" s="15"/>
      <c r="AB254" s="15"/>
      <c r="AC254" s="15"/>
      <c r="AD254" s="15"/>
      <c r="AE254" s="15"/>
      <c r="AF254" s="15"/>
      <c r="AG254" s="15"/>
      <c r="AH254" s="15"/>
    </row>
    <row r="255" ht="15.75" customHeight="1">
      <c r="A255" s="15"/>
      <c r="B255" s="15"/>
      <c r="C255" s="21"/>
      <c r="D255" s="15"/>
      <c r="E255" s="32" t="s">
        <v>178</v>
      </c>
      <c r="F255" s="32" t="s">
        <v>207</v>
      </c>
      <c r="G255" s="70" t="str">
        <f>HYPERLINK("https://docs.google.com/spreadsheets/d/1J9UDkOFuH9N2AK2BYKYHFESD87xs2F9d_iAPOwX-MVg/edit#gid=472375616", "https://docs.google.com/spreadsheets/d/1J9UDkOFuH9N2AK2BYKYHFESD87xs2F9d_iAPOwX-MVg/edit#gid=472375616")</f>
        <v>https://docs.google.com/spreadsheets/d/1J9UDkOFuH9N2AK2BYKYHFESD87xs2F9d_iAPOwX-MVg/edit#gid=472375616</v>
      </c>
      <c r="H255" s="32" t="s">
        <v>2001</v>
      </c>
      <c r="I255" s="11"/>
      <c r="J255" s="11"/>
      <c r="K255" s="11"/>
      <c r="L255" s="11"/>
      <c r="M255" s="15"/>
      <c r="N255" s="15"/>
      <c r="O255" s="15"/>
      <c r="P255" s="15"/>
      <c r="Q255" s="15"/>
      <c r="R255" s="15"/>
      <c r="S255" s="15"/>
      <c r="T255" s="15"/>
      <c r="U255" s="15"/>
      <c r="V255" s="15"/>
      <c r="W255" s="15"/>
      <c r="X255" s="15"/>
      <c r="Y255" s="15"/>
      <c r="Z255" s="15"/>
      <c r="AA255" s="15"/>
      <c r="AB255" s="15"/>
      <c r="AC255" s="15"/>
      <c r="AD255" s="15"/>
      <c r="AE255" s="15"/>
      <c r="AF255" s="15"/>
      <c r="AG255" s="15"/>
      <c r="AH255" s="15"/>
    </row>
    <row r="256" ht="15.75" customHeight="1">
      <c r="A256" s="15"/>
      <c r="B256" s="15"/>
      <c r="C256" s="21"/>
      <c r="D256" s="15"/>
      <c r="E256" s="32" t="s">
        <v>178</v>
      </c>
      <c r="F256" s="32" t="s">
        <v>208</v>
      </c>
      <c r="G256" s="70" t="str">
        <f>HYPERLINK("https://docs.google.com/spreadsheets/d/1J9UDkOFuH9N2AK2BYKYHFESD87xs2F9d_iAPOwX-MVg/edit#gid=241929571", "https://docs.google.com/spreadsheets/d/1J9UDkOFuH9N2AK2BYKYHFESD87xs2F9d_iAPOwX-MVg/edit#gid=241929571")</f>
        <v>https://docs.google.com/spreadsheets/d/1J9UDkOFuH9N2AK2BYKYHFESD87xs2F9d_iAPOwX-MVg/edit#gid=241929571</v>
      </c>
      <c r="H256" s="32" t="s">
        <v>2021</v>
      </c>
      <c r="I256" s="11"/>
      <c r="J256" s="11"/>
      <c r="K256" s="11"/>
      <c r="L256" s="11"/>
      <c r="M256" s="15"/>
      <c r="N256" s="15"/>
      <c r="O256" s="15"/>
      <c r="P256" s="15"/>
      <c r="Q256" s="15"/>
      <c r="R256" s="15"/>
      <c r="S256" s="15"/>
      <c r="T256" s="15"/>
      <c r="U256" s="15"/>
      <c r="V256" s="15"/>
      <c r="W256" s="15"/>
      <c r="X256" s="15"/>
      <c r="Y256" s="15"/>
      <c r="Z256" s="15"/>
      <c r="AA256" s="15"/>
      <c r="AB256" s="15"/>
      <c r="AC256" s="15"/>
      <c r="AD256" s="15"/>
      <c r="AE256" s="15"/>
      <c r="AF256" s="15"/>
      <c r="AG256" s="15"/>
      <c r="AH256" s="15"/>
    </row>
    <row r="257" ht="15.75" customHeight="1">
      <c r="A257" s="15"/>
      <c r="B257" s="15"/>
      <c r="C257" s="21"/>
      <c r="D257" s="15"/>
      <c r="E257" s="32" t="s">
        <v>178</v>
      </c>
      <c r="F257" s="32" t="s">
        <v>182</v>
      </c>
      <c r="G257" s="70" t="str">
        <f>HYPERLINK("https://docs.google.com/spreadsheets/d/1J9UDkOFuH9N2AK2BYKYHFESD87xs2F9d_iAPOwX-MVg/edit#gid=1229343082", "https://docs.google.com/spreadsheets/d/1J9UDkOFuH9N2AK2BYKYHFESD87xs2F9d_iAPOwX-MVg/edit#gid=1229343082")</f>
        <v>https://docs.google.com/spreadsheets/d/1J9UDkOFuH9N2AK2BYKYHFESD87xs2F9d_iAPOwX-MVg/edit#gid=1229343082</v>
      </c>
      <c r="H257" s="32" t="s">
        <v>2003</v>
      </c>
      <c r="I257" s="11"/>
      <c r="J257" s="11"/>
      <c r="K257" s="11"/>
      <c r="L257" s="11"/>
      <c r="M257" s="15"/>
      <c r="N257" s="15"/>
      <c r="O257" s="15"/>
      <c r="P257" s="15"/>
      <c r="Q257" s="15"/>
      <c r="R257" s="15"/>
      <c r="S257" s="15"/>
      <c r="T257" s="15"/>
      <c r="U257" s="15"/>
      <c r="V257" s="15"/>
      <c r="W257" s="15"/>
      <c r="X257" s="15"/>
      <c r="Y257" s="15"/>
      <c r="Z257" s="15"/>
      <c r="AA257" s="15"/>
      <c r="AB257" s="15"/>
      <c r="AC257" s="15"/>
      <c r="AD257" s="15"/>
      <c r="AE257" s="15"/>
      <c r="AF257" s="15"/>
      <c r="AG257" s="15"/>
      <c r="AH257" s="15"/>
    </row>
    <row r="258" ht="15.75" customHeight="1">
      <c r="A258" s="15"/>
      <c r="B258" s="15"/>
      <c r="C258" s="21"/>
      <c r="D258" s="15"/>
      <c r="E258" s="32" t="s">
        <v>178</v>
      </c>
      <c r="F258" s="32" t="s">
        <v>180</v>
      </c>
      <c r="G258" s="70" t="str">
        <f>HYPERLINK("https://docs.google.com/spreadsheets/d/1J9UDkOFuH9N2AK2BYKYHFESD87xs2F9d_iAPOwX-MVg/edit#gid=1366296461", "https://docs.google.com/spreadsheets/d/1J9UDkOFuH9N2AK2BYKYHFESD87xs2F9d_iAPOwX-MVg/edit#gid=1366296461")</f>
        <v>https://docs.google.com/spreadsheets/d/1J9UDkOFuH9N2AK2BYKYHFESD87xs2F9d_iAPOwX-MVg/edit#gid=1366296461</v>
      </c>
      <c r="H258" s="32" t="s">
        <v>2009</v>
      </c>
      <c r="I258" s="11"/>
      <c r="J258" s="11"/>
      <c r="K258" s="11"/>
      <c r="L258" s="11"/>
      <c r="M258" s="15"/>
      <c r="N258" s="15"/>
      <c r="O258" s="15"/>
      <c r="P258" s="15"/>
      <c r="Q258" s="15"/>
      <c r="R258" s="15"/>
      <c r="S258" s="15"/>
      <c r="T258" s="15"/>
      <c r="U258" s="15"/>
      <c r="V258" s="15"/>
      <c r="W258" s="15"/>
      <c r="X258" s="15"/>
      <c r="Y258" s="15"/>
      <c r="Z258" s="15"/>
      <c r="AA258" s="15"/>
      <c r="AB258" s="15"/>
      <c r="AC258" s="15"/>
      <c r="AD258" s="15"/>
      <c r="AE258" s="15"/>
      <c r="AF258" s="15"/>
      <c r="AG258" s="15"/>
      <c r="AH258" s="15"/>
    </row>
    <row r="259" ht="15.75" customHeight="1">
      <c r="A259" s="15"/>
      <c r="B259" s="15"/>
      <c r="C259" s="21"/>
      <c r="D259" s="15"/>
      <c r="E259" s="32" t="s">
        <v>178</v>
      </c>
      <c r="F259" s="32" t="s">
        <v>209</v>
      </c>
      <c r="G259" s="70" t="str">
        <f>HYPERLINK("https://docs.google.com/spreadsheets/d/1J9UDkOFuH9N2AK2BYKYHFESD87xs2F9d_iAPOwX-MVg/edit#gid=2056294097", "https://docs.google.com/spreadsheets/d/1J9UDkOFuH9N2AK2BYKYHFESD87xs2F9d_iAPOwX-MVg/edit#gid=2056294097")</f>
        <v>https://docs.google.com/spreadsheets/d/1J9UDkOFuH9N2AK2BYKYHFESD87xs2F9d_iAPOwX-MVg/edit#gid=2056294097</v>
      </c>
      <c r="H259" s="32" t="s">
        <v>1986</v>
      </c>
      <c r="I259" s="11"/>
      <c r="J259" s="11"/>
      <c r="K259" s="11"/>
      <c r="L259" s="11"/>
      <c r="M259" s="15"/>
      <c r="N259" s="15"/>
      <c r="O259" s="15"/>
      <c r="P259" s="15"/>
      <c r="Q259" s="15"/>
      <c r="R259" s="15"/>
      <c r="S259" s="15"/>
      <c r="T259" s="15"/>
      <c r="U259" s="15"/>
      <c r="V259" s="15"/>
      <c r="W259" s="15"/>
      <c r="X259" s="15"/>
      <c r="Y259" s="15"/>
      <c r="Z259" s="15"/>
      <c r="AA259" s="15"/>
      <c r="AB259" s="15"/>
      <c r="AC259" s="15"/>
      <c r="AD259" s="15"/>
      <c r="AE259" s="15"/>
      <c r="AF259" s="15"/>
      <c r="AG259" s="15"/>
      <c r="AH259" s="15"/>
    </row>
    <row r="260" ht="15.75" customHeight="1">
      <c r="A260" s="15"/>
      <c r="B260" s="15"/>
      <c r="C260" s="21"/>
      <c r="D260" s="15"/>
      <c r="E260" s="32" t="s">
        <v>178</v>
      </c>
      <c r="F260" s="32" t="s">
        <v>210</v>
      </c>
      <c r="G260" s="70" t="str">
        <f>HYPERLINK("https://docs.google.com/spreadsheets/d/1J9UDkOFuH9N2AK2BYKYHFESD87xs2F9d_iAPOwX-MVg/edit#gid=1167976490", "https://docs.google.com/spreadsheets/d/1J9UDkOFuH9N2AK2BYKYHFESD87xs2F9d_iAPOwX-MVg/edit#gid=1167976490")</f>
        <v>https://docs.google.com/spreadsheets/d/1J9UDkOFuH9N2AK2BYKYHFESD87xs2F9d_iAPOwX-MVg/edit#gid=1167976490</v>
      </c>
      <c r="H260" s="32" t="s">
        <v>1987</v>
      </c>
      <c r="I260" s="11"/>
      <c r="J260" s="11"/>
      <c r="K260" s="11"/>
      <c r="L260" s="11"/>
      <c r="M260" s="15"/>
      <c r="N260" s="15"/>
      <c r="O260" s="15"/>
      <c r="P260" s="15"/>
      <c r="Q260" s="15"/>
      <c r="R260" s="15"/>
      <c r="S260" s="15"/>
      <c r="T260" s="15"/>
      <c r="U260" s="15"/>
      <c r="V260" s="15"/>
      <c r="W260" s="15"/>
      <c r="X260" s="15"/>
      <c r="Y260" s="15"/>
      <c r="Z260" s="15"/>
      <c r="AA260" s="15"/>
      <c r="AB260" s="15"/>
      <c r="AC260" s="15"/>
      <c r="AD260" s="15"/>
      <c r="AE260" s="15"/>
      <c r="AF260" s="15"/>
      <c r="AG260" s="15"/>
      <c r="AH260" s="15"/>
    </row>
    <row r="261" ht="15.75" customHeight="1">
      <c r="A261" s="15"/>
      <c r="B261" s="15"/>
      <c r="C261" s="21"/>
      <c r="D261" s="15"/>
      <c r="E261" s="32" t="s">
        <v>86</v>
      </c>
      <c r="F261" s="32" t="s">
        <v>90</v>
      </c>
      <c r="G261" s="70" t="str">
        <f>HYPERLINK("https://docs.google.com/spreadsheets/d/1J9UDkOFuH9N2AK2BYKYHFESD87xs2F9d_iAPOwX-MVg/edit#gid=713658842", "https://docs.google.com/spreadsheets/d/1J9UDkOFuH9N2AK2BYKYHFESD87xs2F9d_iAPOwX-MVg/edit#gid=713658842")</f>
        <v>https://docs.google.com/spreadsheets/d/1J9UDkOFuH9N2AK2BYKYHFESD87xs2F9d_iAPOwX-MVg/edit#gid=713658842</v>
      </c>
      <c r="H261" s="32" t="s">
        <v>2022</v>
      </c>
      <c r="I261" s="11"/>
      <c r="J261" s="11"/>
      <c r="K261" s="11"/>
      <c r="L261" s="11"/>
      <c r="M261" s="15"/>
      <c r="N261" s="15"/>
      <c r="O261" s="15"/>
      <c r="P261" s="15"/>
      <c r="Q261" s="15"/>
      <c r="R261" s="15"/>
      <c r="S261" s="15"/>
      <c r="T261" s="15"/>
      <c r="U261" s="15"/>
      <c r="V261" s="15"/>
      <c r="W261" s="15"/>
      <c r="X261" s="15"/>
      <c r="Y261" s="15"/>
      <c r="Z261" s="15"/>
      <c r="AA261" s="15"/>
      <c r="AB261" s="15"/>
      <c r="AC261" s="15"/>
      <c r="AD261" s="15"/>
      <c r="AE261" s="15"/>
      <c r="AF261" s="15"/>
      <c r="AG261" s="15"/>
      <c r="AH261" s="15"/>
    </row>
    <row r="262" ht="15.75" customHeight="1">
      <c r="A262" s="15"/>
      <c r="B262" s="15"/>
      <c r="C262" s="21"/>
      <c r="D262" s="15"/>
      <c r="E262" s="32" t="s">
        <v>86</v>
      </c>
      <c r="F262" s="32" t="s">
        <v>91</v>
      </c>
      <c r="G262" s="70" t="str">
        <f>HYPERLINK("https://docs.google.com/spreadsheets/d/1J9UDkOFuH9N2AK2BYKYHFESD87xs2F9d_iAPOwX-MVg/edit#gid=1145493081", "https://docs.google.com/spreadsheets/d/1J9UDkOFuH9N2AK2BYKYHFESD87xs2F9d_iAPOwX-MVg/edit#gid=1145493081")</f>
        <v>https://docs.google.com/spreadsheets/d/1J9UDkOFuH9N2AK2BYKYHFESD87xs2F9d_iAPOwX-MVg/edit#gid=1145493081</v>
      </c>
      <c r="H262" s="32" t="s">
        <v>91</v>
      </c>
      <c r="I262" s="11"/>
      <c r="J262" s="11"/>
      <c r="K262" s="11"/>
      <c r="L262" s="11"/>
      <c r="M262" s="15"/>
      <c r="N262" s="15"/>
      <c r="O262" s="15"/>
      <c r="P262" s="15"/>
      <c r="Q262" s="15"/>
      <c r="R262" s="15"/>
      <c r="S262" s="15"/>
      <c r="T262" s="15"/>
      <c r="U262" s="15"/>
      <c r="V262" s="15"/>
      <c r="W262" s="15"/>
      <c r="X262" s="15"/>
      <c r="Y262" s="15"/>
      <c r="Z262" s="15"/>
      <c r="AA262" s="15"/>
      <c r="AB262" s="15"/>
      <c r="AC262" s="15"/>
      <c r="AD262" s="15"/>
      <c r="AE262" s="15"/>
      <c r="AF262" s="15"/>
      <c r="AG262" s="15"/>
      <c r="AH262" s="15"/>
    </row>
    <row r="263" ht="15.75" customHeight="1">
      <c r="A263" s="15"/>
      <c r="B263" s="15"/>
      <c r="C263" s="21"/>
      <c r="D263" s="15"/>
      <c r="E263" s="32" t="s">
        <v>88</v>
      </c>
      <c r="F263" s="32" t="s">
        <v>95</v>
      </c>
      <c r="G263" s="70" t="str">
        <f>HYPERLINK("https://docs.google.com/spreadsheets/d/1J9UDkOFuH9N2AK2BYKYHFESD87xs2F9d_iAPOwX-MVg/edit#gid=442910071", "https://docs.google.com/spreadsheets/d/1J9UDkOFuH9N2AK2BYKYHFESD87xs2F9d_iAPOwX-MVg/edit#gid=442910071")</f>
        <v>https://docs.google.com/spreadsheets/d/1J9UDkOFuH9N2AK2BYKYHFESD87xs2F9d_iAPOwX-MVg/edit#gid=442910071</v>
      </c>
      <c r="H263" s="32" t="s">
        <v>95</v>
      </c>
      <c r="I263" s="11"/>
      <c r="J263" s="11"/>
      <c r="K263" s="11"/>
      <c r="L263" s="11"/>
      <c r="M263" s="15"/>
      <c r="N263" s="15"/>
      <c r="O263" s="15"/>
      <c r="P263" s="15"/>
      <c r="Q263" s="15"/>
      <c r="R263" s="15"/>
      <c r="S263" s="15"/>
      <c r="T263" s="15"/>
      <c r="U263" s="15"/>
      <c r="V263" s="15"/>
      <c r="W263" s="15"/>
      <c r="X263" s="15"/>
      <c r="Y263" s="15"/>
      <c r="Z263" s="15"/>
      <c r="AA263" s="15"/>
      <c r="AB263" s="15"/>
      <c r="AC263" s="15"/>
      <c r="AD263" s="15"/>
      <c r="AE263" s="15"/>
      <c r="AF263" s="15"/>
      <c r="AG263" s="15"/>
      <c r="AH263" s="15"/>
    </row>
    <row r="264" ht="15.75" customHeight="1">
      <c r="A264" s="15"/>
      <c r="B264" s="15"/>
      <c r="C264" s="21"/>
      <c r="D264" s="15"/>
      <c r="E264" s="32" t="s">
        <v>88</v>
      </c>
      <c r="F264" s="32" t="s">
        <v>96</v>
      </c>
      <c r="G264" s="70" t="str">
        <f>HYPERLINK("https://docs.google.com/spreadsheets/d/1J9UDkOFuH9N2AK2BYKYHFESD87xs2F9d_iAPOwX-MVg/edit#gid=94370860", "https://docs.google.com/spreadsheets/d/1J9UDkOFuH9N2AK2BYKYHFESD87xs2F9d_iAPOwX-MVg/edit#gid=94370860")</f>
        <v>https://docs.google.com/spreadsheets/d/1J9UDkOFuH9N2AK2BYKYHFESD87xs2F9d_iAPOwX-MVg/edit#gid=94370860</v>
      </c>
      <c r="H264" s="32" t="s">
        <v>96</v>
      </c>
      <c r="I264" s="11"/>
      <c r="J264" s="11"/>
      <c r="K264" s="11"/>
      <c r="L264" s="11"/>
      <c r="M264" s="15"/>
      <c r="N264" s="15"/>
      <c r="O264" s="15"/>
      <c r="P264" s="15"/>
      <c r="Q264" s="15"/>
      <c r="R264" s="15"/>
      <c r="S264" s="15"/>
      <c r="T264" s="15"/>
      <c r="U264" s="15"/>
      <c r="V264" s="15"/>
      <c r="W264" s="15"/>
      <c r="X264" s="15"/>
      <c r="Y264" s="15"/>
      <c r="Z264" s="15"/>
      <c r="AA264" s="15"/>
      <c r="AB264" s="15"/>
      <c r="AC264" s="15"/>
      <c r="AD264" s="15"/>
      <c r="AE264" s="15"/>
      <c r="AF264" s="15"/>
      <c r="AG264" s="15"/>
      <c r="AH264" s="15"/>
    </row>
    <row r="265" ht="15.75" customHeight="1">
      <c r="A265" s="15"/>
      <c r="B265" s="15"/>
      <c r="C265" s="21"/>
      <c r="D265" s="15"/>
      <c r="E265" s="15"/>
      <c r="F265" s="15"/>
      <c r="G265" s="15"/>
      <c r="H265" s="15"/>
      <c r="I265" s="11"/>
      <c r="J265" s="11"/>
      <c r="K265" s="11"/>
      <c r="L265" s="11"/>
      <c r="M265" s="15"/>
      <c r="N265" s="15"/>
      <c r="O265" s="15"/>
      <c r="P265" s="15"/>
      <c r="Q265" s="15"/>
      <c r="R265" s="15"/>
      <c r="S265" s="15"/>
      <c r="T265" s="15"/>
      <c r="U265" s="15"/>
      <c r="V265" s="15"/>
      <c r="W265" s="15"/>
      <c r="X265" s="15"/>
      <c r="Y265" s="15"/>
      <c r="Z265" s="15"/>
      <c r="AA265" s="15"/>
      <c r="AB265" s="15"/>
      <c r="AC265" s="15"/>
      <c r="AD265" s="15"/>
      <c r="AE265" s="15"/>
      <c r="AF265" s="15"/>
      <c r="AG265" s="15"/>
      <c r="AH265" s="15"/>
    </row>
    <row r="266" ht="15.75" customHeight="1">
      <c r="A266" s="9"/>
      <c r="B266" s="8" t="s">
        <v>2028</v>
      </c>
      <c r="C266" s="209" t="s">
        <v>2015</v>
      </c>
      <c r="D266" s="9" t="s">
        <v>20</v>
      </c>
      <c r="E266" s="9" t="s">
        <v>89</v>
      </c>
      <c r="F266" s="9" t="s">
        <v>291</v>
      </c>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15"/>
      <c r="AH266" s="15"/>
    </row>
    <row r="267" ht="15.75" customHeight="1">
      <c r="A267" s="15"/>
      <c r="B267" s="207" t="s">
        <v>2029</v>
      </c>
      <c r="C267" s="210" t="s">
        <v>2030</v>
      </c>
      <c r="D267" s="207" t="s">
        <v>20</v>
      </c>
      <c r="E267" s="32" t="s">
        <v>178</v>
      </c>
      <c r="F267" s="32" t="s">
        <v>201</v>
      </c>
      <c r="G267" s="70" t="str">
        <f>HYPERLINK("https://docs.google.com/spreadsheets/d/152y1WSFVofXxTkwhFmgedrnl4t-ZhrCxDs2BnB4wj6g/edit#gid=960992816", "https://docs.google.com/spreadsheets/d/152y1WSFVofXxTkwhFmgedrnl4t-ZhrCxDs2BnB4wj6g/edit#gid=960992816")</f>
        <v>https://docs.google.com/spreadsheets/d/152y1WSFVofXxTkwhFmgedrnl4t-ZhrCxDs2BnB4wj6g/edit#gid=960992816</v>
      </c>
      <c r="H267" s="32" t="s">
        <v>201</v>
      </c>
      <c r="I267" s="11"/>
      <c r="J267" s="11"/>
      <c r="K267" s="11"/>
      <c r="L267" s="11"/>
      <c r="M267" s="15"/>
      <c r="N267" s="15"/>
      <c r="O267" s="15"/>
      <c r="P267" s="15"/>
      <c r="Q267" s="15"/>
      <c r="R267" s="15"/>
      <c r="S267" s="15"/>
      <c r="T267" s="15"/>
      <c r="U267" s="15"/>
      <c r="V267" s="15"/>
      <c r="W267" s="15"/>
      <c r="X267" s="15"/>
      <c r="Y267" s="15"/>
      <c r="Z267" s="15"/>
      <c r="AA267" s="15"/>
      <c r="AB267" s="15"/>
      <c r="AC267" s="15"/>
      <c r="AD267" s="15"/>
      <c r="AE267" s="15"/>
      <c r="AF267" s="15"/>
      <c r="AG267" s="15"/>
      <c r="AH267" s="15"/>
    </row>
    <row r="268" ht="15.75" customHeight="1">
      <c r="A268" s="15"/>
      <c r="E268" s="32" t="s">
        <v>178</v>
      </c>
      <c r="F268" s="32" t="s">
        <v>202</v>
      </c>
      <c r="G268" s="70" t="str">
        <f>HYPERLINK("https://docs.google.com/spreadsheets/d/152y1WSFVofXxTkwhFmgedrnl4t-ZhrCxDs2BnB4wj6g/edit#gid=2031421075", "https://docs.google.com/spreadsheets/d/152y1WSFVofXxTkwhFmgedrnl4t-ZhrCxDs2BnB4wj6g/edit#gid=2031421075")</f>
        <v>https://docs.google.com/spreadsheets/d/152y1WSFVofXxTkwhFmgedrnl4t-ZhrCxDs2BnB4wj6g/edit#gid=2031421075</v>
      </c>
      <c r="H268" s="32" t="s">
        <v>202</v>
      </c>
      <c r="I268" s="11"/>
      <c r="J268" s="11"/>
      <c r="K268" s="11"/>
      <c r="L268" s="11"/>
      <c r="M268" s="15"/>
      <c r="N268" s="15"/>
      <c r="O268" s="15"/>
      <c r="P268" s="15"/>
      <c r="Q268" s="15"/>
      <c r="R268" s="15"/>
      <c r="S268" s="15"/>
      <c r="T268" s="15"/>
      <c r="U268" s="15"/>
      <c r="V268" s="15"/>
      <c r="W268" s="15"/>
      <c r="X268" s="15"/>
      <c r="Y268" s="15"/>
      <c r="Z268" s="15"/>
      <c r="AA268" s="15"/>
      <c r="AB268" s="15"/>
      <c r="AC268" s="15"/>
      <c r="AD268" s="15"/>
      <c r="AE268" s="15"/>
      <c r="AF268" s="15"/>
      <c r="AG268" s="15"/>
      <c r="AH268" s="15"/>
    </row>
    <row r="269" ht="15.75" customHeight="1">
      <c r="A269" s="15"/>
      <c r="E269" s="32" t="s">
        <v>21</v>
      </c>
      <c r="F269" s="32" t="s">
        <v>51</v>
      </c>
      <c r="G269" s="70" t="str">
        <f>HYPERLINK("https://docs.google.com/spreadsheets/d/152y1WSFVofXxTkwhFmgedrnl4t-ZhrCxDs2BnB4wj6g/edit#gid=1159191098", "https://docs.google.com/spreadsheets/d/152y1WSFVofXxTkwhFmgedrnl4t-ZhrCxDs2BnB4wj6g/edit#gid=1159191098")</f>
        <v>https://docs.google.com/spreadsheets/d/152y1WSFVofXxTkwhFmgedrnl4t-ZhrCxDs2BnB4wj6g/edit#gid=1159191098</v>
      </c>
      <c r="H269" s="32" t="s">
        <v>51</v>
      </c>
      <c r="I269" s="11"/>
      <c r="J269" s="11"/>
      <c r="K269" s="11"/>
      <c r="L269" s="11"/>
      <c r="M269" s="15"/>
      <c r="N269" s="15"/>
      <c r="O269" s="15"/>
      <c r="P269" s="15"/>
      <c r="Q269" s="15"/>
      <c r="R269" s="15"/>
      <c r="S269" s="15"/>
      <c r="T269" s="15"/>
      <c r="U269" s="15"/>
      <c r="V269" s="15"/>
      <c r="W269" s="15"/>
      <c r="X269" s="15"/>
      <c r="Y269" s="15"/>
      <c r="Z269" s="15"/>
      <c r="AA269" s="15"/>
      <c r="AB269" s="15"/>
      <c r="AC269" s="15"/>
      <c r="AD269" s="15"/>
      <c r="AE269" s="15"/>
      <c r="AF269" s="15"/>
      <c r="AG269" s="15"/>
      <c r="AH269" s="15"/>
    </row>
    <row r="270" ht="15.75" customHeight="1">
      <c r="A270" s="15"/>
      <c r="E270" s="32" t="s">
        <v>172</v>
      </c>
      <c r="F270" s="32" t="s">
        <v>203</v>
      </c>
      <c r="G270" s="70" t="str">
        <f>HYPERLINK("https://docs.google.com/spreadsheets/d/152y1WSFVofXxTkwhFmgedrnl4t-ZhrCxDs2BnB4wj6g/edit#gid=1578653594", "https://docs.google.com/spreadsheets/d/152y1WSFVofXxTkwhFmgedrnl4t-ZhrCxDs2BnB4wj6g/edit#gid=1578653594")</f>
        <v>https://docs.google.com/spreadsheets/d/152y1WSFVofXxTkwhFmgedrnl4t-ZhrCxDs2BnB4wj6g/edit#gid=1578653594</v>
      </c>
      <c r="H270" s="32" t="s">
        <v>203</v>
      </c>
      <c r="I270" s="11"/>
      <c r="J270" s="11"/>
      <c r="K270" s="11"/>
      <c r="L270" s="11"/>
      <c r="M270" s="15"/>
      <c r="N270" s="15"/>
      <c r="O270" s="15"/>
      <c r="P270" s="15"/>
      <c r="Q270" s="15"/>
      <c r="R270" s="15"/>
      <c r="S270" s="15"/>
      <c r="T270" s="15"/>
      <c r="U270" s="15"/>
      <c r="V270" s="15"/>
      <c r="W270" s="15"/>
      <c r="X270" s="15"/>
      <c r="Y270" s="15"/>
      <c r="Z270" s="15"/>
      <c r="AA270" s="15"/>
      <c r="AB270" s="15"/>
      <c r="AC270" s="15"/>
      <c r="AD270" s="15"/>
      <c r="AE270" s="15"/>
      <c r="AF270" s="15"/>
      <c r="AG270" s="15"/>
      <c r="AH270" s="15"/>
    </row>
    <row r="271" ht="15.75" customHeight="1">
      <c r="A271" s="15"/>
      <c r="E271" s="32" t="s">
        <v>172</v>
      </c>
      <c r="F271" s="32" t="s">
        <v>204</v>
      </c>
      <c r="G271" s="70" t="str">
        <f>HYPERLINK("https://docs.google.com/spreadsheets/d/152y1WSFVofXxTkwhFmgedrnl4t-ZhrCxDs2BnB4wj6g/edit#gid=172780510", "https://docs.google.com/spreadsheets/d/152y1WSFVofXxTkwhFmgedrnl4t-ZhrCxDs2BnB4wj6g/edit#gid=172780510")</f>
        <v>https://docs.google.com/spreadsheets/d/152y1WSFVofXxTkwhFmgedrnl4t-ZhrCxDs2BnB4wj6g/edit#gid=172780510</v>
      </c>
      <c r="H271" s="32" t="s">
        <v>204</v>
      </c>
      <c r="I271" s="11"/>
      <c r="J271" s="11"/>
      <c r="K271" s="11"/>
      <c r="L271" s="11"/>
      <c r="M271" s="15"/>
      <c r="N271" s="15"/>
      <c r="O271" s="15"/>
      <c r="P271" s="15"/>
      <c r="Q271" s="15"/>
      <c r="R271" s="15"/>
      <c r="S271" s="15"/>
      <c r="T271" s="15"/>
      <c r="U271" s="15"/>
      <c r="V271" s="15"/>
      <c r="W271" s="15"/>
      <c r="X271" s="15"/>
      <c r="Y271" s="15"/>
      <c r="Z271" s="15"/>
      <c r="AA271" s="15"/>
      <c r="AB271" s="15"/>
      <c r="AC271" s="15"/>
      <c r="AD271" s="15"/>
      <c r="AE271" s="15"/>
      <c r="AF271" s="15"/>
      <c r="AG271" s="15"/>
      <c r="AH271" s="15"/>
    </row>
    <row r="272" ht="15.75" customHeight="1">
      <c r="A272" s="15"/>
      <c r="E272" s="32" t="s">
        <v>178</v>
      </c>
      <c r="F272" s="32" t="s">
        <v>205</v>
      </c>
      <c r="G272" s="70" t="str">
        <f>HYPERLINK("https://docs.google.com/spreadsheets/d/152y1WSFVofXxTkwhFmgedrnl4t-ZhrCxDs2BnB4wj6g/edit#gid=1986114892", "https://docs.google.com/spreadsheets/d/152y1WSFVofXxTkwhFmgedrnl4t-ZhrCxDs2BnB4wj6g/edit#gid=1986114892")</f>
        <v>https://docs.google.com/spreadsheets/d/152y1WSFVofXxTkwhFmgedrnl4t-ZhrCxDs2BnB4wj6g/edit#gid=1986114892</v>
      </c>
      <c r="H272" s="32" t="s">
        <v>205</v>
      </c>
      <c r="I272" s="11"/>
      <c r="J272" s="11"/>
      <c r="K272" s="11"/>
      <c r="L272" s="11"/>
      <c r="M272" s="15"/>
      <c r="N272" s="15"/>
      <c r="O272" s="15"/>
      <c r="P272" s="15"/>
      <c r="Q272" s="15"/>
      <c r="R272" s="15"/>
      <c r="S272" s="15"/>
      <c r="T272" s="15"/>
      <c r="U272" s="15"/>
      <c r="V272" s="15"/>
      <c r="W272" s="15"/>
      <c r="X272" s="15"/>
      <c r="Y272" s="15"/>
      <c r="Z272" s="15"/>
      <c r="AA272" s="15"/>
      <c r="AB272" s="15"/>
      <c r="AC272" s="15"/>
      <c r="AD272" s="15"/>
      <c r="AE272" s="15"/>
      <c r="AF272" s="15"/>
      <c r="AG272" s="15"/>
      <c r="AH272" s="15"/>
    </row>
    <row r="273" ht="15.75" customHeight="1">
      <c r="A273" s="15"/>
      <c r="E273" s="32" t="s">
        <v>178</v>
      </c>
      <c r="F273" s="32" t="s">
        <v>206</v>
      </c>
      <c r="G273" s="15"/>
      <c r="H273" s="36"/>
      <c r="L273" s="11"/>
      <c r="M273" s="15"/>
      <c r="N273" s="15"/>
      <c r="O273" s="15"/>
      <c r="P273" s="15"/>
      <c r="Q273" s="15"/>
      <c r="R273" s="15"/>
      <c r="S273" s="15"/>
      <c r="T273" s="15"/>
      <c r="U273" s="15"/>
      <c r="V273" s="15"/>
      <c r="W273" s="15"/>
      <c r="X273" s="15"/>
      <c r="Y273" s="15"/>
      <c r="Z273" s="15"/>
      <c r="AA273" s="15"/>
      <c r="AB273" s="15"/>
      <c r="AC273" s="15"/>
      <c r="AD273" s="15"/>
      <c r="AE273" s="15"/>
      <c r="AF273" s="15"/>
      <c r="AG273" s="15"/>
      <c r="AH273" s="15"/>
    </row>
    <row r="274" ht="15.75" customHeight="1">
      <c r="A274" s="15"/>
      <c r="E274" s="32" t="s">
        <v>178</v>
      </c>
      <c r="F274" s="32" t="s">
        <v>207</v>
      </c>
      <c r="G274" s="70" t="str">
        <f>HYPERLINK("https://docs.google.com/spreadsheets/d/152y1WSFVofXxTkwhFmgedrnl4t-ZhrCxDs2BnB4wj6g/edit#gid=1111436355", "https://docs.google.com/spreadsheets/d/152y1WSFVofXxTkwhFmgedrnl4t-ZhrCxDs2BnB4wj6g/edit#gid=1111436355")</f>
        <v>https://docs.google.com/spreadsheets/d/152y1WSFVofXxTkwhFmgedrnl4t-ZhrCxDs2BnB4wj6g/edit#gid=1111436355</v>
      </c>
      <c r="H274" s="32" t="s">
        <v>207</v>
      </c>
      <c r="I274" s="11"/>
      <c r="J274" s="11"/>
      <c r="K274" s="11"/>
      <c r="L274" s="11"/>
      <c r="M274" s="15"/>
      <c r="N274" s="15"/>
      <c r="O274" s="15"/>
      <c r="P274" s="15"/>
      <c r="Q274" s="15"/>
      <c r="R274" s="15"/>
      <c r="S274" s="15"/>
      <c r="T274" s="15"/>
      <c r="U274" s="15"/>
      <c r="V274" s="15"/>
      <c r="W274" s="15"/>
      <c r="X274" s="15"/>
      <c r="Y274" s="15"/>
      <c r="Z274" s="15"/>
      <c r="AA274" s="15"/>
      <c r="AB274" s="15"/>
      <c r="AC274" s="15"/>
      <c r="AD274" s="15"/>
      <c r="AE274" s="15"/>
      <c r="AF274" s="15"/>
      <c r="AG274" s="15"/>
      <c r="AH274" s="15"/>
    </row>
    <row r="275" ht="15.75" customHeight="1">
      <c r="A275" s="15"/>
      <c r="E275" s="32" t="s">
        <v>178</v>
      </c>
      <c r="F275" s="32" t="s">
        <v>208</v>
      </c>
      <c r="G275" s="70" t="str">
        <f>HYPERLINK("https://docs.google.com/spreadsheets/d/152y1WSFVofXxTkwhFmgedrnl4t-ZhrCxDs2BnB4wj6g/edit#gid=2018138950", "https://docs.google.com/spreadsheets/d/152y1WSFVofXxTkwhFmgedrnl4t-ZhrCxDs2BnB4wj6g/edit#gid=2018138950")</f>
        <v>https://docs.google.com/spreadsheets/d/152y1WSFVofXxTkwhFmgedrnl4t-ZhrCxDs2BnB4wj6g/edit#gid=2018138950</v>
      </c>
      <c r="H275" s="32" t="s">
        <v>208</v>
      </c>
      <c r="I275" s="11"/>
      <c r="J275" s="11"/>
      <c r="K275" s="11"/>
      <c r="L275" s="11"/>
      <c r="M275" s="15"/>
      <c r="N275" s="15"/>
      <c r="O275" s="15"/>
      <c r="P275" s="15"/>
      <c r="Q275" s="15"/>
      <c r="R275" s="15"/>
      <c r="S275" s="15"/>
      <c r="T275" s="15"/>
      <c r="U275" s="15"/>
      <c r="V275" s="15"/>
      <c r="W275" s="15"/>
      <c r="X275" s="15"/>
      <c r="Y275" s="15"/>
      <c r="Z275" s="15"/>
      <c r="AA275" s="15"/>
      <c r="AB275" s="15"/>
      <c r="AC275" s="15"/>
      <c r="AD275" s="15"/>
      <c r="AE275" s="15"/>
      <c r="AF275" s="15"/>
      <c r="AG275" s="15"/>
      <c r="AH275" s="15"/>
    </row>
    <row r="276" ht="15.75" customHeight="1">
      <c r="A276" s="15"/>
      <c r="E276" s="32" t="s">
        <v>21</v>
      </c>
      <c r="F276" s="32" t="s">
        <v>51</v>
      </c>
      <c r="G276" s="70" t="str">
        <f>HYPERLINK("https://docs.google.com/spreadsheets/d/152y1WSFVofXxTkwhFmgedrnl4t-ZhrCxDs2BnB4wj6g/edit#gid=369530568", "https://docs.google.com/spreadsheets/d/152y1WSFVofXxTkwhFmgedrnl4t-ZhrCxDs2BnB4wj6g/edit#gid=369530568")</f>
        <v>https://docs.google.com/spreadsheets/d/152y1WSFVofXxTkwhFmgedrnl4t-ZhrCxDs2BnB4wj6g/edit#gid=369530568</v>
      </c>
      <c r="H276" s="32" t="s">
        <v>1383</v>
      </c>
      <c r="I276" s="11"/>
      <c r="J276" s="11"/>
      <c r="K276" s="11"/>
      <c r="L276" s="11"/>
      <c r="M276" s="15"/>
      <c r="N276" s="15"/>
      <c r="O276" s="15"/>
      <c r="P276" s="15"/>
      <c r="Q276" s="15"/>
      <c r="R276" s="15"/>
      <c r="S276" s="15"/>
      <c r="T276" s="15"/>
      <c r="U276" s="15"/>
      <c r="V276" s="15"/>
      <c r="W276" s="15"/>
      <c r="X276" s="15"/>
      <c r="Y276" s="15"/>
      <c r="Z276" s="15"/>
      <c r="AA276" s="15"/>
      <c r="AB276" s="15"/>
      <c r="AC276" s="15"/>
      <c r="AD276" s="15"/>
      <c r="AE276" s="15"/>
      <c r="AF276" s="15"/>
      <c r="AG276" s="15"/>
      <c r="AH276" s="15"/>
    </row>
    <row r="277" ht="15.75" customHeight="1">
      <c r="A277" s="15"/>
      <c r="E277" s="32" t="s">
        <v>86</v>
      </c>
      <c r="F277" s="32" t="s">
        <v>90</v>
      </c>
      <c r="G277" s="70" t="str">
        <f>HYPERLINK("https://docs.google.com/spreadsheets/d/152y1WSFVofXxTkwhFmgedrnl4t-ZhrCxDs2BnB4wj6g/edit#gid=516621687", "https://docs.google.com/spreadsheets/d/152y1WSFVofXxTkwhFmgedrnl4t-ZhrCxDs2BnB4wj6g/edit#gid=516621687")</f>
        <v>https://docs.google.com/spreadsheets/d/152y1WSFVofXxTkwhFmgedrnl4t-ZhrCxDs2BnB4wj6g/edit#gid=516621687</v>
      </c>
      <c r="H277" s="32" t="s">
        <v>90</v>
      </c>
      <c r="I277" s="11"/>
      <c r="J277" s="11"/>
      <c r="K277" s="11"/>
      <c r="L277" s="11"/>
      <c r="M277" s="15"/>
      <c r="N277" s="15"/>
      <c r="O277" s="15"/>
      <c r="P277" s="15"/>
      <c r="Q277" s="15"/>
      <c r="R277" s="15"/>
      <c r="S277" s="15"/>
      <c r="T277" s="15"/>
      <c r="U277" s="15"/>
      <c r="V277" s="15"/>
      <c r="W277" s="15"/>
      <c r="X277" s="15"/>
      <c r="Y277" s="15"/>
      <c r="Z277" s="15"/>
      <c r="AA277" s="15"/>
      <c r="AB277" s="15"/>
      <c r="AC277" s="15"/>
      <c r="AD277" s="15"/>
      <c r="AE277" s="15"/>
      <c r="AF277" s="15"/>
      <c r="AG277" s="15"/>
      <c r="AH277" s="15"/>
    </row>
    <row r="278" ht="15.75" customHeight="1">
      <c r="A278" s="15"/>
      <c r="E278" s="32" t="s">
        <v>86</v>
      </c>
      <c r="F278" s="32" t="s">
        <v>339</v>
      </c>
      <c r="G278" s="70" t="str">
        <f>HYPERLINK("https://docs.google.com/spreadsheets/d/152y1WSFVofXxTkwhFmgedrnl4t-ZhrCxDs2BnB4wj6g/edit#gid=1720073785", "https://docs.google.com/spreadsheets/d/152y1WSFVofXxTkwhFmgedrnl4t-ZhrCxDs2BnB4wj6g/edit#gid=1720073785")</f>
        <v>https://docs.google.com/spreadsheets/d/152y1WSFVofXxTkwhFmgedrnl4t-ZhrCxDs2BnB4wj6g/edit#gid=1720073785</v>
      </c>
      <c r="H278" s="32" t="s">
        <v>339</v>
      </c>
      <c r="I278" s="11"/>
      <c r="J278" s="11"/>
      <c r="K278" s="11"/>
      <c r="L278" s="11"/>
      <c r="M278" s="15"/>
      <c r="N278" s="15"/>
      <c r="O278" s="15"/>
      <c r="P278" s="15"/>
      <c r="Q278" s="15"/>
      <c r="R278" s="15"/>
      <c r="S278" s="15"/>
      <c r="T278" s="15"/>
      <c r="U278" s="15"/>
      <c r="V278" s="15"/>
      <c r="W278" s="15"/>
      <c r="X278" s="15"/>
      <c r="Y278" s="15"/>
      <c r="Z278" s="15"/>
      <c r="AA278" s="15"/>
      <c r="AB278" s="15"/>
      <c r="AC278" s="15"/>
      <c r="AD278" s="15"/>
      <c r="AE278" s="15"/>
      <c r="AF278" s="15"/>
      <c r="AG278" s="15"/>
      <c r="AH278" s="15"/>
    </row>
    <row r="279" ht="15.75" customHeight="1">
      <c r="A279" s="15"/>
      <c r="E279" s="32" t="s">
        <v>172</v>
      </c>
      <c r="F279" s="32" t="s">
        <v>203</v>
      </c>
      <c r="G279" s="70" t="str">
        <f>HYPERLINK("https://docs.google.com/spreadsheets/d/152y1WSFVofXxTkwhFmgedrnl4t-ZhrCxDs2BnB4wj6g/edit#gid=1441188965", "https://docs.google.com/spreadsheets/d/152y1WSFVofXxTkwhFmgedrnl4t-ZhrCxDs2BnB4wj6g/edit#gid=1441188965")</f>
        <v>https://docs.google.com/spreadsheets/d/152y1WSFVofXxTkwhFmgedrnl4t-ZhrCxDs2BnB4wj6g/edit#gid=1441188965</v>
      </c>
      <c r="H279" s="32" t="s">
        <v>1995</v>
      </c>
      <c r="I279" s="11"/>
      <c r="J279" s="11"/>
      <c r="K279" s="11"/>
      <c r="L279" s="11"/>
      <c r="M279" s="15"/>
      <c r="N279" s="15"/>
      <c r="O279" s="15"/>
      <c r="P279" s="15"/>
      <c r="Q279" s="15"/>
      <c r="R279" s="15"/>
      <c r="S279" s="15"/>
      <c r="T279" s="15"/>
      <c r="U279" s="15"/>
      <c r="V279" s="15"/>
      <c r="W279" s="15"/>
      <c r="X279" s="15"/>
      <c r="Y279" s="15"/>
      <c r="Z279" s="15"/>
      <c r="AA279" s="15"/>
      <c r="AB279" s="15"/>
      <c r="AC279" s="15"/>
      <c r="AD279" s="15"/>
      <c r="AE279" s="15"/>
      <c r="AF279" s="15"/>
      <c r="AG279" s="15"/>
      <c r="AH279" s="15"/>
    </row>
    <row r="280" ht="15.75" customHeight="1">
      <c r="A280" s="15"/>
      <c r="E280" s="32" t="s">
        <v>172</v>
      </c>
      <c r="F280" s="32" t="s">
        <v>204</v>
      </c>
      <c r="G280" s="70" t="str">
        <f>HYPERLINK("https://docs.google.com/spreadsheets/d/152y1WSFVofXxTkwhFmgedrnl4t-ZhrCxDs2BnB4wj6g/edit#gid=1346644269", "https://docs.google.com/spreadsheets/d/152y1WSFVofXxTkwhFmgedrnl4t-ZhrCxDs2BnB4wj6g/edit#gid=1346644269")</f>
        <v>https://docs.google.com/spreadsheets/d/152y1WSFVofXxTkwhFmgedrnl4t-ZhrCxDs2BnB4wj6g/edit#gid=1346644269</v>
      </c>
      <c r="H280" s="32" t="s">
        <v>1996</v>
      </c>
      <c r="I280" s="11"/>
      <c r="J280" s="11"/>
      <c r="K280" s="11"/>
      <c r="L280" s="11"/>
      <c r="M280" s="15"/>
      <c r="N280" s="15"/>
      <c r="O280" s="15"/>
      <c r="P280" s="15"/>
      <c r="Q280" s="15"/>
      <c r="R280" s="15"/>
      <c r="S280" s="15"/>
      <c r="T280" s="15"/>
      <c r="U280" s="15"/>
      <c r="V280" s="15"/>
      <c r="W280" s="15"/>
      <c r="X280" s="15"/>
      <c r="Y280" s="15"/>
      <c r="Z280" s="15"/>
      <c r="AA280" s="15"/>
      <c r="AB280" s="15"/>
      <c r="AC280" s="15"/>
      <c r="AD280" s="15"/>
      <c r="AE280" s="15"/>
      <c r="AF280" s="15"/>
      <c r="AG280" s="15"/>
      <c r="AH280" s="15"/>
    </row>
    <row r="281" ht="15.75" customHeight="1">
      <c r="A281" s="15"/>
      <c r="E281" s="32" t="s">
        <v>178</v>
      </c>
      <c r="F281" s="32" t="s">
        <v>205</v>
      </c>
      <c r="G281" s="70" t="str">
        <f>HYPERLINK("https://docs.google.com/spreadsheets/d/152y1WSFVofXxTkwhFmgedrnl4t-ZhrCxDs2BnB4wj6g/edit#gid=224580611", "https://docs.google.com/spreadsheets/d/152y1WSFVofXxTkwhFmgedrnl4t-ZhrCxDs2BnB4wj6g/edit#gid=224580611")</f>
        <v>https://docs.google.com/spreadsheets/d/152y1WSFVofXxTkwhFmgedrnl4t-ZhrCxDs2BnB4wj6g/edit#gid=224580611</v>
      </c>
      <c r="H281" s="32" t="s">
        <v>1997</v>
      </c>
      <c r="I281" s="11"/>
      <c r="J281" s="11"/>
      <c r="K281" s="11"/>
      <c r="L281" s="11"/>
      <c r="M281" s="15"/>
      <c r="N281" s="15"/>
      <c r="O281" s="15"/>
      <c r="P281" s="15"/>
      <c r="Q281" s="15"/>
      <c r="R281" s="15"/>
      <c r="S281" s="15"/>
      <c r="T281" s="15"/>
      <c r="U281" s="15"/>
      <c r="V281" s="15"/>
      <c r="W281" s="15"/>
      <c r="X281" s="15"/>
      <c r="Y281" s="15"/>
      <c r="Z281" s="15"/>
      <c r="AA281" s="15"/>
      <c r="AB281" s="15"/>
      <c r="AC281" s="15"/>
      <c r="AD281" s="15"/>
      <c r="AE281" s="15"/>
      <c r="AF281" s="15"/>
      <c r="AG281" s="15"/>
      <c r="AH281" s="15"/>
    </row>
    <row r="282" ht="15.75" customHeight="1">
      <c r="A282" s="15"/>
      <c r="E282" s="32" t="s">
        <v>178</v>
      </c>
      <c r="F282" s="32" t="s">
        <v>206</v>
      </c>
      <c r="G282" s="15"/>
      <c r="H282" s="36"/>
      <c r="L282" s="11"/>
      <c r="M282" s="15"/>
      <c r="N282" s="15"/>
      <c r="O282" s="15"/>
      <c r="P282" s="15"/>
      <c r="Q282" s="15"/>
      <c r="R282" s="15"/>
      <c r="S282" s="15"/>
      <c r="T282" s="15"/>
      <c r="U282" s="15"/>
      <c r="V282" s="15"/>
      <c r="W282" s="15"/>
      <c r="X282" s="15"/>
      <c r="Y282" s="15"/>
      <c r="Z282" s="15"/>
      <c r="AA282" s="15"/>
      <c r="AB282" s="15"/>
      <c r="AC282" s="15"/>
      <c r="AD282" s="15"/>
      <c r="AE282" s="15"/>
      <c r="AF282" s="15"/>
      <c r="AG282" s="15"/>
      <c r="AH282" s="15"/>
    </row>
    <row r="283" ht="15.75" customHeight="1">
      <c r="A283" s="15"/>
      <c r="E283" s="32" t="s">
        <v>178</v>
      </c>
      <c r="F283" s="32" t="s">
        <v>207</v>
      </c>
      <c r="G283" s="70" t="str">
        <f>HYPERLINK("https://docs.google.com/spreadsheets/d/152y1WSFVofXxTkwhFmgedrnl4t-ZhrCxDs2BnB4wj6g/edit#gid=860649677", "https://docs.google.com/spreadsheets/d/152y1WSFVofXxTkwhFmgedrnl4t-ZhrCxDs2BnB4wj6g/edit#gid=860649677")</f>
        <v>https://docs.google.com/spreadsheets/d/152y1WSFVofXxTkwhFmgedrnl4t-ZhrCxDs2BnB4wj6g/edit#gid=860649677</v>
      </c>
      <c r="H283" s="32" t="s">
        <v>1998</v>
      </c>
      <c r="I283" s="11"/>
      <c r="J283" s="11"/>
      <c r="K283" s="11"/>
      <c r="L283" s="11"/>
      <c r="M283" s="15"/>
      <c r="N283" s="15"/>
      <c r="O283" s="15"/>
      <c r="P283" s="15"/>
      <c r="Q283" s="15"/>
      <c r="R283" s="15"/>
      <c r="S283" s="15"/>
      <c r="T283" s="15"/>
      <c r="U283" s="15"/>
      <c r="V283" s="15"/>
      <c r="W283" s="15"/>
      <c r="X283" s="15"/>
      <c r="Y283" s="15"/>
      <c r="Z283" s="15"/>
      <c r="AA283" s="15"/>
      <c r="AB283" s="15"/>
      <c r="AC283" s="15"/>
      <c r="AD283" s="15"/>
      <c r="AE283" s="15"/>
      <c r="AF283" s="15"/>
      <c r="AG283" s="15"/>
      <c r="AH283" s="15"/>
    </row>
    <row r="284" ht="15.75" customHeight="1">
      <c r="A284" s="15"/>
      <c r="E284" s="32" t="s">
        <v>178</v>
      </c>
      <c r="F284" s="32" t="s">
        <v>208</v>
      </c>
      <c r="G284" s="70" t="str">
        <f>HYPERLINK("https://docs.google.com/spreadsheets/d/152y1WSFVofXxTkwhFmgedrnl4t-ZhrCxDs2BnB4wj6g/edit#gid=2101647859", "https://docs.google.com/spreadsheets/d/152y1WSFVofXxTkwhFmgedrnl4t-ZhrCxDs2BnB4wj6g/edit#gid=2101647859")</f>
        <v>https://docs.google.com/spreadsheets/d/152y1WSFVofXxTkwhFmgedrnl4t-ZhrCxDs2BnB4wj6g/edit#gid=2101647859</v>
      </c>
      <c r="H284" s="32" t="s">
        <v>2002</v>
      </c>
      <c r="I284" s="11"/>
      <c r="J284" s="11"/>
      <c r="K284" s="11"/>
      <c r="L284" s="11"/>
      <c r="M284" s="15"/>
      <c r="N284" s="15"/>
      <c r="O284" s="15"/>
      <c r="P284" s="15"/>
      <c r="Q284" s="15"/>
      <c r="R284" s="15"/>
      <c r="S284" s="15"/>
      <c r="T284" s="15"/>
      <c r="U284" s="15"/>
      <c r="V284" s="15"/>
      <c r="W284" s="15"/>
      <c r="X284" s="15"/>
      <c r="Y284" s="15"/>
      <c r="Z284" s="15"/>
      <c r="AA284" s="15"/>
      <c r="AB284" s="15"/>
      <c r="AC284" s="15"/>
      <c r="AD284" s="15"/>
      <c r="AE284" s="15"/>
      <c r="AF284" s="15"/>
      <c r="AG284" s="15"/>
      <c r="AH284" s="15"/>
    </row>
    <row r="285" ht="15.75" customHeight="1">
      <c r="A285" s="15"/>
      <c r="E285" s="32" t="s">
        <v>178</v>
      </c>
      <c r="F285" s="32" t="s">
        <v>182</v>
      </c>
      <c r="G285" s="70" t="str">
        <f>HYPERLINK("https://docs.google.com/spreadsheets/d/152y1WSFVofXxTkwhFmgedrnl4t-ZhrCxDs2BnB4wj6g/edit#gid=548441526", "https://docs.google.com/spreadsheets/d/152y1WSFVofXxTkwhFmgedrnl4t-ZhrCxDs2BnB4wj6g/edit#gid=548441526")</f>
        <v>https://docs.google.com/spreadsheets/d/152y1WSFVofXxTkwhFmgedrnl4t-ZhrCxDs2BnB4wj6g/edit#gid=548441526</v>
      </c>
      <c r="H285" s="32" t="s">
        <v>182</v>
      </c>
      <c r="I285" s="11"/>
      <c r="J285" s="11"/>
      <c r="K285" s="11"/>
      <c r="L285" s="11"/>
      <c r="M285" s="15"/>
      <c r="N285" s="15"/>
      <c r="O285" s="15"/>
      <c r="P285" s="15"/>
      <c r="Q285" s="15"/>
      <c r="R285" s="15"/>
      <c r="S285" s="15"/>
      <c r="T285" s="15"/>
      <c r="U285" s="15"/>
      <c r="V285" s="15"/>
      <c r="W285" s="15"/>
      <c r="X285" s="15"/>
      <c r="Y285" s="15"/>
      <c r="Z285" s="15"/>
      <c r="AA285" s="15"/>
      <c r="AB285" s="15"/>
      <c r="AC285" s="15"/>
      <c r="AD285" s="15"/>
      <c r="AE285" s="15"/>
      <c r="AF285" s="15"/>
      <c r="AG285" s="15"/>
      <c r="AH285" s="15"/>
    </row>
    <row r="286" ht="15.75" customHeight="1">
      <c r="A286" s="15"/>
      <c r="E286" s="32" t="s">
        <v>178</v>
      </c>
      <c r="F286" s="32" t="s">
        <v>180</v>
      </c>
      <c r="G286" s="70" t="str">
        <f>HYPERLINK("https://docs.google.com/spreadsheets/d/152y1WSFVofXxTkwhFmgedrnl4t-ZhrCxDs2BnB4wj6g/edit#gid=599991136", "https://docs.google.com/spreadsheets/d/152y1WSFVofXxTkwhFmgedrnl4t-ZhrCxDs2BnB4wj6g/edit#gid=599991136")</f>
        <v>https://docs.google.com/spreadsheets/d/152y1WSFVofXxTkwhFmgedrnl4t-ZhrCxDs2BnB4wj6g/edit#gid=599991136</v>
      </c>
      <c r="H286" s="32" t="s">
        <v>180</v>
      </c>
      <c r="I286" s="11"/>
      <c r="J286" s="11"/>
      <c r="K286" s="11"/>
      <c r="L286" s="11"/>
      <c r="M286" s="15"/>
      <c r="N286" s="15"/>
      <c r="O286" s="15"/>
      <c r="P286" s="15"/>
      <c r="Q286" s="15"/>
      <c r="R286" s="15"/>
      <c r="S286" s="15"/>
      <c r="T286" s="15"/>
      <c r="U286" s="15"/>
      <c r="V286" s="15"/>
      <c r="W286" s="15"/>
      <c r="X286" s="15"/>
      <c r="Y286" s="15"/>
      <c r="Z286" s="15"/>
      <c r="AA286" s="15"/>
      <c r="AB286" s="15"/>
      <c r="AC286" s="15"/>
      <c r="AD286" s="15"/>
      <c r="AE286" s="15"/>
      <c r="AF286" s="15"/>
      <c r="AG286" s="15"/>
      <c r="AH286" s="15"/>
    </row>
    <row r="287" ht="15.75" customHeight="1">
      <c r="A287" s="15"/>
      <c r="E287" s="32" t="s">
        <v>178</v>
      </c>
      <c r="F287" s="32" t="s">
        <v>209</v>
      </c>
      <c r="G287" s="70" t="str">
        <f>HYPERLINK("https://docs.google.com/spreadsheets/d/152y1WSFVofXxTkwhFmgedrnl4t-ZhrCxDs2BnB4wj6g/edit#gid=756232572", "https://docs.google.com/spreadsheets/d/152y1WSFVofXxTkwhFmgedrnl4t-ZhrCxDs2BnB4wj6g/edit#gid=756232572")</f>
        <v>https://docs.google.com/spreadsheets/d/152y1WSFVofXxTkwhFmgedrnl4t-ZhrCxDs2BnB4wj6g/edit#gid=756232572</v>
      </c>
      <c r="H287" s="32" t="s">
        <v>209</v>
      </c>
      <c r="I287" s="11"/>
      <c r="J287" s="11"/>
      <c r="K287" s="11"/>
      <c r="L287" s="11"/>
      <c r="M287" s="15"/>
      <c r="N287" s="15"/>
      <c r="O287" s="15"/>
      <c r="P287" s="15"/>
      <c r="Q287" s="15"/>
      <c r="R287" s="15"/>
      <c r="S287" s="15"/>
      <c r="T287" s="15"/>
      <c r="U287" s="15"/>
      <c r="V287" s="15"/>
      <c r="W287" s="15"/>
      <c r="X287" s="15"/>
      <c r="Y287" s="15"/>
      <c r="Z287" s="15"/>
      <c r="AA287" s="15"/>
      <c r="AB287" s="15"/>
      <c r="AC287" s="15"/>
      <c r="AD287" s="15"/>
      <c r="AE287" s="15"/>
      <c r="AF287" s="15"/>
      <c r="AG287" s="15"/>
      <c r="AH287" s="15"/>
    </row>
    <row r="288" ht="15.75" customHeight="1">
      <c r="A288" s="15"/>
      <c r="E288" s="32" t="s">
        <v>178</v>
      </c>
      <c r="F288" s="32" t="s">
        <v>210</v>
      </c>
      <c r="G288" s="70" t="str">
        <f>HYPERLINK("https://docs.google.com/spreadsheets/d/152y1WSFVofXxTkwhFmgedrnl4t-ZhrCxDs2BnB4wj6g/edit#gid=1028932374", "https://docs.google.com/spreadsheets/d/152y1WSFVofXxTkwhFmgedrnl4t-ZhrCxDs2BnB4wj6g/edit#gid=1028932374")</f>
        <v>https://docs.google.com/spreadsheets/d/152y1WSFVofXxTkwhFmgedrnl4t-ZhrCxDs2BnB4wj6g/edit#gid=1028932374</v>
      </c>
      <c r="H288" s="32" t="s">
        <v>210</v>
      </c>
      <c r="I288" s="11"/>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c r="AG288" s="15"/>
      <c r="AH288" s="15"/>
    </row>
    <row r="289" ht="15.75" customHeight="1">
      <c r="A289" s="15"/>
      <c r="E289" s="32" t="s">
        <v>157</v>
      </c>
      <c r="F289" s="32" t="s">
        <v>161</v>
      </c>
      <c r="G289" s="70" t="str">
        <f>HYPERLINK("https://docs.google.com/spreadsheets/d/152y1WSFVofXxTkwhFmgedrnl4t-ZhrCxDs2BnB4wj6g/edit#gid=801566906", "https://docs.google.com/spreadsheets/d/152y1WSFVofXxTkwhFmgedrnl4t-ZhrCxDs2BnB4wj6g/edit#gid=801566906")</f>
        <v>https://docs.google.com/spreadsheets/d/152y1WSFVofXxTkwhFmgedrnl4t-ZhrCxDs2BnB4wj6g/edit#gid=801566906</v>
      </c>
      <c r="H289" s="32" t="s">
        <v>161</v>
      </c>
      <c r="I289" s="11"/>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c r="AG289" s="15"/>
      <c r="AH289" s="15"/>
    </row>
    <row r="290" ht="15.75" customHeight="1">
      <c r="A290" s="15"/>
      <c r="E290" s="32" t="s">
        <v>157</v>
      </c>
      <c r="F290" s="32" t="s">
        <v>158</v>
      </c>
      <c r="G290" s="70" t="str">
        <f>HYPERLINK("https://docs.google.com/spreadsheets/d/152y1WSFVofXxTkwhFmgedrnl4t-ZhrCxDs2BnB4wj6g/edit#gid=1994128410", "https://docs.google.com/spreadsheets/d/152y1WSFVofXxTkwhFmgedrnl4t-ZhrCxDs2BnB4wj6g/edit#gid=1994128410")</f>
        <v>https://docs.google.com/spreadsheets/d/152y1WSFVofXxTkwhFmgedrnl4t-ZhrCxDs2BnB4wj6g/edit#gid=1994128410</v>
      </c>
      <c r="H290" s="32" t="s">
        <v>158</v>
      </c>
      <c r="I290" s="11"/>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c r="AG290" s="15"/>
      <c r="AH290" s="15"/>
    </row>
    <row r="291" ht="15.75" customHeight="1">
      <c r="A291" s="15"/>
      <c r="E291" s="32" t="s">
        <v>157</v>
      </c>
      <c r="F291" s="32" t="s">
        <v>196</v>
      </c>
      <c r="G291" s="70" t="str">
        <f>HYPERLINK("https://docs.google.com/spreadsheets/d/152y1WSFVofXxTkwhFmgedrnl4t-ZhrCxDs2BnB4wj6g/edit#gid=1499679895", "https://docs.google.com/spreadsheets/d/152y1WSFVofXxTkwhFmgedrnl4t-ZhrCxDs2BnB4wj6g/edit#gid=1499679895")</f>
        <v>https://docs.google.com/spreadsheets/d/152y1WSFVofXxTkwhFmgedrnl4t-ZhrCxDs2BnB4wj6g/edit#gid=1499679895</v>
      </c>
      <c r="H291" s="32" t="s">
        <v>196</v>
      </c>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c r="AG291" s="15"/>
      <c r="AH291" s="15"/>
    </row>
    <row r="292" ht="15.75" customHeight="1">
      <c r="A292" s="15"/>
      <c r="E292" s="32" t="s">
        <v>172</v>
      </c>
      <c r="F292" s="32" t="s">
        <v>203</v>
      </c>
      <c r="G292" s="70" t="str">
        <f>HYPERLINK("https://docs.google.com/spreadsheets/d/152y1WSFVofXxTkwhFmgedrnl4t-ZhrCxDs2BnB4wj6g/edit#gid=1422278855", "https://docs.google.com/spreadsheets/d/152y1WSFVofXxTkwhFmgedrnl4t-ZhrCxDs2BnB4wj6g/edit#gid=1422278855")</f>
        <v>https://docs.google.com/spreadsheets/d/152y1WSFVofXxTkwhFmgedrnl4t-ZhrCxDs2BnB4wj6g/edit#gid=1422278855</v>
      </c>
      <c r="H292" s="32" t="s">
        <v>1999</v>
      </c>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c r="AG292" s="15"/>
      <c r="AH292" s="15"/>
    </row>
    <row r="293" ht="15.75" customHeight="1">
      <c r="A293" s="15"/>
      <c r="E293" s="32" t="s">
        <v>172</v>
      </c>
      <c r="F293" s="32" t="s">
        <v>204</v>
      </c>
      <c r="G293" s="70" t="str">
        <f>HYPERLINK("https://docs.google.com/spreadsheets/d/152y1WSFVofXxTkwhFmgedrnl4t-ZhrCxDs2BnB4wj6g/edit#gid=2064103673", "https://docs.google.com/spreadsheets/d/152y1WSFVofXxTkwhFmgedrnl4t-ZhrCxDs2BnB4wj6g/edit#gid=2064103673")</f>
        <v>https://docs.google.com/spreadsheets/d/152y1WSFVofXxTkwhFmgedrnl4t-ZhrCxDs2BnB4wj6g/edit#gid=2064103673</v>
      </c>
      <c r="H293" s="32" t="s">
        <v>2000</v>
      </c>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c r="AG293" s="15"/>
      <c r="AH293" s="15"/>
    </row>
    <row r="294" ht="15.75" customHeight="1">
      <c r="A294" s="15"/>
      <c r="E294" s="32" t="s">
        <v>178</v>
      </c>
      <c r="F294" s="32" t="s">
        <v>207</v>
      </c>
      <c r="G294" s="70" t="str">
        <f>HYPERLINK("https://docs.google.com/spreadsheets/d/152y1WSFVofXxTkwhFmgedrnl4t-ZhrCxDs2BnB4wj6g/edit#gid=2125971647", "https://docs.google.com/spreadsheets/d/152y1WSFVofXxTkwhFmgedrnl4t-ZhrCxDs2BnB4wj6g/edit#gid=2125971647")</f>
        <v>https://docs.google.com/spreadsheets/d/152y1WSFVofXxTkwhFmgedrnl4t-ZhrCxDs2BnB4wj6g/edit#gid=2125971647</v>
      </c>
      <c r="H294" s="32" t="s">
        <v>2001</v>
      </c>
      <c r="I294" s="11"/>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c r="AG294" s="15"/>
      <c r="AH294" s="15"/>
    </row>
    <row r="295" ht="15.75" customHeight="1">
      <c r="A295" s="15"/>
      <c r="E295" s="32" t="s">
        <v>178</v>
      </c>
      <c r="F295" s="32" t="s">
        <v>208</v>
      </c>
      <c r="G295" s="70" t="str">
        <f>HYPERLINK("https://docs.google.com/spreadsheets/d/152y1WSFVofXxTkwhFmgedrnl4t-ZhrCxDs2BnB4wj6g/edit#gid=224859612", "https://docs.google.com/spreadsheets/d/152y1WSFVofXxTkwhFmgedrnl4t-ZhrCxDs2BnB4wj6g/edit#gid=224859612")</f>
        <v>https://docs.google.com/spreadsheets/d/152y1WSFVofXxTkwhFmgedrnl4t-ZhrCxDs2BnB4wj6g/edit#gid=224859612</v>
      </c>
      <c r="H295" s="32" t="s">
        <v>2021</v>
      </c>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c r="AG295" s="15"/>
      <c r="AH295" s="15"/>
    </row>
    <row r="296" ht="15.75" customHeight="1">
      <c r="A296" s="15"/>
      <c r="E296" s="32" t="s">
        <v>178</v>
      </c>
      <c r="F296" s="32" t="s">
        <v>182</v>
      </c>
      <c r="G296" s="70" t="str">
        <f>HYPERLINK("https://docs.google.com/spreadsheets/d/152y1WSFVofXxTkwhFmgedrnl4t-ZhrCxDs2BnB4wj6g/edit#gid=16446685", "https://docs.google.com/spreadsheets/d/152y1WSFVofXxTkwhFmgedrnl4t-ZhrCxDs2BnB4wj6g/edit#gid=16446685")</f>
        <v>https://docs.google.com/spreadsheets/d/152y1WSFVofXxTkwhFmgedrnl4t-ZhrCxDs2BnB4wj6g/edit#gid=16446685</v>
      </c>
      <c r="H296" s="32" t="s">
        <v>2003</v>
      </c>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c r="AG296" s="15"/>
      <c r="AH296" s="15"/>
    </row>
    <row r="297" ht="15.75" customHeight="1">
      <c r="A297" s="15"/>
      <c r="E297" s="32" t="s">
        <v>178</v>
      </c>
      <c r="F297" s="32" t="s">
        <v>180</v>
      </c>
      <c r="G297" s="70" t="str">
        <f>HYPERLINK("https://docs.google.com/spreadsheets/d/152y1WSFVofXxTkwhFmgedrnl4t-ZhrCxDs2BnB4wj6g/edit#gid=1087366998", "https://docs.google.com/spreadsheets/d/152y1WSFVofXxTkwhFmgedrnl4t-ZhrCxDs2BnB4wj6g/edit#gid=1087366998")</f>
        <v>https://docs.google.com/spreadsheets/d/152y1WSFVofXxTkwhFmgedrnl4t-ZhrCxDs2BnB4wj6g/edit#gid=1087366998</v>
      </c>
      <c r="H297" s="32" t="s">
        <v>2009</v>
      </c>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c r="AG297" s="15"/>
      <c r="AH297" s="15"/>
    </row>
    <row r="298" ht="15.75" customHeight="1">
      <c r="A298" s="15"/>
      <c r="E298" s="32" t="s">
        <v>178</v>
      </c>
      <c r="F298" s="32" t="s">
        <v>209</v>
      </c>
      <c r="G298" s="70" t="str">
        <f>HYPERLINK("https://docs.google.com/spreadsheets/d/152y1WSFVofXxTkwhFmgedrnl4t-ZhrCxDs2BnB4wj6g/edit#gid=1223505271", "https://docs.google.com/spreadsheets/d/152y1WSFVofXxTkwhFmgedrnl4t-ZhrCxDs2BnB4wj6g/edit#gid=1223505271")</f>
        <v>https://docs.google.com/spreadsheets/d/152y1WSFVofXxTkwhFmgedrnl4t-ZhrCxDs2BnB4wj6g/edit#gid=1223505271</v>
      </c>
      <c r="H298" s="32" t="s">
        <v>1986</v>
      </c>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c r="AG298" s="15"/>
      <c r="AH298" s="15"/>
    </row>
    <row r="299" ht="15.75" customHeight="1">
      <c r="A299" s="15"/>
      <c r="E299" s="32" t="s">
        <v>178</v>
      </c>
      <c r="F299" s="32" t="s">
        <v>210</v>
      </c>
      <c r="G299" s="70" t="str">
        <f>HYPERLINK("https://docs.google.com/spreadsheets/d/152y1WSFVofXxTkwhFmgedrnl4t-ZhrCxDs2BnB4wj6g/edit#gid=1420960331", "https://docs.google.com/spreadsheets/d/152y1WSFVofXxTkwhFmgedrnl4t-ZhrCxDs2BnB4wj6g/edit#gid=1420960331")</f>
        <v>https://docs.google.com/spreadsheets/d/152y1WSFVofXxTkwhFmgedrnl4t-ZhrCxDs2BnB4wj6g/edit#gid=1420960331</v>
      </c>
      <c r="H299" s="32" t="s">
        <v>1987</v>
      </c>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c r="AG299" s="15"/>
      <c r="AH299" s="15"/>
    </row>
    <row r="300" ht="15.75" customHeight="1">
      <c r="A300" s="15"/>
      <c r="E300" s="32" t="s">
        <v>86</v>
      </c>
      <c r="F300" s="32" t="s">
        <v>90</v>
      </c>
      <c r="G300" s="70" t="str">
        <f>HYPERLINK("https://docs.google.com/spreadsheets/d/152y1WSFVofXxTkwhFmgedrnl4t-ZhrCxDs2BnB4wj6g/edit#gid=1069688088", "https://docs.google.com/spreadsheets/d/152y1WSFVofXxTkwhFmgedrnl4t-ZhrCxDs2BnB4wj6g/edit#gid=1069688088")</f>
        <v>https://docs.google.com/spreadsheets/d/152y1WSFVofXxTkwhFmgedrnl4t-ZhrCxDs2BnB4wj6g/edit#gid=1069688088</v>
      </c>
      <c r="H300" s="32" t="s">
        <v>2022</v>
      </c>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c r="AG300" s="15"/>
      <c r="AH300" s="15"/>
    </row>
    <row r="301" ht="15.75" customHeight="1">
      <c r="A301" s="15"/>
      <c r="E301" s="32" t="s">
        <v>86</v>
      </c>
      <c r="F301" s="32" t="s">
        <v>91</v>
      </c>
      <c r="G301" s="70" t="str">
        <f>HYPERLINK("https://docs.google.com/spreadsheets/d/152y1WSFVofXxTkwhFmgedrnl4t-ZhrCxDs2BnB4wj6g/edit#gid=1478123700", "https://docs.google.com/spreadsheets/d/152y1WSFVofXxTkwhFmgedrnl4t-ZhrCxDs2BnB4wj6g/edit#gid=1478123700")</f>
        <v>https://docs.google.com/spreadsheets/d/152y1WSFVofXxTkwhFmgedrnl4t-ZhrCxDs2BnB4wj6g/edit#gid=1478123700</v>
      </c>
      <c r="H301" s="32" t="s">
        <v>91</v>
      </c>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c r="AG301" s="15"/>
      <c r="AH301" s="15"/>
    </row>
    <row r="302" ht="15.75" customHeight="1">
      <c r="A302" s="15"/>
      <c r="E302" s="32" t="s">
        <v>88</v>
      </c>
      <c r="F302" s="32" t="s">
        <v>95</v>
      </c>
      <c r="G302" s="70" t="str">
        <f>HYPERLINK("https://docs.google.com/spreadsheets/d/152y1WSFVofXxTkwhFmgedrnl4t-ZhrCxDs2BnB4wj6g/edit#gid=1451540512", "https://docs.google.com/spreadsheets/d/152y1WSFVofXxTkwhFmgedrnl4t-ZhrCxDs2BnB4wj6g/edit#gid=1451540512")</f>
        <v>https://docs.google.com/spreadsheets/d/152y1WSFVofXxTkwhFmgedrnl4t-ZhrCxDs2BnB4wj6g/edit#gid=1451540512</v>
      </c>
      <c r="H302" s="32" t="s">
        <v>95</v>
      </c>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c r="AG302" s="15"/>
      <c r="AH302" s="15"/>
    </row>
    <row r="303" ht="15.75" customHeight="1">
      <c r="A303" s="15"/>
      <c r="E303" s="32" t="s">
        <v>88</v>
      </c>
      <c r="F303" s="32" t="s">
        <v>96</v>
      </c>
      <c r="G303" s="70" t="str">
        <f>HYPERLINK("https://docs.google.com/spreadsheets/d/152y1WSFVofXxTkwhFmgedrnl4t-ZhrCxDs2BnB4wj6g/edit#gid=1506677415", "https://docs.google.com/spreadsheets/d/152y1WSFVofXxTkwhFmgedrnl4t-ZhrCxDs2BnB4wj6g/edit#gid=1506677415")</f>
        <v>https://docs.google.com/spreadsheets/d/152y1WSFVofXxTkwhFmgedrnl4t-ZhrCxDs2BnB4wj6g/edit#gid=1506677415</v>
      </c>
      <c r="H303" s="32" t="s">
        <v>96</v>
      </c>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c r="AG303" s="15"/>
      <c r="AH303" s="15"/>
    </row>
    <row r="304" ht="15.75" customHeight="1">
      <c r="A304" s="15"/>
      <c r="B304" s="15"/>
      <c r="C304" s="21"/>
      <c r="D304" s="15"/>
      <c r="E304" s="15"/>
      <c r="F304" s="15"/>
      <c r="G304" s="15"/>
      <c r="H304" s="1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c r="AG304" s="15"/>
      <c r="AH304" s="15"/>
    </row>
    <row r="305" ht="15.75" customHeight="1">
      <c r="A305" s="9"/>
      <c r="B305" s="8" t="s">
        <v>2031</v>
      </c>
      <c r="C305" s="209" t="s">
        <v>2015</v>
      </c>
      <c r="D305" s="9" t="s">
        <v>20</v>
      </c>
      <c r="E305" s="9" t="s">
        <v>89</v>
      </c>
      <c r="F305" s="9" t="s">
        <v>291</v>
      </c>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15"/>
      <c r="AH305" s="15"/>
    </row>
    <row r="306" ht="15.75" customHeight="1">
      <c r="A306" s="15"/>
      <c r="B306" s="207" t="s">
        <v>2032</v>
      </c>
      <c r="C306" s="210" t="s">
        <v>2033</v>
      </c>
      <c r="D306" s="207" t="s">
        <v>20</v>
      </c>
      <c r="E306" s="32" t="s">
        <v>178</v>
      </c>
      <c r="F306" s="32" t="s">
        <v>201</v>
      </c>
      <c r="G306" s="70" t="str">
        <f>HYPERLINK("https://docs.google.com/spreadsheets/d/1CMklZZL_2WcAUZd1W1sQUnB8y2YnZ2sxmgEToFHf_Mo/edit#gid=1248997557", "https://docs.google.com/spreadsheets/d/1CMklZZL_2WcAUZd1W1sQUnB8y2YnZ2sxmgEToFHf_Mo/edit#gid=1248997557")</f>
        <v>https://docs.google.com/spreadsheets/d/1CMklZZL_2WcAUZd1W1sQUnB8y2YnZ2sxmgEToFHf_Mo/edit#gid=1248997557</v>
      </c>
      <c r="H306" s="32" t="s">
        <v>201</v>
      </c>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c r="AG306" s="15"/>
      <c r="AH306" s="15"/>
    </row>
    <row r="307" ht="15.75" customHeight="1">
      <c r="A307" s="15"/>
      <c r="E307" s="32" t="s">
        <v>178</v>
      </c>
      <c r="F307" s="32" t="s">
        <v>202</v>
      </c>
      <c r="G307" s="70" t="str">
        <f>HYPERLINK("https://docs.google.com/spreadsheets/d/1CMklZZL_2WcAUZd1W1sQUnB8y2YnZ2sxmgEToFHf_Mo/edit#gid=1603632255", "https://docs.google.com/spreadsheets/d/1CMklZZL_2WcAUZd1W1sQUnB8y2YnZ2sxmgEToFHf_Mo/edit#gid=1603632255")</f>
        <v>https://docs.google.com/spreadsheets/d/1CMklZZL_2WcAUZd1W1sQUnB8y2YnZ2sxmgEToFHf_Mo/edit#gid=1603632255</v>
      </c>
      <c r="H307" s="32" t="s">
        <v>202</v>
      </c>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c r="AG307" s="15"/>
      <c r="AH307" s="15"/>
    </row>
    <row r="308" ht="15.75" customHeight="1">
      <c r="A308" s="15"/>
      <c r="E308" s="32" t="s">
        <v>21</v>
      </c>
      <c r="F308" s="32" t="s">
        <v>51</v>
      </c>
      <c r="G308" s="70" t="str">
        <f>HYPERLINK("https://docs.google.com/spreadsheets/d/1CMklZZL_2WcAUZd1W1sQUnB8y2YnZ2sxmgEToFHf_Mo/edit#gid=565492775", "https://docs.google.com/spreadsheets/d/1CMklZZL_2WcAUZd1W1sQUnB8y2YnZ2sxmgEToFHf_Mo/edit#gid=565492775")</f>
        <v>https://docs.google.com/spreadsheets/d/1CMklZZL_2WcAUZd1W1sQUnB8y2YnZ2sxmgEToFHf_Mo/edit#gid=565492775</v>
      </c>
      <c r="H308" s="32" t="s">
        <v>51</v>
      </c>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c r="AG308" s="15"/>
      <c r="AH308" s="15"/>
    </row>
    <row r="309" ht="15.75" customHeight="1">
      <c r="A309" s="15"/>
      <c r="E309" s="32" t="s">
        <v>172</v>
      </c>
      <c r="F309" s="32" t="s">
        <v>203</v>
      </c>
      <c r="G309" s="70" t="str">
        <f>HYPERLINK("https://docs.google.com/spreadsheets/d/1CMklZZL_2WcAUZd1W1sQUnB8y2YnZ2sxmgEToFHf_Mo/edit#gid=1829044800", "https://docs.google.com/spreadsheets/d/1CMklZZL_2WcAUZd1W1sQUnB8y2YnZ2sxmgEToFHf_Mo/edit#gid=1829044800")</f>
        <v>https://docs.google.com/spreadsheets/d/1CMklZZL_2WcAUZd1W1sQUnB8y2YnZ2sxmgEToFHf_Mo/edit#gid=1829044800</v>
      </c>
      <c r="H309" s="32" t="s">
        <v>203</v>
      </c>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c r="AG309" s="15"/>
      <c r="AH309" s="15"/>
    </row>
    <row r="310" ht="15.75" customHeight="1">
      <c r="A310" s="15"/>
      <c r="E310" s="32" t="s">
        <v>172</v>
      </c>
      <c r="F310" s="32" t="s">
        <v>204</v>
      </c>
      <c r="G310" s="70" t="str">
        <f>HYPERLINK("https://docs.google.com/spreadsheets/d/1CMklZZL_2WcAUZd1W1sQUnB8y2YnZ2sxmgEToFHf_Mo/edit#gid=1114477696", "https://docs.google.com/spreadsheets/d/1CMklZZL_2WcAUZd1W1sQUnB8y2YnZ2sxmgEToFHf_Mo/edit#gid=1114477696")</f>
        <v>https://docs.google.com/spreadsheets/d/1CMklZZL_2WcAUZd1W1sQUnB8y2YnZ2sxmgEToFHf_Mo/edit#gid=1114477696</v>
      </c>
      <c r="H310" s="32" t="s">
        <v>204</v>
      </c>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c r="AG310" s="15"/>
      <c r="AH310" s="15"/>
    </row>
    <row r="311" ht="15.75" customHeight="1">
      <c r="A311" s="15"/>
      <c r="E311" s="32" t="s">
        <v>178</v>
      </c>
      <c r="F311" s="32" t="s">
        <v>205</v>
      </c>
      <c r="G311" s="70" t="str">
        <f>HYPERLINK("https://docs.google.com/spreadsheets/d/1CMklZZL_2WcAUZd1W1sQUnB8y2YnZ2sxmgEToFHf_Mo/edit#gid=908694464", "https://docs.google.com/spreadsheets/d/1CMklZZL_2WcAUZd1W1sQUnB8y2YnZ2sxmgEToFHf_Mo/edit#gid=908694464")</f>
        <v>https://docs.google.com/spreadsheets/d/1CMklZZL_2WcAUZd1W1sQUnB8y2YnZ2sxmgEToFHf_Mo/edit#gid=908694464</v>
      </c>
      <c r="H311" s="32" t="s">
        <v>205</v>
      </c>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c r="AG311" s="15"/>
      <c r="AH311" s="15"/>
    </row>
    <row r="312" ht="15.75" customHeight="1">
      <c r="A312" s="15"/>
      <c r="E312" s="32" t="s">
        <v>178</v>
      </c>
      <c r="F312" s="32" t="s">
        <v>206</v>
      </c>
      <c r="G312" s="15"/>
      <c r="H312" s="36"/>
      <c r="L312" s="11"/>
      <c r="M312" s="15"/>
      <c r="N312" s="15"/>
      <c r="O312" s="15"/>
      <c r="P312" s="15"/>
      <c r="Q312" s="15"/>
      <c r="R312" s="15"/>
      <c r="S312" s="15"/>
      <c r="T312" s="15"/>
      <c r="U312" s="15"/>
      <c r="V312" s="15"/>
      <c r="W312" s="15"/>
      <c r="X312" s="15"/>
      <c r="Y312" s="15"/>
      <c r="Z312" s="15"/>
      <c r="AA312" s="15"/>
      <c r="AB312" s="15"/>
      <c r="AC312" s="15"/>
      <c r="AD312" s="15"/>
      <c r="AE312" s="15"/>
      <c r="AF312" s="15"/>
      <c r="AG312" s="15"/>
      <c r="AH312" s="15"/>
    </row>
    <row r="313" ht="15.75" customHeight="1">
      <c r="A313" s="15"/>
      <c r="E313" s="32" t="s">
        <v>178</v>
      </c>
      <c r="F313" s="32" t="s">
        <v>207</v>
      </c>
      <c r="G313" s="70" t="str">
        <f>HYPERLINK("https://docs.google.com/spreadsheets/d/1CMklZZL_2WcAUZd1W1sQUnB8y2YnZ2sxmgEToFHf_Mo/edit#gid=1714273899", "https://docs.google.com/spreadsheets/d/1CMklZZL_2WcAUZd1W1sQUnB8y2YnZ2sxmgEToFHf_Mo/edit#gid=1714273899")</f>
        <v>https://docs.google.com/spreadsheets/d/1CMklZZL_2WcAUZd1W1sQUnB8y2YnZ2sxmgEToFHf_Mo/edit#gid=1714273899</v>
      </c>
      <c r="H313" s="32" t="s">
        <v>207</v>
      </c>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c r="AG313" s="15"/>
      <c r="AH313" s="15"/>
    </row>
    <row r="314" ht="15.75" customHeight="1">
      <c r="A314" s="15"/>
      <c r="E314" s="32" t="s">
        <v>178</v>
      </c>
      <c r="F314" s="32" t="s">
        <v>208</v>
      </c>
      <c r="G314" s="70" t="str">
        <f>HYPERLINK("https://docs.google.com/spreadsheets/d/1CMklZZL_2WcAUZd1W1sQUnB8y2YnZ2sxmgEToFHf_Mo/edit#gid=1013031847", "https://docs.google.com/spreadsheets/d/1CMklZZL_2WcAUZd1W1sQUnB8y2YnZ2sxmgEToFHf_Mo/edit#gid=1013031847")</f>
        <v>https://docs.google.com/spreadsheets/d/1CMklZZL_2WcAUZd1W1sQUnB8y2YnZ2sxmgEToFHf_Mo/edit#gid=1013031847</v>
      </c>
      <c r="H314" s="32" t="s">
        <v>208</v>
      </c>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c r="AG314" s="15"/>
      <c r="AH314" s="15"/>
    </row>
    <row r="315" ht="15.75" customHeight="1">
      <c r="A315" s="15"/>
      <c r="E315" s="32" t="s">
        <v>21</v>
      </c>
      <c r="F315" s="32" t="s">
        <v>51</v>
      </c>
      <c r="G315" s="70" t="str">
        <f>HYPERLINK("https://docs.google.com/spreadsheets/d/1CMklZZL_2WcAUZd1W1sQUnB8y2YnZ2sxmgEToFHf_Mo/edit#gid=1102055534", "https://docs.google.com/spreadsheets/d/1CMklZZL_2WcAUZd1W1sQUnB8y2YnZ2sxmgEToFHf_Mo/edit#gid=1102055534")</f>
        <v>https://docs.google.com/spreadsheets/d/1CMklZZL_2WcAUZd1W1sQUnB8y2YnZ2sxmgEToFHf_Mo/edit#gid=1102055534</v>
      </c>
      <c r="H315" s="32" t="s">
        <v>1383</v>
      </c>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c r="AG315" s="15"/>
      <c r="AH315" s="15"/>
    </row>
    <row r="316" ht="15.75" customHeight="1">
      <c r="A316" s="15"/>
      <c r="E316" s="32" t="s">
        <v>86</v>
      </c>
      <c r="F316" s="32" t="s">
        <v>90</v>
      </c>
      <c r="G316" s="70" t="str">
        <f>HYPERLINK("https://docs.google.com/spreadsheets/d/1CMklZZL_2WcAUZd1W1sQUnB8y2YnZ2sxmgEToFHf_Mo/edit#gid=871484439", "https://docs.google.com/spreadsheets/d/1CMklZZL_2WcAUZd1W1sQUnB8y2YnZ2sxmgEToFHf_Mo/edit#gid=871484439")</f>
        <v>https://docs.google.com/spreadsheets/d/1CMklZZL_2WcAUZd1W1sQUnB8y2YnZ2sxmgEToFHf_Mo/edit#gid=871484439</v>
      </c>
      <c r="H316" s="32" t="s">
        <v>90</v>
      </c>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c r="AG316" s="15"/>
      <c r="AH316" s="15"/>
    </row>
    <row r="317" ht="15.75" customHeight="1">
      <c r="A317" s="15"/>
      <c r="E317" s="32" t="s">
        <v>86</v>
      </c>
      <c r="F317" s="32" t="s">
        <v>339</v>
      </c>
      <c r="G317" s="70" t="str">
        <f>HYPERLINK("https://docs.google.com/spreadsheets/d/1CMklZZL_2WcAUZd1W1sQUnB8y2YnZ2sxmgEToFHf_Mo/edit#gid=85948652", "https://docs.google.com/spreadsheets/d/1CMklZZL_2WcAUZd1W1sQUnB8y2YnZ2sxmgEToFHf_Mo/edit#gid=85948652")</f>
        <v>https://docs.google.com/spreadsheets/d/1CMklZZL_2WcAUZd1W1sQUnB8y2YnZ2sxmgEToFHf_Mo/edit#gid=85948652</v>
      </c>
      <c r="H317" s="32" t="s">
        <v>339</v>
      </c>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c r="AG317" s="15"/>
      <c r="AH317" s="15"/>
    </row>
    <row r="318" ht="15.75" customHeight="1">
      <c r="A318" s="15"/>
      <c r="E318" s="32" t="s">
        <v>172</v>
      </c>
      <c r="F318" s="32" t="s">
        <v>203</v>
      </c>
      <c r="G318" s="70" t="str">
        <f>HYPERLINK("https://docs.google.com/spreadsheets/d/1CMklZZL_2WcAUZd1W1sQUnB8y2YnZ2sxmgEToFHf_Mo/edit#gid=140542454", "https://docs.google.com/spreadsheets/d/1CMklZZL_2WcAUZd1W1sQUnB8y2YnZ2sxmgEToFHf_Mo/edit#gid=140542454")</f>
        <v>https://docs.google.com/spreadsheets/d/1CMklZZL_2WcAUZd1W1sQUnB8y2YnZ2sxmgEToFHf_Mo/edit#gid=140542454</v>
      </c>
      <c r="H318" s="32" t="s">
        <v>1995</v>
      </c>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c r="AG318" s="15"/>
      <c r="AH318" s="15"/>
    </row>
    <row r="319" ht="15.75" customHeight="1">
      <c r="A319" s="15"/>
      <c r="E319" s="32" t="s">
        <v>172</v>
      </c>
      <c r="F319" s="32" t="s">
        <v>204</v>
      </c>
      <c r="G319" s="70" t="str">
        <f>HYPERLINK("https://docs.google.com/spreadsheets/d/1CMklZZL_2WcAUZd1W1sQUnB8y2YnZ2sxmgEToFHf_Mo/edit#gid=1104371607", "https://docs.google.com/spreadsheets/d/1CMklZZL_2WcAUZd1W1sQUnB8y2YnZ2sxmgEToFHf_Mo/edit#gid=1104371607")</f>
        <v>https://docs.google.com/spreadsheets/d/1CMklZZL_2WcAUZd1W1sQUnB8y2YnZ2sxmgEToFHf_Mo/edit#gid=1104371607</v>
      </c>
      <c r="H319" s="32" t="s">
        <v>1996</v>
      </c>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c r="AG319" s="15"/>
      <c r="AH319" s="15"/>
    </row>
    <row r="320" ht="15.75" customHeight="1">
      <c r="A320" s="15"/>
      <c r="E320" s="32" t="s">
        <v>178</v>
      </c>
      <c r="F320" s="32" t="s">
        <v>205</v>
      </c>
      <c r="G320" s="70" t="str">
        <f>HYPERLINK("https://docs.google.com/spreadsheets/d/1CMklZZL_2WcAUZd1W1sQUnB8y2YnZ2sxmgEToFHf_Mo/edit#gid=116280246", "https://docs.google.com/spreadsheets/d/1CMklZZL_2WcAUZd1W1sQUnB8y2YnZ2sxmgEToFHf_Mo/edit#gid=116280246")</f>
        <v>https://docs.google.com/spreadsheets/d/1CMklZZL_2WcAUZd1W1sQUnB8y2YnZ2sxmgEToFHf_Mo/edit#gid=116280246</v>
      </c>
      <c r="H320" s="32" t="s">
        <v>1997</v>
      </c>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c r="AG320" s="15"/>
      <c r="AH320" s="15"/>
    </row>
    <row r="321" ht="15.75" customHeight="1">
      <c r="A321" s="15"/>
      <c r="E321" s="32" t="s">
        <v>178</v>
      </c>
      <c r="F321" s="32" t="s">
        <v>206</v>
      </c>
      <c r="G321" s="15"/>
      <c r="H321" s="36"/>
      <c r="L321" s="11"/>
      <c r="M321" s="15"/>
      <c r="N321" s="15"/>
      <c r="O321" s="15"/>
      <c r="P321" s="15"/>
      <c r="Q321" s="15"/>
      <c r="R321" s="15"/>
      <c r="S321" s="15"/>
      <c r="T321" s="15"/>
      <c r="U321" s="15"/>
      <c r="V321" s="15"/>
      <c r="W321" s="15"/>
      <c r="X321" s="15"/>
      <c r="Y321" s="15"/>
      <c r="Z321" s="15"/>
      <c r="AA321" s="15"/>
      <c r="AB321" s="15"/>
      <c r="AC321" s="15"/>
      <c r="AD321" s="15"/>
      <c r="AE321" s="15"/>
      <c r="AF321" s="15"/>
      <c r="AG321" s="15"/>
      <c r="AH321" s="15"/>
    </row>
    <row r="322" ht="15.75" customHeight="1">
      <c r="A322" s="15"/>
      <c r="E322" s="32" t="s">
        <v>178</v>
      </c>
      <c r="F322" s="32" t="s">
        <v>207</v>
      </c>
      <c r="G322" s="70" t="str">
        <f>HYPERLINK("https://docs.google.com/spreadsheets/d/1CMklZZL_2WcAUZd1W1sQUnB8y2YnZ2sxmgEToFHf_Mo/edit#gid=572207954", "https://docs.google.com/spreadsheets/d/1CMklZZL_2WcAUZd1W1sQUnB8y2YnZ2sxmgEToFHf_Mo/edit#gid=572207954")</f>
        <v>https://docs.google.com/spreadsheets/d/1CMklZZL_2WcAUZd1W1sQUnB8y2YnZ2sxmgEToFHf_Mo/edit#gid=572207954</v>
      </c>
      <c r="H322" s="32" t="s">
        <v>1998</v>
      </c>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c r="AG322" s="15"/>
      <c r="AH322" s="15"/>
    </row>
    <row r="323" ht="15.75" customHeight="1">
      <c r="A323" s="15"/>
      <c r="E323" s="32" t="s">
        <v>178</v>
      </c>
      <c r="F323" s="32" t="s">
        <v>208</v>
      </c>
      <c r="G323" s="70" t="str">
        <f>HYPERLINK("https://docs.google.com/spreadsheets/d/1CMklZZL_2WcAUZd1W1sQUnB8y2YnZ2sxmgEToFHf_Mo/edit#gid=2123261149", "https://docs.google.com/spreadsheets/d/1CMklZZL_2WcAUZd1W1sQUnB8y2YnZ2sxmgEToFHf_Mo/edit#gid=2123261149")</f>
        <v>https://docs.google.com/spreadsheets/d/1CMklZZL_2WcAUZd1W1sQUnB8y2YnZ2sxmgEToFHf_Mo/edit#gid=2123261149</v>
      </c>
      <c r="H323" s="32" t="s">
        <v>2002</v>
      </c>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c r="AG323" s="15"/>
      <c r="AH323" s="15"/>
    </row>
    <row r="324" ht="15.75" customHeight="1">
      <c r="A324" s="15"/>
      <c r="E324" s="32" t="s">
        <v>178</v>
      </c>
      <c r="F324" s="32" t="s">
        <v>182</v>
      </c>
      <c r="G324" s="70" t="str">
        <f>HYPERLINK("https://docs.google.com/spreadsheets/d/1CMklZZL_2WcAUZd1W1sQUnB8y2YnZ2sxmgEToFHf_Mo/edit#gid=480568956", "https://docs.google.com/spreadsheets/d/1CMklZZL_2WcAUZd1W1sQUnB8y2YnZ2sxmgEToFHf_Mo/edit#gid=480568956")</f>
        <v>https://docs.google.com/spreadsheets/d/1CMklZZL_2WcAUZd1W1sQUnB8y2YnZ2sxmgEToFHf_Mo/edit#gid=480568956</v>
      </c>
      <c r="H324" s="32" t="s">
        <v>182</v>
      </c>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c r="AG324" s="15"/>
      <c r="AH324" s="15"/>
    </row>
    <row r="325" ht="15.75" customHeight="1">
      <c r="A325" s="15"/>
      <c r="E325" s="32" t="s">
        <v>178</v>
      </c>
      <c r="F325" s="32" t="s">
        <v>180</v>
      </c>
      <c r="G325" s="70" t="str">
        <f>HYPERLINK("https://docs.google.com/spreadsheets/d/1CMklZZL_2WcAUZd1W1sQUnB8y2YnZ2sxmgEToFHf_Mo/edit#gid=456394752", "https://docs.google.com/spreadsheets/d/1CMklZZL_2WcAUZd1W1sQUnB8y2YnZ2sxmgEToFHf_Mo/edit#gid=456394752")</f>
        <v>https://docs.google.com/spreadsheets/d/1CMklZZL_2WcAUZd1W1sQUnB8y2YnZ2sxmgEToFHf_Mo/edit#gid=456394752</v>
      </c>
      <c r="H325" s="32" t="s">
        <v>180</v>
      </c>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c r="AG325" s="15"/>
      <c r="AH325" s="15"/>
    </row>
    <row r="326" ht="15.75" customHeight="1">
      <c r="A326" s="15"/>
      <c r="E326" s="32" t="s">
        <v>178</v>
      </c>
      <c r="F326" s="32" t="s">
        <v>209</v>
      </c>
      <c r="G326" s="70" t="str">
        <f>HYPERLINK("https://docs.google.com/spreadsheets/d/1CMklZZL_2WcAUZd1W1sQUnB8y2YnZ2sxmgEToFHf_Mo/edit#gid=370437147", "https://docs.google.com/spreadsheets/d/1CMklZZL_2WcAUZd1W1sQUnB8y2YnZ2sxmgEToFHf_Mo/edit#gid=370437147")</f>
        <v>https://docs.google.com/spreadsheets/d/1CMklZZL_2WcAUZd1W1sQUnB8y2YnZ2sxmgEToFHf_Mo/edit#gid=370437147</v>
      </c>
      <c r="H326" s="32" t="s">
        <v>209</v>
      </c>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c r="AG326" s="15"/>
      <c r="AH326" s="15"/>
    </row>
    <row r="327" ht="15.75" customHeight="1">
      <c r="A327" s="15"/>
      <c r="E327" s="32" t="s">
        <v>178</v>
      </c>
      <c r="F327" s="32" t="s">
        <v>210</v>
      </c>
      <c r="G327" s="70" t="str">
        <f>HYPERLINK("https://docs.google.com/spreadsheets/d/1CMklZZL_2WcAUZd1W1sQUnB8y2YnZ2sxmgEToFHf_Mo/edit#gid=1968786413", "https://docs.google.com/spreadsheets/d/1CMklZZL_2WcAUZd1W1sQUnB8y2YnZ2sxmgEToFHf_Mo/edit#gid=1968786413")</f>
        <v>https://docs.google.com/spreadsheets/d/1CMklZZL_2WcAUZd1W1sQUnB8y2YnZ2sxmgEToFHf_Mo/edit#gid=1968786413</v>
      </c>
      <c r="H327" s="32" t="s">
        <v>210</v>
      </c>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c r="AG327" s="15"/>
      <c r="AH327" s="15"/>
    </row>
    <row r="328" ht="15.75" customHeight="1">
      <c r="A328" s="15"/>
      <c r="E328" s="32" t="s">
        <v>157</v>
      </c>
      <c r="F328" s="32" t="s">
        <v>161</v>
      </c>
      <c r="G328" s="70" t="str">
        <f>HYPERLINK("https://docs.google.com/spreadsheets/d/1CMklZZL_2WcAUZd1W1sQUnB8y2YnZ2sxmgEToFHf_Mo/edit#gid=249167407", "https://docs.google.com/spreadsheets/d/1CMklZZL_2WcAUZd1W1sQUnB8y2YnZ2sxmgEToFHf_Mo/edit#gid=249167407")</f>
        <v>https://docs.google.com/spreadsheets/d/1CMklZZL_2WcAUZd1W1sQUnB8y2YnZ2sxmgEToFHf_Mo/edit#gid=249167407</v>
      </c>
      <c r="H328" s="32" t="s">
        <v>161</v>
      </c>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c r="AG328" s="15"/>
      <c r="AH328" s="15"/>
    </row>
    <row r="329" ht="15.75" customHeight="1">
      <c r="A329" s="15"/>
      <c r="E329" s="32" t="s">
        <v>157</v>
      </c>
      <c r="F329" s="32" t="s">
        <v>158</v>
      </c>
      <c r="G329" s="70" t="str">
        <f>HYPERLINK("https://docs.google.com/spreadsheets/d/1CMklZZL_2WcAUZd1W1sQUnB8y2YnZ2sxmgEToFHf_Mo/edit#gid=38911657", "https://docs.google.com/spreadsheets/d/1CMklZZL_2WcAUZd1W1sQUnB8y2YnZ2sxmgEToFHf_Mo/edit#gid=38911657")</f>
        <v>https://docs.google.com/spreadsheets/d/1CMklZZL_2WcAUZd1W1sQUnB8y2YnZ2sxmgEToFHf_Mo/edit#gid=38911657</v>
      </c>
      <c r="H329" s="32" t="s">
        <v>158</v>
      </c>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c r="AG329" s="15"/>
      <c r="AH329" s="15"/>
    </row>
    <row r="330" ht="15.75" customHeight="1">
      <c r="A330" s="15"/>
      <c r="E330" s="32" t="s">
        <v>157</v>
      </c>
      <c r="F330" s="32" t="s">
        <v>196</v>
      </c>
      <c r="G330" s="70" t="str">
        <f>HYPERLINK("https://docs.google.com/spreadsheets/d/1CMklZZL_2WcAUZd1W1sQUnB8y2YnZ2sxmgEToFHf_Mo/edit#gid=150884827", "https://docs.google.com/spreadsheets/d/1CMklZZL_2WcAUZd1W1sQUnB8y2YnZ2sxmgEToFHf_Mo/edit#gid=150884827")</f>
        <v>https://docs.google.com/spreadsheets/d/1CMklZZL_2WcAUZd1W1sQUnB8y2YnZ2sxmgEToFHf_Mo/edit#gid=150884827</v>
      </c>
      <c r="H330" s="32" t="s">
        <v>196</v>
      </c>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c r="AG330" s="15"/>
      <c r="AH330" s="15"/>
    </row>
    <row r="331" ht="15.75" customHeight="1">
      <c r="A331" s="15"/>
      <c r="E331" s="32" t="s">
        <v>172</v>
      </c>
      <c r="F331" s="32" t="s">
        <v>203</v>
      </c>
      <c r="G331" s="70" t="str">
        <f>HYPERLINK("https://docs.google.com/spreadsheets/d/1CMklZZL_2WcAUZd1W1sQUnB8y2YnZ2sxmgEToFHf_Mo/edit#gid=1562199654", "https://docs.google.com/spreadsheets/d/1CMklZZL_2WcAUZd1W1sQUnB8y2YnZ2sxmgEToFHf_Mo/edit#gid=1562199654")</f>
        <v>https://docs.google.com/spreadsheets/d/1CMklZZL_2WcAUZd1W1sQUnB8y2YnZ2sxmgEToFHf_Mo/edit#gid=1562199654</v>
      </c>
      <c r="H331" s="32" t="s">
        <v>1999</v>
      </c>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c r="AG331" s="15"/>
      <c r="AH331" s="15"/>
    </row>
    <row r="332" ht="15.75" customHeight="1">
      <c r="A332" s="15"/>
      <c r="E332" s="32" t="s">
        <v>172</v>
      </c>
      <c r="F332" s="32" t="s">
        <v>204</v>
      </c>
      <c r="G332" s="70" t="str">
        <f>HYPERLINK("https://docs.google.com/spreadsheets/d/1CMklZZL_2WcAUZd1W1sQUnB8y2YnZ2sxmgEToFHf_Mo/edit#gid=953928554", "https://docs.google.com/spreadsheets/d/1CMklZZL_2WcAUZd1W1sQUnB8y2YnZ2sxmgEToFHf_Mo/edit#gid=953928554")</f>
        <v>https://docs.google.com/spreadsheets/d/1CMklZZL_2WcAUZd1W1sQUnB8y2YnZ2sxmgEToFHf_Mo/edit#gid=953928554</v>
      </c>
      <c r="H332" s="32" t="s">
        <v>2000</v>
      </c>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c r="AG332" s="15"/>
      <c r="AH332" s="15"/>
    </row>
    <row r="333" ht="15.75" customHeight="1">
      <c r="A333" s="15"/>
      <c r="E333" s="32" t="s">
        <v>178</v>
      </c>
      <c r="F333" s="32" t="s">
        <v>207</v>
      </c>
      <c r="G333" s="70" t="str">
        <f>HYPERLINK("https://docs.google.com/spreadsheets/d/1CMklZZL_2WcAUZd1W1sQUnB8y2YnZ2sxmgEToFHf_Mo/edit#gid=1625789397", "https://docs.google.com/spreadsheets/d/1CMklZZL_2WcAUZd1W1sQUnB8y2YnZ2sxmgEToFHf_Mo/edit#gid=1625789397")</f>
        <v>https://docs.google.com/spreadsheets/d/1CMklZZL_2WcAUZd1W1sQUnB8y2YnZ2sxmgEToFHf_Mo/edit#gid=1625789397</v>
      </c>
      <c r="H333" s="32" t="s">
        <v>2001</v>
      </c>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c r="AG333" s="15"/>
      <c r="AH333" s="15"/>
    </row>
    <row r="334" ht="15.75" customHeight="1">
      <c r="A334" s="15"/>
      <c r="E334" s="32" t="s">
        <v>178</v>
      </c>
      <c r="F334" s="32" t="s">
        <v>208</v>
      </c>
      <c r="G334" s="70" t="str">
        <f>HYPERLINK("https://docs.google.com/spreadsheets/d/1CMklZZL_2WcAUZd1W1sQUnB8y2YnZ2sxmgEToFHf_Mo/edit#gid=1795660027", "https://docs.google.com/spreadsheets/d/1CMklZZL_2WcAUZd1W1sQUnB8y2YnZ2sxmgEToFHf_Mo/edit#gid=1795660027")</f>
        <v>https://docs.google.com/spreadsheets/d/1CMklZZL_2WcAUZd1W1sQUnB8y2YnZ2sxmgEToFHf_Mo/edit#gid=1795660027</v>
      </c>
      <c r="H334" s="32" t="s">
        <v>2021</v>
      </c>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c r="AG334" s="15"/>
      <c r="AH334" s="15"/>
    </row>
    <row r="335" ht="15.75" customHeight="1">
      <c r="A335" s="15"/>
      <c r="E335" s="32" t="s">
        <v>178</v>
      </c>
      <c r="F335" s="32" t="s">
        <v>182</v>
      </c>
      <c r="G335" s="70" t="str">
        <f>HYPERLINK("https://docs.google.com/spreadsheets/d/1CMklZZL_2WcAUZd1W1sQUnB8y2YnZ2sxmgEToFHf_Mo/edit#gid=1783073004", "https://docs.google.com/spreadsheets/d/1CMklZZL_2WcAUZd1W1sQUnB8y2YnZ2sxmgEToFHf_Mo/edit#gid=1783073004")</f>
        <v>https://docs.google.com/spreadsheets/d/1CMklZZL_2WcAUZd1W1sQUnB8y2YnZ2sxmgEToFHf_Mo/edit#gid=1783073004</v>
      </c>
      <c r="H335" s="32" t="s">
        <v>2003</v>
      </c>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c r="AG335" s="15"/>
      <c r="AH335" s="15"/>
    </row>
    <row r="336" ht="15.75" customHeight="1">
      <c r="A336" s="15"/>
      <c r="E336" s="32" t="s">
        <v>178</v>
      </c>
      <c r="F336" s="32" t="s">
        <v>180</v>
      </c>
      <c r="G336" s="70" t="str">
        <f>HYPERLINK("https://docs.google.com/spreadsheets/d/1CMklZZL_2WcAUZd1W1sQUnB8y2YnZ2sxmgEToFHf_Mo/edit#gid=1753528275", "https://docs.google.com/spreadsheets/d/1CMklZZL_2WcAUZd1W1sQUnB8y2YnZ2sxmgEToFHf_Mo/edit#gid=1753528275")</f>
        <v>https://docs.google.com/spreadsheets/d/1CMklZZL_2WcAUZd1W1sQUnB8y2YnZ2sxmgEToFHf_Mo/edit#gid=1753528275</v>
      </c>
      <c r="H336" s="32" t="s">
        <v>2009</v>
      </c>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c r="AG336" s="15"/>
      <c r="AH336" s="15"/>
    </row>
    <row r="337" ht="15.75" customHeight="1">
      <c r="A337" s="15"/>
      <c r="E337" s="32" t="s">
        <v>178</v>
      </c>
      <c r="F337" s="32" t="s">
        <v>209</v>
      </c>
      <c r="G337" s="70" t="str">
        <f>HYPERLINK("https://docs.google.com/spreadsheets/d/1CMklZZL_2WcAUZd1W1sQUnB8y2YnZ2sxmgEToFHf_Mo/edit#gid=1075847588", "https://docs.google.com/spreadsheets/d/1CMklZZL_2WcAUZd1W1sQUnB8y2YnZ2sxmgEToFHf_Mo/edit#gid=1075847588")</f>
        <v>https://docs.google.com/spreadsheets/d/1CMklZZL_2WcAUZd1W1sQUnB8y2YnZ2sxmgEToFHf_Mo/edit#gid=1075847588</v>
      </c>
      <c r="H337" s="32" t="s">
        <v>1986</v>
      </c>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c r="AG337" s="15"/>
      <c r="AH337" s="15"/>
    </row>
    <row r="338" ht="15.75" customHeight="1">
      <c r="A338" s="15"/>
      <c r="E338" s="32" t="s">
        <v>178</v>
      </c>
      <c r="F338" s="32" t="s">
        <v>210</v>
      </c>
      <c r="G338" s="70" t="str">
        <f>HYPERLINK("https://docs.google.com/spreadsheets/d/1CMklZZL_2WcAUZd1W1sQUnB8y2YnZ2sxmgEToFHf_Mo/edit#gid=844026326", "https://docs.google.com/spreadsheets/d/1CMklZZL_2WcAUZd1W1sQUnB8y2YnZ2sxmgEToFHf_Mo/edit#gid=844026326")</f>
        <v>https://docs.google.com/spreadsheets/d/1CMklZZL_2WcAUZd1W1sQUnB8y2YnZ2sxmgEToFHf_Mo/edit#gid=844026326</v>
      </c>
      <c r="H338" s="32" t="s">
        <v>1987</v>
      </c>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c r="AG338" s="15"/>
      <c r="AH338" s="15"/>
    </row>
    <row r="339" ht="15.75" customHeight="1">
      <c r="A339" s="15"/>
      <c r="E339" s="32" t="s">
        <v>86</v>
      </c>
      <c r="F339" s="32" t="s">
        <v>90</v>
      </c>
      <c r="G339" s="70" t="str">
        <f>HYPERLINK("https://docs.google.com/spreadsheets/d/1CMklZZL_2WcAUZd1W1sQUnB8y2YnZ2sxmgEToFHf_Mo/edit#gid=826099014", "https://docs.google.com/spreadsheets/d/1CMklZZL_2WcAUZd1W1sQUnB8y2YnZ2sxmgEToFHf_Mo/edit#gid=826099014")</f>
        <v>https://docs.google.com/spreadsheets/d/1CMklZZL_2WcAUZd1W1sQUnB8y2YnZ2sxmgEToFHf_Mo/edit#gid=826099014</v>
      </c>
      <c r="H339" s="32" t="s">
        <v>2022</v>
      </c>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c r="AG339" s="15"/>
      <c r="AH339" s="15"/>
    </row>
    <row r="340" ht="15.75" customHeight="1">
      <c r="A340" s="15"/>
      <c r="E340" s="32" t="s">
        <v>86</v>
      </c>
      <c r="F340" s="32" t="s">
        <v>338</v>
      </c>
      <c r="G340" s="70" t="str">
        <f>HYPERLINK("https://docs.google.com/spreadsheets/d/1CMklZZL_2WcAUZd1W1sQUnB8y2YnZ2sxmgEToFHf_Mo/edit#gid=466631173", "https://docs.google.com/spreadsheets/d/1CMklZZL_2WcAUZd1W1sQUnB8y2YnZ2sxmgEToFHf_Mo/edit#gid=466631173")</f>
        <v>https://docs.google.com/spreadsheets/d/1CMklZZL_2WcAUZd1W1sQUnB8y2YnZ2sxmgEToFHf_Mo/edit#gid=466631173</v>
      </c>
      <c r="H340" s="32" t="s">
        <v>338</v>
      </c>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c r="AG340" s="15"/>
      <c r="AH340" s="15"/>
    </row>
    <row r="341" ht="15.75" customHeight="1">
      <c r="A341" s="15"/>
      <c r="E341" s="32" t="s">
        <v>88</v>
      </c>
      <c r="F341" s="32" t="s">
        <v>95</v>
      </c>
      <c r="G341" s="70" t="str">
        <f>HYPERLINK("https://docs.google.com/spreadsheets/d/1CMklZZL_2WcAUZd1W1sQUnB8y2YnZ2sxmgEToFHf_Mo/edit#gid=1770681569", "https://docs.google.com/spreadsheets/d/1CMklZZL_2WcAUZd1W1sQUnB8y2YnZ2sxmgEToFHf_Mo/edit#gid=1770681569")</f>
        <v>https://docs.google.com/spreadsheets/d/1CMklZZL_2WcAUZd1W1sQUnB8y2YnZ2sxmgEToFHf_Mo/edit#gid=1770681569</v>
      </c>
      <c r="H341" s="32" t="s">
        <v>95</v>
      </c>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c r="AG341" s="15"/>
      <c r="AH341" s="15"/>
    </row>
    <row r="342" ht="15.75" customHeight="1">
      <c r="A342" s="15"/>
      <c r="E342" s="32" t="s">
        <v>88</v>
      </c>
      <c r="F342" s="32" t="s">
        <v>96</v>
      </c>
      <c r="G342" s="70" t="str">
        <f>HYPERLINK("https://docs.google.com/spreadsheets/d/1CMklZZL_2WcAUZd1W1sQUnB8y2YnZ2sxmgEToFHf_Mo/edit#gid=1229170182", "https://docs.google.com/spreadsheets/d/1CMklZZL_2WcAUZd1W1sQUnB8y2YnZ2sxmgEToFHf_Mo/edit#gid=1229170182")</f>
        <v>https://docs.google.com/spreadsheets/d/1CMklZZL_2WcAUZd1W1sQUnB8y2YnZ2sxmgEToFHf_Mo/edit#gid=1229170182</v>
      </c>
      <c r="H342" s="32" t="s">
        <v>96</v>
      </c>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c r="AG342" s="15"/>
      <c r="AH342" s="15"/>
    </row>
    <row r="343" ht="15.75" customHeight="1">
      <c r="A343" s="15"/>
      <c r="B343" s="15"/>
      <c r="C343" s="21"/>
      <c r="D343" s="15"/>
      <c r="E343" s="15"/>
      <c r="F343" s="15"/>
      <c r="G343" s="15"/>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c r="AG343" s="15"/>
      <c r="AH343" s="15"/>
    </row>
    <row r="344" ht="15.75" customHeight="1">
      <c r="A344" s="9"/>
      <c r="B344" s="8" t="s">
        <v>2034</v>
      </c>
      <c r="C344" s="209" t="s">
        <v>2015</v>
      </c>
      <c r="D344" s="9" t="s">
        <v>20</v>
      </c>
      <c r="E344" s="9" t="s">
        <v>89</v>
      </c>
      <c r="F344" s="9" t="s">
        <v>291</v>
      </c>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15"/>
      <c r="AH344" s="15"/>
    </row>
    <row r="345" ht="15.75" customHeight="1">
      <c r="A345" s="15"/>
      <c r="B345" s="207" t="s">
        <v>2035</v>
      </c>
      <c r="C345" s="210" t="s">
        <v>2036</v>
      </c>
      <c r="D345" s="207" t="s">
        <v>20</v>
      </c>
      <c r="E345" s="32" t="s">
        <v>178</v>
      </c>
      <c r="F345" s="32" t="s">
        <v>201</v>
      </c>
      <c r="G345" s="70" t="str">
        <f>HYPERLINK("https://docs.google.com/spreadsheets/d/14fTN-Y0oPnYmBqiiosgW1jHrxA7kdtTr0ivG0pi5EZc/edit#gid=1746642800", "https://docs.google.com/spreadsheets/d/14fTN-Y0oPnYmBqiiosgW1jHrxA7kdtTr0ivG0pi5EZc/edit#gid=1746642800")</f>
        <v>https://docs.google.com/spreadsheets/d/14fTN-Y0oPnYmBqiiosgW1jHrxA7kdtTr0ivG0pi5EZc/edit#gid=1746642800</v>
      </c>
      <c r="H345" s="32" t="s">
        <v>201</v>
      </c>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c r="AG345" s="15"/>
      <c r="AH345" s="15"/>
    </row>
    <row r="346" ht="15.75" customHeight="1">
      <c r="A346" s="15"/>
      <c r="E346" s="32" t="s">
        <v>178</v>
      </c>
      <c r="F346" s="32" t="s">
        <v>202</v>
      </c>
      <c r="G346" s="70" t="str">
        <f>HYPERLINK("https://docs.google.com/spreadsheets/d/14fTN-Y0oPnYmBqiiosgW1jHrxA7kdtTr0ivG0pi5EZc/edit#gid=2018353350", "https://docs.google.com/spreadsheets/d/14fTN-Y0oPnYmBqiiosgW1jHrxA7kdtTr0ivG0pi5EZc/edit#gid=2018353350")</f>
        <v>https://docs.google.com/spreadsheets/d/14fTN-Y0oPnYmBqiiosgW1jHrxA7kdtTr0ivG0pi5EZc/edit#gid=2018353350</v>
      </c>
      <c r="H346" s="32" t="s">
        <v>202</v>
      </c>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c r="AG346" s="15"/>
      <c r="AH346" s="15"/>
    </row>
    <row r="347" ht="15.75" customHeight="1">
      <c r="A347" s="15"/>
      <c r="E347" s="32" t="s">
        <v>21</v>
      </c>
      <c r="F347" s="32" t="s">
        <v>51</v>
      </c>
      <c r="G347" s="70" t="str">
        <f>HYPERLINK("https://docs.google.com/spreadsheets/d/14fTN-Y0oPnYmBqiiosgW1jHrxA7kdtTr0ivG0pi5EZc/edit#gid=853594015", "https://docs.google.com/spreadsheets/d/14fTN-Y0oPnYmBqiiosgW1jHrxA7kdtTr0ivG0pi5EZc/edit#gid=853594015")</f>
        <v>https://docs.google.com/spreadsheets/d/14fTN-Y0oPnYmBqiiosgW1jHrxA7kdtTr0ivG0pi5EZc/edit#gid=853594015</v>
      </c>
      <c r="H347" s="32" t="s">
        <v>51</v>
      </c>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c r="AG347" s="15"/>
      <c r="AH347" s="15"/>
    </row>
    <row r="348" ht="15.75" customHeight="1">
      <c r="A348" s="15"/>
      <c r="E348" s="32" t="s">
        <v>172</v>
      </c>
      <c r="F348" s="32" t="s">
        <v>203</v>
      </c>
      <c r="G348" s="70" t="str">
        <f>HYPERLINK("https://docs.google.com/spreadsheets/d/14fTN-Y0oPnYmBqiiosgW1jHrxA7kdtTr0ivG0pi5EZc/edit#gid=1583069616", "https://docs.google.com/spreadsheets/d/14fTN-Y0oPnYmBqiiosgW1jHrxA7kdtTr0ivG0pi5EZc/edit#gid=1583069616")</f>
        <v>https://docs.google.com/spreadsheets/d/14fTN-Y0oPnYmBqiiosgW1jHrxA7kdtTr0ivG0pi5EZc/edit#gid=1583069616</v>
      </c>
      <c r="H348" s="32" t="s">
        <v>203</v>
      </c>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c r="AG348" s="15"/>
      <c r="AH348" s="15"/>
    </row>
    <row r="349" ht="15.75" customHeight="1">
      <c r="A349" s="15"/>
      <c r="E349" s="32" t="s">
        <v>172</v>
      </c>
      <c r="F349" s="32" t="s">
        <v>204</v>
      </c>
      <c r="G349" s="70" t="str">
        <f>HYPERLINK("https://docs.google.com/spreadsheets/d/14fTN-Y0oPnYmBqiiosgW1jHrxA7kdtTr0ivG0pi5EZc/edit#gid=1211980719", "https://docs.google.com/spreadsheets/d/14fTN-Y0oPnYmBqiiosgW1jHrxA7kdtTr0ivG0pi5EZc/edit#gid=1211980719")</f>
        <v>https://docs.google.com/spreadsheets/d/14fTN-Y0oPnYmBqiiosgW1jHrxA7kdtTr0ivG0pi5EZc/edit#gid=1211980719</v>
      </c>
      <c r="H349" s="32" t="s">
        <v>204</v>
      </c>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c r="AG349" s="15"/>
      <c r="AH349" s="15"/>
    </row>
    <row r="350" ht="15.75" customHeight="1">
      <c r="A350" s="15"/>
      <c r="E350" s="32" t="s">
        <v>178</v>
      </c>
      <c r="F350" s="32" t="s">
        <v>205</v>
      </c>
      <c r="G350" s="70" t="str">
        <f>HYPERLINK("https://docs.google.com/spreadsheets/d/14fTN-Y0oPnYmBqiiosgW1jHrxA7kdtTr0ivG0pi5EZc/edit#gid=1506419499", "https://docs.google.com/spreadsheets/d/14fTN-Y0oPnYmBqiiosgW1jHrxA7kdtTr0ivG0pi5EZc/edit#gid=1506419499")</f>
        <v>https://docs.google.com/spreadsheets/d/14fTN-Y0oPnYmBqiiosgW1jHrxA7kdtTr0ivG0pi5EZc/edit#gid=1506419499</v>
      </c>
      <c r="H350" s="32" t="s">
        <v>205</v>
      </c>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c r="AG350" s="15"/>
      <c r="AH350" s="15"/>
    </row>
    <row r="351" ht="15.75" customHeight="1">
      <c r="A351" s="15"/>
      <c r="E351" s="32" t="s">
        <v>178</v>
      </c>
      <c r="F351" s="32" t="s">
        <v>206</v>
      </c>
      <c r="G351" s="15"/>
      <c r="H351" s="36"/>
      <c r="L351" s="11"/>
      <c r="M351" s="15"/>
      <c r="N351" s="15"/>
      <c r="O351" s="15"/>
      <c r="P351" s="15"/>
      <c r="Q351" s="15"/>
      <c r="R351" s="15"/>
      <c r="S351" s="15"/>
      <c r="T351" s="15"/>
      <c r="U351" s="15"/>
      <c r="V351" s="15"/>
      <c r="W351" s="15"/>
      <c r="X351" s="15"/>
      <c r="Y351" s="15"/>
      <c r="Z351" s="15"/>
      <c r="AA351" s="15"/>
      <c r="AB351" s="15"/>
      <c r="AC351" s="15"/>
      <c r="AD351" s="15"/>
      <c r="AE351" s="15"/>
      <c r="AF351" s="15"/>
      <c r="AG351" s="15"/>
      <c r="AH351" s="15"/>
    </row>
    <row r="352" ht="15.75" customHeight="1">
      <c r="A352" s="15"/>
      <c r="E352" s="32" t="s">
        <v>178</v>
      </c>
      <c r="F352" s="32" t="s">
        <v>207</v>
      </c>
      <c r="G352" s="70" t="str">
        <f>HYPERLINK("https://docs.google.com/spreadsheets/d/14fTN-Y0oPnYmBqiiosgW1jHrxA7kdtTr0ivG0pi5EZc/edit#gid=168507993", "https://docs.google.com/spreadsheets/d/14fTN-Y0oPnYmBqiiosgW1jHrxA7kdtTr0ivG0pi5EZc/edit#gid=168507993")</f>
        <v>https://docs.google.com/spreadsheets/d/14fTN-Y0oPnYmBqiiosgW1jHrxA7kdtTr0ivG0pi5EZc/edit#gid=168507993</v>
      </c>
      <c r="H352" s="32" t="s">
        <v>207</v>
      </c>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c r="AG352" s="15"/>
      <c r="AH352" s="15"/>
    </row>
    <row r="353" ht="15.75" customHeight="1">
      <c r="A353" s="15"/>
      <c r="E353" s="32" t="s">
        <v>178</v>
      </c>
      <c r="F353" s="32" t="s">
        <v>208</v>
      </c>
      <c r="G353" s="70" t="str">
        <f>HYPERLINK("https://docs.google.com/spreadsheets/d/14fTN-Y0oPnYmBqiiosgW1jHrxA7kdtTr0ivG0pi5EZc/edit#gid=205561808", "https://docs.google.com/spreadsheets/d/14fTN-Y0oPnYmBqiiosgW1jHrxA7kdtTr0ivG0pi5EZc/edit#gid=205561808")</f>
        <v>https://docs.google.com/spreadsheets/d/14fTN-Y0oPnYmBqiiosgW1jHrxA7kdtTr0ivG0pi5EZc/edit#gid=205561808</v>
      </c>
      <c r="H353" s="32" t="s">
        <v>208</v>
      </c>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c r="AG353" s="15"/>
      <c r="AH353" s="15"/>
    </row>
    <row r="354" ht="15.75" customHeight="1">
      <c r="A354" s="15"/>
      <c r="E354" s="32" t="s">
        <v>21</v>
      </c>
      <c r="F354" s="32" t="s">
        <v>51</v>
      </c>
      <c r="G354" s="70" t="str">
        <f>HYPERLINK("https://docs.google.com/spreadsheets/d/14fTN-Y0oPnYmBqiiosgW1jHrxA7kdtTr0ivG0pi5EZc/edit#gid=1295321128", "https://docs.google.com/spreadsheets/d/14fTN-Y0oPnYmBqiiosgW1jHrxA7kdtTr0ivG0pi5EZc/edit#gid=1295321128")</f>
        <v>https://docs.google.com/spreadsheets/d/14fTN-Y0oPnYmBqiiosgW1jHrxA7kdtTr0ivG0pi5EZc/edit#gid=1295321128</v>
      </c>
      <c r="H354" s="32" t="s">
        <v>1383</v>
      </c>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c r="AG354" s="15"/>
      <c r="AH354" s="15"/>
    </row>
    <row r="355" ht="15.75" customHeight="1">
      <c r="A355" s="15"/>
      <c r="E355" s="32" t="s">
        <v>86</v>
      </c>
      <c r="F355" s="32" t="s">
        <v>90</v>
      </c>
      <c r="G355" s="70" t="str">
        <f>HYPERLINK("https://docs.google.com/spreadsheets/d/14fTN-Y0oPnYmBqiiosgW1jHrxA7kdtTr0ivG0pi5EZc/edit#gid=1865213337", "https://docs.google.com/spreadsheets/d/14fTN-Y0oPnYmBqiiosgW1jHrxA7kdtTr0ivG0pi5EZc/edit#gid=1865213337")</f>
        <v>https://docs.google.com/spreadsheets/d/14fTN-Y0oPnYmBqiiosgW1jHrxA7kdtTr0ivG0pi5EZc/edit#gid=1865213337</v>
      </c>
      <c r="H355" s="32" t="s">
        <v>90</v>
      </c>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c r="AG355" s="15"/>
      <c r="AH355" s="15"/>
    </row>
    <row r="356" ht="15.75" customHeight="1">
      <c r="A356" s="15"/>
      <c r="E356" s="32" t="s">
        <v>86</v>
      </c>
      <c r="F356" s="32" t="s">
        <v>339</v>
      </c>
      <c r="G356" s="70" t="str">
        <f>HYPERLINK("https://docs.google.com/spreadsheets/d/14fTN-Y0oPnYmBqiiosgW1jHrxA7kdtTr0ivG0pi5EZc/edit#gid=1715543878", "https://docs.google.com/spreadsheets/d/14fTN-Y0oPnYmBqiiosgW1jHrxA7kdtTr0ivG0pi5EZc/edit#gid=1715543878")</f>
        <v>https://docs.google.com/spreadsheets/d/14fTN-Y0oPnYmBqiiosgW1jHrxA7kdtTr0ivG0pi5EZc/edit#gid=1715543878</v>
      </c>
      <c r="H356" s="32" t="s">
        <v>339</v>
      </c>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c r="AG356" s="15"/>
      <c r="AH356" s="15"/>
    </row>
    <row r="357" ht="15.75" customHeight="1">
      <c r="A357" s="15"/>
      <c r="E357" s="32" t="s">
        <v>172</v>
      </c>
      <c r="F357" s="32" t="s">
        <v>203</v>
      </c>
      <c r="G357" s="70" t="str">
        <f>HYPERLINK("https://docs.google.com/spreadsheets/d/14fTN-Y0oPnYmBqiiosgW1jHrxA7kdtTr0ivG0pi5EZc/edit#gid=1826994073", "https://docs.google.com/spreadsheets/d/14fTN-Y0oPnYmBqiiosgW1jHrxA7kdtTr0ivG0pi5EZc/edit#gid=1826994073")</f>
        <v>https://docs.google.com/spreadsheets/d/14fTN-Y0oPnYmBqiiosgW1jHrxA7kdtTr0ivG0pi5EZc/edit#gid=1826994073</v>
      </c>
      <c r="H357" s="32" t="s">
        <v>1995</v>
      </c>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c r="AG357" s="15"/>
      <c r="AH357" s="15"/>
    </row>
    <row r="358" ht="15.75" customHeight="1">
      <c r="A358" s="15"/>
      <c r="E358" s="32" t="s">
        <v>172</v>
      </c>
      <c r="F358" s="32" t="s">
        <v>204</v>
      </c>
      <c r="G358" s="70" t="str">
        <f>HYPERLINK("https://docs.google.com/spreadsheets/d/14fTN-Y0oPnYmBqiiosgW1jHrxA7kdtTr0ivG0pi5EZc/edit#gid=1440447652", "https://docs.google.com/spreadsheets/d/14fTN-Y0oPnYmBqiiosgW1jHrxA7kdtTr0ivG0pi5EZc/edit#gid=1440447652")</f>
        <v>https://docs.google.com/spreadsheets/d/14fTN-Y0oPnYmBqiiosgW1jHrxA7kdtTr0ivG0pi5EZc/edit#gid=1440447652</v>
      </c>
      <c r="H358" s="32" t="s">
        <v>1996</v>
      </c>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c r="AG358" s="15"/>
      <c r="AH358" s="15"/>
    </row>
    <row r="359" ht="15.75" customHeight="1">
      <c r="A359" s="15"/>
      <c r="E359" s="32" t="s">
        <v>178</v>
      </c>
      <c r="F359" s="32" t="s">
        <v>205</v>
      </c>
      <c r="G359" s="70" t="str">
        <f>HYPERLINK("https://docs.google.com/spreadsheets/d/14fTN-Y0oPnYmBqiiosgW1jHrxA7kdtTr0ivG0pi5EZc/edit#gid=1522587122", "https://docs.google.com/spreadsheets/d/14fTN-Y0oPnYmBqiiosgW1jHrxA7kdtTr0ivG0pi5EZc/edit#gid=1522587122")</f>
        <v>https://docs.google.com/spreadsheets/d/14fTN-Y0oPnYmBqiiosgW1jHrxA7kdtTr0ivG0pi5EZc/edit#gid=1522587122</v>
      </c>
      <c r="H359" s="32" t="s">
        <v>1997</v>
      </c>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c r="AG359" s="15"/>
      <c r="AH359" s="15"/>
    </row>
    <row r="360" ht="15.75" customHeight="1">
      <c r="A360" s="15"/>
      <c r="E360" s="32" t="s">
        <v>178</v>
      </c>
      <c r="F360" s="32" t="s">
        <v>206</v>
      </c>
      <c r="G360" s="15"/>
      <c r="H360" s="36"/>
      <c r="L360" s="11"/>
      <c r="M360" s="15"/>
      <c r="N360" s="15"/>
      <c r="O360" s="15"/>
      <c r="P360" s="15"/>
      <c r="Q360" s="15"/>
      <c r="R360" s="15"/>
      <c r="S360" s="15"/>
      <c r="T360" s="15"/>
      <c r="U360" s="15"/>
      <c r="V360" s="15"/>
      <c r="W360" s="15"/>
      <c r="X360" s="15"/>
      <c r="Y360" s="15"/>
      <c r="Z360" s="15"/>
      <c r="AA360" s="15"/>
      <c r="AB360" s="15"/>
      <c r="AC360" s="15"/>
      <c r="AD360" s="15"/>
      <c r="AE360" s="15"/>
      <c r="AF360" s="15"/>
      <c r="AG360" s="15"/>
      <c r="AH360" s="15"/>
    </row>
    <row r="361" ht="15.75" customHeight="1">
      <c r="A361" s="15"/>
      <c r="E361" s="32" t="s">
        <v>178</v>
      </c>
      <c r="F361" s="32" t="s">
        <v>207</v>
      </c>
      <c r="G361" s="70" t="str">
        <f>HYPERLINK("https://docs.google.com/spreadsheets/d/14fTN-Y0oPnYmBqiiosgW1jHrxA7kdtTr0ivG0pi5EZc/edit#gid=1510168465", "https://docs.google.com/spreadsheets/d/14fTN-Y0oPnYmBqiiosgW1jHrxA7kdtTr0ivG0pi5EZc/edit#gid=1510168465")</f>
        <v>https://docs.google.com/spreadsheets/d/14fTN-Y0oPnYmBqiiosgW1jHrxA7kdtTr0ivG0pi5EZc/edit#gid=1510168465</v>
      </c>
      <c r="H361" s="32" t="s">
        <v>1998</v>
      </c>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c r="AG361" s="15"/>
      <c r="AH361" s="15"/>
    </row>
    <row r="362" ht="15.75" customHeight="1">
      <c r="A362" s="15"/>
      <c r="E362" s="32" t="s">
        <v>178</v>
      </c>
      <c r="F362" s="32" t="s">
        <v>208</v>
      </c>
      <c r="G362" s="70" t="str">
        <f>HYPERLINK("https://docs.google.com/spreadsheets/d/14fTN-Y0oPnYmBqiiosgW1jHrxA7kdtTr0ivG0pi5EZc/edit#gid=844043773", "https://docs.google.com/spreadsheets/d/14fTN-Y0oPnYmBqiiosgW1jHrxA7kdtTr0ivG0pi5EZc/edit#gid=844043773")</f>
        <v>https://docs.google.com/spreadsheets/d/14fTN-Y0oPnYmBqiiosgW1jHrxA7kdtTr0ivG0pi5EZc/edit#gid=844043773</v>
      </c>
      <c r="H362" s="32" t="s">
        <v>2002</v>
      </c>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c r="AG362" s="15"/>
      <c r="AH362" s="15"/>
    </row>
    <row r="363" ht="15.75" customHeight="1">
      <c r="A363" s="15"/>
      <c r="E363" s="32" t="s">
        <v>178</v>
      </c>
      <c r="F363" s="32" t="s">
        <v>182</v>
      </c>
      <c r="G363" s="70" t="str">
        <f>HYPERLINK("https://docs.google.com/spreadsheets/d/14fTN-Y0oPnYmBqiiosgW1jHrxA7kdtTr0ivG0pi5EZc/edit#gid=369743572", "https://docs.google.com/spreadsheets/d/14fTN-Y0oPnYmBqiiosgW1jHrxA7kdtTr0ivG0pi5EZc/edit#gid=369743572")</f>
        <v>https://docs.google.com/spreadsheets/d/14fTN-Y0oPnYmBqiiosgW1jHrxA7kdtTr0ivG0pi5EZc/edit#gid=369743572</v>
      </c>
      <c r="H363" s="32" t="s">
        <v>182</v>
      </c>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c r="AG363" s="15"/>
      <c r="AH363" s="15"/>
    </row>
    <row r="364" ht="15.75" customHeight="1">
      <c r="A364" s="15"/>
      <c r="E364" s="32" t="s">
        <v>178</v>
      </c>
      <c r="F364" s="32" t="s">
        <v>180</v>
      </c>
      <c r="G364" s="70" t="str">
        <f>HYPERLINK("https://docs.google.com/spreadsheets/d/14fTN-Y0oPnYmBqiiosgW1jHrxA7kdtTr0ivG0pi5EZc/edit#gid=1088972985", "https://docs.google.com/spreadsheets/d/14fTN-Y0oPnYmBqiiosgW1jHrxA7kdtTr0ivG0pi5EZc/edit#gid=1088972985")</f>
        <v>https://docs.google.com/spreadsheets/d/14fTN-Y0oPnYmBqiiosgW1jHrxA7kdtTr0ivG0pi5EZc/edit#gid=1088972985</v>
      </c>
      <c r="H364" s="32" t="s">
        <v>180</v>
      </c>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c r="AG364" s="15"/>
      <c r="AH364" s="15"/>
    </row>
    <row r="365" ht="15.75" customHeight="1">
      <c r="A365" s="15"/>
      <c r="E365" s="32" t="s">
        <v>178</v>
      </c>
      <c r="F365" s="32" t="s">
        <v>209</v>
      </c>
      <c r="G365" s="70" t="str">
        <f>HYPERLINK("https://docs.google.com/spreadsheets/d/14fTN-Y0oPnYmBqiiosgW1jHrxA7kdtTr0ivG0pi5EZc/edit#gid=1070784806", "https://docs.google.com/spreadsheets/d/14fTN-Y0oPnYmBqiiosgW1jHrxA7kdtTr0ivG0pi5EZc/edit#gid=1070784806")</f>
        <v>https://docs.google.com/spreadsheets/d/14fTN-Y0oPnYmBqiiosgW1jHrxA7kdtTr0ivG0pi5EZc/edit#gid=1070784806</v>
      </c>
      <c r="H365" s="32" t="s">
        <v>209</v>
      </c>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c r="AG365" s="15"/>
      <c r="AH365" s="15"/>
    </row>
    <row r="366" ht="15.75" customHeight="1">
      <c r="A366" s="15"/>
      <c r="E366" s="32" t="s">
        <v>178</v>
      </c>
      <c r="F366" s="32" t="s">
        <v>210</v>
      </c>
      <c r="G366" s="70" t="str">
        <f>HYPERLINK("https://docs.google.com/spreadsheets/d/14fTN-Y0oPnYmBqiiosgW1jHrxA7kdtTr0ivG0pi5EZc/edit#gid=89008784", "https://docs.google.com/spreadsheets/d/14fTN-Y0oPnYmBqiiosgW1jHrxA7kdtTr0ivG0pi5EZc/edit#gid=89008784")</f>
        <v>https://docs.google.com/spreadsheets/d/14fTN-Y0oPnYmBqiiosgW1jHrxA7kdtTr0ivG0pi5EZc/edit#gid=89008784</v>
      </c>
      <c r="H366" s="32" t="s">
        <v>210</v>
      </c>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c r="AG366" s="15"/>
      <c r="AH366" s="15"/>
    </row>
    <row r="367" ht="15.75" customHeight="1">
      <c r="A367" s="15"/>
      <c r="E367" s="32" t="s">
        <v>157</v>
      </c>
      <c r="F367" s="32" t="s">
        <v>161</v>
      </c>
      <c r="G367" s="70" t="str">
        <f>HYPERLINK("https://docs.google.com/spreadsheets/d/14fTN-Y0oPnYmBqiiosgW1jHrxA7kdtTr0ivG0pi5EZc/edit#gid=1840797433", "https://docs.google.com/spreadsheets/d/14fTN-Y0oPnYmBqiiosgW1jHrxA7kdtTr0ivG0pi5EZc/edit#gid=1840797433")</f>
        <v>https://docs.google.com/spreadsheets/d/14fTN-Y0oPnYmBqiiosgW1jHrxA7kdtTr0ivG0pi5EZc/edit#gid=1840797433</v>
      </c>
      <c r="H367" s="32" t="s">
        <v>161</v>
      </c>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c r="AG367" s="15"/>
      <c r="AH367" s="15"/>
    </row>
    <row r="368" ht="15.75" customHeight="1">
      <c r="A368" s="15"/>
      <c r="E368" s="32" t="s">
        <v>157</v>
      </c>
      <c r="F368" s="32" t="s">
        <v>158</v>
      </c>
      <c r="G368" s="70" t="str">
        <f>HYPERLINK("https://docs.google.com/spreadsheets/d/14fTN-Y0oPnYmBqiiosgW1jHrxA7kdtTr0ivG0pi5EZc/edit#gid=292605046", "https://docs.google.com/spreadsheets/d/14fTN-Y0oPnYmBqiiosgW1jHrxA7kdtTr0ivG0pi5EZc/edit#gid=292605046")</f>
        <v>https://docs.google.com/spreadsheets/d/14fTN-Y0oPnYmBqiiosgW1jHrxA7kdtTr0ivG0pi5EZc/edit#gid=292605046</v>
      </c>
      <c r="H368" s="32" t="s">
        <v>158</v>
      </c>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c r="AG368" s="15"/>
      <c r="AH368" s="15"/>
    </row>
    <row r="369" ht="15.75" customHeight="1">
      <c r="A369" s="15"/>
      <c r="E369" s="32" t="s">
        <v>157</v>
      </c>
      <c r="F369" s="32" t="s">
        <v>196</v>
      </c>
      <c r="G369" s="70" t="str">
        <f>HYPERLINK("https://docs.google.com/spreadsheets/d/14fTN-Y0oPnYmBqiiosgW1jHrxA7kdtTr0ivG0pi5EZc/edit#gid=525613301", "https://docs.google.com/spreadsheets/d/14fTN-Y0oPnYmBqiiosgW1jHrxA7kdtTr0ivG0pi5EZc/edit#gid=525613301")</f>
        <v>https://docs.google.com/spreadsheets/d/14fTN-Y0oPnYmBqiiosgW1jHrxA7kdtTr0ivG0pi5EZc/edit#gid=525613301</v>
      </c>
      <c r="H369" s="32" t="s">
        <v>196</v>
      </c>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c r="AG369" s="15"/>
      <c r="AH369" s="15"/>
    </row>
    <row r="370" ht="15.75" customHeight="1">
      <c r="A370" s="15"/>
      <c r="E370" s="32" t="s">
        <v>172</v>
      </c>
      <c r="F370" s="32" t="s">
        <v>203</v>
      </c>
      <c r="G370" s="70" t="str">
        <f>HYPERLINK("https://docs.google.com/spreadsheets/d/14fTN-Y0oPnYmBqiiosgW1jHrxA7kdtTr0ivG0pi5EZc/edit#gid=1812956793", "https://docs.google.com/spreadsheets/d/14fTN-Y0oPnYmBqiiosgW1jHrxA7kdtTr0ivG0pi5EZc/edit#gid=1812956793")</f>
        <v>https://docs.google.com/spreadsheets/d/14fTN-Y0oPnYmBqiiosgW1jHrxA7kdtTr0ivG0pi5EZc/edit#gid=1812956793</v>
      </c>
      <c r="H370" s="32" t="s">
        <v>1999</v>
      </c>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c r="AG370" s="15"/>
      <c r="AH370" s="15"/>
    </row>
    <row r="371" ht="15.75" customHeight="1">
      <c r="A371" s="15"/>
      <c r="E371" s="32" t="s">
        <v>172</v>
      </c>
      <c r="F371" s="32" t="s">
        <v>204</v>
      </c>
      <c r="G371" s="70" t="str">
        <f>HYPERLINK("https://docs.google.com/spreadsheets/d/14fTN-Y0oPnYmBqiiosgW1jHrxA7kdtTr0ivG0pi5EZc/edit#gid=819503390", "https://docs.google.com/spreadsheets/d/14fTN-Y0oPnYmBqiiosgW1jHrxA7kdtTr0ivG0pi5EZc/edit#gid=819503390")</f>
        <v>https://docs.google.com/spreadsheets/d/14fTN-Y0oPnYmBqiiosgW1jHrxA7kdtTr0ivG0pi5EZc/edit#gid=819503390</v>
      </c>
      <c r="H371" s="32" t="s">
        <v>2000</v>
      </c>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c r="AG371" s="15"/>
      <c r="AH371" s="15"/>
    </row>
    <row r="372" ht="15.75" customHeight="1">
      <c r="A372" s="15"/>
      <c r="E372" s="32" t="s">
        <v>178</v>
      </c>
      <c r="F372" s="32" t="s">
        <v>207</v>
      </c>
      <c r="G372" s="70" t="str">
        <f>HYPERLINK("https://docs.google.com/spreadsheets/d/14fTN-Y0oPnYmBqiiosgW1jHrxA7kdtTr0ivG0pi5EZc/edit#gid=262984566", "https://docs.google.com/spreadsheets/d/14fTN-Y0oPnYmBqiiosgW1jHrxA7kdtTr0ivG0pi5EZc/edit#gid=262984566")</f>
        <v>https://docs.google.com/spreadsheets/d/14fTN-Y0oPnYmBqiiosgW1jHrxA7kdtTr0ivG0pi5EZc/edit#gid=262984566</v>
      </c>
      <c r="H372" s="32" t="s">
        <v>2001</v>
      </c>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c r="AG372" s="15"/>
      <c r="AH372" s="15"/>
    </row>
    <row r="373" ht="15.75" customHeight="1">
      <c r="A373" s="15"/>
      <c r="E373" s="32" t="s">
        <v>178</v>
      </c>
      <c r="F373" s="32" t="s">
        <v>208</v>
      </c>
      <c r="G373" s="70" t="str">
        <f>HYPERLINK("https://docs.google.com/spreadsheets/d/14fTN-Y0oPnYmBqiiosgW1jHrxA7kdtTr0ivG0pi5EZc/edit#gid=1931045067", "https://docs.google.com/spreadsheets/d/14fTN-Y0oPnYmBqiiosgW1jHrxA7kdtTr0ivG0pi5EZc/edit#gid=1931045067")</f>
        <v>https://docs.google.com/spreadsheets/d/14fTN-Y0oPnYmBqiiosgW1jHrxA7kdtTr0ivG0pi5EZc/edit#gid=1931045067</v>
      </c>
      <c r="H373" s="32" t="s">
        <v>2021</v>
      </c>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c r="AG373" s="15"/>
      <c r="AH373" s="15"/>
    </row>
    <row r="374" ht="15.75" customHeight="1">
      <c r="A374" s="15"/>
      <c r="E374" s="32" t="s">
        <v>178</v>
      </c>
      <c r="F374" s="32" t="s">
        <v>182</v>
      </c>
      <c r="G374" s="70" t="str">
        <f>HYPERLINK("https://docs.google.com/spreadsheets/d/14fTN-Y0oPnYmBqiiosgW1jHrxA7kdtTr0ivG0pi5EZc/edit#gid=1032086259", "https://docs.google.com/spreadsheets/d/14fTN-Y0oPnYmBqiiosgW1jHrxA7kdtTr0ivG0pi5EZc/edit#gid=1032086259")</f>
        <v>https://docs.google.com/spreadsheets/d/14fTN-Y0oPnYmBqiiosgW1jHrxA7kdtTr0ivG0pi5EZc/edit#gid=1032086259</v>
      </c>
      <c r="H374" s="32" t="s">
        <v>2003</v>
      </c>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c r="AG374" s="15"/>
      <c r="AH374" s="15"/>
    </row>
    <row r="375" ht="15.75" customHeight="1">
      <c r="A375" s="15"/>
      <c r="E375" s="32" t="s">
        <v>178</v>
      </c>
      <c r="F375" s="32" t="s">
        <v>180</v>
      </c>
      <c r="G375" s="70" t="str">
        <f>HYPERLINK("https://docs.google.com/spreadsheets/d/14fTN-Y0oPnYmBqiiosgW1jHrxA7kdtTr0ivG0pi5EZc/edit#gid=180825284", "https://docs.google.com/spreadsheets/d/14fTN-Y0oPnYmBqiiosgW1jHrxA7kdtTr0ivG0pi5EZc/edit#gid=180825284")</f>
        <v>https://docs.google.com/spreadsheets/d/14fTN-Y0oPnYmBqiiosgW1jHrxA7kdtTr0ivG0pi5EZc/edit#gid=180825284</v>
      </c>
      <c r="H375" s="32" t="s">
        <v>2009</v>
      </c>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c r="AG375" s="15"/>
      <c r="AH375" s="15"/>
    </row>
    <row r="376" ht="15.75" customHeight="1">
      <c r="A376" s="15"/>
      <c r="E376" s="32" t="s">
        <v>178</v>
      </c>
      <c r="F376" s="32" t="s">
        <v>209</v>
      </c>
      <c r="G376" s="70" t="str">
        <f>HYPERLINK("https://docs.google.com/spreadsheets/d/14fTN-Y0oPnYmBqiiosgW1jHrxA7kdtTr0ivG0pi5EZc/edit#gid=1698832709", "https://docs.google.com/spreadsheets/d/14fTN-Y0oPnYmBqiiosgW1jHrxA7kdtTr0ivG0pi5EZc/edit#gid=1698832709")</f>
        <v>https://docs.google.com/spreadsheets/d/14fTN-Y0oPnYmBqiiosgW1jHrxA7kdtTr0ivG0pi5EZc/edit#gid=1698832709</v>
      </c>
      <c r="H376" s="32" t="s">
        <v>1986</v>
      </c>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c r="AG376" s="15"/>
      <c r="AH376" s="15"/>
    </row>
    <row r="377" ht="15.75" customHeight="1">
      <c r="A377" s="15"/>
      <c r="E377" s="32" t="s">
        <v>178</v>
      </c>
      <c r="F377" s="32" t="s">
        <v>210</v>
      </c>
      <c r="G377" s="70" t="str">
        <f>HYPERLINK("https://docs.google.com/spreadsheets/d/14fTN-Y0oPnYmBqiiosgW1jHrxA7kdtTr0ivG0pi5EZc/edit#gid=1397515212", "https://docs.google.com/spreadsheets/d/14fTN-Y0oPnYmBqiiosgW1jHrxA7kdtTr0ivG0pi5EZc/edit#gid=1397515212")</f>
        <v>https://docs.google.com/spreadsheets/d/14fTN-Y0oPnYmBqiiosgW1jHrxA7kdtTr0ivG0pi5EZc/edit#gid=1397515212</v>
      </c>
      <c r="H377" s="32" t="s">
        <v>2037</v>
      </c>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c r="AG377" s="15"/>
      <c r="AH377" s="15"/>
    </row>
    <row r="378" ht="15.75" customHeight="1">
      <c r="A378" s="15"/>
      <c r="E378" s="32" t="s">
        <v>86</v>
      </c>
      <c r="F378" s="32" t="s">
        <v>90</v>
      </c>
      <c r="G378" s="70" t="str">
        <f>HYPERLINK("https://docs.google.com/spreadsheets/d/14fTN-Y0oPnYmBqiiosgW1jHrxA7kdtTr0ivG0pi5EZc/edit#gid=875314932", "https://docs.google.com/spreadsheets/d/14fTN-Y0oPnYmBqiiosgW1jHrxA7kdtTr0ivG0pi5EZc/edit#gid=875314932")</f>
        <v>https://docs.google.com/spreadsheets/d/14fTN-Y0oPnYmBqiiosgW1jHrxA7kdtTr0ivG0pi5EZc/edit#gid=875314932</v>
      </c>
      <c r="H378" s="32" t="s">
        <v>2022</v>
      </c>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c r="AG378" s="15"/>
      <c r="AH378" s="15"/>
    </row>
    <row r="379" ht="15.75" customHeight="1">
      <c r="A379" s="15"/>
      <c r="E379" s="32" t="s">
        <v>86</v>
      </c>
      <c r="F379" s="32" t="s">
        <v>338</v>
      </c>
      <c r="G379" s="70" t="str">
        <f>HYPERLINK("https://docs.google.com/spreadsheets/d/14fTN-Y0oPnYmBqiiosgW1jHrxA7kdtTr0ivG0pi5EZc/edit#gid=786547171", "https://docs.google.com/spreadsheets/d/14fTN-Y0oPnYmBqiiosgW1jHrxA7kdtTr0ivG0pi5EZc/edit#gid=786547171")</f>
        <v>https://docs.google.com/spreadsheets/d/14fTN-Y0oPnYmBqiiosgW1jHrxA7kdtTr0ivG0pi5EZc/edit#gid=786547171</v>
      </c>
      <c r="H379" s="32" t="s">
        <v>338</v>
      </c>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c r="AG379" s="15"/>
      <c r="AH379" s="15"/>
    </row>
    <row r="380" ht="15.75" customHeight="1">
      <c r="A380" s="15"/>
      <c r="E380" s="32" t="s">
        <v>88</v>
      </c>
      <c r="F380" s="32" t="s">
        <v>95</v>
      </c>
      <c r="G380" s="70" t="str">
        <f>HYPERLINK("https://docs.google.com/spreadsheets/d/14fTN-Y0oPnYmBqiiosgW1jHrxA7kdtTr0ivG0pi5EZc/edit#gid=454455797", "https://docs.google.com/spreadsheets/d/14fTN-Y0oPnYmBqiiosgW1jHrxA7kdtTr0ivG0pi5EZc/edit#gid=454455797")</f>
        <v>https://docs.google.com/spreadsheets/d/14fTN-Y0oPnYmBqiiosgW1jHrxA7kdtTr0ivG0pi5EZc/edit#gid=454455797</v>
      </c>
      <c r="H380" s="32" t="s">
        <v>95</v>
      </c>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c r="AG380" s="15"/>
      <c r="AH380" s="15"/>
    </row>
    <row r="381" ht="15.75" customHeight="1">
      <c r="A381" s="15"/>
      <c r="E381" s="32" t="s">
        <v>88</v>
      </c>
      <c r="F381" s="32" t="s">
        <v>96</v>
      </c>
      <c r="G381" s="70" t="str">
        <f>HYPERLINK("https://docs.google.com/spreadsheets/d/14fTN-Y0oPnYmBqiiosgW1jHrxA7kdtTr0ivG0pi5EZc/edit#gid=1614492793", "https://docs.google.com/spreadsheets/d/14fTN-Y0oPnYmBqiiosgW1jHrxA7kdtTr0ivG0pi5EZc/edit#gid=1614492793")</f>
        <v>https://docs.google.com/spreadsheets/d/14fTN-Y0oPnYmBqiiosgW1jHrxA7kdtTr0ivG0pi5EZc/edit#gid=1614492793</v>
      </c>
      <c r="H381" s="32" t="s">
        <v>96</v>
      </c>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c r="AG381" s="15"/>
      <c r="AH381" s="15"/>
    </row>
    <row r="382" ht="15.75" customHeight="1">
      <c r="A382" s="15"/>
      <c r="B382" s="15"/>
      <c r="C382" s="21"/>
      <c r="D382" s="15"/>
      <c r="E382" s="15"/>
      <c r="F382" s="15"/>
      <c r="G382" s="15"/>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c r="AG382" s="15"/>
      <c r="AH382" s="15"/>
    </row>
    <row r="383" ht="15.75" customHeight="1">
      <c r="A383" s="9"/>
      <c r="B383" s="8" t="s">
        <v>2038</v>
      </c>
      <c r="C383" s="209" t="s">
        <v>2015</v>
      </c>
      <c r="D383" s="9" t="s">
        <v>20</v>
      </c>
      <c r="E383" s="9" t="s">
        <v>89</v>
      </c>
      <c r="F383" s="9" t="s">
        <v>291</v>
      </c>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15"/>
      <c r="AH383" s="15"/>
    </row>
    <row r="384" ht="15.75" customHeight="1">
      <c r="A384" s="15"/>
      <c r="B384" s="32" t="s">
        <v>2039</v>
      </c>
      <c r="C384" s="66" t="s">
        <v>2040</v>
      </c>
      <c r="D384" s="32" t="s">
        <v>20</v>
      </c>
      <c r="E384" s="32" t="s">
        <v>178</v>
      </c>
      <c r="F384" s="32" t="s">
        <v>201</v>
      </c>
      <c r="G384" s="70" t="str">
        <f>HYPERLINK("https://docs.google.com/spreadsheets/d/13vHZfN8_20Ku8irOkj49g5rfolxe84QJlSgp0EHwRHA/edit#gid=518738174", "https://docs.google.com/spreadsheets/d/13vHZfN8_20Ku8irOkj49g5rfolxe84QJlSgp0EHwRHA/edit#gid=518738174")</f>
        <v>https://docs.google.com/spreadsheets/d/13vHZfN8_20Ku8irOkj49g5rfolxe84QJlSgp0EHwRHA/edit#gid=518738174</v>
      </c>
      <c r="H384" s="32" t="s">
        <v>201</v>
      </c>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c r="AG384" s="15"/>
      <c r="AH384" s="15"/>
    </row>
    <row r="385" ht="15.75" customHeight="1">
      <c r="A385" s="15"/>
      <c r="B385" s="15"/>
      <c r="C385" s="21"/>
      <c r="D385" s="15"/>
      <c r="E385" s="32" t="s">
        <v>178</v>
      </c>
      <c r="F385" s="32" t="s">
        <v>202</v>
      </c>
      <c r="G385" s="70" t="str">
        <f>HYPERLINK("https://docs.google.com/spreadsheets/d/13vHZfN8_20Ku8irOkj49g5rfolxe84QJlSgp0EHwRHA/edit#gid=1211992023", "https://docs.google.com/spreadsheets/d/13vHZfN8_20Ku8irOkj49g5rfolxe84QJlSgp0EHwRHA/edit#gid=1211992023")</f>
        <v>https://docs.google.com/spreadsheets/d/13vHZfN8_20Ku8irOkj49g5rfolxe84QJlSgp0EHwRHA/edit#gid=1211992023</v>
      </c>
      <c r="H385" s="32" t="s">
        <v>202</v>
      </c>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c r="AG385" s="15"/>
      <c r="AH385" s="15"/>
    </row>
    <row r="386" ht="15.75" customHeight="1">
      <c r="A386" s="15"/>
      <c r="B386" s="15"/>
      <c r="C386" s="21"/>
      <c r="D386" s="15"/>
      <c r="E386" s="32" t="s">
        <v>21</v>
      </c>
      <c r="F386" s="32" t="s">
        <v>51</v>
      </c>
      <c r="G386" s="70" t="str">
        <f>HYPERLINK("https://docs.google.com/spreadsheets/d/13vHZfN8_20Ku8irOkj49g5rfolxe84QJlSgp0EHwRHA/edit#gid=2024016508", "https://docs.google.com/spreadsheets/d/13vHZfN8_20Ku8irOkj49g5rfolxe84QJlSgp0EHwRHA/edit#gid=2024016508")</f>
        <v>https://docs.google.com/spreadsheets/d/13vHZfN8_20Ku8irOkj49g5rfolxe84QJlSgp0EHwRHA/edit#gid=2024016508</v>
      </c>
      <c r="H386" s="32" t="s">
        <v>51</v>
      </c>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c r="AG386" s="15"/>
      <c r="AH386" s="15"/>
    </row>
    <row r="387" ht="15.75" customHeight="1">
      <c r="A387" s="15"/>
      <c r="B387" s="15"/>
      <c r="C387" s="21"/>
      <c r="D387" s="15"/>
      <c r="E387" s="32" t="s">
        <v>172</v>
      </c>
      <c r="F387" s="32" t="s">
        <v>203</v>
      </c>
      <c r="G387" s="70" t="str">
        <f>HYPERLINK("https://docs.google.com/spreadsheets/d/13vHZfN8_20Ku8irOkj49g5rfolxe84QJlSgp0EHwRHA/edit#gid=2132918507", "https://docs.google.com/spreadsheets/d/13vHZfN8_20Ku8irOkj49g5rfolxe84QJlSgp0EHwRHA/edit#gid=2132918507")</f>
        <v>https://docs.google.com/spreadsheets/d/13vHZfN8_20Ku8irOkj49g5rfolxe84QJlSgp0EHwRHA/edit#gid=2132918507</v>
      </c>
      <c r="H387" s="32" t="s">
        <v>203</v>
      </c>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c r="AG387" s="15"/>
      <c r="AH387" s="15"/>
    </row>
    <row r="388" ht="15.75" customHeight="1">
      <c r="A388" s="15"/>
      <c r="B388" s="15"/>
      <c r="C388" s="21"/>
      <c r="D388" s="15"/>
      <c r="E388" s="32" t="s">
        <v>172</v>
      </c>
      <c r="F388" s="32" t="s">
        <v>204</v>
      </c>
      <c r="G388" s="70" t="str">
        <f>HYPERLINK("https://docs.google.com/spreadsheets/d/13vHZfN8_20Ku8irOkj49g5rfolxe84QJlSgp0EHwRHA/edit#gid=1908905784", "https://docs.google.com/spreadsheets/d/13vHZfN8_20Ku8irOkj49g5rfolxe84QJlSgp0EHwRHA/edit#gid=1908905784")</f>
        <v>https://docs.google.com/spreadsheets/d/13vHZfN8_20Ku8irOkj49g5rfolxe84QJlSgp0EHwRHA/edit#gid=1908905784</v>
      </c>
      <c r="H388" s="32" t="s">
        <v>204</v>
      </c>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c r="AG388" s="15"/>
      <c r="AH388" s="15"/>
    </row>
    <row r="389" ht="15.75" customHeight="1">
      <c r="A389" s="15"/>
      <c r="B389" s="15"/>
      <c r="C389" s="21"/>
      <c r="D389" s="15"/>
      <c r="E389" s="32" t="s">
        <v>178</v>
      </c>
      <c r="F389" s="32" t="s">
        <v>205</v>
      </c>
      <c r="G389" s="70" t="str">
        <f>HYPERLINK("https://docs.google.com/spreadsheets/d/13vHZfN8_20Ku8irOkj49g5rfolxe84QJlSgp0EHwRHA/edit#gid=1167151407", "https://docs.google.com/spreadsheets/d/13vHZfN8_20Ku8irOkj49g5rfolxe84QJlSgp0EHwRHA/edit#gid=1167151407")</f>
        <v>https://docs.google.com/spreadsheets/d/13vHZfN8_20Ku8irOkj49g5rfolxe84QJlSgp0EHwRHA/edit#gid=1167151407</v>
      </c>
      <c r="H389" s="32" t="s">
        <v>205</v>
      </c>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c r="AG389" s="15"/>
      <c r="AH389" s="15"/>
    </row>
    <row r="390" ht="15.75" customHeight="1">
      <c r="A390" s="15"/>
      <c r="B390" s="15"/>
      <c r="C390" s="21"/>
      <c r="D390" s="15"/>
      <c r="E390" s="32" t="s">
        <v>178</v>
      </c>
      <c r="F390" s="32" t="s">
        <v>206</v>
      </c>
      <c r="G390" s="15"/>
      <c r="H390" s="36"/>
      <c r="L390" s="11"/>
      <c r="M390" s="15"/>
      <c r="N390" s="15"/>
      <c r="O390" s="15"/>
      <c r="P390" s="15"/>
      <c r="Q390" s="15"/>
      <c r="R390" s="15"/>
      <c r="S390" s="15"/>
      <c r="T390" s="15"/>
      <c r="U390" s="15"/>
      <c r="V390" s="15"/>
      <c r="W390" s="15"/>
      <c r="X390" s="15"/>
      <c r="Y390" s="15"/>
      <c r="Z390" s="15"/>
      <c r="AA390" s="15"/>
      <c r="AB390" s="15"/>
      <c r="AC390" s="15"/>
      <c r="AD390" s="15"/>
      <c r="AE390" s="15"/>
      <c r="AF390" s="15"/>
      <c r="AG390" s="15"/>
      <c r="AH390" s="15"/>
    </row>
    <row r="391" ht="15.75" customHeight="1">
      <c r="A391" s="15"/>
      <c r="B391" s="15"/>
      <c r="C391" s="21"/>
      <c r="D391" s="15"/>
      <c r="E391" s="32" t="s">
        <v>178</v>
      </c>
      <c r="F391" s="32" t="s">
        <v>207</v>
      </c>
      <c r="G391" s="70" t="str">
        <f>HYPERLINK("https://docs.google.com/spreadsheets/d/13vHZfN8_20Ku8irOkj49g5rfolxe84QJlSgp0EHwRHA/edit#gid=563110438", "https://docs.google.com/spreadsheets/d/13vHZfN8_20Ku8irOkj49g5rfolxe84QJlSgp0EHwRHA/edit#gid=563110438")</f>
        <v>https://docs.google.com/spreadsheets/d/13vHZfN8_20Ku8irOkj49g5rfolxe84QJlSgp0EHwRHA/edit#gid=563110438</v>
      </c>
      <c r="H391" s="32" t="s">
        <v>207</v>
      </c>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c r="AG391" s="15"/>
      <c r="AH391" s="15"/>
    </row>
    <row r="392" ht="15.75" customHeight="1">
      <c r="A392" s="15"/>
      <c r="B392" s="15"/>
      <c r="C392" s="21"/>
      <c r="D392" s="15"/>
      <c r="E392" s="32" t="s">
        <v>178</v>
      </c>
      <c r="F392" s="32" t="s">
        <v>208</v>
      </c>
      <c r="G392" s="70" t="str">
        <f>HYPERLINK("https://docs.google.com/spreadsheets/d/13vHZfN8_20Ku8irOkj49g5rfolxe84QJlSgp0EHwRHA/edit#gid=1666957326", "https://docs.google.com/spreadsheets/d/13vHZfN8_20Ku8irOkj49g5rfolxe84QJlSgp0EHwRHA/edit#gid=1666957326")</f>
        <v>https://docs.google.com/spreadsheets/d/13vHZfN8_20Ku8irOkj49g5rfolxe84QJlSgp0EHwRHA/edit#gid=1666957326</v>
      </c>
      <c r="H392" s="32" t="s">
        <v>208</v>
      </c>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c r="AG392" s="15"/>
      <c r="AH392" s="15"/>
    </row>
    <row r="393" ht="15.75" customHeight="1">
      <c r="A393" s="15"/>
      <c r="B393" s="15"/>
      <c r="C393" s="21"/>
      <c r="D393" s="15"/>
      <c r="E393" s="32" t="s">
        <v>21</v>
      </c>
      <c r="F393" s="32" t="s">
        <v>51</v>
      </c>
      <c r="G393" s="70" t="str">
        <f>HYPERLINK("https://docs.google.com/spreadsheets/d/13vHZfN8_20Ku8irOkj49g5rfolxe84QJlSgp0EHwRHA/edit#gid=207987127", "https://docs.google.com/spreadsheets/d/13vHZfN8_20Ku8irOkj49g5rfolxe84QJlSgp0EHwRHA/edit#gid=207987127")</f>
        <v>https://docs.google.com/spreadsheets/d/13vHZfN8_20Ku8irOkj49g5rfolxe84QJlSgp0EHwRHA/edit#gid=207987127</v>
      </c>
      <c r="H393" s="32" t="s">
        <v>1383</v>
      </c>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c r="AG393" s="15"/>
      <c r="AH393" s="15"/>
    </row>
    <row r="394" ht="15.75" customHeight="1">
      <c r="A394" s="15"/>
      <c r="B394" s="15"/>
      <c r="C394" s="21"/>
      <c r="D394" s="15"/>
      <c r="E394" s="32" t="s">
        <v>86</v>
      </c>
      <c r="F394" s="32" t="s">
        <v>90</v>
      </c>
      <c r="G394" s="70" t="str">
        <f>HYPERLINK("https://docs.google.com/spreadsheets/d/13vHZfN8_20Ku8irOkj49g5rfolxe84QJlSgp0EHwRHA/edit#gid=1081730521", "https://docs.google.com/spreadsheets/d/13vHZfN8_20Ku8irOkj49g5rfolxe84QJlSgp0EHwRHA/edit#gid=1081730521")</f>
        <v>https://docs.google.com/spreadsheets/d/13vHZfN8_20Ku8irOkj49g5rfolxe84QJlSgp0EHwRHA/edit#gid=1081730521</v>
      </c>
      <c r="H394" s="32" t="s">
        <v>90</v>
      </c>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c r="AG394" s="15"/>
      <c r="AH394" s="15"/>
    </row>
    <row r="395" ht="15.75" customHeight="1">
      <c r="A395" s="15"/>
      <c r="B395" s="15"/>
      <c r="C395" s="21"/>
      <c r="D395" s="15"/>
      <c r="E395" s="32" t="s">
        <v>86</v>
      </c>
      <c r="F395" s="32" t="s">
        <v>339</v>
      </c>
      <c r="G395" s="70" t="str">
        <f>HYPERLINK("https://docs.google.com/spreadsheets/d/13vHZfN8_20Ku8irOkj49g5rfolxe84QJlSgp0EHwRHA/edit#gid=1376313078", "https://docs.google.com/spreadsheets/d/13vHZfN8_20Ku8irOkj49g5rfolxe84QJlSgp0EHwRHA/edit#gid=1376313078")</f>
        <v>https://docs.google.com/spreadsheets/d/13vHZfN8_20Ku8irOkj49g5rfolxe84QJlSgp0EHwRHA/edit#gid=1376313078</v>
      </c>
      <c r="H395" s="32" t="s">
        <v>339</v>
      </c>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c r="AG395" s="15"/>
      <c r="AH395" s="15"/>
    </row>
    <row r="396" ht="15.75" customHeight="1">
      <c r="A396" s="15"/>
      <c r="B396" s="15"/>
      <c r="C396" s="21"/>
      <c r="D396" s="15"/>
      <c r="E396" s="32" t="s">
        <v>172</v>
      </c>
      <c r="F396" s="32" t="s">
        <v>203</v>
      </c>
      <c r="G396" s="70" t="str">
        <f>HYPERLINK("https://docs.google.com/spreadsheets/d/13vHZfN8_20Ku8irOkj49g5rfolxe84QJlSgp0EHwRHA/edit#gid=692114141", "https://docs.google.com/spreadsheets/d/13vHZfN8_20Ku8irOkj49g5rfolxe84QJlSgp0EHwRHA/edit#gid=692114141")</f>
        <v>https://docs.google.com/spreadsheets/d/13vHZfN8_20Ku8irOkj49g5rfolxe84QJlSgp0EHwRHA/edit#gid=692114141</v>
      </c>
      <c r="H396" s="32" t="s">
        <v>1995</v>
      </c>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c r="AG396" s="15"/>
      <c r="AH396" s="15"/>
    </row>
    <row r="397" ht="15.75" customHeight="1">
      <c r="A397" s="15"/>
      <c r="B397" s="15"/>
      <c r="C397" s="21"/>
      <c r="D397" s="15"/>
      <c r="E397" s="32" t="s">
        <v>172</v>
      </c>
      <c r="F397" s="32" t="s">
        <v>204</v>
      </c>
      <c r="G397" s="70" t="str">
        <f>HYPERLINK("https://docs.google.com/spreadsheets/d/13vHZfN8_20Ku8irOkj49g5rfolxe84QJlSgp0EHwRHA/edit#gid=2003589722", "https://docs.google.com/spreadsheets/d/13vHZfN8_20Ku8irOkj49g5rfolxe84QJlSgp0EHwRHA/edit#gid=2003589722")</f>
        <v>https://docs.google.com/spreadsheets/d/13vHZfN8_20Ku8irOkj49g5rfolxe84QJlSgp0EHwRHA/edit#gid=2003589722</v>
      </c>
      <c r="H397" s="32" t="s">
        <v>1996</v>
      </c>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c r="AG397" s="15"/>
      <c r="AH397" s="15"/>
    </row>
    <row r="398" ht="15.75" customHeight="1">
      <c r="A398" s="15"/>
      <c r="B398" s="15"/>
      <c r="C398" s="21"/>
      <c r="D398" s="15"/>
      <c r="E398" s="32" t="s">
        <v>178</v>
      </c>
      <c r="F398" s="32" t="s">
        <v>205</v>
      </c>
      <c r="G398" s="70" t="str">
        <f>HYPERLINK("https://docs.google.com/spreadsheets/d/13vHZfN8_20Ku8irOkj49g5rfolxe84QJlSgp0EHwRHA/edit#gid=1440025843", "https://docs.google.com/spreadsheets/d/13vHZfN8_20Ku8irOkj49g5rfolxe84QJlSgp0EHwRHA/edit#gid=1440025843")</f>
        <v>https://docs.google.com/spreadsheets/d/13vHZfN8_20Ku8irOkj49g5rfolxe84QJlSgp0EHwRHA/edit#gid=1440025843</v>
      </c>
      <c r="H398" s="32" t="s">
        <v>1997</v>
      </c>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c r="AG398" s="15"/>
      <c r="AH398" s="15"/>
    </row>
    <row r="399" ht="15.75" customHeight="1">
      <c r="A399" s="15"/>
      <c r="B399" s="15"/>
      <c r="C399" s="21"/>
      <c r="D399" s="15"/>
      <c r="E399" s="32" t="s">
        <v>178</v>
      </c>
      <c r="F399" s="32" t="s">
        <v>206</v>
      </c>
      <c r="G399" s="15"/>
      <c r="H399" s="36"/>
      <c r="L399" s="11"/>
      <c r="M399" s="15"/>
      <c r="N399" s="15"/>
      <c r="O399" s="15"/>
      <c r="P399" s="15"/>
      <c r="Q399" s="15"/>
      <c r="R399" s="15"/>
      <c r="S399" s="15"/>
      <c r="T399" s="15"/>
      <c r="U399" s="15"/>
      <c r="V399" s="15"/>
      <c r="W399" s="15"/>
      <c r="X399" s="15"/>
      <c r="Y399" s="15"/>
      <c r="Z399" s="15"/>
      <c r="AA399" s="15"/>
      <c r="AB399" s="15"/>
      <c r="AC399" s="15"/>
      <c r="AD399" s="15"/>
      <c r="AE399" s="15"/>
      <c r="AF399" s="15"/>
      <c r="AG399" s="15"/>
      <c r="AH399" s="15"/>
    </row>
    <row r="400" ht="15.75" customHeight="1">
      <c r="A400" s="15"/>
      <c r="B400" s="15"/>
      <c r="C400" s="21"/>
      <c r="D400" s="15"/>
      <c r="E400" s="32" t="s">
        <v>178</v>
      </c>
      <c r="F400" s="32" t="s">
        <v>207</v>
      </c>
      <c r="G400" s="70" t="str">
        <f>HYPERLINK("https://docs.google.com/spreadsheets/d/13vHZfN8_20Ku8irOkj49g5rfolxe84QJlSgp0EHwRHA/edit#gid=1191437065", "https://docs.google.com/spreadsheets/d/13vHZfN8_20Ku8irOkj49g5rfolxe84QJlSgp0EHwRHA/edit#gid=1191437065")</f>
        <v>https://docs.google.com/spreadsheets/d/13vHZfN8_20Ku8irOkj49g5rfolxe84QJlSgp0EHwRHA/edit#gid=1191437065</v>
      </c>
      <c r="H400" s="32" t="s">
        <v>1998</v>
      </c>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c r="AG400" s="15"/>
      <c r="AH400" s="15"/>
    </row>
    <row r="401" ht="15.75" customHeight="1">
      <c r="A401" s="15"/>
      <c r="B401" s="15"/>
      <c r="C401" s="21"/>
      <c r="D401" s="15"/>
      <c r="E401" s="32" t="s">
        <v>178</v>
      </c>
      <c r="F401" s="32" t="s">
        <v>208</v>
      </c>
      <c r="G401" s="70" t="str">
        <f>HYPERLINK("https://docs.google.com/spreadsheets/d/13vHZfN8_20Ku8irOkj49g5rfolxe84QJlSgp0EHwRHA/edit#gid=1860536529", "https://docs.google.com/spreadsheets/d/13vHZfN8_20Ku8irOkj49g5rfolxe84QJlSgp0EHwRHA/edit#gid=1860536529")</f>
        <v>https://docs.google.com/spreadsheets/d/13vHZfN8_20Ku8irOkj49g5rfolxe84QJlSgp0EHwRHA/edit#gid=1860536529</v>
      </c>
      <c r="H401" s="32" t="s">
        <v>2002</v>
      </c>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c r="AG401" s="15"/>
      <c r="AH401" s="15"/>
    </row>
    <row r="402" ht="15.75" customHeight="1">
      <c r="A402" s="15"/>
      <c r="B402" s="15"/>
      <c r="C402" s="21"/>
      <c r="D402" s="15"/>
      <c r="E402" s="32" t="s">
        <v>178</v>
      </c>
      <c r="F402" s="32" t="s">
        <v>182</v>
      </c>
      <c r="G402" s="70" t="str">
        <f>HYPERLINK("https://docs.google.com/spreadsheets/d/13vHZfN8_20Ku8irOkj49g5rfolxe84QJlSgp0EHwRHA/edit#gid=804520064", "https://docs.google.com/spreadsheets/d/13vHZfN8_20Ku8irOkj49g5rfolxe84QJlSgp0EHwRHA/edit#gid=804520064")</f>
        <v>https://docs.google.com/spreadsheets/d/13vHZfN8_20Ku8irOkj49g5rfolxe84QJlSgp0EHwRHA/edit#gid=804520064</v>
      </c>
      <c r="H402" s="32" t="s">
        <v>182</v>
      </c>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c r="AG402" s="15"/>
      <c r="AH402" s="15"/>
    </row>
    <row r="403" ht="15.75" customHeight="1">
      <c r="A403" s="15"/>
      <c r="B403" s="15"/>
      <c r="C403" s="21"/>
      <c r="D403" s="15"/>
      <c r="E403" s="32" t="s">
        <v>178</v>
      </c>
      <c r="F403" s="32" t="s">
        <v>180</v>
      </c>
      <c r="G403" s="70" t="str">
        <f>HYPERLINK("https://docs.google.com/spreadsheets/d/13vHZfN8_20Ku8irOkj49g5rfolxe84QJlSgp0EHwRHA/edit#gid=2006949965", "https://docs.google.com/spreadsheets/d/13vHZfN8_20Ku8irOkj49g5rfolxe84QJlSgp0EHwRHA/edit#gid=2006949965")</f>
        <v>https://docs.google.com/spreadsheets/d/13vHZfN8_20Ku8irOkj49g5rfolxe84QJlSgp0EHwRHA/edit#gid=2006949965</v>
      </c>
      <c r="H403" s="32" t="s">
        <v>180</v>
      </c>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c r="AG403" s="15"/>
      <c r="AH403" s="15"/>
    </row>
    <row r="404" ht="15.75" customHeight="1">
      <c r="A404" s="15"/>
      <c r="B404" s="15"/>
      <c r="C404" s="21"/>
      <c r="D404" s="15"/>
      <c r="E404" s="32" t="s">
        <v>178</v>
      </c>
      <c r="F404" s="32" t="s">
        <v>209</v>
      </c>
      <c r="G404" s="70" t="str">
        <f>HYPERLINK("https://docs.google.com/spreadsheets/d/13vHZfN8_20Ku8irOkj49g5rfolxe84QJlSgp0EHwRHA/edit#gid=1252223993", "https://docs.google.com/spreadsheets/d/13vHZfN8_20Ku8irOkj49g5rfolxe84QJlSgp0EHwRHA/edit#gid=1252223993")</f>
        <v>https://docs.google.com/spreadsheets/d/13vHZfN8_20Ku8irOkj49g5rfolxe84QJlSgp0EHwRHA/edit#gid=1252223993</v>
      </c>
      <c r="H404" s="32" t="s">
        <v>209</v>
      </c>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c r="AG404" s="15"/>
      <c r="AH404" s="15"/>
    </row>
    <row r="405" ht="15.75" customHeight="1">
      <c r="A405" s="15"/>
      <c r="B405" s="15"/>
      <c r="C405" s="21"/>
      <c r="D405" s="15"/>
      <c r="E405" s="32" t="s">
        <v>178</v>
      </c>
      <c r="F405" s="32" t="s">
        <v>210</v>
      </c>
      <c r="G405" s="70" t="str">
        <f>HYPERLINK("https://docs.google.com/spreadsheets/d/13vHZfN8_20Ku8irOkj49g5rfolxe84QJlSgp0EHwRHA/edit#gid=314231312", "https://docs.google.com/spreadsheets/d/13vHZfN8_20Ku8irOkj49g5rfolxe84QJlSgp0EHwRHA/edit#gid=314231312")</f>
        <v>https://docs.google.com/spreadsheets/d/13vHZfN8_20Ku8irOkj49g5rfolxe84QJlSgp0EHwRHA/edit#gid=314231312</v>
      </c>
      <c r="H405" s="32" t="s">
        <v>210</v>
      </c>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c r="AG405" s="15"/>
      <c r="AH405" s="15"/>
    </row>
    <row r="406" ht="15.75" customHeight="1">
      <c r="A406" s="15"/>
      <c r="B406" s="15"/>
      <c r="C406" s="21"/>
      <c r="D406" s="15"/>
      <c r="E406" s="32" t="s">
        <v>157</v>
      </c>
      <c r="F406" s="32" t="s">
        <v>161</v>
      </c>
      <c r="G406" s="70" t="str">
        <f>HYPERLINK("https://docs.google.com/spreadsheets/d/13vHZfN8_20Ku8irOkj49g5rfolxe84QJlSgp0EHwRHA/edit#gid=1041014117", "https://docs.google.com/spreadsheets/d/13vHZfN8_20Ku8irOkj49g5rfolxe84QJlSgp0EHwRHA/edit#gid=1041014117")</f>
        <v>https://docs.google.com/spreadsheets/d/13vHZfN8_20Ku8irOkj49g5rfolxe84QJlSgp0EHwRHA/edit#gid=1041014117</v>
      </c>
      <c r="H406" s="32" t="s">
        <v>161</v>
      </c>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c r="AG406" s="15"/>
      <c r="AH406" s="15"/>
    </row>
    <row r="407" ht="15.75" customHeight="1">
      <c r="A407" s="15"/>
      <c r="B407" s="15"/>
      <c r="C407" s="21"/>
      <c r="D407" s="15"/>
      <c r="E407" s="32" t="s">
        <v>157</v>
      </c>
      <c r="F407" s="32" t="s">
        <v>158</v>
      </c>
      <c r="G407" s="70" t="str">
        <f>HYPERLINK("https://docs.google.com/spreadsheets/d/13vHZfN8_20Ku8irOkj49g5rfolxe84QJlSgp0EHwRHA/edit#gid=591350303", "https://docs.google.com/spreadsheets/d/13vHZfN8_20Ku8irOkj49g5rfolxe84QJlSgp0EHwRHA/edit#gid=591350303")</f>
        <v>https://docs.google.com/spreadsheets/d/13vHZfN8_20Ku8irOkj49g5rfolxe84QJlSgp0EHwRHA/edit#gid=591350303</v>
      </c>
      <c r="H407" s="32" t="s">
        <v>158</v>
      </c>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c r="AG407" s="15"/>
      <c r="AH407" s="15"/>
    </row>
    <row r="408" ht="15.75" customHeight="1">
      <c r="A408" s="15"/>
      <c r="B408" s="15"/>
      <c r="C408" s="21"/>
      <c r="D408" s="15"/>
      <c r="E408" s="32" t="s">
        <v>157</v>
      </c>
      <c r="F408" s="32" t="s">
        <v>196</v>
      </c>
      <c r="G408" s="70" t="str">
        <f>HYPERLINK("https://docs.google.com/spreadsheets/d/13vHZfN8_20Ku8irOkj49g5rfolxe84QJlSgp0EHwRHA/edit#gid=2046735430", "https://docs.google.com/spreadsheets/d/13vHZfN8_20Ku8irOkj49g5rfolxe84QJlSgp0EHwRHA/edit#gid=2046735430")</f>
        <v>https://docs.google.com/spreadsheets/d/13vHZfN8_20Ku8irOkj49g5rfolxe84QJlSgp0EHwRHA/edit#gid=2046735430</v>
      </c>
      <c r="H408" s="32" t="s">
        <v>196</v>
      </c>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c r="AG408" s="15"/>
      <c r="AH408" s="15"/>
    </row>
    <row r="409" ht="15.75" customHeight="1">
      <c r="A409" s="15"/>
      <c r="B409" s="15"/>
      <c r="C409" s="21"/>
      <c r="D409" s="15"/>
      <c r="E409" s="32" t="s">
        <v>172</v>
      </c>
      <c r="F409" s="32" t="s">
        <v>203</v>
      </c>
      <c r="G409" s="70" t="str">
        <f>HYPERLINK("https://docs.google.com/spreadsheets/d/13vHZfN8_20Ku8irOkj49g5rfolxe84QJlSgp0EHwRHA/edit#gid=383351543", "https://docs.google.com/spreadsheets/d/13vHZfN8_20Ku8irOkj49g5rfolxe84QJlSgp0EHwRHA/edit#gid=383351543")</f>
        <v>https://docs.google.com/spreadsheets/d/13vHZfN8_20Ku8irOkj49g5rfolxe84QJlSgp0EHwRHA/edit#gid=383351543</v>
      </c>
      <c r="H409" s="32" t="s">
        <v>1999</v>
      </c>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c r="AG409" s="15"/>
      <c r="AH409" s="15"/>
    </row>
    <row r="410" ht="15.75" customHeight="1">
      <c r="A410" s="15"/>
      <c r="B410" s="15"/>
      <c r="C410" s="21"/>
      <c r="D410" s="15"/>
      <c r="E410" s="32" t="s">
        <v>172</v>
      </c>
      <c r="F410" s="32" t="s">
        <v>204</v>
      </c>
      <c r="G410" s="70" t="str">
        <f>HYPERLINK("https://docs.google.com/spreadsheets/d/13vHZfN8_20Ku8irOkj49g5rfolxe84QJlSgp0EHwRHA/edit#gid=1088871792", "https://docs.google.com/spreadsheets/d/13vHZfN8_20Ku8irOkj49g5rfolxe84QJlSgp0EHwRHA/edit#gid=1088871792")</f>
        <v>https://docs.google.com/spreadsheets/d/13vHZfN8_20Ku8irOkj49g5rfolxe84QJlSgp0EHwRHA/edit#gid=1088871792</v>
      </c>
      <c r="H410" s="32" t="s">
        <v>2000</v>
      </c>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c r="AG410" s="15"/>
      <c r="AH410" s="15"/>
    </row>
    <row r="411" ht="15.75" customHeight="1">
      <c r="A411" s="15"/>
      <c r="B411" s="15"/>
      <c r="C411" s="21"/>
      <c r="D411" s="15"/>
      <c r="E411" s="32" t="s">
        <v>178</v>
      </c>
      <c r="F411" s="32" t="s">
        <v>207</v>
      </c>
      <c r="G411" s="70" t="str">
        <f>HYPERLINK("https://docs.google.com/spreadsheets/d/13vHZfN8_20Ku8irOkj49g5rfolxe84QJlSgp0EHwRHA/edit#gid=254135425", "https://docs.google.com/spreadsheets/d/13vHZfN8_20Ku8irOkj49g5rfolxe84QJlSgp0EHwRHA/edit#gid=254135425")</f>
        <v>https://docs.google.com/spreadsheets/d/13vHZfN8_20Ku8irOkj49g5rfolxe84QJlSgp0EHwRHA/edit#gid=254135425</v>
      </c>
      <c r="H411" s="32" t="s">
        <v>2001</v>
      </c>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c r="AG411" s="15"/>
      <c r="AH411" s="15"/>
    </row>
    <row r="412" ht="15.75" customHeight="1">
      <c r="A412" s="15"/>
      <c r="B412" s="15"/>
      <c r="C412" s="21"/>
      <c r="D412" s="15"/>
      <c r="E412" s="32" t="s">
        <v>178</v>
      </c>
      <c r="F412" s="32" t="s">
        <v>208</v>
      </c>
      <c r="G412" s="70" t="str">
        <f>HYPERLINK("https://docs.google.com/spreadsheets/d/13vHZfN8_20Ku8irOkj49g5rfolxe84QJlSgp0EHwRHA/edit#gid=623867198", "https://docs.google.com/spreadsheets/d/13vHZfN8_20Ku8irOkj49g5rfolxe84QJlSgp0EHwRHA/edit#gid=623867198")</f>
        <v>https://docs.google.com/spreadsheets/d/13vHZfN8_20Ku8irOkj49g5rfolxe84QJlSgp0EHwRHA/edit#gid=623867198</v>
      </c>
      <c r="H412" s="32" t="s">
        <v>2021</v>
      </c>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c r="AG412" s="15"/>
      <c r="AH412" s="15"/>
    </row>
    <row r="413" ht="15.75" customHeight="1">
      <c r="A413" s="15"/>
      <c r="B413" s="15"/>
      <c r="C413" s="21"/>
      <c r="D413" s="15"/>
      <c r="E413" s="32" t="s">
        <v>178</v>
      </c>
      <c r="F413" s="32" t="s">
        <v>182</v>
      </c>
      <c r="G413" s="70" t="str">
        <f>HYPERLINK("https://docs.google.com/spreadsheets/d/13vHZfN8_20Ku8irOkj49g5rfolxe84QJlSgp0EHwRHA/edit#gid=1147047995", "https://docs.google.com/spreadsheets/d/13vHZfN8_20Ku8irOkj49g5rfolxe84QJlSgp0EHwRHA/edit#gid=1147047995")</f>
        <v>https://docs.google.com/spreadsheets/d/13vHZfN8_20Ku8irOkj49g5rfolxe84QJlSgp0EHwRHA/edit#gid=1147047995</v>
      </c>
      <c r="H413" s="32" t="s">
        <v>2003</v>
      </c>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c r="AG413" s="15"/>
      <c r="AH413" s="15"/>
    </row>
    <row r="414" ht="15.75" customHeight="1">
      <c r="A414" s="15"/>
      <c r="B414" s="15"/>
      <c r="C414" s="21"/>
      <c r="D414" s="15"/>
      <c r="E414" s="32" t="s">
        <v>178</v>
      </c>
      <c r="F414" s="32" t="s">
        <v>180</v>
      </c>
      <c r="G414" s="70" t="str">
        <f>HYPERLINK("https://docs.google.com/spreadsheets/d/13vHZfN8_20Ku8irOkj49g5rfolxe84QJlSgp0EHwRHA/edit#gid=573813401", "https://docs.google.com/spreadsheets/d/13vHZfN8_20Ku8irOkj49g5rfolxe84QJlSgp0EHwRHA/edit#gid=573813401")</f>
        <v>https://docs.google.com/spreadsheets/d/13vHZfN8_20Ku8irOkj49g5rfolxe84QJlSgp0EHwRHA/edit#gid=573813401</v>
      </c>
      <c r="H414" s="32" t="s">
        <v>2009</v>
      </c>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c r="AG414" s="15"/>
      <c r="AH414" s="15"/>
    </row>
    <row r="415" ht="15.75" customHeight="1">
      <c r="A415" s="15"/>
      <c r="B415" s="15"/>
      <c r="C415" s="21"/>
      <c r="D415" s="15"/>
      <c r="E415" s="32" t="s">
        <v>178</v>
      </c>
      <c r="F415" s="32" t="s">
        <v>209</v>
      </c>
      <c r="G415" s="70" t="str">
        <f>HYPERLINK("https://docs.google.com/spreadsheets/d/13vHZfN8_20Ku8irOkj49g5rfolxe84QJlSgp0EHwRHA/edit#gid=1084374247", "https://docs.google.com/spreadsheets/d/13vHZfN8_20Ku8irOkj49g5rfolxe84QJlSgp0EHwRHA/edit#gid=1084374247")</f>
        <v>https://docs.google.com/spreadsheets/d/13vHZfN8_20Ku8irOkj49g5rfolxe84QJlSgp0EHwRHA/edit#gid=1084374247</v>
      </c>
      <c r="H415" s="32" t="s">
        <v>1986</v>
      </c>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c r="AG415" s="15"/>
      <c r="AH415" s="15"/>
    </row>
    <row r="416" ht="15.75" customHeight="1">
      <c r="A416" s="15"/>
      <c r="B416" s="15"/>
      <c r="C416" s="21"/>
      <c r="D416" s="15"/>
      <c r="E416" s="32" t="s">
        <v>178</v>
      </c>
      <c r="F416" s="32" t="s">
        <v>210</v>
      </c>
      <c r="G416" s="70" t="str">
        <f>HYPERLINK("https://docs.google.com/spreadsheets/d/13vHZfN8_20Ku8irOkj49g5rfolxe84QJlSgp0EHwRHA/edit#gid=697345623", "https://docs.google.com/spreadsheets/d/13vHZfN8_20Ku8irOkj49g5rfolxe84QJlSgp0EHwRHA/edit#gid=697345623")</f>
        <v>https://docs.google.com/spreadsheets/d/13vHZfN8_20Ku8irOkj49g5rfolxe84QJlSgp0EHwRHA/edit#gid=697345623</v>
      </c>
      <c r="H416" s="32" t="s">
        <v>1987</v>
      </c>
      <c r="I416" s="11"/>
      <c r="J416" s="11"/>
      <c r="K416" s="11"/>
      <c r="L416" s="70" t="str">
        <f>HYPERLINK("https://docs.google.com/spreadsheets/d/1mU8GO_fgYXepg5_y4Qi-2_iGROviatlosm4nP23nLXI/edit#gid=1196559704", "https://docs.google.com/spreadsheets/d/1mU8GO_fgYXepg5_y4Qi-2_iGROviatlosm4nP23nLXI/edit#gid=1196559704")</f>
        <v>https://docs.google.com/spreadsheets/d/1mU8GO_fgYXepg5_y4Qi-2_iGROviatlosm4nP23nLXI/edit#gid=1196559704</v>
      </c>
      <c r="M416" s="15"/>
      <c r="N416" s="15"/>
      <c r="O416" s="15"/>
      <c r="P416" s="15"/>
      <c r="Q416" s="15"/>
      <c r="R416" s="15"/>
      <c r="S416" s="15"/>
      <c r="T416" s="15"/>
      <c r="U416" s="15"/>
      <c r="V416" s="15"/>
      <c r="W416" s="15"/>
      <c r="X416" s="15"/>
      <c r="Y416" s="15"/>
      <c r="Z416" s="15"/>
      <c r="AA416" s="15"/>
      <c r="AB416" s="15"/>
      <c r="AC416" s="15"/>
      <c r="AD416" s="15"/>
      <c r="AE416" s="15"/>
      <c r="AF416" s="15"/>
      <c r="AG416" s="15"/>
      <c r="AH416" s="15"/>
    </row>
    <row r="417" ht="15.75" customHeight="1">
      <c r="A417" s="15"/>
      <c r="B417" s="15"/>
      <c r="C417" s="21"/>
      <c r="D417" s="15"/>
      <c r="E417" s="32" t="s">
        <v>86</v>
      </c>
      <c r="F417" s="32" t="s">
        <v>90</v>
      </c>
      <c r="G417" s="70" t="str">
        <f>HYPERLINK("https://docs.google.com/spreadsheets/d/13vHZfN8_20Ku8irOkj49g5rfolxe84QJlSgp0EHwRHA/edit#gid=735315200", "https://docs.google.com/spreadsheets/d/13vHZfN8_20Ku8irOkj49g5rfolxe84QJlSgp0EHwRHA/edit#gid=735315200")</f>
        <v>https://docs.google.com/spreadsheets/d/13vHZfN8_20Ku8irOkj49g5rfolxe84QJlSgp0EHwRHA/edit#gid=735315200</v>
      </c>
      <c r="H417" s="32" t="s">
        <v>2022</v>
      </c>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c r="AG417" s="15"/>
      <c r="AH417" s="15"/>
    </row>
    <row r="418" ht="15.75" customHeight="1">
      <c r="A418" s="15"/>
      <c r="B418" s="15"/>
      <c r="C418" s="21"/>
      <c r="D418" s="15"/>
      <c r="E418" s="32" t="s">
        <v>86</v>
      </c>
      <c r="F418" s="32" t="s">
        <v>91</v>
      </c>
      <c r="G418" s="70" t="str">
        <f>HYPERLINK("https://docs.google.com/spreadsheets/d/13vHZfN8_20Ku8irOkj49g5rfolxe84QJlSgp0EHwRHA/edit#gid=68598327", "https://docs.google.com/spreadsheets/d/13vHZfN8_20Ku8irOkj49g5rfolxe84QJlSgp0EHwRHA/edit#gid=68598327")</f>
        <v>https://docs.google.com/spreadsheets/d/13vHZfN8_20Ku8irOkj49g5rfolxe84QJlSgp0EHwRHA/edit#gid=68598327</v>
      </c>
      <c r="H418" s="32" t="s">
        <v>91</v>
      </c>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c r="AG418" s="15"/>
      <c r="AH418" s="15"/>
    </row>
    <row r="419" ht="15.75" customHeight="1">
      <c r="A419" s="15"/>
      <c r="B419" s="15"/>
      <c r="C419" s="21"/>
      <c r="D419" s="15"/>
      <c r="E419" s="32" t="s">
        <v>88</v>
      </c>
      <c r="F419" s="32" t="s">
        <v>95</v>
      </c>
      <c r="G419" s="70" t="str">
        <f>HYPERLINK("https://docs.google.com/spreadsheets/d/13vHZfN8_20Ku8irOkj49g5rfolxe84QJlSgp0EHwRHA/edit#gid=808109335", "https://docs.google.com/spreadsheets/d/13vHZfN8_20Ku8irOkj49g5rfolxe84QJlSgp0EHwRHA/edit#gid=808109335")</f>
        <v>https://docs.google.com/spreadsheets/d/13vHZfN8_20Ku8irOkj49g5rfolxe84QJlSgp0EHwRHA/edit#gid=808109335</v>
      </c>
      <c r="H419" s="32" t="s">
        <v>95</v>
      </c>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c r="AG419" s="15"/>
      <c r="AH419" s="15"/>
    </row>
    <row r="420" ht="15.75" customHeight="1">
      <c r="A420" s="15"/>
      <c r="B420" s="15"/>
      <c r="C420" s="21"/>
      <c r="D420" s="15"/>
      <c r="E420" s="32" t="s">
        <v>88</v>
      </c>
      <c r="F420" s="32" t="s">
        <v>96</v>
      </c>
      <c r="G420" s="70" t="str">
        <f>HYPERLINK("https://docs.google.com/spreadsheets/d/13vHZfN8_20Ku8irOkj49g5rfolxe84QJlSgp0EHwRHA/edit#gid=881695685", "https://docs.google.com/spreadsheets/d/13vHZfN8_20Ku8irOkj49g5rfolxe84QJlSgp0EHwRHA/edit#gid=881695685")</f>
        <v>https://docs.google.com/spreadsheets/d/13vHZfN8_20Ku8irOkj49g5rfolxe84QJlSgp0EHwRHA/edit#gid=881695685</v>
      </c>
      <c r="H420" s="32" t="s">
        <v>96</v>
      </c>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c r="AG420" s="15"/>
      <c r="AH420" s="15"/>
    </row>
    <row r="421" ht="15.75" customHeight="1">
      <c r="A421" s="15"/>
      <c r="B421" s="15"/>
      <c r="C421" s="21"/>
      <c r="D421" s="15"/>
      <c r="E421" s="15"/>
      <c r="F421" s="15"/>
      <c r="G421" s="15"/>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c r="AG421" s="15"/>
      <c r="AH421" s="15"/>
    </row>
    <row r="422" ht="15.75" customHeight="1">
      <c r="A422" s="15"/>
      <c r="B422" s="32" t="s">
        <v>2041</v>
      </c>
      <c r="C422" s="206" t="s">
        <v>2042</v>
      </c>
      <c r="D422" s="32" t="s">
        <v>20</v>
      </c>
      <c r="E422" s="32" t="s">
        <v>178</v>
      </c>
      <c r="F422" s="32" t="s">
        <v>201</v>
      </c>
      <c r="H422" s="32" t="s">
        <v>201</v>
      </c>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c r="AG422" s="15"/>
      <c r="AH422" s="15"/>
    </row>
    <row r="423" ht="15.75" customHeight="1">
      <c r="A423" s="15"/>
      <c r="B423" s="15"/>
      <c r="C423" s="21"/>
      <c r="D423" s="15"/>
      <c r="E423" s="32" t="s">
        <v>178</v>
      </c>
      <c r="F423" s="32" t="s">
        <v>202</v>
      </c>
      <c r="G423" s="70" t="str">
        <f>HYPERLINK("https://docs.google.com/spreadsheets/d/1mU8GO_fgYXepg5_y4Qi-2_iGROviatlosm4nP23nLXI/edit#gid=438641177", "https://docs.google.com/spreadsheets/d/1mU8GO_fgYXepg5_y4Qi-2_iGROviatlosm4nP23nLXI/edit#gid=438641177")</f>
        <v>https://docs.google.com/spreadsheets/d/1mU8GO_fgYXepg5_y4Qi-2_iGROviatlosm4nP23nLXI/edit#gid=438641177</v>
      </c>
      <c r="H423" s="32" t="s">
        <v>202</v>
      </c>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c r="AG423" s="15"/>
      <c r="AH423" s="15"/>
    </row>
    <row r="424" ht="15.75" customHeight="1">
      <c r="A424" s="15"/>
      <c r="B424" s="15"/>
      <c r="C424" s="21"/>
      <c r="D424" s="15"/>
      <c r="E424" s="32" t="s">
        <v>21</v>
      </c>
      <c r="F424" s="32" t="s">
        <v>51</v>
      </c>
      <c r="G424" s="70" t="str">
        <f>HYPERLINK("https://docs.google.com/spreadsheets/d/1mU8GO_fgYXepg5_y4Qi-2_iGROviatlosm4nP23nLXI/edit#gid=1575780500", "https://docs.google.com/spreadsheets/d/1mU8GO_fgYXepg5_y4Qi-2_iGROviatlosm4nP23nLXI/edit#gid=1575780500")</f>
        <v>https://docs.google.com/spreadsheets/d/1mU8GO_fgYXepg5_y4Qi-2_iGROviatlosm4nP23nLXI/edit#gid=1575780500</v>
      </c>
      <c r="H424" s="32" t="s">
        <v>51</v>
      </c>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c r="AG424" s="15"/>
      <c r="AH424" s="15"/>
    </row>
    <row r="425" ht="15.75" customHeight="1">
      <c r="A425" s="15"/>
      <c r="B425" s="15"/>
      <c r="C425" s="21"/>
      <c r="D425" s="15"/>
      <c r="E425" s="32" t="s">
        <v>172</v>
      </c>
      <c r="F425" s="32" t="s">
        <v>203</v>
      </c>
      <c r="G425" s="70" t="str">
        <f>HYPERLINK("https://docs.google.com/spreadsheets/d/1mU8GO_fgYXepg5_y4Qi-2_iGROviatlosm4nP23nLXI/edit#gid=233283441", "https://docs.google.com/spreadsheets/d/1mU8GO_fgYXepg5_y4Qi-2_iGROviatlosm4nP23nLXI/edit#gid=233283441")</f>
        <v>https://docs.google.com/spreadsheets/d/1mU8GO_fgYXepg5_y4Qi-2_iGROviatlosm4nP23nLXI/edit#gid=233283441</v>
      </c>
      <c r="H425" s="32" t="s">
        <v>203</v>
      </c>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c r="AG425" s="15"/>
      <c r="AH425" s="15"/>
    </row>
    <row r="426" ht="15.75" customHeight="1">
      <c r="A426" s="15"/>
      <c r="B426" s="15"/>
      <c r="C426" s="21"/>
      <c r="D426" s="15"/>
      <c r="E426" s="32" t="s">
        <v>172</v>
      </c>
      <c r="F426" s="32" t="s">
        <v>204</v>
      </c>
      <c r="G426" s="70" t="str">
        <f>HYPERLINK("https://docs.google.com/spreadsheets/d/1mU8GO_fgYXepg5_y4Qi-2_iGROviatlosm4nP23nLXI/edit#gid=1798250419", "https://docs.google.com/spreadsheets/d/1mU8GO_fgYXepg5_y4Qi-2_iGROviatlosm4nP23nLXI/edit#gid=1798250419")</f>
        <v>https://docs.google.com/spreadsheets/d/1mU8GO_fgYXepg5_y4Qi-2_iGROviatlosm4nP23nLXI/edit#gid=1798250419</v>
      </c>
      <c r="H426" s="32" t="s">
        <v>204</v>
      </c>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c r="AG426" s="15"/>
      <c r="AH426" s="15"/>
    </row>
    <row r="427" ht="15.75" customHeight="1">
      <c r="A427" s="15"/>
      <c r="B427" s="15"/>
      <c r="C427" s="21"/>
      <c r="D427" s="15"/>
      <c r="E427" s="32" t="s">
        <v>178</v>
      </c>
      <c r="F427" s="32" t="s">
        <v>205</v>
      </c>
      <c r="G427" s="70" t="str">
        <f>HYPERLINK("https://docs.google.com/spreadsheets/d/1mU8GO_fgYXepg5_y4Qi-2_iGROviatlosm4nP23nLXI/edit#gid=1915027527", "https://docs.google.com/spreadsheets/d/1mU8GO_fgYXepg5_y4Qi-2_iGROviatlosm4nP23nLXI/edit#gid=1915027527")</f>
        <v>https://docs.google.com/spreadsheets/d/1mU8GO_fgYXepg5_y4Qi-2_iGROviatlosm4nP23nLXI/edit#gid=1915027527</v>
      </c>
      <c r="H427" s="32" t="s">
        <v>205</v>
      </c>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c r="AG427" s="15"/>
      <c r="AH427" s="15"/>
    </row>
    <row r="428" ht="15.75" customHeight="1">
      <c r="A428" s="15"/>
      <c r="B428" s="15"/>
      <c r="C428" s="21"/>
      <c r="D428" s="15"/>
      <c r="E428" s="32" t="s">
        <v>178</v>
      </c>
      <c r="F428" s="32" t="s">
        <v>206</v>
      </c>
      <c r="G428" s="15"/>
      <c r="H428" s="36"/>
      <c r="L428" s="11"/>
      <c r="M428" s="15"/>
      <c r="N428" s="15"/>
      <c r="O428" s="15"/>
      <c r="P428" s="15"/>
      <c r="Q428" s="15"/>
      <c r="R428" s="15"/>
      <c r="S428" s="15"/>
      <c r="T428" s="15"/>
      <c r="U428" s="15"/>
      <c r="V428" s="15"/>
      <c r="W428" s="15"/>
      <c r="X428" s="15"/>
      <c r="Y428" s="15"/>
      <c r="Z428" s="15"/>
      <c r="AA428" s="15"/>
      <c r="AB428" s="15"/>
      <c r="AC428" s="15"/>
      <c r="AD428" s="15"/>
      <c r="AE428" s="15"/>
      <c r="AF428" s="15"/>
      <c r="AG428" s="15"/>
      <c r="AH428" s="15"/>
    </row>
    <row r="429" ht="15.75" customHeight="1">
      <c r="A429" s="15"/>
      <c r="B429" s="15"/>
      <c r="C429" s="21"/>
      <c r="D429" s="15"/>
      <c r="E429" s="32" t="s">
        <v>178</v>
      </c>
      <c r="F429" s="32" t="s">
        <v>207</v>
      </c>
      <c r="G429" s="70" t="str">
        <f>HYPERLINK("https://docs.google.com/spreadsheets/d/1mU8GO_fgYXepg5_y4Qi-2_iGROviatlosm4nP23nLXI/edit#gid=585143909", "https://docs.google.com/spreadsheets/d/1mU8GO_fgYXepg5_y4Qi-2_iGROviatlosm4nP23nLXI/edit#gid=585143909")</f>
        <v>https://docs.google.com/spreadsheets/d/1mU8GO_fgYXepg5_y4Qi-2_iGROviatlosm4nP23nLXI/edit#gid=585143909</v>
      </c>
      <c r="H429" s="32" t="s">
        <v>207</v>
      </c>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c r="AG429" s="15"/>
      <c r="AH429" s="15"/>
    </row>
    <row r="430" ht="15.75" customHeight="1">
      <c r="A430" s="15"/>
      <c r="B430" s="15"/>
      <c r="C430" s="21"/>
      <c r="D430" s="15"/>
      <c r="E430" s="32" t="s">
        <v>172</v>
      </c>
      <c r="F430" s="32" t="s">
        <v>203</v>
      </c>
      <c r="G430" s="70" t="str">
        <f>HYPERLINK("https://docs.google.com/spreadsheets/d/1mU8GO_fgYXepg5_y4Qi-2_iGROviatlosm4nP23nLXI/edit#gid=216441803", "https://docs.google.com/spreadsheets/d/1mU8GO_fgYXepg5_y4Qi-2_iGROviatlosm4nP23nLXI/edit#gid=216441803")</f>
        <v>https://docs.google.com/spreadsheets/d/1mU8GO_fgYXepg5_y4Qi-2_iGROviatlosm4nP23nLXI/edit#gid=216441803</v>
      </c>
      <c r="H430" s="32" t="s">
        <v>1995</v>
      </c>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c r="AG430" s="15"/>
      <c r="AH430" s="15"/>
    </row>
    <row r="431" ht="15.75" customHeight="1">
      <c r="A431" s="15"/>
      <c r="B431" s="15"/>
      <c r="C431" s="21"/>
      <c r="D431" s="15"/>
      <c r="E431" s="32" t="s">
        <v>172</v>
      </c>
      <c r="F431" s="32" t="s">
        <v>204</v>
      </c>
      <c r="G431" s="70" t="str">
        <f>HYPERLINK("https://docs.google.com/spreadsheets/d/1mU8GO_fgYXepg5_y4Qi-2_iGROviatlosm4nP23nLXI/edit#gid=269461481", "https://docs.google.com/spreadsheets/d/1mU8GO_fgYXepg5_y4Qi-2_iGROviatlosm4nP23nLXI/edit#gid=269461481")</f>
        <v>https://docs.google.com/spreadsheets/d/1mU8GO_fgYXepg5_y4Qi-2_iGROviatlosm4nP23nLXI/edit#gid=269461481</v>
      </c>
      <c r="H431" s="32" t="s">
        <v>1996</v>
      </c>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c r="AG431" s="15"/>
      <c r="AH431" s="15"/>
    </row>
    <row r="432" ht="15.75" customHeight="1">
      <c r="A432" s="15"/>
      <c r="B432" s="15"/>
      <c r="C432" s="21"/>
      <c r="D432" s="15"/>
      <c r="E432" s="32" t="s">
        <v>178</v>
      </c>
      <c r="F432" s="32" t="s">
        <v>205</v>
      </c>
      <c r="G432" s="70" t="str">
        <f>HYPERLINK("https://docs.google.com/spreadsheets/d/1mU8GO_fgYXepg5_y4Qi-2_iGROviatlosm4nP23nLXI/edit#gid=1962477701", "https://docs.google.com/spreadsheets/d/1mU8GO_fgYXepg5_y4Qi-2_iGROviatlosm4nP23nLXI/edit#gid=1962477701")</f>
        <v>https://docs.google.com/spreadsheets/d/1mU8GO_fgYXepg5_y4Qi-2_iGROviatlosm4nP23nLXI/edit#gid=1962477701</v>
      </c>
      <c r="H432" s="32" t="s">
        <v>1997</v>
      </c>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c r="AG432" s="15"/>
      <c r="AH432" s="15"/>
    </row>
    <row r="433" ht="15.75" customHeight="1">
      <c r="A433" s="15"/>
      <c r="B433" s="15"/>
      <c r="C433" s="21"/>
      <c r="D433" s="15"/>
      <c r="E433" s="32" t="s">
        <v>178</v>
      </c>
      <c r="F433" s="32" t="s">
        <v>206</v>
      </c>
      <c r="G433" s="15"/>
      <c r="H433" s="36"/>
      <c r="L433" s="11"/>
      <c r="M433" s="15"/>
      <c r="N433" s="15"/>
      <c r="O433" s="15"/>
      <c r="P433" s="15"/>
      <c r="Q433" s="15"/>
      <c r="R433" s="15"/>
      <c r="S433" s="15"/>
      <c r="T433" s="15"/>
      <c r="U433" s="15"/>
      <c r="V433" s="15"/>
      <c r="W433" s="15"/>
      <c r="X433" s="15"/>
      <c r="Y433" s="15"/>
      <c r="Z433" s="15"/>
      <c r="AA433" s="15"/>
      <c r="AB433" s="15"/>
      <c r="AC433" s="15"/>
      <c r="AD433" s="15"/>
      <c r="AE433" s="15"/>
      <c r="AF433" s="15"/>
      <c r="AG433" s="15"/>
      <c r="AH433" s="15"/>
    </row>
    <row r="434" ht="15.75" customHeight="1">
      <c r="A434" s="15"/>
      <c r="B434" s="15"/>
      <c r="C434" s="21"/>
      <c r="D434" s="15"/>
      <c r="E434" s="32" t="s">
        <v>178</v>
      </c>
      <c r="F434" s="32" t="s">
        <v>207</v>
      </c>
      <c r="G434" s="70" t="str">
        <f>HYPERLINK("https://docs.google.com/spreadsheets/d/1mU8GO_fgYXepg5_y4Qi-2_iGROviatlosm4nP23nLXI/edit#gid=1087632601", "https://docs.google.com/spreadsheets/d/1mU8GO_fgYXepg5_y4Qi-2_iGROviatlosm4nP23nLXI/edit#gid=1087632601")</f>
        <v>https://docs.google.com/spreadsheets/d/1mU8GO_fgYXepg5_y4Qi-2_iGROviatlosm4nP23nLXI/edit#gid=1087632601</v>
      </c>
      <c r="H434" s="32" t="s">
        <v>1998</v>
      </c>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c r="AG434" s="15"/>
      <c r="AH434" s="15"/>
    </row>
    <row r="435" ht="15.75" customHeight="1">
      <c r="A435" s="15"/>
      <c r="B435" s="15"/>
      <c r="C435" s="21"/>
      <c r="D435" s="15"/>
      <c r="E435" s="32" t="s">
        <v>178</v>
      </c>
      <c r="F435" s="32" t="s">
        <v>208</v>
      </c>
      <c r="G435" s="70" t="str">
        <f>HYPERLINK("https://docs.google.com/spreadsheets/d/1mU8GO_fgYXepg5_y4Qi-2_iGROviatlosm4nP23nLXI/edit#gid=776914813", "https://docs.google.com/spreadsheets/d/1mU8GO_fgYXepg5_y4Qi-2_iGROviatlosm4nP23nLXI/edit#gid=776914813")</f>
        <v>https://docs.google.com/spreadsheets/d/1mU8GO_fgYXepg5_y4Qi-2_iGROviatlosm4nP23nLXI/edit#gid=776914813</v>
      </c>
      <c r="H435" s="32" t="s">
        <v>208</v>
      </c>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c r="AG435" s="15"/>
      <c r="AH435" s="15"/>
    </row>
    <row r="436" ht="15.75" customHeight="1">
      <c r="A436" s="15"/>
      <c r="B436" s="15"/>
      <c r="C436" s="21"/>
      <c r="D436" s="15"/>
      <c r="E436" s="32" t="s">
        <v>178</v>
      </c>
      <c r="F436" s="32" t="s">
        <v>182</v>
      </c>
      <c r="G436" s="70" t="str">
        <f>HYPERLINK("https://docs.google.com/spreadsheets/d/1mU8GO_fgYXepg5_y4Qi-2_iGROviatlosm4nP23nLXI/edit#gid=1739501432", "https://docs.google.com/spreadsheets/d/1mU8GO_fgYXepg5_y4Qi-2_iGROviatlosm4nP23nLXI/edit#gid=1739501432")</f>
        <v>https://docs.google.com/spreadsheets/d/1mU8GO_fgYXepg5_y4Qi-2_iGROviatlosm4nP23nLXI/edit#gid=1739501432</v>
      </c>
      <c r="H436" s="32" t="s">
        <v>182</v>
      </c>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c r="AG436" s="15"/>
      <c r="AH436" s="15"/>
    </row>
    <row r="437" ht="15.75" customHeight="1">
      <c r="A437" s="15"/>
      <c r="B437" s="15"/>
      <c r="C437" s="21"/>
      <c r="D437" s="15"/>
      <c r="E437" s="32" t="s">
        <v>178</v>
      </c>
      <c r="F437" s="32" t="s">
        <v>180</v>
      </c>
      <c r="G437" s="70" t="str">
        <f>HYPERLINK("https://docs.google.com/spreadsheets/d/1mU8GO_fgYXepg5_y4Qi-2_iGROviatlosm4nP23nLXI/edit#gid=1684745436", "https://docs.google.com/spreadsheets/d/1mU8GO_fgYXepg5_y4Qi-2_iGROviatlosm4nP23nLXI/edit#gid=1684745436")</f>
        <v>https://docs.google.com/spreadsheets/d/1mU8GO_fgYXepg5_y4Qi-2_iGROviatlosm4nP23nLXI/edit#gid=1684745436</v>
      </c>
      <c r="H437" s="32" t="s">
        <v>180</v>
      </c>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c r="AG437" s="15"/>
      <c r="AH437" s="15"/>
    </row>
    <row r="438" ht="15.75" customHeight="1">
      <c r="A438" s="15"/>
      <c r="B438" s="15"/>
      <c r="C438" s="21"/>
      <c r="D438" s="15"/>
      <c r="E438" s="32" t="s">
        <v>178</v>
      </c>
      <c r="F438" s="32" t="s">
        <v>209</v>
      </c>
      <c r="G438" s="70" t="str">
        <f>HYPERLINK("https://docs.google.com/spreadsheets/d/1mU8GO_fgYXepg5_y4Qi-2_iGROviatlosm4nP23nLXI/edit#gid=1700515589", "https://docs.google.com/spreadsheets/d/1mU8GO_fgYXepg5_y4Qi-2_iGROviatlosm4nP23nLXI/edit#gid=1700515589")</f>
        <v>https://docs.google.com/spreadsheets/d/1mU8GO_fgYXepg5_y4Qi-2_iGROviatlosm4nP23nLXI/edit#gid=1700515589</v>
      </c>
      <c r="H438" s="32" t="s">
        <v>209</v>
      </c>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c r="AG438" s="15"/>
      <c r="AH438" s="15"/>
    </row>
    <row r="439" ht="15.75" customHeight="1">
      <c r="A439" s="15"/>
      <c r="B439" s="15"/>
      <c r="C439" s="21"/>
      <c r="D439" s="15"/>
      <c r="E439" s="32" t="s">
        <v>178</v>
      </c>
      <c r="F439" s="32" t="s">
        <v>210</v>
      </c>
      <c r="G439" s="70" t="str">
        <f>HYPERLINK("https://docs.google.com/spreadsheets/d/1mU8GO_fgYXepg5_y4Qi-2_iGROviatlosm4nP23nLXI/edit#gid=1365271046", "https://docs.google.com/spreadsheets/d/1mU8GO_fgYXepg5_y4Qi-2_iGROviatlosm4nP23nLXI/edit#gid=1365271046")</f>
        <v>https://docs.google.com/spreadsheets/d/1mU8GO_fgYXepg5_y4Qi-2_iGROviatlosm4nP23nLXI/edit#gid=1365271046</v>
      </c>
      <c r="H439" s="32" t="s">
        <v>210</v>
      </c>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c r="AG439" s="15"/>
      <c r="AH439" s="15"/>
    </row>
    <row r="440" ht="15.75" customHeight="1">
      <c r="A440" s="15"/>
      <c r="B440" s="15"/>
      <c r="C440" s="21"/>
      <c r="D440" s="15"/>
      <c r="E440" s="32" t="s">
        <v>157</v>
      </c>
      <c r="F440" s="32" t="s">
        <v>161</v>
      </c>
      <c r="G440" s="70" t="str">
        <f>HYPERLINK("https://docs.google.com/spreadsheets/d/1mU8GO_fgYXepg5_y4Qi-2_iGROviatlosm4nP23nLXI/edit#gid=1183014468", "https://docs.google.com/spreadsheets/d/1mU8GO_fgYXepg5_y4Qi-2_iGROviatlosm4nP23nLXI/edit#gid=1183014468")</f>
        <v>https://docs.google.com/spreadsheets/d/1mU8GO_fgYXepg5_y4Qi-2_iGROviatlosm4nP23nLXI/edit#gid=1183014468</v>
      </c>
      <c r="H440" s="32" t="s">
        <v>161</v>
      </c>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c r="AG440" s="15"/>
      <c r="AH440" s="15"/>
    </row>
    <row r="441" ht="15.75" customHeight="1">
      <c r="A441" s="15"/>
      <c r="B441" s="15"/>
      <c r="C441" s="21"/>
      <c r="D441" s="15"/>
      <c r="E441" s="32" t="s">
        <v>157</v>
      </c>
      <c r="F441" s="32" t="s">
        <v>158</v>
      </c>
      <c r="G441" s="70" t="str">
        <f>HYPERLINK("https://docs.google.com/spreadsheets/d/1mU8GO_fgYXepg5_y4Qi-2_iGROviatlosm4nP23nLXI/edit#gid=1832654651", "https://docs.google.com/spreadsheets/d/1mU8GO_fgYXepg5_y4Qi-2_iGROviatlosm4nP23nLXI/edit#gid=1832654651")</f>
        <v>https://docs.google.com/spreadsheets/d/1mU8GO_fgYXepg5_y4Qi-2_iGROviatlosm4nP23nLXI/edit#gid=1832654651</v>
      </c>
      <c r="H441" s="32" t="s">
        <v>158</v>
      </c>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c r="AG441" s="15"/>
      <c r="AH441" s="15"/>
    </row>
    <row r="442" ht="15.75" customHeight="1">
      <c r="A442" s="15"/>
      <c r="B442" s="15"/>
      <c r="C442" s="21"/>
      <c r="D442" s="15"/>
      <c r="E442" s="32" t="s">
        <v>157</v>
      </c>
      <c r="F442" s="32" t="s">
        <v>196</v>
      </c>
      <c r="G442" s="70" t="str">
        <f>HYPERLINK("https://docs.google.com/spreadsheets/d/1mU8GO_fgYXepg5_y4Qi-2_iGROviatlosm4nP23nLXI/edit#gid=277883765", "https://docs.google.com/spreadsheets/d/1mU8GO_fgYXepg5_y4Qi-2_iGROviatlosm4nP23nLXI/edit#gid=277883765")</f>
        <v>https://docs.google.com/spreadsheets/d/1mU8GO_fgYXepg5_y4Qi-2_iGROviatlosm4nP23nLXI/edit#gid=277883765</v>
      </c>
      <c r="H442" s="32" t="s">
        <v>196</v>
      </c>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c r="AG442" s="15"/>
      <c r="AH442" s="15"/>
    </row>
    <row r="443" ht="15.75" customHeight="1">
      <c r="A443" s="15"/>
      <c r="B443" s="15"/>
      <c r="C443" s="21"/>
      <c r="D443" s="15"/>
      <c r="E443" s="32" t="s">
        <v>172</v>
      </c>
      <c r="F443" s="32" t="s">
        <v>203</v>
      </c>
      <c r="G443" s="70" t="str">
        <f>HYPERLINK("https://docs.google.com/spreadsheets/d/1mU8GO_fgYXepg5_y4Qi-2_iGROviatlosm4nP23nLXI/edit#gid=72740713", "https://docs.google.com/spreadsheets/d/1mU8GO_fgYXepg5_y4Qi-2_iGROviatlosm4nP23nLXI/edit#gid=72740713")</f>
        <v>https://docs.google.com/spreadsheets/d/1mU8GO_fgYXepg5_y4Qi-2_iGROviatlosm4nP23nLXI/edit#gid=72740713</v>
      </c>
      <c r="H443" s="32" t="s">
        <v>1999</v>
      </c>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c r="AG443" s="15"/>
      <c r="AH443" s="15"/>
    </row>
    <row r="444" ht="15.75" customHeight="1">
      <c r="A444" s="15"/>
      <c r="B444" s="15"/>
      <c r="C444" s="21"/>
      <c r="D444" s="15"/>
      <c r="E444" s="32" t="s">
        <v>172</v>
      </c>
      <c r="F444" s="32" t="s">
        <v>204</v>
      </c>
      <c r="G444" s="70" t="str">
        <f>HYPERLINK("https://docs.google.com/spreadsheets/d/1mU8GO_fgYXepg5_y4Qi-2_iGROviatlosm4nP23nLXI/edit#gid=1290562468", "https://docs.google.com/spreadsheets/d/1mU8GO_fgYXepg5_y4Qi-2_iGROviatlosm4nP23nLXI/edit#gid=1290562468")</f>
        <v>https://docs.google.com/spreadsheets/d/1mU8GO_fgYXepg5_y4Qi-2_iGROviatlosm4nP23nLXI/edit#gid=1290562468</v>
      </c>
      <c r="H444" s="32" t="s">
        <v>2000</v>
      </c>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c r="AG444" s="15"/>
      <c r="AH444" s="15"/>
    </row>
    <row r="445" ht="15.75" customHeight="1">
      <c r="A445" s="15"/>
      <c r="B445" s="15"/>
      <c r="C445" s="21"/>
      <c r="D445" s="15"/>
      <c r="E445" s="32" t="s">
        <v>178</v>
      </c>
      <c r="F445" s="32" t="s">
        <v>207</v>
      </c>
      <c r="G445" s="70" t="str">
        <f>HYPERLINK("https://docs.google.com/spreadsheets/d/1mU8GO_fgYXepg5_y4Qi-2_iGROviatlosm4nP23nLXI/edit#gid=1171890944", "https://docs.google.com/spreadsheets/d/1mU8GO_fgYXepg5_y4Qi-2_iGROviatlosm4nP23nLXI/edit#gid=1171890944")</f>
        <v>https://docs.google.com/spreadsheets/d/1mU8GO_fgYXepg5_y4Qi-2_iGROviatlosm4nP23nLXI/edit#gid=1171890944</v>
      </c>
      <c r="H445" s="32" t="s">
        <v>2001</v>
      </c>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c r="AG445" s="15"/>
      <c r="AH445" s="15"/>
    </row>
    <row r="446" ht="15.75" customHeight="1">
      <c r="A446" s="15"/>
      <c r="B446" s="15"/>
      <c r="C446" s="21"/>
      <c r="D446" s="15"/>
      <c r="E446" s="32" t="s">
        <v>178</v>
      </c>
      <c r="F446" s="32" t="s">
        <v>208</v>
      </c>
      <c r="G446" s="70" t="str">
        <f>HYPERLINK("https://docs.google.com/spreadsheets/d/1mU8GO_fgYXepg5_y4Qi-2_iGROviatlosm4nP23nLXI/edit#gid=1443522178", "https://docs.google.com/spreadsheets/d/1mU8GO_fgYXepg5_y4Qi-2_iGROviatlosm4nP23nLXI/edit#gid=1443522178")</f>
        <v>https://docs.google.com/spreadsheets/d/1mU8GO_fgYXepg5_y4Qi-2_iGROviatlosm4nP23nLXI/edit#gid=1443522178</v>
      </c>
      <c r="H446" s="32" t="s">
        <v>2002</v>
      </c>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c r="AG446" s="15"/>
      <c r="AH446" s="15"/>
    </row>
    <row r="447" ht="15.75" customHeight="1">
      <c r="A447" s="15"/>
      <c r="B447" s="15"/>
      <c r="C447" s="21"/>
      <c r="D447" s="15"/>
      <c r="E447" s="32" t="s">
        <v>178</v>
      </c>
      <c r="F447" s="32" t="s">
        <v>182</v>
      </c>
      <c r="G447" s="70" t="str">
        <f>HYPERLINK("https://docs.google.com/spreadsheets/d/1mU8GO_fgYXepg5_y4Qi-2_iGROviatlosm4nP23nLXI/edit#gid=1463547922", "https://docs.google.com/spreadsheets/d/1mU8GO_fgYXepg5_y4Qi-2_iGROviatlosm4nP23nLXI/edit#gid=1463547922")</f>
        <v>https://docs.google.com/spreadsheets/d/1mU8GO_fgYXepg5_y4Qi-2_iGROviatlosm4nP23nLXI/edit#gid=1463547922</v>
      </c>
      <c r="H447" s="32" t="s">
        <v>2003</v>
      </c>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c r="AG447" s="15"/>
      <c r="AH447" s="15"/>
    </row>
    <row r="448" ht="15.75" customHeight="1">
      <c r="A448" s="15"/>
      <c r="B448" s="15"/>
      <c r="C448" s="21"/>
      <c r="D448" s="15"/>
      <c r="E448" s="32" t="s">
        <v>178</v>
      </c>
      <c r="F448" s="32" t="s">
        <v>180</v>
      </c>
      <c r="G448" s="70" t="str">
        <f>HYPERLINK("https://docs.google.com/spreadsheets/d/1mU8GO_fgYXepg5_y4Qi-2_iGROviatlosm4nP23nLXI/edit#gid=1379085765", "https://docs.google.com/spreadsheets/d/1mU8GO_fgYXepg5_y4Qi-2_iGROviatlosm4nP23nLXI/edit#gid=1379085765")</f>
        <v>https://docs.google.com/spreadsheets/d/1mU8GO_fgYXepg5_y4Qi-2_iGROviatlosm4nP23nLXI/edit#gid=1379085765</v>
      </c>
      <c r="H448" s="32" t="s">
        <v>2009</v>
      </c>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c r="AG448" s="15"/>
      <c r="AH448" s="15"/>
    </row>
    <row r="449" ht="15.75" customHeight="1">
      <c r="A449" s="15"/>
      <c r="B449" s="15"/>
      <c r="C449" s="21"/>
      <c r="D449" s="15"/>
      <c r="E449" s="32" t="s">
        <v>178</v>
      </c>
      <c r="F449" s="32" t="s">
        <v>209</v>
      </c>
      <c r="G449" s="70" t="str">
        <f>HYPERLINK("https://docs.google.com/spreadsheets/d/1mU8GO_fgYXepg5_y4Qi-2_iGROviatlosm4nP23nLXI/edit#gid=737461370", "https://docs.google.com/spreadsheets/d/1mU8GO_fgYXepg5_y4Qi-2_iGROviatlosm4nP23nLXI/edit#gid=737461370")</f>
        <v>https://docs.google.com/spreadsheets/d/1mU8GO_fgYXepg5_y4Qi-2_iGROviatlosm4nP23nLXI/edit#gid=737461370</v>
      </c>
      <c r="H449" s="32" t="s">
        <v>1986</v>
      </c>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c r="AG449" s="15"/>
      <c r="AH449" s="15"/>
    </row>
    <row r="450" ht="15.75" customHeight="1">
      <c r="A450" s="15"/>
      <c r="B450" s="15"/>
      <c r="C450" s="21"/>
      <c r="D450" s="15"/>
      <c r="E450" s="32" t="s">
        <v>178</v>
      </c>
      <c r="F450" s="32" t="s">
        <v>210</v>
      </c>
      <c r="G450" s="70" t="str">
        <f>HYPERLINK("https://docs.google.com/spreadsheets/d/1mU8GO_fgYXepg5_y4Qi-2_iGROviatlosm4nP23nLXI/edit#gid=1887535910", "https://docs.google.com/spreadsheets/d/1mU8GO_fgYXepg5_y4Qi-2_iGROviatlosm4nP23nLXI/edit#gid=1887535910")</f>
        <v>https://docs.google.com/spreadsheets/d/1mU8GO_fgYXepg5_y4Qi-2_iGROviatlosm4nP23nLXI/edit#gid=1887535910</v>
      </c>
      <c r="H450" s="32" t="s">
        <v>1987</v>
      </c>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c r="AG450" s="15"/>
      <c r="AH450" s="15"/>
    </row>
    <row r="451" ht="15.75" customHeight="1">
      <c r="A451" s="15"/>
      <c r="B451" s="15"/>
      <c r="C451" s="21"/>
      <c r="D451" s="15"/>
      <c r="E451" s="32" t="s">
        <v>86</v>
      </c>
      <c r="F451" s="32" t="s">
        <v>90</v>
      </c>
      <c r="G451" s="70" t="str">
        <f>HYPERLINK("https://docs.google.com/spreadsheets/d/1mU8GO_fgYXepg5_y4Qi-2_iGROviatlosm4nP23nLXI/edit#gid=1516539848", "https://docs.google.com/spreadsheets/d/1mU8GO_fgYXepg5_y4Qi-2_iGROviatlosm4nP23nLXI/edit#gid=1516539848")</f>
        <v>https://docs.google.com/spreadsheets/d/1mU8GO_fgYXepg5_y4Qi-2_iGROviatlosm4nP23nLXI/edit#gid=1516539848</v>
      </c>
      <c r="H451" s="32" t="s">
        <v>90</v>
      </c>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c r="AG451" s="15"/>
      <c r="AH451" s="15"/>
    </row>
    <row r="452" ht="15.75" customHeight="1">
      <c r="A452" s="15"/>
      <c r="B452" s="15"/>
      <c r="C452" s="21"/>
      <c r="D452" s="15"/>
      <c r="E452" s="32" t="s">
        <v>86</v>
      </c>
      <c r="F452" s="32" t="s">
        <v>91</v>
      </c>
      <c r="G452" s="70" t="str">
        <f>HYPERLINK("https://docs.google.com/spreadsheets/d/1mU8GO_fgYXepg5_y4Qi-2_iGROviatlosm4nP23nLXI/edit#gid=1725662829", "https://docs.google.com/spreadsheets/d/1mU8GO_fgYXepg5_y4Qi-2_iGROviatlosm4nP23nLXI/edit#gid=1725662829")</f>
        <v>https://docs.google.com/spreadsheets/d/1mU8GO_fgYXepg5_y4Qi-2_iGROviatlosm4nP23nLXI/edit#gid=1725662829</v>
      </c>
      <c r="H452" s="32" t="s">
        <v>91</v>
      </c>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c r="AG452" s="15"/>
      <c r="AH452" s="15"/>
    </row>
    <row r="453" ht="15.75" customHeight="1">
      <c r="A453" s="15"/>
      <c r="B453" s="15"/>
      <c r="C453" s="21"/>
      <c r="D453" s="15"/>
      <c r="E453" s="32" t="s">
        <v>88</v>
      </c>
      <c r="F453" s="32" t="s">
        <v>95</v>
      </c>
      <c r="G453" s="70" t="str">
        <f>HYPERLINK("https://docs.google.com/spreadsheets/d/1mU8GO_fgYXepg5_y4Qi-2_iGROviatlosm4nP23nLXI/edit#gid=508311579", "https://docs.google.com/spreadsheets/d/1mU8GO_fgYXepg5_y4Qi-2_iGROviatlosm4nP23nLXI/edit#gid=508311579")</f>
        <v>https://docs.google.com/spreadsheets/d/1mU8GO_fgYXepg5_y4Qi-2_iGROviatlosm4nP23nLXI/edit#gid=508311579</v>
      </c>
      <c r="H453" s="32" t="s">
        <v>95</v>
      </c>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c r="AG453" s="15"/>
      <c r="AH453" s="15"/>
    </row>
    <row r="454" ht="15.75" customHeight="1">
      <c r="A454" s="15"/>
      <c r="B454" s="15"/>
      <c r="C454" s="21"/>
      <c r="D454" s="15"/>
      <c r="E454" s="32" t="s">
        <v>88</v>
      </c>
      <c r="F454" s="32" t="s">
        <v>96</v>
      </c>
      <c r="G454" s="70" t="str">
        <f>HYPERLINK("https://docs.google.com/spreadsheets/d/1mU8GO_fgYXepg5_y4Qi-2_iGROviatlosm4nP23nLXI/edit#gid=632753078", "https://docs.google.com/spreadsheets/d/1mU8GO_fgYXepg5_y4Qi-2_iGROviatlosm4nP23nLXI/edit#gid=632753078")</f>
        <v>https://docs.google.com/spreadsheets/d/1mU8GO_fgYXepg5_y4Qi-2_iGROviatlosm4nP23nLXI/edit#gid=632753078</v>
      </c>
      <c r="H454" s="32" t="s">
        <v>96</v>
      </c>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c r="AG454" s="15"/>
      <c r="AH454" s="15"/>
    </row>
    <row r="455" ht="15.75" customHeight="1">
      <c r="A455" s="15"/>
      <c r="B455" s="15"/>
      <c r="C455" s="21"/>
      <c r="D455" s="15"/>
      <c r="E455" s="15"/>
      <c r="F455" s="15"/>
      <c r="G455" s="15"/>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c r="AG455" s="15"/>
      <c r="AH455" s="15"/>
    </row>
    <row r="456" ht="15.75" customHeight="1">
      <c r="A456" s="15"/>
      <c r="B456" s="32" t="s">
        <v>2043</v>
      </c>
      <c r="C456" s="21"/>
      <c r="D456" s="32" t="s">
        <v>20</v>
      </c>
      <c r="E456" s="32" t="s">
        <v>89</v>
      </c>
      <c r="F456" s="32" t="s">
        <v>291</v>
      </c>
      <c r="G456" s="15"/>
      <c r="H456" s="36"/>
      <c r="L456" s="11"/>
      <c r="M456" s="15"/>
      <c r="N456" s="15"/>
      <c r="O456" s="15"/>
      <c r="P456" s="15"/>
      <c r="Q456" s="15"/>
      <c r="R456" s="15"/>
      <c r="S456" s="15"/>
      <c r="T456" s="15"/>
      <c r="U456" s="15"/>
      <c r="V456" s="15"/>
      <c r="W456" s="15"/>
      <c r="X456" s="15"/>
      <c r="Y456" s="15"/>
      <c r="Z456" s="15"/>
      <c r="AA456" s="15"/>
      <c r="AB456" s="15"/>
      <c r="AC456" s="15"/>
      <c r="AD456" s="15"/>
      <c r="AE456" s="15"/>
      <c r="AF456" s="15"/>
      <c r="AG456" s="15"/>
      <c r="AH456" s="15"/>
    </row>
    <row r="457" ht="15.75" customHeight="1">
      <c r="A457" s="15"/>
      <c r="B457" s="32" t="s">
        <v>2044</v>
      </c>
      <c r="C457" s="206" t="s">
        <v>2045</v>
      </c>
      <c r="D457" s="32" t="s">
        <v>20</v>
      </c>
      <c r="E457" s="32" t="s">
        <v>178</v>
      </c>
      <c r="F457" s="32" t="s">
        <v>201</v>
      </c>
      <c r="G457" s="70" t="str">
        <f>HYPERLINK("https://docs.google.com/spreadsheets/d/1RakKqhYvBxit5yVJ4j3LlZ4fHB435YdFM9BDOU-dIx4/edit#gid=861514890", "https://docs.google.com/spreadsheets/d/1RakKqhYvBxit5yVJ4j3LlZ4fHB435YdFM9BDOU-dIx4/edit#gid=861514890")</f>
        <v>https://docs.google.com/spreadsheets/d/1RakKqhYvBxit5yVJ4j3LlZ4fHB435YdFM9BDOU-dIx4/edit#gid=861514890</v>
      </c>
      <c r="H457" s="32" t="s">
        <v>201</v>
      </c>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c r="AG457" s="15"/>
      <c r="AH457" s="15"/>
    </row>
    <row r="458" ht="15.75" customHeight="1">
      <c r="A458" s="15"/>
      <c r="B458" s="15"/>
      <c r="C458" s="21"/>
      <c r="D458" s="15"/>
      <c r="E458" s="32" t="s">
        <v>178</v>
      </c>
      <c r="F458" s="32" t="s">
        <v>202</v>
      </c>
      <c r="G458" s="70" t="str">
        <f>HYPERLINK("https://docs.google.com/spreadsheets/d/1RakKqhYvBxit5yVJ4j3LlZ4fHB435YdFM9BDOU-dIx4/edit#gid=2041324270", "https://docs.google.com/spreadsheets/d/1RakKqhYvBxit5yVJ4j3LlZ4fHB435YdFM9BDOU-dIx4/edit#gid=2041324270")</f>
        <v>https://docs.google.com/spreadsheets/d/1RakKqhYvBxit5yVJ4j3LlZ4fHB435YdFM9BDOU-dIx4/edit#gid=2041324270</v>
      </c>
      <c r="H458" s="32" t="s">
        <v>202</v>
      </c>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c r="AG458" s="15"/>
      <c r="AH458" s="15"/>
    </row>
    <row r="459" ht="15.75" customHeight="1">
      <c r="A459" s="15"/>
      <c r="B459" s="15"/>
      <c r="C459" s="21"/>
      <c r="D459" s="15"/>
      <c r="E459" s="32" t="s">
        <v>21</v>
      </c>
      <c r="F459" s="32" t="s">
        <v>51</v>
      </c>
      <c r="G459" s="70" t="str">
        <f>HYPERLINK("https://docs.google.com/spreadsheets/d/1RakKqhYvBxit5yVJ4j3LlZ4fHB435YdFM9BDOU-dIx4/edit#gid=21069094", "https://docs.google.com/spreadsheets/d/1RakKqhYvBxit5yVJ4j3LlZ4fHB435YdFM9BDOU-dIx4/edit#gid=21069094")</f>
        <v>https://docs.google.com/spreadsheets/d/1RakKqhYvBxit5yVJ4j3LlZ4fHB435YdFM9BDOU-dIx4/edit#gid=21069094</v>
      </c>
      <c r="H459" s="32" t="s">
        <v>51</v>
      </c>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c r="AG459" s="15"/>
      <c r="AH459" s="15"/>
    </row>
    <row r="460" ht="15.75" customHeight="1">
      <c r="A460" s="15"/>
      <c r="B460" s="15"/>
      <c r="C460" s="21"/>
      <c r="D460" s="15"/>
      <c r="E460" s="32" t="s">
        <v>172</v>
      </c>
      <c r="F460" s="32" t="s">
        <v>203</v>
      </c>
      <c r="G460" s="70" t="str">
        <f>HYPERLINK("https://docs.google.com/spreadsheets/d/1RakKqhYvBxit5yVJ4j3LlZ4fHB435YdFM9BDOU-dIx4/edit#gid=1763857994", "https://docs.google.com/spreadsheets/d/1RakKqhYvBxit5yVJ4j3LlZ4fHB435YdFM9BDOU-dIx4/edit#gid=1763857994")</f>
        <v>https://docs.google.com/spreadsheets/d/1RakKqhYvBxit5yVJ4j3LlZ4fHB435YdFM9BDOU-dIx4/edit#gid=1763857994</v>
      </c>
      <c r="H460" s="32" t="s">
        <v>203</v>
      </c>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c r="AG460" s="15"/>
      <c r="AH460" s="15"/>
    </row>
    <row r="461" ht="15.75" customHeight="1">
      <c r="A461" s="15"/>
      <c r="B461" s="15"/>
      <c r="C461" s="21"/>
      <c r="D461" s="15"/>
      <c r="E461" s="32" t="s">
        <v>172</v>
      </c>
      <c r="F461" s="32" t="s">
        <v>204</v>
      </c>
      <c r="G461" s="70" t="str">
        <f>HYPERLINK("https://docs.google.com/spreadsheets/d/1RakKqhYvBxit5yVJ4j3LlZ4fHB435YdFM9BDOU-dIx4/edit#gid=1221419662", "https://docs.google.com/spreadsheets/d/1RakKqhYvBxit5yVJ4j3LlZ4fHB435YdFM9BDOU-dIx4/edit#gid=1221419662")</f>
        <v>https://docs.google.com/spreadsheets/d/1RakKqhYvBxit5yVJ4j3LlZ4fHB435YdFM9BDOU-dIx4/edit#gid=1221419662</v>
      </c>
      <c r="H461" s="32" t="s">
        <v>204</v>
      </c>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c r="AG461" s="15"/>
      <c r="AH461" s="15"/>
    </row>
    <row r="462" ht="15.75" customHeight="1">
      <c r="A462" s="15"/>
      <c r="B462" s="15"/>
      <c r="C462" s="21"/>
      <c r="D462" s="15"/>
      <c r="E462" s="32" t="s">
        <v>178</v>
      </c>
      <c r="F462" s="32" t="s">
        <v>205</v>
      </c>
      <c r="G462" s="70" t="str">
        <f>HYPERLINK("https://docs.google.com/spreadsheets/d/1RakKqhYvBxit5yVJ4j3LlZ4fHB435YdFM9BDOU-dIx4/edit#gid=1007163653", "https://docs.google.com/spreadsheets/d/1RakKqhYvBxit5yVJ4j3LlZ4fHB435YdFM9BDOU-dIx4/edit#gid=1007163653")</f>
        <v>https://docs.google.com/spreadsheets/d/1RakKqhYvBxit5yVJ4j3LlZ4fHB435YdFM9BDOU-dIx4/edit#gid=1007163653</v>
      </c>
      <c r="H462" s="32" t="s">
        <v>205</v>
      </c>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c r="AG462" s="15"/>
      <c r="AH462" s="15"/>
    </row>
    <row r="463" ht="15.75" customHeight="1">
      <c r="A463" s="15"/>
      <c r="B463" s="15"/>
      <c r="C463" s="21"/>
      <c r="D463" s="15"/>
      <c r="E463" s="32" t="s">
        <v>178</v>
      </c>
      <c r="F463" s="32" t="s">
        <v>206</v>
      </c>
      <c r="G463" s="15"/>
      <c r="H463" s="36"/>
      <c r="L463" s="11"/>
      <c r="M463" s="15"/>
      <c r="N463" s="15"/>
      <c r="O463" s="15"/>
      <c r="P463" s="15"/>
      <c r="Q463" s="15"/>
      <c r="R463" s="15"/>
      <c r="S463" s="15"/>
      <c r="T463" s="15"/>
      <c r="U463" s="15"/>
      <c r="V463" s="15"/>
      <c r="W463" s="15"/>
      <c r="X463" s="15"/>
      <c r="Y463" s="15"/>
      <c r="Z463" s="15"/>
      <c r="AA463" s="15"/>
      <c r="AB463" s="15"/>
      <c r="AC463" s="15"/>
      <c r="AD463" s="15"/>
      <c r="AE463" s="15"/>
      <c r="AF463" s="15"/>
      <c r="AG463" s="15"/>
      <c r="AH463" s="15"/>
    </row>
    <row r="464" ht="15.75" customHeight="1">
      <c r="A464" s="15"/>
      <c r="B464" s="15"/>
      <c r="C464" s="21"/>
      <c r="D464" s="15"/>
      <c r="E464" s="32" t="s">
        <v>178</v>
      </c>
      <c r="F464" s="32" t="s">
        <v>207</v>
      </c>
      <c r="G464" s="70" t="str">
        <f>HYPERLINK("https://docs.google.com/spreadsheets/d/1RakKqhYvBxit5yVJ4j3LlZ4fHB435YdFM9BDOU-dIx4/edit#gid=1050162324", "https://docs.google.com/spreadsheets/d/1RakKqhYvBxit5yVJ4j3LlZ4fHB435YdFM9BDOU-dIx4/edit#gid=1050162324")</f>
        <v>https://docs.google.com/spreadsheets/d/1RakKqhYvBxit5yVJ4j3LlZ4fHB435YdFM9BDOU-dIx4/edit#gid=1050162324</v>
      </c>
      <c r="H464" s="32" t="s">
        <v>207</v>
      </c>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c r="AG464" s="15"/>
      <c r="AH464" s="15"/>
    </row>
    <row r="465" ht="15.75" customHeight="1">
      <c r="A465" s="15"/>
      <c r="B465" s="15"/>
      <c r="C465" s="21"/>
      <c r="D465" s="15"/>
      <c r="E465" s="32" t="s">
        <v>172</v>
      </c>
      <c r="F465" s="32" t="s">
        <v>203</v>
      </c>
      <c r="G465" s="70" t="str">
        <f>HYPERLINK("https://docs.google.com/spreadsheets/d/1RakKqhYvBxit5yVJ4j3LlZ4fHB435YdFM9BDOU-dIx4/edit#gid=52062330", "https://docs.google.com/spreadsheets/d/1RakKqhYvBxit5yVJ4j3LlZ4fHB435YdFM9BDOU-dIx4/edit#gid=52062330")</f>
        <v>https://docs.google.com/spreadsheets/d/1RakKqhYvBxit5yVJ4j3LlZ4fHB435YdFM9BDOU-dIx4/edit#gid=52062330</v>
      </c>
      <c r="H465" s="32" t="s">
        <v>1995</v>
      </c>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c r="AG465" s="15"/>
      <c r="AH465" s="15"/>
    </row>
    <row r="466" ht="15.75" customHeight="1">
      <c r="A466" s="15"/>
      <c r="B466" s="15"/>
      <c r="C466" s="21"/>
      <c r="D466" s="15"/>
      <c r="E466" s="32" t="s">
        <v>172</v>
      </c>
      <c r="F466" s="32" t="s">
        <v>204</v>
      </c>
      <c r="G466" s="70" t="str">
        <f>HYPERLINK("https://docs.google.com/spreadsheets/d/1RakKqhYvBxit5yVJ4j3LlZ4fHB435YdFM9BDOU-dIx4/edit#gid=1267367641", "https://docs.google.com/spreadsheets/d/1RakKqhYvBxit5yVJ4j3LlZ4fHB435YdFM9BDOU-dIx4/edit#gid=1267367641")</f>
        <v>https://docs.google.com/spreadsheets/d/1RakKqhYvBxit5yVJ4j3LlZ4fHB435YdFM9BDOU-dIx4/edit#gid=1267367641</v>
      </c>
      <c r="H466" s="32" t="s">
        <v>1996</v>
      </c>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c r="AG466" s="15"/>
      <c r="AH466" s="15"/>
    </row>
    <row r="467" ht="15.75" customHeight="1">
      <c r="A467" s="15"/>
      <c r="B467" s="15"/>
      <c r="C467" s="21"/>
      <c r="D467" s="15"/>
      <c r="E467" s="32" t="s">
        <v>178</v>
      </c>
      <c r="F467" s="32" t="s">
        <v>205</v>
      </c>
      <c r="G467" s="70" t="str">
        <f>HYPERLINK("https://docs.google.com/spreadsheets/d/1RakKqhYvBxit5yVJ4j3LlZ4fHB435YdFM9BDOU-dIx4/edit#gid=1216102435", "https://docs.google.com/spreadsheets/d/1RakKqhYvBxit5yVJ4j3LlZ4fHB435YdFM9BDOU-dIx4/edit#gid=1216102435")</f>
        <v>https://docs.google.com/spreadsheets/d/1RakKqhYvBxit5yVJ4j3LlZ4fHB435YdFM9BDOU-dIx4/edit#gid=1216102435</v>
      </c>
      <c r="H467" s="32" t="s">
        <v>1997</v>
      </c>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c r="AG467" s="15"/>
      <c r="AH467" s="15"/>
    </row>
    <row r="468" ht="15.75" customHeight="1">
      <c r="A468" s="15"/>
      <c r="B468" s="15"/>
      <c r="C468" s="21"/>
      <c r="D468" s="15"/>
      <c r="E468" s="32" t="s">
        <v>178</v>
      </c>
      <c r="F468" s="32" t="s">
        <v>206</v>
      </c>
      <c r="G468" s="15"/>
      <c r="H468" s="36"/>
      <c r="L468" s="11"/>
      <c r="M468" s="15"/>
      <c r="N468" s="15"/>
      <c r="O468" s="15"/>
      <c r="P468" s="15"/>
      <c r="Q468" s="15"/>
      <c r="R468" s="15"/>
      <c r="S468" s="15"/>
      <c r="T468" s="15"/>
      <c r="U468" s="15"/>
      <c r="V468" s="15"/>
      <c r="W468" s="15"/>
      <c r="X468" s="15"/>
      <c r="Y468" s="15"/>
      <c r="Z468" s="15"/>
      <c r="AA468" s="15"/>
      <c r="AB468" s="15"/>
      <c r="AC468" s="15"/>
      <c r="AD468" s="15"/>
      <c r="AE468" s="15"/>
      <c r="AF468" s="15"/>
      <c r="AG468" s="15"/>
      <c r="AH468" s="15"/>
    </row>
    <row r="469" ht="15.75" customHeight="1">
      <c r="A469" s="15"/>
      <c r="B469" s="15"/>
      <c r="C469" s="21"/>
      <c r="D469" s="15"/>
      <c r="E469" s="32" t="s">
        <v>178</v>
      </c>
      <c r="F469" s="32" t="s">
        <v>207</v>
      </c>
      <c r="G469" s="70" t="str">
        <f>HYPERLINK("https://docs.google.com/spreadsheets/d/1RakKqhYvBxit5yVJ4j3LlZ4fHB435YdFM9BDOU-dIx4/edit#gid=1579941811", "https://docs.google.com/spreadsheets/d/1RakKqhYvBxit5yVJ4j3LlZ4fHB435YdFM9BDOU-dIx4/edit#gid=1579941811")</f>
        <v>https://docs.google.com/spreadsheets/d/1RakKqhYvBxit5yVJ4j3LlZ4fHB435YdFM9BDOU-dIx4/edit#gid=1579941811</v>
      </c>
      <c r="H469" s="32" t="s">
        <v>1998</v>
      </c>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c r="AG469" s="15"/>
      <c r="AH469" s="15"/>
    </row>
    <row r="470" ht="15.75" customHeight="1">
      <c r="A470" s="15"/>
      <c r="B470" s="15"/>
      <c r="C470" s="21"/>
      <c r="D470" s="15"/>
      <c r="E470" s="32" t="s">
        <v>178</v>
      </c>
      <c r="F470" s="32" t="s">
        <v>208</v>
      </c>
      <c r="G470" s="70" t="str">
        <f>HYPERLINK("https://docs.google.com/spreadsheets/d/1RakKqhYvBxit5yVJ4j3LlZ4fHB435YdFM9BDOU-dIx4/edit#gid=286283918", "https://docs.google.com/spreadsheets/d/1RakKqhYvBxit5yVJ4j3LlZ4fHB435YdFM9BDOU-dIx4/edit#gid=286283918")</f>
        <v>https://docs.google.com/spreadsheets/d/1RakKqhYvBxit5yVJ4j3LlZ4fHB435YdFM9BDOU-dIx4/edit#gid=286283918</v>
      </c>
      <c r="H470" s="32" t="s">
        <v>208</v>
      </c>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c r="AG470" s="15"/>
      <c r="AH470" s="15"/>
    </row>
    <row r="471" ht="15.75" customHeight="1">
      <c r="A471" s="15"/>
      <c r="B471" s="15"/>
      <c r="C471" s="21"/>
      <c r="D471" s="15"/>
      <c r="E471" s="32" t="s">
        <v>178</v>
      </c>
      <c r="F471" s="32" t="s">
        <v>182</v>
      </c>
      <c r="G471" s="70" t="str">
        <f>HYPERLINK("https://docs.google.com/spreadsheets/d/1RakKqhYvBxit5yVJ4j3LlZ4fHB435YdFM9BDOU-dIx4/edit#gid=1506430685", "https://docs.google.com/spreadsheets/d/1RakKqhYvBxit5yVJ4j3LlZ4fHB435YdFM9BDOU-dIx4/edit#gid=1506430685")</f>
        <v>https://docs.google.com/spreadsheets/d/1RakKqhYvBxit5yVJ4j3LlZ4fHB435YdFM9BDOU-dIx4/edit#gid=1506430685</v>
      </c>
      <c r="H471" s="32" t="s">
        <v>182</v>
      </c>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c r="AG471" s="15"/>
      <c r="AH471" s="15"/>
    </row>
    <row r="472" ht="15.75" customHeight="1">
      <c r="A472" s="15"/>
      <c r="B472" s="15"/>
      <c r="C472" s="21"/>
      <c r="D472" s="15"/>
      <c r="E472" s="32" t="s">
        <v>178</v>
      </c>
      <c r="F472" s="32" t="s">
        <v>180</v>
      </c>
      <c r="G472" s="70" t="str">
        <f>HYPERLINK("https://docs.google.com/spreadsheets/d/1RakKqhYvBxit5yVJ4j3LlZ4fHB435YdFM9BDOU-dIx4/edit#gid=1894185128", "https://docs.google.com/spreadsheets/d/1RakKqhYvBxit5yVJ4j3LlZ4fHB435YdFM9BDOU-dIx4/edit#gid=1894185128")</f>
        <v>https://docs.google.com/spreadsheets/d/1RakKqhYvBxit5yVJ4j3LlZ4fHB435YdFM9BDOU-dIx4/edit#gid=1894185128</v>
      </c>
      <c r="H472" s="32" t="s">
        <v>180</v>
      </c>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c r="AG472" s="15"/>
      <c r="AH472" s="15"/>
    </row>
    <row r="473" ht="15.75" customHeight="1">
      <c r="A473" s="15"/>
      <c r="B473" s="15"/>
      <c r="C473" s="21"/>
      <c r="D473" s="15"/>
      <c r="E473" s="32" t="s">
        <v>178</v>
      </c>
      <c r="F473" s="32" t="s">
        <v>209</v>
      </c>
      <c r="G473" s="70" t="str">
        <f>HYPERLINK("https://docs.google.com/spreadsheets/d/1RakKqhYvBxit5yVJ4j3LlZ4fHB435YdFM9BDOU-dIx4/edit#gid=1417041797", "https://docs.google.com/spreadsheets/d/1RakKqhYvBxit5yVJ4j3LlZ4fHB435YdFM9BDOU-dIx4/edit#gid=1417041797")</f>
        <v>https://docs.google.com/spreadsheets/d/1RakKqhYvBxit5yVJ4j3LlZ4fHB435YdFM9BDOU-dIx4/edit#gid=1417041797</v>
      </c>
      <c r="H473" s="32" t="s">
        <v>209</v>
      </c>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c r="AG473" s="15"/>
      <c r="AH473" s="15"/>
    </row>
    <row r="474" ht="15.75" customHeight="1">
      <c r="A474" s="15"/>
      <c r="B474" s="15"/>
      <c r="C474" s="21"/>
      <c r="D474" s="15"/>
      <c r="E474" s="32" t="s">
        <v>178</v>
      </c>
      <c r="F474" s="32" t="s">
        <v>210</v>
      </c>
      <c r="G474" s="70" t="str">
        <f>HYPERLINK("https://docs.google.com/spreadsheets/d/1RakKqhYvBxit5yVJ4j3LlZ4fHB435YdFM9BDOU-dIx4/edit#gid=856091565", "https://docs.google.com/spreadsheets/d/1RakKqhYvBxit5yVJ4j3LlZ4fHB435YdFM9BDOU-dIx4/edit#gid=856091565")</f>
        <v>https://docs.google.com/spreadsheets/d/1RakKqhYvBxit5yVJ4j3LlZ4fHB435YdFM9BDOU-dIx4/edit#gid=856091565</v>
      </c>
      <c r="H474" s="32" t="s">
        <v>210</v>
      </c>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c r="AG474" s="15"/>
      <c r="AH474" s="15"/>
    </row>
    <row r="475" ht="15.75" customHeight="1">
      <c r="A475" s="15"/>
      <c r="B475" s="15"/>
      <c r="C475" s="21"/>
      <c r="D475" s="15"/>
      <c r="E475" s="32" t="s">
        <v>157</v>
      </c>
      <c r="F475" s="32" t="s">
        <v>161</v>
      </c>
      <c r="G475" s="70" t="str">
        <f>HYPERLINK("https://docs.google.com/spreadsheets/d/1RakKqhYvBxit5yVJ4j3LlZ4fHB435YdFM9BDOU-dIx4/edit#gid=2020655109", "https://docs.google.com/spreadsheets/d/1RakKqhYvBxit5yVJ4j3LlZ4fHB435YdFM9BDOU-dIx4/edit#gid=2020655109")</f>
        <v>https://docs.google.com/spreadsheets/d/1RakKqhYvBxit5yVJ4j3LlZ4fHB435YdFM9BDOU-dIx4/edit#gid=2020655109</v>
      </c>
      <c r="H475" s="32" t="s">
        <v>161</v>
      </c>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c r="AG475" s="15"/>
      <c r="AH475" s="15"/>
    </row>
    <row r="476" ht="15.75" customHeight="1">
      <c r="A476" s="15"/>
      <c r="B476" s="15"/>
      <c r="C476" s="21"/>
      <c r="D476" s="15"/>
      <c r="E476" s="32" t="s">
        <v>157</v>
      </c>
      <c r="F476" s="32" t="s">
        <v>158</v>
      </c>
      <c r="G476" s="70" t="str">
        <f>HYPERLINK("https://docs.google.com/spreadsheets/d/1RakKqhYvBxit5yVJ4j3LlZ4fHB435YdFM9BDOU-dIx4/edit#gid=157188526", "https://docs.google.com/spreadsheets/d/1RakKqhYvBxit5yVJ4j3LlZ4fHB435YdFM9BDOU-dIx4/edit#gid=157188526")</f>
        <v>https://docs.google.com/spreadsheets/d/1RakKqhYvBxit5yVJ4j3LlZ4fHB435YdFM9BDOU-dIx4/edit#gid=157188526</v>
      </c>
      <c r="H476" s="32" t="s">
        <v>158</v>
      </c>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c r="AG476" s="15"/>
      <c r="AH476" s="15"/>
    </row>
    <row r="477" ht="15.75" customHeight="1">
      <c r="A477" s="15"/>
      <c r="B477" s="15"/>
      <c r="C477" s="21"/>
      <c r="D477" s="15"/>
      <c r="E477" s="32" t="s">
        <v>157</v>
      </c>
      <c r="F477" s="32" t="s">
        <v>196</v>
      </c>
      <c r="G477" s="70" t="str">
        <f>HYPERLINK("https://docs.google.com/spreadsheets/d/1RakKqhYvBxit5yVJ4j3LlZ4fHB435YdFM9BDOU-dIx4/edit#gid=86125591", "https://docs.google.com/spreadsheets/d/1RakKqhYvBxit5yVJ4j3LlZ4fHB435YdFM9BDOU-dIx4/edit#gid=86125591")</f>
        <v>https://docs.google.com/spreadsheets/d/1RakKqhYvBxit5yVJ4j3LlZ4fHB435YdFM9BDOU-dIx4/edit#gid=86125591</v>
      </c>
      <c r="H477" s="32" t="s">
        <v>196</v>
      </c>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c r="AG477" s="15"/>
      <c r="AH477" s="15"/>
    </row>
    <row r="478" ht="15.75" customHeight="1">
      <c r="A478" s="15"/>
      <c r="B478" s="15"/>
      <c r="C478" s="21"/>
      <c r="D478" s="15"/>
      <c r="E478" s="32" t="s">
        <v>172</v>
      </c>
      <c r="F478" s="32" t="s">
        <v>203</v>
      </c>
      <c r="G478" s="70" t="str">
        <f>HYPERLINK("https://docs.google.com/spreadsheets/d/1RakKqhYvBxit5yVJ4j3LlZ4fHB435YdFM9BDOU-dIx4/edit#gid=1892816714", "https://docs.google.com/spreadsheets/d/1RakKqhYvBxit5yVJ4j3LlZ4fHB435YdFM9BDOU-dIx4/edit#gid=1892816714")</f>
        <v>https://docs.google.com/spreadsheets/d/1RakKqhYvBxit5yVJ4j3LlZ4fHB435YdFM9BDOU-dIx4/edit#gid=1892816714</v>
      </c>
      <c r="H478" s="32" t="s">
        <v>1999</v>
      </c>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c r="AG478" s="15"/>
      <c r="AH478" s="15"/>
    </row>
    <row r="479" ht="15.75" customHeight="1">
      <c r="A479" s="15"/>
      <c r="B479" s="15"/>
      <c r="C479" s="21"/>
      <c r="D479" s="15"/>
      <c r="E479" s="32" t="s">
        <v>172</v>
      </c>
      <c r="F479" s="32" t="s">
        <v>204</v>
      </c>
      <c r="G479" s="70" t="str">
        <f>HYPERLINK("https://docs.google.com/spreadsheets/d/1RakKqhYvBxit5yVJ4j3LlZ4fHB435YdFM9BDOU-dIx4/edit#gid=316008731", "https://docs.google.com/spreadsheets/d/1RakKqhYvBxit5yVJ4j3LlZ4fHB435YdFM9BDOU-dIx4/edit#gid=316008731")</f>
        <v>https://docs.google.com/spreadsheets/d/1RakKqhYvBxit5yVJ4j3LlZ4fHB435YdFM9BDOU-dIx4/edit#gid=316008731</v>
      </c>
      <c r="H479" s="32" t="s">
        <v>2000</v>
      </c>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c r="AG479" s="15"/>
      <c r="AH479" s="15"/>
    </row>
    <row r="480" ht="15.75" customHeight="1">
      <c r="A480" s="15"/>
      <c r="B480" s="15"/>
      <c r="C480" s="21"/>
      <c r="D480" s="15"/>
      <c r="E480" s="32" t="s">
        <v>178</v>
      </c>
      <c r="F480" s="32" t="s">
        <v>207</v>
      </c>
      <c r="G480" s="70" t="str">
        <f>HYPERLINK("https://docs.google.com/spreadsheets/d/1RakKqhYvBxit5yVJ4j3LlZ4fHB435YdFM9BDOU-dIx4/edit#gid=1034974244", "https://docs.google.com/spreadsheets/d/1RakKqhYvBxit5yVJ4j3LlZ4fHB435YdFM9BDOU-dIx4/edit#gid=1034974244")</f>
        <v>https://docs.google.com/spreadsheets/d/1RakKqhYvBxit5yVJ4j3LlZ4fHB435YdFM9BDOU-dIx4/edit#gid=1034974244</v>
      </c>
      <c r="H480" s="32" t="s">
        <v>2001</v>
      </c>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c r="AG480" s="15"/>
      <c r="AH480" s="15"/>
    </row>
    <row r="481" ht="15.75" customHeight="1">
      <c r="A481" s="15"/>
      <c r="B481" s="15"/>
      <c r="C481" s="21"/>
      <c r="D481" s="15"/>
      <c r="E481" s="32" t="s">
        <v>178</v>
      </c>
      <c r="F481" s="32" t="s">
        <v>208</v>
      </c>
      <c r="G481" s="70" t="str">
        <f>HYPERLINK("https://docs.google.com/spreadsheets/d/1RakKqhYvBxit5yVJ4j3LlZ4fHB435YdFM9BDOU-dIx4/edit#gid=865084111", "https://docs.google.com/spreadsheets/d/1RakKqhYvBxit5yVJ4j3LlZ4fHB435YdFM9BDOU-dIx4/edit#gid=865084111")</f>
        <v>https://docs.google.com/spreadsheets/d/1RakKqhYvBxit5yVJ4j3LlZ4fHB435YdFM9BDOU-dIx4/edit#gid=865084111</v>
      </c>
      <c r="H481" s="32" t="s">
        <v>2002</v>
      </c>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c r="AG481" s="15"/>
      <c r="AH481" s="15"/>
    </row>
    <row r="482" ht="15.75" customHeight="1">
      <c r="A482" s="15"/>
      <c r="B482" s="15"/>
      <c r="C482" s="21"/>
      <c r="D482" s="15"/>
      <c r="E482" s="32" t="s">
        <v>178</v>
      </c>
      <c r="F482" s="32" t="s">
        <v>182</v>
      </c>
      <c r="G482" s="70" t="str">
        <f>HYPERLINK("https://docs.google.com/spreadsheets/d/1RakKqhYvBxit5yVJ4j3LlZ4fHB435YdFM9BDOU-dIx4/edit#gid=603301375", "https://docs.google.com/spreadsheets/d/1RakKqhYvBxit5yVJ4j3LlZ4fHB435YdFM9BDOU-dIx4/edit#gid=603301375")</f>
        <v>https://docs.google.com/spreadsheets/d/1RakKqhYvBxit5yVJ4j3LlZ4fHB435YdFM9BDOU-dIx4/edit#gid=603301375</v>
      </c>
      <c r="H482" s="32" t="s">
        <v>2003</v>
      </c>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c r="AG482" s="15"/>
      <c r="AH482" s="15"/>
    </row>
    <row r="483" ht="15.75" customHeight="1">
      <c r="A483" s="15"/>
      <c r="B483" s="15"/>
      <c r="C483" s="21"/>
      <c r="D483" s="15"/>
      <c r="E483" s="32" t="s">
        <v>178</v>
      </c>
      <c r="F483" s="32" t="s">
        <v>180</v>
      </c>
      <c r="G483" s="70" t="str">
        <f>HYPERLINK("https://docs.google.com/spreadsheets/d/1RakKqhYvBxit5yVJ4j3LlZ4fHB435YdFM9BDOU-dIx4/edit#gid=56478006", "https://docs.google.com/spreadsheets/d/1RakKqhYvBxit5yVJ4j3LlZ4fHB435YdFM9BDOU-dIx4/edit#gid=56478006")</f>
        <v>https://docs.google.com/spreadsheets/d/1RakKqhYvBxit5yVJ4j3LlZ4fHB435YdFM9BDOU-dIx4/edit#gid=56478006</v>
      </c>
      <c r="H483" s="32" t="s">
        <v>2009</v>
      </c>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c r="AG483" s="15"/>
      <c r="AH483" s="15"/>
    </row>
    <row r="484" ht="15.75" customHeight="1">
      <c r="A484" s="15"/>
      <c r="B484" s="15"/>
      <c r="C484" s="21"/>
      <c r="D484" s="15"/>
      <c r="E484" s="32" t="s">
        <v>178</v>
      </c>
      <c r="F484" s="32" t="s">
        <v>209</v>
      </c>
      <c r="G484" s="70" t="str">
        <f>HYPERLINK("https://docs.google.com/spreadsheets/d/1RakKqhYvBxit5yVJ4j3LlZ4fHB435YdFM9BDOU-dIx4/edit#gid=322262069", "https://docs.google.com/spreadsheets/d/1RakKqhYvBxit5yVJ4j3LlZ4fHB435YdFM9BDOU-dIx4/edit#gid=322262069")</f>
        <v>https://docs.google.com/spreadsheets/d/1RakKqhYvBxit5yVJ4j3LlZ4fHB435YdFM9BDOU-dIx4/edit#gid=322262069</v>
      </c>
      <c r="H484" s="32" t="s">
        <v>1986</v>
      </c>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c r="AG484" s="15"/>
      <c r="AH484" s="15"/>
    </row>
    <row r="485" ht="15.75" customHeight="1">
      <c r="A485" s="15"/>
      <c r="B485" s="15"/>
      <c r="C485" s="21"/>
      <c r="D485" s="15"/>
      <c r="E485" s="32" t="s">
        <v>178</v>
      </c>
      <c r="F485" s="32" t="s">
        <v>210</v>
      </c>
      <c r="G485" s="70" t="str">
        <f>HYPERLINK("https://docs.google.com/spreadsheets/d/1RakKqhYvBxit5yVJ4j3LlZ4fHB435YdFM9BDOU-dIx4/edit#gid=571676840", "https://docs.google.com/spreadsheets/d/1RakKqhYvBxit5yVJ4j3LlZ4fHB435YdFM9BDOU-dIx4/edit#gid=571676840")</f>
        <v>https://docs.google.com/spreadsheets/d/1RakKqhYvBxit5yVJ4j3LlZ4fHB435YdFM9BDOU-dIx4/edit#gid=571676840</v>
      </c>
      <c r="H485" s="32" t="s">
        <v>1987</v>
      </c>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c r="AG485" s="15"/>
      <c r="AH485" s="15"/>
    </row>
    <row r="486" ht="15.75" customHeight="1">
      <c r="A486" s="15"/>
      <c r="B486" s="15"/>
      <c r="C486" s="21"/>
      <c r="D486" s="15"/>
      <c r="E486" s="32" t="s">
        <v>86</v>
      </c>
      <c r="F486" s="32" t="s">
        <v>90</v>
      </c>
      <c r="G486" s="70" t="str">
        <f>HYPERLINK("https://docs.google.com/spreadsheets/d/1RakKqhYvBxit5yVJ4j3LlZ4fHB435YdFM9BDOU-dIx4/edit#gid=1768880797", "https://docs.google.com/spreadsheets/d/1RakKqhYvBxit5yVJ4j3LlZ4fHB435YdFM9BDOU-dIx4/edit#gid=1768880797")</f>
        <v>https://docs.google.com/spreadsheets/d/1RakKqhYvBxit5yVJ4j3LlZ4fHB435YdFM9BDOU-dIx4/edit#gid=1768880797</v>
      </c>
      <c r="H486" s="32" t="s">
        <v>90</v>
      </c>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c r="AG486" s="15"/>
      <c r="AH486" s="15"/>
    </row>
    <row r="487" ht="15.75" customHeight="1">
      <c r="A487" s="15"/>
      <c r="B487" s="15"/>
      <c r="C487" s="21"/>
      <c r="D487" s="15"/>
      <c r="E487" s="32" t="s">
        <v>86</v>
      </c>
      <c r="F487" s="32" t="s">
        <v>91</v>
      </c>
      <c r="G487" s="70" t="str">
        <f>HYPERLINK("https://docs.google.com/spreadsheets/d/1RakKqhYvBxit5yVJ4j3LlZ4fHB435YdFM9BDOU-dIx4/edit#gid=1543910557", "https://docs.google.com/spreadsheets/d/1RakKqhYvBxit5yVJ4j3LlZ4fHB435YdFM9BDOU-dIx4/edit#gid=1543910557")</f>
        <v>https://docs.google.com/spreadsheets/d/1RakKqhYvBxit5yVJ4j3LlZ4fHB435YdFM9BDOU-dIx4/edit#gid=1543910557</v>
      </c>
      <c r="H487" s="32" t="s">
        <v>91</v>
      </c>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c r="AG487" s="15"/>
      <c r="AH487" s="15"/>
    </row>
    <row r="488" ht="15.75" customHeight="1">
      <c r="A488" s="15"/>
      <c r="B488" s="15"/>
      <c r="C488" s="21"/>
      <c r="D488" s="15"/>
      <c r="E488" s="32" t="s">
        <v>88</v>
      </c>
      <c r="F488" s="32" t="s">
        <v>95</v>
      </c>
      <c r="G488" s="70" t="str">
        <f>HYPERLINK("https://docs.google.com/spreadsheets/d/1RakKqhYvBxit5yVJ4j3LlZ4fHB435YdFM9BDOU-dIx4/edit#gid=1136472143", "https://docs.google.com/spreadsheets/d/1RakKqhYvBxit5yVJ4j3LlZ4fHB435YdFM9BDOU-dIx4/edit#gid=1136472143")</f>
        <v>https://docs.google.com/spreadsheets/d/1RakKqhYvBxit5yVJ4j3LlZ4fHB435YdFM9BDOU-dIx4/edit#gid=1136472143</v>
      </c>
      <c r="H488" s="32" t="s">
        <v>95</v>
      </c>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c r="AG488" s="15"/>
      <c r="AH488" s="15"/>
    </row>
    <row r="489" ht="15.75" customHeight="1">
      <c r="A489" s="15"/>
      <c r="B489" s="15"/>
      <c r="C489" s="21"/>
      <c r="D489" s="15"/>
      <c r="E489" s="32" t="s">
        <v>88</v>
      </c>
      <c r="F489" s="32" t="s">
        <v>96</v>
      </c>
      <c r="G489" s="70" t="str">
        <f>HYPERLINK("https://docs.google.com/spreadsheets/d/1RakKqhYvBxit5yVJ4j3LlZ4fHB435YdFM9BDOU-dIx4/edit#gid=1340491636", "https://docs.google.com/spreadsheets/d/1RakKqhYvBxit5yVJ4j3LlZ4fHB435YdFM9BDOU-dIx4/edit#gid=1340491636")</f>
        <v>https://docs.google.com/spreadsheets/d/1RakKqhYvBxit5yVJ4j3LlZ4fHB435YdFM9BDOU-dIx4/edit#gid=1340491636</v>
      </c>
      <c r="H489" s="32" t="s">
        <v>96</v>
      </c>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c r="AG489" s="15"/>
      <c r="AH489" s="15"/>
    </row>
    <row r="490" ht="15.75" customHeight="1">
      <c r="A490" s="15"/>
      <c r="B490" s="15"/>
      <c r="C490" s="21"/>
      <c r="D490" s="15"/>
      <c r="E490" s="15"/>
      <c r="F490" s="15"/>
      <c r="G490" s="15"/>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c r="AG490" s="15"/>
      <c r="AH490" s="15"/>
    </row>
    <row r="491" ht="15.75" customHeight="1">
      <c r="A491" s="15"/>
      <c r="B491" s="32" t="s">
        <v>2046</v>
      </c>
      <c r="C491" s="66" t="s">
        <v>2047</v>
      </c>
      <c r="D491" s="32" t="s">
        <v>20</v>
      </c>
      <c r="E491" s="32" t="s">
        <v>89</v>
      </c>
      <c r="F491" s="32" t="s">
        <v>291</v>
      </c>
      <c r="G491" s="15"/>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c r="AG491" s="15"/>
      <c r="AH491" s="15"/>
    </row>
    <row r="492" ht="15.75" customHeight="1">
      <c r="A492" s="15"/>
      <c r="B492" s="32" t="s">
        <v>2048</v>
      </c>
      <c r="C492" s="204" t="s">
        <v>2049</v>
      </c>
      <c r="D492" s="32" t="s">
        <v>20</v>
      </c>
      <c r="E492" s="32" t="s">
        <v>178</v>
      </c>
      <c r="F492" s="32" t="s">
        <v>201</v>
      </c>
      <c r="G492" s="70" t="str">
        <f>HYPERLINK("https://docs.google.com/spreadsheets/d/1ZlSKik6-WjG3VJEKxEurVP311B30lyI2ei8NbYAlEi0/edit#gid=1087286351", "https://docs.google.com/spreadsheets/d/1ZlSKik6-WjG3VJEKxEurVP311B30lyI2ei8NbYAlEi0/edit#gid=1087286351")</f>
        <v>https://docs.google.com/spreadsheets/d/1ZlSKik6-WjG3VJEKxEurVP311B30lyI2ei8NbYAlEi0/edit#gid=1087286351</v>
      </c>
      <c r="H492" s="32" t="s">
        <v>201</v>
      </c>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c r="AG492" s="15"/>
      <c r="AH492" s="15"/>
    </row>
    <row r="493" ht="15.75" customHeight="1">
      <c r="A493" s="15"/>
      <c r="B493" s="15"/>
      <c r="C493" s="21"/>
      <c r="D493" s="15"/>
      <c r="E493" s="32" t="s">
        <v>178</v>
      </c>
      <c r="F493" s="32" t="s">
        <v>202</v>
      </c>
      <c r="G493" s="70" t="str">
        <f>HYPERLINK("https://docs.google.com/spreadsheets/d/1ZlSKik6-WjG3VJEKxEurVP311B30lyI2ei8NbYAlEi0/edit#gid=1985199848", "https://docs.google.com/spreadsheets/d/1ZlSKik6-WjG3VJEKxEurVP311B30lyI2ei8NbYAlEi0/edit#gid=1985199848")</f>
        <v>https://docs.google.com/spreadsheets/d/1ZlSKik6-WjG3VJEKxEurVP311B30lyI2ei8NbYAlEi0/edit#gid=1985199848</v>
      </c>
      <c r="H493" s="32" t="s">
        <v>202</v>
      </c>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c r="AG493" s="15"/>
      <c r="AH493" s="15"/>
    </row>
    <row r="494" ht="15.75" customHeight="1">
      <c r="A494" s="15"/>
      <c r="B494" s="15"/>
      <c r="C494" s="21"/>
      <c r="D494" s="15"/>
      <c r="E494" s="32" t="s">
        <v>21</v>
      </c>
      <c r="F494" s="32" t="s">
        <v>51</v>
      </c>
      <c r="G494" s="70" t="str">
        <f>HYPERLINK("https://docs.google.com/spreadsheets/d/1ZlSKik6-WjG3VJEKxEurVP311B30lyI2ei8NbYAlEi0/edit#gid=101739835", "https://docs.google.com/spreadsheets/d/1ZlSKik6-WjG3VJEKxEurVP311B30lyI2ei8NbYAlEi0/edit#gid=101739835")</f>
        <v>https://docs.google.com/spreadsheets/d/1ZlSKik6-WjG3VJEKxEurVP311B30lyI2ei8NbYAlEi0/edit#gid=101739835</v>
      </c>
      <c r="H494" s="32" t="s">
        <v>51</v>
      </c>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c r="AG494" s="15"/>
      <c r="AH494" s="15"/>
    </row>
    <row r="495" ht="15.75" customHeight="1">
      <c r="A495" s="15"/>
      <c r="B495" s="15"/>
      <c r="C495" s="21"/>
      <c r="D495" s="15"/>
      <c r="E495" s="32" t="s">
        <v>172</v>
      </c>
      <c r="F495" s="32" t="s">
        <v>203</v>
      </c>
      <c r="G495" s="70" t="str">
        <f>HYPERLINK("https://docs.google.com/spreadsheets/d/1ZlSKik6-WjG3VJEKxEurVP311B30lyI2ei8NbYAlEi0/edit#gid=209979003", "https://docs.google.com/spreadsheets/d/1ZlSKik6-WjG3VJEKxEurVP311B30lyI2ei8NbYAlEi0/edit#gid=209979003")</f>
        <v>https://docs.google.com/spreadsheets/d/1ZlSKik6-WjG3VJEKxEurVP311B30lyI2ei8NbYAlEi0/edit#gid=209979003</v>
      </c>
      <c r="H495" s="32" t="s">
        <v>203</v>
      </c>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c r="AG495" s="15"/>
      <c r="AH495" s="15"/>
    </row>
    <row r="496" ht="15.75" customHeight="1">
      <c r="A496" s="15"/>
      <c r="B496" s="15"/>
      <c r="C496" s="21"/>
      <c r="D496" s="15"/>
      <c r="E496" s="32" t="s">
        <v>172</v>
      </c>
      <c r="F496" s="32" t="s">
        <v>204</v>
      </c>
      <c r="G496" s="70" t="str">
        <f>HYPERLINK("https://docs.google.com/spreadsheets/d/1ZlSKik6-WjG3VJEKxEurVP311B30lyI2ei8NbYAlEi0/edit#gid=1681776177", "https://docs.google.com/spreadsheets/d/1ZlSKik6-WjG3VJEKxEurVP311B30lyI2ei8NbYAlEi0/edit#gid=1681776177")</f>
        <v>https://docs.google.com/spreadsheets/d/1ZlSKik6-WjG3VJEKxEurVP311B30lyI2ei8NbYAlEi0/edit#gid=1681776177</v>
      </c>
      <c r="H496" s="32" t="s">
        <v>204</v>
      </c>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c r="AG496" s="15"/>
      <c r="AH496" s="15"/>
    </row>
    <row r="497" ht="15.75" customHeight="1">
      <c r="A497" s="15"/>
      <c r="B497" s="15"/>
      <c r="C497" s="21"/>
      <c r="D497" s="15"/>
      <c r="E497" s="32" t="s">
        <v>178</v>
      </c>
      <c r="F497" s="32" t="s">
        <v>205</v>
      </c>
      <c r="G497" s="70" t="str">
        <f>HYPERLINK("https://docs.google.com/spreadsheets/d/1ZlSKik6-WjG3VJEKxEurVP311B30lyI2ei8NbYAlEi0/edit#gid=534895216", "https://docs.google.com/spreadsheets/d/1ZlSKik6-WjG3VJEKxEurVP311B30lyI2ei8NbYAlEi0/edit#gid=534895216")</f>
        <v>https://docs.google.com/spreadsheets/d/1ZlSKik6-WjG3VJEKxEurVP311B30lyI2ei8NbYAlEi0/edit#gid=534895216</v>
      </c>
      <c r="H497" s="32" t="s">
        <v>205</v>
      </c>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c r="AG497" s="15"/>
      <c r="AH497" s="15"/>
    </row>
    <row r="498" ht="15.75" customHeight="1">
      <c r="A498" s="15"/>
      <c r="B498" s="15"/>
      <c r="C498" s="21"/>
      <c r="D498" s="15"/>
      <c r="E498" s="32" t="s">
        <v>178</v>
      </c>
      <c r="F498" s="32" t="s">
        <v>206</v>
      </c>
      <c r="G498" s="15"/>
      <c r="H498" s="36"/>
      <c r="L498" s="11"/>
      <c r="M498" s="15"/>
      <c r="N498" s="15"/>
      <c r="O498" s="15"/>
      <c r="P498" s="15"/>
      <c r="Q498" s="15"/>
      <c r="R498" s="15"/>
      <c r="S498" s="15"/>
      <c r="T498" s="15"/>
      <c r="U498" s="15"/>
      <c r="V498" s="15"/>
      <c r="W498" s="15"/>
      <c r="X498" s="15"/>
      <c r="Y498" s="15"/>
      <c r="Z498" s="15"/>
      <c r="AA498" s="15"/>
      <c r="AB498" s="15"/>
      <c r="AC498" s="15"/>
      <c r="AD498" s="15"/>
      <c r="AE498" s="15"/>
      <c r="AF498" s="15"/>
      <c r="AG498" s="15"/>
      <c r="AH498" s="15"/>
    </row>
    <row r="499" ht="15.75" customHeight="1">
      <c r="A499" s="15"/>
      <c r="B499" s="15"/>
      <c r="C499" s="21"/>
      <c r="D499" s="15"/>
      <c r="E499" s="32" t="s">
        <v>178</v>
      </c>
      <c r="F499" s="32" t="s">
        <v>207</v>
      </c>
      <c r="G499" s="70" t="str">
        <f>HYPERLINK("https://docs.google.com/spreadsheets/d/1ZlSKik6-WjG3VJEKxEurVP311B30lyI2ei8NbYAlEi0/edit#gid=962060286", "https://docs.google.com/spreadsheets/d/1ZlSKik6-WjG3VJEKxEurVP311B30lyI2ei8NbYAlEi0/edit#gid=962060286")</f>
        <v>https://docs.google.com/spreadsheets/d/1ZlSKik6-WjG3VJEKxEurVP311B30lyI2ei8NbYAlEi0/edit#gid=962060286</v>
      </c>
      <c r="H499" s="32" t="s">
        <v>207</v>
      </c>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c r="AG499" s="15"/>
      <c r="AH499" s="15"/>
    </row>
    <row r="500" ht="15.75" customHeight="1">
      <c r="A500" s="15"/>
      <c r="B500" s="15"/>
      <c r="C500" s="21"/>
      <c r="D500" s="15"/>
      <c r="E500" s="32" t="s">
        <v>172</v>
      </c>
      <c r="F500" s="32" t="s">
        <v>203</v>
      </c>
      <c r="G500" s="70" t="str">
        <f>HYPERLINK("https://docs.google.com/spreadsheets/d/1ZlSKik6-WjG3VJEKxEurVP311B30lyI2ei8NbYAlEi0/edit#gid=920343304", "https://docs.google.com/spreadsheets/d/1ZlSKik6-WjG3VJEKxEurVP311B30lyI2ei8NbYAlEi0/edit#gid=920343304")</f>
        <v>https://docs.google.com/spreadsheets/d/1ZlSKik6-WjG3VJEKxEurVP311B30lyI2ei8NbYAlEi0/edit#gid=920343304</v>
      </c>
      <c r="H500" s="32" t="s">
        <v>1995</v>
      </c>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c r="AG500" s="15"/>
      <c r="AH500" s="15"/>
    </row>
    <row r="501" ht="15.75" customHeight="1">
      <c r="A501" s="15"/>
      <c r="B501" s="15"/>
      <c r="C501" s="21"/>
      <c r="D501" s="15"/>
      <c r="E501" s="32" t="s">
        <v>172</v>
      </c>
      <c r="F501" s="32" t="s">
        <v>204</v>
      </c>
      <c r="G501" s="70" t="str">
        <f>HYPERLINK("https://docs.google.com/spreadsheets/d/1ZlSKik6-WjG3VJEKxEurVP311B30lyI2ei8NbYAlEi0/edit#gid=1546436917", "https://docs.google.com/spreadsheets/d/1ZlSKik6-WjG3VJEKxEurVP311B30lyI2ei8NbYAlEi0/edit#gid=1546436917")</f>
        <v>https://docs.google.com/spreadsheets/d/1ZlSKik6-WjG3VJEKxEurVP311B30lyI2ei8NbYAlEi0/edit#gid=1546436917</v>
      </c>
      <c r="H501" s="32" t="s">
        <v>1996</v>
      </c>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c r="AG501" s="15"/>
      <c r="AH501" s="15"/>
    </row>
    <row r="502" ht="15.75" customHeight="1">
      <c r="A502" s="15"/>
      <c r="B502" s="15"/>
      <c r="C502" s="21"/>
      <c r="D502" s="15"/>
      <c r="E502" s="32" t="s">
        <v>178</v>
      </c>
      <c r="F502" s="32" t="s">
        <v>205</v>
      </c>
      <c r="G502" s="70" t="str">
        <f>HYPERLINK("https://docs.google.com/spreadsheets/d/1ZlSKik6-WjG3VJEKxEurVP311B30lyI2ei8NbYAlEi0/edit#gid=302365395", "https://docs.google.com/spreadsheets/d/1ZlSKik6-WjG3VJEKxEurVP311B30lyI2ei8NbYAlEi0/edit#gid=302365395")</f>
        <v>https://docs.google.com/spreadsheets/d/1ZlSKik6-WjG3VJEKxEurVP311B30lyI2ei8NbYAlEi0/edit#gid=302365395</v>
      </c>
      <c r="H502" s="32" t="s">
        <v>1997</v>
      </c>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c r="AG502" s="15"/>
      <c r="AH502" s="15"/>
    </row>
    <row r="503" ht="15.75" customHeight="1">
      <c r="A503" s="15"/>
      <c r="B503" s="15"/>
      <c r="C503" s="21"/>
      <c r="D503" s="15"/>
      <c r="E503" s="32" t="s">
        <v>178</v>
      </c>
      <c r="F503" s="32" t="s">
        <v>206</v>
      </c>
      <c r="G503" s="15"/>
      <c r="H503" s="36"/>
      <c r="L503" s="11"/>
      <c r="M503" s="15"/>
      <c r="N503" s="15"/>
      <c r="O503" s="15"/>
      <c r="P503" s="15"/>
      <c r="Q503" s="15"/>
      <c r="R503" s="15"/>
      <c r="S503" s="15"/>
      <c r="T503" s="15"/>
      <c r="U503" s="15"/>
      <c r="V503" s="15"/>
      <c r="W503" s="15"/>
      <c r="X503" s="15"/>
      <c r="Y503" s="15"/>
      <c r="Z503" s="15"/>
      <c r="AA503" s="15"/>
      <c r="AB503" s="15"/>
      <c r="AC503" s="15"/>
      <c r="AD503" s="15"/>
      <c r="AE503" s="15"/>
      <c r="AF503" s="15"/>
      <c r="AG503" s="15"/>
      <c r="AH503" s="15"/>
    </row>
    <row r="504" ht="15.75" customHeight="1">
      <c r="A504" s="15"/>
      <c r="B504" s="15"/>
      <c r="C504" s="21"/>
      <c r="D504" s="15"/>
      <c r="E504" s="32" t="s">
        <v>178</v>
      </c>
      <c r="F504" s="32" t="s">
        <v>207</v>
      </c>
      <c r="G504" s="70" t="str">
        <f>HYPERLINK("https://docs.google.com/spreadsheets/d/1ZlSKik6-WjG3VJEKxEurVP311B30lyI2ei8NbYAlEi0/edit#gid=840873005", "https://docs.google.com/spreadsheets/d/1ZlSKik6-WjG3VJEKxEurVP311B30lyI2ei8NbYAlEi0/edit#gid=840873005")</f>
        <v>https://docs.google.com/spreadsheets/d/1ZlSKik6-WjG3VJEKxEurVP311B30lyI2ei8NbYAlEi0/edit#gid=840873005</v>
      </c>
      <c r="H504" s="32" t="s">
        <v>1998</v>
      </c>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c r="AG504" s="15"/>
      <c r="AH504" s="15"/>
    </row>
    <row r="505" ht="15.75" customHeight="1">
      <c r="A505" s="15"/>
      <c r="B505" s="15"/>
      <c r="C505" s="21"/>
      <c r="D505" s="15"/>
      <c r="E505" s="32" t="s">
        <v>178</v>
      </c>
      <c r="F505" s="32" t="s">
        <v>208</v>
      </c>
      <c r="G505" s="70" t="str">
        <f>HYPERLINK("https://docs.google.com/spreadsheets/d/1ZlSKik6-WjG3VJEKxEurVP311B30lyI2ei8NbYAlEi0/edit#gid=1619298995", "https://docs.google.com/spreadsheets/d/1ZlSKik6-WjG3VJEKxEurVP311B30lyI2ei8NbYAlEi0/edit#gid=1619298995")</f>
        <v>https://docs.google.com/spreadsheets/d/1ZlSKik6-WjG3VJEKxEurVP311B30lyI2ei8NbYAlEi0/edit#gid=1619298995</v>
      </c>
      <c r="H505" s="32" t="s">
        <v>208</v>
      </c>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c r="AG505" s="15"/>
      <c r="AH505" s="15"/>
    </row>
    <row r="506" ht="15.75" customHeight="1">
      <c r="A506" s="15"/>
      <c r="B506" s="15"/>
      <c r="C506" s="21"/>
      <c r="D506" s="15"/>
      <c r="E506" s="32" t="s">
        <v>178</v>
      </c>
      <c r="F506" s="32" t="s">
        <v>182</v>
      </c>
      <c r="G506" s="70" t="str">
        <f>HYPERLINK("https://docs.google.com/spreadsheets/d/1ZlSKik6-WjG3VJEKxEurVP311B30lyI2ei8NbYAlEi0/edit#gid=1437182015", "https://docs.google.com/spreadsheets/d/1ZlSKik6-WjG3VJEKxEurVP311B30lyI2ei8NbYAlEi0/edit#gid=1437182015")</f>
        <v>https://docs.google.com/spreadsheets/d/1ZlSKik6-WjG3VJEKxEurVP311B30lyI2ei8NbYAlEi0/edit#gid=1437182015</v>
      </c>
      <c r="H506" s="32" t="s">
        <v>182</v>
      </c>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c r="AG506" s="15"/>
      <c r="AH506" s="15"/>
    </row>
    <row r="507" ht="15.75" customHeight="1">
      <c r="A507" s="15"/>
      <c r="B507" s="15"/>
      <c r="C507" s="21"/>
      <c r="D507" s="15"/>
      <c r="E507" s="32" t="s">
        <v>178</v>
      </c>
      <c r="F507" s="32" t="s">
        <v>180</v>
      </c>
      <c r="G507" s="70" t="str">
        <f>HYPERLINK("https://docs.google.com/spreadsheets/d/1ZlSKik6-WjG3VJEKxEurVP311B30lyI2ei8NbYAlEi0/edit#gid=2131651647", "https://docs.google.com/spreadsheets/d/1ZlSKik6-WjG3VJEKxEurVP311B30lyI2ei8NbYAlEi0/edit#gid=2131651647")</f>
        <v>https://docs.google.com/spreadsheets/d/1ZlSKik6-WjG3VJEKxEurVP311B30lyI2ei8NbYAlEi0/edit#gid=2131651647</v>
      </c>
      <c r="H507" s="32" t="s">
        <v>180</v>
      </c>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c r="AG507" s="15"/>
      <c r="AH507" s="15"/>
    </row>
    <row r="508" ht="15.75" customHeight="1">
      <c r="A508" s="15"/>
      <c r="B508" s="15"/>
      <c r="C508" s="21"/>
      <c r="D508" s="15"/>
      <c r="E508" s="32" t="s">
        <v>178</v>
      </c>
      <c r="F508" s="32" t="s">
        <v>209</v>
      </c>
      <c r="G508" s="70" t="str">
        <f>HYPERLINK("https://docs.google.com/spreadsheets/d/1ZlSKik6-WjG3VJEKxEurVP311B30lyI2ei8NbYAlEi0/edit#gid=787094768", "https://docs.google.com/spreadsheets/d/1ZlSKik6-WjG3VJEKxEurVP311B30lyI2ei8NbYAlEi0/edit#gid=787094768")</f>
        <v>https://docs.google.com/spreadsheets/d/1ZlSKik6-WjG3VJEKxEurVP311B30lyI2ei8NbYAlEi0/edit#gid=787094768</v>
      </c>
      <c r="H508" s="32" t="s">
        <v>209</v>
      </c>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c r="AG508" s="15"/>
      <c r="AH508" s="15"/>
    </row>
    <row r="509" ht="15.75" customHeight="1">
      <c r="A509" s="15"/>
      <c r="B509" s="15"/>
      <c r="C509" s="21"/>
      <c r="D509" s="15"/>
      <c r="E509" s="32" t="s">
        <v>178</v>
      </c>
      <c r="F509" s="32" t="s">
        <v>210</v>
      </c>
      <c r="G509" s="70" t="str">
        <f>HYPERLINK("https://docs.google.com/spreadsheets/d/1ZlSKik6-WjG3VJEKxEurVP311B30lyI2ei8NbYAlEi0/edit#gid=1272316126", "https://docs.google.com/spreadsheets/d/1ZlSKik6-WjG3VJEKxEurVP311B30lyI2ei8NbYAlEi0/edit#gid=1272316126")</f>
        <v>https://docs.google.com/spreadsheets/d/1ZlSKik6-WjG3VJEKxEurVP311B30lyI2ei8NbYAlEi0/edit#gid=1272316126</v>
      </c>
      <c r="H509" s="32" t="s">
        <v>210</v>
      </c>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c r="AG509" s="15"/>
      <c r="AH509" s="15"/>
    </row>
    <row r="510" ht="15.75" customHeight="1">
      <c r="A510" s="15"/>
      <c r="B510" s="15"/>
      <c r="C510" s="21"/>
      <c r="D510" s="15"/>
      <c r="E510" s="32" t="s">
        <v>157</v>
      </c>
      <c r="F510" s="32" t="s">
        <v>161</v>
      </c>
      <c r="G510" s="70" t="str">
        <f>HYPERLINK("https://docs.google.com/spreadsheets/d/1ZlSKik6-WjG3VJEKxEurVP311B30lyI2ei8NbYAlEi0/edit#gid=2095351914", "https://docs.google.com/spreadsheets/d/1ZlSKik6-WjG3VJEKxEurVP311B30lyI2ei8NbYAlEi0/edit#gid=2095351914")</f>
        <v>https://docs.google.com/spreadsheets/d/1ZlSKik6-WjG3VJEKxEurVP311B30lyI2ei8NbYAlEi0/edit#gid=2095351914</v>
      </c>
      <c r="H510" s="32" t="s">
        <v>161</v>
      </c>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c r="AG510" s="15"/>
      <c r="AH510" s="15"/>
    </row>
    <row r="511" ht="15.75" customHeight="1">
      <c r="A511" s="15"/>
      <c r="B511" s="15"/>
      <c r="C511" s="21"/>
      <c r="D511" s="15"/>
      <c r="E511" s="32" t="s">
        <v>157</v>
      </c>
      <c r="F511" s="32" t="s">
        <v>158</v>
      </c>
      <c r="G511" s="70" t="str">
        <f>HYPERLINK("https://docs.google.com/spreadsheets/d/1ZlSKik6-WjG3VJEKxEurVP311B30lyI2ei8NbYAlEi0/edit#gid=717830345", "https://docs.google.com/spreadsheets/d/1ZlSKik6-WjG3VJEKxEurVP311B30lyI2ei8NbYAlEi0/edit#gid=717830345")</f>
        <v>https://docs.google.com/spreadsheets/d/1ZlSKik6-WjG3VJEKxEurVP311B30lyI2ei8NbYAlEi0/edit#gid=717830345</v>
      </c>
      <c r="H511" s="32" t="s">
        <v>158</v>
      </c>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c r="AG511" s="15"/>
      <c r="AH511" s="15"/>
    </row>
    <row r="512" ht="15.75" customHeight="1">
      <c r="A512" s="15"/>
      <c r="B512" s="15"/>
      <c r="C512" s="21"/>
      <c r="D512" s="15"/>
      <c r="E512" s="32" t="s">
        <v>157</v>
      </c>
      <c r="F512" s="32" t="s">
        <v>196</v>
      </c>
      <c r="G512" s="70" t="str">
        <f>HYPERLINK("https://docs.google.com/spreadsheets/d/1ZlSKik6-WjG3VJEKxEurVP311B30lyI2ei8NbYAlEi0/edit#gid=1775753218", "https://docs.google.com/spreadsheets/d/1ZlSKik6-WjG3VJEKxEurVP311B30lyI2ei8NbYAlEi0/edit#gid=1775753218")</f>
        <v>https://docs.google.com/spreadsheets/d/1ZlSKik6-WjG3VJEKxEurVP311B30lyI2ei8NbYAlEi0/edit#gid=1775753218</v>
      </c>
      <c r="H512" s="32" t="s">
        <v>196</v>
      </c>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c r="AG512" s="15"/>
      <c r="AH512" s="15"/>
    </row>
    <row r="513" ht="15.75" customHeight="1">
      <c r="A513" s="15"/>
      <c r="B513" s="15"/>
      <c r="C513" s="21"/>
      <c r="D513" s="15"/>
      <c r="E513" s="32" t="s">
        <v>172</v>
      </c>
      <c r="F513" s="32" t="s">
        <v>203</v>
      </c>
      <c r="G513" s="70" t="str">
        <f>HYPERLINK("https://docs.google.com/spreadsheets/d/1ZlSKik6-WjG3VJEKxEurVP311B30lyI2ei8NbYAlEi0/edit#gid=1368799292", "https://docs.google.com/spreadsheets/d/1ZlSKik6-WjG3VJEKxEurVP311B30lyI2ei8NbYAlEi0/edit#gid=1368799292")</f>
        <v>https://docs.google.com/spreadsheets/d/1ZlSKik6-WjG3VJEKxEurVP311B30lyI2ei8NbYAlEi0/edit#gid=1368799292</v>
      </c>
      <c r="H513" s="32" t="s">
        <v>1999</v>
      </c>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c r="AG513" s="15"/>
      <c r="AH513" s="15"/>
    </row>
    <row r="514" ht="15.75" customHeight="1">
      <c r="A514" s="15"/>
      <c r="B514" s="15"/>
      <c r="C514" s="21"/>
      <c r="D514" s="15"/>
      <c r="E514" s="32" t="s">
        <v>172</v>
      </c>
      <c r="F514" s="32" t="s">
        <v>204</v>
      </c>
      <c r="G514" s="70" t="str">
        <f>HYPERLINK("https://docs.google.com/spreadsheets/d/1ZlSKik6-WjG3VJEKxEurVP311B30lyI2ei8NbYAlEi0/edit#gid=979022858", "https://docs.google.com/spreadsheets/d/1ZlSKik6-WjG3VJEKxEurVP311B30lyI2ei8NbYAlEi0/edit#gid=979022858")</f>
        <v>https://docs.google.com/spreadsheets/d/1ZlSKik6-WjG3VJEKxEurVP311B30lyI2ei8NbYAlEi0/edit#gid=979022858</v>
      </c>
      <c r="H514" s="32" t="s">
        <v>2000</v>
      </c>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c r="AG514" s="15"/>
      <c r="AH514" s="15"/>
    </row>
    <row r="515" ht="15.75" customHeight="1">
      <c r="A515" s="15"/>
      <c r="B515" s="15"/>
      <c r="C515" s="21"/>
      <c r="D515" s="15"/>
      <c r="E515" s="32" t="s">
        <v>178</v>
      </c>
      <c r="F515" s="32" t="s">
        <v>207</v>
      </c>
      <c r="G515" s="70" t="str">
        <f>HYPERLINK("https://docs.google.com/spreadsheets/d/1ZlSKik6-WjG3VJEKxEurVP311B30lyI2ei8NbYAlEi0/edit#gid=1522747369", "https://docs.google.com/spreadsheets/d/1ZlSKik6-WjG3VJEKxEurVP311B30lyI2ei8NbYAlEi0/edit#gid=1522747369")</f>
        <v>https://docs.google.com/spreadsheets/d/1ZlSKik6-WjG3VJEKxEurVP311B30lyI2ei8NbYAlEi0/edit#gid=1522747369</v>
      </c>
      <c r="H515" s="32" t="s">
        <v>2001</v>
      </c>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c r="AG515" s="15"/>
      <c r="AH515" s="15"/>
    </row>
    <row r="516" ht="15.75" customHeight="1">
      <c r="A516" s="15"/>
      <c r="B516" s="15"/>
      <c r="C516" s="21"/>
      <c r="D516" s="15"/>
      <c r="E516" s="32" t="s">
        <v>178</v>
      </c>
      <c r="F516" s="32" t="s">
        <v>208</v>
      </c>
      <c r="G516" s="70" t="str">
        <f>HYPERLINK("https://docs.google.com/spreadsheets/d/1ZlSKik6-WjG3VJEKxEurVP311B30lyI2ei8NbYAlEi0/edit#gid=1325412913", "https://docs.google.com/spreadsheets/d/1ZlSKik6-WjG3VJEKxEurVP311B30lyI2ei8NbYAlEi0/edit#gid=1325412913")</f>
        <v>https://docs.google.com/spreadsheets/d/1ZlSKik6-WjG3VJEKxEurVP311B30lyI2ei8NbYAlEi0/edit#gid=1325412913</v>
      </c>
      <c r="H516" s="32" t="s">
        <v>2002</v>
      </c>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c r="AG516" s="15"/>
      <c r="AH516" s="15"/>
    </row>
    <row r="517" ht="15.75" customHeight="1">
      <c r="A517" s="15"/>
      <c r="B517" s="15"/>
      <c r="C517" s="21"/>
      <c r="D517" s="15"/>
      <c r="E517" s="32" t="s">
        <v>178</v>
      </c>
      <c r="F517" s="32" t="s">
        <v>182</v>
      </c>
      <c r="G517" s="70" t="str">
        <f>HYPERLINK("https://docs.google.com/spreadsheets/d/1ZlSKik6-WjG3VJEKxEurVP311B30lyI2ei8NbYAlEi0/edit#gid=1273867935", "https://docs.google.com/spreadsheets/d/1ZlSKik6-WjG3VJEKxEurVP311B30lyI2ei8NbYAlEi0/edit#gid=1273867935")</f>
        <v>https://docs.google.com/spreadsheets/d/1ZlSKik6-WjG3VJEKxEurVP311B30lyI2ei8NbYAlEi0/edit#gid=1273867935</v>
      </c>
      <c r="H517" s="32" t="s">
        <v>2003</v>
      </c>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c r="AG517" s="15"/>
      <c r="AH517" s="15"/>
    </row>
    <row r="518" ht="15.75" customHeight="1">
      <c r="A518" s="15"/>
      <c r="B518" s="15"/>
      <c r="C518" s="21"/>
      <c r="D518" s="15"/>
      <c r="E518" s="32" t="s">
        <v>178</v>
      </c>
      <c r="F518" s="32" t="s">
        <v>180</v>
      </c>
      <c r="G518" s="70" t="str">
        <f>HYPERLINK("https://docs.google.com/spreadsheets/d/1ZlSKik6-WjG3VJEKxEurVP311B30lyI2ei8NbYAlEi0/edit#gid=2123017091", "https://docs.google.com/spreadsheets/d/1ZlSKik6-WjG3VJEKxEurVP311B30lyI2ei8NbYAlEi0/edit#gid=2123017091")</f>
        <v>https://docs.google.com/spreadsheets/d/1ZlSKik6-WjG3VJEKxEurVP311B30lyI2ei8NbYAlEi0/edit#gid=2123017091</v>
      </c>
      <c r="H518" s="32" t="s">
        <v>2004</v>
      </c>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c r="AG518" s="15"/>
      <c r="AH518" s="15"/>
    </row>
    <row r="519" ht="15.75" customHeight="1">
      <c r="A519" s="15"/>
      <c r="B519" s="15"/>
      <c r="C519" s="21"/>
      <c r="D519" s="15"/>
      <c r="E519" s="32" t="s">
        <v>178</v>
      </c>
      <c r="F519" s="32" t="s">
        <v>209</v>
      </c>
      <c r="G519" s="70" t="str">
        <f>HYPERLINK("https://docs.google.com/spreadsheets/d/1ZlSKik6-WjG3VJEKxEurVP311B30lyI2ei8NbYAlEi0/edit#gid=222747184", "https://docs.google.com/spreadsheets/d/1ZlSKik6-WjG3VJEKxEurVP311B30lyI2ei8NbYAlEi0/edit#gid=222747184")</f>
        <v>https://docs.google.com/spreadsheets/d/1ZlSKik6-WjG3VJEKxEurVP311B30lyI2ei8NbYAlEi0/edit#gid=222747184</v>
      </c>
      <c r="H519" s="32" t="s">
        <v>1986</v>
      </c>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c r="AG519" s="15"/>
      <c r="AH519" s="15"/>
    </row>
    <row r="520" ht="15.75" customHeight="1">
      <c r="A520" s="15"/>
      <c r="B520" s="15"/>
      <c r="C520" s="21"/>
      <c r="D520" s="15"/>
      <c r="E520" s="32" t="s">
        <v>178</v>
      </c>
      <c r="F520" s="32" t="s">
        <v>210</v>
      </c>
      <c r="G520" s="70" t="str">
        <f>HYPERLINK("https://docs.google.com/spreadsheets/d/1ZlSKik6-WjG3VJEKxEurVP311B30lyI2ei8NbYAlEi0/edit#gid=308811293", "https://docs.google.com/spreadsheets/d/1ZlSKik6-WjG3VJEKxEurVP311B30lyI2ei8NbYAlEi0/edit#gid=308811293")</f>
        <v>https://docs.google.com/spreadsheets/d/1ZlSKik6-WjG3VJEKxEurVP311B30lyI2ei8NbYAlEi0/edit#gid=308811293</v>
      </c>
      <c r="H520" s="32" t="s">
        <v>1987</v>
      </c>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c r="AG520" s="15"/>
      <c r="AH520" s="15"/>
    </row>
    <row r="521" ht="15.75" customHeight="1">
      <c r="A521" s="15"/>
      <c r="B521" s="15"/>
      <c r="C521" s="21"/>
      <c r="D521" s="15"/>
      <c r="E521" s="32" t="s">
        <v>86</v>
      </c>
      <c r="F521" s="32" t="s">
        <v>90</v>
      </c>
      <c r="G521" s="70" t="str">
        <f>HYPERLINK("https://docs.google.com/spreadsheets/d/1ZlSKik6-WjG3VJEKxEurVP311B30lyI2ei8NbYAlEi0/edit#gid=1955654992", "https://docs.google.com/spreadsheets/d/1ZlSKik6-WjG3VJEKxEurVP311B30lyI2ei8NbYAlEi0/edit#gid=1955654992")</f>
        <v>https://docs.google.com/spreadsheets/d/1ZlSKik6-WjG3VJEKxEurVP311B30lyI2ei8NbYAlEi0/edit#gid=1955654992</v>
      </c>
      <c r="H521" s="32" t="s">
        <v>90</v>
      </c>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c r="AG521" s="15"/>
      <c r="AH521" s="15"/>
    </row>
    <row r="522" ht="15.75" customHeight="1">
      <c r="A522" s="15"/>
      <c r="B522" s="15"/>
      <c r="C522" s="21"/>
      <c r="D522" s="15"/>
      <c r="E522" s="32" t="s">
        <v>86</v>
      </c>
      <c r="F522" s="32" t="s">
        <v>338</v>
      </c>
      <c r="G522" s="70" t="str">
        <f>HYPERLINK("https://docs.google.com/spreadsheets/d/1ZlSKik6-WjG3VJEKxEurVP311B30lyI2ei8NbYAlEi0/edit#gid=820541333", "https://docs.google.com/spreadsheets/d/1ZlSKik6-WjG3VJEKxEurVP311B30lyI2ei8NbYAlEi0/edit#gid=820541333")</f>
        <v>https://docs.google.com/spreadsheets/d/1ZlSKik6-WjG3VJEKxEurVP311B30lyI2ei8NbYAlEi0/edit#gid=820541333</v>
      </c>
      <c r="H522" s="32" t="s">
        <v>338</v>
      </c>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c r="AG522" s="15"/>
      <c r="AH522" s="15"/>
    </row>
    <row r="523" ht="15.75" customHeight="1">
      <c r="A523" s="15"/>
      <c r="B523" s="15"/>
      <c r="C523" s="21"/>
      <c r="D523" s="15"/>
      <c r="E523" s="32" t="s">
        <v>88</v>
      </c>
      <c r="F523" s="32" t="s">
        <v>95</v>
      </c>
      <c r="G523" s="70" t="str">
        <f>HYPERLINK("https://docs.google.com/spreadsheets/d/1ZlSKik6-WjG3VJEKxEurVP311B30lyI2ei8NbYAlEi0/edit#gid=1993386630", "https://docs.google.com/spreadsheets/d/1ZlSKik6-WjG3VJEKxEurVP311B30lyI2ei8NbYAlEi0/edit#gid=1993386630")</f>
        <v>https://docs.google.com/spreadsheets/d/1ZlSKik6-WjG3VJEKxEurVP311B30lyI2ei8NbYAlEi0/edit#gid=1993386630</v>
      </c>
      <c r="H523" s="32" t="s">
        <v>95</v>
      </c>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c r="AG523" s="15"/>
      <c r="AH523" s="15"/>
    </row>
    <row r="524" ht="15.75" customHeight="1">
      <c r="A524" s="15"/>
      <c r="B524" s="15"/>
      <c r="C524" s="21"/>
      <c r="D524" s="15"/>
      <c r="E524" s="32" t="s">
        <v>88</v>
      </c>
      <c r="F524" s="32" t="s">
        <v>96</v>
      </c>
      <c r="G524" s="70" t="str">
        <f>HYPERLINK("https://docs.google.com/spreadsheets/d/1ZlSKik6-WjG3VJEKxEurVP311B30lyI2ei8NbYAlEi0/edit#gid=1760595969", "https://docs.google.com/spreadsheets/d/1ZlSKik6-WjG3VJEKxEurVP311B30lyI2ei8NbYAlEi0/edit#gid=1760595969")</f>
        <v>https://docs.google.com/spreadsheets/d/1ZlSKik6-WjG3VJEKxEurVP311B30lyI2ei8NbYAlEi0/edit#gid=1760595969</v>
      </c>
      <c r="H524" s="32" t="s">
        <v>96</v>
      </c>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c r="AG524" s="15"/>
      <c r="AH524" s="15"/>
    </row>
    <row r="525" ht="15.75" customHeight="1">
      <c r="A525" s="15"/>
      <c r="B525" s="15"/>
      <c r="C525" s="21"/>
      <c r="D525" s="15"/>
      <c r="E525" s="15"/>
      <c r="F525" s="15"/>
      <c r="G525" s="15"/>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c r="AG525" s="15"/>
      <c r="AH525" s="15"/>
    </row>
    <row r="526" ht="15.75" customHeight="1">
      <c r="A526" s="15"/>
      <c r="B526" s="32" t="s">
        <v>2050</v>
      </c>
      <c r="C526" s="21"/>
      <c r="D526" s="32" t="s">
        <v>20</v>
      </c>
      <c r="E526" s="32" t="s">
        <v>89</v>
      </c>
      <c r="F526" s="32" t="s">
        <v>291</v>
      </c>
      <c r="G526" s="15"/>
      <c r="H526" s="36"/>
      <c r="L526" s="11"/>
      <c r="M526" s="15"/>
      <c r="N526" s="15"/>
      <c r="O526" s="15"/>
      <c r="P526" s="15"/>
      <c r="Q526" s="15"/>
      <c r="R526" s="15"/>
      <c r="S526" s="15"/>
      <c r="T526" s="15"/>
      <c r="U526" s="15"/>
      <c r="V526" s="15"/>
      <c r="W526" s="15"/>
      <c r="X526" s="15"/>
      <c r="Y526" s="15"/>
      <c r="Z526" s="15"/>
      <c r="AA526" s="15"/>
      <c r="AB526" s="15"/>
      <c r="AC526" s="15"/>
      <c r="AD526" s="15"/>
      <c r="AE526" s="15"/>
      <c r="AF526" s="15"/>
      <c r="AG526" s="15"/>
      <c r="AH526" s="15"/>
    </row>
    <row r="527" ht="15.75" customHeight="1">
      <c r="A527" s="15"/>
      <c r="B527" s="32" t="s">
        <v>2051</v>
      </c>
      <c r="C527" s="208" t="s">
        <v>2052</v>
      </c>
      <c r="D527" s="32" t="s">
        <v>20</v>
      </c>
      <c r="E527" s="32" t="s">
        <v>178</v>
      </c>
      <c r="F527" s="32" t="s">
        <v>201</v>
      </c>
      <c r="G527" s="70" t="str">
        <f>HYPERLINK("https://docs.google.com/spreadsheets/d/12sqVjnUciG43JLi5XgleWUl_GAm6KQgUS7EgIa7r_-U/edit#gid=750728391", "https://docs.google.com/spreadsheets/d/12sqVjnUciG43JLi5XgleWUl_GAm6KQgUS7EgIa7r_-U/edit#gid=750728391")</f>
        <v>https://docs.google.com/spreadsheets/d/12sqVjnUciG43JLi5XgleWUl_GAm6KQgUS7EgIa7r_-U/edit#gid=750728391</v>
      </c>
      <c r="H527" s="32" t="s">
        <v>201</v>
      </c>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c r="AG527" s="15"/>
      <c r="AH527" s="15"/>
    </row>
    <row r="528" ht="15.75" customHeight="1">
      <c r="A528" s="15"/>
      <c r="B528" s="15"/>
      <c r="C528" s="21"/>
      <c r="D528" s="15"/>
      <c r="E528" s="32" t="s">
        <v>178</v>
      </c>
      <c r="F528" s="32" t="s">
        <v>202</v>
      </c>
      <c r="G528" s="70" t="str">
        <f>HYPERLINK("https://docs.google.com/spreadsheets/d/12sqVjnUciG43JLi5XgleWUl_GAm6KQgUS7EgIa7r_-U/edit#gid=1797700269", "https://docs.google.com/spreadsheets/d/12sqVjnUciG43JLi5XgleWUl_GAm6KQgUS7EgIa7r_-U/edit#gid=1797700269")</f>
        <v>https://docs.google.com/spreadsheets/d/12sqVjnUciG43JLi5XgleWUl_GAm6KQgUS7EgIa7r_-U/edit#gid=1797700269</v>
      </c>
      <c r="H528" s="32" t="s">
        <v>202</v>
      </c>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c r="AG528" s="15"/>
      <c r="AH528" s="15"/>
    </row>
    <row r="529" ht="15.75" customHeight="1">
      <c r="A529" s="15"/>
      <c r="B529" s="15"/>
      <c r="C529" s="21"/>
      <c r="D529" s="15"/>
      <c r="E529" s="32" t="s">
        <v>21</v>
      </c>
      <c r="F529" s="32" t="s">
        <v>51</v>
      </c>
      <c r="G529" s="70" t="str">
        <f>HYPERLINK("https://docs.google.com/spreadsheets/d/12sqVjnUciG43JLi5XgleWUl_GAm6KQgUS7EgIa7r_-U/edit#gid=22834801", "https://docs.google.com/spreadsheets/d/12sqVjnUciG43JLi5XgleWUl_GAm6KQgUS7EgIa7r_-U/edit#gid=22834801")</f>
        <v>https://docs.google.com/spreadsheets/d/12sqVjnUciG43JLi5XgleWUl_GAm6KQgUS7EgIa7r_-U/edit#gid=22834801</v>
      </c>
      <c r="H529" s="32" t="s">
        <v>51</v>
      </c>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c r="AG529" s="15"/>
      <c r="AH529" s="15"/>
    </row>
    <row r="530" ht="15.75" customHeight="1">
      <c r="A530" s="15"/>
      <c r="B530" s="15"/>
      <c r="C530" s="21"/>
      <c r="D530" s="15"/>
      <c r="E530" s="32" t="s">
        <v>172</v>
      </c>
      <c r="F530" s="32" t="s">
        <v>173</v>
      </c>
      <c r="G530" s="70" t="str">
        <f>HYPERLINK("https://docs.google.com/spreadsheets/d/12sqVjnUciG43JLi5XgleWUl_GAm6KQgUS7EgIa7r_-U/edit#gid=866501969", "https://docs.google.com/spreadsheets/d/12sqVjnUciG43JLi5XgleWUl_GAm6KQgUS7EgIa7r_-U/edit#gid=866501969")</f>
        <v>https://docs.google.com/spreadsheets/d/12sqVjnUciG43JLi5XgleWUl_GAm6KQgUS7EgIa7r_-U/edit#gid=866501969</v>
      </c>
      <c r="H530" s="32" t="s">
        <v>173</v>
      </c>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c r="AG530" s="15"/>
      <c r="AH530" s="15"/>
    </row>
    <row r="531" ht="15.75" customHeight="1">
      <c r="A531" s="15"/>
      <c r="B531" s="15"/>
      <c r="C531" s="21"/>
      <c r="D531" s="15"/>
      <c r="E531" s="32" t="s">
        <v>172</v>
      </c>
      <c r="F531" s="32" t="s">
        <v>402</v>
      </c>
      <c r="G531" s="70" t="str">
        <f>HYPERLINK("https://docs.google.com/spreadsheets/d/12sqVjnUciG43JLi5XgleWUl_GAm6KQgUS7EgIa7r_-U/edit#gid=474851157", "https://docs.google.com/spreadsheets/d/12sqVjnUciG43JLi5XgleWUl_GAm6KQgUS7EgIa7r_-U/edit#gid=474851157")</f>
        <v>https://docs.google.com/spreadsheets/d/12sqVjnUciG43JLi5XgleWUl_GAm6KQgUS7EgIa7r_-U/edit#gid=474851157</v>
      </c>
      <c r="H531" s="32" t="s">
        <v>402</v>
      </c>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c r="AG531" s="15"/>
      <c r="AH531" s="15"/>
    </row>
    <row r="532" ht="15.75" customHeight="1">
      <c r="A532" s="15"/>
      <c r="B532" s="15"/>
      <c r="C532" s="21"/>
      <c r="D532" s="15"/>
      <c r="E532" s="32" t="s">
        <v>172</v>
      </c>
      <c r="F532" s="32" t="s">
        <v>203</v>
      </c>
      <c r="G532" s="70" t="str">
        <f>HYPERLINK("https://docs.google.com/spreadsheets/d/12sqVjnUciG43JLi5XgleWUl_GAm6KQgUS7EgIa7r_-U/edit#gid=2102359799", "https://docs.google.com/spreadsheets/d/12sqVjnUciG43JLi5XgleWUl_GAm6KQgUS7EgIa7r_-U/edit#gid=2102359799")</f>
        <v>https://docs.google.com/spreadsheets/d/12sqVjnUciG43JLi5XgleWUl_GAm6KQgUS7EgIa7r_-U/edit#gid=2102359799</v>
      </c>
      <c r="H532" s="32" t="s">
        <v>203</v>
      </c>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c r="AG532" s="15"/>
      <c r="AH532" s="15"/>
    </row>
    <row r="533" ht="15.75" customHeight="1">
      <c r="A533" s="15"/>
      <c r="B533" s="15"/>
      <c r="C533" s="21"/>
      <c r="D533" s="15"/>
      <c r="E533" s="32" t="s">
        <v>172</v>
      </c>
      <c r="F533" s="32" t="s">
        <v>204</v>
      </c>
      <c r="G533" s="70" t="str">
        <f>HYPERLINK("https://docs.google.com/spreadsheets/d/12sqVjnUciG43JLi5XgleWUl_GAm6KQgUS7EgIa7r_-U/edit#gid=23644457", "https://docs.google.com/spreadsheets/d/12sqVjnUciG43JLi5XgleWUl_GAm6KQgUS7EgIa7r_-U/edit#gid=23644457")</f>
        <v>https://docs.google.com/spreadsheets/d/12sqVjnUciG43JLi5XgleWUl_GAm6KQgUS7EgIa7r_-U/edit#gid=23644457</v>
      </c>
      <c r="H533" s="32" t="s">
        <v>204</v>
      </c>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c r="AG533" s="15"/>
      <c r="AH533" s="15"/>
    </row>
    <row r="534" ht="15.75" customHeight="1">
      <c r="A534" s="15"/>
      <c r="B534" s="15"/>
      <c r="C534" s="21"/>
      <c r="D534" s="15"/>
      <c r="E534" s="32" t="s">
        <v>178</v>
      </c>
      <c r="F534" s="32" t="s">
        <v>205</v>
      </c>
      <c r="G534" s="70" t="str">
        <f>HYPERLINK("https://docs.google.com/spreadsheets/d/12sqVjnUciG43JLi5XgleWUl_GAm6KQgUS7EgIa7r_-U/edit#gid=1867457137", "https://docs.google.com/spreadsheets/d/12sqVjnUciG43JLi5XgleWUl_GAm6KQgUS7EgIa7r_-U/edit#gid=1867457137")</f>
        <v>https://docs.google.com/spreadsheets/d/12sqVjnUciG43JLi5XgleWUl_GAm6KQgUS7EgIa7r_-U/edit#gid=1867457137</v>
      </c>
      <c r="H534" s="32" t="s">
        <v>205</v>
      </c>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c r="AG534" s="15"/>
      <c r="AH534" s="15"/>
    </row>
    <row r="535" ht="15.75" customHeight="1">
      <c r="A535" s="15"/>
      <c r="B535" s="15"/>
      <c r="C535" s="21"/>
      <c r="D535" s="15"/>
      <c r="E535" s="32" t="s">
        <v>178</v>
      </c>
      <c r="F535" s="32" t="s">
        <v>206</v>
      </c>
      <c r="G535" s="15"/>
      <c r="H535" s="36"/>
      <c r="L535" s="11"/>
      <c r="M535" s="15"/>
      <c r="N535" s="15"/>
      <c r="O535" s="15"/>
      <c r="P535" s="15"/>
      <c r="Q535" s="15"/>
      <c r="R535" s="15"/>
      <c r="S535" s="15"/>
      <c r="T535" s="15"/>
      <c r="U535" s="15"/>
      <c r="V535" s="15"/>
      <c r="W535" s="15"/>
      <c r="X535" s="15"/>
      <c r="Y535" s="15"/>
      <c r="Z535" s="15"/>
      <c r="AA535" s="15"/>
      <c r="AB535" s="15"/>
      <c r="AC535" s="15"/>
      <c r="AD535" s="15"/>
      <c r="AE535" s="15"/>
      <c r="AF535" s="15"/>
      <c r="AG535" s="15"/>
      <c r="AH535" s="15"/>
    </row>
    <row r="536" ht="15.75" customHeight="1">
      <c r="A536" s="15"/>
      <c r="B536" s="15"/>
      <c r="C536" s="21"/>
      <c r="D536" s="15"/>
      <c r="E536" s="32" t="s">
        <v>178</v>
      </c>
      <c r="F536" s="32" t="s">
        <v>207</v>
      </c>
      <c r="G536" s="70" t="str">
        <f>HYPERLINK("https://docs.google.com/spreadsheets/d/12sqVjnUciG43JLi5XgleWUl_GAm6KQgUS7EgIa7r_-U/edit#gid=130774391", "https://docs.google.com/spreadsheets/d/12sqVjnUciG43JLi5XgleWUl_GAm6KQgUS7EgIa7r_-U/edit#gid=130774391")</f>
        <v>https://docs.google.com/spreadsheets/d/12sqVjnUciG43JLi5XgleWUl_GAm6KQgUS7EgIa7r_-U/edit#gid=130774391</v>
      </c>
      <c r="H536" s="32" t="s">
        <v>207</v>
      </c>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c r="AG536" s="15"/>
      <c r="AH536" s="15"/>
    </row>
    <row r="537" ht="15.75" customHeight="1">
      <c r="A537" s="15"/>
      <c r="B537" s="15"/>
      <c r="C537" s="21"/>
      <c r="D537" s="15"/>
      <c r="E537" s="32" t="s">
        <v>172</v>
      </c>
      <c r="F537" s="32" t="s">
        <v>173</v>
      </c>
      <c r="G537" s="70" t="str">
        <f>HYPERLINK("https://docs.google.com/spreadsheets/d/12sqVjnUciG43JLi5XgleWUl_GAm6KQgUS7EgIa7r_-U/edit#gid=95444775", "https://docs.google.com/spreadsheets/d/12sqVjnUciG43JLi5XgleWUl_GAm6KQgUS7EgIa7r_-U/edit#gid=95444775")</f>
        <v>https://docs.google.com/spreadsheets/d/12sqVjnUciG43JLi5XgleWUl_GAm6KQgUS7EgIa7r_-U/edit#gid=95444775</v>
      </c>
      <c r="H537" s="32" t="s">
        <v>269</v>
      </c>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c r="AG537" s="15"/>
      <c r="AH537" s="15"/>
    </row>
    <row r="538" ht="15.75" customHeight="1">
      <c r="A538" s="15"/>
      <c r="B538" s="15"/>
      <c r="C538" s="21"/>
      <c r="D538" s="15"/>
      <c r="E538" s="32" t="s">
        <v>172</v>
      </c>
      <c r="F538" s="32" t="s">
        <v>402</v>
      </c>
      <c r="G538" s="70" t="str">
        <f>HYPERLINK("https://docs.google.com/spreadsheets/d/12sqVjnUciG43JLi5XgleWUl_GAm6KQgUS7EgIa7r_-U/edit#gid=1264271221", "https://docs.google.com/spreadsheets/d/12sqVjnUciG43JLi5XgleWUl_GAm6KQgUS7EgIa7r_-U/edit#gid=1264271221")</f>
        <v>https://docs.google.com/spreadsheets/d/12sqVjnUciG43JLi5XgleWUl_GAm6KQgUS7EgIa7r_-U/edit#gid=1264271221</v>
      </c>
      <c r="H538" s="32" t="s">
        <v>2053</v>
      </c>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c r="AG538" s="15"/>
      <c r="AH538" s="15"/>
    </row>
    <row r="539" ht="15.75" customHeight="1">
      <c r="A539" s="15"/>
      <c r="B539" s="15"/>
      <c r="C539" s="21"/>
      <c r="D539" s="15"/>
      <c r="E539" s="32" t="s">
        <v>172</v>
      </c>
      <c r="F539" s="32" t="s">
        <v>203</v>
      </c>
      <c r="G539" s="70" t="str">
        <f>HYPERLINK("https://docs.google.com/spreadsheets/d/12sqVjnUciG43JLi5XgleWUl_GAm6KQgUS7EgIa7r_-U/edit#gid=1852549842", "https://docs.google.com/spreadsheets/d/12sqVjnUciG43JLi5XgleWUl_GAm6KQgUS7EgIa7r_-U/edit#gid=1852549842")</f>
        <v>https://docs.google.com/spreadsheets/d/12sqVjnUciG43JLi5XgleWUl_GAm6KQgUS7EgIa7r_-U/edit#gid=1852549842</v>
      </c>
      <c r="H539" s="32" t="s">
        <v>1995</v>
      </c>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c r="AG539" s="15"/>
      <c r="AH539" s="15"/>
    </row>
    <row r="540" ht="15.75" customHeight="1">
      <c r="A540" s="15"/>
      <c r="B540" s="15"/>
      <c r="C540" s="21"/>
      <c r="D540" s="15"/>
      <c r="E540" s="32" t="s">
        <v>172</v>
      </c>
      <c r="F540" s="32" t="s">
        <v>204</v>
      </c>
      <c r="G540" s="70" t="str">
        <f>HYPERLINK("https://docs.google.com/spreadsheets/d/12sqVjnUciG43JLi5XgleWUl_GAm6KQgUS7EgIa7r_-U/edit#gid=209170858", "https://docs.google.com/spreadsheets/d/12sqVjnUciG43JLi5XgleWUl_GAm6KQgUS7EgIa7r_-U/edit#gid=209170858")</f>
        <v>https://docs.google.com/spreadsheets/d/12sqVjnUciG43JLi5XgleWUl_GAm6KQgUS7EgIa7r_-U/edit#gid=209170858</v>
      </c>
      <c r="H540" s="32" t="s">
        <v>1996</v>
      </c>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c r="AG540" s="15"/>
      <c r="AH540" s="15"/>
    </row>
    <row r="541" ht="15.75" customHeight="1">
      <c r="A541" s="15"/>
      <c r="B541" s="15"/>
      <c r="C541" s="21"/>
      <c r="D541" s="15"/>
      <c r="E541" s="32" t="s">
        <v>178</v>
      </c>
      <c r="F541" s="32" t="s">
        <v>205</v>
      </c>
      <c r="G541" s="70" t="str">
        <f>HYPERLINK("https://docs.google.com/spreadsheets/d/12sqVjnUciG43JLi5XgleWUl_GAm6KQgUS7EgIa7r_-U/edit#gid=36858844", "https://docs.google.com/spreadsheets/d/12sqVjnUciG43JLi5XgleWUl_GAm6KQgUS7EgIa7r_-U/edit#gid=36858844")</f>
        <v>https://docs.google.com/spreadsheets/d/12sqVjnUciG43JLi5XgleWUl_GAm6KQgUS7EgIa7r_-U/edit#gid=36858844</v>
      </c>
      <c r="H541" s="32" t="s">
        <v>1997</v>
      </c>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c r="AG541" s="15"/>
      <c r="AH541" s="15"/>
    </row>
    <row r="542" ht="15.75" customHeight="1">
      <c r="A542" s="15"/>
      <c r="B542" s="15"/>
      <c r="C542" s="21"/>
      <c r="D542" s="15"/>
      <c r="E542" s="32" t="s">
        <v>178</v>
      </c>
      <c r="F542" s="32" t="s">
        <v>206</v>
      </c>
      <c r="G542" s="15"/>
      <c r="H542" s="36"/>
      <c r="L542" s="11"/>
      <c r="M542" s="15"/>
      <c r="N542" s="15"/>
      <c r="O542" s="15"/>
      <c r="P542" s="15"/>
      <c r="Q542" s="15"/>
      <c r="R542" s="15"/>
      <c r="S542" s="15"/>
      <c r="T542" s="15"/>
      <c r="U542" s="15"/>
      <c r="V542" s="15"/>
      <c r="W542" s="15"/>
      <c r="X542" s="15"/>
      <c r="Y542" s="15"/>
      <c r="Z542" s="15"/>
      <c r="AA542" s="15"/>
      <c r="AB542" s="15"/>
      <c r="AC542" s="15"/>
      <c r="AD542" s="15"/>
      <c r="AE542" s="15"/>
      <c r="AF542" s="15"/>
      <c r="AG542" s="15"/>
      <c r="AH542" s="15"/>
    </row>
    <row r="543" ht="15.75" customHeight="1">
      <c r="A543" s="15"/>
      <c r="B543" s="15"/>
      <c r="C543" s="21"/>
      <c r="D543" s="15"/>
      <c r="E543" s="32" t="s">
        <v>178</v>
      </c>
      <c r="F543" s="32" t="s">
        <v>207</v>
      </c>
      <c r="G543" s="70" t="str">
        <f>HYPERLINK("https://docs.google.com/spreadsheets/d/12sqVjnUciG43JLi5XgleWUl_GAm6KQgUS7EgIa7r_-U/edit#gid=1741006123", "https://docs.google.com/spreadsheets/d/12sqVjnUciG43JLi5XgleWUl_GAm6KQgUS7EgIa7r_-U/edit#gid=1741006123")</f>
        <v>https://docs.google.com/spreadsheets/d/12sqVjnUciG43JLi5XgleWUl_GAm6KQgUS7EgIa7r_-U/edit#gid=1741006123</v>
      </c>
      <c r="H543" s="32" t="s">
        <v>1998</v>
      </c>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c r="AG543" s="15"/>
      <c r="AH543" s="15"/>
    </row>
    <row r="544" ht="15.75" customHeight="1">
      <c r="A544" s="15"/>
      <c r="B544" s="15"/>
      <c r="C544" s="21"/>
      <c r="D544" s="15"/>
      <c r="E544" s="32" t="s">
        <v>178</v>
      </c>
      <c r="F544" s="32" t="s">
        <v>208</v>
      </c>
      <c r="G544" s="70" t="str">
        <f>HYPERLINK("https://docs.google.com/spreadsheets/d/12sqVjnUciG43JLi5XgleWUl_GAm6KQgUS7EgIa7r_-U/edit#gid=231095378", "https://docs.google.com/spreadsheets/d/12sqVjnUciG43JLi5XgleWUl_GAm6KQgUS7EgIa7r_-U/edit#gid=231095378")</f>
        <v>https://docs.google.com/spreadsheets/d/12sqVjnUciG43JLi5XgleWUl_GAm6KQgUS7EgIa7r_-U/edit#gid=231095378</v>
      </c>
      <c r="H544" s="32" t="s">
        <v>208</v>
      </c>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c r="AG544" s="15"/>
      <c r="AH544" s="15"/>
    </row>
    <row r="545" ht="15.75" customHeight="1">
      <c r="A545" s="15"/>
      <c r="B545" s="15"/>
      <c r="C545" s="21"/>
      <c r="D545" s="15"/>
      <c r="E545" s="32" t="s">
        <v>178</v>
      </c>
      <c r="F545" s="32" t="s">
        <v>182</v>
      </c>
      <c r="G545" s="70" t="str">
        <f>HYPERLINK("https://docs.google.com/spreadsheets/d/12sqVjnUciG43JLi5XgleWUl_GAm6KQgUS7EgIa7r_-U/edit#gid=8251903", "https://docs.google.com/spreadsheets/d/12sqVjnUciG43JLi5XgleWUl_GAm6KQgUS7EgIa7r_-U/edit#gid=8251903")</f>
        <v>https://docs.google.com/spreadsheets/d/12sqVjnUciG43JLi5XgleWUl_GAm6KQgUS7EgIa7r_-U/edit#gid=8251903</v>
      </c>
      <c r="H545" s="32" t="s">
        <v>182</v>
      </c>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c r="AG545" s="15"/>
      <c r="AH545" s="15"/>
    </row>
    <row r="546" ht="15.75" customHeight="1">
      <c r="A546" s="15"/>
      <c r="B546" s="15"/>
      <c r="C546" s="21"/>
      <c r="D546" s="15"/>
      <c r="E546" s="32" t="s">
        <v>178</v>
      </c>
      <c r="F546" s="32" t="s">
        <v>180</v>
      </c>
      <c r="G546" s="70" t="str">
        <f>HYPERLINK("https://docs.google.com/spreadsheets/d/12sqVjnUciG43JLi5XgleWUl_GAm6KQgUS7EgIa7r_-U/edit#gid=119156495", "https://docs.google.com/spreadsheets/d/12sqVjnUciG43JLi5XgleWUl_GAm6KQgUS7EgIa7r_-U/edit#gid=119156495")</f>
        <v>https://docs.google.com/spreadsheets/d/12sqVjnUciG43JLi5XgleWUl_GAm6KQgUS7EgIa7r_-U/edit#gid=119156495</v>
      </c>
      <c r="H546" s="32" t="s">
        <v>180</v>
      </c>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c r="AG546" s="15"/>
      <c r="AH546" s="15"/>
    </row>
    <row r="547" ht="15.75" customHeight="1">
      <c r="A547" s="15"/>
      <c r="B547" s="15"/>
      <c r="C547" s="21"/>
      <c r="D547" s="15"/>
      <c r="E547" s="32" t="s">
        <v>178</v>
      </c>
      <c r="F547" s="32" t="s">
        <v>209</v>
      </c>
      <c r="G547" s="70" t="str">
        <f>HYPERLINK("https://docs.google.com/spreadsheets/d/12sqVjnUciG43JLi5XgleWUl_GAm6KQgUS7EgIa7r_-U/edit#gid=2014694309", "https://docs.google.com/spreadsheets/d/12sqVjnUciG43JLi5XgleWUl_GAm6KQgUS7EgIa7r_-U/edit#gid=2014694309")</f>
        <v>https://docs.google.com/spreadsheets/d/12sqVjnUciG43JLi5XgleWUl_GAm6KQgUS7EgIa7r_-U/edit#gid=2014694309</v>
      </c>
      <c r="H547" s="32" t="s">
        <v>209</v>
      </c>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c r="AG547" s="15"/>
      <c r="AH547" s="15"/>
    </row>
    <row r="548" ht="15.75" customHeight="1">
      <c r="A548" s="15"/>
      <c r="B548" s="15"/>
      <c r="C548" s="21"/>
      <c r="D548" s="15"/>
      <c r="E548" s="32" t="s">
        <v>178</v>
      </c>
      <c r="F548" s="32" t="s">
        <v>210</v>
      </c>
      <c r="G548" s="70" t="str">
        <f>HYPERLINK("https://docs.google.com/spreadsheets/d/12sqVjnUciG43JLi5XgleWUl_GAm6KQgUS7EgIa7r_-U/edit#gid=279177293", "https://docs.google.com/spreadsheets/d/12sqVjnUciG43JLi5XgleWUl_GAm6KQgUS7EgIa7r_-U/edit#gid=279177293")</f>
        <v>https://docs.google.com/spreadsheets/d/12sqVjnUciG43JLi5XgleWUl_GAm6KQgUS7EgIa7r_-U/edit#gid=279177293</v>
      </c>
      <c r="H548" s="32" t="s">
        <v>210</v>
      </c>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c r="AG548" s="15"/>
      <c r="AH548" s="15"/>
    </row>
    <row r="549" ht="15.75" customHeight="1">
      <c r="A549" s="15"/>
      <c r="B549" s="15"/>
      <c r="C549" s="21"/>
      <c r="D549" s="15"/>
      <c r="E549" s="32" t="s">
        <v>157</v>
      </c>
      <c r="F549" s="32" t="s">
        <v>161</v>
      </c>
      <c r="G549" s="70" t="str">
        <f>HYPERLINK("https://docs.google.com/spreadsheets/d/12sqVjnUciG43JLi5XgleWUl_GAm6KQgUS7EgIa7r_-U/edit#gid=1348629597", "https://docs.google.com/spreadsheets/d/12sqVjnUciG43JLi5XgleWUl_GAm6KQgUS7EgIa7r_-U/edit#gid=1348629597")</f>
        <v>https://docs.google.com/spreadsheets/d/12sqVjnUciG43JLi5XgleWUl_GAm6KQgUS7EgIa7r_-U/edit#gid=1348629597</v>
      </c>
      <c r="H549" s="32" t="s">
        <v>161</v>
      </c>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c r="AG549" s="15"/>
      <c r="AH549" s="15"/>
    </row>
    <row r="550" ht="15.75" customHeight="1">
      <c r="A550" s="15"/>
      <c r="B550" s="15"/>
      <c r="C550" s="21"/>
      <c r="D550" s="15"/>
      <c r="E550" s="32" t="s">
        <v>157</v>
      </c>
      <c r="F550" s="32" t="s">
        <v>158</v>
      </c>
      <c r="G550" s="70" t="str">
        <f>HYPERLINK("https://docs.google.com/spreadsheets/d/12sqVjnUciG43JLi5XgleWUl_GAm6KQgUS7EgIa7r_-U/edit#gid=1962183818", "https://docs.google.com/spreadsheets/d/12sqVjnUciG43JLi5XgleWUl_GAm6KQgUS7EgIa7r_-U/edit#gid=1962183818")</f>
        <v>https://docs.google.com/spreadsheets/d/12sqVjnUciG43JLi5XgleWUl_GAm6KQgUS7EgIa7r_-U/edit#gid=1962183818</v>
      </c>
      <c r="H550" s="32" t="s">
        <v>158</v>
      </c>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c r="AG550" s="15"/>
      <c r="AH550" s="15"/>
    </row>
    <row r="551" ht="15.75" customHeight="1">
      <c r="A551" s="15"/>
      <c r="B551" s="15"/>
      <c r="C551" s="21"/>
      <c r="D551" s="15"/>
      <c r="E551" s="32" t="s">
        <v>157</v>
      </c>
      <c r="F551" s="32" t="s">
        <v>196</v>
      </c>
      <c r="G551" s="70" t="str">
        <f>HYPERLINK("https://docs.google.com/spreadsheets/d/12sqVjnUciG43JLi5XgleWUl_GAm6KQgUS7EgIa7r_-U/edit#gid=965649053", "https://docs.google.com/spreadsheets/d/12sqVjnUciG43JLi5XgleWUl_GAm6KQgUS7EgIa7r_-U/edit#gid=965649053")</f>
        <v>https://docs.google.com/spreadsheets/d/12sqVjnUciG43JLi5XgleWUl_GAm6KQgUS7EgIa7r_-U/edit#gid=965649053</v>
      </c>
      <c r="H551" s="32" t="s">
        <v>196</v>
      </c>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c r="AG551" s="15"/>
      <c r="AH551" s="15"/>
    </row>
    <row r="552" ht="15.75" customHeight="1">
      <c r="A552" s="15"/>
      <c r="B552" s="15"/>
      <c r="C552" s="21"/>
      <c r="D552" s="15"/>
      <c r="E552" s="32" t="s">
        <v>172</v>
      </c>
      <c r="F552" s="32" t="s">
        <v>173</v>
      </c>
      <c r="G552" s="70" t="str">
        <f>HYPERLINK("https://docs.google.com/spreadsheets/d/12sqVjnUciG43JLi5XgleWUl_GAm6KQgUS7EgIa7r_-U/edit#gid=21173469", "https://docs.google.com/spreadsheets/d/12sqVjnUciG43JLi5XgleWUl_GAm6KQgUS7EgIa7r_-U/edit#gid=21173469")</f>
        <v>https://docs.google.com/spreadsheets/d/12sqVjnUciG43JLi5XgleWUl_GAm6KQgUS7EgIa7r_-U/edit#gid=21173469</v>
      </c>
      <c r="H552" s="32" t="s">
        <v>2054</v>
      </c>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c r="AG552" s="15"/>
      <c r="AH552" s="15"/>
    </row>
    <row r="553" ht="15.75" customHeight="1">
      <c r="A553" s="15"/>
      <c r="B553" s="15"/>
      <c r="C553" s="21"/>
      <c r="D553" s="15"/>
      <c r="E553" s="32" t="s">
        <v>172</v>
      </c>
      <c r="F553" s="32" t="s">
        <v>402</v>
      </c>
      <c r="G553" s="70" t="str">
        <f>HYPERLINK("https://docs.google.com/spreadsheets/d/12sqVjnUciG43JLi5XgleWUl_GAm6KQgUS7EgIa7r_-U/edit#gid=1971205665", "https://docs.google.com/spreadsheets/d/12sqVjnUciG43JLi5XgleWUl_GAm6KQgUS7EgIa7r_-U/edit#gid=1971205665")</f>
        <v>https://docs.google.com/spreadsheets/d/12sqVjnUciG43JLi5XgleWUl_GAm6KQgUS7EgIa7r_-U/edit#gid=1971205665</v>
      </c>
      <c r="H553" s="32" t="s">
        <v>2055</v>
      </c>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c r="AG553" s="15"/>
      <c r="AH553" s="15"/>
    </row>
    <row r="554" ht="15.75" customHeight="1">
      <c r="A554" s="15"/>
      <c r="B554" s="15"/>
      <c r="C554" s="21"/>
      <c r="D554" s="15"/>
      <c r="E554" s="32" t="s">
        <v>172</v>
      </c>
      <c r="F554" s="32" t="s">
        <v>203</v>
      </c>
      <c r="G554" s="70" t="str">
        <f>HYPERLINK("https://docs.google.com/spreadsheets/d/12sqVjnUciG43JLi5XgleWUl_GAm6KQgUS7EgIa7r_-U/edit#gid=367152915", "https://docs.google.com/spreadsheets/d/12sqVjnUciG43JLi5XgleWUl_GAm6KQgUS7EgIa7r_-U/edit#gid=367152915")</f>
        <v>https://docs.google.com/spreadsheets/d/12sqVjnUciG43JLi5XgleWUl_GAm6KQgUS7EgIa7r_-U/edit#gid=367152915</v>
      </c>
      <c r="H554" s="32" t="s">
        <v>1999</v>
      </c>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c r="AG554" s="15"/>
      <c r="AH554" s="15"/>
    </row>
    <row r="555" ht="15.75" customHeight="1">
      <c r="A555" s="15"/>
      <c r="B555" s="15"/>
      <c r="C555" s="21"/>
      <c r="D555" s="15"/>
      <c r="E555" s="32" t="s">
        <v>172</v>
      </c>
      <c r="F555" s="32" t="s">
        <v>204</v>
      </c>
      <c r="G555" s="70" t="str">
        <f>HYPERLINK("https://docs.google.com/spreadsheets/d/12sqVjnUciG43JLi5XgleWUl_GAm6KQgUS7EgIa7r_-U/edit#gid=2114708753", "https://docs.google.com/spreadsheets/d/12sqVjnUciG43JLi5XgleWUl_GAm6KQgUS7EgIa7r_-U/edit#gid=2114708753")</f>
        <v>https://docs.google.com/spreadsheets/d/12sqVjnUciG43JLi5XgleWUl_GAm6KQgUS7EgIa7r_-U/edit#gid=2114708753</v>
      </c>
      <c r="H555" s="32" t="s">
        <v>2000</v>
      </c>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c r="AG555" s="15"/>
      <c r="AH555" s="15"/>
    </row>
    <row r="556" ht="15.75" customHeight="1">
      <c r="A556" s="15"/>
      <c r="B556" s="15"/>
      <c r="C556" s="21"/>
      <c r="D556" s="15"/>
      <c r="E556" s="32" t="s">
        <v>178</v>
      </c>
      <c r="F556" s="32" t="s">
        <v>207</v>
      </c>
      <c r="G556" s="70" t="str">
        <f>HYPERLINK("https://docs.google.com/spreadsheets/d/12sqVjnUciG43JLi5XgleWUl_GAm6KQgUS7EgIa7r_-U/edit#gid=1997244349", "https://docs.google.com/spreadsheets/d/12sqVjnUciG43JLi5XgleWUl_GAm6KQgUS7EgIa7r_-U/edit#gid=1997244349")</f>
        <v>https://docs.google.com/spreadsheets/d/12sqVjnUciG43JLi5XgleWUl_GAm6KQgUS7EgIa7r_-U/edit#gid=1997244349</v>
      </c>
      <c r="H556" s="32" t="s">
        <v>2001</v>
      </c>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c r="AG556" s="15"/>
      <c r="AH556" s="15"/>
    </row>
    <row r="557" ht="15.75" customHeight="1">
      <c r="A557" s="15"/>
      <c r="B557" s="15"/>
      <c r="C557" s="21"/>
      <c r="D557" s="15"/>
      <c r="E557" s="32" t="s">
        <v>178</v>
      </c>
      <c r="F557" s="32" t="s">
        <v>208</v>
      </c>
      <c r="G557" s="70" t="str">
        <f>HYPERLINK("https://docs.google.com/spreadsheets/d/12sqVjnUciG43JLi5XgleWUl_GAm6KQgUS7EgIa7r_-U/edit#gid=1372516374", "https://docs.google.com/spreadsheets/d/12sqVjnUciG43JLi5XgleWUl_GAm6KQgUS7EgIa7r_-U/edit#gid=1372516374")</f>
        <v>https://docs.google.com/spreadsheets/d/12sqVjnUciG43JLi5XgleWUl_GAm6KQgUS7EgIa7r_-U/edit#gid=1372516374</v>
      </c>
      <c r="H557" s="32" t="s">
        <v>2002</v>
      </c>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c r="AG557" s="15"/>
      <c r="AH557" s="15"/>
    </row>
    <row r="558" ht="15.75" customHeight="1">
      <c r="A558" s="15"/>
      <c r="B558" s="15"/>
      <c r="C558" s="21"/>
      <c r="D558" s="15"/>
      <c r="E558" s="32" t="s">
        <v>178</v>
      </c>
      <c r="F558" s="32" t="s">
        <v>182</v>
      </c>
      <c r="G558" s="70" t="str">
        <f>HYPERLINK("https://docs.google.com/spreadsheets/d/12sqVjnUciG43JLi5XgleWUl_GAm6KQgUS7EgIa7r_-U/edit#gid=1792479357", "https://docs.google.com/spreadsheets/d/12sqVjnUciG43JLi5XgleWUl_GAm6KQgUS7EgIa7r_-U/edit#gid=1792479357")</f>
        <v>https://docs.google.com/spreadsheets/d/12sqVjnUciG43JLi5XgleWUl_GAm6KQgUS7EgIa7r_-U/edit#gid=1792479357</v>
      </c>
      <c r="H558" s="32" t="s">
        <v>2003</v>
      </c>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c r="AG558" s="15"/>
      <c r="AH558" s="15"/>
    </row>
    <row r="559" ht="15.75" customHeight="1">
      <c r="A559" s="15"/>
      <c r="B559" s="15"/>
      <c r="C559" s="21"/>
      <c r="D559" s="15"/>
      <c r="E559" s="32" t="s">
        <v>178</v>
      </c>
      <c r="F559" s="32" t="s">
        <v>180</v>
      </c>
      <c r="G559" s="70" t="str">
        <f>HYPERLINK("https://docs.google.com/spreadsheets/d/12sqVjnUciG43JLi5XgleWUl_GAm6KQgUS7EgIa7r_-U/edit#gid=148289977", "https://docs.google.com/spreadsheets/d/12sqVjnUciG43JLi5XgleWUl_GAm6KQgUS7EgIa7r_-U/edit#gid=148289977")</f>
        <v>https://docs.google.com/spreadsheets/d/12sqVjnUciG43JLi5XgleWUl_GAm6KQgUS7EgIa7r_-U/edit#gid=148289977</v>
      </c>
      <c r="H559" s="32" t="s">
        <v>2009</v>
      </c>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c r="AG559" s="15"/>
      <c r="AH559" s="15"/>
    </row>
    <row r="560" ht="15.75" customHeight="1">
      <c r="A560" s="15"/>
      <c r="B560" s="15"/>
      <c r="C560" s="21"/>
      <c r="D560" s="15"/>
      <c r="E560" s="32" t="s">
        <v>178</v>
      </c>
      <c r="F560" s="32" t="s">
        <v>209</v>
      </c>
      <c r="G560" s="70" t="str">
        <f>HYPERLINK("https://docs.google.com/spreadsheets/d/12sqVjnUciG43JLi5XgleWUl_GAm6KQgUS7EgIa7r_-U/edit#gid=2051934759", "https://docs.google.com/spreadsheets/d/12sqVjnUciG43JLi5XgleWUl_GAm6KQgUS7EgIa7r_-U/edit#gid=2051934759")</f>
        <v>https://docs.google.com/spreadsheets/d/12sqVjnUciG43JLi5XgleWUl_GAm6KQgUS7EgIa7r_-U/edit#gid=2051934759</v>
      </c>
      <c r="H560" s="32" t="s">
        <v>1986</v>
      </c>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c r="AG560" s="15"/>
      <c r="AH560" s="15"/>
    </row>
    <row r="561" ht="15.75" customHeight="1">
      <c r="A561" s="15"/>
      <c r="B561" s="15"/>
      <c r="C561" s="21"/>
      <c r="D561" s="15"/>
      <c r="E561" s="32" t="s">
        <v>178</v>
      </c>
      <c r="F561" s="32" t="s">
        <v>210</v>
      </c>
      <c r="G561" s="70" t="str">
        <f>HYPERLINK("https://docs.google.com/spreadsheets/d/12sqVjnUciG43JLi5XgleWUl_GAm6KQgUS7EgIa7r_-U/edit#gid=516552403", "https://docs.google.com/spreadsheets/d/12sqVjnUciG43JLi5XgleWUl_GAm6KQgUS7EgIa7r_-U/edit#gid=516552403")</f>
        <v>https://docs.google.com/spreadsheets/d/12sqVjnUciG43JLi5XgleWUl_GAm6KQgUS7EgIa7r_-U/edit#gid=516552403</v>
      </c>
      <c r="H561" s="32" t="s">
        <v>1987</v>
      </c>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c r="AG561" s="15"/>
      <c r="AH561" s="15"/>
    </row>
    <row r="562" ht="15.75" customHeight="1">
      <c r="A562" s="15"/>
      <c r="B562" s="15"/>
      <c r="C562" s="21"/>
      <c r="D562" s="15"/>
      <c r="E562" s="32" t="s">
        <v>86</v>
      </c>
      <c r="F562" s="32" t="s">
        <v>90</v>
      </c>
      <c r="G562" s="70" t="str">
        <f>HYPERLINK("https://docs.google.com/spreadsheets/d/12sqVjnUciG43JLi5XgleWUl_GAm6KQgUS7EgIa7r_-U/edit#gid=456658092", "https://docs.google.com/spreadsheets/d/12sqVjnUciG43JLi5XgleWUl_GAm6KQgUS7EgIa7r_-U/edit#gid=456658092")</f>
        <v>https://docs.google.com/spreadsheets/d/12sqVjnUciG43JLi5XgleWUl_GAm6KQgUS7EgIa7r_-U/edit#gid=456658092</v>
      </c>
      <c r="H562" s="32" t="s">
        <v>90</v>
      </c>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c r="AG562" s="15"/>
      <c r="AH562" s="15"/>
    </row>
    <row r="563" ht="15.75" customHeight="1">
      <c r="A563" s="15"/>
      <c r="B563" s="15"/>
      <c r="C563" s="21"/>
      <c r="D563" s="15"/>
      <c r="E563" s="32" t="s">
        <v>86</v>
      </c>
      <c r="F563" s="32" t="s">
        <v>91</v>
      </c>
      <c r="G563" s="70" t="str">
        <f>HYPERLINK("https://docs.google.com/spreadsheets/d/12sqVjnUciG43JLi5XgleWUl_GAm6KQgUS7EgIa7r_-U/edit#gid=1663063020", "https://docs.google.com/spreadsheets/d/12sqVjnUciG43JLi5XgleWUl_GAm6KQgUS7EgIa7r_-U/edit#gid=1663063020")</f>
        <v>https://docs.google.com/spreadsheets/d/12sqVjnUciG43JLi5XgleWUl_GAm6KQgUS7EgIa7r_-U/edit#gid=1663063020</v>
      </c>
      <c r="H563" s="32" t="s">
        <v>91</v>
      </c>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c r="AG563" s="15"/>
      <c r="AH563" s="15"/>
    </row>
    <row r="564" ht="15.75" customHeight="1">
      <c r="A564" s="15"/>
      <c r="B564" s="15"/>
      <c r="C564" s="21"/>
      <c r="D564" s="15"/>
      <c r="E564" s="32" t="s">
        <v>88</v>
      </c>
      <c r="F564" s="32" t="s">
        <v>95</v>
      </c>
      <c r="G564" s="70" t="str">
        <f>HYPERLINK("https://docs.google.com/spreadsheets/d/12sqVjnUciG43JLi5XgleWUl_GAm6KQgUS7EgIa7r_-U/edit#gid=377941822", "https://docs.google.com/spreadsheets/d/12sqVjnUciG43JLi5XgleWUl_GAm6KQgUS7EgIa7r_-U/edit#gid=377941822")</f>
        <v>https://docs.google.com/spreadsheets/d/12sqVjnUciG43JLi5XgleWUl_GAm6KQgUS7EgIa7r_-U/edit#gid=377941822</v>
      </c>
      <c r="H564" s="32" t="s">
        <v>95</v>
      </c>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c r="AG564" s="15"/>
      <c r="AH564" s="15"/>
    </row>
    <row r="565" ht="15.75" customHeight="1">
      <c r="A565" s="15"/>
      <c r="B565" s="15"/>
      <c r="C565" s="21"/>
      <c r="D565" s="15"/>
      <c r="E565" s="32" t="s">
        <v>88</v>
      </c>
      <c r="F565" s="32" t="s">
        <v>96</v>
      </c>
      <c r="G565" s="70" t="str">
        <f>HYPERLINK("https://docs.google.com/spreadsheets/d/12sqVjnUciG43JLi5XgleWUl_GAm6KQgUS7EgIa7r_-U/edit#gid=1557786289", "https://docs.google.com/spreadsheets/d/12sqVjnUciG43JLi5XgleWUl_GAm6KQgUS7EgIa7r_-U/edit#gid=1557786289")</f>
        <v>https://docs.google.com/spreadsheets/d/12sqVjnUciG43JLi5XgleWUl_GAm6KQgUS7EgIa7r_-U/edit#gid=1557786289</v>
      </c>
      <c r="H565" s="32" t="s">
        <v>96</v>
      </c>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c r="AG565" s="15"/>
      <c r="AH565" s="15"/>
    </row>
    <row r="566" ht="15.75" customHeight="1">
      <c r="A566" s="15"/>
      <c r="B566" s="15"/>
      <c r="C566" s="21"/>
      <c r="D566" s="15"/>
      <c r="E566" s="15"/>
      <c r="F566" s="15"/>
      <c r="G566" s="15"/>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c r="AG566" s="15"/>
      <c r="AH566" s="15"/>
    </row>
    <row r="567" ht="15.75" customHeight="1">
      <c r="A567" s="15"/>
      <c r="B567" s="32" t="s">
        <v>2056</v>
      </c>
      <c r="C567" s="66" t="s">
        <v>2047</v>
      </c>
      <c r="D567" s="32" t="s">
        <v>20</v>
      </c>
      <c r="E567" s="32" t="s">
        <v>89</v>
      </c>
      <c r="F567" s="32" t="s">
        <v>291</v>
      </c>
      <c r="G567" s="15"/>
      <c r="H567" s="36"/>
      <c r="L567" s="11"/>
      <c r="M567" s="15"/>
      <c r="N567" s="15"/>
      <c r="O567" s="15"/>
      <c r="P567" s="15"/>
      <c r="Q567" s="15"/>
      <c r="R567" s="15"/>
      <c r="S567" s="15"/>
      <c r="T567" s="15"/>
      <c r="U567" s="15"/>
      <c r="V567" s="15"/>
      <c r="W567" s="15"/>
      <c r="X567" s="15"/>
      <c r="Y567" s="15"/>
      <c r="Z567" s="15"/>
      <c r="AA567" s="15"/>
      <c r="AB567" s="15"/>
      <c r="AC567" s="15"/>
      <c r="AD567" s="15"/>
      <c r="AE567" s="15"/>
      <c r="AF567" s="15"/>
      <c r="AG567" s="15"/>
      <c r="AH567" s="15"/>
    </row>
    <row r="568" ht="95.25" customHeight="1">
      <c r="A568" s="15"/>
      <c r="B568" s="32" t="s">
        <v>2057</v>
      </c>
      <c r="C568" s="206" t="s">
        <v>2058</v>
      </c>
      <c r="D568" s="32" t="s">
        <v>20</v>
      </c>
      <c r="E568" s="32" t="s">
        <v>178</v>
      </c>
      <c r="F568" s="32" t="s">
        <v>201</v>
      </c>
      <c r="G568" s="70" t="str">
        <f>HYPERLINK("https://docs.google.com/spreadsheets/d/1QF9RapxvvHVNpm75kKvomWfDgdTffbb7WhXd0ZtKq-c/edit#gid=969807866", "https://docs.google.com/spreadsheets/d/1QF9RapxvvHVNpm75kKvomWfDgdTffbb7WhXd0ZtKq-c/edit#gid=969807866")</f>
        <v>https://docs.google.com/spreadsheets/d/1QF9RapxvvHVNpm75kKvomWfDgdTffbb7WhXd0ZtKq-c/edit#gid=969807866</v>
      </c>
      <c r="H568" s="32" t="s">
        <v>201</v>
      </c>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c r="AG568" s="15"/>
      <c r="AH568" s="15"/>
    </row>
    <row r="569" ht="15.75" customHeight="1">
      <c r="A569" s="15"/>
      <c r="B569" s="15"/>
      <c r="C569" s="21"/>
      <c r="D569" s="15"/>
      <c r="E569" s="32" t="s">
        <v>178</v>
      </c>
      <c r="F569" s="32" t="s">
        <v>202</v>
      </c>
      <c r="G569" s="70" t="str">
        <f>HYPERLINK("https://docs.google.com/spreadsheets/d/1QF9RapxvvHVNpm75kKvomWfDgdTffbb7WhXd0ZtKq-c/edit#gid=698809317", "https://docs.google.com/spreadsheets/d/1QF9RapxvvHVNpm75kKvomWfDgdTffbb7WhXd0ZtKq-c/edit#gid=698809317")</f>
        <v>https://docs.google.com/spreadsheets/d/1QF9RapxvvHVNpm75kKvomWfDgdTffbb7WhXd0ZtKq-c/edit#gid=698809317</v>
      </c>
      <c r="H569" s="32" t="s">
        <v>202</v>
      </c>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c r="AG569" s="15"/>
      <c r="AH569" s="15"/>
    </row>
    <row r="570" ht="15.75" customHeight="1">
      <c r="A570" s="15"/>
      <c r="B570" s="15"/>
      <c r="C570" s="21"/>
      <c r="D570" s="15"/>
      <c r="E570" s="32" t="s">
        <v>21</v>
      </c>
      <c r="F570" s="32" t="s">
        <v>51</v>
      </c>
      <c r="G570" s="70" t="str">
        <f>HYPERLINK("https://docs.google.com/spreadsheets/d/1QF9RapxvvHVNpm75kKvomWfDgdTffbb7WhXd0ZtKq-c/edit#gid=1781554863", "https://docs.google.com/spreadsheets/d/1QF9RapxvvHVNpm75kKvomWfDgdTffbb7WhXd0ZtKq-c/edit#gid=1781554863")</f>
        <v>https://docs.google.com/spreadsheets/d/1QF9RapxvvHVNpm75kKvomWfDgdTffbb7WhXd0ZtKq-c/edit#gid=1781554863</v>
      </c>
      <c r="H570" s="32" t="s">
        <v>51</v>
      </c>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c r="AG570" s="15"/>
      <c r="AH570" s="15"/>
    </row>
    <row r="571" ht="15.75" customHeight="1">
      <c r="A571" s="15"/>
      <c r="B571" s="15"/>
      <c r="C571" s="21"/>
      <c r="D571" s="15"/>
      <c r="E571" s="32" t="s">
        <v>172</v>
      </c>
      <c r="F571" s="32" t="s">
        <v>203</v>
      </c>
      <c r="G571" s="70" t="str">
        <f>HYPERLINK("https://docs.google.com/spreadsheets/d/1QF9RapxvvHVNpm75kKvomWfDgdTffbb7WhXd0ZtKq-c/edit#gid=163892264", "https://docs.google.com/spreadsheets/d/1QF9RapxvvHVNpm75kKvomWfDgdTffbb7WhXd0ZtKq-c/edit#gid=163892264")</f>
        <v>https://docs.google.com/spreadsheets/d/1QF9RapxvvHVNpm75kKvomWfDgdTffbb7WhXd0ZtKq-c/edit#gid=163892264</v>
      </c>
      <c r="H571" s="32" t="s">
        <v>203</v>
      </c>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c r="AG571" s="15"/>
      <c r="AH571" s="15"/>
    </row>
    <row r="572" ht="15.75" customHeight="1">
      <c r="A572" s="15"/>
      <c r="B572" s="15"/>
      <c r="C572" s="21"/>
      <c r="D572" s="15"/>
      <c r="E572" s="32" t="s">
        <v>172</v>
      </c>
      <c r="F572" s="32" t="s">
        <v>204</v>
      </c>
      <c r="G572" s="70" t="str">
        <f>HYPERLINK("https://docs.google.com/spreadsheets/d/1QF9RapxvvHVNpm75kKvomWfDgdTffbb7WhXd0ZtKq-c/edit#gid=739551232", "https://docs.google.com/spreadsheets/d/1QF9RapxvvHVNpm75kKvomWfDgdTffbb7WhXd0ZtKq-c/edit#gid=739551232")</f>
        <v>https://docs.google.com/spreadsheets/d/1QF9RapxvvHVNpm75kKvomWfDgdTffbb7WhXd0ZtKq-c/edit#gid=739551232</v>
      </c>
      <c r="H572" s="32" t="s">
        <v>204</v>
      </c>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c r="AG572" s="15"/>
      <c r="AH572" s="15"/>
    </row>
    <row r="573" ht="15.75" customHeight="1">
      <c r="A573" s="15"/>
      <c r="B573" s="15"/>
      <c r="C573" s="21"/>
      <c r="D573" s="15"/>
      <c r="E573" s="32" t="s">
        <v>178</v>
      </c>
      <c r="F573" s="32" t="s">
        <v>205</v>
      </c>
      <c r="G573" s="70" t="str">
        <f>HYPERLINK("https://docs.google.com/spreadsheets/d/1QF9RapxvvHVNpm75kKvomWfDgdTffbb7WhXd0ZtKq-c/edit#gid=2086822843", "https://docs.google.com/spreadsheets/d/1QF9RapxvvHVNpm75kKvomWfDgdTffbb7WhXd0ZtKq-c/edit#gid=2086822843")</f>
        <v>https://docs.google.com/spreadsheets/d/1QF9RapxvvHVNpm75kKvomWfDgdTffbb7WhXd0ZtKq-c/edit#gid=2086822843</v>
      </c>
      <c r="H573" s="32" t="s">
        <v>205</v>
      </c>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c r="AG573" s="15"/>
      <c r="AH573" s="15"/>
    </row>
    <row r="574" ht="15.75" customHeight="1">
      <c r="A574" s="15"/>
      <c r="B574" s="15"/>
      <c r="C574" s="21"/>
      <c r="D574" s="15"/>
      <c r="E574" s="32" t="s">
        <v>178</v>
      </c>
      <c r="F574" s="32" t="s">
        <v>206</v>
      </c>
      <c r="G574" s="15"/>
      <c r="H574" s="36"/>
      <c r="L574" s="11"/>
      <c r="M574" s="15"/>
      <c r="N574" s="15"/>
      <c r="O574" s="15"/>
      <c r="P574" s="15"/>
      <c r="Q574" s="15"/>
      <c r="R574" s="15"/>
      <c r="S574" s="15"/>
      <c r="T574" s="15"/>
      <c r="U574" s="15"/>
      <c r="V574" s="15"/>
      <c r="W574" s="15"/>
      <c r="X574" s="15"/>
      <c r="Y574" s="15"/>
      <c r="Z574" s="15"/>
      <c r="AA574" s="15"/>
      <c r="AB574" s="15"/>
      <c r="AC574" s="15"/>
      <c r="AD574" s="15"/>
      <c r="AE574" s="15"/>
      <c r="AF574" s="15"/>
      <c r="AG574" s="15"/>
      <c r="AH574" s="15"/>
    </row>
    <row r="575" ht="15.75" customHeight="1">
      <c r="A575" s="15"/>
      <c r="B575" s="15"/>
      <c r="C575" s="21"/>
      <c r="D575" s="15"/>
      <c r="E575" s="32" t="s">
        <v>178</v>
      </c>
      <c r="F575" s="32" t="s">
        <v>207</v>
      </c>
      <c r="G575" s="70" t="str">
        <f>HYPERLINK("https://docs.google.com/spreadsheets/d/1QF9RapxvvHVNpm75kKvomWfDgdTffbb7WhXd0ZtKq-c/edit#gid=1987140773", "https://docs.google.com/spreadsheets/d/1QF9RapxvvHVNpm75kKvomWfDgdTffbb7WhXd0ZtKq-c/edit#gid=1987140773")</f>
        <v>https://docs.google.com/spreadsheets/d/1QF9RapxvvHVNpm75kKvomWfDgdTffbb7WhXd0ZtKq-c/edit#gid=1987140773</v>
      </c>
      <c r="H575" s="32" t="s">
        <v>207</v>
      </c>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c r="AG575" s="15"/>
      <c r="AH575" s="15"/>
    </row>
    <row r="576" ht="15.75" customHeight="1">
      <c r="A576" s="15"/>
      <c r="B576" s="15"/>
      <c r="C576" s="21"/>
      <c r="D576" s="15"/>
      <c r="E576" s="32" t="s">
        <v>172</v>
      </c>
      <c r="F576" s="32" t="s">
        <v>203</v>
      </c>
      <c r="G576" s="70" t="str">
        <f>HYPERLINK("https://docs.google.com/spreadsheets/d/1QF9RapxvvHVNpm75kKvomWfDgdTffbb7WhXd0ZtKq-c/edit#gid=848386023", "https://docs.google.com/spreadsheets/d/1QF9RapxvvHVNpm75kKvomWfDgdTffbb7WhXd0ZtKq-c/edit#gid=848386023")</f>
        <v>https://docs.google.com/spreadsheets/d/1QF9RapxvvHVNpm75kKvomWfDgdTffbb7WhXd0ZtKq-c/edit#gid=848386023</v>
      </c>
      <c r="H576" s="32" t="s">
        <v>1995</v>
      </c>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c r="AG576" s="15"/>
      <c r="AH576" s="15"/>
    </row>
    <row r="577" ht="15.75" customHeight="1">
      <c r="A577" s="15"/>
      <c r="B577" s="15"/>
      <c r="C577" s="21"/>
      <c r="D577" s="15"/>
      <c r="E577" s="32" t="s">
        <v>172</v>
      </c>
      <c r="F577" s="32" t="s">
        <v>204</v>
      </c>
      <c r="G577" s="70" t="str">
        <f>HYPERLINK("https://docs.google.com/spreadsheets/d/1QF9RapxvvHVNpm75kKvomWfDgdTffbb7WhXd0ZtKq-c/edit#gid=1566222567", "https://docs.google.com/spreadsheets/d/1QF9RapxvvHVNpm75kKvomWfDgdTffbb7WhXd0ZtKq-c/edit#gid=1566222567")</f>
        <v>https://docs.google.com/spreadsheets/d/1QF9RapxvvHVNpm75kKvomWfDgdTffbb7WhXd0ZtKq-c/edit#gid=1566222567</v>
      </c>
      <c r="H577" s="32" t="s">
        <v>1996</v>
      </c>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c r="AG577" s="15"/>
      <c r="AH577" s="15"/>
    </row>
    <row r="578" ht="15.75" customHeight="1">
      <c r="A578" s="15"/>
      <c r="B578" s="15"/>
      <c r="C578" s="21"/>
      <c r="D578" s="15"/>
      <c r="E578" s="32" t="s">
        <v>178</v>
      </c>
      <c r="F578" s="32" t="s">
        <v>205</v>
      </c>
      <c r="G578" s="70" t="str">
        <f>HYPERLINK("https://docs.google.com/spreadsheets/d/1QF9RapxvvHVNpm75kKvomWfDgdTffbb7WhXd0ZtKq-c/edit#gid=2060873885", "https://docs.google.com/spreadsheets/d/1QF9RapxvvHVNpm75kKvomWfDgdTffbb7WhXd0ZtKq-c/edit#gid=2060873885")</f>
        <v>https://docs.google.com/spreadsheets/d/1QF9RapxvvHVNpm75kKvomWfDgdTffbb7WhXd0ZtKq-c/edit#gid=2060873885</v>
      </c>
      <c r="H578" s="32" t="s">
        <v>1997</v>
      </c>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c r="AG578" s="15"/>
      <c r="AH578" s="15"/>
    </row>
    <row r="579" ht="15.75" customHeight="1">
      <c r="A579" s="15"/>
      <c r="B579" s="15"/>
      <c r="C579" s="21"/>
      <c r="D579" s="15"/>
      <c r="E579" s="32" t="s">
        <v>178</v>
      </c>
      <c r="F579" s="32" t="s">
        <v>206</v>
      </c>
      <c r="G579" s="15"/>
      <c r="H579" s="36"/>
      <c r="L579" s="11"/>
      <c r="M579" s="15"/>
      <c r="N579" s="15"/>
      <c r="O579" s="15"/>
      <c r="P579" s="15"/>
      <c r="Q579" s="15"/>
      <c r="R579" s="15"/>
      <c r="S579" s="15"/>
      <c r="T579" s="15"/>
      <c r="U579" s="15"/>
      <c r="V579" s="15"/>
      <c r="W579" s="15"/>
      <c r="X579" s="15"/>
      <c r="Y579" s="15"/>
      <c r="Z579" s="15"/>
      <c r="AA579" s="15"/>
      <c r="AB579" s="15"/>
      <c r="AC579" s="15"/>
      <c r="AD579" s="15"/>
      <c r="AE579" s="15"/>
      <c r="AF579" s="15"/>
      <c r="AG579" s="15"/>
      <c r="AH579" s="15"/>
    </row>
    <row r="580" ht="15.75" customHeight="1">
      <c r="A580" s="15"/>
      <c r="B580" s="15"/>
      <c r="C580" s="21"/>
      <c r="D580" s="15"/>
      <c r="E580" s="32" t="s">
        <v>178</v>
      </c>
      <c r="F580" s="32" t="s">
        <v>207</v>
      </c>
      <c r="G580" s="70" t="str">
        <f>HYPERLINK("https://docs.google.com/spreadsheets/d/1QF9RapxvvHVNpm75kKvomWfDgdTffbb7WhXd0ZtKq-c/edit#gid=1657950192", "https://docs.google.com/spreadsheets/d/1QF9RapxvvHVNpm75kKvomWfDgdTffbb7WhXd0ZtKq-c/edit#gid=1657950192")</f>
        <v>https://docs.google.com/spreadsheets/d/1QF9RapxvvHVNpm75kKvomWfDgdTffbb7WhXd0ZtKq-c/edit#gid=1657950192</v>
      </c>
      <c r="H580" s="32" t="s">
        <v>1998</v>
      </c>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c r="AG580" s="15"/>
      <c r="AH580" s="15"/>
    </row>
    <row r="581" ht="15.75" customHeight="1">
      <c r="A581" s="15"/>
      <c r="B581" s="15"/>
      <c r="C581" s="21"/>
      <c r="D581" s="15"/>
      <c r="E581" s="32" t="s">
        <v>178</v>
      </c>
      <c r="F581" s="32" t="s">
        <v>208</v>
      </c>
      <c r="G581" s="70" t="str">
        <f>HYPERLINK("https://docs.google.com/spreadsheets/d/1QF9RapxvvHVNpm75kKvomWfDgdTffbb7WhXd0ZtKq-c/edit#gid=1147400249", "https://docs.google.com/spreadsheets/d/1QF9RapxvvHVNpm75kKvomWfDgdTffbb7WhXd0ZtKq-c/edit#gid=1147400249")</f>
        <v>https://docs.google.com/spreadsheets/d/1QF9RapxvvHVNpm75kKvomWfDgdTffbb7WhXd0ZtKq-c/edit#gid=1147400249</v>
      </c>
      <c r="H581" s="32" t="s">
        <v>208</v>
      </c>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c r="AG581" s="15"/>
      <c r="AH581" s="15"/>
    </row>
    <row r="582" ht="15.75" customHeight="1">
      <c r="A582" s="15"/>
      <c r="B582" s="15"/>
      <c r="C582" s="21"/>
      <c r="D582" s="15"/>
      <c r="E582" s="32" t="s">
        <v>178</v>
      </c>
      <c r="F582" s="32" t="s">
        <v>182</v>
      </c>
      <c r="G582" s="70" t="str">
        <f>HYPERLINK("https://docs.google.com/spreadsheets/d/1QF9RapxvvHVNpm75kKvomWfDgdTffbb7WhXd0ZtKq-c/edit#gid=1650951306", "https://docs.google.com/spreadsheets/d/1QF9RapxvvHVNpm75kKvomWfDgdTffbb7WhXd0ZtKq-c/edit#gid=1650951306")</f>
        <v>https://docs.google.com/spreadsheets/d/1QF9RapxvvHVNpm75kKvomWfDgdTffbb7WhXd0ZtKq-c/edit#gid=1650951306</v>
      </c>
      <c r="H582" s="32" t="s">
        <v>182</v>
      </c>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c r="AG582" s="15"/>
      <c r="AH582" s="15"/>
    </row>
    <row r="583" ht="15.75" customHeight="1">
      <c r="A583" s="15"/>
      <c r="B583" s="15"/>
      <c r="C583" s="21"/>
      <c r="D583" s="15"/>
      <c r="E583" s="32" t="s">
        <v>178</v>
      </c>
      <c r="F583" s="32" t="s">
        <v>180</v>
      </c>
      <c r="G583" s="70" t="str">
        <f>HYPERLINK("https://docs.google.com/spreadsheets/d/1QF9RapxvvHVNpm75kKvomWfDgdTffbb7WhXd0ZtKq-c/edit#gid=166130776", "https://docs.google.com/spreadsheets/d/1QF9RapxvvHVNpm75kKvomWfDgdTffbb7WhXd0ZtKq-c/edit#gid=166130776")</f>
        <v>https://docs.google.com/spreadsheets/d/1QF9RapxvvHVNpm75kKvomWfDgdTffbb7WhXd0ZtKq-c/edit#gid=166130776</v>
      </c>
      <c r="H583" s="32" t="s">
        <v>180</v>
      </c>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c r="AG583" s="15"/>
      <c r="AH583" s="15"/>
    </row>
    <row r="584" ht="15.75" customHeight="1">
      <c r="A584" s="15"/>
      <c r="B584" s="15"/>
      <c r="C584" s="21"/>
      <c r="D584" s="15"/>
      <c r="E584" s="32" t="s">
        <v>178</v>
      </c>
      <c r="F584" s="32" t="s">
        <v>209</v>
      </c>
      <c r="G584" s="70" t="str">
        <f>HYPERLINK("https://docs.google.com/spreadsheets/d/1QF9RapxvvHVNpm75kKvomWfDgdTffbb7WhXd0ZtKq-c/edit#gid=1773665732", "https://docs.google.com/spreadsheets/d/1QF9RapxvvHVNpm75kKvomWfDgdTffbb7WhXd0ZtKq-c/edit#gid=1773665732")</f>
        <v>https://docs.google.com/spreadsheets/d/1QF9RapxvvHVNpm75kKvomWfDgdTffbb7WhXd0ZtKq-c/edit#gid=1773665732</v>
      </c>
      <c r="H584" s="32" t="s">
        <v>209</v>
      </c>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c r="AG584" s="15"/>
      <c r="AH584" s="15"/>
    </row>
    <row r="585" ht="15.75" customHeight="1">
      <c r="A585" s="15"/>
      <c r="B585" s="15"/>
      <c r="C585" s="21"/>
      <c r="D585" s="15"/>
      <c r="E585" s="32" t="s">
        <v>178</v>
      </c>
      <c r="F585" s="32" t="s">
        <v>210</v>
      </c>
      <c r="G585" s="70" t="str">
        <f>HYPERLINK("https://docs.google.com/spreadsheets/d/1QF9RapxvvHVNpm75kKvomWfDgdTffbb7WhXd0ZtKq-c/edit#gid=1953930705", "https://docs.google.com/spreadsheets/d/1QF9RapxvvHVNpm75kKvomWfDgdTffbb7WhXd0ZtKq-c/edit#gid=1953930705")</f>
        <v>https://docs.google.com/spreadsheets/d/1QF9RapxvvHVNpm75kKvomWfDgdTffbb7WhXd0ZtKq-c/edit#gid=1953930705</v>
      </c>
      <c r="H585" s="32" t="s">
        <v>210</v>
      </c>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c r="AG585" s="15"/>
      <c r="AH585" s="15"/>
    </row>
    <row r="586" ht="15.75" customHeight="1">
      <c r="A586" s="15"/>
      <c r="B586" s="15"/>
      <c r="C586" s="21"/>
      <c r="D586" s="15"/>
      <c r="E586" s="32" t="s">
        <v>157</v>
      </c>
      <c r="F586" s="32" t="s">
        <v>161</v>
      </c>
      <c r="G586" s="70" t="str">
        <f>HYPERLINK("https://docs.google.com/spreadsheets/d/1QF9RapxvvHVNpm75kKvomWfDgdTffbb7WhXd0ZtKq-c/edit#gid=779196981", "https://docs.google.com/spreadsheets/d/1QF9RapxvvHVNpm75kKvomWfDgdTffbb7WhXd0ZtKq-c/edit#gid=779196981")</f>
        <v>https://docs.google.com/spreadsheets/d/1QF9RapxvvHVNpm75kKvomWfDgdTffbb7WhXd0ZtKq-c/edit#gid=779196981</v>
      </c>
      <c r="H586" s="32" t="s">
        <v>161</v>
      </c>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c r="AG586" s="15"/>
      <c r="AH586" s="15"/>
    </row>
    <row r="587" ht="15.75" customHeight="1">
      <c r="A587" s="15"/>
      <c r="B587" s="15"/>
      <c r="C587" s="21"/>
      <c r="D587" s="15"/>
      <c r="E587" s="32" t="s">
        <v>157</v>
      </c>
      <c r="F587" s="32" t="s">
        <v>158</v>
      </c>
      <c r="G587" s="70" t="str">
        <f>HYPERLINK("https://docs.google.com/spreadsheets/d/1QF9RapxvvHVNpm75kKvomWfDgdTffbb7WhXd0ZtKq-c/edit#gid=2077682824", "https://docs.google.com/spreadsheets/d/1QF9RapxvvHVNpm75kKvomWfDgdTffbb7WhXd0ZtKq-c/edit#gid=2077682824")</f>
        <v>https://docs.google.com/spreadsheets/d/1QF9RapxvvHVNpm75kKvomWfDgdTffbb7WhXd0ZtKq-c/edit#gid=2077682824</v>
      </c>
      <c r="H587" s="32" t="s">
        <v>158</v>
      </c>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c r="AG587" s="15"/>
      <c r="AH587" s="15"/>
    </row>
    <row r="588" ht="15.75" customHeight="1">
      <c r="A588" s="15"/>
      <c r="B588" s="15"/>
      <c r="C588" s="21"/>
      <c r="D588" s="15"/>
      <c r="E588" s="32" t="s">
        <v>157</v>
      </c>
      <c r="F588" s="32" t="s">
        <v>196</v>
      </c>
      <c r="G588" s="70" t="str">
        <f>HYPERLINK("https://docs.google.com/spreadsheets/d/1QF9RapxvvHVNpm75kKvomWfDgdTffbb7WhXd0ZtKq-c/edit#gid=2109290374", "https://docs.google.com/spreadsheets/d/1QF9RapxvvHVNpm75kKvomWfDgdTffbb7WhXd0ZtKq-c/edit#gid=2109290374")</f>
        <v>https://docs.google.com/spreadsheets/d/1QF9RapxvvHVNpm75kKvomWfDgdTffbb7WhXd0ZtKq-c/edit#gid=2109290374</v>
      </c>
      <c r="H588" s="32" t="s">
        <v>196</v>
      </c>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c r="AG588" s="15"/>
      <c r="AH588" s="15"/>
    </row>
    <row r="589" ht="15.75" customHeight="1">
      <c r="A589" s="15"/>
      <c r="B589" s="15"/>
      <c r="C589" s="21"/>
      <c r="D589" s="15"/>
      <c r="E589" s="32" t="s">
        <v>172</v>
      </c>
      <c r="F589" s="32" t="s">
        <v>203</v>
      </c>
      <c r="G589" s="70" t="str">
        <f>HYPERLINK("https://docs.google.com/spreadsheets/d/1QF9RapxvvHVNpm75kKvomWfDgdTffbb7WhXd0ZtKq-c/edit#gid=2093367687", "https://docs.google.com/spreadsheets/d/1QF9RapxvvHVNpm75kKvomWfDgdTffbb7WhXd0ZtKq-c/edit#gid=2093367687")</f>
        <v>https://docs.google.com/spreadsheets/d/1QF9RapxvvHVNpm75kKvomWfDgdTffbb7WhXd0ZtKq-c/edit#gid=2093367687</v>
      </c>
      <c r="H589" s="32" t="s">
        <v>1999</v>
      </c>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c r="AG589" s="15"/>
      <c r="AH589" s="15"/>
    </row>
    <row r="590" ht="15.75" customHeight="1">
      <c r="A590" s="15"/>
      <c r="B590" s="15"/>
      <c r="C590" s="21"/>
      <c r="D590" s="15"/>
      <c r="E590" s="32" t="s">
        <v>172</v>
      </c>
      <c r="F590" s="32" t="s">
        <v>204</v>
      </c>
      <c r="G590" s="70" t="str">
        <f>HYPERLINK("https://docs.google.com/spreadsheets/d/1QF9RapxvvHVNpm75kKvomWfDgdTffbb7WhXd0ZtKq-c/edit#gid=680246730", "https://docs.google.com/spreadsheets/d/1QF9RapxvvHVNpm75kKvomWfDgdTffbb7WhXd0ZtKq-c/edit#gid=680246730")</f>
        <v>https://docs.google.com/spreadsheets/d/1QF9RapxvvHVNpm75kKvomWfDgdTffbb7WhXd0ZtKq-c/edit#gid=680246730</v>
      </c>
      <c r="H590" s="32" t="s">
        <v>2000</v>
      </c>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c r="AG590" s="15"/>
      <c r="AH590" s="15"/>
    </row>
    <row r="591" ht="15.75" customHeight="1">
      <c r="A591" s="15"/>
      <c r="B591" s="15"/>
      <c r="C591" s="21"/>
      <c r="D591" s="15"/>
      <c r="E591" s="32" t="s">
        <v>178</v>
      </c>
      <c r="F591" s="32" t="s">
        <v>207</v>
      </c>
      <c r="G591" s="70" t="str">
        <f>HYPERLINK("https://docs.google.com/spreadsheets/d/1QF9RapxvvHVNpm75kKvomWfDgdTffbb7WhXd0ZtKq-c/edit#gid=1465661968", "https://docs.google.com/spreadsheets/d/1QF9RapxvvHVNpm75kKvomWfDgdTffbb7WhXd0ZtKq-c/edit#gid=1465661968")</f>
        <v>https://docs.google.com/spreadsheets/d/1QF9RapxvvHVNpm75kKvomWfDgdTffbb7WhXd0ZtKq-c/edit#gid=1465661968</v>
      </c>
      <c r="H591" s="32" t="s">
        <v>2001</v>
      </c>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c r="AG591" s="15"/>
      <c r="AH591" s="15"/>
    </row>
    <row r="592" ht="15.75" customHeight="1">
      <c r="A592" s="15"/>
      <c r="B592" s="15"/>
      <c r="C592" s="21"/>
      <c r="D592" s="15"/>
      <c r="E592" s="32" t="s">
        <v>178</v>
      </c>
      <c r="F592" s="32" t="s">
        <v>208</v>
      </c>
      <c r="G592" s="70" t="str">
        <f>HYPERLINK("https://docs.google.com/spreadsheets/d/1QF9RapxvvHVNpm75kKvomWfDgdTffbb7WhXd0ZtKq-c/edit#gid=354947329", "https://docs.google.com/spreadsheets/d/1QF9RapxvvHVNpm75kKvomWfDgdTffbb7WhXd0ZtKq-c/edit#gid=354947329")</f>
        <v>https://docs.google.com/spreadsheets/d/1QF9RapxvvHVNpm75kKvomWfDgdTffbb7WhXd0ZtKq-c/edit#gid=354947329</v>
      </c>
      <c r="H592" s="32" t="s">
        <v>2002</v>
      </c>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c r="AG592" s="15"/>
      <c r="AH592" s="15"/>
    </row>
    <row r="593" ht="15.75" customHeight="1">
      <c r="A593" s="15"/>
      <c r="B593" s="15"/>
      <c r="C593" s="21"/>
      <c r="D593" s="15"/>
      <c r="E593" s="32" t="s">
        <v>178</v>
      </c>
      <c r="F593" s="32" t="s">
        <v>182</v>
      </c>
      <c r="G593" s="70" t="str">
        <f>HYPERLINK("https://docs.google.com/spreadsheets/d/1QF9RapxvvHVNpm75kKvomWfDgdTffbb7WhXd0ZtKq-c/edit#gid=732095913", "https://docs.google.com/spreadsheets/d/1QF9RapxvvHVNpm75kKvomWfDgdTffbb7WhXd0ZtKq-c/edit#gid=732095913")</f>
        <v>https://docs.google.com/spreadsheets/d/1QF9RapxvvHVNpm75kKvomWfDgdTffbb7WhXd0ZtKq-c/edit#gid=732095913</v>
      </c>
      <c r="H593" s="32" t="s">
        <v>2003</v>
      </c>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c r="AG593" s="15"/>
      <c r="AH593" s="15"/>
    </row>
    <row r="594" ht="15.75" customHeight="1">
      <c r="A594" s="15"/>
      <c r="B594" s="15"/>
      <c r="C594" s="21"/>
      <c r="D594" s="15"/>
      <c r="E594" s="32" t="s">
        <v>178</v>
      </c>
      <c r="F594" s="32" t="s">
        <v>180</v>
      </c>
      <c r="G594" s="70" t="str">
        <f>HYPERLINK("https://docs.google.com/spreadsheets/d/1QF9RapxvvHVNpm75kKvomWfDgdTffbb7WhXd0ZtKq-c/edit#gid=1271615951", "https://docs.google.com/spreadsheets/d/1QF9RapxvvHVNpm75kKvomWfDgdTffbb7WhXd0ZtKq-c/edit#gid=1271615951")</f>
        <v>https://docs.google.com/spreadsheets/d/1QF9RapxvvHVNpm75kKvomWfDgdTffbb7WhXd0ZtKq-c/edit#gid=1271615951</v>
      </c>
      <c r="H594" s="32" t="s">
        <v>2009</v>
      </c>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c r="AG594" s="15"/>
      <c r="AH594" s="15"/>
    </row>
    <row r="595" ht="15.75" customHeight="1">
      <c r="A595" s="15"/>
      <c r="B595" s="15"/>
      <c r="C595" s="21"/>
      <c r="D595" s="15"/>
      <c r="E595" s="32" t="s">
        <v>178</v>
      </c>
      <c r="F595" s="32" t="s">
        <v>209</v>
      </c>
      <c r="G595" s="70" t="str">
        <f>HYPERLINK("https://docs.google.com/spreadsheets/d/1QF9RapxvvHVNpm75kKvomWfDgdTffbb7WhXd0ZtKq-c/edit#gid=2040687193", "https://docs.google.com/spreadsheets/d/1QF9RapxvvHVNpm75kKvomWfDgdTffbb7WhXd0ZtKq-c/edit#gid=2040687193")</f>
        <v>https://docs.google.com/spreadsheets/d/1QF9RapxvvHVNpm75kKvomWfDgdTffbb7WhXd0ZtKq-c/edit#gid=2040687193</v>
      </c>
      <c r="H595" s="32" t="s">
        <v>1986</v>
      </c>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c r="AG595" s="15"/>
      <c r="AH595" s="15"/>
    </row>
    <row r="596" ht="15.75" customHeight="1">
      <c r="A596" s="15"/>
      <c r="B596" s="15"/>
      <c r="C596" s="21"/>
      <c r="D596" s="15"/>
      <c r="E596" s="32" t="s">
        <v>178</v>
      </c>
      <c r="F596" s="32" t="s">
        <v>210</v>
      </c>
      <c r="G596" s="70" t="str">
        <f>HYPERLINK("https://docs.google.com/spreadsheets/d/1QF9RapxvvHVNpm75kKvomWfDgdTffbb7WhXd0ZtKq-c/edit#gid=64285065", "https://docs.google.com/spreadsheets/d/1QF9RapxvvHVNpm75kKvomWfDgdTffbb7WhXd0ZtKq-c/edit#gid=64285065")</f>
        <v>https://docs.google.com/spreadsheets/d/1QF9RapxvvHVNpm75kKvomWfDgdTffbb7WhXd0ZtKq-c/edit#gid=64285065</v>
      </c>
      <c r="H596" s="32" t="s">
        <v>1987</v>
      </c>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c r="AG596" s="15"/>
      <c r="AH596" s="15"/>
    </row>
    <row r="597" ht="15.75" customHeight="1">
      <c r="A597" s="15"/>
      <c r="B597" s="15"/>
      <c r="C597" s="21"/>
      <c r="D597" s="15"/>
      <c r="E597" s="32" t="s">
        <v>86</v>
      </c>
      <c r="F597" s="32" t="s">
        <v>90</v>
      </c>
      <c r="G597" s="70" t="str">
        <f>HYPERLINK("https://docs.google.com/spreadsheets/d/1QF9RapxvvHVNpm75kKvomWfDgdTffbb7WhXd0ZtKq-c/edit#gid=1099469783", "https://docs.google.com/spreadsheets/d/1QF9RapxvvHVNpm75kKvomWfDgdTffbb7WhXd0ZtKq-c/edit#gid=1099469783")</f>
        <v>https://docs.google.com/spreadsheets/d/1QF9RapxvvHVNpm75kKvomWfDgdTffbb7WhXd0ZtKq-c/edit#gid=1099469783</v>
      </c>
      <c r="H597" s="32" t="s">
        <v>90</v>
      </c>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c r="AG597" s="15"/>
      <c r="AH597" s="15"/>
    </row>
    <row r="598" ht="15.75" customHeight="1">
      <c r="A598" s="15"/>
      <c r="B598" s="15"/>
      <c r="C598" s="21"/>
      <c r="D598" s="15"/>
      <c r="E598" s="32" t="s">
        <v>86</v>
      </c>
      <c r="F598" s="32" t="s">
        <v>338</v>
      </c>
      <c r="G598" s="70" t="str">
        <f>HYPERLINK("https://docs.google.com/spreadsheets/d/1QF9RapxvvHVNpm75kKvomWfDgdTffbb7WhXd0ZtKq-c/edit#gid=630199602", "https://docs.google.com/spreadsheets/d/1QF9RapxvvHVNpm75kKvomWfDgdTffbb7WhXd0ZtKq-c/edit#gid=630199602")</f>
        <v>https://docs.google.com/spreadsheets/d/1QF9RapxvvHVNpm75kKvomWfDgdTffbb7WhXd0ZtKq-c/edit#gid=630199602</v>
      </c>
      <c r="H598" s="32" t="s">
        <v>338</v>
      </c>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c r="AG598" s="15"/>
      <c r="AH598" s="15"/>
    </row>
    <row r="599" ht="15.75" customHeight="1">
      <c r="A599" s="15"/>
      <c r="B599" s="15"/>
      <c r="C599" s="21"/>
      <c r="D599" s="15"/>
      <c r="E599" s="32" t="s">
        <v>88</v>
      </c>
      <c r="F599" s="32" t="s">
        <v>95</v>
      </c>
      <c r="G599" s="70" t="str">
        <f>HYPERLINK("https://docs.google.com/spreadsheets/d/1QF9RapxvvHVNpm75kKvomWfDgdTffbb7WhXd0ZtKq-c/edit#gid=620164730", "https://docs.google.com/spreadsheets/d/1QF9RapxvvHVNpm75kKvomWfDgdTffbb7WhXd0ZtKq-c/edit#gid=620164730")</f>
        <v>https://docs.google.com/spreadsheets/d/1QF9RapxvvHVNpm75kKvomWfDgdTffbb7WhXd0ZtKq-c/edit#gid=620164730</v>
      </c>
      <c r="H599" s="32" t="s">
        <v>95</v>
      </c>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c r="AG599" s="15"/>
      <c r="AH599" s="15"/>
    </row>
    <row r="600" ht="15.75" customHeight="1">
      <c r="A600" s="15"/>
      <c r="B600" s="15"/>
      <c r="C600" s="21"/>
      <c r="D600" s="15"/>
      <c r="E600" s="32" t="s">
        <v>88</v>
      </c>
      <c r="F600" s="32" t="s">
        <v>96</v>
      </c>
      <c r="G600" s="70" t="str">
        <f>HYPERLINK("https://docs.google.com/spreadsheets/d/1QF9RapxvvHVNpm75kKvomWfDgdTffbb7WhXd0ZtKq-c/edit#gid=1370401516", "https://docs.google.com/spreadsheets/d/1QF9RapxvvHVNpm75kKvomWfDgdTffbb7WhXd0ZtKq-c/edit#gid=1370401516")</f>
        <v>https://docs.google.com/spreadsheets/d/1QF9RapxvvHVNpm75kKvomWfDgdTffbb7WhXd0ZtKq-c/edit#gid=1370401516</v>
      </c>
      <c r="H600" s="32" t="s">
        <v>96</v>
      </c>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c r="AG600" s="15"/>
      <c r="AH600" s="15"/>
    </row>
    <row r="601" ht="15.75" customHeight="1">
      <c r="A601" s="15"/>
      <c r="B601" s="15"/>
      <c r="C601" s="21"/>
      <c r="D601" s="15"/>
      <c r="E601" s="15"/>
      <c r="F601" s="15"/>
      <c r="G601" s="15"/>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c r="AG601" s="15"/>
      <c r="AH601" s="15"/>
    </row>
    <row r="602">
      <c r="B602" s="35" t="s">
        <v>2059</v>
      </c>
      <c r="C602" s="35" t="s">
        <v>2047</v>
      </c>
      <c r="D602" s="32" t="s">
        <v>20</v>
      </c>
      <c r="E602" s="32" t="s">
        <v>89</v>
      </c>
      <c r="F602" s="35" t="s">
        <v>291</v>
      </c>
      <c r="H602" s="36"/>
    </row>
    <row r="603">
      <c r="B603" s="35" t="s">
        <v>2060</v>
      </c>
      <c r="C603" s="206" t="s">
        <v>2061</v>
      </c>
      <c r="D603" s="32" t="s">
        <v>20</v>
      </c>
      <c r="E603" s="32" t="s">
        <v>178</v>
      </c>
      <c r="F603" s="35" t="s">
        <v>201</v>
      </c>
      <c r="G603" s="84" t="str">
        <f>HYPERLINK("https://docs.google.com/spreadsheets/d/1IIL1IFJFFA0STDD9m3swmVAB71jWaJLW-ZMl-GdH5-k/edit#gid=1673452705", "https://docs.google.com/spreadsheets/d/1IIL1IFJFFA0STDD9m3swmVAB71jWaJLW-ZMl-GdH5-k/edit#gid=1673452705")</f>
        <v>https://docs.google.com/spreadsheets/d/1IIL1IFJFFA0STDD9m3swmVAB71jWaJLW-ZMl-GdH5-k/edit#gid=1673452705</v>
      </c>
      <c r="H603" s="35" t="s">
        <v>201</v>
      </c>
    </row>
    <row r="604">
      <c r="D604" s="15"/>
      <c r="E604" s="32" t="s">
        <v>178</v>
      </c>
      <c r="F604" s="35" t="s">
        <v>202</v>
      </c>
      <c r="G604" s="84" t="str">
        <f>HYPERLINK("https://docs.google.com/spreadsheets/d/1IIL1IFJFFA0STDD9m3swmVAB71jWaJLW-ZMl-GdH5-k/edit#gid=1564898046", "https://docs.google.com/spreadsheets/d/1IIL1IFJFFA0STDD9m3swmVAB71jWaJLW-ZMl-GdH5-k/edit#gid=1564898046")</f>
        <v>https://docs.google.com/spreadsheets/d/1IIL1IFJFFA0STDD9m3swmVAB71jWaJLW-ZMl-GdH5-k/edit#gid=1564898046</v>
      </c>
      <c r="H604" s="35" t="s">
        <v>202</v>
      </c>
    </row>
    <row r="605">
      <c r="D605" s="15"/>
      <c r="E605" s="32" t="s">
        <v>21</v>
      </c>
      <c r="F605" s="35" t="s">
        <v>51</v>
      </c>
      <c r="G605" s="84" t="str">
        <f>HYPERLINK("https://docs.google.com/spreadsheets/d/1IIL1IFJFFA0STDD9m3swmVAB71jWaJLW-ZMl-GdH5-k/edit#gid=357778718", "https://docs.google.com/spreadsheets/d/1IIL1IFJFFA0STDD9m3swmVAB71jWaJLW-ZMl-GdH5-k/edit#gid=357778718")</f>
        <v>https://docs.google.com/spreadsheets/d/1IIL1IFJFFA0STDD9m3swmVAB71jWaJLW-ZMl-GdH5-k/edit#gid=357778718</v>
      </c>
      <c r="H605" s="35" t="s">
        <v>51</v>
      </c>
    </row>
    <row r="606">
      <c r="D606" s="15"/>
      <c r="E606" s="32" t="s">
        <v>172</v>
      </c>
      <c r="F606" s="35" t="s">
        <v>203</v>
      </c>
      <c r="G606" s="84" t="str">
        <f>HYPERLINK("https://docs.google.com/spreadsheets/d/1IIL1IFJFFA0STDD9m3swmVAB71jWaJLW-ZMl-GdH5-k/edit#gid=1080170497", "https://docs.google.com/spreadsheets/d/1IIL1IFJFFA0STDD9m3swmVAB71jWaJLW-ZMl-GdH5-k/edit#gid=1080170497")</f>
        <v>https://docs.google.com/spreadsheets/d/1IIL1IFJFFA0STDD9m3swmVAB71jWaJLW-ZMl-GdH5-k/edit#gid=1080170497</v>
      </c>
      <c r="H606" s="35" t="s">
        <v>203</v>
      </c>
    </row>
    <row r="607">
      <c r="D607" s="15"/>
      <c r="E607" s="32" t="s">
        <v>172</v>
      </c>
      <c r="F607" s="35" t="s">
        <v>204</v>
      </c>
      <c r="G607" s="84" t="str">
        <f>HYPERLINK("https://docs.google.com/spreadsheets/d/1IIL1IFJFFA0STDD9m3swmVAB71jWaJLW-ZMl-GdH5-k/edit#gid=856904609", "https://docs.google.com/spreadsheets/d/1IIL1IFJFFA0STDD9m3swmVAB71jWaJLW-ZMl-GdH5-k/edit#gid=856904609")</f>
        <v>https://docs.google.com/spreadsheets/d/1IIL1IFJFFA0STDD9m3swmVAB71jWaJLW-ZMl-GdH5-k/edit#gid=856904609</v>
      </c>
      <c r="H607" s="35" t="s">
        <v>204</v>
      </c>
    </row>
    <row r="608">
      <c r="D608" s="15"/>
      <c r="E608" s="32" t="s">
        <v>178</v>
      </c>
      <c r="F608" s="35" t="s">
        <v>205</v>
      </c>
      <c r="G608" s="84" t="str">
        <f>HYPERLINK("https://docs.google.com/spreadsheets/d/1IIL1IFJFFA0STDD9m3swmVAB71jWaJLW-ZMl-GdH5-k/edit#gid=1785360305", "https://docs.google.com/spreadsheets/d/1IIL1IFJFFA0STDD9m3swmVAB71jWaJLW-ZMl-GdH5-k/edit#gid=1785360305")</f>
        <v>https://docs.google.com/spreadsheets/d/1IIL1IFJFFA0STDD9m3swmVAB71jWaJLW-ZMl-GdH5-k/edit#gid=1785360305</v>
      </c>
      <c r="H608" s="35" t="s">
        <v>205</v>
      </c>
    </row>
    <row r="609">
      <c r="D609" s="15"/>
      <c r="E609" s="32" t="s">
        <v>178</v>
      </c>
      <c r="F609" s="35" t="s">
        <v>206</v>
      </c>
      <c r="H609" s="36"/>
    </row>
    <row r="610">
      <c r="D610" s="15"/>
      <c r="E610" s="32" t="s">
        <v>178</v>
      </c>
      <c r="F610" s="35" t="s">
        <v>207</v>
      </c>
      <c r="G610" s="84" t="str">
        <f>HYPERLINK("https://docs.google.com/spreadsheets/d/1IIL1IFJFFA0STDD9m3swmVAB71jWaJLW-ZMl-GdH5-k/edit#gid=2145580754", "https://docs.google.com/spreadsheets/d/1IIL1IFJFFA0STDD9m3swmVAB71jWaJLW-ZMl-GdH5-k/edit#gid=2145580754")</f>
        <v>https://docs.google.com/spreadsheets/d/1IIL1IFJFFA0STDD9m3swmVAB71jWaJLW-ZMl-GdH5-k/edit#gid=2145580754</v>
      </c>
      <c r="H610" s="35" t="s">
        <v>207</v>
      </c>
    </row>
    <row r="611">
      <c r="D611" s="15"/>
      <c r="E611" s="32" t="s">
        <v>178</v>
      </c>
      <c r="F611" s="35" t="s">
        <v>208</v>
      </c>
      <c r="G611" s="84" t="str">
        <f>HYPERLINK("https://docs.google.com/spreadsheets/d/1IIL1IFJFFA0STDD9m3swmVAB71jWaJLW-ZMl-GdH5-k/edit#gid=1577010278", "https://docs.google.com/spreadsheets/d/1IIL1IFJFFA0STDD9m3swmVAB71jWaJLW-ZMl-GdH5-k/edit#gid=1577010278")</f>
        <v>https://docs.google.com/spreadsheets/d/1IIL1IFJFFA0STDD9m3swmVAB71jWaJLW-ZMl-GdH5-k/edit#gid=1577010278</v>
      </c>
      <c r="H611" s="35" t="s">
        <v>208</v>
      </c>
    </row>
    <row r="612">
      <c r="D612" s="15"/>
      <c r="E612" s="32" t="s">
        <v>21</v>
      </c>
      <c r="F612" s="35" t="s">
        <v>51</v>
      </c>
      <c r="G612" s="84" t="str">
        <f>HYPERLINK("https://docs.google.com/spreadsheets/d/1IIL1IFJFFA0STDD9m3swmVAB71jWaJLW-ZMl-GdH5-k/edit#gid=1364603243", "https://docs.google.com/spreadsheets/d/1IIL1IFJFFA0STDD9m3swmVAB71jWaJLW-ZMl-GdH5-k/edit#gid=1364603243")</f>
        <v>https://docs.google.com/spreadsheets/d/1IIL1IFJFFA0STDD9m3swmVAB71jWaJLW-ZMl-GdH5-k/edit#gid=1364603243</v>
      </c>
      <c r="H612" s="35" t="s">
        <v>1383</v>
      </c>
    </row>
    <row r="613">
      <c r="D613" s="15"/>
      <c r="E613" s="32" t="s">
        <v>86</v>
      </c>
      <c r="F613" s="35" t="s">
        <v>90</v>
      </c>
      <c r="G613" s="84" t="str">
        <f>HYPERLINK("https://docs.google.com/spreadsheets/d/1IIL1IFJFFA0STDD9m3swmVAB71jWaJLW-ZMl-GdH5-k/edit#gid=694357447", "https://docs.google.com/spreadsheets/d/1IIL1IFJFFA0STDD9m3swmVAB71jWaJLW-ZMl-GdH5-k/edit#gid=694357447")</f>
        <v>https://docs.google.com/spreadsheets/d/1IIL1IFJFFA0STDD9m3swmVAB71jWaJLW-ZMl-GdH5-k/edit#gid=694357447</v>
      </c>
      <c r="H613" s="35" t="s">
        <v>2022</v>
      </c>
    </row>
    <row r="614">
      <c r="D614" s="15"/>
      <c r="E614" s="32" t="s">
        <v>86</v>
      </c>
      <c r="F614" s="35" t="s">
        <v>339</v>
      </c>
      <c r="G614" s="84" t="str">
        <f>HYPERLINK("https://docs.google.com/spreadsheets/d/1IIL1IFJFFA0STDD9m3swmVAB71jWaJLW-ZMl-GdH5-k/edit#gid=661531497", "https://docs.google.com/spreadsheets/d/1IIL1IFJFFA0STDD9m3swmVAB71jWaJLW-ZMl-GdH5-k/edit#gid=661531497")</f>
        <v>https://docs.google.com/spreadsheets/d/1IIL1IFJFFA0STDD9m3swmVAB71jWaJLW-ZMl-GdH5-k/edit#gid=661531497</v>
      </c>
      <c r="H614" s="35" t="s">
        <v>2062</v>
      </c>
    </row>
    <row r="615">
      <c r="D615" s="15"/>
      <c r="E615" s="32" t="s">
        <v>172</v>
      </c>
      <c r="F615" s="35" t="s">
        <v>203</v>
      </c>
      <c r="G615" s="84" t="str">
        <f>HYPERLINK("https://docs.google.com/spreadsheets/d/1IIL1IFJFFA0STDD9m3swmVAB71jWaJLW-ZMl-GdH5-k/edit#gid=1295802689", "https://docs.google.com/spreadsheets/d/1IIL1IFJFFA0STDD9m3swmVAB71jWaJLW-ZMl-GdH5-k/edit#gid=1295802689")</f>
        <v>https://docs.google.com/spreadsheets/d/1IIL1IFJFFA0STDD9m3swmVAB71jWaJLW-ZMl-GdH5-k/edit#gid=1295802689</v>
      </c>
      <c r="H615" s="35" t="s">
        <v>1999</v>
      </c>
    </row>
    <row r="616">
      <c r="D616" s="15"/>
      <c r="E616" s="32" t="s">
        <v>172</v>
      </c>
      <c r="F616" s="35" t="s">
        <v>204</v>
      </c>
      <c r="G616" s="84" t="str">
        <f>HYPERLINK("https://docs.google.com/spreadsheets/d/1IIL1IFJFFA0STDD9m3swmVAB71jWaJLW-ZMl-GdH5-k/edit#gid=1889661808", "https://docs.google.com/spreadsheets/d/1IIL1IFJFFA0STDD9m3swmVAB71jWaJLW-ZMl-GdH5-k/edit#gid=1889661808")</f>
        <v>https://docs.google.com/spreadsheets/d/1IIL1IFJFFA0STDD9m3swmVAB71jWaJLW-ZMl-GdH5-k/edit#gid=1889661808</v>
      </c>
      <c r="H616" s="35" t="s">
        <v>2000</v>
      </c>
    </row>
    <row r="617">
      <c r="D617" s="15"/>
      <c r="E617" s="32" t="s">
        <v>178</v>
      </c>
      <c r="F617" s="35" t="s">
        <v>205</v>
      </c>
      <c r="G617" s="84" t="str">
        <f>HYPERLINK("https://docs.google.com/spreadsheets/d/1IIL1IFJFFA0STDD9m3swmVAB71jWaJLW-ZMl-GdH5-k/edit#gid=2081019610", "https://docs.google.com/spreadsheets/d/1IIL1IFJFFA0STDD9m3swmVAB71jWaJLW-ZMl-GdH5-k/edit#gid=2081019610")</f>
        <v>https://docs.google.com/spreadsheets/d/1IIL1IFJFFA0STDD9m3swmVAB71jWaJLW-ZMl-GdH5-k/edit#gid=2081019610</v>
      </c>
      <c r="H617" s="35" t="s">
        <v>2063</v>
      </c>
    </row>
    <row r="618">
      <c r="D618" s="15"/>
      <c r="E618" s="32" t="s">
        <v>178</v>
      </c>
      <c r="F618" s="35" t="s">
        <v>206</v>
      </c>
      <c r="H618" s="36"/>
    </row>
    <row r="619">
      <c r="D619" s="15"/>
      <c r="E619" s="32" t="s">
        <v>178</v>
      </c>
      <c r="F619" s="35" t="s">
        <v>207</v>
      </c>
      <c r="G619" s="84" t="str">
        <f>HYPERLINK("https://docs.google.com/spreadsheets/d/1IIL1IFJFFA0STDD9m3swmVAB71jWaJLW-ZMl-GdH5-k/edit#gid=1660158697", "https://docs.google.com/spreadsheets/d/1IIL1IFJFFA0STDD9m3swmVAB71jWaJLW-ZMl-GdH5-k/edit#gid=1660158697")</f>
        <v>https://docs.google.com/spreadsheets/d/1IIL1IFJFFA0STDD9m3swmVAB71jWaJLW-ZMl-GdH5-k/edit#gid=1660158697</v>
      </c>
      <c r="H619" s="35" t="s">
        <v>2001</v>
      </c>
    </row>
    <row r="620">
      <c r="D620" s="15"/>
      <c r="E620" s="32" t="s">
        <v>178</v>
      </c>
      <c r="F620" s="35" t="s">
        <v>208</v>
      </c>
      <c r="G620" s="84" t="str">
        <f>HYPERLINK("https://docs.google.com/spreadsheets/d/1IIL1IFJFFA0STDD9m3swmVAB71jWaJLW-ZMl-GdH5-k/edit#gid=1991812633", "https://docs.google.com/spreadsheets/d/1IIL1IFJFFA0STDD9m3swmVAB71jWaJLW-ZMl-GdH5-k/edit#gid=1991812633")</f>
        <v>https://docs.google.com/spreadsheets/d/1IIL1IFJFFA0STDD9m3swmVAB71jWaJLW-ZMl-GdH5-k/edit#gid=1991812633</v>
      </c>
      <c r="H620" s="35" t="s">
        <v>2021</v>
      </c>
    </row>
    <row r="621">
      <c r="D621" s="15"/>
      <c r="E621" s="32" t="s">
        <v>178</v>
      </c>
      <c r="F621" s="35" t="s">
        <v>182</v>
      </c>
      <c r="G621" s="84" t="str">
        <f>HYPERLINK("https://docs.google.com/spreadsheets/d/1IIL1IFJFFA0STDD9m3swmVAB71jWaJLW-ZMl-GdH5-k/edit#gid=1175842774", "https://docs.google.com/spreadsheets/d/1IIL1IFJFFA0STDD9m3swmVAB71jWaJLW-ZMl-GdH5-k/edit#gid=1175842774")</f>
        <v>https://docs.google.com/spreadsheets/d/1IIL1IFJFFA0STDD9m3swmVAB71jWaJLW-ZMl-GdH5-k/edit#gid=1175842774</v>
      </c>
      <c r="H621" s="35" t="s">
        <v>2003</v>
      </c>
    </row>
    <row r="622">
      <c r="D622" s="15"/>
      <c r="E622" s="32" t="s">
        <v>178</v>
      </c>
      <c r="F622" s="35" t="s">
        <v>180</v>
      </c>
      <c r="G622" s="84" t="str">
        <f>HYPERLINK("https://docs.google.com/spreadsheets/d/1IIL1IFJFFA0STDD9m3swmVAB71jWaJLW-ZMl-GdH5-k/edit#gid=1120600758", "https://docs.google.com/spreadsheets/d/1IIL1IFJFFA0STDD9m3swmVAB71jWaJLW-ZMl-GdH5-k/edit#gid=1120600758")</f>
        <v>https://docs.google.com/spreadsheets/d/1IIL1IFJFFA0STDD9m3swmVAB71jWaJLW-ZMl-GdH5-k/edit#gid=1120600758</v>
      </c>
      <c r="H622" s="35" t="s">
        <v>2009</v>
      </c>
    </row>
    <row r="623">
      <c r="D623" s="15"/>
      <c r="E623" s="32" t="s">
        <v>178</v>
      </c>
      <c r="F623" s="35" t="s">
        <v>209</v>
      </c>
      <c r="G623" s="84" t="str">
        <f>HYPERLINK("https://docs.google.com/spreadsheets/d/1IIL1IFJFFA0STDD9m3swmVAB71jWaJLW-ZMl-GdH5-k/edit#gid=1096825583", "https://docs.google.com/spreadsheets/d/1IIL1IFJFFA0STDD9m3swmVAB71jWaJLW-ZMl-GdH5-k/edit#gid=1096825583")</f>
        <v>https://docs.google.com/spreadsheets/d/1IIL1IFJFFA0STDD9m3swmVAB71jWaJLW-ZMl-GdH5-k/edit#gid=1096825583</v>
      </c>
      <c r="H623" s="35" t="s">
        <v>1986</v>
      </c>
    </row>
    <row r="624">
      <c r="D624" s="15"/>
      <c r="E624" s="32" t="s">
        <v>178</v>
      </c>
      <c r="F624" s="35" t="s">
        <v>210</v>
      </c>
      <c r="G624" s="84" t="str">
        <f>HYPERLINK("https://docs.google.com/spreadsheets/d/1IIL1IFJFFA0STDD9m3swmVAB71jWaJLW-ZMl-GdH5-k/edit#gid=146845885", "https://docs.google.com/spreadsheets/d/1IIL1IFJFFA0STDD9m3swmVAB71jWaJLW-ZMl-GdH5-k/edit#gid=146845885")</f>
        <v>https://docs.google.com/spreadsheets/d/1IIL1IFJFFA0STDD9m3swmVAB71jWaJLW-ZMl-GdH5-k/edit#gid=146845885</v>
      </c>
      <c r="H624" s="35" t="s">
        <v>210</v>
      </c>
    </row>
    <row r="625">
      <c r="D625" s="15"/>
      <c r="E625" s="32" t="s">
        <v>157</v>
      </c>
      <c r="F625" s="35" t="s">
        <v>161</v>
      </c>
      <c r="G625" s="84" t="str">
        <f>HYPERLINK("https://docs.google.com/spreadsheets/d/1IIL1IFJFFA0STDD9m3swmVAB71jWaJLW-ZMl-GdH5-k/edit#gid=1382691813", "https://docs.google.com/spreadsheets/d/1IIL1IFJFFA0STDD9m3swmVAB71jWaJLW-ZMl-GdH5-k/edit#gid=1382691813")</f>
        <v>https://docs.google.com/spreadsheets/d/1IIL1IFJFFA0STDD9m3swmVAB71jWaJLW-ZMl-GdH5-k/edit#gid=1382691813</v>
      </c>
      <c r="H625" s="35" t="s">
        <v>2064</v>
      </c>
    </row>
    <row r="626">
      <c r="D626" s="15"/>
      <c r="E626" s="32" t="s">
        <v>157</v>
      </c>
      <c r="F626" s="35" t="s">
        <v>158</v>
      </c>
      <c r="G626" s="84" t="str">
        <f>HYPERLINK("https://docs.google.com/spreadsheets/d/1IIL1IFJFFA0STDD9m3swmVAB71jWaJLW-ZMl-GdH5-k/edit#gid=872091513", "https://docs.google.com/spreadsheets/d/1IIL1IFJFFA0STDD9m3swmVAB71jWaJLW-ZMl-GdH5-k/edit#gid=872091513")</f>
        <v>https://docs.google.com/spreadsheets/d/1IIL1IFJFFA0STDD9m3swmVAB71jWaJLW-ZMl-GdH5-k/edit#gid=872091513</v>
      </c>
      <c r="H626" s="35" t="s">
        <v>2065</v>
      </c>
    </row>
    <row r="627">
      <c r="D627" s="15"/>
      <c r="E627" s="32" t="s">
        <v>157</v>
      </c>
      <c r="F627" s="35" t="s">
        <v>196</v>
      </c>
      <c r="G627" s="84" t="str">
        <f>HYPERLINK("https://docs.google.com/spreadsheets/d/1IIL1IFJFFA0STDD9m3swmVAB71jWaJLW-ZMl-GdH5-k/edit#gid=1836451767", "https://docs.google.com/spreadsheets/d/1IIL1IFJFFA0STDD9m3swmVAB71jWaJLW-ZMl-GdH5-k/edit#gid=1836451767")</f>
        <v>https://docs.google.com/spreadsheets/d/1IIL1IFJFFA0STDD9m3swmVAB71jWaJLW-ZMl-GdH5-k/edit#gid=1836451767</v>
      </c>
      <c r="H627" s="35" t="s">
        <v>2066</v>
      </c>
    </row>
    <row r="628">
      <c r="D628" s="15"/>
      <c r="E628" s="32" t="s">
        <v>172</v>
      </c>
      <c r="F628" s="35" t="s">
        <v>203</v>
      </c>
      <c r="G628" s="84" t="str">
        <f>HYPERLINK("https://docs.google.com/spreadsheets/d/1IIL1IFJFFA0STDD9m3swmVAB71jWaJLW-ZMl-GdH5-k/edit#gid=1427407717", "https://docs.google.com/spreadsheets/d/1IIL1IFJFFA0STDD9m3swmVAB71jWaJLW-ZMl-GdH5-k/edit#gid=1427407717")</f>
        <v>https://docs.google.com/spreadsheets/d/1IIL1IFJFFA0STDD9m3swmVAB71jWaJLW-ZMl-GdH5-k/edit#gid=1427407717</v>
      </c>
      <c r="H628" s="35" t="s">
        <v>2067</v>
      </c>
    </row>
    <row r="629">
      <c r="D629" s="15"/>
      <c r="E629" s="32" t="s">
        <v>172</v>
      </c>
      <c r="F629" s="35" t="s">
        <v>204</v>
      </c>
      <c r="G629" s="84" t="str">
        <f>HYPERLINK("https://docs.google.com/spreadsheets/d/1IIL1IFJFFA0STDD9m3swmVAB71jWaJLW-ZMl-GdH5-k/edit#gid=501131977", "https://docs.google.com/spreadsheets/d/1IIL1IFJFFA0STDD9m3swmVAB71jWaJLW-ZMl-GdH5-k/edit#gid=501131977")</f>
        <v>https://docs.google.com/spreadsheets/d/1IIL1IFJFFA0STDD9m3swmVAB71jWaJLW-ZMl-GdH5-k/edit#gid=501131977</v>
      </c>
      <c r="H629" s="35" t="s">
        <v>2068</v>
      </c>
    </row>
    <row r="630">
      <c r="D630" s="15"/>
      <c r="E630" s="32" t="s">
        <v>178</v>
      </c>
      <c r="F630" s="35" t="s">
        <v>207</v>
      </c>
      <c r="G630" s="84" t="str">
        <f>HYPERLINK("https://docs.google.com/spreadsheets/d/1IIL1IFJFFA0STDD9m3swmVAB71jWaJLW-ZMl-GdH5-k/edit#gid=491796044", "https://docs.google.com/spreadsheets/d/1IIL1IFJFFA0STDD9m3swmVAB71jWaJLW-ZMl-GdH5-k/edit#gid=491796044")</f>
        <v>https://docs.google.com/spreadsheets/d/1IIL1IFJFFA0STDD9m3swmVAB71jWaJLW-ZMl-GdH5-k/edit#gid=491796044</v>
      </c>
      <c r="H630" s="35" t="s">
        <v>2069</v>
      </c>
    </row>
    <row r="631">
      <c r="D631" s="15"/>
      <c r="E631" s="32" t="s">
        <v>178</v>
      </c>
      <c r="F631" s="35" t="s">
        <v>208</v>
      </c>
      <c r="G631" s="84" t="str">
        <f>HYPERLINK("https://docs.google.com/spreadsheets/d/1IIL1IFJFFA0STDD9m3swmVAB71jWaJLW-ZMl-GdH5-k/edit#gid=2093869573", "https://docs.google.com/spreadsheets/d/1IIL1IFJFFA0STDD9m3swmVAB71jWaJLW-ZMl-GdH5-k/edit#gid=2093869573")</f>
        <v>https://docs.google.com/spreadsheets/d/1IIL1IFJFFA0STDD9m3swmVAB71jWaJLW-ZMl-GdH5-k/edit#gid=2093869573</v>
      </c>
      <c r="H631" s="35" t="s">
        <v>2070</v>
      </c>
    </row>
    <row r="632">
      <c r="D632" s="15"/>
      <c r="E632" s="32" t="s">
        <v>178</v>
      </c>
      <c r="F632" s="35" t="s">
        <v>182</v>
      </c>
      <c r="G632" s="84" t="str">
        <f>HYPERLINK("https://docs.google.com/spreadsheets/d/1IIL1IFJFFA0STDD9m3swmVAB71jWaJLW-ZMl-GdH5-k/edit#gid=80549508", "https://docs.google.com/spreadsheets/d/1IIL1IFJFFA0STDD9m3swmVAB71jWaJLW-ZMl-GdH5-k/edit#gid=80549508")</f>
        <v>https://docs.google.com/spreadsheets/d/1IIL1IFJFFA0STDD9m3swmVAB71jWaJLW-ZMl-GdH5-k/edit#gid=80549508</v>
      </c>
      <c r="H632" s="35" t="s">
        <v>2071</v>
      </c>
    </row>
    <row r="633">
      <c r="D633" s="15"/>
      <c r="E633" s="32" t="s">
        <v>178</v>
      </c>
      <c r="F633" s="35" t="s">
        <v>180</v>
      </c>
      <c r="G633" s="84" t="str">
        <f>HYPERLINK("https://docs.google.com/spreadsheets/d/1IIL1IFJFFA0STDD9m3swmVAB71jWaJLW-ZMl-GdH5-k/edit#gid=1725429060", "https://docs.google.com/spreadsheets/d/1IIL1IFJFFA0STDD9m3swmVAB71jWaJLW-ZMl-GdH5-k/edit#gid=1725429060")</f>
        <v>https://docs.google.com/spreadsheets/d/1IIL1IFJFFA0STDD9m3swmVAB71jWaJLW-ZMl-GdH5-k/edit#gid=1725429060</v>
      </c>
      <c r="H633" s="35" t="s">
        <v>2004</v>
      </c>
    </row>
    <row r="634">
      <c r="D634" s="15"/>
      <c r="E634" s="32" t="s">
        <v>178</v>
      </c>
      <c r="F634" s="35" t="s">
        <v>209</v>
      </c>
      <c r="G634" s="84" t="str">
        <f>HYPERLINK("https://docs.google.com/spreadsheets/d/1IIL1IFJFFA0STDD9m3swmVAB71jWaJLW-ZMl-GdH5-k/edit#gid=1463648072", "https://docs.google.com/spreadsheets/d/1IIL1IFJFFA0STDD9m3swmVAB71jWaJLW-ZMl-GdH5-k/edit#gid=1463648072")</f>
        <v>https://docs.google.com/spreadsheets/d/1IIL1IFJFFA0STDD9m3swmVAB71jWaJLW-ZMl-GdH5-k/edit#gid=1463648072</v>
      </c>
      <c r="H634" s="35" t="s">
        <v>2072</v>
      </c>
    </row>
    <row r="635">
      <c r="D635" s="15"/>
      <c r="E635" s="32" t="s">
        <v>178</v>
      </c>
      <c r="F635" s="35" t="s">
        <v>210</v>
      </c>
      <c r="G635" s="84" t="str">
        <f>HYPERLINK("https://docs.google.com/spreadsheets/d/1IIL1IFJFFA0STDD9m3swmVAB71jWaJLW-ZMl-GdH5-k/edit#gid=1973566789", "https://docs.google.com/spreadsheets/d/1IIL1IFJFFA0STDD9m3swmVAB71jWaJLW-ZMl-GdH5-k/edit#gid=1973566789")</f>
        <v>https://docs.google.com/spreadsheets/d/1IIL1IFJFFA0STDD9m3swmVAB71jWaJLW-ZMl-GdH5-k/edit#gid=1973566789</v>
      </c>
      <c r="H635" s="35" t="s">
        <v>2037</v>
      </c>
    </row>
    <row r="636">
      <c r="D636" s="15"/>
      <c r="E636" s="32" t="s">
        <v>86</v>
      </c>
      <c r="F636" s="35" t="s">
        <v>90</v>
      </c>
      <c r="G636" s="84" t="str">
        <f>HYPERLINK("https://docs.google.com/spreadsheets/d/1IIL1IFJFFA0STDD9m3swmVAB71jWaJLW-ZMl-GdH5-k/edit#gid=86965947", "https://docs.google.com/spreadsheets/d/1IIL1IFJFFA0STDD9m3swmVAB71jWaJLW-ZMl-GdH5-k/edit#gid=86965947")</f>
        <v>https://docs.google.com/spreadsheets/d/1IIL1IFJFFA0STDD9m3swmVAB71jWaJLW-ZMl-GdH5-k/edit#gid=86965947</v>
      </c>
      <c r="H636" s="35" t="s">
        <v>2073</v>
      </c>
    </row>
    <row r="637">
      <c r="D637" s="15"/>
      <c r="E637" s="32" t="s">
        <v>86</v>
      </c>
      <c r="F637" s="35" t="s">
        <v>91</v>
      </c>
      <c r="G637" s="84" t="str">
        <f>HYPERLINK("https://docs.google.com/spreadsheets/d/1IIL1IFJFFA0STDD9m3swmVAB71jWaJLW-ZMl-GdH5-k/edit#gid=154026153", "https://docs.google.com/spreadsheets/d/1IIL1IFJFFA0STDD9m3swmVAB71jWaJLW-ZMl-GdH5-k/edit#gid=154026153")</f>
        <v>https://docs.google.com/spreadsheets/d/1IIL1IFJFFA0STDD9m3swmVAB71jWaJLW-ZMl-GdH5-k/edit#gid=154026153</v>
      </c>
      <c r="H637" s="35" t="s">
        <v>91</v>
      </c>
    </row>
    <row r="638">
      <c r="D638" s="15"/>
      <c r="E638" s="32" t="s">
        <v>88</v>
      </c>
      <c r="F638" s="35" t="s">
        <v>95</v>
      </c>
      <c r="G638" s="84" t="str">
        <f>HYPERLINK("https://docs.google.com/spreadsheets/d/1IIL1IFJFFA0STDD9m3swmVAB71jWaJLW-ZMl-GdH5-k/edit#gid=1248681581", "https://docs.google.com/spreadsheets/d/1IIL1IFJFFA0STDD9m3swmVAB71jWaJLW-ZMl-GdH5-k/edit#gid=1248681581")</f>
        <v>https://docs.google.com/spreadsheets/d/1IIL1IFJFFA0STDD9m3swmVAB71jWaJLW-ZMl-GdH5-k/edit#gid=1248681581</v>
      </c>
      <c r="H638" s="35" t="s">
        <v>176</v>
      </c>
    </row>
    <row r="639">
      <c r="D639" s="15"/>
      <c r="E639" s="32" t="s">
        <v>88</v>
      </c>
      <c r="F639" s="35" t="s">
        <v>96</v>
      </c>
      <c r="G639" s="84" t="str">
        <f>HYPERLINK("https://docs.google.com/spreadsheets/d/1IIL1IFJFFA0STDD9m3swmVAB71jWaJLW-ZMl-GdH5-k/edit#gid=567911430", "https://docs.google.com/spreadsheets/d/1IIL1IFJFFA0STDD9m3swmVAB71jWaJLW-ZMl-GdH5-k/edit#gid=567911430")</f>
        <v>https://docs.google.com/spreadsheets/d/1IIL1IFJFFA0STDD9m3swmVAB71jWaJLW-ZMl-GdH5-k/edit#gid=567911430</v>
      </c>
      <c r="H639" s="35" t="s">
        <v>177</v>
      </c>
    </row>
    <row r="640">
      <c r="D640" s="15"/>
      <c r="E640" s="15"/>
    </row>
    <row r="641">
      <c r="B641" s="35" t="s">
        <v>2074</v>
      </c>
      <c r="C641" s="35" t="s">
        <v>2075</v>
      </c>
      <c r="D641" s="32" t="s">
        <v>20</v>
      </c>
      <c r="E641" s="32" t="s">
        <v>89</v>
      </c>
      <c r="F641" s="35" t="s">
        <v>291</v>
      </c>
    </row>
    <row r="642" ht="50.25" customHeight="1">
      <c r="B642" s="205" t="s">
        <v>2076</v>
      </c>
      <c r="C642" s="210" t="s">
        <v>2077</v>
      </c>
      <c r="D642" s="32" t="s">
        <v>20</v>
      </c>
      <c r="E642" s="32" t="s">
        <v>178</v>
      </c>
      <c r="F642" s="35" t="s">
        <v>201</v>
      </c>
      <c r="G642" s="84" t="str">
        <f>HYPERLINK("https://docs.google.com/spreadsheets/d/10vTXtQmPYOt5IRdk-R6AReSoKz9OM9rXLC9m8eiA5r8/edit#gid=1754908937", "https://docs.google.com/spreadsheets/d/10vTXtQmPYOt5IRdk-R6AReSoKz9OM9rXLC9m8eiA5r8/edit#gid=1754908937")</f>
        <v>https://docs.google.com/spreadsheets/d/10vTXtQmPYOt5IRdk-R6AReSoKz9OM9rXLC9m8eiA5r8/edit#gid=1754908937</v>
      </c>
      <c r="H642" s="35" t="s">
        <v>201</v>
      </c>
    </row>
    <row r="643">
      <c r="D643" s="15"/>
      <c r="E643" s="32" t="s">
        <v>178</v>
      </c>
      <c r="F643" s="35" t="s">
        <v>202</v>
      </c>
      <c r="G643" s="84" t="str">
        <f>HYPERLINK("https://docs.google.com/spreadsheets/d/10vTXtQmPYOt5IRdk-R6AReSoKz9OM9rXLC9m8eiA5r8/edit#gid=438953028", "https://docs.google.com/spreadsheets/d/10vTXtQmPYOt5IRdk-R6AReSoKz9OM9rXLC9m8eiA5r8/edit#gid=438953028")</f>
        <v>https://docs.google.com/spreadsheets/d/10vTXtQmPYOt5IRdk-R6AReSoKz9OM9rXLC9m8eiA5r8/edit#gid=438953028</v>
      </c>
      <c r="H643" s="35" t="s">
        <v>202</v>
      </c>
    </row>
    <row r="644">
      <c r="D644" s="15"/>
      <c r="E644" s="32" t="s">
        <v>21</v>
      </c>
      <c r="F644" s="35" t="s">
        <v>51</v>
      </c>
      <c r="G644" s="84" t="str">
        <f>HYPERLINK("https://docs.google.com/spreadsheets/d/10vTXtQmPYOt5IRdk-R6AReSoKz9OM9rXLC9m8eiA5r8/edit#gid=562697343", "https://docs.google.com/spreadsheets/d/10vTXtQmPYOt5IRdk-R6AReSoKz9OM9rXLC9m8eiA5r8/edit#gid=562697343")</f>
        <v>https://docs.google.com/spreadsheets/d/10vTXtQmPYOt5IRdk-R6AReSoKz9OM9rXLC9m8eiA5r8/edit#gid=562697343</v>
      </c>
      <c r="H644" s="36"/>
    </row>
    <row r="645">
      <c r="D645" s="15"/>
      <c r="E645" s="32" t="s">
        <v>172</v>
      </c>
      <c r="F645" s="35" t="s">
        <v>173</v>
      </c>
      <c r="G645" s="84" t="str">
        <f>HYPERLINK("https://docs.google.com/spreadsheets/d/10vTXtQmPYOt5IRdk-R6AReSoKz9OM9rXLC9m8eiA5r8/edit#gid=1119894237", "https://docs.google.com/spreadsheets/d/10vTXtQmPYOt5IRdk-R6AReSoKz9OM9rXLC9m8eiA5r8/edit#gid=1119894237")</f>
        <v>https://docs.google.com/spreadsheets/d/10vTXtQmPYOt5IRdk-R6AReSoKz9OM9rXLC9m8eiA5r8/edit#gid=1119894237</v>
      </c>
      <c r="H645" s="35" t="s">
        <v>173</v>
      </c>
    </row>
    <row r="646">
      <c r="D646" s="15"/>
      <c r="E646" s="32" t="s">
        <v>172</v>
      </c>
      <c r="F646" s="35" t="s">
        <v>402</v>
      </c>
      <c r="G646" s="84" t="str">
        <f>HYPERLINK("https://docs.google.com/spreadsheets/d/10vTXtQmPYOt5IRdk-R6AReSoKz9OM9rXLC9m8eiA5r8/edit#gid=521487305", "https://docs.google.com/spreadsheets/d/10vTXtQmPYOt5IRdk-R6AReSoKz9OM9rXLC9m8eiA5r8/edit#gid=521487305")</f>
        <v>https://docs.google.com/spreadsheets/d/10vTXtQmPYOt5IRdk-R6AReSoKz9OM9rXLC9m8eiA5r8/edit#gid=521487305</v>
      </c>
      <c r="H646" s="35" t="s">
        <v>402</v>
      </c>
    </row>
    <row r="647">
      <c r="D647" s="15"/>
      <c r="E647" s="32" t="s">
        <v>172</v>
      </c>
      <c r="F647" s="35" t="s">
        <v>203</v>
      </c>
      <c r="G647" s="84" t="str">
        <f>HYPERLINK("https://docs.google.com/spreadsheets/d/10vTXtQmPYOt5IRdk-R6AReSoKz9OM9rXLC9m8eiA5r8/edit#gid=1465169101", "https://docs.google.com/spreadsheets/d/10vTXtQmPYOt5IRdk-R6AReSoKz9OM9rXLC9m8eiA5r8/edit#gid=1465169101")</f>
        <v>https://docs.google.com/spreadsheets/d/10vTXtQmPYOt5IRdk-R6AReSoKz9OM9rXLC9m8eiA5r8/edit#gid=1465169101</v>
      </c>
      <c r="H647" s="35" t="s">
        <v>203</v>
      </c>
    </row>
    <row r="648">
      <c r="D648" s="15"/>
      <c r="E648" s="32" t="s">
        <v>172</v>
      </c>
      <c r="F648" s="35" t="s">
        <v>204</v>
      </c>
      <c r="G648" s="84" t="str">
        <f>HYPERLINK("https://docs.google.com/spreadsheets/d/10vTXtQmPYOt5IRdk-R6AReSoKz9OM9rXLC9m8eiA5r8/edit#gid=64515697", "https://docs.google.com/spreadsheets/d/10vTXtQmPYOt5IRdk-R6AReSoKz9OM9rXLC9m8eiA5r8/edit#gid=64515697")</f>
        <v>https://docs.google.com/spreadsheets/d/10vTXtQmPYOt5IRdk-R6AReSoKz9OM9rXLC9m8eiA5r8/edit#gid=64515697</v>
      </c>
      <c r="H648" s="35" t="s">
        <v>204</v>
      </c>
    </row>
    <row r="649">
      <c r="D649" s="15"/>
      <c r="E649" s="32" t="s">
        <v>178</v>
      </c>
      <c r="F649" s="35" t="s">
        <v>205</v>
      </c>
      <c r="G649" s="84" t="str">
        <f>HYPERLINK("https://docs.google.com/spreadsheets/d/10vTXtQmPYOt5IRdk-R6AReSoKz9OM9rXLC9m8eiA5r8/edit#gid=1767025942", "https://docs.google.com/spreadsheets/d/10vTXtQmPYOt5IRdk-R6AReSoKz9OM9rXLC9m8eiA5r8/edit#gid=1767025942")</f>
        <v>https://docs.google.com/spreadsheets/d/10vTXtQmPYOt5IRdk-R6AReSoKz9OM9rXLC9m8eiA5r8/edit#gid=1767025942</v>
      </c>
      <c r="H649" s="35" t="s">
        <v>205</v>
      </c>
    </row>
    <row r="650">
      <c r="D650" s="15"/>
      <c r="E650" s="32" t="s">
        <v>178</v>
      </c>
      <c r="F650" s="35" t="s">
        <v>206</v>
      </c>
      <c r="H650" s="36"/>
    </row>
    <row r="651">
      <c r="D651" s="15"/>
      <c r="E651" s="32" t="s">
        <v>178</v>
      </c>
      <c r="F651" s="35" t="s">
        <v>207</v>
      </c>
      <c r="G651" s="84" t="str">
        <f>HYPERLINK("https://docs.google.com/spreadsheets/d/10vTXtQmPYOt5IRdk-R6AReSoKz9OM9rXLC9m8eiA5r8/edit#gid=368044311", "https://docs.google.com/spreadsheets/d/10vTXtQmPYOt5IRdk-R6AReSoKz9OM9rXLC9m8eiA5r8/edit#gid=368044311")</f>
        <v>https://docs.google.com/spreadsheets/d/10vTXtQmPYOt5IRdk-R6AReSoKz9OM9rXLC9m8eiA5r8/edit#gid=368044311</v>
      </c>
      <c r="H651" s="35" t="s">
        <v>207</v>
      </c>
    </row>
    <row r="652">
      <c r="D652" s="15"/>
      <c r="E652" s="32" t="s">
        <v>172</v>
      </c>
      <c r="F652" s="35" t="s">
        <v>173</v>
      </c>
      <c r="G652" s="84" t="str">
        <f>HYPERLINK("https://docs.google.com/spreadsheets/d/10vTXtQmPYOt5IRdk-R6AReSoKz9OM9rXLC9m8eiA5r8/edit#gid=456582644", "https://docs.google.com/spreadsheets/d/10vTXtQmPYOt5IRdk-R6AReSoKz9OM9rXLC9m8eiA5r8/edit#gid=456582644")</f>
        <v>https://docs.google.com/spreadsheets/d/10vTXtQmPYOt5IRdk-R6AReSoKz9OM9rXLC9m8eiA5r8/edit#gid=456582644</v>
      </c>
      <c r="H652" s="35" t="s">
        <v>269</v>
      </c>
    </row>
    <row r="653">
      <c r="D653" s="15"/>
      <c r="E653" s="32" t="s">
        <v>172</v>
      </c>
      <c r="F653" s="35" t="s">
        <v>402</v>
      </c>
      <c r="G653" s="84" t="str">
        <f>HYPERLINK("https://docs.google.com/spreadsheets/d/10vTXtQmPYOt5IRdk-R6AReSoKz9OM9rXLC9m8eiA5r8/edit#gid=651154475", "https://docs.google.com/spreadsheets/d/10vTXtQmPYOt5IRdk-R6AReSoKz9OM9rXLC9m8eiA5r8/edit#gid=651154475")</f>
        <v>https://docs.google.com/spreadsheets/d/10vTXtQmPYOt5IRdk-R6AReSoKz9OM9rXLC9m8eiA5r8/edit#gid=651154475</v>
      </c>
      <c r="H653" s="35" t="s">
        <v>2053</v>
      </c>
    </row>
    <row r="654">
      <c r="D654" s="15"/>
      <c r="E654" s="32" t="s">
        <v>172</v>
      </c>
      <c r="F654" s="35" t="s">
        <v>203</v>
      </c>
      <c r="G654" s="84" t="str">
        <f>HYPERLINK("https://docs.google.com/spreadsheets/d/10vTXtQmPYOt5IRdk-R6AReSoKz9OM9rXLC9m8eiA5r8/edit#gid=1358043373", "https://docs.google.com/spreadsheets/d/10vTXtQmPYOt5IRdk-R6AReSoKz9OM9rXLC9m8eiA5r8/edit#gid=1358043373")</f>
        <v>https://docs.google.com/spreadsheets/d/10vTXtQmPYOt5IRdk-R6AReSoKz9OM9rXLC9m8eiA5r8/edit#gid=1358043373</v>
      </c>
      <c r="H654" s="35" t="s">
        <v>1995</v>
      </c>
    </row>
    <row r="655">
      <c r="D655" s="15"/>
      <c r="E655" s="32" t="s">
        <v>172</v>
      </c>
      <c r="F655" s="35" t="s">
        <v>204</v>
      </c>
      <c r="G655" s="84" t="str">
        <f>HYPERLINK("https://docs.google.com/spreadsheets/d/10vTXtQmPYOt5IRdk-R6AReSoKz9OM9rXLC9m8eiA5r8/edit#gid=1739698776", "https://docs.google.com/spreadsheets/d/10vTXtQmPYOt5IRdk-R6AReSoKz9OM9rXLC9m8eiA5r8/edit#gid=1739698776")</f>
        <v>https://docs.google.com/spreadsheets/d/10vTXtQmPYOt5IRdk-R6AReSoKz9OM9rXLC9m8eiA5r8/edit#gid=1739698776</v>
      </c>
      <c r="H655" s="35" t="s">
        <v>1996</v>
      </c>
    </row>
    <row r="656">
      <c r="D656" s="15"/>
      <c r="E656" s="32" t="s">
        <v>178</v>
      </c>
      <c r="F656" s="35" t="s">
        <v>205</v>
      </c>
      <c r="G656" s="84" t="str">
        <f>HYPERLINK("https://docs.google.com/spreadsheets/d/10vTXtQmPYOt5IRdk-R6AReSoKz9OM9rXLC9m8eiA5r8/edit#gid=1000353347", "https://docs.google.com/spreadsheets/d/10vTXtQmPYOt5IRdk-R6AReSoKz9OM9rXLC9m8eiA5r8/edit#gid=1000353347")</f>
        <v>https://docs.google.com/spreadsheets/d/10vTXtQmPYOt5IRdk-R6AReSoKz9OM9rXLC9m8eiA5r8/edit#gid=1000353347</v>
      </c>
      <c r="H656" s="35" t="s">
        <v>1997</v>
      </c>
    </row>
    <row r="657">
      <c r="D657" s="15"/>
      <c r="E657" s="32" t="s">
        <v>178</v>
      </c>
      <c r="F657" s="35" t="s">
        <v>206</v>
      </c>
      <c r="H657" s="36"/>
    </row>
    <row r="658">
      <c r="D658" s="15"/>
      <c r="E658" s="32" t="s">
        <v>178</v>
      </c>
      <c r="F658" s="35" t="s">
        <v>207</v>
      </c>
      <c r="G658" s="84" t="str">
        <f>HYPERLINK("https://docs.google.com/spreadsheets/d/10vTXtQmPYOt5IRdk-R6AReSoKz9OM9rXLC9m8eiA5r8/edit#gid=454659426", "https://docs.google.com/spreadsheets/d/10vTXtQmPYOt5IRdk-R6AReSoKz9OM9rXLC9m8eiA5r8/edit#gid=454659426")</f>
        <v>https://docs.google.com/spreadsheets/d/10vTXtQmPYOt5IRdk-R6AReSoKz9OM9rXLC9m8eiA5r8/edit#gid=454659426</v>
      </c>
      <c r="H658" s="35" t="s">
        <v>1998</v>
      </c>
    </row>
    <row r="659">
      <c r="D659" s="15"/>
      <c r="E659" s="32" t="s">
        <v>178</v>
      </c>
      <c r="F659" s="35" t="s">
        <v>208</v>
      </c>
      <c r="G659" s="84" t="str">
        <f>HYPERLINK("https://docs.google.com/spreadsheets/d/10vTXtQmPYOt5IRdk-R6AReSoKz9OM9rXLC9m8eiA5r8/edit#gid=1092377514", "https://docs.google.com/spreadsheets/d/10vTXtQmPYOt5IRdk-R6AReSoKz9OM9rXLC9m8eiA5r8/edit#gid=1092377514")</f>
        <v>https://docs.google.com/spreadsheets/d/10vTXtQmPYOt5IRdk-R6AReSoKz9OM9rXLC9m8eiA5r8/edit#gid=1092377514</v>
      </c>
      <c r="H659" s="35" t="s">
        <v>208</v>
      </c>
    </row>
    <row r="660">
      <c r="D660" s="15"/>
      <c r="E660" s="32" t="s">
        <v>178</v>
      </c>
      <c r="F660" s="35" t="s">
        <v>182</v>
      </c>
      <c r="G660" s="84" t="str">
        <f>HYPERLINK("https://docs.google.com/spreadsheets/d/10vTXtQmPYOt5IRdk-R6AReSoKz9OM9rXLC9m8eiA5r8/edit#gid=1450291767", "https://docs.google.com/spreadsheets/d/10vTXtQmPYOt5IRdk-R6AReSoKz9OM9rXLC9m8eiA5r8/edit#gid=1450291767")</f>
        <v>https://docs.google.com/spreadsheets/d/10vTXtQmPYOt5IRdk-R6AReSoKz9OM9rXLC9m8eiA5r8/edit#gid=1450291767</v>
      </c>
      <c r="H660" s="35" t="s">
        <v>182</v>
      </c>
    </row>
    <row r="661">
      <c r="D661" s="15"/>
      <c r="E661" s="32" t="s">
        <v>178</v>
      </c>
      <c r="F661" s="35" t="s">
        <v>180</v>
      </c>
      <c r="G661" s="84" t="str">
        <f>HYPERLINK("https://docs.google.com/spreadsheets/d/10vTXtQmPYOt5IRdk-R6AReSoKz9OM9rXLC9m8eiA5r8/edit#gid=581263960", "https://docs.google.com/spreadsheets/d/10vTXtQmPYOt5IRdk-R6AReSoKz9OM9rXLC9m8eiA5r8/edit#gid=581263960")</f>
        <v>https://docs.google.com/spreadsheets/d/10vTXtQmPYOt5IRdk-R6AReSoKz9OM9rXLC9m8eiA5r8/edit#gid=581263960</v>
      </c>
      <c r="H661" s="35" t="s">
        <v>180</v>
      </c>
    </row>
    <row r="662">
      <c r="D662" s="15"/>
      <c r="E662" s="32" t="s">
        <v>178</v>
      </c>
      <c r="F662" s="35" t="s">
        <v>209</v>
      </c>
      <c r="G662" s="84" t="str">
        <f>HYPERLINK("https://docs.google.com/spreadsheets/d/10vTXtQmPYOt5IRdk-R6AReSoKz9OM9rXLC9m8eiA5r8/edit#gid=949123575", "https://docs.google.com/spreadsheets/d/10vTXtQmPYOt5IRdk-R6AReSoKz9OM9rXLC9m8eiA5r8/edit#gid=949123575")</f>
        <v>https://docs.google.com/spreadsheets/d/10vTXtQmPYOt5IRdk-R6AReSoKz9OM9rXLC9m8eiA5r8/edit#gid=949123575</v>
      </c>
      <c r="H662" s="35" t="s">
        <v>209</v>
      </c>
    </row>
    <row r="663">
      <c r="D663" s="15"/>
      <c r="E663" s="32" t="s">
        <v>178</v>
      </c>
      <c r="F663" s="35" t="s">
        <v>210</v>
      </c>
      <c r="G663" s="84" t="str">
        <f>HYPERLINK("https://docs.google.com/spreadsheets/d/10vTXtQmPYOt5IRdk-R6AReSoKz9OM9rXLC9m8eiA5r8/edit#gid=971300466", "https://docs.google.com/spreadsheets/d/10vTXtQmPYOt5IRdk-R6AReSoKz9OM9rXLC9m8eiA5r8/edit#gid=971300466")</f>
        <v>https://docs.google.com/spreadsheets/d/10vTXtQmPYOt5IRdk-R6AReSoKz9OM9rXLC9m8eiA5r8/edit#gid=971300466</v>
      </c>
      <c r="H663" s="35" t="s">
        <v>210</v>
      </c>
    </row>
    <row r="664">
      <c r="D664" s="15"/>
      <c r="E664" s="32" t="s">
        <v>157</v>
      </c>
      <c r="F664" s="35" t="s">
        <v>161</v>
      </c>
      <c r="G664" s="84" t="str">
        <f>HYPERLINK("https://docs.google.com/spreadsheets/d/10vTXtQmPYOt5IRdk-R6AReSoKz9OM9rXLC9m8eiA5r8/edit#gid=1438099148", "https://docs.google.com/spreadsheets/d/10vTXtQmPYOt5IRdk-R6AReSoKz9OM9rXLC9m8eiA5r8/edit#gid=1438099148")</f>
        <v>https://docs.google.com/spreadsheets/d/10vTXtQmPYOt5IRdk-R6AReSoKz9OM9rXLC9m8eiA5r8/edit#gid=1438099148</v>
      </c>
      <c r="H664" s="35" t="s">
        <v>161</v>
      </c>
    </row>
    <row r="665">
      <c r="D665" s="15"/>
      <c r="E665" s="32" t="s">
        <v>157</v>
      </c>
      <c r="F665" s="35" t="s">
        <v>158</v>
      </c>
      <c r="G665" s="84" t="str">
        <f>HYPERLINK("https://docs.google.com/spreadsheets/d/10vTXtQmPYOt5IRdk-R6AReSoKz9OM9rXLC9m8eiA5r8/edit#gid=134260449", "https://docs.google.com/spreadsheets/d/10vTXtQmPYOt5IRdk-R6AReSoKz9OM9rXLC9m8eiA5r8/edit#gid=134260449")</f>
        <v>https://docs.google.com/spreadsheets/d/10vTXtQmPYOt5IRdk-R6AReSoKz9OM9rXLC9m8eiA5r8/edit#gid=134260449</v>
      </c>
      <c r="H665" s="35" t="s">
        <v>158</v>
      </c>
    </row>
    <row r="666">
      <c r="D666" s="15"/>
      <c r="E666" s="32" t="s">
        <v>157</v>
      </c>
      <c r="F666" s="35" t="s">
        <v>196</v>
      </c>
      <c r="G666" s="84" t="str">
        <f>HYPERLINK("https://docs.google.com/spreadsheets/d/10vTXtQmPYOt5IRdk-R6AReSoKz9OM9rXLC9m8eiA5r8/edit#gid=1620142246", "https://docs.google.com/spreadsheets/d/10vTXtQmPYOt5IRdk-R6AReSoKz9OM9rXLC9m8eiA5r8/edit#gid=1620142246")</f>
        <v>https://docs.google.com/spreadsheets/d/10vTXtQmPYOt5IRdk-R6AReSoKz9OM9rXLC9m8eiA5r8/edit#gid=1620142246</v>
      </c>
      <c r="H666" s="35" t="s">
        <v>196</v>
      </c>
    </row>
    <row r="667">
      <c r="D667" s="15"/>
      <c r="E667" s="32" t="s">
        <v>172</v>
      </c>
      <c r="F667" s="35" t="s">
        <v>173</v>
      </c>
      <c r="G667" s="84" t="str">
        <f>HYPERLINK("https://docs.google.com/spreadsheets/d/10vTXtQmPYOt5IRdk-R6AReSoKz9OM9rXLC9m8eiA5r8/edit#gid=1174144778", "https://docs.google.com/spreadsheets/d/10vTXtQmPYOt5IRdk-R6AReSoKz9OM9rXLC9m8eiA5r8/edit#gid=1174144778")</f>
        <v>https://docs.google.com/spreadsheets/d/10vTXtQmPYOt5IRdk-R6AReSoKz9OM9rXLC9m8eiA5r8/edit#gid=1174144778</v>
      </c>
      <c r="H667" s="35" t="s">
        <v>2054</v>
      </c>
    </row>
    <row r="668">
      <c r="D668" s="15"/>
      <c r="E668" s="32" t="s">
        <v>172</v>
      </c>
      <c r="F668" s="35" t="s">
        <v>402</v>
      </c>
      <c r="G668" s="84" t="str">
        <f>HYPERLINK("https://docs.google.com/spreadsheets/d/10vTXtQmPYOt5IRdk-R6AReSoKz9OM9rXLC9m8eiA5r8/edit#gid=915874445", "https://docs.google.com/spreadsheets/d/10vTXtQmPYOt5IRdk-R6AReSoKz9OM9rXLC9m8eiA5r8/edit#gid=915874445")</f>
        <v>https://docs.google.com/spreadsheets/d/10vTXtQmPYOt5IRdk-R6AReSoKz9OM9rXLC9m8eiA5r8/edit#gid=915874445</v>
      </c>
      <c r="H668" s="35" t="s">
        <v>2055</v>
      </c>
    </row>
    <row r="669">
      <c r="D669" s="15"/>
      <c r="E669" s="32" t="s">
        <v>172</v>
      </c>
      <c r="F669" s="35" t="s">
        <v>203</v>
      </c>
      <c r="G669" s="84" t="str">
        <f>HYPERLINK("https://docs.google.com/spreadsheets/d/10vTXtQmPYOt5IRdk-R6AReSoKz9OM9rXLC9m8eiA5r8/edit#gid=581537326", "https://docs.google.com/spreadsheets/d/10vTXtQmPYOt5IRdk-R6AReSoKz9OM9rXLC9m8eiA5r8/edit#gid=581537326")</f>
        <v>https://docs.google.com/spreadsheets/d/10vTXtQmPYOt5IRdk-R6AReSoKz9OM9rXLC9m8eiA5r8/edit#gid=581537326</v>
      </c>
      <c r="H669" s="35" t="s">
        <v>1999</v>
      </c>
    </row>
    <row r="670">
      <c r="D670" s="15"/>
      <c r="E670" s="32" t="s">
        <v>172</v>
      </c>
      <c r="F670" s="35" t="s">
        <v>204</v>
      </c>
      <c r="G670" s="84" t="str">
        <f>HYPERLINK("https://docs.google.com/spreadsheets/d/10vTXtQmPYOt5IRdk-R6AReSoKz9OM9rXLC9m8eiA5r8/edit#gid=2095709927", "https://docs.google.com/spreadsheets/d/10vTXtQmPYOt5IRdk-R6AReSoKz9OM9rXLC9m8eiA5r8/edit#gid=2095709927")</f>
        <v>https://docs.google.com/spreadsheets/d/10vTXtQmPYOt5IRdk-R6AReSoKz9OM9rXLC9m8eiA5r8/edit#gid=2095709927</v>
      </c>
      <c r="H670" s="35" t="s">
        <v>2000</v>
      </c>
    </row>
    <row r="671">
      <c r="D671" s="15"/>
      <c r="E671" s="32" t="s">
        <v>178</v>
      </c>
      <c r="F671" s="35" t="s">
        <v>207</v>
      </c>
      <c r="G671" s="84" t="str">
        <f>HYPERLINK("https://docs.google.com/spreadsheets/d/10vTXtQmPYOt5IRdk-R6AReSoKz9OM9rXLC9m8eiA5r8/edit#gid=1590725501", "https://docs.google.com/spreadsheets/d/10vTXtQmPYOt5IRdk-R6AReSoKz9OM9rXLC9m8eiA5r8/edit#gid=1590725501")</f>
        <v>https://docs.google.com/spreadsheets/d/10vTXtQmPYOt5IRdk-R6AReSoKz9OM9rXLC9m8eiA5r8/edit#gid=1590725501</v>
      </c>
      <c r="H671" s="35" t="s">
        <v>2001</v>
      </c>
    </row>
    <row r="672">
      <c r="D672" s="15"/>
      <c r="E672" s="32" t="s">
        <v>178</v>
      </c>
      <c r="F672" s="35" t="s">
        <v>208</v>
      </c>
      <c r="G672" s="84" t="str">
        <f>HYPERLINK("https://docs.google.com/spreadsheets/d/10vTXtQmPYOt5IRdk-R6AReSoKz9OM9rXLC9m8eiA5r8/edit#gid=1253750924", "https://docs.google.com/spreadsheets/d/10vTXtQmPYOt5IRdk-R6AReSoKz9OM9rXLC9m8eiA5r8/edit#gid=1253750924")</f>
        <v>https://docs.google.com/spreadsheets/d/10vTXtQmPYOt5IRdk-R6AReSoKz9OM9rXLC9m8eiA5r8/edit#gid=1253750924</v>
      </c>
      <c r="H672" s="35" t="s">
        <v>2002</v>
      </c>
    </row>
    <row r="673">
      <c r="D673" s="15"/>
      <c r="E673" s="32" t="s">
        <v>178</v>
      </c>
      <c r="F673" s="35" t="s">
        <v>182</v>
      </c>
      <c r="G673" s="84" t="str">
        <f>HYPERLINK("https://docs.google.com/spreadsheets/d/10vTXtQmPYOt5IRdk-R6AReSoKz9OM9rXLC9m8eiA5r8/edit#gid=1479744627", "https://docs.google.com/spreadsheets/d/10vTXtQmPYOt5IRdk-R6AReSoKz9OM9rXLC9m8eiA5r8/edit#gid=1479744627")</f>
        <v>https://docs.google.com/spreadsheets/d/10vTXtQmPYOt5IRdk-R6AReSoKz9OM9rXLC9m8eiA5r8/edit#gid=1479744627</v>
      </c>
      <c r="H673" s="35" t="s">
        <v>2003</v>
      </c>
    </row>
    <row r="674">
      <c r="D674" s="15"/>
      <c r="E674" s="32" t="s">
        <v>178</v>
      </c>
      <c r="F674" s="35" t="s">
        <v>180</v>
      </c>
      <c r="G674" s="84" t="str">
        <f>HYPERLINK("https://docs.google.com/spreadsheets/d/10vTXtQmPYOt5IRdk-R6AReSoKz9OM9rXLC9m8eiA5r8/edit#gid=22922092", "https://docs.google.com/spreadsheets/d/10vTXtQmPYOt5IRdk-R6AReSoKz9OM9rXLC9m8eiA5r8/edit#gid=22922092")</f>
        <v>https://docs.google.com/spreadsheets/d/10vTXtQmPYOt5IRdk-R6AReSoKz9OM9rXLC9m8eiA5r8/edit#gid=22922092</v>
      </c>
      <c r="H674" s="35" t="s">
        <v>2009</v>
      </c>
    </row>
    <row r="675">
      <c r="D675" s="15"/>
      <c r="E675" s="32" t="s">
        <v>178</v>
      </c>
      <c r="F675" s="35" t="s">
        <v>209</v>
      </c>
      <c r="G675" s="84" t="str">
        <f>HYPERLINK("https://docs.google.com/spreadsheets/d/10vTXtQmPYOt5IRdk-R6AReSoKz9OM9rXLC9m8eiA5r8/edit#gid=1463491479", "https://docs.google.com/spreadsheets/d/10vTXtQmPYOt5IRdk-R6AReSoKz9OM9rXLC9m8eiA5r8/edit#gid=1463491479")</f>
        <v>https://docs.google.com/spreadsheets/d/10vTXtQmPYOt5IRdk-R6AReSoKz9OM9rXLC9m8eiA5r8/edit#gid=1463491479</v>
      </c>
      <c r="H675" s="35" t="s">
        <v>1986</v>
      </c>
    </row>
    <row r="676">
      <c r="D676" s="15"/>
      <c r="E676" s="32" t="s">
        <v>178</v>
      </c>
      <c r="F676" s="35" t="s">
        <v>210</v>
      </c>
      <c r="G676" s="84" t="str">
        <f>HYPERLINK("https://docs.google.com/spreadsheets/d/10vTXtQmPYOt5IRdk-R6AReSoKz9OM9rXLC9m8eiA5r8/edit#gid=21237410", "https://docs.google.com/spreadsheets/d/10vTXtQmPYOt5IRdk-R6AReSoKz9OM9rXLC9m8eiA5r8/edit#gid=21237410")</f>
        <v>https://docs.google.com/spreadsheets/d/10vTXtQmPYOt5IRdk-R6AReSoKz9OM9rXLC9m8eiA5r8/edit#gid=21237410</v>
      </c>
      <c r="H676" s="35" t="s">
        <v>1987</v>
      </c>
    </row>
    <row r="677">
      <c r="D677" s="15"/>
      <c r="E677" s="32" t="s">
        <v>86</v>
      </c>
      <c r="F677" s="35" t="s">
        <v>90</v>
      </c>
      <c r="G677" s="84" t="str">
        <f>HYPERLINK("https://docs.google.com/spreadsheets/d/10vTXtQmPYOt5IRdk-R6AReSoKz9OM9rXLC9m8eiA5r8/edit#gid=789479416", "https://docs.google.com/spreadsheets/d/10vTXtQmPYOt5IRdk-R6AReSoKz9OM9rXLC9m8eiA5r8/edit#gid=789479416")</f>
        <v>https://docs.google.com/spreadsheets/d/10vTXtQmPYOt5IRdk-R6AReSoKz9OM9rXLC9m8eiA5r8/edit#gid=789479416</v>
      </c>
      <c r="H677" s="35" t="s">
        <v>90</v>
      </c>
    </row>
    <row r="678">
      <c r="D678" s="15"/>
      <c r="E678" s="32" t="s">
        <v>86</v>
      </c>
      <c r="F678" s="35" t="s">
        <v>338</v>
      </c>
      <c r="G678" s="84" t="str">
        <f>HYPERLINK("https://docs.google.com/spreadsheets/d/10vTXtQmPYOt5IRdk-R6AReSoKz9OM9rXLC9m8eiA5r8/edit#gid=1526991815", "https://docs.google.com/spreadsheets/d/10vTXtQmPYOt5IRdk-R6AReSoKz9OM9rXLC9m8eiA5r8/edit#gid=1526991815")</f>
        <v>https://docs.google.com/spreadsheets/d/10vTXtQmPYOt5IRdk-R6AReSoKz9OM9rXLC9m8eiA5r8/edit#gid=1526991815</v>
      </c>
      <c r="H678" s="35" t="s">
        <v>338</v>
      </c>
    </row>
    <row r="679">
      <c r="D679" s="15"/>
      <c r="E679" s="32" t="s">
        <v>88</v>
      </c>
      <c r="F679" s="35" t="s">
        <v>95</v>
      </c>
      <c r="G679" s="84" t="str">
        <f>HYPERLINK("https://docs.google.com/spreadsheets/d/10vTXtQmPYOt5IRdk-R6AReSoKz9OM9rXLC9m8eiA5r8/edit#gid=1732286035", "https://docs.google.com/spreadsheets/d/10vTXtQmPYOt5IRdk-R6AReSoKz9OM9rXLC9m8eiA5r8/edit#gid=1732286035")</f>
        <v>https://docs.google.com/spreadsheets/d/10vTXtQmPYOt5IRdk-R6AReSoKz9OM9rXLC9m8eiA5r8/edit#gid=1732286035</v>
      </c>
      <c r="H679" s="35" t="s">
        <v>95</v>
      </c>
    </row>
    <row r="680">
      <c r="D680" s="15"/>
      <c r="E680" s="32" t="s">
        <v>88</v>
      </c>
      <c r="F680" s="35" t="s">
        <v>96</v>
      </c>
      <c r="G680" s="84" t="str">
        <f>HYPERLINK("https://docs.google.com/spreadsheets/d/10vTXtQmPYOt5IRdk-R6AReSoKz9OM9rXLC9m8eiA5r8/edit#gid=446456166", "https://docs.google.com/spreadsheets/d/10vTXtQmPYOt5IRdk-R6AReSoKz9OM9rXLC9m8eiA5r8/edit#gid=446456166")</f>
        <v>https://docs.google.com/spreadsheets/d/10vTXtQmPYOt5IRdk-R6AReSoKz9OM9rXLC9m8eiA5r8/edit#gid=446456166</v>
      </c>
      <c r="H680" s="35" t="s">
        <v>96</v>
      </c>
    </row>
    <row r="681">
      <c r="D681" s="15"/>
      <c r="E681" s="15"/>
    </row>
    <row r="682">
      <c r="B682" s="35" t="s">
        <v>2078</v>
      </c>
      <c r="C682" s="35" t="s">
        <v>2047</v>
      </c>
      <c r="D682" s="32" t="s">
        <v>20</v>
      </c>
      <c r="E682" s="32" t="s">
        <v>89</v>
      </c>
      <c r="F682" s="35" t="s">
        <v>291</v>
      </c>
      <c r="H682" s="36"/>
    </row>
    <row r="683">
      <c r="B683" s="35" t="s">
        <v>2079</v>
      </c>
      <c r="C683" s="211" t="s">
        <v>2080</v>
      </c>
      <c r="D683" s="32" t="s">
        <v>20</v>
      </c>
      <c r="E683" s="32" t="s">
        <v>178</v>
      </c>
      <c r="F683" s="35" t="s">
        <v>201</v>
      </c>
      <c r="G683" s="84" t="str">
        <f>HYPERLINK("https://docs.google.com/spreadsheets/d/1Fh9X5gcBh1Lz4KeJp1S6IGrpUj4MKM1v3yYM30fcmIM/edit#gid=1902402114", "https://docs.google.com/spreadsheets/d/1Fh9X5gcBh1Lz4KeJp1S6IGrpUj4MKM1v3yYM30fcmIM/edit#gid=1902402114")</f>
        <v>https://docs.google.com/spreadsheets/d/1Fh9X5gcBh1Lz4KeJp1S6IGrpUj4MKM1v3yYM30fcmIM/edit#gid=1902402114</v>
      </c>
      <c r="H683" s="35" t="s">
        <v>201</v>
      </c>
    </row>
    <row r="684">
      <c r="D684" s="15"/>
      <c r="E684" s="32" t="s">
        <v>178</v>
      </c>
      <c r="F684" s="35" t="s">
        <v>202</v>
      </c>
      <c r="G684" s="84" t="str">
        <f>HYPERLINK("https://docs.google.com/spreadsheets/d/1Fh9X5gcBh1Lz4KeJp1S6IGrpUj4MKM1v3yYM30fcmIM/edit#gid=1967062139", "https://docs.google.com/spreadsheets/d/1Fh9X5gcBh1Lz4KeJp1S6IGrpUj4MKM1v3yYM30fcmIM/edit#gid=1967062139")</f>
        <v>https://docs.google.com/spreadsheets/d/1Fh9X5gcBh1Lz4KeJp1S6IGrpUj4MKM1v3yYM30fcmIM/edit#gid=1967062139</v>
      </c>
      <c r="H684" s="35" t="s">
        <v>202</v>
      </c>
    </row>
    <row r="685">
      <c r="D685" s="15"/>
      <c r="E685" s="32" t="s">
        <v>21</v>
      </c>
      <c r="F685" s="35" t="s">
        <v>51</v>
      </c>
      <c r="G685" s="84" t="str">
        <f>HYPERLINK("https://docs.google.com/spreadsheets/d/1Fh9X5gcBh1Lz4KeJp1S6IGrpUj4MKM1v3yYM30fcmIM/edit#gid=659626024", "https://docs.google.com/spreadsheets/d/1Fh9X5gcBh1Lz4KeJp1S6IGrpUj4MKM1v3yYM30fcmIM/edit#gid=659626024")</f>
        <v>https://docs.google.com/spreadsheets/d/1Fh9X5gcBh1Lz4KeJp1S6IGrpUj4MKM1v3yYM30fcmIM/edit#gid=659626024</v>
      </c>
      <c r="H685" s="35" t="s">
        <v>51</v>
      </c>
    </row>
    <row r="686">
      <c r="D686" s="15"/>
      <c r="E686" s="32" t="s">
        <v>172</v>
      </c>
      <c r="F686" s="35" t="s">
        <v>173</v>
      </c>
      <c r="G686" s="84" t="str">
        <f>HYPERLINK("https://docs.google.com/spreadsheets/d/1Fh9X5gcBh1Lz4KeJp1S6IGrpUj4MKM1v3yYM30fcmIM/edit#gid=1013685393", "https://docs.google.com/spreadsheets/d/1Fh9X5gcBh1Lz4KeJp1S6IGrpUj4MKM1v3yYM30fcmIM/edit#gid=1013685393")</f>
        <v>https://docs.google.com/spreadsheets/d/1Fh9X5gcBh1Lz4KeJp1S6IGrpUj4MKM1v3yYM30fcmIM/edit#gid=1013685393</v>
      </c>
      <c r="H686" s="35" t="s">
        <v>173</v>
      </c>
    </row>
    <row r="687">
      <c r="D687" s="15"/>
      <c r="E687" s="32" t="s">
        <v>172</v>
      </c>
      <c r="F687" s="35" t="s">
        <v>402</v>
      </c>
      <c r="G687" s="84" t="str">
        <f>HYPERLINK("https://docs.google.com/spreadsheets/d/1Fh9X5gcBh1Lz4KeJp1S6IGrpUj4MKM1v3yYM30fcmIM/edit#gid=1355776878", "https://docs.google.com/spreadsheets/d/1Fh9X5gcBh1Lz4KeJp1S6IGrpUj4MKM1v3yYM30fcmIM/edit#gid=1355776878")</f>
        <v>https://docs.google.com/spreadsheets/d/1Fh9X5gcBh1Lz4KeJp1S6IGrpUj4MKM1v3yYM30fcmIM/edit#gid=1355776878</v>
      </c>
      <c r="H687" s="35" t="s">
        <v>402</v>
      </c>
    </row>
    <row r="688">
      <c r="D688" s="15"/>
      <c r="E688" s="32" t="s">
        <v>172</v>
      </c>
      <c r="F688" s="35" t="s">
        <v>203</v>
      </c>
      <c r="G688" s="84" t="str">
        <f>HYPERLINK("https://docs.google.com/spreadsheets/d/1Fh9X5gcBh1Lz4KeJp1S6IGrpUj4MKM1v3yYM30fcmIM/edit#gid=471644180", "https://docs.google.com/spreadsheets/d/1Fh9X5gcBh1Lz4KeJp1S6IGrpUj4MKM1v3yYM30fcmIM/edit#gid=471644180")</f>
        <v>https://docs.google.com/spreadsheets/d/1Fh9X5gcBh1Lz4KeJp1S6IGrpUj4MKM1v3yYM30fcmIM/edit#gid=471644180</v>
      </c>
      <c r="H688" s="35" t="s">
        <v>203</v>
      </c>
    </row>
    <row r="689">
      <c r="D689" s="15"/>
      <c r="E689" s="32" t="s">
        <v>172</v>
      </c>
      <c r="F689" s="35" t="s">
        <v>204</v>
      </c>
      <c r="G689" s="84" t="str">
        <f>HYPERLINK("https://docs.google.com/spreadsheets/d/1Fh9X5gcBh1Lz4KeJp1S6IGrpUj4MKM1v3yYM30fcmIM/edit#gid=733685709", "https://docs.google.com/spreadsheets/d/1Fh9X5gcBh1Lz4KeJp1S6IGrpUj4MKM1v3yYM30fcmIM/edit#gid=733685709")</f>
        <v>https://docs.google.com/spreadsheets/d/1Fh9X5gcBh1Lz4KeJp1S6IGrpUj4MKM1v3yYM30fcmIM/edit#gid=733685709</v>
      </c>
      <c r="H689" s="35" t="s">
        <v>204</v>
      </c>
    </row>
    <row r="690">
      <c r="D690" s="15"/>
      <c r="E690" s="32" t="s">
        <v>178</v>
      </c>
      <c r="F690" s="35" t="s">
        <v>205</v>
      </c>
      <c r="G690" s="84" t="str">
        <f>HYPERLINK("https://docs.google.com/spreadsheets/d/1Fh9X5gcBh1Lz4KeJp1S6IGrpUj4MKM1v3yYM30fcmIM/edit#gid=972556158", "https://docs.google.com/spreadsheets/d/1Fh9X5gcBh1Lz4KeJp1S6IGrpUj4MKM1v3yYM30fcmIM/edit#gid=972556158")</f>
        <v>https://docs.google.com/spreadsheets/d/1Fh9X5gcBh1Lz4KeJp1S6IGrpUj4MKM1v3yYM30fcmIM/edit#gid=972556158</v>
      </c>
      <c r="H690" s="35" t="s">
        <v>205</v>
      </c>
    </row>
    <row r="691">
      <c r="D691" s="15"/>
      <c r="E691" s="32" t="s">
        <v>178</v>
      </c>
      <c r="F691" s="35" t="s">
        <v>206</v>
      </c>
      <c r="H691" s="36"/>
    </row>
    <row r="692">
      <c r="D692" s="15"/>
      <c r="E692" s="32" t="s">
        <v>178</v>
      </c>
      <c r="F692" s="35" t="s">
        <v>207</v>
      </c>
      <c r="G692" s="84" t="str">
        <f>HYPERLINK("https://docs.google.com/spreadsheets/d/1Fh9X5gcBh1Lz4KeJp1S6IGrpUj4MKM1v3yYM30fcmIM/edit#gid=503773603", "https://docs.google.com/spreadsheets/d/1Fh9X5gcBh1Lz4KeJp1S6IGrpUj4MKM1v3yYM30fcmIM/edit#gid=503773603")</f>
        <v>https://docs.google.com/spreadsheets/d/1Fh9X5gcBh1Lz4KeJp1S6IGrpUj4MKM1v3yYM30fcmIM/edit#gid=503773603</v>
      </c>
      <c r="H692" s="35" t="s">
        <v>207</v>
      </c>
    </row>
    <row r="693">
      <c r="D693" s="15"/>
      <c r="E693" s="32" t="s">
        <v>172</v>
      </c>
      <c r="F693" s="35" t="s">
        <v>173</v>
      </c>
      <c r="G693" s="84" t="str">
        <f>HYPERLINK("https://docs.google.com/spreadsheets/d/1Fh9X5gcBh1Lz4KeJp1S6IGrpUj4MKM1v3yYM30fcmIM/edit#gid=1932671848", "https://docs.google.com/spreadsheets/d/1Fh9X5gcBh1Lz4KeJp1S6IGrpUj4MKM1v3yYM30fcmIM/edit#gid=1932671848")</f>
        <v>https://docs.google.com/spreadsheets/d/1Fh9X5gcBh1Lz4KeJp1S6IGrpUj4MKM1v3yYM30fcmIM/edit#gid=1932671848</v>
      </c>
      <c r="H693" s="35" t="s">
        <v>269</v>
      </c>
    </row>
    <row r="694">
      <c r="D694" s="15"/>
      <c r="E694" s="32" t="s">
        <v>172</v>
      </c>
      <c r="F694" s="35" t="s">
        <v>402</v>
      </c>
      <c r="G694" s="84" t="str">
        <f>HYPERLINK("https://docs.google.com/spreadsheets/d/1Fh9X5gcBh1Lz4KeJp1S6IGrpUj4MKM1v3yYM30fcmIM/edit#gid=1297351136", "https://docs.google.com/spreadsheets/d/1Fh9X5gcBh1Lz4KeJp1S6IGrpUj4MKM1v3yYM30fcmIM/edit#gid=1297351136")</f>
        <v>https://docs.google.com/spreadsheets/d/1Fh9X5gcBh1Lz4KeJp1S6IGrpUj4MKM1v3yYM30fcmIM/edit#gid=1297351136</v>
      </c>
      <c r="H694" s="35" t="s">
        <v>2053</v>
      </c>
    </row>
    <row r="695">
      <c r="D695" s="15"/>
      <c r="E695" s="32" t="s">
        <v>172</v>
      </c>
      <c r="F695" s="35" t="s">
        <v>203</v>
      </c>
      <c r="G695" s="84" t="str">
        <f>HYPERLINK("https://docs.google.com/spreadsheets/d/1Fh9X5gcBh1Lz4KeJp1S6IGrpUj4MKM1v3yYM30fcmIM/edit#gid=1074762401", "https://docs.google.com/spreadsheets/d/1Fh9X5gcBh1Lz4KeJp1S6IGrpUj4MKM1v3yYM30fcmIM/edit#gid=1074762401")</f>
        <v>https://docs.google.com/spreadsheets/d/1Fh9X5gcBh1Lz4KeJp1S6IGrpUj4MKM1v3yYM30fcmIM/edit#gid=1074762401</v>
      </c>
      <c r="H695" s="35" t="s">
        <v>1995</v>
      </c>
    </row>
    <row r="696">
      <c r="D696" s="15"/>
      <c r="E696" s="32" t="s">
        <v>172</v>
      </c>
      <c r="F696" s="35" t="s">
        <v>204</v>
      </c>
      <c r="G696" s="84" t="str">
        <f>HYPERLINK("https://docs.google.com/spreadsheets/d/1Fh9X5gcBh1Lz4KeJp1S6IGrpUj4MKM1v3yYM30fcmIM/edit#gid=282595660", "https://docs.google.com/spreadsheets/d/1Fh9X5gcBh1Lz4KeJp1S6IGrpUj4MKM1v3yYM30fcmIM/edit#gid=282595660")</f>
        <v>https://docs.google.com/spreadsheets/d/1Fh9X5gcBh1Lz4KeJp1S6IGrpUj4MKM1v3yYM30fcmIM/edit#gid=282595660</v>
      </c>
      <c r="H696" s="35" t="s">
        <v>1996</v>
      </c>
    </row>
    <row r="697">
      <c r="D697" s="15"/>
      <c r="E697" s="32" t="s">
        <v>178</v>
      </c>
      <c r="F697" s="35" t="s">
        <v>205</v>
      </c>
      <c r="G697" s="84" t="str">
        <f>HYPERLINK("https://docs.google.com/spreadsheets/d/1Fh9X5gcBh1Lz4KeJp1S6IGrpUj4MKM1v3yYM30fcmIM/edit#gid=1605705872", "https://docs.google.com/spreadsheets/d/1Fh9X5gcBh1Lz4KeJp1S6IGrpUj4MKM1v3yYM30fcmIM/edit#gid=1605705872")</f>
        <v>https://docs.google.com/spreadsheets/d/1Fh9X5gcBh1Lz4KeJp1S6IGrpUj4MKM1v3yYM30fcmIM/edit#gid=1605705872</v>
      </c>
      <c r="H697" s="35" t="s">
        <v>1997</v>
      </c>
    </row>
    <row r="698">
      <c r="D698" s="15"/>
      <c r="E698" s="32" t="s">
        <v>178</v>
      </c>
      <c r="F698" s="35" t="s">
        <v>206</v>
      </c>
      <c r="H698" s="36"/>
    </row>
    <row r="699">
      <c r="D699" s="15"/>
      <c r="E699" s="32" t="s">
        <v>178</v>
      </c>
      <c r="F699" s="35" t="s">
        <v>207</v>
      </c>
      <c r="G699" s="84" t="str">
        <f>HYPERLINK("https://docs.google.com/spreadsheets/d/1Fh9X5gcBh1Lz4KeJp1S6IGrpUj4MKM1v3yYM30fcmIM/edit#gid=1529073411", "https://docs.google.com/spreadsheets/d/1Fh9X5gcBh1Lz4KeJp1S6IGrpUj4MKM1v3yYM30fcmIM/edit#gid=1529073411")</f>
        <v>https://docs.google.com/spreadsheets/d/1Fh9X5gcBh1Lz4KeJp1S6IGrpUj4MKM1v3yYM30fcmIM/edit#gid=1529073411</v>
      </c>
      <c r="H699" s="35" t="s">
        <v>1998</v>
      </c>
    </row>
    <row r="700">
      <c r="D700" s="15"/>
      <c r="E700" s="32" t="s">
        <v>178</v>
      </c>
      <c r="F700" s="35" t="s">
        <v>208</v>
      </c>
      <c r="G700" s="84" t="str">
        <f>HYPERLINK("https://docs.google.com/spreadsheets/d/1Fh9X5gcBh1Lz4KeJp1S6IGrpUj4MKM1v3yYM30fcmIM/edit#gid=1379398740", "https://docs.google.com/spreadsheets/d/1Fh9X5gcBh1Lz4KeJp1S6IGrpUj4MKM1v3yYM30fcmIM/edit#gid=1379398740")</f>
        <v>https://docs.google.com/spreadsheets/d/1Fh9X5gcBh1Lz4KeJp1S6IGrpUj4MKM1v3yYM30fcmIM/edit#gid=1379398740</v>
      </c>
      <c r="H700" s="35" t="s">
        <v>208</v>
      </c>
    </row>
    <row r="701">
      <c r="D701" s="15"/>
      <c r="E701" s="32" t="s">
        <v>178</v>
      </c>
      <c r="F701" s="35" t="s">
        <v>182</v>
      </c>
      <c r="G701" s="84" t="str">
        <f>HYPERLINK("https://docs.google.com/spreadsheets/d/1Fh9X5gcBh1Lz4KeJp1S6IGrpUj4MKM1v3yYM30fcmIM/edit#gid=1488201490", "https://docs.google.com/spreadsheets/d/1Fh9X5gcBh1Lz4KeJp1S6IGrpUj4MKM1v3yYM30fcmIM/edit#gid=1488201490")</f>
        <v>https://docs.google.com/spreadsheets/d/1Fh9X5gcBh1Lz4KeJp1S6IGrpUj4MKM1v3yYM30fcmIM/edit#gid=1488201490</v>
      </c>
      <c r="H701" s="35" t="s">
        <v>182</v>
      </c>
    </row>
    <row r="702">
      <c r="D702" s="15"/>
      <c r="E702" s="32" t="s">
        <v>178</v>
      </c>
      <c r="F702" s="35" t="s">
        <v>180</v>
      </c>
      <c r="G702" s="84" t="str">
        <f>HYPERLINK("https://docs.google.com/spreadsheets/d/1Fh9X5gcBh1Lz4KeJp1S6IGrpUj4MKM1v3yYM30fcmIM/edit#gid=1281125025", "https://docs.google.com/spreadsheets/d/1Fh9X5gcBh1Lz4KeJp1S6IGrpUj4MKM1v3yYM30fcmIM/edit#gid=1281125025")</f>
        <v>https://docs.google.com/spreadsheets/d/1Fh9X5gcBh1Lz4KeJp1S6IGrpUj4MKM1v3yYM30fcmIM/edit#gid=1281125025</v>
      </c>
      <c r="H702" s="35" t="s">
        <v>180</v>
      </c>
    </row>
    <row r="703">
      <c r="D703" s="15"/>
      <c r="E703" s="32" t="s">
        <v>178</v>
      </c>
      <c r="F703" s="35" t="s">
        <v>209</v>
      </c>
      <c r="G703" s="84" t="str">
        <f>HYPERLINK("https://docs.google.com/spreadsheets/d/1Fh9X5gcBh1Lz4KeJp1S6IGrpUj4MKM1v3yYM30fcmIM/edit#gid=560171012", "https://docs.google.com/spreadsheets/d/1Fh9X5gcBh1Lz4KeJp1S6IGrpUj4MKM1v3yYM30fcmIM/edit#gid=560171012")</f>
        <v>https://docs.google.com/spreadsheets/d/1Fh9X5gcBh1Lz4KeJp1S6IGrpUj4MKM1v3yYM30fcmIM/edit#gid=560171012</v>
      </c>
      <c r="H703" s="35" t="s">
        <v>209</v>
      </c>
    </row>
    <row r="704">
      <c r="D704" s="15"/>
      <c r="E704" s="32" t="s">
        <v>178</v>
      </c>
      <c r="F704" s="35" t="s">
        <v>210</v>
      </c>
      <c r="G704" s="84" t="str">
        <f>HYPERLINK("https://docs.google.com/spreadsheets/d/1Fh9X5gcBh1Lz4KeJp1S6IGrpUj4MKM1v3yYM30fcmIM/edit#gid=1264657916", "https://docs.google.com/spreadsheets/d/1Fh9X5gcBh1Lz4KeJp1S6IGrpUj4MKM1v3yYM30fcmIM/edit#gid=1264657916")</f>
        <v>https://docs.google.com/spreadsheets/d/1Fh9X5gcBh1Lz4KeJp1S6IGrpUj4MKM1v3yYM30fcmIM/edit#gid=1264657916</v>
      </c>
      <c r="H704" s="35" t="s">
        <v>210</v>
      </c>
    </row>
    <row r="705">
      <c r="D705" s="15"/>
      <c r="E705" s="32" t="s">
        <v>157</v>
      </c>
      <c r="F705" s="35" t="s">
        <v>161</v>
      </c>
      <c r="G705" s="84" t="str">
        <f>HYPERLINK("https://docs.google.com/spreadsheets/d/1Fh9X5gcBh1Lz4KeJp1S6IGrpUj4MKM1v3yYM30fcmIM/edit#gid=727223674", "https://docs.google.com/spreadsheets/d/1Fh9X5gcBh1Lz4KeJp1S6IGrpUj4MKM1v3yYM30fcmIM/edit#gid=727223674")</f>
        <v>https://docs.google.com/spreadsheets/d/1Fh9X5gcBh1Lz4KeJp1S6IGrpUj4MKM1v3yYM30fcmIM/edit#gid=727223674</v>
      </c>
      <c r="H705" s="35" t="s">
        <v>161</v>
      </c>
    </row>
    <row r="706">
      <c r="D706" s="15"/>
      <c r="E706" s="32" t="s">
        <v>157</v>
      </c>
      <c r="F706" s="35" t="s">
        <v>158</v>
      </c>
      <c r="G706" s="84" t="str">
        <f>HYPERLINK("https://docs.google.com/spreadsheets/d/1Fh9X5gcBh1Lz4KeJp1S6IGrpUj4MKM1v3yYM30fcmIM/edit#gid=1385306761", "https://docs.google.com/spreadsheets/d/1Fh9X5gcBh1Lz4KeJp1S6IGrpUj4MKM1v3yYM30fcmIM/edit#gid=1385306761")</f>
        <v>https://docs.google.com/spreadsheets/d/1Fh9X5gcBh1Lz4KeJp1S6IGrpUj4MKM1v3yYM30fcmIM/edit#gid=1385306761</v>
      </c>
      <c r="H706" s="35" t="s">
        <v>158</v>
      </c>
    </row>
    <row r="707">
      <c r="D707" s="15"/>
      <c r="E707" s="32" t="s">
        <v>157</v>
      </c>
      <c r="F707" s="35" t="s">
        <v>196</v>
      </c>
      <c r="G707" s="84" t="str">
        <f>HYPERLINK("https://docs.google.com/spreadsheets/d/1Fh9X5gcBh1Lz4KeJp1S6IGrpUj4MKM1v3yYM30fcmIM/edit#gid=1924077793", "https://docs.google.com/spreadsheets/d/1Fh9X5gcBh1Lz4KeJp1S6IGrpUj4MKM1v3yYM30fcmIM/edit#gid=1924077793")</f>
        <v>https://docs.google.com/spreadsheets/d/1Fh9X5gcBh1Lz4KeJp1S6IGrpUj4MKM1v3yYM30fcmIM/edit#gid=1924077793</v>
      </c>
      <c r="H707" s="35" t="s">
        <v>196</v>
      </c>
    </row>
    <row r="708">
      <c r="D708" s="15"/>
      <c r="E708" s="32" t="s">
        <v>172</v>
      </c>
      <c r="F708" s="35" t="s">
        <v>173</v>
      </c>
      <c r="G708" s="84" t="str">
        <f>HYPERLINK("https://docs.google.com/spreadsheets/d/1Fh9X5gcBh1Lz4KeJp1S6IGrpUj4MKM1v3yYM30fcmIM/edit#gid=1417597204", "https://docs.google.com/spreadsheets/d/1Fh9X5gcBh1Lz4KeJp1S6IGrpUj4MKM1v3yYM30fcmIM/edit#gid=1417597204")</f>
        <v>https://docs.google.com/spreadsheets/d/1Fh9X5gcBh1Lz4KeJp1S6IGrpUj4MKM1v3yYM30fcmIM/edit#gid=1417597204</v>
      </c>
      <c r="H708" s="35" t="s">
        <v>2054</v>
      </c>
    </row>
    <row r="709">
      <c r="D709" s="15"/>
      <c r="E709" s="32" t="s">
        <v>172</v>
      </c>
      <c r="F709" s="35" t="s">
        <v>402</v>
      </c>
      <c r="G709" s="84" t="str">
        <f>HYPERLINK("https://docs.google.com/spreadsheets/d/1Fh9X5gcBh1Lz4KeJp1S6IGrpUj4MKM1v3yYM30fcmIM/edit#gid=2071494378", "https://docs.google.com/spreadsheets/d/1Fh9X5gcBh1Lz4KeJp1S6IGrpUj4MKM1v3yYM30fcmIM/edit#gid=2071494378")</f>
        <v>https://docs.google.com/spreadsheets/d/1Fh9X5gcBh1Lz4KeJp1S6IGrpUj4MKM1v3yYM30fcmIM/edit#gid=2071494378</v>
      </c>
      <c r="H709" s="35" t="s">
        <v>2055</v>
      </c>
    </row>
    <row r="710">
      <c r="D710" s="15"/>
      <c r="E710" s="32" t="s">
        <v>172</v>
      </c>
      <c r="F710" s="35" t="s">
        <v>203</v>
      </c>
      <c r="G710" s="84" t="str">
        <f>HYPERLINK("https://docs.google.com/spreadsheets/d/1Fh9X5gcBh1Lz4KeJp1S6IGrpUj4MKM1v3yYM30fcmIM/edit#gid=1928885253", "https://docs.google.com/spreadsheets/d/1Fh9X5gcBh1Lz4KeJp1S6IGrpUj4MKM1v3yYM30fcmIM/edit#gid=1928885253")</f>
        <v>https://docs.google.com/spreadsheets/d/1Fh9X5gcBh1Lz4KeJp1S6IGrpUj4MKM1v3yYM30fcmIM/edit#gid=1928885253</v>
      </c>
      <c r="H710" s="35" t="s">
        <v>1999</v>
      </c>
    </row>
    <row r="711">
      <c r="D711" s="15"/>
      <c r="E711" s="32" t="s">
        <v>172</v>
      </c>
      <c r="F711" s="35" t="s">
        <v>204</v>
      </c>
      <c r="G711" s="84" t="str">
        <f>HYPERLINK("https://docs.google.com/spreadsheets/d/1Fh9X5gcBh1Lz4KeJp1S6IGrpUj4MKM1v3yYM30fcmIM/edit#gid=540629793", "https://docs.google.com/spreadsheets/d/1Fh9X5gcBh1Lz4KeJp1S6IGrpUj4MKM1v3yYM30fcmIM/edit#gid=540629793")</f>
        <v>https://docs.google.com/spreadsheets/d/1Fh9X5gcBh1Lz4KeJp1S6IGrpUj4MKM1v3yYM30fcmIM/edit#gid=540629793</v>
      </c>
      <c r="H711" s="35" t="s">
        <v>2000</v>
      </c>
    </row>
    <row r="712">
      <c r="D712" s="15"/>
      <c r="E712" s="32" t="s">
        <v>178</v>
      </c>
      <c r="F712" s="35" t="s">
        <v>207</v>
      </c>
      <c r="G712" s="84" t="str">
        <f>HYPERLINK("https://docs.google.com/spreadsheets/d/1Fh9X5gcBh1Lz4KeJp1S6IGrpUj4MKM1v3yYM30fcmIM/edit#gid=1912286415", "https://docs.google.com/spreadsheets/d/1Fh9X5gcBh1Lz4KeJp1S6IGrpUj4MKM1v3yYM30fcmIM/edit#gid=1912286415")</f>
        <v>https://docs.google.com/spreadsheets/d/1Fh9X5gcBh1Lz4KeJp1S6IGrpUj4MKM1v3yYM30fcmIM/edit#gid=1912286415</v>
      </c>
      <c r="H712" s="35" t="s">
        <v>2001</v>
      </c>
    </row>
    <row r="713">
      <c r="D713" s="15"/>
      <c r="E713" s="32" t="s">
        <v>178</v>
      </c>
      <c r="F713" s="35" t="s">
        <v>208</v>
      </c>
      <c r="G713" s="84" t="str">
        <f>HYPERLINK("https://docs.google.com/spreadsheets/d/1Fh9X5gcBh1Lz4KeJp1S6IGrpUj4MKM1v3yYM30fcmIM/edit#gid=1595062491", "https://docs.google.com/spreadsheets/d/1Fh9X5gcBh1Lz4KeJp1S6IGrpUj4MKM1v3yYM30fcmIM/edit#gid=1595062491")</f>
        <v>https://docs.google.com/spreadsheets/d/1Fh9X5gcBh1Lz4KeJp1S6IGrpUj4MKM1v3yYM30fcmIM/edit#gid=1595062491</v>
      </c>
      <c r="H713" s="35" t="s">
        <v>2002</v>
      </c>
    </row>
    <row r="714">
      <c r="D714" s="15"/>
      <c r="E714" s="32" t="s">
        <v>178</v>
      </c>
      <c r="F714" s="35" t="s">
        <v>182</v>
      </c>
      <c r="G714" s="84" t="str">
        <f>HYPERLINK("https://docs.google.com/spreadsheets/d/1Fh9X5gcBh1Lz4KeJp1S6IGrpUj4MKM1v3yYM30fcmIM/edit#gid=45574655", "https://docs.google.com/spreadsheets/d/1Fh9X5gcBh1Lz4KeJp1S6IGrpUj4MKM1v3yYM30fcmIM/edit#gid=45574655")</f>
        <v>https://docs.google.com/spreadsheets/d/1Fh9X5gcBh1Lz4KeJp1S6IGrpUj4MKM1v3yYM30fcmIM/edit#gid=45574655</v>
      </c>
      <c r="H714" s="35" t="s">
        <v>2003</v>
      </c>
    </row>
    <row r="715">
      <c r="D715" s="15"/>
      <c r="E715" s="32" t="s">
        <v>178</v>
      </c>
      <c r="F715" s="35" t="s">
        <v>180</v>
      </c>
      <c r="G715" s="84" t="str">
        <f>HYPERLINK("https://docs.google.com/spreadsheets/d/1Fh9X5gcBh1Lz4KeJp1S6IGrpUj4MKM1v3yYM30fcmIM/edit#gid=2008134709", "https://docs.google.com/spreadsheets/d/1Fh9X5gcBh1Lz4KeJp1S6IGrpUj4MKM1v3yYM30fcmIM/edit#gid=2008134709")</f>
        <v>https://docs.google.com/spreadsheets/d/1Fh9X5gcBh1Lz4KeJp1S6IGrpUj4MKM1v3yYM30fcmIM/edit#gid=2008134709</v>
      </c>
      <c r="H715" s="35" t="s">
        <v>2009</v>
      </c>
    </row>
    <row r="716">
      <c r="D716" s="15"/>
      <c r="E716" s="32" t="s">
        <v>178</v>
      </c>
      <c r="F716" s="35" t="s">
        <v>209</v>
      </c>
      <c r="G716" s="84" t="str">
        <f>HYPERLINK("https://docs.google.com/spreadsheets/d/1Fh9X5gcBh1Lz4KeJp1S6IGrpUj4MKM1v3yYM30fcmIM/edit#gid=1723830130", "https://docs.google.com/spreadsheets/d/1Fh9X5gcBh1Lz4KeJp1S6IGrpUj4MKM1v3yYM30fcmIM/edit#gid=1723830130")</f>
        <v>https://docs.google.com/spreadsheets/d/1Fh9X5gcBh1Lz4KeJp1S6IGrpUj4MKM1v3yYM30fcmIM/edit#gid=1723830130</v>
      </c>
      <c r="H716" s="35" t="s">
        <v>1986</v>
      </c>
    </row>
    <row r="717">
      <c r="D717" s="15"/>
      <c r="E717" s="32" t="s">
        <v>178</v>
      </c>
      <c r="F717" s="35" t="s">
        <v>210</v>
      </c>
      <c r="G717" s="84" t="str">
        <f>HYPERLINK("https://docs.google.com/spreadsheets/d/1Fh9X5gcBh1Lz4KeJp1S6IGrpUj4MKM1v3yYM30fcmIM/edit#gid=1840111832", "https://docs.google.com/spreadsheets/d/1Fh9X5gcBh1Lz4KeJp1S6IGrpUj4MKM1v3yYM30fcmIM/edit#gid=1840111832")</f>
        <v>https://docs.google.com/spreadsheets/d/1Fh9X5gcBh1Lz4KeJp1S6IGrpUj4MKM1v3yYM30fcmIM/edit#gid=1840111832</v>
      </c>
      <c r="H717" s="35" t="s">
        <v>1987</v>
      </c>
    </row>
    <row r="718">
      <c r="D718" s="15"/>
      <c r="E718" s="32" t="s">
        <v>86</v>
      </c>
      <c r="F718" s="35" t="s">
        <v>90</v>
      </c>
      <c r="G718" s="84" t="str">
        <f>HYPERLINK("https://docs.google.com/spreadsheets/d/1Fh9X5gcBh1Lz4KeJp1S6IGrpUj4MKM1v3yYM30fcmIM/edit#gid=687698088", "https://docs.google.com/spreadsheets/d/1Fh9X5gcBh1Lz4KeJp1S6IGrpUj4MKM1v3yYM30fcmIM/edit#gid=687698088")</f>
        <v>https://docs.google.com/spreadsheets/d/1Fh9X5gcBh1Lz4KeJp1S6IGrpUj4MKM1v3yYM30fcmIM/edit#gid=687698088</v>
      </c>
      <c r="H718" s="35" t="s">
        <v>90</v>
      </c>
    </row>
    <row r="719">
      <c r="D719" s="15"/>
      <c r="E719" s="32" t="s">
        <v>86</v>
      </c>
      <c r="F719" s="35" t="s">
        <v>91</v>
      </c>
      <c r="G719" s="84" t="str">
        <f>HYPERLINK("https://docs.google.com/spreadsheets/d/1Fh9X5gcBh1Lz4KeJp1S6IGrpUj4MKM1v3yYM30fcmIM/edit#gid=684567215", "https://docs.google.com/spreadsheets/d/1Fh9X5gcBh1Lz4KeJp1S6IGrpUj4MKM1v3yYM30fcmIM/edit#gid=684567215")</f>
        <v>https://docs.google.com/spreadsheets/d/1Fh9X5gcBh1Lz4KeJp1S6IGrpUj4MKM1v3yYM30fcmIM/edit#gid=684567215</v>
      </c>
      <c r="H719" s="35" t="s">
        <v>91</v>
      </c>
    </row>
    <row r="720">
      <c r="D720" s="15"/>
      <c r="E720" s="32" t="s">
        <v>88</v>
      </c>
      <c r="F720" s="35" t="s">
        <v>95</v>
      </c>
      <c r="G720" s="84" t="str">
        <f>HYPERLINK("https://docs.google.com/spreadsheets/d/1Fh9X5gcBh1Lz4KeJp1S6IGrpUj4MKM1v3yYM30fcmIM/edit#gid=2070311544", "https://docs.google.com/spreadsheets/d/1Fh9X5gcBh1Lz4KeJp1S6IGrpUj4MKM1v3yYM30fcmIM/edit#gid=2070311544")</f>
        <v>https://docs.google.com/spreadsheets/d/1Fh9X5gcBh1Lz4KeJp1S6IGrpUj4MKM1v3yYM30fcmIM/edit#gid=2070311544</v>
      </c>
      <c r="H720" s="35" t="s">
        <v>95</v>
      </c>
    </row>
    <row r="721">
      <c r="D721" s="15"/>
      <c r="E721" s="32" t="s">
        <v>88</v>
      </c>
      <c r="F721" s="35" t="s">
        <v>96</v>
      </c>
      <c r="G721" s="84" t="str">
        <f>HYPERLINK("https://docs.google.com/spreadsheets/d/1Fh9X5gcBh1Lz4KeJp1S6IGrpUj4MKM1v3yYM30fcmIM/edit#gid=1634014660", "https://docs.google.com/spreadsheets/d/1Fh9X5gcBh1Lz4KeJp1S6IGrpUj4MKM1v3yYM30fcmIM/edit#gid=1634014660")</f>
        <v>https://docs.google.com/spreadsheets/d/1Fh9X5gcBh1Lz4KeJp1S6IGrpUj4MKM1v3yYM30fcmIM/edit#gid=1634014660</v>
      </c>
      <c r="H721" s="35" t="s">
        <v>96</v>
      </c>
    </row>
    <row r="722">
      <c r="D722" s="15"/>
      <c r="E722" s="15"/>
    </row>
    <row r="723">
      <c r="B723" s="35" t="s">
        <v>2081</v>
      </c>
      <c r="C723" s="35" t="s">
        <v>2082</v>
      </c>
      <c r="D723" s="32" t="s">
        <v>20</v>
      </c>
      <c r="E723" s="32" t="s">
        <v>89</v>
      </c>
      <c r="F723" s="35" t="s">
        <v>291</v>
      </c>
      <c r="H723" s="36"/>
    </row>
    <row r="724">
      <c r="B724" s="205" t="s">
        <v>2083</v>
      </c>
      <c r="C724" s="210" t="s">
        <v>2084</v>
      </c>
      <c r="D724" s="32" t="s">
        <v>20</v>
      </c>
      <c r="E724" s="32" t="s">
        <v>178</v>
      </c>
      <c r="F724" s="35" t="s">
        <v>201</v>
      </c>
      <c r="G724" s="84" t="str">
        <f>HYPERLINK("https://docs.google.com/spreadsheets/d/1vyTN_PextSqgbxRbk8guWs01m7iCQuAdsjuIfmpYjHQ/edit#gid=2086981369", "https://docs.google.com/spreadsheets/d/1vyTN_PextSqgbxRbk8guWs01m7iCQuAdsjuIfmpYjHQ/edit#gid=2086981369")</f>
        <v>https://docs.google.com/spreadsheets/d/1vyTN_PextSqgbxRbk8guWs01m7iCQuAdsjuIfmpYjHQ/edit#gid=2086981369</v>
      </c>
      <c r="H724" s="36"/>
    </row>
    <row r="725">
      <c r="D725" s="15"/>
      <c r="E725" s="32" t="s">
        <v>178</v>
      </c>
      <c r="F725" s="35" t="s">
        <v>202</v>
      </c>
      <c r="G725" s="84" t="str">
        <f>HYPERLINK("https://docs.google.com/spreadsheets/d/1vyTN_PextSqgbxRbk8guWs01m7iCQuAdsjuIfmpYjHQ/edit#gid=1756791936", "https://docs.google.com/spreadsheets/d/1vyTN_PextSqgbxRbk8guWs01m7iCQuAdsjuIfmpYjHQ/edit#gid=1756791936")</f>
        <v>https://docs.google.com/spreadsheets/d/1vyTN_PextSqgbxRbk8guWs01m7iCQuAdsjuIfmpYjHQ/edit#gid=1756791936</v>
      </c>
      <c r="H725" s="35" t="s">
        <v>202</v>
      </c>
    </row>
    <row r="726">
      <c r="D726" s="15"/>
      <c r="E726" s="32" t="s">
        <v>21</v>
      </c>
      <c r="F726" s="35" t="s">
        <v>51</v>
      </c>
      <c r="G726" s="84" t="str">
        <f>HYPERLINK("https://docs.google.com/spreadsheets/d/1vyTN_PextSqgbxRbk8guWs01m7iCQuAdsjuIfmpYjHQ/edit#gid=1013453957", "https://docs.google.com/spreadsheets/d/1vyTN_PextSqgbxRbk8guWs01m7iCQuAdsjuIfmpYjHQ/edit#gid=1013453957")</f>
        <v>https://docs.google.com/spreadsheets/d/1vyTN_PextSqgbxRbk8guWs01m7iCQuAdsjuIfmpYjHQ/edit#gid=1013453957</v>
      </c>
      <c r="H726" s="36"/>
    </row>
    <row r="727">
      <c r="D727" s="15"/>
      <c r="E727" s="32" t="s">
        <v>172</v>
      </c>
      <c r="F727" s="35" t="s">
        <v>173</v>
      </c>
      <c r="G727" s="84" t="str">
        <f>HYPERLINK("https://docs.google.com/spreadsheets/d/1vyTN_PextSqgbxRbk8guWs01m7iCQuAdsjuIfmpYjHQ/edit#gid=806476935", "https://docs.google.com/spreadsheets/d/1vyTN_PextSqgbxRbk8guWs01m7iCQuAdsjuIfmpYjHQ/edit#gid=806476935")</f>
        <v>https://docs.google.com/spreadsheets/d/1vyTN_PextSqgbxRbk8guWs01m7iCQuAdsjuIfmpYjHQ/edit#gid=806476935</v>
      </c>
      <c r="H727" s="35" t="s">
        <v>173</v>
      </c>
    </row>
    <row r="728">
      <c r="D728" s="15"/>
      <c r="E728" s="32" t="s">
        <v>172</v>
      </c>
      <c r="F728" s="35" t="s">
        <v>402</v>
      </c>
      <c r="G728" s="84" t="str">
        <f>HYPERLINK("https://docs.google.com/spreadsheets/d/1vyTN_PextSqgbxRbk8guWs01m7iCQuAdsjuIfmpYjHQ/edit#gid=257975070", "https://docs.google.com/spreadsheets/d/1vyTN_PextSqgbxRbk8guWs01m7iCQuAdsjuIfmpYjHQ/edit#gid=257975070")</f>
        <v>https://docs.google.com/spreadsheets/d/1vyTN_PextSqgbxRbk8guWs01m7iCQuAdsjuIfmpYjHQ/edit#gid=257975070</v>
      </c>
      <c r="H728" s="35" t="s">
        <v>402</v>
      </c>
    </row>
    <row r="729">
      <c r="D729" s="15"/>
      <c r="E729" s="32" t="s">
        <v>172</v>
      </c>
      <c r="F729" s="35" t="s">
        <v>203</v>
      </c>
      <c r="G729" s="84" t="str">
        <f>HYPERLINK("https://docs.google.com/spreadsheets/d/1vyTN_PextSqgbxRbk8guWs01m7iCQuAdsjuIfmpYjHQ/edit#gid=1411988690", "https://docs.google.com/spreadsheets/d/1vyTN_PextSqgbxRbk8guWs01m7iCQuAdsjuIfmpYjHQ/edit#gid=1411988690")</f>
        <v>https://docs.google.com/spreadsheets/d/1vyTN_PextSqgbxRbk8guWs01m7iCQuAdsjuIfmpYjHQ/edit#gid=1411988690</v>
      </c>
      <c r="H729" s="35" t="s">
        <v>203</v>
      </c>
    </row>
    <row r="730">
      <c r="D730" s="15"/>
      <c r="E730" s="32" t="s">
        <v>172</v>
      </c>
      <c r="F730" s="35" t="s">
        <v>204</v>
      </c>
      <c r="G730" s="84" t="str">
        <f>HYPERLINK("https://docs.google.com/spreadsheets/d/1vyTN_PextSqgbxRbk8guWs01m7iCQuAdsjuIfmpYjHQ/edit#gid=1930967794", "https://docs.google.com/spreadsheets/d/1vyTN_PextSqgbxRbk8guWs01m7iCQuAdsjuIfmpYjHQ/edit#gid=1930967794")</f>
        <v>https://docs.google.com/spreadsheets/d/1vyTN_PextSqgbxRbk8guWs01m7iCQuAdsjuIfmpYjHQ/edit#gid=1930967794</v>
      </c>
      <c r="H730" s="35" t="s">
        <v>204</v>
      </c>
    </row>
    <row r="731">
      <c r="D731" s="15"/>
      <c r="E731" s="32" t="s">
        <v>178</v>
      </c>
      <c r="F731" s="35" t="s">
        <v>205</v>
      </c>
      <c r="G731" s="84" t="str">
        <f>HYPERLINK("https://docs.google.com/spreadsheets/d/1vyTN_PextSqgbxRbk8guWs01m7iCQuAdsjuIfmpYjHQ/edit#gid=2121494335", "https://docs.google.com/spreadsheets/d/1vyTN_PextSqgbxRbk8guWs01m7iCQuAdsjuIfmpYjHQ/edit#gid=2121494335")</f>
        <v>https://docs.google.com/spreadsheets/d/1vyTN_PextSqgbxRbk8guWs01m7iCQuAdsjuIfmpYjHQ/edit#gid=2121494335</v>
      </c>
      <c r="H731" s="35" t="s">
        <v>205</v>
      </c>
    </row>
    <row r="732">
      <c r="D732" s="15"/>
      <c r="E732" s="32" t="s">
        <v>178</v>
      </c>
      <c r="F732" s="35" t="s">
        <v>206</v>
      </c>
      <c r="H732" s="36"/>
    </row>
    <row r="733">
      <c r="D733" s="15"/>
      <c r="E733" s="32" t="s">
        <v>178</v>
      </c>
      <c r="F733" s="35" t="s">
        <v>207</v>
      </c>
      <c r="G733" s="84" t="str">
        <f>HYPERLINK("https://docs.google.com/spreadsheets/d/1vyTN_PextSqgbxRbk8guWs01m7iCQuAdsjuIfmpYjHQ/edit#gid=2118779362", "https://docs.google.com/spreadsheets/d/1vyTN_PextSqgbxRbk8guWs01m7iCQuAdsjuIfmpYjHQ/edit#gid=2118779362")</f>
        <v>https://docs.google.com/spreadsheets/d/1vyTN_PextSqgbxRbk8guWs01m7iCQuAdsjuIfmpYjHQ/edit#gid=2118779362</v>
      </c>
      <c r="H733" s="35" t="s">
        <v>207</v>
      </c>
    </row>
    <row r="734">
      <c r="D734" s="15"/>
      <c r="E734" s="32" t="s">
        <v>172</v>
      </c>
      <c r="F734" s="35" t="s">
        <v>173</v>
      </c>
      <c r="G734" s="84" t="str">
        <f>HYPERLINK("https://docs.google.com/spreadsheets/d/1vyTN_PextSqgbxRbk8guWs01m7iCQuAdsjuIfmpYjHQ/edit#gid=1239395764", "https://docs.google.com/spreadsheets/d/1vyTN_PextSqgbxRbk8guWs01m7iCQuAdsjuIfmpYjHQ/edit#gid=1239395764")</f>
        <v>https://docs.google.com/spreadsheets/d/1vyTN_PextSqgbxRbk8guWs01m7iCQuAdsjuIfmpYjHQ/edit#gid=1239395764</v>
      </c>
      <c r="H734" s="35" t="s">
        <v>269</v>
      </c>
    </row>
    <row r="735">
      <c r="D735" s="15"/>
      <c r="E735" s="32" t="s">
        <v>172</v>
      </c>
      <c r="F735" s="35" t="s">
        <v>402</v>
      </c>
      <c r="G735" s="84" t="str">
        <f>HYPERLINK("https://docs.google.com/spreadsheets/d/1vyTN_PextSqgbxRbk8guWs01m7iCQuAdsjuIfmpYjHQ/edit#gid=324083482", "https://docs.google.com/spreadsheets/d/1vyTN_PextSqgbxRbk8guWs01m7iCQuAdsjuIfmpYjHQ/edit#gid=324083482")</f>
        <v>https://docs.google.com/spreadsheets/d/1vyTN_PextSqgbxRbk8guWs01m7iCQuAdsjuIfmpYjHQ/edit#gid=324083482</v>
      </c>
      <c r="H735" s="35" t="s">
        <v>2053</v>
      </c>
    </row>
    <row r="736">
      <c r="D736" s="15"/>
      <c r="E736" s="32" t="s">
        <v>172</v>
      </c>
      <c r="F736" s="35" t="s">
        <v>203</v>
      </c>
      <c r="G736" s="84" t="str">
        <f>HYPERLINK("https://docs.google.com/spreadsheets/d/1vyTN_PextSqgbxRbk8guWs01m7iCQuAdsjuIfmpYjHQ/edit#gid=304221566", "https://docs.google.com/spreadsheets/d/1vyTN_PextSqgbxRbk8guWs01m7iCQuAdsjuIfmpYjHQ/edit#gid=304221566")</f>
        <v>https://docs.google.com/spreadsheets/d/1vyTN_PextSqgbxRbk8guWs01m7iCQuAdsjuIfmpYjHQ/edit#gid=304221566</v>
      </c>
      <c r="H736" s="35" t="s">
        <v>1995</v>
      </c>
    </row>
    <row r="737">
      <c r="D737" s="15"/>
      <c r="E737" s="32" t="s">
        <v>172</v>
      </c>
      <c r="F737" s="35" t="s">
        <v>204</v>
      </c>
      <c r="G737" s="84" t="str">
        <f>HYPERLINK("https://docs.google.com/spreadsheets/d/1vyTN_PextSqgbxRbk8guWs01m7iCQuAdsjuIfmpYjHQ/edit#gid=297498559", "https://docs.google.com/spreadsheets/d/1vyTN_PextSqgbxRbk8guWs01m7iCQuAdsjuIfmpYjHQ/edit#gid=297498559")</f>
        <v>https://docs.google.com/spreadsheets/d/1vyTN_PextSqgbxRbk8guWs01m7iCQuAdsjuIfmpYjHQ/edit#gid=297498559</v>
      </c>
      <c r="H737" s="35" t="s">
        <v>1996</v>
      </c>
    </row>
    <row r="738">
      <c r="D738" s="15"/>
      <c r="E738" s="32" t="s">
        <v>178</v>
      </c>
      <c r="F738" s="35" t="s">
        <v>205</v>
      </c>
      <c r="G738" s="84" t="str">
        <f>HYPERLINK("https://docs.google.com/spreadsheets/d/1vyTN_PextSqgbxRbk8guWs01m7iCQuAdsjuIfmpYjHQ/edit#gid=223606198", "https://docs.google.com/spreadsheets/d/1vyTN_PextSqgbxRbk8guWs01m7iCQuAdsjuIfmpYjHQ/edit#gid=223606198")</f>
        <v>https://docs.google.com/spreadsheets/d/1vyTN_PextSqgbxRbk8guWs01m7iCQuAdsjuIfmpYjHQ/edit#gid=223606198</v>
      </c>
      <c r="H738" s="35" t="s">
        <v>1997</v>
      </c>
    </row>
    <row r="739">
      <c r="D739" s="15"/>
      <c r="E739" s="32" t="s">
        <v>178</v>
      </c>
      <c r="F739" s="35" t="s">
        <v>206</v>
      </c>
      <c r="H739" s="36"/>
    </row>
    <row r="740">
      <c r="D740" s="15"/>
      <c r="E740" s="32" t="s">
        <v>178</v>
      </c>
      <c r="F740" s="35" t="s">
        <v>207</v>
      </c>
      <c r="G740" s="84" t="str">
        <f>HYPERLINK("https://docs.google.com/spreadsheets/d/1vyTN_PextSqgbxRbk8guWs01m7iCQuAdsjuIfmpYjHQ/edit#gid=405215152", "https://docs.google.com/spreadsheets/d/1vyTN_PextSqgbxRbk8guWs01m7iCQuAdsjuIfmpYjHQ/edit#gid=405215152")</f>
        <v>https://docs.google.com/spreadsheets/d/1vyTN_PextSqgbxRbk8guWs01m7iCQuAdsjuIfmpYjHQ/edit#gid=405215152</v>
      </c>
      <c r="H740" s="35" t="s">
        <v>1998</v>
      </c>
    </row>
    <row r="741">
      <c r="D741" s="15"/>
      <c r="E741" s="32" t="s">
        <v>178</v>
      </c>
      <c r="F741" s="35" t="s">
        <v>208</v>
      </c>
      <c r="G741" s="84" t="str">
        <f>HYPERLINK("https://docs.google.com/spreadsheets/d/1vyTN_PextSqgbxRbk8guWs01m7iCQuAdsjuIfmpYjHQ/edit#gid=1003403114", "https://docs.google.com/spreadsheets/d/1vyTN_PextSqgbxRbk8guWs01m7iCQuAdsjuIfmpYjHQ/edit#gid=1003403114")</f>
        <v>https://docs.google.com/spreadsheets/d/1vyTN_PextSqgbxRbk8guWs01m7iCQuAdsjuIfmpYjHQ/edit#gid=1003403114</v>
      </c>
      <c r="H741" s="35" t="s">
        <v>208</v>
      </c>
    </row>
    <row r="742">
      <c r="D742" s="15"/>
      <c r="E742" s="32" t="s">
        <v>178</v>
      </c>
      <c r="F742" s="35" t="s">
        <v>182</v>
      </c>
      <c r="G742" s="84" t="str">
        <f>HYPERLINK("https://docs.google.com/spreadsheets/d/1vyTN_PextSqgbxRbk8guWs01m7iCQuAdsjuIfmpYjHQ/edit#gid=1429449467", "https://docs.google.com/spreadsheets/d/1vyTN_PextSqgbxRbk8guWs01m7iCQuAdsjuIfmpYjHQ/edit#gid=1429449467")</f>
        <v>https://docs.google.com/spreadsheets/d/1vyTN_PextSqgbxRbk8guWs01m7iCQuAdsjuIfmpYjHQ/edit#gid=1429449467</v>
      </c>
      <c r="H742" s="35" t="s">
        <v>182</v>
      </c>
    </row>
    <row r="743">
      <c r="D743" s="15"/>
      <c r="E743" s="32" t="s">
        <v>178</v>
      </c>
      <c r="F743" s="35" t="s">
        <v>180</v>
      </c>
      <c r="G743" s="84" t="str">
        <f>HYPERLINK("https://docs.google.com/spreadsheets/d/1vyTN_PextSqgbxRbk8guWs01m7iCQuAdsjuIfmpYjHQ/edit#gid=384105312", "https://docs.google.com/spreadsheets/d/1vyTN_PextSqgbxRbk8guWs01m7iCQuAdsjuIfmpYjHQ/edit#gid=384105312")</f>
        <v>https://docs.google.com/spreadsheets/d/1vyTN_PextSqgbxRbk8guWs01m7iCQuAdsjuIfmpYjHQ/edit#gid=384105312</v>
      </c>
      <c r="H743" s="35" t="s">
        <v>180</v>
      </c>
    </row>
    <row r="744">
      <c r="D744" s="15"/>
      <c r="E744" s="32" t="s">
        <v>178</v>
      </c>
      <c r="F744" s="35" t="s">
        <v>209</v>
      </c>
      <c r="G744" s="84" t="str">
        <f>HYPERLINK("https://docs.google.com/spreadsheets/d/1vyTN_PextSqgbxRbk8guWs01m7iCQuAdsjuIfmpYjHQ/edit#gid=1222290098", "https://docs.google.com/spreadsheets/d/1vyTN_PextSqgbxRbk8guWs01m7iCQuAdsjuIfmpYjHQ/edit#gid=1222290098")</f>
        <v>https://docs.google.com/spreadsheets/d/1vyTN_PextSqgbxRbk8guWs01m7iCQuAdsjuIfmpYjHQ/edit#gid=1222290098</v>
      </c>
      <c r="H744" s="35" t="s">
        <v>209</v>
      </c>
    </row>
    <row r="745">
      <c r="D745" s="15"/>
      <c r="E745" s="32" t="s">
        <v>178</v>
      </c>
      <c r="F745" s="35" t="s">
        <v>210</v>
      </c>
      <c r="G745" s="84" t="str">
        <f>HYPERLINK("https://docs.google.com/spreadsheets/d/1vyTN_PextSqgbxRbk8guWs01m7iCQuAdsjuIfmpYjHQ/edit#gid=826219912", "https://docs.google.com/spreadsheets/d/1vyTN_PextSqgbxRbk8guWs01m7iCQuAdsjuIfmpYjHQ/edit#gid=826219912")</f>
        <v>https://docs.google.com/spreadsheets/d/1vyTN_PextSqgbxRbk8guWs01m7iCQuAdsjuIfmpYjHQ/edit#gid=826219912</v>
      </c>
      <c r="H745" s="35" t="s">
        <v>210</v>
      </c>
    </row>
    <row r="746">
      <c r="D746" s="15"/>
      <c r="E746" s="32" t="s">
        <v>157</v>
      </c>
      <c r="F746" s="35" t="s">
        <v>161</v>
      </c>
      <c r="G746" s="84" t="str">
        <f>HYPERLINK("https://docs.google.com/spreadsheets/d/1vyTN_PextSqgbxRbk8guWs01m7iCQuAdsjuIfmpYjHQ/edit#gid=367045422", "https://docs.google.com/spreadsheets/d/1vyTN_PextSqgbxRbk8guWs01m7iCQuAdsjuIfmpYjHQ/edit#gid=367045422")</f>
        <v>https://docs.google.com/spreadsheets/d/1vyTN_PextSqgbxRbk8guWs01m7iCQuAdsjuIfmpYjHQ/edit#gid=367045422</v>
      </c>
      <c r="H746" s="35" t="s">
        <v>161</v>
      </c>
    </row>
    <row r="747">
      <c r="D747" s="15"/>
      <c r="E747" s="32" t="s">
        <v>157</v>
      </c>
      <c r="F747" s="35" t="s">
        <v>158</v>
      </c>
      <c r="G747" s="84" t="str">
        <f>HYPERLINK("https://docs.google.com/spreadsheets/d/1vyTN_PextSqgbxRbk8guWs01m7iCQuAdsjuIfmpYjHQ/edit#gid=2049956802", "https://docs.google.com/spreadsheets/d/1vyTN_PextSqgbxRbk8guWs01m7iCQuAdsjuIfmpYjHQ/edit#gid=2049956802")</f>
        <v>https://docs.google.com/spreadsheets/d/1vyTN_PextSqgbxRbk8guWs01m7iCQuAdsjuIfmpYjHQ/edit#gid=2049956802</v>
      </c>
      <c r="H747" s="35" t="s">
        <v>158</v>
      </c>
    </row>
    <row r="748">
      <c r="D748" s="15"/>
      <c r="E748" s="32" t="s">
        <v>157</v>
      </c>
      <c r="F748" s="35" t="s">
        <v>196</v>
      </c>
      <c r="G748" s="84" t="str">
        <f>HYPERLINK("https://docs.google.com/spreadsheets/d/1vyTN_PextSqgbxRbk8guWs01m7iCQuAdsjuIfmpYjHQ/edit#gid=1608255761", "https://docs.google.com/spreadsheets/d/1vyTN_PextSqgbxRbk8guWs01m7iCQuAdsjuIfmpYjHQ/edit#gid=1608255761")</f>
        <v>https://docs.google.com/spreadsheets/d/1vyTN_PextSqgbxRbk8guWs01m7iCQuAdsjuIfmpYjHQ/edit#gid=1608255761</v>
      </c>
      <c r="H748" s="35" t="s">
        <v>196</v>
      </c>
    </row>
    <row r="749">
      <c r="D749" s="15"/>
      <c r="E749" s="32" t="s">
        <v>172</v>
      </c>
      <c r="F749" s="35" t="s">
        <v>173</v>
      </c>
      <c r="G749" s="84" t="str">
        <f>HYPERLINK("https://docs.google.com/spreadsheets/d/1vyTN_PextSqgbxRbk8guWs01m7iCQuAdsjuIfmpYjHQ/edit#gid=1529405921", "https://docs.google.com/spreadsheets/d/1vyTN_PextSqgbxRbk8guWs01m7iCQuAdsjuIfmpYjHQ/edit#gid=1529405921")</f>
        <v>https://docs.google.com/spreadsheets/d/1vyTN_PextSqgbxRbk8guWs01m7iCQuAdsjuIfmpYjHQ/edit#gid=1529405921</v>
      </c>
      <c r="H749" s="35" t="s">
        <v>2054</v>
      </c>
    </row>
    <row r="750">
      <c r="D750" s="15"/>
      <c r="E750" s="32" t="s">
        <v>172</v>
      </c>
      <c r="F750" s="35" t="s">
        <v>402</v>
      </c>
      <c r="G750" s="84" t="str">
        <f>HYPERLINK("https://docs.google.com/spreadsheets/d/1vyTN_PextSqgbxRbk8guWs01m7iCQuAdsjuIfmpYjHQ/edit#gid=436942153", "https://docs.google.com/spreadsheets/d/1vyTN_PextSqgbxRbk8guWs01m7iCQuAdsjuIfmpYjHQ/edit#gid=436942153")</f>
        <v>https://docs.google.com/spreadsheets/d/1vyTN_PextSqgbxRbk8guWs01m7iCQuAdsjuIfmpYjHQ/edit#gid=436942153</v>
      </c>
      <c r="H750" s="35" t="s">
        <v>2055</v>
      </c>
    </row>
    <row r="751">
      <c r="D751" s="15"/>
      <c r="E751" s="32" t="s">
        <v>172</v>
      </c>
      <c r="F751" s="35" t="s">
        <v>203</v>
      </c>
      <c r="G751" s="84" t="str">
        <f>HYPERLINK("https://docs.google.com/spreadsheets/d/1vyTN_PextSqgbxRbk8guWs01m7iCQuAdsjuIfmpYjHQ/edit#gid=1786169043", "https://docs.google.com/spreadsheets/d/1vyTN_PextSqgbxRbk8guWs01m7iCQuAdsjuIfmpYjHQ/edit#gid=1786169043")</f>
        <v>https://docs.google.com/spreadsheets/d/1vyTN_PextSqgbxRbk8guWs01m7iCQuAdsjuIfmpYjHQ/edit#gid=1786169043</v>
      </c>
      <c r="H751" s="35" t="s">
        <v>1999</v>
      </c>
    </row>
    <row r="752">
      <c r="D752" s="15"/>
      <c r="E752" s="32" t="s">
        <v>172</v>
      </c>
      <c r="F752" s="35" t="s">
        <v>204</v>
      </c>
      <c r="G752" s="84" t="str">
        <f>HYPERLINK("https://docs.google.com/spreadsheets/d/1vyTN_PextSqgbxRbk8guWs01m7iCQuAdsjuIfmpYjHQ/edit#gid=646188950", "https://docs.google.com/spreadsheets/d/1vyTN_PextSqgbxRbk8guWs01m7iCQuAdsjuIfmpYjHQ/edit#gid=646188950")</f>
        <v>https://docs.google.com/spreadsheets/d/1vyTN_PextSqgbxRbk8guWs01m7iCQuAdsjuIfmpYjHQ/edit#gid=646188950</v>
      </c>
      <c r="H752" s="35" t="s">
        <v>2000</v>
      </c>
    </row>
    <row r="753">
      <c r="D753" s="15"/>
      <c r="E753" s="32" t="s">
        <v>178</v>
      </c>
      <c r="F753" s="35" t="s">
        <v>207</v>
      </c>
      <c r="G753" s="84" t="str">
        <f>HYPERLINK("https://docs.google.com/spreadsheets/d/1vyTN_PextSqgbxRbk8guWs01m7iCQuAdsjuIfmpYjHQ/edit#gid=637443144", "https://docs.google.com/spreadsheets/d/1vyTN_PextSqgbxRbk8guWs01m7iCQuAdsjuIfmpYjHQ/edit#gid=637443144")</f>
        <v>https://docs.google.com/spreadsheets/d/1vyTN_PextSqgbxRbk8guWs01m7iCQuAdsjuIfmpYjHQ/edit#gid=637443144</v>
      </c>
      <c r="H753" s="35" t="s">
        <v>2001</v>
      </c>
    </row>
    <row r="754">
      <c r="D754" s="15"/>
      <c r="E754" s="32" t="s">
        <v>178</v>
      </c>
      <c r="F754" s="35" t="s">
        <v>208</v>
      </c>
      <c r="G754" s="84" t="str">
        <f>HYPERLINK("https://docs.google.com/spreadsheets/d/1vyTN_PextSqgbxRbk8guWs01m7iCQuAdsjuIfmpYjHQ/edit#gid=216346453", "https://docs.google.com/spreadsheets/d/1vyTN_PextSqgbxRbk8guWs01m7iCQuAdsjuIfmpYjHQ/edit#gid=216346453")</f>
        <v>https://docs.google.com/spreadsheets/d/1vyTN_PextSqgbxRbk8guWs01m7iCQuAdsjuIfmpYjHQ/edit#gid=216346453</v>
      </c>
      <c r="H754" s="35" t="s">
        <v>2002</v>
      </c>
    </row>
    <row r="755">
      <c r="D755" s="15"/>
      <c r="E755" s="32" t="s">
        <v>178</v>
      </c>
      <c r="F755" s="35" t="s">
        <v>182</v>
      </c>
      <c r="G755" s="84" t="str">
        <f>HYPERLINK("https://docs.google.com/spreadsheets/d/1vyTN_PextSqgbxRbk8guWs01m7iCQuAdsjuIfmpYjHQ/edit#gid=735953870", "https://docs.google.com/spreadsheets/d/1vyTN_PextSqgbxRbk8guWs01m7iCQuAdsjuIfmpYjHQ/edit#gid=735953870")</f>
        <v>https://docs.google.com/spreadsheets/d/1vyTN_PextSqgbxRbk8guWs01m7iCQuAdsjuIfmpYjHQ/edit#gid=735953870</v>
      </c>
      <c r="H755" s="35" t="s">
        <v>2003</v>
      </c>
    </row>
    <row r="756">
      <c r="D756" s="15"/>
      <c r="E756" s="32" t="s">
        <v>178</v>
      </c>
      <c r="F756" s="35" t="s">
        <v>180</v>
      </c>
      <c r="G756" s="84" t="str">
        <f>HYPERLINK("https://docs.google.com/spreadsheets/d/1vyTN_PextSqgbxRbk8guWs01m7iCQuAdsjuIfmpYjHQ/edit#gid=532883142", "https://docs.google.com/spreadsheets/d/1vyTN_PextSqgbxRbk8guWs01m7iCQuAdsjuIfmpYjHQ/edit#gid=532883142")</f>
        <v>https://docs.google.com/spreadsheets/d/1vyTN_PextSqgbxRbk8guWs01m7iCQuAdsjuIfmpYjHQ/edit#gid=532883142</v>
      </c>
      <c r="H756" s="35" t="s">
        <v>2009</v>
      </c>
    </row>
    <row r="757">
      <c r="D757" s="15"/>
      <c r="E757" s="32" t="s">
        <v>178</v>
      </c>
      <c r="F757" s="35" t="s">
        <v>209</v>
      </c>
      <c r="G757" s="84" t="str">
        <f>HYPERLINK("https://docs.google.com/spreadsheets/d/1vyTN_PextSqgbxRbk8guWs01m7iCQuAdsjuIfmpYjHQ/edit#gid=439781899", "https://docs.google.com/spreadsheets/d/1vyTN_PextSqgbxRbk8guWs01m7iCQuAdsjuIfmpYjHQ/edit#gid=439781899")</f>
        <v>https://docs.google.com/spreadsheets/d/1vyTN_PextSqgbxRbk8guWs01m7iCQuAdsjuIfmpYjHQ/edit#gid=439781899</v>
      </c>
      <c r="H757" s="35" t="s">
        <v>1986</v>
      </c>
    </row>
    <row r="758">
      <c r="D758" s="15"/>
      <c r="E758" s="32" t="s">
        <v>178</v>
      </c>
      <c r="F758" s="35" t="s">
        <v>210</v>
      </c>
      <c r="G758" s="84" t="str">
        <f>HYPERLINK("https://docs.google.com/spreadsheets/d/1vyTN_PextSqgbxRbk8guWs01m7iCQuAdsjuIfmpYjHQ/edit#gid=566544936", "https://docs.google.com/spreadsheets/d/1vyTN_PextSqgbxRbk8guWs01m7iCQuAdsjuIfmpYjHQ/edit#gid=566544936")</f>
        <v>https://docs.google.com/spreadsheets/d/1vyTN_PextSqgbxRbk8guWs01m7iCQuAdsjuIfmpYjHQ/edit#gid=566544936</v>
      </c>
      <c r="H758" s="35" t="s">
        <v>1987</v>
      </c>
    </row>
    <row r="759">
      <c r="D759" s="15"/>
      <c r="E759" s="32" t="s">
        <v>86</v>
      </c>
      <c r="F759" s="35" t="s">
        <v>90</v>
      </c>
      <c r="G759" s="84" t="str">
        <f>HYPERLINK("https://docs.google.com/spreadsheets/d/1vyTN_PextSqgbxRbk8guWs01m7iCQuAdsjuIfmpYjHQ/edit#gid=743077964", "https://docs.google.com/spreadsheets/d/1vyTN_PextSqgbxRbk8guWs01m7iCQuAdsjuIfmpYjHQ/edit#gid=743077964")</f>
        <v>https://docs.google.com/spreadsheets/d/1vyTN_PextSqgbxRbk8guWs01m7iCQuAdsjuIfmpYjHQ/edit#gid=743077964</v>
      </c>
      <c r="H759" s="35" t="s">
        <v>90</v>
      </c>
    </row>
    <row r="760">
      <c r="D760" s="15"/>
      <c r="E760" s="32" t="s">
        <v>86</v>
      </c>
      <c r="F760" s="35" t="s">
        <v>338</v>
      </c>
      <c r="G760" s="84" t="str">
        <f>HYPERLINK("https://docs.google.com/spreadsheets/d/1vyTN_PextSqgbxRbk8guWs01m7iCQuAdsjuIfmpYjHQ/edit#gid=1373608294", "https://docs.google.com/spreadsheets/d/1vyTN_PextSqgbxRbk8guWs01m7iCQuAdsjuIfmpYjHQ/edit#gid=1373608294")</f>
        <v>https://docs.google.com/spreadsheets/d/1vyTN_PextSqgbxRbk8guWs01m7iCQuAdsjuIfmpYjHQ/edit#gid=1373608294</v>
      </c>
      <c r="H760" s="35" t="s">
        <v>338</v>
      </c>
    </row>
    <row r="761">
      <c r="D761" s="15"/>
      <c r="E761" s="32" t="s">
        <v>88</v>
      </c>
      <c r="F761" s="35" t="s">
        <v>95</v>
      </c>
      <c r="G761" s="84" t="str">
        <f>HYPERLINK("https://docs.google.com/spreadsheets/d/1vyTN_PextSqgbxRbk8guWs01m7iCQuAdsjuIfmpYjHQ/edit#gid=337766130", "https://docs.google.com/spreadsheets/d/1vyTN_PextSqgbxRbk8guWs01m7iCQuAdsjuIfmpYjHQ/edit#gid=337766130")</f>
        <v>https://docs.google.com/spreadsheets/d/1vyTN_PextSqgbxRbk8guWs01m7iCQuAdsjuIfmpYjHQ/edit#gid=337766130</v>
      </c>
      <c r="H761" s="35" t="s">
        <v>95</v>
      </c>
    </row>
    <row r="762">
      <c r="D762" s="15"/>
      <c r="E762" s="32" t="s">
        <v>88</v>
      </c>
      <c r="F762" s="35" t="s">
        <v>96</v>
      </c>
      <c r="G762" s="84" t="str">
        <f>HYPERLINK("https://docs.google.com/spreadsheets/d/1vyTN_PextSqgbxRbk8guWs01m7iCQuAdsjuIfmpYjHQ/edit#gid=721441686", "https://docs.google.com/spreadsheets/d/1vyTN_PextSqgbxRbk8guWs01m7iCQuAdsjuIfmpYjHQ/edit#gid=721441686")</f>
        <v>https://docs.google.com/spreadsheets/d/1vyTN_PextSqgbxRbk8guWs01m7iCQuAdsjuIfmpYjHQ/edit#gid=721441686</v>
      </c>
      <c r="H762" s="35" t="s">
        <v>96</v>
      </c>
    </row>
    <row r="763">
      <c r="D763" s="15"/>
      <c r="E763" s="32"/>
      <c r="F763" s="35"/>
      <c r="H763" s="35"/>
    </row>
    <row r="764">
      <c r="B764" s="35" t="s">
        <v>2085</v>
      </c>
      <c r="C764" s="35" t="s">
        <v>2086</v>
      </c>
      <c r="D764" s="32" t="s">
        <v>20</v>
      </c>
      <c r="E764" s="32" t="s">
        <v>89</v>
      </c>
      <c r="F764" s="35" t="s">
        <v>291</v>
      </c>
      <c r="H764" s="36"/>
    </row>
    <row r="765">
      <c r="B765" s="205" t="s">
        <v>2087</v>
      </c>
      <c r="C765" s="210" t="s">
        <v>2088</v>
      </c>
      <c r="D765" s="32" t="s">
        <v>20</v>
      </c>
      <c r="E765" s="32" t="s">
        <v>178</v>
      </c>
      <c r="F765" s="35" t="s">
        <v>201</v>
      </c>
      <c r="G765" s="84" t="str">
        <f>HYPERLINK("https://docs.google.com/spreadsheets/d/1sRuu8CEWvcZSbUKcDD3MVYBFBkw2S5okKjD8UiQpP4k/edit#gid=1556764362", "https://docs.google.com/spreadsheets/d/1sRuu8CEWvcZSbUKcDD3MVYBFBkw2S5okKjD8UiQpP4k/edit#gid=1556764362")</f>
        <v>https://docs.google.com/spreadsheets/d/1sRuu8CEWvcZSbUKcDD3MVYBFBkw2S5okKjD8UiQpP4k/edit#gid=1556764362</v>
      </c>
      <c r="H765" s="36"/>
    </row>
    <row r="766">
      <c r="D766" s="15"/>
      <c r="E766" s="32" t="s">
        <v>178</v>
      </c>
      <c r="F766" s="35" t="s">
        <v>202</v>
      </c>
      <c r="G766" s="84" t="str">
        <f>HYPERLINK("https://docs.google.com/spreadsheets/d/1sRuu8CEWvcZSbUKcDD3MVYBFBkw2S5okKjD8UiQpP4k/edit#gid=971334229", "https://docs.google.com/spreadsheets/d/1sRuu8CEWvcZSbUKcDD3MVYBFBkw2S5okKjD8UiQpP4k/edit#gid=971334229")</f>
        <v>https://docs.google.com/spreadsheets/d/1sRuu8CEWvcZSbUKcDD3MVYBFBkw2S5okKjD8UiQpP4k/edit#gid=971334229</v>
      </c>
      <c r="H766" s="35" t="s">
        <v>202</v>
      </c>
    </row>
    <row r="767">
      <c r="D767" s="15"/>
      <c r="E767" s="32" t="s">
        <v>21</v>
      </c>
      <c r="F767" s="35" t="s">
        <v>51</v>
      </c>
      <c r="G767" s="84" t="str">
        <f>HYPERLINK("https://docs.google.com/spreadsheets/d/1sRuu8CEWvcZSbUKcDD3MVYBFBkw2S5okKjD8UiQpP4k/edit#gid=1007062438", "https://docs.google.com/spreadsheets/d/1sRuu8CEWvcZSbUKcDD3MVYBFBkw2S5okKjD8UiQpP4k/edit#gid=1007062438")</f>
        <v>https://docs.google.com/spreadsheets/d/1sRuu8CEWvcZSbUKcDD3MVYBFBkw2S5okKjD8UiQpP4k/edit#gid=1007062438</v>
      </c>
      <c r="H767" s="35" t="s">
        <v>51</v>
      </c>
    </row>
    <row r="768">
      <c r="D768" s="15"/>
      <c r="E768" s="32" t="s">
        <v>172</v>
      </c>
      <c r="F768" s="35" t="s">
        <v>173</v>
      </c>
      <c r="G768" s="84" t="str">
        <f>HYPERLINK("https://docs.google.com/spreadsheets/d/1sRuu8CEWvcZSbUKcDD3MVYBFBkw2S5okKjD8UiQpP4k/edit#gid=846452696", "https://docs.google.com/spreadsheets/d/1sRuu8CEWvcZSbUKcDD3MVYBFBkw2S5okKjD8UiQpP4k/edit#gid=846452696")</f>
        <v>https://docs.google.com/spreadsheets/d/1sRuu8CEWvcZSbUKcDD3MVYBFBkw2S5okKjD8UiQpP4k/edit#gid=846452696</v>
      </c>
      <c r="H768" s="35" t="s">
        <v>173</v>
      </c>
    </row>
    <row r="769">
      <c r="D769" s="15"/>
      <c r="E769" s="32" t="s">
        <v>172</v>
      </c>
      <c r="F769" s="35" t="s">
        <v>402</v>
      </c>
      <c r="G769" s="84" t="str">
        <f>HYPERLINK("https://docs.google.com/spreadsheets/d/1sRuu8CEWvcZSbUKcDD3MVYBFBkw2S5okKjD8UiQpP4k/edit#gid=1347679782", "https://docs.google.com/spreadsheets/d/1sRuu8CEWvcZSbUKcDD3MVYBFBkw2S5okKjD8UiQpP4k/edit#gid=1347679782")</f>
        <v>https://docs.google.com/spreadsheets/d/1sRuu8CEWvcZSbUKcDD3MVYBFBkw2S5okKjD8UiQpP4k/edit#gid=1347679782</v>
      </c>
      <c r="H769" s="35" t="s">
        <v>402</v>
      </c>
    </row>
    <row r="770">
      <c r="D770" s="15"/>
      <c r="E770" s="32" t="s">
        <v>172</v>
      </c>
      <c r="F770" s="35" t="s">
        <v>203</v>
      </c>
      <c r="G770" s="84" t="str">
        <f>HYPERLINK("https://docs.google.com/spreadsheets/d/1sRuu8CEWvcZSbUKcDD3MVYBFBkw2S5okKjD8UiQpP4k/edit#gid=185417045", "https://docs.google.com/spreadsheets/d/1sRuu8CEWvcZSbUKcDD3MVYBFBkw2S5okKjD8UiQpP4k/edit#gid=185417045")</f>
        <v>https://docs.google.com/spreadsheets/d/1sRuu8CEWvcZSbUKcDD3MVYBFBkw2S5okKjD8UiQpP4k/edit#gid=185417045</v>
      </c>
      <c r="H770" s="35" t="s">
        <v>203</v>
      </c>
    </row>
    <row r="771">
      <c r="D771" s="15"/>
      <c r="E771" s="32" t="s">
        <v>172</v>
      </c>
      <c r="F771" s="35" t="s">
        <v>204</v>
      </c>
      <c r="G771" s="84" t="str">
        <f>HYPERLINK("https://docs.google.com/spreadsheets/d/1sRuu8CEWvcZSbUKcDD3MVYBFBkw2S5okKjD8UiQpP4k/edit#gid=1973500641", "https://docs.google.com/spreadsheets/d/1sRuu8CEWvcZSbUKcDD3MVYBFBkw2S5okKjD8UiQpP4k/edit#gid=1973500641")</f>
        <v>https://docs.google.com/spreadsheets/d/1sRuu8CEWvcZSbUKcDD3MVYBFBkw2S5okKjD8UiQpP4k/edit#gid=1973500641</v>
      </c>
      <c r="H771" s="35" t="s">
        <v>204</v>
      </c>
    </row>
    <row r="772">
      <c r="D772" s="15"/>
      <c r="E772" s="32" t="s">
        <v>178</v>
      </c>
      <c r="F772" s="35" t="s">
        <v>205</v>
      </c>
      <c r="G772" s="84" t="str">
        <f>HYPERLINK("https://docs.google.com/spreadsheets/d/1sRuu8CEWvcZSbUKcDD3MVYBFBkw2S5okKjD8UiQpP4k/edit#gid=1755537733", "https://docs.google.com/spreadsheets/d/1sRuu8CEWvcZSbUKcDD3MVYBFBkw2S5okKjD8UiQpP4k/edit#gid=1755537733")</f>
        <v>https://docs.google.com/spreadsheets/d/1sRuu8CEWvcZSbUKcDD3MVYBFBkw2S5okKjD8UiQpP4k/edit#gid=1755537733</v>
      </c>
      <c r="H772" s="35" t="s">
        <v>205</v>
      </c>
    </row>
    <row r="773">
      <c r="D773" s="15"/>
      <c r="E773" s="32" t="s">
        <v>178</v>
      </c>
      <c r="F773" s="35" t="s">
        <v>206</v>
      </c>
      <c r="H773" s="36"/>
    </row>
    <row r="774">
      <c r="D774" s="15"/>
      <c r="E774" s="32" t="s">
        <v>178</v>
      </c>
      <c r="F774" s="35" t="s">
        <v>207</v>
      </c>
      <c r="G774" s="84" t="str">
        <f>HYPERLINK("https://docs.google.com/spreadsheets/d/1sRuu8CEWvcZSbUKcDD3MVYBFBkw2S5okKjD8UiQpP4k/edit#gid=1970159175", "https://docs.google.com/spreadsheets/d/1sRuu8CEWvcZSbUKcDD3MVYBFBkw2S5okKjD8UiQpP4k/edit#gid=1970159175")</f>
        <v>https://docs.google.com/spreadsheets/d/1sRuu8CEWvcZSbUKcDD3MVYBFBkw2S5okKjD8UiQpP4k/edit#gid=1970159175</v>
      </c>
      <c r="H774" s="35" t="s">
        <v>207</v>
      </c>
    </row>
    <row r="775">
      <c r="D775" s="15"/>
      <c r="E775" s="32" t="s">
        <v>172</v>
      </c>
      <c r="F775" s="35" t="s">
        <v>173</v>
      </c>
      <c r="G775" s="84" t="str">
        <f>HYPERLINK("https://docs.google.com/spreadsheets/d/1sRuu8CEWvcZSbUKcDD3MVYBFBkw2S5okKjD8UiQpP4k/edit#gid=1698594697", "https://docs.google.com/spreadsheets/d/1sRuu8CEWvcZSbUKcDD3MVYBFBkw2S5okKjD8UiQpP4k/edit#gid=1698594697")</f>
        <v>https://docs.google.com/spreadsheets/d/1sRuu8CEWvcZSbUKcDD3MVYBFBkw2S5okKjD8UiQpP4k/edit#gid=1698594697</v>
      </c>
      <c r="H775" s="35" t="s">
        <v>269</v>
      </c>
    </row>
    <row r="776">
      <c r="D776" s="15"/>
      <c r="E776" s="32" t="s">
        <v>172</v>
      </c>
      <c r="F776" s="35" t="s">
        <v>402</v>
      </c>
      <c r="G776" s="84" t="str">
        <f>HYPERLINK("https://docs.google.com/spreadsheets/d/1sRuu8CEWvcZSbUKcDD3MVYBFBkw2S5okKjD8UiQpP4k/edit#gid=1505065005", "https://docs.google.com/spreadsheets/d/1sRuu8CEWvcZSbUKcDD3MVYBFBkw2S5okKjD8UiQpP4k/edit#gid=1505065005")</f>
        <v>https://docs.google.com/spreadsheets/d/1sRuu8CEWvcZSbUKcDD3MVYBFBkw2S5okKjD8UiQpP4k/edit#gid=1505065005</v>
      </c>
      <c r="H776" s="35" t="s">
        <v>2053</v>
      </c>
    </row>
    <row r="777">
      <c r="D777" s="15"/>
      <c r="E777" s="32" t="s">
        <v>172</v>
      </c>
      <c r="F777" s="35" t="s">
        <v>203</v>
      </c>
      <c r="G777" s="84" t="str">
        <f>HYPERLINK("https://docs.google.com/spreadsheets/d/1sRuu8CEWvcZSbUKcDD3MVYBFBkw2S5okKjD8UiQpP4k/edit#gid=18789536", "https://docs.google.com/spreadsheets/d/1sRuu8CEWvcZSbUKcDD3MVYBFBkw2S5okKjD8UiQpP4k/edit#gid=18789536")</f>
        <v>https://docs.google.com/spreadsheets/d/1sRuu8CEWvcZSbUKcDD3MVYBFBkw2S5okKjD8UiQpP4k/edit#gid=18789536</v>
      </c>
      <c r="H777" s="35" t="s">
        <v>1995</v>
      </c>
    </row>
    <row r="778">
      <c r="D778" s="15"/>
      <c r="E778" s="32" t="s">
        <v>172</v>
      </c>
      <c r="F778" s="35" t="s">
        <v>204</v>
      </c>
      <c r="G778" s="84" t="str">
        <f>HYPERLINK("https://docs.google.com/spreadsheets/d/1sRuu8CEWvcZSbUKcDD3MVYBFBkw2S5okKjD8UiQpP4k/edit#gid=1918744945", "https://docs.google.com/spreadsheets/d/1sRuu8CEWvcZSbUKcDD3MVYBFBkw2S5okKjD8UiQpP4k/edit#gid=1918744945")</f>
        <v>https://docs.google.com/spreadsheets/d/1sRuu8CEWvcZSbUKcDD3MVYBFBkw2S5okKjD8UiQpP4k/edit#gid=1918744945</v>
      </c>
      <c r="H778" s="35" t="s">
        <v>1996</v>
      </c>
    </row>
    <row r="779">
      <c r="D779" s="15"/>
      <c r="E779" s="32" t="s">
        <v>178</v>
      </c>
      <c r="F779" s="35" t="s">
        <v>205</v>
      </c>
      <c r="G779" s="84" t="str">
        <f>HYPERLINK("https://docs.google.com/spreadsheets/d/1sRuu8CEWvcZSbUKcDD3MVYBFBkw2S5okKjD8UiQpP4k/edit#gid=175074636", "https://docs.google.com/spreadsheets/d/1sRuu8CEWvcZSbUKcDD3MVYBFBkw2S5okKjD8UiQpP4k/edit#gid=175074636")</f>
        <v>https://docs.google.com/spreadsheets/d/1sRuu8CEWvcZSbUKcDD3MVYBFBkw2S5okKjD8UiQpP4k/edit#gid=175074636</v>
      </c>
      <c r="H779" s="35" t="s">
        <v>1997</v>
      </c>
    </row>
    <row r="780">
      <c r="D780" s="15"/>
      <c r="E780" s="32" t="s">
        <v>178</v>
      </c>
      <c r="F780" s="35" t="s">
        <v>206</v>
      </c>
      <c r="H780" s="36"/>
    </row>
    <row r="781">
      <c r="D781" s="15"/>
      <c r="E781" s="32" t="s">
        <v>178</v>
      </c>
      <c r="F781" s="35" t="s">
        <v>207</v>
      </c>
      <c r="G781" s="84" t="str">
        <f>HYPERLINK("https://docs.google.com/spreadsheets/d/1sRuu8CEWvcZSbUKcDD3MVYBFBkw2S5okKjD8UiQpP4k/edit#gid=2057624652", "https://docs.google.com/spreadsheets/d/1sRuu8CEWvcZSbUKcDD3MVYBFBkw2S5okKjD8UiQpP4k/edit#gid=2057624652")</f>
        <v>https://docs.google.com/spreadsheets/d/1sRuu8CEWvcZSbUKcDD3MVYBFBkw2S5okKjD8UiQpP4k/edit#gid=2057624652</v>
      </c>
      <c r="H781" s="35" t="s">
        <v>1998</v>
      </c>
    </row>
    <row r="782">
      <c r="D782" s="15"/>
      <c r="E782" s="32" t="s">
        <v>178</v>
      </c>
      <c r="F782" s="35" t="s">
        <v>208</v>
      </c>
      <c r="G782" s="84" t="str">
        <f>HYPERLINK("https://docs.google.com/spreadsheets/d/1sRuu8CEWvcZSbUKcDD3MVYBFBkw2S5okKjD8UiQpP4k/edit#gid=63080962", "https://docs.google.com/spreadsheets/d/1sRuu8CEWvcZSbUKcDD3MVYBFBkw2S5okKjD8UiQpP4k/edit#gid=63080962")</f>
        <v>https://docs.google.com/spreadsheets/d/1sRuu8CEWvcZSbUKcDD3MVYBFBkw2S5okKjD8UiQpP4k/edit#gid=63080962</v>
      </c>
      <c r="H782" s="35" t="s">
        <v>208</v>
      </c>
    </row>
    <row r="783">
      <c r="D783" s="15"/>
      <c r="E783" s="32" t="s">
        <v>178</v>
      </c>
      <c r="F783" s="35" t="s">
        <v>182</v>
      </c>
      <c r="G783" s="84" t="str">
        <f>HYPERLINK("https://docs.google.com/spreadsheets/d/1sRuu8CEWvcZSbUKcDD3MVYBFBkw2S5okKjD8UiQpP4k/edit#gid=780903295", "https://docs.google.com/spreadsheets/d/1sRuu8CEWvcZSbUKcDD3MVYBFBkw2S5okKjD8UiQpP4k/edit#gid=780903295")</f>
        <v>https://docs.google.com/spreadsheets/d/1sRuu8CEWvcZSbUKcDD3MVYBFBkw2S5okKjD8UiQpP4k/edit#gid=780903295</v>
      </c>
      <c r="H783" s="35" t="s">
        <v>182</v>
      </c>
    </row>
    <row r="784">
      <c r="D784" s="15"/>
      <c r="E784" s="32" t="s">
        <v>178</v>
      </c>
      <c r="F784" s="35" t="s">
        <v>180</v>
      </c>
      <c r="G784" s="84" t="str">
        <f>HYPERLINK("https://docs.google.com/spreadsheets/d/1sRuu8CEWvcZSbUKcDD3MVYBFBkw2S5okKjD8UiQpP4k/edit#gid=532757881", "https://docs.google.com/spreadsheets/d/1sRuu8CEWvcZSbUKcDD3MVYBFBkw2S5okKjD8UiQpP4k/edit#gid=532757881")</f>
        <v>https://docs.google.com/spreadsheets/d/1sRuu8CEWvcZSbUKcDD3MVYBFBkw2S5okKjD8UiQpP4k/edit#gid=532757881</v>
      </c>
      <c r="H784" s="35" t="s">
        <v>180</v>
      </c>
    </row>
    <row r="785">
      <c r="D785" s="15"/>
      <c r="E785" s="32" t="s">
        <v>178</v>
      </c>
      <c r="F785" s="35" t="s">
        <v>209</v>
      </c>
      <c r="G785" s="84" t="str">
        <f>HYPERLINK("https://docs.google.com/spreadsheets/d/1sRuu8CEWvcZSbUKcDD3MVYBFBkw2S5okKjD8UiQpP4k/edit#gid=695366771", "https://docs.google.com/spreadsheets/d/1sRuu8CEWvcZSbUKcDD3MVYBFBkw2S5okKjD8UiQpP4k/edit#gid=695366771")</f>
        <v>https://docs.google.com/spreadsheets/d/1sRuu8CEWvcZSbUKcDD3MVYBFBkw2S5okKjD8UiQpP4k/edit#gid=695366771</v>
      </c>
      <c r="H785" s="35" t="s">
        <v>209</v>
      </c>
    </row>
    <row r="786">
      <c r="D786" s="15"/>
      <c r="E786" s="32" t="s">
        <v>178</v>
      </c>
      <c r="F786" s="35" t="s">
        <v>210</v>
      </c>
      <c r="G786" s="84" t="str">
        <f>HYPERLINK("https://docs.google.com/spreadsheets/d/1sRuu8CEWvcZSbUKcDD3MVYBFBkw2S5okKjD8UiQpP4k/edit#gid=1641644160", "https://docs.google.com/spreadsheets/d/1sRuu8CEWvcZSbUKcDD3MVYBFBkw2S5okKjD8UiQpP4k/edit#gid=1641644160")</f>
        <v>https://docs.google.com/spreadsheets/d/1sRuu8CEWvcZSbUKcDD3MVYBFBkw2S5okKjD8UiQpP4k/edit#gid=1641644160</v>
      </c>
      <c r="H786" s="35" t="s">
        <v>210</v>
      </c>
    </row>
    <row r="787">
      <c r="D787" s="15"/>
      <c r="E787" s="32" t="s">
        <v>157</v>
      </c>
      <c r="F787" s="35" t="s">
        <v>161</v>
      </c>
      <c r="G787" s="84" t="str">
        <f>HYPERLINK("https://docs.google.com/spreadsheets/d/1sRuu8CEWvcZSbUKcDD3MVYBFBkw2S5okKjD8UiQpP4k/edit#gid=1710002778", "https://docs.google.com/spreadsheets/d/1sRuu8CEWvcZSbUKcDD3MVYBFBkw2S5okKjD8UiQpP4k/edit#gid=1710002778")</f>
        <v>https://docs.google.com/spreadsheets/d/1sRuu8CEWvcZSbUKcDD3MVYBFBkw2S5okKjD8UiQpP4k/edit#gid=1710002778</v>
      </c>
      <c r="H787" s="35" t="s">
        <v>161</v>
      </c>
    </row>
    <row r="788">
      <c r="D788" s="15"/>
      <c r="E788" s="32" t="s">
        <v>157</v>
      </c>
      <c r="F788" s="35" t="s">
        <v>158</v>
      </c>
      <c r="G788" s="84" t="str">
        <f>HYPERLINK("https://docs.google.com/spreadsheets/d/1sRuu8CEWvcZSbUKcDD3MVYBFBkw2S5okKjD8UiQpP4k/edit#gid=1502500897", "https://docs.google.com/spreadsheets/d/1sRuu8CEWvcZSbUKcDD3MVYBFBkw2S5okKjD8UiQpP4k/edit#gid=1502500897")</f>
        <v>https://docs.google.com/spreadsheets/d/1sRuu8CEWvcZSbUKcDD3MVYBFBkw2S5okKjD8UiQpP4k/edit#gid=1502500897</v>
      </c>
      <c r="H788" s="35" t="s">
        <v>158</v>
      </c>
    </row>
    <row r="789">
      <c r="D789" s="15"/>
      <c r="E789" s="32" t="s">
        <v>157</v>
      </c>
      <c r="F789" s="35" t="s">
        <v>196</v>
      </c>
      <c r="G789" s="84" t="str">
        <f>HYPERLINK("https://docs.google.com/spreadsheets/d/1sRuu8CEWvcZSbUKcDD3MVYBFBkw2S5okKjD8UiQpP4k/edit#gid=1944834644", "https://docs.google.com/spreadsheets/d/1sRuu8CEWvcZSbUKcDD3MVYBFBkw2S5okKjD8UiQpP4k/edit#gid=1944834644")</f>
        <v>https://docs.google.com/spreadsheets/d/1sRuu8CEWvcZSbUKcDD3MVYBFBkw2S5okKjD8UiQpP4k/edit#gid=1944834644</v>
      </c>
      <c r="H789" s="35" t="s">
        <v>196</v>
      </c>
    </row>
    <row r="790">
      <c r="D790" s="15"/>
      <c r="E790" s="32" t="s">
        <v>172</v>
      </c>
      <c r="F790" s="35" t="s">
        <v>173</v>
      </c>
      <c r="G790" s="84" t="str">
        <f>HYPERLINK("https://docs.google.com/spreadsheets/d/1sRuu8CEWvcZSbUKcDD3MVYBFBkw2S5okKjD8UiQpP4k/edit#gid=114447841", "https://docs.google.com/spreadsheets/d/1sRuu8CEWvcZSbUKcDD3MVYBFBkw2S5okKjD8UiQpP4k/edit#gid=114447841")</f>
        <v>https://docs.google.com/spreadsheets/d/1sRuu8CEWvcZSbUKcDD3MVYBFBkw2S5okKjD8UiQpP4k/edit#gid=114447841</v>
      </c>
      <c r="H790" s="35" t="s">
        <v>2054</v>
      </c>
    </row>
    <row r="791">
      <c r="D791" s="15"/>
      <c r="E791" s="32" t="s">
        <v>172</v>
      </c>
      <c r="F791" s="35" t="s">
        <v>402</v>
      </c>
      <c r="G791" s="84" t="str">
        <f>HYPERLINK("https://docs.google.com/spreadsheets/d/1sRuu8CEWvcZSbUKcDD3MVYBFBkw2S5okKjD8UiQpP4k/edit#gid=1497869274", "https://docs.google.com/spreadsheets/d/1sRuu8CEWvcZSbUKcDD3MVYBFBkw2S5okKjD8UiQpP4k/edit#gid=1497869274")</f>
        <v>https://docs.google.com/spreadsheets/d/1sRuu8CEWvcZSbUKcDD3MVYBFBkw2S5okKjD8UiQpP4k/edit#gid=1497869274</v>
      </c>
      <c r="H791" s="35" t="s">
        <v>2055</v>
      </c>
    </row>
    <row r="792">
      <c r="D792" s="15"/>
      <c r="E792" s="32" t="s">
        <v>172</v>
      </c>
      <c r="F792" s="35" t="s">
        <v>203</v>
      </c>
      <c r="G792" s="84" t="str">
        <f>HYPERLINK("https://docs.google.com/spreadsheets/d/1sRuu8CEWvcZSbUKcDD3MVYBFBkw2S5okKjD8UiQpP4k/edit#gid=1646001122", "https://docs.google.com/spreadsheets/d/1sRuu8CEWvcZSbUKcDD3MVYBFBkw2S5okKjD8UiQpP4k/edit#gid=1646001122")</f>
        <v>https://docs.google.com/spreadsheets/d/1sRuu8CEWvcZSbUKcDD3MVYBFBkw2S5okKjD8UiQpP4k/edit#gid=1646001122</v>
      </c>
      <c r="H792" s="35" t="s">
        <v>1999</v>
      </c>
    </row>
    <row r="793">
      <c r="D793" s="15"/>
      <c r="E793" s="32" t="s">
        <v>172</v>
      </c>
      <c r="F793" s="35" t="s">
        <v>204</v>
      </c>
      <c r="G793" s="84" t="str">
        <f>HYPERLINK("https://docs.google.com/spreadsheets/d/1sRuu8CEWvcZSbUKcDD3MVYBFBkw2S5okKjD8UiQpP4k/edit#gid=922293978", "https://docs.google.com/spreadsheets/d/1sRuu8CEWvcZSbUKcDD3MVYBFBkw2S5okKjD8UiQpP4k/edit#gid=922293978")</f>
        <v>https://docs.google.com/spreadsheets/d/1sRuu8CEWvcZSbUKcDD3MVYBFBkw2S5okKjD8UiQpP4k/edit#gid=922293978</v>
      </c>
      <c r="H793" s="35" t="s">
        <v>2000</v>
      </c>
    </row>
    <row r="794">
      <c r="D794" s="15"/>
      <c r="E794" s="32" t="s">
        <v>178</v>
      </c>
      <c r="F794" s="35" t="s">
        <v>207</v>
      </c>
      <c r="G794" s="84" t="str">
        <f>HYPERLINK("https://docs.google.com/spreadsheets/d/1sRuu8CEWvcZSbUKcDD3MVYBFBkw2S5okKjD8UiQpP4k/edit#gid=1000404496", "https://docs.google.com/spreadsheets/d/1sRuu8CEWvcZSbUKcDD3MVYBFBkw2S5okKjD8UiQpP4k/edit#gid=1000404496")</f>
        <v>https://docs.google.com/spreadsheets/d/1sRuu8CEWvcZSbUKcDD3MVYBFBkw2S5okKjD8UiQpP4k/edit#gid=1000404496</v>
      </c>
      <c r="H794" s="35" t="s">
        <v>2001</v>
      </c>
    </row>
    <row r="795">
      <c r="D795" s="15"/>
      <c r="E795" s="32" t="s">
        <v>178</v>
      </c>
      <c r="F795" s="35" t="s">
        <v>208</v>
      </c>
      <c r="G795" s="84" t="str">
        <f>HYPERLINK("https://docs.google.com/spreadsheets/d/1sRuu8CEWvcZSbUKcDD3MVYBFBkw2S5okKjD8UiQpP4k/edit#gid=719442926", "https://docs.google.com/spreadsheets/d/1sRuu8CEWvcZSbUKcDD3MVYBFBkw2S5okKjD8UiQpP4k/edit#gid=719442926")</f>
        <v>https://docs.google.com/spreadsheets/d/1sRuu8CEWvcZSbUKcDD3MVYBFBkw2S5okKjD8UiQpP4k/edit#gid=719442926</v>
      </c>
      <c r="H795" s="35" t="s">
        <v>2002</v>
      </c>
    </row>
    <row r="796">
      <c r="D796" s="15"/>
      <c r="E796" s="32" t="s">
        <v>178</v>
      </c>
      <c r="F796" s="35" t="s">
        <v>182</v>
      </c>
      <c r="G796" s="84" t="str">
        <f>HYPERLINK("https://docs.google.com/spreadsheets/d/1sRuu8CEWvcZSbUKcDD3MVYBFBkw2S5okKjD8UiQpP4k/edit#gid=634191901", "https://docs.google.com/spreadsheets/d/1sRuu8CEWvcZSbUKcDD3MVYBFBkw2S5okKjD8UiQpP4k/edit#gid=634191901")</f>
        <v>https://docs.google.com/spreadsheets/d/1sRuu8CEWvcZSbUKcDD3MVYBFBkw2S5okKjD8UiQpP4k/edit#gid=634191901</v>
      </c>
      <c r="H796" s="35" t="s">
        <v>2003</v>
      </c>
    </row>
    <row r="797">
      <c r="D797" s="15"/>
      <c r="E797" s="32" t="s">
        <v>178</v>
      </c>
      <c r="F797" s="35" t="s">
        <v>180</v>
      </c>
      <c r="G797" s="84" t="str">
        <f>HYPERLINK("https://docs.google.com/spreadsheets/d/1sRuu8CEWvcZSbUKcDD3MVYBFBkw2S5okKjD8UiQpP4k/edit#gid=1066521393", "https://docs.google.com/spreadsheets/d/1sRuu8CEWvcZSbUKcDD3MVYBFBkw2S5okKjD8UiQpP4k/edit#gid=1066521393")</f>
        <v>https://docs.google.com/spreadsheets/d/1sRuu8CEWvcZSbUKcDD3MVYBFBkw2S5okKjD8UiQpP4k/edit#gid=1066521393</v>
      </c>
      <c r="H797" s="35" t="s">
        <v>2009</v>
      </c>
    </row>
    <row r="798">
      <c r="D798" s="15"/>
      <c r="E798" s="32" t="s">
        <v>178</v>
      </c>
      <c r="F798" s="35" t="s">
        <v>209</v>
      </c>
      <c r="G798" s="84" t="str">
        <f>HYPERLINK("https://docs.google.com/spreadsheets/d/1sRuu8CEWvcZSbUKcDD3MVYBFBkw2S5okKjD8UiQpP4k/edit#gid=709863793", "https://docs.google.com/spreadsheets/d/1sRuu8CEWvcZSbUKcDD3MVYBFBkw2S5okKjD8UiQpP4k/edit#gid=709863793")</f>
        <v>https://docs.google.com/spreadsheets/d/1sRuu8CEWvcZSbUKcDD3MVYBFBkw2S5okKjD8UiQpP4k/edit#gid=709863793</v>
      </c>
      <c r="H798" s="35" t="s">
        <v>1986</v>
      </c>
    </row>
    <row r="799">
      <c r="D799" s="15"/>
      <c r="E799" s="32" t="s">
        <v>178</v>
      </c>
      <c r="F799" s="35" t="s">
        <v>210</v>
      </c>
      <c r="G799" s="84" t="str">
        <f>HYPERLINK("https://docs.google.com/spreadsheets/d/1sRuu8CEWvcZSbUKcDD3MVYBFBkw2S5okKjD8UiQpP4k/edit#gid=361134241", "https://docs.google.com/spreadsheets/d/1sRuu8CEWvcZSbUKcDD3MVYBFBkw2S5okKjD8UiQpP4k/edit#gid=361134241")</f>
        <v>https://docs.google.com/spreadsheets/d/1sRuu8CEWvcZSbUKcDD3MVYBFBkw2S5okKjD8UiQpP4k/edit#gid=361134241</v>
      </c>
      <c r="H799" s="35" t="s">
        <v>1987</v>
      </c>
    </row>
    <row r="800">
      <c r="D800" s="15"/>
      <c r="E800" s="32" t="s">
        <v>86</v>
      </c>
      <c r="F800" s="35" t="s">
        <v>90</v>
      </c>
      <c r="G800" s="84" t="str">
        <f>HYPERLINK("https://docs.google.com/spreadsheets/d/1sRuu8CEWvcZSbUKcDD3MVYBFBkw2S5okKjD8UiQpP4k/edit#gid=343438984", "https://docs.google.com/spreadsheets/d/1sRuu8CEWvcZSbUKcDD3MVYBFBkw2S5okKjD8UiQpP4k/edit#gid=343438984")</f>
        <v>https://docs.google.com/spreadsheets/d/1sRuu8CEWvcZSbUKcDD3MVYBFBkw2S5okKjD8UiQpP4k/edit#gid=343438984</v>
      </c>
      <c r="H800" s="35" t="s">
        <v>90</v>
      </c>
    </row>
    <row r="801">
      <c r="D801" s="15"/>
      <c r="E801" s="32" t="s">
        <v>86</v>
      </c>
      <c r="F801" s="35" t="s">
        <v>338</v>
      </c>
      <c r="G801" s="84" t="str">
        <f>HYPERLINK("https://docs.google.com/spreadsheets/d/1sRuu8CEWvcZSbUKcDD3MVYBFBkw2S5okKjD8UiQpP4k/edit#gid=1454878877", "https://docs.google.com/spreadsheets/d/1sRuu8CEWvcZSbUKcDD3MVYBFBkw2S5okKjD8UiQpP4k/edit#gid=1454878877")</f>
        <v>https://docs.google.com/spreadsheets/d/1sRuu8CEWvcZSbUKcDD3MVYBFBkw2S5okKjD8UiQpP4k/edit#gid=1454878877</v>
      </c>
      <c r="H801" s="35" t="s">
        <v>338</v>
      </c>
    </row>
    <row r="802">
      <c r="D802" s="15"/>
      <c r="E802" s="32" t="s">
        <v>88</v>
      </c>
      <c r="F802" s="35" t="s">
        <v>95</v>
      </c>
      <c r="G802" s="84" t="str">
        <f>HYPERLINK("https://docs.google.com/spreadsheets/d/1sRuu8CEWvcZSbUKcDD3MVYBFBkw2S5okKjD8UiQpP4k/edit#gid=1217646372", "https://docs.google.com/spreadsheets/d/1sRuu8CEWvcZSbUKcDD3MVYBFBkw2S5okKjD8UiQpP4k/edit#gid=1217646372")</f>
        <v>https://docs.google.com/spreadsheets/d/1sRuu8CEWvcZSbUKcDD3MVYBFBkw2S5okKjD8UiQpP4k/edit#gid=1217646372</v>
      </c>
      <c r="H802" s="35" t="s">
        <v>95</v>
      </c>
    </row>
    <row r="803">
      <c r="D803" s="15"/>
      <c r="E803" s="32" t="s">
        <v>88</v>
      </c>
      <c r="F803" s="35" t="s">
        <v>96</v>
      </c>
      <c r="G803" s="84" t="str">
        <f>HYPERLINK("https://docs.google.com/spreadsheets/d/1sRuu8CEWvcZSbUKcDD3MVYBFBkw2S5okKjD8UiQpP4k/edit#gid=1555370274", "https://docs.google.com/spreadsheets/d/1sRuu8CEWvcZSbUKcDD3MVYBFBkw2S5okKjD8UiQpP4k/edit#gid=1555370274")</f>
        <v>https://docs.google.com/spreadsheets/d/1sRuu8CEWvcZSbUKcDD3MVYBFBkw2S5okKjD8UiQpP4k/edit#gid=1555370274</v>
      </c>
      <c r="H803" s="35" t="s">
        <v>96</v>
      </c>
    </row>
    <row r="804">
      <c r="D804" s="15"/>
      <c r="E804" s="32"/>
      <c r="F804" s="35"/>
      <c r="H804" s="35"/>
    </row>
    <row r="805">
      <c r="B805" s="35" t="s">
        <v>2089</v>
      </c>
      <c r="C805" s="35" t="s">
        <v>2075</v>
      </c>
      <c r="D805" s="32" t="s">
        <v>20</v>
      </c>
      <c r="E805" s="32" t="s">
        <v>89</v>
      </c>
      <c r="F805" s="35" t="s">
        <v>291</v>
      </c>
      <c r="H805" s="36"/>
    </row>
    <row r="806">
      <c r="B806" s="35" t="s">
        <v>2090</v>
      </c>
      <c r="C806" s="210" t="s">
        <v>2091</v>
      </c>
      <c r="D806" s="32" t="s">
        <v>20</v>
      </c>
      <c r="E806" s="32" t="s">
        <v>178</v>
      </c>
      <c r="F806" s="35" t="s">
        <v>201</v>
      </c>
      <c r="G806" s="84" t="str">
        <f>HYPERLINK("https://docs.google.com/spreadsheets/d/1mk1MB9zD7TOm4graUctBfB_RzvJfAM1DJfwcIx9g2AQ/edit#gid=1943368809", "https://docs.google.com/spreadsheets/d/1mk1MB9zD7TOm4graUctBfB_RzvJfAM1DJfwcIx9g2AQ/edit#gid=1943368809")</f>
        <v>https://docs.google.com/spreadsheets/d/1mk1MB9zD7TOm4graUctBfB_RzvJfAM1DJfwcIx9g2AQ/edit#gid=1943368809</v>
      </c>
      <c r="H806" s="36"/>
    </row>
    <row r="807">
      <c r="D807" s="15"/>
      <c r="E807" s="32" t="s">
        <v>178</v>
      </c>
      <c r="F807" s="35" t="s">
        <v>202</v>
      </c>
      <c r="G807" s="84" t="str">
        <f>HYPERLINK("https://docs.google.com/spreadsheets/d/1mk1MB9zD7TOm4graUctBfB_RzvJfAM1DJfwcIx9g2AQ/edit#gid=372983713", "https://docs.google.com/spreadsheets/d/1mk1MB9zD7TOm4graUctBfB_RzvJfAM1DJfwcIx9g2AQ/edit#gid=372983713")</f>
        <v>https://docs.google.com/spreadsheets/d/1mk1MB9zD7TOm4graUctBfB_RzvJfAM1DJfwcIx9g2AQ/edit#gid=372983713</v>
      </c>
      <c r="H807" s="35" t="s">
        <v>202</v>
      </c>
    </row>
    <row r="808">
      <c r="D808" s="15"/>
      <c r="E808" s="32" t="s">
        <v>178</v>
      </c>
      <c r="F808" s="35" t="s">
        <v>202</v>
      </c>
      <c r="G808" s="84" t="str">
        <f>HYPERLINK("https://docs.google.com/spreadsheets/d/1mk1MB9zD7TOm4graUctBfB_RzvJfAM1DJfwcIx9g2AQ/edit#gid=1037907765", "https://docs.google.com/spreadsheets/d/1mk1MB9zD7TOm4graUctBfB_RzvJfAM1DJfwcIx9g2AQ/edit#gid=1037907765")</f>
        <v>https://docs.google.com/spreadsheets/d/1mk1MB9zD7TOm4graUctBfB_RzvJfAM1DJfwcIx9g2AQ/edit#gid=1037907765</v>
      </c>
      <c r="H808" s="35" t="s">
        <v>2025</v>
      </c>
    </row>
    <row r="809">
      <c r="D809" s="15"/>
      <c r="E809" s="32" t="s">
        <v>21</v>
      </c>
      <c r="F809" s="35" t="s">
        <v>51</v>
      </c>
      <c r="G809" s="84" t="str">
        <f>HYPERLINK("https://docs.google.com/spreadsheets/d/1mk1MB9zD7TOm4graUctBfB_RzvJfAM1DJfwcIx9g2AQ/edit#gid=927808633", "https://docs.google.com/spreadsheets/d/1mk1MB9zD7TOm4graUctBfB_RzvJfAM1DJfwcIx9g2AQ/edit#gid=927808633")</f>
        <v>https://docs.google.com/spreadsheets/d/1mk1MB9zD7TOm4graUctBfB_RzvJfAM1DJfwcIx9g2AQ/edit#gid=927808633</v>
      </c>
      <c r="H809" s="35" t="s">
        <v>51</v>
      </c>
    </row>
    <row r="810">
      <c r="D810" s="15"/>
      <c r="E810" s="32" t="s">
        <v>172</v>
      </c>
      <c r="F810" s="35" t="s">
        <v>173</v>
      </c>
      <c r="G810" s="84" t="str">
        <f>HYPERLINK("https://docs.google.com/spreadsheets/d/1mk1MB9zD7TOm4graUctBfB_RzvJfAM1DJfwcIx9g2AQ/edit#gid=548203672", "https://docs.google.com/spreadsheets/d/1mk1MB9zD7TOm4graUctBfB_RzvJfAM1DJfwcIx9g2AQ/edit#gid=548203672")</f>
        <v>https://docs.google.com/spreadsheets/d/1mk1MB9zD7TOm4graUctBfB_RzvJfAM1DJfwcIx9g2AQ/edit#gid=548203672</v>
      </c>
      <c r="H810" s="36"/>
    </row>
    <row r="811">
      <c r="D811" s="15"/>
      <c r="E811" s="32" t="s">
        <v>172</v>
      </c>
      <c r="F811" s="35" t="s">
        <v>402</v>
      </c>
      <c r="G811" s="84" t="str">
        <f>HYPERLINK("https://docs.google.com/spreadsheets/d/1mk1MB9zD7TOm4graUctBfB_RzvJfAM1DJfwcIx9g2AQ/edit#gid=851219298", "https://docs.google.com/spreadsheets/d/1mk1MB9zD7TOm4graUctBfB_RzvJfAM1DJfwcIx9g2AQ/edit#gid=851219298")</f>
        <v>https://docs.google.com/spreadsheets/d/1mk1MB9zD7TOm4graUctBfB_RzvJfAM1DJfwcIx9g2AQ/edit#gid=851219298</v>
      </c>
      <c r="H811" s="35" t="s">
        <v>402</v>
      </c>
    </row>
    <row r="812">
      <c r="D812" s="15"/>
      <c r="E812" s="32" t="s">
        <v>172</v>
      </c>
      <c r="F812" s="35" t="s">
        <v>203</v>
      </c>
      <c r="G812" s="84" t="str">
        <f>HYPERLINK("https://docs.google.com/spreadsheets/d/1mk1MB9zD7TOm4graUctBfB_RzvJfAM1DJfwcIx9g2AQ/edit#gid=2028477145", "https://docs.google.com/spreadsheets/d/1mk1MB9zD7TOm4graUctBfB_RzvJfAM1DJfwcIx9g2AQ/edit#gid=2028477145")</f>
        <v>https://docs.google.com/spreadsheets/d/1mk1MB9zD7TOm4graUctBfB_RzvJfAM1DJfwcIx9g2AQ/edit#gid=2028477145</v>
      </c>
      <c r="H812" s="35" t="s">
        <v>203</v>
      </c>
    </row>
    <row r="813">
      <c r="D813" s="15"/>
      <c r="E813" s="32" t="s">
        <v>172</v>
      </c>
      <c r="F813" s="35" t="s">
        <v>204</v>
      </c>
      <c r="G813" s="84" t="str">
        <f>HYPERLINK("https://docs.google.com/spreadsheets/d/1mk1MB9zD7TOm4graUctBfB_RzvJfAM1DJfwcIx9g2AQ/edit#gid=570336170", "https://docs.google.com/spreadsheets/d/1mk1MB9zD7TOm4graUctBfB_RzvJfAM1DJfwcIx9g2AQ/edit#gid=570336170")</f>
        <v>https://docs.google.com/spreadsheets/d/1mk1MB9zD7TOm4graUctBfB_RzvJfAM1DJfwcIx9g2AQ/edit#gid=570336170</v>
      </c>
      <c r="H813" s="35" t="s">
        <v>204</v>
      </c>
    </row>
    <row r="814">
      <c r="D814" s="15"/>
      <c r="E814" s="32" t="s">
        <v>178</v>
      </c>
      <c r="F814" s="35" t="s">
        <v>205</v>
      </c>
      <c r="G814" s="84" t="str">
        <f>HYPERLINK("https://docs.google.com/spreadsheets/d/1mk1MB9zD7TOm4graUctBfB_RzvJfAM1DJfwcIx9g2AQ/edit#gid=1230495530", "https://docs.google.com/spreadsheets/d/1mk1MB9zD7TOm4graUctBfB_RzvJfAM1DJfwcIx9g2AQ/edit#gid=1230495530")</f>
        <v>https://docs.google.com/spreadsheets/d/1mk1MB9zD7TOm4graUctBfB_RzvJfAM1DJfwcIx9g2AQ/edit#gid=1230495530</v>
      </c>
      <c r="H814" s="35" t="s">
        <v>205</v>
      </c>
    </row>
    <row r="815">
      <c r="D815" s="15"/>
      <c r="E815" s="32" t="s">
        <v>178</v>
      </c>
      <c r="F815" s="35" t="s">
        <v>206</v>
      </c>
      <c r="H815" s="36"/>
    </row>
    <row r="816">
      <c r="D816" s="15"/>
      <c r="E816" s="32" t="s">
        <v>178</v>
      </c>
      <c r="F816" s="35" t="s">
        <v>207</v>
      </c>
      <c r="G816" s="84" t="str">
        <f>HYPERLINK("https://docs.google.com/spreadsheets/d/1mk1MB9zD7TOm4graUctBfB_RzvJfAM1DJfwcIx9g2AQ/edit#gid=943125004", "https://docs.google.com/spreadsheets/d/1mk1MB9zD7TOm4graUctBfB_RzvJfAM1DJfwcIx9g2AQ/edit#gid=943125004")</f>
        <v>https://docs.google.com/spreadsheets/d/1mk1MB9zD7TOm4graUctBfB_RzvJfAM1DJfwcIx9g2AQ/edit#gid=943125004</v>
      </c>
      <c r="H816" s="35" t="s">
        <v>207</v>
      </c>
    </row>
    <row r="817">
      <c r="D817" s="15"/>
      <c r="E817" s="32" t="s">
        <v>21</v>
      </c>
      <c r="F817" s="35" t="s">
        <v>51</v>
      </c>
      <c r="G817" s="84" t="str">
        <f>HYPERLINK("https://docs.google.com/spreadsheets/d/1mk1MB9zD7TOm4graUctBfB_RzvJfAM1DJfwcIx9g2AQ/edit#gid=248521862", "https://docs.google.com/spreadsheets/d/1mk1MB9zD7TOm4graUctBfB_RzvJfAM1DJfwcIx9g2AQ/edit#gid=248521862")</f>
        <v>https://docs.google.com/spreadsheets/d/1mk1MB9zD7TOm4graUctBfB_RzvJfAM1DJfwcIx9g2AQ/edit#gid=248521862</v>
      </c>
      <c r="H817" s="35" t="s">
        <v>1383</v>
      </c>
    </row>
    <row r="818">
      <c r="D818" s="15"/>
      <c r="E818" s="32" t="s">
        <v>86</v>
      </c>
      <c r="F818" s="35" t="s">
        <v>90</v>
      </c>
      <c r="G818" s="84" t="str">
        <f>HYPERLINK("https://docs.google.com/spreadsheets/d/1mk1MB9zD7TOm4graUctBfB_RzvJfAM1DJfwcIx9g2AQ/edit#gid=1989751063", "https://docs.google.com/spreadsheets/d/1mk1MB9zD7TOm4graUctBfB_RzvJfAM1DJfwcIx9g2AQ/edit#gid=1989751063")</f>
        <v>https://docs.google.com/spreadsheets/d/1mk1MB9zD7TOm4graUctBfB_RzvJfAM1DJfwcIx9g2AQ/edit#gid=1989751063</v>
      </c>
      <c r="H818" s="35" t="s">
        <v>90</v>
      </c>
    </row>
    <row r="819">
      <c r="D819" s="15"/>
      <c r="E819" s="32" t="s">
        <v>86</v>
      </c>
      <c r="F819" s="35" t="s">
        <v>339</v>
      </c>
      <c r="G819" s="84" t="str">
        <f>HYPERLINK("https://docs.google.com/spreadsheets/d/1mk1MB9zD7TOm4graUctBfB_RzvJfAM1DJfwcIx9g2AQ/edit#gid=850610119", "https://docs.google.com/spreadsheets/d/1mk1MB9zD7TOm4graUctBfB_RzvJfAM1DJfwcIx9g2AQ/edit#gid=850610119")</f>
        <v>https://docs.google.com/spreadsheets/d/1mk1MB9zD7TOm4graUctBfB_RzvJfAM1DJfwcIx9g2AQ/edit#gid=850610119</v>
      </c>
      <c r="H819" s="35" t="s">
        <v>339</v>
      </c>
    </row>
    <row r="820">
      <c r="D820" s="15"/>
      <c r="E820" s="32" t="s">
        <v>172</v>
      </c>
      <c r="F820" s="35" t="s">
        <v>173</v>
      </c>
      <c r="G820" s="84" t="str">
        <f>HYPERLINK("https://docs.google.com/spreadsheets/d/1mk1MB9zD7TOm4graUctBfB_RzvJfAM1DJfwcIx9g2AQ/edit#gid=1673975859", "https://docs.google.com/spreadsheets/d/1mk1MB9zD7TOm4graUctBfB_RzvJfAM1DJfwcIx9g2AQ/edit#gid=1673975859")</f>
        <v>https://docs.google.com/spreadsheets/d/1mk1MB9zD7TOm4graUctBfB_RzvJfAM1DJfwcIx9g2AQ/edit#gid=1673975859</v>
      </c>
      <c r="H820" s="35" t="s">
        <v>269</v>
      </c>
    </row>
    <row r="821">
      <c r="D821" s="15"/>
      <c r="E821" s="32" t="s">
        <v>172</v>
      </c>
      <c r="F821" s="35" t="s">
        <v>402</v>
      </c>
      <c r="G821" s="84" t="str">
        <f>HYPERLINK("https://docs.google.com/spreadsheets/d/1mk1MB9zD7TOm4graUctBfB_RzvJfAM1DJfwcIx9g2AQ/edit#gid=297240222", "https://docs.google.com/spreadsheets/d/1mk1MB9zD7TOm4graUctBfB_RzvJfAM1DJfwcIx9g2AQ/edit#gid=297240222")</f>
        <v>https://docs.google.com/spreadsheets/d/1mk1MB9zD7TOm4graUctBfB_RzvJfAM1DJfwcIx9g2AQ/edit#gid=297240222</v>
      </c>
      <c r="H821" s="35" t="s">
        <v>2053</v>
      </c>
    </row>
    <row r="822">
      <c r="D822" s="15"/>
      <c r="E822" s="32" t="s">
        <v>172</v>
      </c>
      <c r="F822" s="35" t="s">
        <v>203</v>
      </c>
      <c r="G822" s="84" t="str">
        <f>HYPERLINK("https://docs.google.com/spreadsheets/d/1mk1MB9zD7TOm4graUctBfB_RzvJfAM1DJfwcIx9g2AQ/edit#gid=920643753", "https://docs.google.com/spreadsheets/d/1mk1MB9zD7TOm4graUctBfB_RzvJfAM1DJfwcIx9g2AQ/edit#gid=920643753")</f>
        <v>https://docs.google.com/spreadsheets/d/1mk1MB9zD7TOm4graUctBfB_RzvJfAM1DJfwcIx9g2AQ/edit#gid=920643753</v>
      </c>
      <c r="H822" s="35" t="s">
        <v>1995</v>
      </c>
    </row>
    <row r="823">
      <c r="D823" s="15"/>
      <c r="E823" s="32" t="s">
        <v>172</v>
      </c>
      <c r="F823" s="35" t="s">
        <v>204</v>
      </c>
      <c r="G823" s="84" t="str">
        <f>HYPERLINK("https://docs.google.com/spreadsheets/d/1mk1MB9zD7TOm4graUctBfB_RzvJfAM1DJfwcIx9g2AQ/edit#gid=1109541934", "https://docs.google.com/spreadsheets/d/1mk1MB9zD7TOm4graUctBfB_RzvJfAM1DJfwcIx9g2AQ/edit#gid=1109541934")</f>
        <v>https://docs.google.com/spreadsheets/d/1mk1MB9zD7TOm4graUctBfB_RzvJfAM1DJfwcIx9g2AQ/edit#gid=1109541934</v>
      </c>
      <c r="H823" s="35" t="s">
        <v>1996</v>
      </c>
    </row>
    <row r="824">
      <c r="D824" s="15"/>
      <c r="E824" s="32" t="s">
        <v>178</v>
      </c>
      <c r="F824" s="35" t="s">
        <v>205</v>
      </c>
      <c r="G824" s="84" t="str">
        <f>HYPERLINK("https://docs.google.com/spreadsheets/d/1mk1MB9zD7TOm4graUctBfB_RzvJfAM1DJfwcIx9g2AQ/edit#gid=1983440798", "https://docs.google.com/spreadsheets/d/1mk1MB9zD7TOm4graUctBfB_RzvJfAM1DJfwcIx9g2AQ/edit#gid=1983440798")</f>
        <v>https://docs.google.com/spreadsheets/d/1mk1MB9zD7TOm4graUctBfB_RzvJfAM1DJfwcIx9g2AQ/edit#gid=1983440798</v>
      </c>
      <c r="H824" s="35" t="s">
        <v>1997</v>
      </c>
    </row>
    <row r="825">
      <c r="D825" s="15"/>
      <c r="E825" s="32" t="s">
        <v>178</v>
      </c>
      <c r="F825" s="35" t="s">
        <v>206</v>
      </c>
      <c r="H825" s="36"/>
    </row>
    <row r="826">
      <c r="D826" s="15"/>
      <c r="E826" s="32" t="s">
        <v>178</v>
      </c>
      <c r="F826" s="35" t="s">
        <v>207</v>
      </c>
      <c r="G826" s="84" t="str">
        <f>HYPERLINK("https://docs.google.com/spreadsheets/d/1mk1MB9zD7TOm4graUctBfB_RzvJfAM1DJfwcIx9g2AQ/edit#gid=882990821", "https://docs.google.com/spreadsheets/d/1mk1MB9zD7TOm4graUctBfB_RzvJfAM1DJfwcIx9g2AQ/edit#gid=882990821")</f>
        <v>https://docs.google.com/spreadsheets/d/1mk1MB9zD7TOm4graUctBfB_RzvJfAM1DJfwcIx9g2AQ/edit#gid=882990821</v>
      </c>
      <c r="H826" s="35" t="s">
        <v>1998</v>
      </c>
    </row>
    <row r="827">
      <c r="D827" s="15"/>
      <c r="E827" s="32" t="s">
        <v>178</v>
      </c>
      <c r="F827" s="35" t="s">
        <v>208</v>
      </c>
      <c r="G827" s="84" t="str">
        <f>HYPERLINK("https://docs.google.com/spreadsheets/d/1mk1MB9zD7TOm4graUctBfB_RzvJfAM1DJfwcIx9g2AQ/edit#gid=2000738862", "https://docs.google.com/spreadsheets/d/1mk1MB9zD7TOm4graUctBfB_RzvJfAM1DJfwcIx9g2AQ/edit#gid=2000738862")</f>
        <v>https://docs.google.com/spreadsheets/d/1mk1MB9zD7TOm4graUctBfB_RzvJfAM1DJfwcIx9g2AQ/edit#gid=2000738862</v>
      </c>
      <c r="H827" s="35" t="s">
        <v>208</v>
      </c>
    </row>
    <row r="828">
      <c r="D828" s="15"/>
      <c r="E828" s="32" t="s">
        <v>178</v>
      </c>
      <c r="F828" s="35" t="s">
        <v>182</v>
      </c>
      <c r="G828" s="84" t="str">
        <f>HYPERLINK("https://docs.google.com/spreadsheets/d/1mk1MB9zD7TOm4graUctBfB_RzvJfAM1DJfwcIx9g2AQ/edit#gid=305571948", "https://docs.google.com/spreadsheets/d/1mk1MB9zD7TOm4graUctBfB_RzvJfAM1DJfwcIx9g2AQ/edit#gid=305571948")</f>
        <v>https://docs.google.com/spreadsheets/d/1mk1MB9zD7TOm4graUctBfB_RzvJfAM1DJfwcIx9g2AQ/edit#gid=305571948</v>
      </c>
      <c r="H828" s="35" t="s">
        <v>182</v>
      </c>
    </row>
    <row r="829">
      <c r="D829" s="15"/>
      <c r="E829" s="32" t="s">
        <v>178</v>
      </c>
      <c r="F829" s="35" t="s">
        <v>180</v>
      </c>
      <c r="G829" s="84" t="str">
        <f>HYPERLINK("https://docs.google.com/spreadsheets/d/1mk1MB9zD7TOm4graUctBfB_RzvJfAM1DJfwcIx9g2AQ/edit#gid=1459316670", "https://docs.google.com/spreadsheets/d/1mk1MB9zD7TOm4graUctBfB_RzvJfAM1DJfwcIx9g2AQ/edit#gid=1459316670")</f>
        <v>https://docs.google.com/spreadsheets/d/1mk1MB9zD7TOm4graUctBfB_RzvJfAM1DJfwcIx9g2AQ/edit#gid=1459316670</v>
      </c>
      <c r="H829" s="35" t="s">
        <v>180</v>
      </c>
    </row>
    <row r="830">
      <c r="D830" s="15"/>
      <c r="E830" s="32" t="s">
        <v>178</v>
      </c>
      <c r="F830" s="35" t="s">
        <v>209</v>
      </c>
      <c r="G830" s="84" t="str">
        <f>HYPERLINK("https://docs.google.com/spreadsheets/d/1mk1MB9zD7TOm4graUctBfB_RzvJfAM1DJfwcIx9g2AQ/edit#gid=1246369813", "https://docs.google.com/spreadsheets/d/1mk1MB9zD7TOm4graUctBfB_RzvJfAM1DJfwcIx9g2AQ/edit#gid=1246369813")</f>
        <v>https://docs.google.com/spreadsheets/d/1mk1MB9zD7TOm4graUctBfB_RzvJfAM1DJfwcIx9g2AQ/edit#gid=1246369813</v>
      </c>
      <c r="H830" s="35" t="s">
        <v>209</v>
      </c>
    </row>
    <row r="831">
      <c r="D831" s="15"/>
      <c r="E831" s="32" t="s">
        <v>178</v>
      </c>
      <c r="F831" s="35" t="s">
        <v>210</v>
      </c>
      <c r="G831" s="84" t="str">
        <f>HYPERLINK("https://docs.google.com/spreadsheets/d/1mk1MB9zD7TOm4graUctBfB_RzvJfAM1DJfwcIx9g2AQ/edit#gid=442683063", "https://docs.google.com/spreadsheets/d/1mk1MB9zD7TOm4graUctBfB_RzvJfAM1DJfwcIx9g2AQ/edit#gid=442683063")</f>
        <v>https://docs.google.com/spreadsheets/d/1mk1MB9zD7TOm4graUctBfB_RzvJfAM1DJfwcIx9g2AQ/edit#gid=442683063</v>
      </c>
      <c r="H831" s="35" t="s">
        <v>210</v>
      </c>
    </row>
    <row r="832">
      <c r="D832" s="15"/>
      <c r="E832" s="32" t="s">
        <v>157</v>
      </c>
      <c r="F832" s="35" t="s">
        <v>161</v>
      </c>
      <c r="G832" s="84" t="str">
        <f>HYPERLINK("https://docs.google.com/spreadsheets/d/1mk1MB9zD7TOm4graUctBfB_RzvJfAM1DJfwcIx9g2AQ/edit#gid=265315773", "https://docs.google.com/spreadsheets/d/1mk1MB9zD7TOm4graUctBfB_RzvJfAM1DJfwcIx9g2AQ/edit#gid=265315773")</f>
        <v>https://docs.google.com/spreadsheets/d/1mk1MB9zD7TOm4graUctBfB_RzvJfAM1DJfwcIx9g2AQ/edit#gid=265315773</v>
      </c>
      <c r="H832" s="35" t="s">
        <v>161</v>
      </c>
    </row>
    <row r="833">
      <c r="D833" s="15"/>
      <c r="E833" s="32" t="s">
        <v>157</v>
      </c>
      <c r="F833" s="35" t="s">
        <v>158</v>
      </c>
      <c r="G833" s="84" t="str">
        <f>HYPERLINK("https://docs.google.com/spreadsheets/d/1mk1MB9zD7TOm4graUctBfB_RzvJfAM1DJfwcIx9g2AQ/edit#gid=367886800", "https://docs.google.com/spreadsheets/d/1mk1MB9zD7TOm4graUctBfB_RzvJfAM1DJfwcIx9g2AQ/edit#gid=367886800")</f>
        <v>https://docs.google.com/spreadsheets/d/1mk1MB9zD7TOm4graUctBfB_RzvJfAM1DJfwcIx9g2AQ/edit#gid=367886800</v>
      </c>
      <c r="H833" s="35" t="s">
        <v>158</v>
      </c>
    </row>
    <row r="834">
      <c r="D834" s="15"/>
      <c r="E834" s="32" t="s">
        <v>157</v>
      </c>
      <c r="F834" s="35" t="s">
        <v>196</v>
      </c>
      <c r="G834" s="84" t="str">
        <f>HYPERLINK("https://docs.google.com/spreadsheets/d/1mk1MB9zD7TOm4graUctBfB_RzvJfAM1DJfwcIx9g2AQ/edit#gid=1798181649", "https://docs.google.com/spreadsheets/d/1mk1MB9zD7TOm4graUctBfB_RzvJfAM1DJfwcIx9g2AQ/edit#gid=1798181649")</f>
        <v>https://docs.google.com/spreadsheets/d/1mk1MB9zD7TOm4graUctBfB_RzvJfAM1DJfwcIx9g2AQ/edit#gid=1798181649</v>
      </c>
      <c r="H834" s="35" t="s">
        <v>196</v>
      </c>
    </row>
    <row r="835">
      <c r="D835" s="15"/>
      <c r="E835" s="32" t="s">
        <v>172</v>
      </c>
      <c r="F835" s="35" t="s">
        <v>173</v>
      </c>
      <c r="G835" s="84" t="str">
        <f>HYPERLINK("https://docs.google.com/spreadsheets/d/1mk1MB9zD7TOm4graUctBfB_RzvJfAM1DJfwcIx9g2AQ/edit#gid=103893305", "https://docs.google.com/spreadsheets/d/1mk1MB9zD7TOm4graUctBfB_RzvJfAM1DJfwcIx9g2AQ/edit#gid=103893305")</f>
        <v>https://docs.google.com/spreadsheets/d/1mk1MB9zD7TOm4graUctBfB_RzvJfAM1DJfwcIx9g2AQ/edit#gid=103893305</v>
      </c>
      <c r="H835" s="35" t="s">
        <v>2054</v>
      </c>
    </row>
    <row r="836">
      <c r="D836" s="15"/>
      <c r="E836" s="32" t="s">
        <v>172</v>
      </c>
      <c r="F836" s="35" t="s">
        <v>402</v>
      </c>
      <c r="G836" s="84" t="str">
        <f>HYPERLINK("https://docs.google.com/spreadsheets/d/1mk1MB9zD7TOm4graUctBfB_RzvJfAM1DJfwcIx9g2AQ/edit#gid=1183555848", "https://docs.google.com/spreadsheets/d/1mk1MB9zD7TOm4graUctBfB_RzvJfAM1DJfwcIx9g2AQ/edit#gid=1183555848")</f>
        <v>https://docs.google.com/spreadsheets/d/1mk1MB9zD7TOm4graUctBfB_RzvJfAM1DJfwcIx9g2AQ/edit#gid=1183555848</v>
      </c>
      <c r="H836" s="35" t="s">
        <v>2055</v>
      </c>
    </row>
    <row r="837">
      <c r="D837" s="15"/>
      <c r="E837" s="32" t="s">
        <v>172</v>
      </c>
      <c r="F837" s="35" t="s">
        <v>203</v>
      </c>
      <c r="G837" s="84" t="str">
        <f>HYPERLINK("https://docs.google.com/spreadsheets/d/1mk1MB9zD7TOm4graUctBfB_RzvJfAM1DJfwcIx9g2AQ/edit#gid=623675031", "https://docs.google.com/spreadsheets/d/1mk1MB9zD7TOm4graUctBfB_RzvJfAM1DJfwcIx9g2AQ/edit#gid=623675031")</f>
        <v>https://docs.google.com/spreadsheets/d/1mk1MB9zD7TOm4graUctBfB_RzvJfAM1DJfwcIx9g2AQ/edit#gid=623675031</v>
      </c>
      <c r="H837" s="35" t="s">
        <v>1999</v>
      </c>
    </row>
    <row r="838">
      <c r="D838" s="15"/>
      <c r="E838" s="32" t="s">
        <v>172</v>
      </c>
      <c r="F838" s="35" t="s">
        <v>204</v>
      </c>
      <c r="G838" s="84" t="str">
        <f>HYPERLINK("https://docs.google.com/spreadsheets/d/1mk1MB9zD7TOm4graUctBfB_RzvJfAM1DJfwcIx9g2AQ/edit#gid=1128063069", "https://docs.google.com/spreadsheets/d/1mk1MB9zD7TOm4graUctBfB_RzvJfAM1DJfwcIx9g2AQ/edit#gid=1128063069")</f>
        <v>https://docs.google.com/spreadsheets/d/1mk1MB9zD7TOm4graUctBfB_RzvJfAM1DJfwcIx9g2AQ/edit#gid=1128063069</v>
      </c>
      <c r="H838" s="35" t="s">
        <v>2000</v>
      </c>
    </row>
    <row r="839">
      <c r="D839" s="15"/>
      <c r="E839" s="32" t="s">
        <v>178</v>
      </c>
      <c r="F839" s="35" t="s">
        <v>207</v>
      </c>
      <c r="G839" s="84" t="str">
        <f>HYPERLINK("https://docs.google.com/spreadsheets/d/1mk1MB9zD7TOm4graUctBfB_RzvJfAM1DJfwcIx9g2AQ/edit#gid=1184622333", "https://docs.google.com/spreadsheets/d/1mk1MB9zD7TOm4graUctBfB_RzvJfAM1DJfwcIx9g2AQ/edit#gid=1184622333")</f>
        <v>https://docs.google.com/spreadsheets/d/1mk1MB9zD7TOm4graUctBfB_RzvJfAM1DJfwcIx9g2AQ/edit#gid=1184622333</v>
      </c>
      <c r="H839" s="35" t="s">
        <v>2001</v>
      </c>
    </row>
    <row r="840">
      <c r="D840" s="15"/>
      <c r="E840" s="32" t="s">
        <v>178</v>
      </c>
      <c r="F840" s="35" t="s">
        <v>208</v>
      </c>
      <c r="G840" s="84" t="str">
        <f>HYPERLINK("https://docs.google.com/spreadsheets/d/1mk1MB9zD7TOm4graUctBfB_RzvJfAM1DJfwcIx9g2AQ/edit#gid=1046217763", "https://docs.google.com/spreadsheets/d/1mk1MB9zD7TOm4graUctBfB_RzvJfAM1DJfwcIx9g2AQ/edit#gid=1046217763")</f>
        <v>https://docs.google.com/spreadsheets/d/1mk1MB9zD7TOm4graUctBfB_RzvJfAM1DJfwcIx9g2AQ/edit#gid=1046217763</v>
      </c>
      <c r="H840" s="35" t="s">
        <v>2002</v>
      </c>
    </row>
    <row r="841">
      <c r="D841" s="15"/>
      <c r="E841" s="32" t="s">
        <v>178</v>
      </c>
      <c r="F841" s="35" t="s">
        <v>182</v>
      </c>
      <c r="G841" s="84" t="str">
        <f>HYPERLINK("https://docs.google.com/spreadsheets/d/1mk1MB9zD7TOm4graUctBfB_RzvJfAM1DJfwcIx9g2AQ/edit#gid=1515901217", "https://docs.google.com/spreadsheets/d/1mk1MB9zD7TOm4graUctBfB_RzvJfAM1DJfwcIx9g2AQ/edit#gid=1515901217")</f>
        <v>https://docs.google.com/spreadsheets/d/1mk1MB9zD7TOm4graUctBfB_RzvJfAM1DJfwcIx9g2AQ/edit#gid=1515901217</v>
      </c>
      <c r="H841" s="35" t="s">
        <v>2003</v>
      </c>
    </row>
    <row r="842">
      <c r="D842" s="15"/>
      <c r="E842" s="32" t="s">
        <v>178</v>
      </c>
      <c r="F842" s="35" t="s">
        <v>180</v>
      </c>
      <c r="G842" s="84" t="str">
        <f>HYPERLINK("https://docs.google.com/spreadsheets/d/1mk1MB9zD7TOm4graUctBfB_RzvJfAM1DJfwcIx9g2AQ/edit#gid=515137611", "https://docs.google.com/spreadsheets/d/1mk1MB9zD7TOm4graUctBfB_RzvJfAM1DJfwcIx9g2AQ/edit#gid=515137611")</f>
        <v>https://docs.google.com/spreadsheets/d/1mk1MB9zD7TOm4graUctBfB_RzvJfAM1DJfwcIx9g2AQ/edit#gid=515137611</v>
      </c>
      <c r="H842" s="35" t="s">
        <v>2009</v>
      </c>
    </row>
    <row r="843">
      <c r="D843" s="15"/>
      <c r="E843" s="32" t="s">
        <v>178</v>
      </c>
      <c r="F843" s="35" t="s">
        <v>209</v>
      </c>
      <c r="G843" s="84" t="str">
        <f>HYPERLINK("https://docs.google.com/spreadsheets/d/1mk1MB9zD7TOm4graUctBfB_RzvJfAM1DJfwcIx9g2AQ/edit#gid=1973131885", "https://docs.google.com/spreadsheets/d/1mk1MB9zD7TOm4graUctBfB_RzvJfAM1DJfwcIx9g2AQ/edit#gid=1973131885")</f>
        <v>https://docs.google.com/spreadsheets/d/1mk1MB9zD7TOm4graUctBfB_RzvJfAM1DJfwcIx9g2AQ/edit#gid=1973131885</v>
      </c>
      <c r="H843" s="35" t="s">
        <v>1986</v>
      </c>
    </row>
    <row r="844">
      <c r="D844" s="15"/>
      <c r="E844" s="32" t="s">
        <v>178</v>
      </c>
      <c r="F844" s="35" t="s">
        <v>210</v>
      </c>
      <c r="G844" s="84" t="str">
        <f>HYPERLINK("https://docs.google.com/spreadsheets/d/1mk1MB9zD7TOm4graUctBfB_RzvJfAM1DJfwcIx9g2AQ/edit#gid=2072899642", "https://docs.google.com/spreadsheets/d/1mk1MB9zD7TOm4graUctBfB_RzvJfAM1DJfwcIx9g2AQ/edit#gid=2072899642")</f>
        <v>https://docs.google.com/spreadsheets/d/1mk1MB9zD7TOm4graUctBfB_RzvJfAM1DJfwcIx9g2AQ/edit#gid=2072899642</v>
      </c>
      <c r="H844" s="35" t="s">
        <v>1987</v>
      </c>
    </row>
    <row r="845">
      <c r="D845" s="15"/>
      <c r="E845" s="32" t="s">
        <v>86</v>
      </c>
      <c r="F845" s="35" t="s">
        <v>90</v>
      </c>
      <c r="G845" s="84" t="str">
        <f>HYPERLINK("https://docs.google.com/spreadsheets/d/1mk1MB9zD7TOm4graUctBfB_RzvJfAM1DJfwcIx9g2AQ/edit#gid=2063948153", "https://docs.google.com/spreadsheets/d/1mk1MB9zD7TOm4graUctBfB_RzvJfAM1DJfwcIx9g2AQ/edit#gid=2063948153")</f>
        <v>https://docs.google.com/spreadsheets/d/1mk1MB9zD7TOm4graUctBfB_RzvJfAM1DJfwcIx9g2AQ/edit#gid=2063948153</v>
      </c>
      <c r="H845" s="35" t="s">
        <v>2022</v>
      </c>
    </row>
    <row r="846">
      <c r="D846" s="15"/>
      <c r="E846" s="32" t="s">
        <v>86</v>
      </c>
      <c r="F846" s="35" t="s">
        <v>91</v>
      </c>
      <c r="G846" s="84" t="str">
        <f>HYPERLINK("https://docs.google.com/spreadsheets/d/1mk1MB9zD7TOm4graUctBfB_RzvJfAM1DJfwcIx9g2AQ/edit#gid=1894489513", "https://docs.google.com/spreadsheets/d/1mk1MB9zD7TOm4graUctBfB_RzvJfAM1DJfwcIx9g2AQ/edit#gid=1894489513")</f>
        <v>https://docs.google.com/spreadsheets/d/1mk1MB9zD7TOm4graUctBfB_RzvJfAM1DJfwcIx9g2AQ/edit#gid=1894489513</v>
      </c>
      <c r="H846" s="35" t="s">
        <v>91</v>
      </c>
    </row>
    <row r="847">
      <c r="D847" s="15"/>
      <c r="E847" s="32" t="s">
        <v>88</v>
      </c>
      <c r="F847" s="35" t="s">
        <v>95</v>
      </c>
      <c r="G847" s="84" t="str">
        <f>HYPERLINK("https://docs.google.com/spreadsheets/d/1mk1MB9zD7TOm4graUctBfB_RzvJfAM1DJfwcIx9g2AQ/edit#gid=1444317425", "https://docs.google.com/spreadsheets/d/1mk1MB9zD7TOm4graUctBfB_RzvJfAM1DJfwcIx9g2AQ/edit#gid=1444317425")</f>
        <v>https://docs.google.com/spreadsheets/d/1mk1MB9zD7TOm4graUctBfB_RzvJfAM1DJfwcIx9g2AQ/edit#gid=1444317425</v>
      </c>
      <c r="H847" s="35" t="s">
        <v>95</v>
      </c>
    </row>
    <row r="848">
      <c r="D848" s="15"/>
      <c r="E848" s="32" t="s">
        <v>88</v>
      </c>
      <c r="F848" s="35" t="s">
        <v>96</v>
      </c>
      <c r="G848" s="84" t="str">
        <f>HYPERLINK("https://docs.google.com/spreadsheets/d/1mk1MB9zD7TOm4graUctBfB_RzvJfAM1DJfwcIx9g2AQ/edit#gid=127345308", "https://docs.google.com/spreadsheets/d/1mk1MB9zD7TOm4graUctBfB_RzvJfAM1DJfwcIx9g2AQ/edit#gid=127345308")</f>
        <v>https://docs.google.com/spreadsheets/d/1mk1MB9zD7TOm4graUctBfB_RzvJfAM1DJfwcIx9g2AQ/edit#gid=127345308</v>
      </c>
      <c r="H848" s="35" t="s">
        <v>96</v>
      </c>
    </row>
    <row r="849">
      <c r="D849" s="15"/>
      <c r="E849" s="32"/>
      <c r="F849" s="35"/>
      <c r="H849" s="35"/>
    </row>
    <row r="850">
      <c r="B850" s="35" t="s">
        <v>2092</v>
      </c>
      <c r="C850" s="35" t="s">
        <v>2093</v>
      </c>
      <c r="D850" s="15"/>
      <c r="E850" s="32" t="s">
        <v>89</v>
      </c>
      <c r="F850" s="35" t="s">
        <v>291</v>
      </c>
      <c r="H850" s="36"/>
    </row>
    <row r="851">
      <c r="B851" s="35" t="s">
        <v>2094</v>
      </c>
      <c r="C851" s="210" t="s">
        <v>2095</v>
      </c>
      <c r="D851" s="32" t="s">
        <v>20</v>
      </c>
      <c r="E851" s="32" t="s">
        <v>178</v>
      </c>
      <c r="F851" s="35" t="s">
        <v>201</v>
      </c>
      <c r="G851" s="84" t="str">
        <f>HYPERLINK("https://docs.google.com/spreadsheets/d/1qJYBBi94SWI-nzaGab7nSGH9-9uMWSGiLzZG1SN64p4/edit#gid=1142520194", "https://docs.google.com/spreadsheets/d/1qJYBBi94SWI-nzaGab7nSGH9-9uMWSGiLzZG1SN64p4/edit#gid=1142520194")</f>
        <v>https://docs.google.com/spreadsheets/d/1qJYBBi94SWI-nzaGab7nSGH9-9uMWSGiLzZG1SN64p4/edit#gid=1142520194</v>
      </c>
      <c r="H851" s="35" t="s">
        <v>201</v>
      </c>
    </row>
    <row r="852">
      <c r="D852" s="15"/>
      <c r="E852" s="32" t="s">
        <v>178</v>
      </c>
      <c r="F852" s="35" t="s">
        <v>202</v>
      </c>
      <c r="G852" s="84" t="str">
        <f>HYPERLINK("https://docs.google.com/spreadsheets/d/1qJYBBi94SWI-nzaGab7nSGH9-9uMWSGiLzZG1SN64p4/edit#gid=342367534", "https://docs.google.com/spreadsheets/d/1qJYBBi94SWI-nzaGab7nSGH9-9uMWSGiLzZG1SN64p4/edit#gid=342367534")</f>
        <v>https://docs.google.com/spreadsheets/d/1qJYBBi94SWI-nzaGab7nSGH9-9uMWSGiLzZG1SN64p4/edit#gid=342367534</v>
      </c>
      <c r="H852" s="35" t="s">
        <v>202</v>
      </c>
    </row>
    <row r="853">
      <c r="D853" s="15"/>
      <c r="E853" s="32" t="s">
        <v>178</v>
      </c>
      <c r="F853" s="35" t="s">
        <v>202</v>
      </c>
      <c r="G853" s="84" t="str">
        <f>HYPERLINK("https://docs.google.com/spreadsheets/d/1qJYBBi94SWI-nzaGab7nSGH9-9uMWSGiLzZG1SN64p4/edit#gid=2070478368", "https://docs.google.com/spreadsheets/d/1qJYBBi94SWI-nzaGab7nSGH9-9uMWSGiLzZG1SN64p4/edit#gid=2070478368")</f>
        <v>https://docs.google.com/spreadsheets/d/1qJYBBi94SWI-nzaGab7nSGH9-9uMWSGiLzZG1SN64p4/edit#gid=2070478368</v>
      </c>
      <c r="H853" s="35" t="s">
        <v>2025</v>
      </c>
    </row>
    <row r="854">
      <c r="D854" s="15"/>
      <c r="E854" s="32" t="s">
        <v>21</v>
      </c>
      <c r="F854" s="35" t="s">
        <v>51</v>
      </c>
      <c r="G854" s="84" t="str">
        <f>HYPERLINK("https://docs.google.com/spreadsheets/d/1qJYBBi94SWI-nzaGab7nSGH9-9uMWSGiLzZG1SN64p4/edit#gid=1027534051", "https://docs.google.com/spreadsheets/d/1qJYBBi94SWI-nzaGab7nSGH9-9uMWSGiLzZG1SN64p4/edit#gid=1027534051")</f>
        <v>https://docs.google.com/spreadsheets/d/1qJYBBi94SWI-nzaGab7nSGH9-9uMWSGiLzZG1SN64p4/edit#gid=1027534051</v>
      </c>
      <c r="H854" s="35" t="s">
        <v>51</v>
      </c>
    </row>
    <row r="855">
      <c r="D855" s="15"/>
      <c r="E855" s="32" t="s">
        <v>172</v>
      </c>
      <c r="F855" s="35" t="s">
        <v>173</v>
      </c>
      <c r="G855" s="84" t="str">
        <f>HYPERLINK("https://docs.google.com/spreadsheets/d/1qJYBBi94SWI-nzaGab7nSGH9-9uMWSGiLzZG1SN64p4/edit#gid=620153513", "https://docs.google.com/spreadsheets/d/1qJYBBi94SWI-nzaGab7nSGH9-9uMWSGiLzZG1SN64p4/edit#gid=620153513")</f>
        <v>https://docs.google.com/spreadsheets/d/1qJYBBi94SWI-nzaGab7nSGH9-9uMWSGiLzZG1SN64p4/edit#gid=620153513</v>
      </c>
      <c r="H855" s="35" t="s">
        <v>173</v>
      </c>
    </row>
    <row r="856">
      <c r="D856" s="15"/>
      <c r="E856" s="32" t="s">
        <v>172</v>
      </c>
      <c r="F856" s="35" t="s">
        <v>402</v>
      </c>
      <c r="G856" s="84" t="str">
        <f>HYPERLINK("https://docs.google.com/spreadsheets/d/1qJYBBi94SWI-nzaGab7nSGH9-9uMWSGiLzZG1SN64p4/edit#gid=1698925321", "https://docs.google.com/spreadsheets/d/1qJYBBi94SWI-nzaGab7nSGH9-9uMWSGiLzZG1SN64p4/edit#gid=1698925321")</f>
        <v>https://docs.google.com/spreadsheets/d/1qJYBBi94SWI-nzaGab7nSGH9-9uMWSGiLzZG1SN64p4/edit#gid=1698925321</v>
      </c>
      <c r="H856" s="35" t="s">
        <v>402</v>
      </c>
    </row>
    <row r="857">
      <c r="D857" s="15"/>
      <c r="E857" s="32" t="s">
        <v>172</v>
      </c>
      <c r="F857" s="35" t="s">
        <v>203</v>
      </c>
      <c r="G857" s="84" t="str">
        <f>HYPERLINK("https://docs.google.com/spreadsheets/d/1qJYBBi94SWI-nzaGab7nSGH9-9uMWSGiLzZG1SN64p4/edit#gid=1513259527", "https://docs.google.com/spreadsheets/d/1qJYBBi94SWI-nzaGab7nSGH9-9uMWSGiLzZG1SN64p4/edit#gid=1513259527")</f>
        <v>https://docs.google.com/spreadsheets/d/1qJYBBi94SWI-nzaGab7nSGH9-9uMWSGiLzZG1SN64p4/edit#gid=1513259527</v>
      </c>
      <c r="H857" s="35" t="s">
        <v>203</v>
      </c>
    </row>
    <row r="858">
      <c r="D858" s="15"/>
      <c r="E858" s="32" t="s">
        <v>172</v>
      </c>
      <c r="F858" s="35" t="s">
        <v>204</v>
      </c>
      <c r="G858" s="84" t="str">
        <f>HYPERLINK("https://docs.google.com/spreadsheets/d/1qJYBBi94SWI-nzaGab7nSGH9-9uMWSGiLzZG1SN64p4/edit#gid=299232895", "https://docs.google.com/spreadsheets/d/1qJYBBi94SWI-nzaGab7nSGH9-9uMWSGiLzZG1SN64p4/edit#gid=299232895")</f>
        <v>https://docs.google.com/spreadsheets/d/1qJYBBi94SWI-nzaGab7nSGH9-9uMWSGiLzZG1SN64p4/edit#gid=299232895</v>
      </c>
      <c r="H858" s="35" t="s">
        <v>204</v>
      </c>
    </row>
    <row r="859">
      <c r="D859" s="15"/>
      <c r="E859" s="32" t="s">
        <v>178</v>
      </c>
      <c r="F859" s="35" t="s">
        <v>205</v>
      </c>
      <c r="G859" s="84" t="str">
        <f>HYPERLINK("https://docs.google.com/spreadsheets/d/1qJYBBi94SWI-nzaGab7nSGH9-9uMWSGiLzZG1SN64p4/edit#gid=260031937", "https://docs.google.com/spreadsheets/d/1qJYBBi94SWI-nzaGab7nSGH9-9uMWSGiLzZG1SN64p4/edit#gid=260031937")</f>
        <v>https://docs.google.com/spreadsheets/d/1qJYBBi94SWI-nzaGab7nSGH9-9uMWSGiLzZG1SN64p4/edit#gid=260031937</v>
      </c>
      <c r="H859" s="35" t="s">
        <v>205</v>
      </c>
    </row>
    <row r="860">
      <c r="D860" s="15"/>
      <c r="E860" s="32" t="s">
        <v>178</v>
      </c>
      <c r="F860" s="35" t="s">
        <v>206</v>
      </c>
      <c r="H860" s="36"/>
    </row>
    <row r="861">
      <c r="D861" s="15"/>
      <c r="E861" s="32" t="s">
        <v>178</v>
      </c>
      <c r="F861" s="35" t="s">
        <v>207</v>
      </c>
      <c r="G861" s="84" t="str">
        <f>HYPERLINK("https://docs.google.com/spreadsheets/d/1qJYBBi94SWI-nzaGab7nSGH9-9uMWSGiLzZG1SN64p4/edit#gid=1237566082", "https://docs.google.com/spreadsheets/d/1qJYBBi94SWI-nzaGab7nSGH9-9uMWSGiLzZG1SN64p4/edit#gid=1237566082")</f>
        <v>https://docs.google.com/spreadsheets/d/1qJYBBi94SWI-nzaGab7nSGH9-9uMWSGiLzZG1SN64p4/edit#gid=1237566082</v>
      </c>
      <c r="H861" s="35" t="s">
        <v>207</v>
      </c>
    </row>
    <row r="862">
      <c r="D862" s="15"/>
      <c r="E862" s="32" t="s">
        <v>21</v>
      </c>
      <c r="F862" s="35" t="s">
        <v>51</v>
      </c>
      <c r="G862" s="84" t="str">
        <f>HYPERLINK("https://docs.google.com/spreadsheets/d/1qJYBBi94SWI-nzaGab7nSGH9-9uMWSGiLzZG1SN64p4/edit#gid=222021739", "https://docs.google.com/spreadsheets/d/1qJYBBi94SWI-nzaGab7nSGH9-9uMWSGiLzZG1SN64p4/edit#gid=222021739")</f>
        <v>https://docs.google.com/spreadsheets/d/1qJYBBi94SWI-nzaGab7nSGH9-9uMWSGiLzZG1SN64p4/edit#gid=222021739</v>
      </c>
      <c r="H862" s="35" t="s">
        <v>1383</v>
      </c>
    </row>
    <row r="863">
      <c r="D863" s="15"/>
      <c r="E863" s="32" t="s">
        <v>86</v>
      </c>
      <c r="F863" s="35" t="s">
        <v>90</v>
      </c>
      <c r="G863" s="84" t="str">
        <f>HYPERLINK("https://docs.google.com/spreadsheets/d/1qJYBBi94SWI-nzaGab7nSGH9-9uMWSGiLzZG1SN64p4/edit#gid=15180094", "https://docs.google.com/spreadsheets/d/1qJYBBi94SWI-nzaGab7nSGH9-9uMWSGiLzZG1SN64p4/edit#gid=15180094")</f>
        <v>https://docs.google.com/spreadsheets/d/1qJYBBi94SWI-nzaGab7nSGH9-9uMWSGiLzZG1SN64p4/edit#gid=15180094</v>
      </c>
      <c r="H863" s="35" t="s">
        <v>90</v>
      </c>
    </row>
    <row r="864">
      <c r="D864" s="15"/>
      <c r="E864" s="32" t="s">
        <v>86</v>
      </c>
      <c r="F864" s="35" t="s">
        <v>339</v>
      </c>
      <c r="G864" s="84" t="str">
        <f>HYPERLINK("https://docs.google.com/spreadsheets/d/1qJYBBi94SWI-nzaGab7nSGH9-9uMWSGiLzZG1SN64p4/edit#gid=203616064", "https://docs.google.com/spreadsheets/d/1qJYBBi94SWI-nzaGab7nSGH9-9uMWSGiLzZG1SN64p4/edit#gid=203616064")</f>
        <v>https://docs.google.com/spreadsheets/d/1qJYBBi94SWI-nzaGab7nSGH9-9uMWSGiLzZG1SN64p4/edit#gid=203616064</v>
      </c>
      <c r="H864" s="35" t="s">
        <v>339</v>
      </c>
    </row>
    <row r="865">
      <c r="D865" s="15"/>
      <c r="E865" s="32" t="s">
        <v>172</v>
      </c>
      <c r="F865" s="35" t="s">
        <v>173</v>
      </c>
      <c r="G865" s="84" t="str">
        <f>HYPERLINK("https://docs.google.com/spreadsheets/d/1qJYBBi94SWI-nzaGab7nSGH9-9uMWSGiLzZG1SN64p4/edit#gid=1640010748", "https://docs.google.com/spreadsheets/d/1qJYBBi94SWI-nzaGab7nSGH9-9uMWSGiLzZG1SN64p4/edit#gid=1640010748")</f>
        <v>https://docs.google.com/spreadsheets/d/1qJYBBi94SWI-nzaGab7nSGH9-9uMWSGiLzZG1SN64p4/edit#gid=1640010748</v>
      </c>
      <c r="H865" s="35" t="s">
        <v>269</v>
      </c>
    </row>
    <row r="866">
      <c r="D866" s="15"/>
      <c r="E866" s="32" t="s">
        <v>172</v>
      </c>
      <c r="F866" s="35" t="s">
        <v>402</v>
      </c>
      <c r="G866" s="84" t="str">
        <f>HYPERLINK("https://docs.google.com/spreadsheets/d/1qJYBBi94SWI-nzaGab7nSGH9-9uMWSGiLzZG1SN64p4/edit#gid=1332236161", "https://docs.google.com/spreadsheets/d/1qJYBBi94SWI-nzaGab7nSGH9-9uMWSGiLzZG1SN64p4/edit#gid=1332236161")</f>
        <v>https://docs.google.com/spreadsheets/d/1qJYBBi94SWI-nzaGab7nSGH9-9uMWSGiLzZG1SN64p4/edit#gid=1332236161</v>
      </c>
      <c r="H866" s="35" t="s">
        <v>2053</v>
      </c>
    </row>
    <row r="867">
      <c r="D867" s="15"/>
      <c r="E867" s="32" t="s">
        <v>172</v>
      </c>
      <c r="F867" s="35" t="s">
        <v>203</v>
      </c>
      <c r="G867" s="84" t="str">
        <f>HYPERLINK("https://docs.google.com/spreadsheets/d/1qJYBBi94SWI-nzaGab7nSGH9-9uMWSGiLzZG1SN64p4/edit#gid=1463604083", "https://docs.google.com/spreadsheets/d/1qJYBBi94SWI-nzaGab7nSGH9-9uMWSGiLzZG1SN64p4/edit#gid=1463604083")</f>
        <v>https://docs.google.com/spreadsheets/d/1qJYBBi94SWI-nzaGab7nSGH9-9uMWSGiLzZG1SN64p4/edit#gid=1463604083</v>
      </c>
      <c r="H867" s="35" t="s">
        <v>1995</v>
      </c>
    </row>
    <row r="868">
      <c r="D868" s="15"/>
      <c r="E868" s="32" t="s">
        <v>172</v>
      </c>
      <c r="F868" s="35" t="s">
        <v>204</v>
      </c>
      <c r="G868" s="84" t="str">
        <f>HYPERLINK("https://docs.google.com/spreadsheets/d/1qJYBBi94SWI-nzaGab7nSGH9-9uMWSGiLzZG1SN64p4/edit#gid=2094148668", "https://docs.google.com/spreadsheets/d/1qJYBBi94SWI-nzaGab7nSGH9-9uMWSGiLzZG1SN64p4/edit#gid=2094148668")</f>
        <v>https://docs.google.com/spreadsheets/d/1qJYBBi94SWI-nzaGab7nSGH9-9uMWSGiLzZG1SN64p4/edit#gid=2094148668</v>
      </c>
      <c r="H868" s="35" t="s">
        <v>1996</v>
      </c>
    </row>
    <row r="869">
      <c r="D869" s="15"/>
      <c r="E869" s="32" t="s">
        <v>178</v>
      </c>
      <c r="F869" s="35" t="s">
        <v>205</v>
      </c>
      <c r="G869" s="84" t="str">
        <f>HYPERLINK("https://docs.google.com/spreadsheets/d/1qJYBBi94SWI-nzaGab7nSGH9-9uMWSGiLzZG1SN64p4/edit#gid=987624862", "https://docs.google.com/spreadsheets/d/1qJYBBi94SWI-nzaGab7nSGH9-9uMWSGiLzZG1SN64p4/edit#gid=987624862")</f>
        <v>https://docs.google.com/spreadsheets/d/1qJYBBi94SWI-nzaGab7nSGH9-9uMWSGiLzZG1SN64p4/edit#gid=987624862</v>
      </c>
      <c r="H869" s="35" t="s">
        <v>1997</v>
      </c>
    </row>
    <row r="870">
      <c r="D870" s="15"/>
      <c r="E870" s="32" t="s">
        <v>178</v>
      </c>
      <c r="F870" s="35" t="s">
        <v>206</v>
      </c>
      <c r="H870" s="35"/>
    </row>
    <row r="871">
      <c r="D871" s="15"/>
      <c r="E871" s="32" t="s">
        <v>178</v>
      </c>
      <c r="F871" s="35" t="s">
        <v>207</v>
      </c>
      <c r="G871" s="84" t="str">
        <f>HYPERLINK("https://docs.google.com/spreadsheets/d/1qJYBBi94SWI-nzaGab7nSGH9-9uMWSGiLzZG1SN64p4/edit#gid=1875385905", "https://docs.google.com/spreadsheets/d/1qJYBBi94SWI-nzaGab7nSGH9-9uMWSGiLzZG1SN64p4/edit#gid=1875385905")</f>
        <v>https://docs.google.com/spreadsheets/d/1qJYBBi94SWI-nzaGab7nSGH9-9uMWSGiLzZG1SN64p4/edit#gid=1875385905</v>
      </c>
      <c r="H871" s="35" t="s">
        <v>1998</v>
      </c>
    </row>
    <row r="872">
      <c r="D872" s="15"/>
      <c r="E872" s="32" t="s">
        <v>178</v>
      </c>
      <c r="F872" s="35" t="s">
        <v>208</v>
      </c>
      <c r="G872" s="84" t="str">
        <f>HYPERLINK("https://docs.google.com/spreadsheets/d/1qJYBBi94SWI-nzaGab7nSGH9-9uMWSGiLzZG1SN64p4/edit#gid=1060546619", "https://docs.google.com/spreadsheets/d/1qJYBBi94SWI-nzaGab7nSGH9-9uMWSGiLzZG1SN64p4/edit#gid=1060546619")</f>
        <v>https://docs.google.com/spreadsheets/d/1qJYBBi94SWI-nzaGab7nSGH9-9uMWSGiLzZG1SN64p4/edit#gid=1060546619</v>
      </c>
      <c r="H872" s="35" t="s">
        <v>208</v>
      </c>
    </row>
    <row r="873">
      <c r="D873" s="15"/>
      <c r="E873" s="32" t="s">
        <v>178</v>
      </c>
      <c r="F873" s="35" t="s">
        <v>182</v>
      </c>
      <c r="G873" s="84" t="str">
        <f>HYPERLINK("https://docs.google.com/spreadsheets/d/1qJYBBi94SWI-nzaGab7nSGH9-9uMWSGiLzZG1SN64p4/edit#gid=1701668579", "https://docs.google.com/spreadsheets/d/1qJYBBi94SWI-nzaGab7nSGH9-9uMWSGiLzZG1SN64p4/edit#gid=1701668579")</f>
        <v>https://docs.google.com/spreadsheets/d/1qJYBBi94SWI-nzaGab7nSGH9-9uMWSGiLzZG1SN64p4/edit#gid=1701668579</v>
      </c>
      <c r="H873" s="35" t="s">
        <v>182</v>
      </c>
    </row>
    <row r="874">
      <c r="D874" s="15"/>
      <c r="E874" s="32" t="s">
        <v>178</v>
      </c>
      <c r="F874" s="35" t="s">
        <v>180</v>
      </c>
      <c r="G874" s="84" t="str">
        <f>HYPERLINK("https://docs.google.com/spreadsheets/d/1qJYBBi94SWI-nzaGab7nSGH9-9uMWSGiLzZG1SN64p4/edit#gid=355093333", "https://docs.google.com/spreadsheets/d/1qJYBBi94SWI-nzaGab7nSGH9-9uMWSGiLzZG1SN64p4/edit#gid=355093333")</f>
        <v>https://docs.google.com/spreadsheets/d/1qJYBBi94SWI-nzaGab7nSGH9-9uMWSGiLzZG1SN64p4/edit#gid=355093333</v>
      </c>
      <c r="H874" s="35" t="s">
        <v>180</v>
      </c>
    </row>
    <row r="875">
      <c r="D875" s="15"/>
      <c r="E875" s="32" t="s">
        <v>178</v>
      </c>
      <c r="F875" s="35" t="s">
        <v>209</v>
      </c>
      <c r="G875" s="84" t="str">
        <f>HYPERLINK("https://docs.google.com/spreadsheets/d/1qJYBBi94SWI-nzaGab7nSGH9-9uMWSGiLzZG1SN64p4/edit#gid=667780685", "https://docs.google.com/spreadsheets/d/1qJYBBi94SWI-nzaGab7nSGH9-9uMWSGiLzZG1SN64p4/edit#gid=667780685")</f>
        <v>https://docs.google.com/spreadsheets/d/1qJYBBi94SWI-nzaGab7nSGH9-9uMWSGiLzZG1SN64p4/edit#gid=667780685</v>
      </c>
      <c r="H875" s="35" t="s">
        <v>209</v>
      </c>
    </row>
    <row r="876">
      <c r="D876" s="15"/>
      <c r="E876" s="32" t="s">
        <v>178</v>
      </c>
      <c r="F876" s="35" t="s">
        <v>210</v>
      </c>
      <c r="G876" s="84" t="str">
        <f>HYPERLINK("https://docs.google.com/spreadsheets/d/1qJYBBi94SWI-nzaGab7nSGH9-9uMWSGiLzZG1SN64p4/edit#gid=1696943726", "https://docs.google.com/spreadsheets/d/1qJYBBi94SWI-nzaGab7nSGH9-9uMWSGiLzZG1SN64p4/edit#gid=1696943726")</f>
        <v>https://docs.google.com/spreadsheets/d/1qJYBBi94SWI-nzaGab7nSGH9-9uMWSGiLzZG1SN64p4/edit#gid=1696943726</v>
      </c>
      <c r="H876" s="35" t="s">
        <v>210</v>
      </c>
    </row>
    <row r="877">
      <c r="D877" s="15"/>
      <c r="E877" s="32" t="s">
        <v>157</v>
      </c>
      <c r="F877" s="35" t="s">
        <v>161</v>
      </c>
      <c r="G877" s="84" t="str">
        <f>HYPERLINK("https://docs.google.com/spreadsheets/d/1qJYBBi94SWI-nzaGab7nSGH9-9uMWSGiLzZG1SN64p4/edit#gid=42547152", "https://docs.google.com/spreadsheets/d/1qJYBBi94SWI-nzaGab7nSGH9-9uMWSGiLzZG1SN64p4/edit#gid=42547152")</f>
        <v>https://docs.google.com/spreadsheets/d/1qJYBBi94SWI-nzaGab7nSGH9-9uMWSGiLzZG1SN64p4/edit#gid=42547152</v>
      </c>
      <c r="H877" s="35" t="s">
        <v>161</v>
      </c>
    </row>
    <row r="878">
      <c r="D878" s="15"/>
      <c r="E878" s="32" t="s">
        <v>157</v>
      </c>
      <c r="F878" s="35" t="s">
        <v>158</v>
      </c>
      <c r="G878" s="84" t="str">
        <f>HYPERLINK("https://docs.google.com/spreadsheets/d/1qJYBBi94SWI-nzaGab7nSGH9-9uMWSGiLzZG1SN64p4/edit#gid=1905986287", "https://docs.google.com/spreadsheets/d/1qJYBBi94SWI-nzaGab7nSGH9-9uMWSGiLzZG1SN64p4/edit#gid=1905986287")</f>
        <v>https://docs.google.com/spreadsheets/d/1qJYBBi94SWI-nzaGab7nSGH9-9uMWSGiLzZG1SN64p4/edit#gid=1905986287</v>
      </c>
      <c r="H878" s="35" t="s">
        <v>158</v>
      </c>
    </row>
    <row r="879">
      <c r="D879" s="15"/>
      <c r="E879" s="32" t="s">
        <v>157</v>
      </c>
      <c r="F879" s="35" t="s">
        <v>196</v>
      </c>
      <c r="G879" s="84" t="str">
        <f>HYPERLINK("https://docs.google.com/spreadsheets/d/1qJYBBi94SWI-nzaGab7nSGH9-9uMWSGiLzZG1SN64p4/edit#gid=278126868", "https://docs.google.com/spreadsheets/d/1qJYBBi94SWI-nzaGab7nSGH9-9uMWSGiLzZG1SN64p4/edit#gid=278126868")</f>
        <v>https://docs.google.com/spreadsheets/d/1qJYBBi94SWI-nzaGab7nSGH9-9uMWSGiLzZG1SN64p4/edit#gid=278126868</v>
      </c>
      <c r="H879" s="35" t="s">
        <v>196</v>
      </c>
    </row>
    <row r="880">
      <c r="D880" s="15"/>
      <c r="E880" s="32" t="s">
        <v>172</v>
      </c>
      <c r="F880" s="35" t="s">
        <v>173</v>
      </c>
      <c r="G880" s="84" t="str">
        <f>HYPERLINK("https://docs.google.com/spreadsheets/d/1qJYBBi94SWI-nzaGab7nSGH9-9uMWSGiLzZG1SN64p4/edit#gid=1670491977", "https://docs.google.com/spreadsheets/d/1qJYBBi94SWI-nzaGab7nSGH9-9uMWSGiLzZG1SN64p4/edit#gid=1670491977")</f>
        <v>https://docs.google.com/spreadsheets/d/1qJYBBi94SWI-nzaGab7nSGH9-9uMWSGiLzZG1SN64p4/edit#gid=1670491977</v>
      </c>
      <c r="H880" s="35" t="s">
        <v>2054</v>
      </c>
    </row>
    <row r="881">
      <c r="D881" s="15"/>
      <c r="E881" s="32" t="s">
        <v>172</v>
      </c>
      <c r="F881" s="35" t="s">
        <v>402</v>
      </c>
      <c r="G881" s="84" t="str">
        <f>HYPERLINK("https://docs.google.com/spreadsheets/d/1qJYBBi94SWI-nzaGab7nSGH9-9uMWSGiLzZG1SN64p4/edit#gid=695990960", "https://docs.google.com/spreadsheets/d/1qJYBBi94SWI-nzaGab7nSGH9-9uMWSGiLzZG1SN64p4/edit#gid=695990960")</f>
        <v>https://docs.google.com/spreadsheets/d/1qJYBBi94SWI-nzaGab7nSGH9-9uMWSGiLzZG1SN64p4/edit#gid=695990960</v>
      </c>
      <c r="H881" s="35" t="s">
        <v>2055</v>
      </c>
    </row>
    <row r="882">
      <c r="D882" s="15"/>
      <c r="E882" s="32" t="s">
        <v>172</v>
      </c>
      <c r="F882" s="35" t="s">
        <v>203</v>
      </c>
      <c r="G882" s="84" t="str">
        <f>HYPERLINK("https://docs.google.com/spreadsheets/d/1qJYBBi94SWI-nzaGab7nSGH9-9uMWSGiLzZG1SN64p4/edit#gid=1911589047", "https://docs.google.com/spreadsheets/d/1qJYBBi94SWI-nzaGab7nSGH9-9uMWSGiLzZG1SN64p4/edit#gid=1911589047")</f>
        <v>https://docs.google.com/spreadsheets/d/1qJYBBi94SWI-nzaGab7nSGH9-9uMWSGiLzZG1SN64p4/edit#gid=1911589047</v>
      </c>
      <c r="H882" s="35" t="s">
        <v>1999</v>
      </c>
    </row>
    <row r="883">
      <c r="D883" s="15"/>
      <c r="E883" s="32" t="s">
        <v>172</v>
      </c>
      <c r="F883" s="35" t="s">
        <v>204</v>
      </c>
      <c r="G883" s="84" t="str">
        <f>HYPERLINK("https://docs.google.com/spreadsheets/d/1qJYBBi94SWI-nzaGab7nSGH9-9uMWSGiLzZG1SN64p4/edit#gid=693245738", "https://docs.google.com/spreadsheets/d/1qJYBBi94SWI-nzaGab7nSGH9-9uMWSGiLzZG1SN64p4/edit#gid=693245738")</f>
        <v>https://docs.google.com/spreadsheets/d/1qJYBBi94SWI-nzaGab7nSGH9-9uMWSGiLzZG1SN64p4/edit#gid=693245738</v>
      </c>
      <c r="H883" s="35" t="s">
        <v>2000</v>
      </c>
    </row>
    <row r="884">
      <c r="D884" s="15"/>
      <c r="E884" s="32" t="s">
        <v>178</v>
      </c>
      <c r="F884" s="35" t="s">
        <v>207</v>
      </c>
      <c r="G884" s="84" t="str">
        <f>HYPERLINK("https://docs.google.com/spreadsheets/d/1qJYBBi94SWI-nzaGab7nSGH9-9uMWSGiLzZG1SN64p4/edit#gid=1937280879", "https://docs.google.com/spreadsheets/d/1qJYBBi94SWI-nzaGab7nSGH9-9uMWSGiLzZG1SN64p4/edit#gid=1937280879")</f>
        <v>https://docs.google.com/spreadsheets/d/1qJYBBi94SWI-nzaGab7nSGH9-9uMWSGiLzZG1SN64p4/edit#gid=1937280879</v>
      </c>
      <c r="H884" s="35" t="s">
        <v>2001</v>
      </c>
    </row>
    <row r="885">
      <c r="D885" s="15"/>
      <c r="E885" s="32" t="s">
        <v>178</v>
      </c>
      <c r="F885" s="35" t="s">
        <v>208</v>
      </c>
      <c r="G885" s="84" t="str">
        <f>HYPERLINK("https://docs.google.com/spreadsheets/d/1qJYBBi94SWI-nzaGab7nSGH9-9uMWSGiLzZG1SN64p4/edit#gid=63715744", "https://docs.google.com/spreadsheets/d/1qJYBBi94SWI-nzaGab7nSGH9-9uMWSGiLzZG1SN64p4/edit#gid=63715744")</f>
        <v>https://docs.google.com/spreadsheets/d/1qJYBBi94SWI-nzaGab7nSGH9-9uMWSGiLzZG1SN64p4/edit#gid=63715744</v>
      </c>
      <c r="H885" s="35" t="s">
        <v>2002</v>
      </c>
    </row>
    <row r="886">
      <c r="D886" s="15"/>
      <c r="E886" s="32" t="s">
        <v>178</v>
      </c>
      <c r="F886" s="35" t="s">
        <v>182</v>
      </c>
      <c r="G886" s="84" t="str">
        <f>HYPERLINK("https://docs.google.com/spreadsheets/d/1qJYBBi94SWI-nzaGab7nSGH9-9uMWSGiLzZG1SN64p4/edit#gid=1418641037", "https://docs.google.com/spreadsheets/d/1qJYBBi94SWI-nzaGab7nSGH9-9uMWSGiLzZG1SN64p4/edit#gid=1418641037")</f>
        <v>https://docs.google.com/spreadsheets/d/1qJYBBi94SWI-nzaGab7nSGH9-9uMWSGiLzZG1SN64p4/edit#gid=1418641037</v>
      </c>
      <c r="H886" s="35" t="s">
        <v>2003</v>
      </c>
    </row>
    <row r="887">
      <c r="D887" s="15"/>
      <c r="E887" s="32" t="s">
        <v>178</v>
      </c>
      <c r="F887" s="35" t="s">
        <v>180</v>
      </c>
      <c r="G887" s="84" t="str">
        <f>HYPERLINK("https://docs.google.com/spreadsheets/d/1qJYBBi94SWI-nzaGab7nSGH9-9uMWSGiLzZG1SN64p4/edit#gid=1365124433", "https://docs.google.com/spreadsheets/d/1qJYBBi94SWI-nzaGab7nSGH9-9uMWSGiLzZG1SN64p4/edit#gid=1365124433")</f>
        <v>https://docs.google.com/spreadsheets/d/1qJYBBi94SWI-nzaGab7nSGH9-9uMWSGiLzZG1SN64p4/edit#gid=1365124433</v>
      </c>
      <c r="H887" s="35" t="s">
        <v>2009</v>
      </c>
    </row>
    <row r="888">
      <c r="D888" s="15"/>
      <c r="E888" s="32" t="s">
        <v>178</v>
      </c>
      <c r="F888" s="35" t="s">
        <v>209</v>
      </c>
      <c r="G888" s="84" t="str">
        <f>HYPERLINK("https://docs.google.com/spreadsheets/d/1qJYBBi94SWI-nzaGab7nSGH9-9uMWSGiLzZG1SN64p4/edit#gid=743388766", "https://docs.google.com/spreadsheets/d/1qJYBBi94SWI-nzaGab7nSGH9-9uMWSGiLzZG1SN64p4/edit#gid=743388766")</f>
        <v>https://docs.google.com/spreadsheets/d/1qJYBBi94SWI-nzaGab7nSGH9-9uMWSGiLzZG1SN64p4/edit#gid=743388766</v>
      </c>
      <c r="H888" s="35" t="s">
        <v>1986</v>
      </c>
    </row>
    <row r="889">
      <c r="D889" s="15"/>
      <c r="E889" s="32" t="s">
        <v>178</v>
      </c>
      <c r="F889" s="35" t="s">
        <v>210</v>
      </c>
      <c r="G889" s="84" t="str">
        <f>HYPERLINK("https://docs.google.com/spreadsheets/d/1qJYBBi94SWI-nzaGab7nSGH9-9uMWSGiLzZG1SN64p4/edit#gid=1905572165", "https://docs.google.com/spreadsheets/d/1qJYBBi94SWI-nzaGab7nSGH9-9uMWSGiLzZG1SN64p4/edit#gid=1905572165")</f>
        <v>https://docs.google.com/spreadsheets/d/1qJYBBi94SWI-nzaGab7nSGH9-9uMWSGiLzZG1SN64p4/edit#gid=1905572165</v>
      </c>
      <c r="H889" s="35" t="s">
        <v>1987</v>
      </c>
    </row>
    <row r="890">
      <c r="D890" s="15"/>
      <c r="E890" s="32" t="s">
        <v>86</v>
      </c>
      <c r="F890" s="35" t="s">
        <v>90</v>
      </c>
      <c r="G890" s="84" t="str">
        <f>HYPERLINK("https://docs.google.com/spreadsheets/d/1qJYBBi94SWI-nzaGab7nSGH9-9uMWSGiLzZG1SN64p4/edit#gid=1251466482", "https://docs.google.com/spreadsheets/d/1qJYBBi94SWI-nzaGab7nSGH9-9uMWSGiLzZG1SN64p4/edit#gid=1251466482")</f>
        <v>https://docs.google.com/spreadsheets/d/1qJYBBi94SWI-nzaGab7nSGH9-9uMWSGiLzZG1SN64p4/edit#gid=1251466482</v>
      </c>
      <c r="H890" s="35" t="s">
        <v>2022</v>
      </c>
    </row>
    <row r="891">
      <c r="D891" s="15"/>
      <c r="E891" s="32" t="s">
        <v>86</v>
      </c>
      <c r="F891" s="35" t="s">
        <v>91</v>
      </c>
      <c r="G891" s="84" t="str">
        <f>HYPERLINK("https://docs.google.com/spreadsheets/d/1qJYBBi94SWI-nzaGab7nSGH9-9uMWSGiLzZG1SN64p4/edit#gid=1824132331", "https://docs.google.com/spreadsheets/d/1qJYBBi94SWI-nzaGab7nSGH9-9uMWSGiLzZG1SN64p4/edit#gid=1824132331")</f>
        <v>https://docs.google.com/spreadsheets/d/1qJYBBi94SWI-nzaGab7nSGH9-9uMWSGiLzZG1SN64p4/edit#gid=1824132331</v>
      </c>
      <c r="H891" s="35" t="s">
        <v>91</v>
      </c>
    </row>
    <row r="892">
      <c r="D892" s="15"/>
      <c r="E892" s="32" t="s">
        <v>88</v>
      </c>
      <c r="F892" s="35" t="s">
        <v>95</v>
      </c>
      <c r="G892" s="84" t="str">
        <f>HYPERLINK("https://docs.google.com/spreadsheets/d/1qJYBBi94SWI-nzaGab7nSGH9-9uMWSGiLzZG1SN64p4/edit#gid=1301412393", "https://docs.google.com/spreadsheets/d/1qJYBBi94SWI-nzaGab7nSGH9-9uMWSGiLzZG1SN64p4/edit#gid=1301412393")</f>
        <v>https://docs.google.com/spreadsheets/d/1qJYBBi94SWI-nzaGab7nSGH9-9uMWSGiLzZG1SN64p4/edit#gid=1301412393</v>
      </c>
      <c r="H892" s="35" t="s">
        <v>95</v>
      </c>
    </row>
    <row r="893">
      <c r="D893" s="15"/>
      <c r="E893" s="32" t="s">
        <v>88</v>
      </c>
      <c r="F893" s="35" t="s">
        <v>96</v>
      </c>
      <c r="G893" s="84" t="str">
        <f>HYPERLINK("https://docs.google.com/spreadsheets/d/1qJYBBi94SWI-nzaGab7nSGH9-9uMWSGiLzZG1SN64p4/edit#gid=378984746", "https://docs.google.com/spreadsheets/d/1qJYBBi94SWI-nzaGab7nSGH9-9uMWSGiLzZG1SN64p4/edit#gid=378984746")</f>
        <v>https://docs.google.com/spreadsheets/d/1qJYBBi94SWI-nzaGab7nSGH9-9uMWSGiLzZG1SN64p4/edit#gid=378984746</v>
      </c>
      <c r="H893" s="35" t="s">
        <v>96</v>
      </c>
    </row>
    <row r="894">
      <c r="D894" s="15"/>
      <c r="E894" s="32"/>
      <c r="F894" s="35"/>
      <c r="H894" s="35"/>
    </row>
    <row r="895">
      <c r="B895" s="35" t="s">
        <v>2096</v>
      </c>
      <c r="C895" s="35" t="s">
        <v>2093</v>
      </c>
      <c r="D895" s="32" t="s">
        <v>20</v>
      </c>
      <c r="E895" s="32" t="s">
        <v>89</v>
      </c>
      <c r="F895" s="35" t="s">
        <v>291</v>
      </c>
      <c r="H895" s="36"/>
    </row>
    <row r="896">
      <c r="B896" s="35" t="s">
        <v>2097</v>
      </c>
      <c r="C896" s="210" t="s">
        <v>2098</v>
      </c>
      <c r="D896" s="32" t="s">
        <v>20</v>
      </c>
      <c r="E896" s="32" t="s">
        <v>178</v>
      </c>
      <c r="F896" s="35" t="s">
        <v>201</v>
      </c>
      <c r="G896" s="84" t="str">
        <f>HYPERLINK("https://docs.google.com/spreadsheets/d/1q13Oxz0f2D3cZI-BAfPjHNyVZEjvJefaYfw7TqtbCdY/edit#gid=869860321", "https://docs.google.com/spreadsheets/d/1q13Oxz0f2D3cZI-BAfPjHNyVZEjvJefaYfw7TqtbCdY/edit#gid=869860321")</f>
        <v>https://docs.google.com/spreadsheets/d/1q13Oxz0f2D3cZI-BAfPjHNyVZEjvJefaYfw7TqtbCdY/edit#gid=869860321</v>
      </c>
      <c r="H896" s="35" t="s">
        <v>201</v>
      </c>
    </row>
    <row r="897">
      <c r="D897" s="15"/>
      <c r="E897" s="32" t="s">
        <v>178</v>
      </c>
      <c r="F897" s="35" t="s">
        <v>202</v>
      </c>
      <c r="G897" s="84" t="str">
        <f>HYPERLINK("https://docs.google.com/spreadsheets/d/1q13Oxz0f2D3cZI-BAfPjHNyVZEjvJefaYfw7TqtbCdY/edit#gid=128003389", "https://docs.google.com/spreadsheets/d/1q13Oxz0f2D3cZI-BAfPjHNyVZEjvJefaYfw7TqtbCdY/edit#gid=128003389")</f>
        <v>https://docs.google.com/spreadsheets/d/1q13Oxz0f2D3cZI-BAfPjHNyVZEjvJefaYfw7TqtbCdY/edit#gid=128003389</v>
      </c>
      <c r="H897" s="35" t="s">
        <v>202</v>
      </c>
    </row>
    <row r="898">
      <c r="D898" s="15"/>
      <c r="E898" s="32" t="s">
        <v>178</v>
      </c>
      <c r="F898" s="35" t="s">
        <v>202</v>
      </c>
      <c r="G898" s="84" t="str">
        <f>HYPERLINK("https://docs.google.com/spreadsheets/d/1q13Oxz0f2D3cZI-BAfPjHNyVZEjvJefaYfw7TqtbCdY/edit#gid=2081516001", "https://docs.google.com/spreadsheets/d/1q13Oxz0f2D3cZI-BAfPjHNyVZEjvJefaYfw7TqtbCdY/edit#gid=2081516001")</f>
        <v>https://docs.google.com/spreadsheets/d/1q13Oxz0f2D3cZI-BAfPjHNyVZEjvJefaYfw7TqtbCdY/edit#gid=2081516001</v>
      </c>
      <c r="H898" s="35" t="s">
        <v>2025</v>
      </c>
    </row>
    <row r="899">
      <c r="D899" s="15"/>
      <c r="E899" s="32" t="s">
        <v>21</v>
      </c>
      <c r="F899" s="35" t="s">
        <v>51</v>
      </c>
      <c r="G899" s="84" t="str">
        <f>HYPERLINK("https://docs.google.com/spreadsheets/d/1q13Oxz0f2D3cZI-BAfPjHNyVZEjvJefaYfw7TqtbCdY/edit#gid=1459214693", "https://docs.google.com/spreadsheets/d/1q13Oxz0f2D3cZI-BAfPjHNyVZEjvJefaYfw7TqtbCdY/edit#gid=1459214693")</f>
        <v>https://docs.google.com/spreadsheets/d/1q13Oxz0f2D3cZI-BAfPjHNyVZEjvJefaYfw7TqtbCdY/edit#gid=1459214693</v>
      </c>
      <c r="H899" s="35" t="s">
        <v>51</v>
      </c>
    </row>
    <row r="900">
      <c r="D900" s="15"/>
      <c r="E900" s="32" t="s">
        <v>172</v>
      </c>
      <c r="F900" s="35" t="s">
        <v>173</v>
      </c>
      <c r="G900" s="84" t="str">
        <f>HYPERLINK("https://docs.google.com/spreadsheets/d/1q13Oxz0f2D3cZI-BAfPjHNyVZEjvJefaYfw7TqtbCdY/edit#gid=904766790", "https://docs.google.com/spreadsheets/d/1q13Oxz0f2D3cZI-BAfPjHNyVZEjvJefaYfw7TqtbCdY/edit#gid=904766790")</f>
        <v>https://docs.google.com/spreadsheets/d/1q13Oxz0f2D3cZI-BAfPjHNyVZEjvJefaYfw7TqtbCdY/edit#gid=904766790</v>
      </c>
      <c r="H900" s="35" t="s">
        <v>173</v>
      </c>
    </row>
    <row r="901">
      <c r="D901" s="15"/>
      <c r="E901" s="32" t="s">
        <v>172</v>
      </c>
      <c r="F901" s="35" t="s">
        <v>402</v>
      </c>
      <c r="G901" s="84" t="str">
        <f>HYPERLINK("https://docs.google.com/spreadsheets/d/1q13Oxz0f2D3cZI-BAfPjHNyVZEjvJefaYfw7TqtbCdY/edit#gid=1081083768", "https://docs.google.com/spreadsheets/d/1q13Oxz0f2D3cZI-BAfPjHNyVZEjvJefaYfw7TqtbCdY/edit#gid=1081083768")</f>
        <v>https://docs.google.com/spreadsheets/d/1q13Oxz0f2D3cZI-BAfPjHNyVZEjvJefaYfw7TqtbCdY/edit#gid=1081083768</v>
      </c>
      <c r="H901" s="35" t="s">
        <v>402</v>
      </c>
    </row>
    <row r="902">
      <c r="D902" s="15"/>
      <c r="E902" s="32" t="s">
        <v>172</v>
      </c>
      <c r="F902" s="35" t="s">
        <v>203</v>
      </c>
      <c r="G902" s="84" t="str">
        <f>HYPERLINK("https://docs.google.com/spreadsheets/d/1q13Oxz0f2D3cZI-BAfPjHNyVZEjvJefaYfw7TqtbCdY/edit#gid=727123211", "https://docs.google.com/spreadsheets/d/1q13Oxz0f2D3cZI-BAfPjHNyVZEjvJefaYfw7TqtbCdY/edit#gid=727123211")</f>
        <v>https://docs.google.com/spreadsheets/d/1q13Oxz0f2D3cZI-BAfPjHNyVZEjvJefaYfw7TqtbCdY/edit#gid=727123211</v>
      </c>
      <c r="H902" s="35" t="s">
        <v>203</v>
      </c>
    </row>
    <row r="903">
      <c r="D903" s="15"/>
      <c r="E903" s="32" t="s">
        <v>172</v>
      </c>
      <c r="F903" s="35" t="s">
        <v>204</v>
      </c>
      <c r="G903" s="84" t="str">
        <f>HYPERLINK("https://docs.google.com/spreadsheets/d/1q13Oxz0f2D3cZI-BAfPjHNyVZEjvJefaYfw7TqtbCdY/edit#gid=1005090017", "https://docs.google.com/spreadsheets/d/1q13Oxz0f2D3cZI-BAfPjHNyVZEjvJefaYfw7TqtbCdY/edit#gid=1005090017")</f>
        <v>https://docs.google.com/spreadsheets/d/1q13Oxz0f2D3cZI-BAfPjHNyVZEjvJefaYfw7TqtbCdY/edit#gid=1005090017</v>
      </c>
      <c r="H903" s="35" t="s">
        <v>204</v>
      </c>
    </row>
    <row r="904">
      <c r="D904" s="15"/>
      <c r="E904" s="32" t="s">
        <v>178</v>
      </c>
      <c r="F904" s="35" t="s">
        <v>205</v>
      </c>
      <c r="G904" s="84" t="str">
        <f>HYPERLINK("https://docs.google.com/spreadsheets/d/1q13Oxz0f2D3cZI-BAfPjHNyVZEjvJefaYfw7TqtbCdY/edit#gid=1828426314", "https://docs.google.com/spreadsheets/d/1q13Oxz0f2D3cZI-BAfPjHNyVZEjvJefaYfw7TqtbCdY/edit#gid=1828426314")</f>
        <v>https://docs.google.com/spreadsheets/d/1q13Oxz0f2D3cZI-BAfPjHNyVZEjvJefaYfw7TqtbCdY/edit#gid=1828426314</v>
      </c>
      <c r="H904" s="35" t="s">
        <v>205</v>
      </c>
    </row>
    <row r="905">
      <c r="D905" s="15"/>
      <c r="E905" s="32" t="s">
        <v>178</v>
      </c>
      <c r="F905" s="35" t="s">
        <v>206</v>
      </c>
      <c r="H905" s="36"/>
    </row>
    <row r="906">
      <c r="D906" s="15"/>
      <c r="E906" s="32" t="s">
        <v>178</v>
      </c>
      <c r="F906" s="35" t="s">
        <v>207</v>
      </c>
      <c r="G906" s="84" t="str">
        <f>HYPERLINK("https://docs.google.com/spreadsheets/d/1q13Oxz0f2D3cZI-BAfPjHNyVZEjvJefaYfw7TqtbCdY/edit#gid=954939481", "https://docs.google.com/spreadsheets/d/1q13Oxz0f2D3cZI-BAfPjHNyVZEjvJefaYfw7TqtbCdY/edit#gid=954939481")</f>
        <v>https://docs.google.com/spreadsheets/d/1q13Oxz0f2D3cZI-BAfPjHNyVZEjvJefaYfw7TqtbCdY/edit#gid=954939481</v>
      </c>
      <c r="H906" s="35" t="s">
        <v>207</v>
      </c>
    </row>
    <row r="907">
      <c r="D907" s="15"/>
      <c r="E907" s="32" t="s">
        <v>172</v>
      </c>
      <c r="F907" s="35" t="s">
        <v>173</v>
      </c>
      <c r="G907" s="84" t="str">
        <f>HYPERLINK("https://docs.google.com/spreadsheets/d/1q13Oxz0f2D3cZI-BAfPjHNyVZEjvJefaYfw7TqtbCdY/edit#gid=115622533", "https://docs.google.com/spreadsheets/d/1q13Oxz0f2D3cZI-BAfPjHNyVZEjvJefaYfw7TqtbCdY/edit#gid=115622533")</f>
        <v>https://docs.google.com/spreadsheets/d/1q13Oxz0f2D3cZI-BAfPjHNyVZEjvJefaYfw7TqtbCdY/edit#gid=115622533</v>
      </c>
      <c r="H907" s="35" t="s">
        <v>269</v>
      </c>
    </row>
    <row r="908">
      <c r="D908" s="15"/>
      <c r="E908" s="32" t="s">
        <v>172</v>
      </c>
      <c r="F908" s="35" t="s">
        <v>402</v>
      </c>
      <c r="G908" s="84" t="str">
        <f>HYPERLINK("https://docs.google.com/spreadsheets/d/1q13Oxz0f2D3cZI-BAfPjHNyVZEjvJefaYfw7TqtbCdY/edit#gid=1596520399", "https://docs.google.com/spreadsheets/d/1q13Oxz0f2D3cZI-BAfPjHNyVZEjvJefaYfw7TqtbCdY/edit#gid=1596520399")</f>
        <v>https://docs.google.com/spreadsheets/d/1q13Oxz0f2D3cZI-BAfPjHNyVZEjvJefaYfw7TqtbCdY/edit#gid=1596520399</v>
      </c>
      <c r="H908" s="35" t="s">
        <v>2053</v>
      </c>
    </row>
    <row r="909">
      <c r="D909" s="15"/>
      <c r="E909" s="32" t="s">
        <v>172</v>
      </c>
      <c r="F909" s="35" t="s">
        <v>203</v>
      </c>
      <c r="G909" s="84" t="str">
        <f>HYPERLINK("https://docs.google.com/spreadsheets/d/1q13Oxz0f2D3cZI-BAfPjHNyVZEjvJefaYfw7TqtbCdY/edit#gid=1192176990", "https://docs.google.com/spreadsheets/d/1q13Oxz0f2D3cZI-BAfPjHNyVZEjvJefaYfw7TqtbCdY/edit#gid=1192176990")</f>
        <v>https://docs.google.com/spreadsheets/d/1q13Oxz0f2D3cZI-BAfPjHNyVZEjvJefaYfw7TqtbCdY/edit#gid=1192176990</v>
      </c>
      <c r="H909" s="35" t="s">
        <v>1995</v>
      </c>
    </row>
    <row r="910">
      <c r="D910" s="15"/>
      <c r="E910" s="32" t="s">
        <v>172</v>
      </c>
      <c r="F910" s="35" t="s">
        <v>204</v>
      </c>
      <c r="G910" s="84" t="str">
        <f>HYPERLINK("https://docs.google.com/spreadsheets/d/1q13Oxz0f2D3cZI-BAfPjHNyVZEjvJefaYfw7TqtbCdY/edit#gid=739197954", "https://docs.google.com/spreadsheets/d/1q13Oxz0f2D3cZI-BAfPjHNyVZEjvJefaYfw7TqtbCdY/edit#gid=739197954")</f>
        <v>https://docs.google.com/spreadsheets/d/1q13Oxz0f2D3cZI-BAfPjHNyVZEjvJefaYfw7TqtbCdY/edit#gid=739197954</v>
      </c>
      <c r="H910" s="35" t="s">
        <v>1996</v>
      </c>
    </row>
    <row r="911">
      <c r="D911" s="15"/>
      <c r="E911" s="32" t="s">
        <v>178</v>
      </c>
      <c r="F911" s="35" t="s">
        <v>205</v>
      </c>
      <c r="G911" s="84" t="str">
        <f>HYPERLINK("https://docs.google.com/spreadsheets/d/1q13Oxz0f2D3cZI-BAfPjHNyVZEjvJefaYfw7TqtbCdY/edit#gid=960170234", "https://docs.google.com/spreadsheets/d/1q13Oxz0f2D3cZI-BAfPjHNyVZEjvJefaYfw7TqtbCdY/edit#gid=960170234")</f>
        <v>https://docs.google.com/spreadsheets/d/1q13Oxz0f2D3cZI-BAfPjHNyVZEjvJefaYfw7TqtbCdY/edit#gid=960170234</v>
      </c>
      <c r="H911" s="35" t="s">
        <v>1997</v>
      </c>
    </row>
    <row r="912">
      <c r="D912" s="15"/>
      <c r="E912" s="32" t="s">
        <v>178</v>
      </c>
      <c r="F912" s="35" t="s">
        <v>206</v>
      </c>
      <c r="H912" s="36"/>
    </row>
    <row r="913">
      <c r="D913" s="15"/>
      <c r="E913" s="32" t="s">
        <v>178</v>
      </c>
      <c r="F913" s="35" t="s">
        <v>207</v>
      </c>
      <c r="G913" s="84" t="str">
        <f>HYPERLINK("https://docs.google.com/spreadsheets/d/1q13Oxz0f2D3cZI-BAfPjHNyVZEjvJefaYfw7TqtbCdY/edit#gid=1184522652", "https://docs.google.com/spreadsheets/d/1q13Oxz0f2D3cZI-BAfPjHNyVZEjvJefaYfw7TqtbCdY/edit#gid=1184522652")</f>
        <v>https://docs.google.com/spreadsheets/d/1q13Oxz0f2D3cZI-BAfPjHNyVZEjvJefaYfw7TqtbCdY/edit#gid=1184522652</v>
      </c>
      <c r="H913" s="35" t="s">
        <v>1998</v>
      </c>
    </row>
    <row r="914">
      <c r="D914" s="15"/>
      <c r="E914" s="32" t="s">
        <v>178</v>
      </c>
      <c r="F914" s="35" t="s">
        <v>208</v>
      </c>
      <c r="G914" s="84" t="str">
        <f>HYPERLINK("https://docs.google.com/spreadsheets/d/1q13Oxz0f2D3cZI-BAfPjHNyVZEjvJefaYfw7TqtbCdY/edit#gid=334558632", "https://docs.google.com/spreadsheets/d/1q13Oxz0f2D3cZI-BAfPjHNyVZEjvJefaYfw7TqtbCdY/edit#gid=334558632")</f>
        <v>https://docs.google.com/spreadsheets/d/1q13Oxz0f2D3cZI-BAfPjHNyVZEjvJefaYfw7TqtbCdY/edit#gid=334558632</v>
      </c>
      <c r="H914" s="35" t="s">
        <v>208</v>
      </c>
    </row>
    <row r="915">
      <c r="D915" s="15"/>
      <c r="E915" s="32" t="s">
        <v>178</v>
      </c>
      <c r="F915" s="35" t="s">
        <v>182</v>
      </c>
      <c r="G915" s="84" t="str">
        <f>HYPERLINK("https://docs.google.com/spreadsheets/d/1q13Oxz0f2D3cZI-BAfPjHNyVZEjvJefaYfw7TqtbCdY/edit#gid=692566739", "https://docs.google.com/spreadsheets/d/1q13Oxz0f2D3cZI-BAfPjHNyVZEjvJefaYfw7TqtbCdY/edit#gid=692566739")</f>
        <v>https://docs.google.com/spreadsheets/d/1q13Oxz0f2D3cZI-BAfPjHNyVZEjvJefaYfw7TqtbCdY/edit#gid=692566739</v>
      </c>
      <c r="H915" s="35" t="s">
        <v>182</v>
      </c>
    </row>
    <row r="916">
      <c r="D916" s="15"/>
      <c r="E916" s="32" t="s">
        <v>178</v>
      </c>
      <c r="F916" s="35" t="s">
        <v>180</v>
      </c>
      <c r="G916" s="84" t="str">
        <f>HYPERLINK("https://docs.google.com/spreadsheets/d/1q13Oxz0f2D3cZI-BAfPjHNyVZEjvJefaYfw7TqtbCdY/edit#gid=1533352528", "https://docs.google.com/spreadsheets/d/1q13Oxz0f2D3cZI-BAfPjHNyVZEjvJefaYfw7TqtbCdY/edit#gid=1533352528")</f>
        <v>https://docs.google.com/spreadsheets/d/1q13Oxz0f2D3cZI-BAfPjHNyVZEjvJefaYfw7TqtbCdY/edit#gid=1533352528</v>
      </c>
      <c r="H916" s="35" t="s">
        <v>180</v>
      </c>
    </row>
    <row r="917">
      <c r="D917" s="15"/>
      <c r="E917" s="32" t="s">
        <v>178</v>
      </c>
      <c r="F917" s="35" t="s">
        <v>209</v>
      </c>
      <c r="G917" s="84" t="str">
        <f>HYPERLINK("https://docs.google.com/spreadsheets/d/1q13Oxz0f2D3cZI-BAfPjHNyVZEjvJefaYfw7TqtbCdY/edit#gid=335047361", "https://docs.google.com/spreadsheets/d/1q13Oxz0f2D3cZI-BAfPjHNyVZEjvJefaYfw7TqtbCdY/edit#gid=335047361")</f>
        <v>https://docs.google.com/spreadsheets/d/1q13Oxz0f2D3cZI-BAfPjHNyVZEjvJefaYfw7TqtbCdY/edit#gid=335047361</v>
      </c>
      <c r="H917" s="35" t="s">
        <v>209</v>
      </c>
    </row>
    <row r="918">
      <c r="D918" s="15"/>
      <c r="E918" s="32" t="s">
        <v>178</v>
      </c>
      <c r="F918" s="35" t="s">
        <v>210</v>
      </c>
      <c r="G918" s="84" t="str">
        <f>HYPERLINK("https://docs.google.com/spreadsheets/d/1q13Oxz0f2D3cZI-BAfPjHNyVZEjvJefaYfw7TqtbCdY/edit#gid=1932455262", "https://docs.google.com/spreadsheets/d/1q13Oxz0f2D3cZI-BAfPjHNyVZEjvJefaYfw7TqtbCdY/edit#gid=1932455262")</f>
        <v>https://docs.google.com/spreadsheets/d/1q13Oxz0f2D3cZI-BAfPjHNyVZEjvJefaYfw7TqtbCdY/edit#gid=1932455262</v>
      </c>
      <c r="H918" s="35" t="s">
        <v>210</v>
      </c>
    </row>
    <row r="919">
      <c r="D919" s="15"/>
      <c r="E919" s="32" t="s">
        <v>157</v>
      </c>
      <c r="F919" s="35" t="s">
        <v>161</v>
      </c>
      <c r="G919" s="84" t="str">
        <f>HYPERLINK("https://docs.google.com/spreadsheets/d/1q13Oxz0f2D3cZI-BAfPjHNyVZEjvJefaYfw7TqtbCdY/edit#gid=831566242", "https://docs.google.com/spreadsheets/d/1q13Oxz0f2D3cZI-BAfPjHNyVZEjvJefaYfw7TqtbCdY/edit#gid=831566242")</f>
        <v>https://docs.google.com/spreadsheets/d/1q13Oxz0f2D3cZI-BAfPjHNyVZEjvJefaYfw7TqtbCdY/edit#gid=831566242</v>
      </c>
      <c r="H919" s="35" t="s">
        <v>161</v>
      </c>
    </row>
    <row r="920">
      <c r="D920" s="15"/>
      <c r="E920" s="32" t="s">
        <v>157</v>
      </c>
      <c r="F920" s="35" t="s">
        <v>158</v>
      </c>
      <c r="G920" s="84" t="str">
        <f>HYPERLINK("https://docs.google.com/spreadsheets/d/1q13Oxz0f2D3cZI-BAfPjHNyVZEjvJefaYfw7TqtbCdY/edit#gid=397199272", "https://docs.google.com/spreadsheets/d/1q13Oxz0f2D3cZI-BAfPjHNyVZEjvJefaYfw7TqtbCdY/edit#gid=397199272")</f>
        <v>https://docs.google.com/spreadsheets/d/1q13Oxz0f2D3cZI-BAfPjHNyVZEjvJefaYfw7TqtbCdY/edit#gid=397199272</v>
      </c>
      <c r="H920" s="35" t="s">
        <v>158</v>
      </c>
    </row>
    <row r="921">
      <c r="D921" s="15"/>
      <c r="E921" s="32" t="s">
        <v>157</v>
      </c>
      <c r="F921" s="35" t="s">
        <v>196</v>
      </c>
      <c r="G921" s="84" t="str">
        <f>HYPERLINK("https://docs.google.com/spreadsheets/d/1q13Oxz0f2D3cZI-BAfPjHNyVZEjvJefaYfw7TqtbCdY/edit#gid=1900610666", "https://docs.google.com/spreadsheets/d/1q13Oxz0f2D3cZI-BAfPjHNyVZEjvJefaYfw7TqtbCdY/edit#gid=1900610666")</f>
        <v>https://docs.google.com/spreadsheets/d/1q13Oxz0f2D3cZI-BAfPjHNyVZEjvJefaYfw7TqtbCdY/edit#gid=1900610666</v>
      </c>
      <c r="H921" s="35" t="s">
        <v>196</v>
      </c>
    </row>
    <row r="922">
      <c r="D922" s="15"/>
      <c r="E922" s="32" t="s">
        <v>172</v>
      </c>
      <c r="F922" s="35" t="s">
        <v>173</v>
      </c>
      <c r="G922" s="84" t="str">
        <f>HYPERLINK("https://docs.google.com/spreadsheets/d/1q13Oxz0f2D3cZI-BAfPjHNyVZEjvJefaYfw7TqtbCdY/edit#gid=500810060", "https://docs.google.com/spreadsheets/d/1q13Oxz0f2D3cZI-BAfPjHNyVZEjvJefaYfw7TqtbCdY/edit#gid=500810060")</f>
        <v>https://docs.google.com/spreadsheets/d/1q13Oxz0f2D3cZI-BAfPjHNyVZEjvJefaYfw7TqtbCdY/edit#gid=500810060</v>
      </c>
      <c r="H922" s="35" t="s">
        <v>2054</v>
      </c>
    </row>
    <row r="923">
      <c r="D923" s="15"/>
      <c r="E923" s="32" t="s">
        <v>172</v>
      </c>
      <c r="F923" s="35" t="s">
        <v>402</v>
      </c>
      <c r="G923" s="84" t="str">
        <f>HYPERLINK("https://docs.google.com/spreadsheets/d/1q13Oxz0f2D3cZI-BAfPjHNyVZEjvJefaYfw7TqtbCdY/edit#gid=2009561379", "https://docs.google.com/spreadsheets/d/1q13Oxz0f2D3cZI-BAfPjHNyVZEjvJefaYfw7TqtbCdY/edit#gid=2009561379")</f>
        <v>https://docs.google.com/spreadsheets/d/1q13Oxz0f2D3cZI-BAfPjHNyVZEjvJefaYfw7TqtbCdY/edit#gid=2009561379</v>
      </c>
      <c r="H923" s="35" t="s">
        <v>2055</v>
      </c>
    </row>
    <row r="924">
      <c r="D924" s="15"/>
      <c r="E924" s="32" t="s">
        <v>172</v>
      </c>
      <c r="F924" s="35" t="s">
        <v>203</v>
      </c>
      <c r="G924" s="84" t="str">
        <f>HYPERLINK("https://docs.google.com/spreadsheets/d/1q13Oxz0f2D3cZI-BAfPjHNyVZEjvJefaYfw7TqtbCdY/edit#gid=1674013384", "https://docs.google.com/spreadsheets/d/1q13Oxz0f2D3cZI-BAfPjHNyVZEjvJefaYfw7TqtbCdY/edit#gid=1674013384")</f>
        <v>https://docs.google.com/spreadsheets/d/1q13Oxz0f2D3cZI-BAfPjHNyVZEjvJefaYfw7TqtbCdY/edit#gid=1674013384</v>
      </c>
      <c r="H924" s="35" t="s">
        <v>1999</v>
      </c>
    </row>
    <row r="925">
      <c r="D925" s="15"/>
      <c r="E925" s="32" t="s">
        <v>172</v>
      </c>
      <c r="F925" s="35" t="s">
        <v>204</v>
      </c>
      <c r="G925" s="84" t="str">
        <f>HYPERLINK("https://docs.google.com/spreadsheets/d/1q13Oxz0f2D3cZI-BAfPjHNyVZEjvJefaYfw7TqtbCdY/edit#gid=2062495296", "https://docs.google.com/spreadsheets/d/1q13Oxz0f2D3cZI-BAfPjHNyVZEjvJefaYfw7TqtbCdY/edit#gid=2062495296")</f>
        <v>https://docs.google.com/spreadsheets/d/1q13Oxz0f2D3cZI-BAfPjHNyVZEjvJefaYfw7TqtbCdY/edit#gid=2062495296</v>
      </c>
      <c r="H925" s="35" t="s">
        <v>2000</v>
      </c>
    </row>
    <row r="926">
      <c r="D926" s="15"/>
      <c r="E926" s="32" t="s">
        <v>178</v>
      </c>
      <c r="F926" s="35" t="s">
        <v>207</v>
      </c>
      <c r="G926" s="84" t="str">
        <f>HYPERLINK("https://docs.google.com/spreadsheets/d/1q13Oxz0f2D3cZI-BAfPjHNyVZEjvJefaYfw7TqtbCdY/edit#gid=124411510", "https://docs.google.com/spreadsheets/d/1q13Oxz0f2D3cZI-BAfPjHNyVZEjvJefaYfw7TqtbCdY/edit#gid=124411510")</f>
        <v>https://docs.google.com/spreadsheets/d/1q13Oxz0f2D3cZI-BAfPjHNyVZEjvJefaYfw7TqtbCdY/edit#gid=124411510</v>
      </c>
      <c r="H926" s="35" t="s">
        <v>2001</v>
      </c>
    </row>
    <row r="927">
      <c r="D927" s="15"/>
      <c r="E927" s="32" t="s">
        <v>178</v>
      </c>
      <c r="F927" s="35" t="s">
        <v>208</v>
      </c>
      <c r="G927" s="84" t="str">
        <f>HYPERLINK("https://docs.google.com/spreadsheets/d/1q13Oxz0f2D3cZI-BAfPjHNyVZEjvJefaYfw7TqtbCdY/edit#gid=676955907", "https://docs.google.com/spreadsheets/d/1q13Oxz0f2D3cZI-BAfPjHNyVZEjvJefaYfw7TqtbCdY/edit#gid=676955907")</f>
        <v>https://docs.google.com/spreadsheets/d/1q13Oxz0f2D3cZI-BAfPjHNyVZEjvJefaYfw7TqtbCdY/edit#gid=676955907</v>
      </c>
      <c r="H927" s="35" t="s">
        <v>2002</v>
      </c>
    </row>
    <row r="928">
      <c r="D928" s="15"/>
      <c r="E928" s="32" t="s">
        <v>178</v>
      </c>
      <c r="F928" s="35" t="s">
        <v>182</v>
      </c>
      <c r="G928" s="84" t="str">
        <f>HYPERLINK("https://docs.google.com/spreadsheets/d/1q13Oxz0f2D3cZI-BAfPjHNyVZEjvJefaYfw7TqtbCdY/edit#gid=590904032", "https://docs.google.com/spreadsheets/d/1q13Oxz0f2D3cZI-BAfPjHNyVZEjvJefaYfw7TqtbCdY/edit#gid=590904032")</f>
        <v>https://docs.google.com/spreadsheets/d/1q13Oxz0f2D3cZI-BAfPjHNyVZEjvJefaYfw7TqtbCdY/edit#gid=590904032</v>
      </c>
      <c r="H928" s="35" t="s">
        <v>2003</v>
      </c>
    </row>
    <row r="929">
      <c r="D929" s="15"/>
      <c r="E929" s="32" t="s">
        <v>178</v>
      </c>
      <c r="F929" s="35" t="s">
        <v>180</v>
      </c>
      <c r="G929" s="84" t="str">
        <f>HYPERLINK("https://docs.google.com/spreadsheets/d/1q13Oxz0f2D3cZI-BAfPjHNyVZEjvJefaYfw7TqtbCdY/edit#gid=1816311039", "https://docs.google.com/spreadsheets/d/1q13Oxz0f2D3cZI-BAfPjHNyVZEjvJefaYfw7TqtbCdY/edit#gid=1816311039")</f>
        <v>https://docs.google.com/spreadsheets/d/1q13Oxz0f2D3cZI-BAfPjHNyVZEjvJefaYfw7TqtbCdY/edit#gid=1816311039</v>
      </c>
      <c r="H929" s="35" t="s">
        <v>2009</v>
      </c>
    </row>
    <row r="930">
      <c r="D930" s="15"/>
      <c r="E930" s="32" t="s">
        <v>178</v>
      </c>
      <c r="F930" s="35" t="s">
        <v>209</v>
      </c>
      <c r="G930" s="84" t="str">
        <f>HYPERLINK("https://docs.google.com/spreadsheets/d/1q13Oxz0f2D3cZI-BAfPjHNyVZEjvJefaYfw7TqtbCdY/edit#gid=1811987580", "https://docs.google.com/spreadsheets/d/1q13Oxz0f2D3cZI-BAfPjHNyVZEjvJefaYfw7TqtbCdY/edit#gid=1811987580")</f>
        <v>https://docs.google.com/spreadsheets/d/1q13Oxz0f2D3cZI-BAfPjHNyVZEjvJefaYfw7TqtbCdY/edit#gid=1811987580</v>
      </c>
      <c r="H930" s="35" t="s">
        <v>1986</v>
      </c>
    </row>
    <row r="931">
      <c r="D931" s="15"/>
      <c r="E931" s="32" t="s">
        <v>178</v>
      </c>
      <c r="F931" s="35" t="s">
        <v>210</v>
      </c>
      <c r="G931" s="84" t="str">
        <f>HYPERLINK("https://docs.google.com/spreadsheets/d/1q13Oxz0f2D3cZI-BAfPjHNyVZEjvJefaYfw7TqtbCdY/edit#gid=1473689686", "https://docs.google.com/spreadsheets/d/1q13Oxz0f2D3cZI-BAfPjHNyVZEjvJefaYfw7TqtbCdY/edit#gid=1473689686")</f>
        <v>https://docs.google.com/spreadsheets/d/1q13Oxz0f2D3cZI-BAfPjHNyVZEjvJefaYfw7TqtbCdY/edit#gid=1473689686</v>
      </c>
      <c r="H931" s="35" t="s">
        <v>1987</v>
      </c>
    </row>
    <row r="932">
      <c r="D932" s="15"/>
      <c r="E932" s="32" t="s">
        <v>86</v>
      </c>
      <c r="F932" s="35" t="s">
        <v>90</v>
      </c>
      <c r="G932" s="84" t="str">
        <f>HYPERLINK("https://docs.google.com/spreadsheets/d/1q13Oxz0f2D3cZI-BAfPjHNyVZEjvJefaYfw7TqtbCdY/edit#gid=1421915805", "https://docs.google.com/spreadsheets/d/1q13Oxz0f2D3cZI-BAfPjHNyVZEjvJefaYfw7TqtbCdY/edit#gid=1421915805")</f>
        <v>https://docs.google.com/spreadsheets/d/1q13Oxz0f2D3cZI-BAfPjHNyVZEjvJefaYfw7TqtbCdY/edit#gid=1421915805</v>
      </c>
      <c r="H932" s="35" t="s">
        <v>90</v>
      </c>
    </row>
    <row r="933">
      <c r="D933" s="15"/>
      <c r="E933" s="32" t="s">
        <v>86</v>
      </c>
      <c r="F933" s="35" t="s">
        <v>91</v>
      </c>
      <c r="G933" s="84" t="str">
        <f>HYPERLINK("https://docs.google.com/spreadsheets/d/1q13Oxz0f2D3cZI-BAfPjHNyVZEjvJefaYfw7TqtbCdY/edit#gid=1512818336", "https://docs.google.com/spreadsheets/d/1q13Oxz0f2D3cZI-BAfPjHNyVZEjvJefaYfw7TqtbCdY/edit#gid=1512818336")</f>
        <v>https://docs.google.com/spreadsheets/d/1q13Oxz0f2D3cZI-BAfPjHNyVZEjvJefaYfw7TqtbCdY/edit#gid=1512818336</v>
      </c>
      <c r="H933" s="35" t="s">
        <v>91</v>
      </c>
    </row>
    <row r="934">
      <c r="D934" s="15"/>
      <c r="E934" s="32" t="s">
        <v>88</v>
      </c>
      <c r="F934" s="35" t="s">
        <v>95</v>
      </c>
      <c r="G934" s="84" t="str">
        <f>HYPERLINK("https://docs.google.com/spreadsheets/d/1q13Oxz0f2D3cZI-BAfPjHNyVZEjvJefaYfw7TqtbCdY/edit#gid=1309600480", "https://docs.google.com/spreadsheets/d/1q13Oxz0f2D3cZI-BAfPjHNyVZEjvJefaYfw7TqtbCdY/edit#gid=1309600480")</f>
        <v>https://docs.google.com/spreadsheets/d/1q13Oxz0f2D3cZI-BAfPjHNyVZEjvJefaYfw7TqtbCdY/edit#gid=1309600480</v>
      </c>
      <c r="H934" s="35" t="s">
        <v>95</v>
      </c>
    </row>
    <row r="935">
      <c r="D935" s="15"/>
      <c r="E935" s="32" t="s">
        <v>88</v>
      </c>
      <c r="F935" s="35" t="s">
        <v>96</v>
      </c>
      <c r="G935" s="84" t="str">
        <f>HYPERLINK("https://docs.google.com/spreadsheets/d/1q13Oxz0f2D3cZI-BAfPjHNyVZEjvJefaYfw7TqtbCdY/edit#gid=1271023656", "https://docs.google.com/spreadsheets/d/1q13Oxz0f2D3cZI-BAfPjHNyVZEjvJefaYfw7TqtbCdY/edit#gid=1271023656")</f>
        <v>https://docs.google.com/spreadsheets/d/1q13Oxz0f2D3cZI-BAfPjHNyVZEjvJefaYfw7TqtbCdY/edit#gid=1271023656</v>
      </c>
      <c r="H935" s="35" t="s">
        <v>96</v>
      </c>
    </row>
    <row r="936">
      <c r="D936" s="15"/>
      <c r="E936" s="32"/>
      <c r="F936" s="35"/>
      <c r="H936" s="35"/>
    </row>
    <row r="937">
      <c r="B937" s="35" t="s">
        <v>2099</v>
      </c>
      <c r="C937" s="35" t="s">
        <v>2093</v>
      </c>
      <c r="D937" s="32" t="s">
        <v>20</v>
      </c>
      <c r="E937" s="32" t="s">
        <v>89</v>
      </c>
      <c r="F937" s="35" t="s">
        <v>291</v>
      </c>
      <c r="H937" s="36"/>
    </row>
    <row r="938">
      <c r="B938" s="35" t="s">
        <v>2100</v>
      </c>
      <c r="C938" s="210" t="s">
        <v>2101</v>
      </c>
      <c r="D938" s="32" t="s">
        <v>20</v>
      </c>
      <c r="E938" s="32" t="s">
        <v>178</v>
      </c>
      <c r="F938" s="35" t="s">
        <v>201</v>
      </c>
      <c r="G938" s="84" t="str">
        <f>HYPERLINK("https://docs.google.com/spreadsheets/d/1FkR-belIltsQbrFSfrEc6kU0dIWUIHD5-gOZTLOsTDs/edit#gid=1593383118", "https://docs.google.com/spreadsheets/d/1FkR-belIltsQbrFSfrEc6kU0dIWUIHD5-gOZTLOsTDs/edit#gid=1593383118")</f>
        <v>https://docs.google.com/spreadsheets/d/1FkR-belIltsQbrFSfrEc6kU0dIWUIHD5-gOZTLOsTDs/edit#gid=1593383118</v>
      </c>
      <c r="H938" s="35" t="s">
        <v>201</v>
      </c>
    </row>
    <row r="939">
      <c r="D939" s="15"/>
      <c r="E939" s="32" t="s">
        <v>178</v>
      </c>
      <c r="F939" s="35" t="s">
        <v>202</v>
      </c>
      <c r="G939" s="84" t="str">
        <f>HYPERLINK("https://docs.google.com/spreadsheets/d/1FkR-belIltsQbrFSfrEc6kU0dIWUIHD5-gOZTLOsTDs/edit#gid=189459290", "https://docs.google.com/spreadsheets/d/1FkR-belIltsQbrFSfrEc6kU0dIWUIHD5-gOZTLOsTDs/edit#gid=189459290")</f>
        <v>https://docs.google.com/spreadsheets/d/1FkR-belIltsQbrFSfrEc6kU0dIWUIHD5-gOZTLOsTDs/edit#gid=189459290</v>
      </c>
      <c r="H939" s="35" t="s">
        <v>202</v>
      </c>
    </row>
    <row r="940">
      <c r="D940" s="15"/>
      <c r="E940" s="32" t="s">
        <v>178</v>
      </c>
      <c r="F940" s="35" t="s">
        <v>202</v>
      </c>
      <c r="G940" s="84" t="str">
        <f>HYPERLINK("https://docs.google.com/spreadsheets/d/1FkR-belIltsQbrFSfrEc6kU0dIWUIHD5-gOZTLOsTDs/edit#gid=1396249590", "https://docs.google.com/spreadsheets/d/1FkR-belIltsQbrFSfrEc6kU0dIWUIHD5-gOZTLOsTDs/edit#gid=1396249590")</f>
        <v>https://docs.google.com/spreadsheets/d/1FkR-belIltsQbrFSfrEc6kU0dIWUIHD5-gOZTLOsTDs/edit#gid=1396249590</v>
      </c>
      <c r="H940" s="35" t="s">
        <v>2025</v>
      </c>
    </row>
    <row r="941">
      <c r="D941" s="15"/>
      <c r="E941" s="32" t="s">
        <v>21</v>
      </c>
      <c r="F941" s="35" t="s">
        <v>51</v>
      </c>
      <c r="G941" s="84" t="str">
        <f>HYPERLINK("https://docs.google.com/spreadsheets/d/1FkR-belIltsQbrFSfrEc6kU0dIWUIHD5-gOZTLOsTDs/edit#gid=1994533918", "https://docs.google.com/spreadsheets/d/1FkR-belIltsQbrFSfrEc6kU0dIWUIHD5-gOZTLOsTDs/edit#gid=1994533918")</f>
        <v>https://docs.google.com/spreadsheets/d/1FkR-belIltsQbrFSfrEc6kU0dIWUIHD5-gOZTLOsTDs/edit#gid=1994533918</v>
      </c>
      <c r="H941" s="35" t="s">
        <v>51</v>
      </c>
    </row>
    <row r="942">
      <c r="D942" s="15"/>
      <c r="E942" s="32" t="s">
        <v>172</v>
      </c>
      <c r="F942" s="35" t="s">
        <v>173</v>
      </c>
      <c r="G942" s="84" t="str">
        <f>HYPERLINK("https://docs.google.com/spreadsheets/d/1FkR-belIltsQbrFSfrEc6kU0dIWUIHD5-gOZTLOsTDs/edit#gid=782900784", "https://docs.google.com/spreadsheets/d/1FkR-belIltsQbrFSfrEc6kU0dIWUIHD5-gOZTLOsTDs/edit#gid=782900784")</f>
        <v>https://docs.google.com/spreadsheets/d/1FkR-belIltsQbrFSfrEc6kU0dIWUIHD5-gOZTLOsTDs/edit#gid=782900784</v>
      </c>
      <c r="H942" s="35" t="s">
        <v>173</v>
      </c>
    </row>
    <row r="943">
      <c r="D943" s="15"/>
      <c r="E943" s="32" t="s">
        <v>172</v>
      </c>
      <c r="F943" s="35" t="s">
        <v>402</v>
      </c>
      <c r="G943" s="84" t="str">
        <f>HYPERLINK("https://docs.google.com/spreadsheets/d/1FkR-belIltsQbrFSfrEc6kU0dIWUIHD5-gOZTLOsTDs/edit#gid=1797366909", "https://docs.google.com/spreadsheets/d/1FkR-belIltsQbrFSfrEc6kU0dIWUIHD5-gOZTLOsTDs/edit#gid=1797366909")</f>
        <v>https://docs.google.com/spreadsheets/d/1FkR-belIltsQbrFSfrEc6kU0dIWUIHD5-gOZTLOsTDs/edit#gid=1797366909</v>
      </c>
      <c r="H943" s="35" t="s">
        <v>402</v>
      </c>
    </row>
    <row r="944">
      <c r="D944" s="15"/>
      <c r="E944" s="32" t="s">
        <v>172</v>
      </c>
      <c r="F944" s="35" t="s">
        <v>203</v>
      </c>
      <c r="G944" s="84" t="str">
        <f>HYPERLINK("https://docs.google.com/spreadsheets/d/1FkR-belIltsQbrFSfrEc6kU0dIWUIHD5-gOZTLOsTDs/edit#gid=1553926779", "https://docs.google.com/spreadsheets/d/1FkR-belIltsQbrFSfrEc6kU0dIWUIHD5-gOZTLOsTDs/edit#gid=1553926779")</f>
        <v>https://docs.google.com/spreadsheets/d/1FkR-belIltsQbrFSfrEc6kU0dIWUIHD5-gOZTLOsTDs/edit#gid=1553926779</v>
      </c>
      <c r="H944" s="35" t="s">
        <v>203</v>
      </c>
    </row>
    <row r="945">
      <c r="D945" s="15"/>
      <c r="E945" s="32" t="s">
        <v>172</v>
      </c>
      <c r="F945" s="35" t="s">
        <v>204</v>
      </c>
      <c r="G945" s="84" t="str">
        <f>HYPERLINK("https://docs.google.com/spreadsheets/d/1FkR-belIltsQbrFSfrEc6kU0dIWUIHD5-gOZTLOsTDs/edit#gid=183156700", "https://docs.google.com/spreadsheets/d/1FkR-belIltsQbrFSfrEc6kU0dIWUIHD5-gOZTLOsTDs/edit#gid=183156700")</f>
        <v>https://docs.google.com/spreadsheets/d/1FkR-belIltsQbrFSfrEc6kU0dIWUIHD5-gOZTLOsTDs/edit#gid=183156700</v>
      </c>
      <c r="H945" s="35" t="s">
        <v>204</v>
      </c>
    </row>
    <row r="946">
      <c r="D946" s="15"/>
      <c r="E946" s="32" t="s">
        <v>178</v>
      </c>
      <c r="F946" s="35" t="s">
        <v>205</v>
      </c>
      <c r="G946" s="84" t="str">
        <f>HYPERLINK("https://docs.google.com/spreadsheets/d/1FkR-belIltsQbrFSfrEc6kU0dIWUIHD5-gOZTLOsTDs/edit#gid=522347076", "https://docs.google.com/spreadsheets/d/1FkR-belIltsQbrFSfrEc6kU0dIWUIHD5-gOZTLOsTDs/edit#gid=522347076")</f>
        <v>https://docs.google.com/spreadsheets/d/1FkR-belIltsQbrFSfrEc6kU0dIWUIHD5-gOZTLOsTDs/edit#gid=522347076</v>
      </c>
      <c r="H946" s="35" t="s">
        <v>205</v>
      </c>
    </row>
    <row r="947">
      <c r="D947" s="15"/>
      <c r="E947" s="32" t="s">
        <v>178</v>
      </c>
      <c r="F947" s="35" t="s">
        <v>206</v>
      </c>
      <c r="H947" s="36"/>
    </row>
    <row r="948">
      <c r="D948" s="15"/>
      <c r="E948" s="32" t="s">
        <v>178</v>
      </c>
      <c r="F948" s="35" t="s">
        <v>207</v>
      </c>
      <c r="G948" s="84" t="str">
        <f>HYPERLINK("https://docs.google.com/spreadsheets/d/1FkR-belIltsQbrFSfrEc6kU0dIWUIHD5-gOZTLOsTDs/edit#gid=1862342655", "https://docs.google.com/spreadsheets/d/1FkR-belIltsQbrFSfrEc6kU0dIWUIHD5-gOZTLOsTDs/edit#gid=1862342655")</f>
        <v>https://docs.google.com/spreadsheets/d/1FkR-belIltsQbrFSfrEc6kU0dIWUIHD5-gOZTLOsTDs/edit#gid=1862342655</v>
      </c>
      <c r="H948" s="35" t="s">
        <v>207</v>
      </c>
    </row>
    <row r="949">
      <c r="D949" s="15"/>
      <c r="E949" s="32" t="s">
        <v>172</v>
      </c>
      <c r="F949" s="35" t="s">
        <v>173</v>
      </c>
      <c r="G949" s="84" t="str">
        <f>HYPERLINK("https://docs.google.com/spreadsheets/d/1FkR-belIltsQbrFSfrEc6kU0dIWUIHD5-gOZTLOsTDs/edit#gid=2069543301", "https://docs.google.com/spreadsheets/d/1FkR-belIltsQbrFSfrEc6kU0dIWUIHD5-gOZTLOsTDs/edit#gid=2069543301")</f>
        <v>https://docs.google.com/spreadsheets/d/1FkR-belIltsQbrFSfrEc6kU0dIWUIHD5-gOZTLOsTDs/edit#gid=2069543301</v>
      </c>
      <c r="H949" s="35" t="s">
        <v>269</v>
      </c>
    </row>
    <row r="950">
      <c r="D950" s="15"/>
      <c r="E950" s="32" t="s">
        <v>172</v>
      </c>
      <c r="F950" s="35" t="s">
        <v>402</v>
      </c>
      <c r="G950" s="84" t="str">
        <f>HYPERLINK("https://docs.google.com/spreadsheets/d/1FkR-belIltsQbrFSfrEc6kU0dIWUIHD5-gOZTLOsTDs/edit#gid=1989342096", "https://docs.google.com/spreadsheets/d/1FkR-belIltsQbrFSfrEc6kU0dIWUIHD5-gOZTLOsTDs/edit#gid=1989342096")</f>
        <v>https://docs.google.com/spreadsheets/d/1FkR-belIltsQbrFSfrEc6kU0dIWUIHD5-gOZTLOsTDs/edit#gid=1989342096</v>
      </c>
      <c r="H950" s="35" t="s">
        <v>2053</v>
      </c>
    </row>
    <row r="951">
      <c r="D951" s="15"/>
      <c r="E951" s="32" t="s">
        <v>172</v>
      </c>
      <c r="F951" s="35" t="s">
        <v>203</v>
      </c>
      <c r="G951" s="84" t="str">
        <f>HYPERLINK("https://docs.google.com/spreadsheets/d/1FkR-belIltsQbrFSfrEc6kU0dIWUIHD5-gOZTLOsTDs/edit#gid=1474097684", "https://docs.google.com/spreadsheets/d/1FkR-belIltsQbrFSfrEc6kU0dIWUIHD5-gOZTLOsTDs/edit#gid=1474097684")</f>
        <v>https://docs.google.com/spreadsheets/d/1FkR-belIltsQbrFSfrEc6kU0dIWUIHD5-gOZTLOsTDs/edit#gid=1474097684</v>
      </c>
      <c r="H951" s="35" t="s">
        <v>1995</v>
      </c>
    </row>
    <row r="952">
      <c r="D952" s="15"/>
      <c r="E952" s="32" t="s">
        <v>172</v>
      </c>
      <c r="F952" s="35" t="s">
        <v>204</v>
      </c>
      <c r="G952" s="84" t="str">
        <f>HYPERLINK("https://docs.google.com/spreadsheets/d/1FkR-belIltsQbrFSfrEc6kU0dIWUIHD5-gOZTLOsTDs/edit#gid=1954329492", "https://docs.google.com/spreadsheets/d/1FkR-belIltsQbrFSfrEc6kU0dIWUIHD5-gOZTLOsTDs/edit#gid=1954329492")</f>
        <v>https://docs.google.com/spreadsheets/d/1FkR-belIltsQbrFSfrEc6kU0dIWUIHD5-gOZTLOsTDs/edit#gid=1954329492</v>
      </c>
      <c r="H952" s="35" t="s">
        <v>1996</v>
      </c>
    </row>
    <row r="953">
      <c r="D953" s="15"/>
      <c r="E953" s="32" t="s">
        <v>178</v>
      </c>
      <c r="F953" s="35" t="s">
        <v>205</v>
      </c>
      <c r="G953" s="84" t="str">
        <f>HYPERLINK("https://docs.google.com/spreadsheets/d/1FkR-belIltsQbrFSfrEc6kU0dIWUIHD5-gOZTLOsTDs/edit#gid=1397372941", "https://docs.google.com/spreadsheets/d/1FkR-belIltsQbrFSfrEc6kU0dIWUIHD5-gOZTLOsTDs/edit#gid=1397372941")</f>
        <v>https://docs.google.com/spreadsheets/d/1FkR-belIltsQbrFSfrEc6kU0dIWUIHD5-gOZTLOsTDs/edit#gid=1397372941</v>
      </c>
      <c r="H953" s="35" t="s">
        <v>1997</v>
      </c>
    </row>
    <row r="954">
      <c r="D954" s="15"/>
      <c r="E954" s="32" t="s">
        <v>178</v>
      </c>
      <c r="F954" s="35" t="s">
        <v>206</v>
      </c>
      <c r="H954" s="36"/>
    </row>
    <row r="955">
      <c r="D955" s="15"/>
      <c r="E955" s="32" t="s">
        <v>178</v>
      </c>
      <c r="F955" s="35" t="s">
        <v>207</v>
      </c>
      <c r="G955" s="84" t="str">
        <f>HYPERLINK("https://docs.google.com/spreadsheets/d/1FkR-belIltsQbrFSfrEc6kU0dIWUIHD5-gOZTLOsTDs/edit#gid=1007917093", "https://docs.google.com/spreadsheets/d/1FkR-belIltsQbrFSfrEc6kU0dIWUIHD5-gOZTLOsTDs/edit#gid=1007917093")</f>
        <v>https://docs.google.com/spreadsheets/d/1FkR-belIltsQbrFSfrEc6kU0dIWUIHD5-gOZTLOsTDs/edit#gid=1007917093</v>
      </c>
      <c r="H955" s="35" t="s">
        <v>1998</v>
      </c>
    </row>
    <row r="956">
      <c r="D956" s="15"/>
      <c r="E956" s="32" t="s">
        <v>178</v>
      </c>
      <c r="F956" s="35" t="s">
        <v>208</v>
      </c>
      <c r="G956" s="84" t="str">
        <f>HYPERLINK("https://docs.google.com/spreadsheets/d/1FkR-belIltsQbrFSfrEc6kU0dIWUIHD5-gOZTLOsTDs/edit#gid=1218643922", "https://docs.google.com/spreadsheets/d/1FkR-belIltsQbrFSfrEc6kU0dIWUIHD5-gOZTLOsTDs/edit#gid=1218643922")</f>
        <v>https://docs.google.com/spreadsheets/d/1FkR-belIltsQbrFSfrEc6kU0dIWUIHD5-gOZTLOsTDs/edit#gid=1218643922</v>
      </c>
      <c r="H956" s="35" t="s">
        <v>208</v>
      </c>
    </row>
    <row r="957">
      <c r="D957" s="15"/>
      <c r="E957" s="32" t="s">
        <v>178</v>
      </c>
      <c r="F957" s="35" t="s">
        <v>182</v>
      </c>
      <c r="G957" s="84" t="str">
        <f>HYPERLINK("https://docs.google.com/spreadsheets/d/1FkR-belIltsQbrFSfrEc6kU0dIWUIHD5-gOZTLOsTDs/edit#gid=282854124", "https://docs.google.com/spreadsheets/d/1FkR-belIltsQbrFSfrEc6kU0dIWUIHD5-gOZTLOsTDs/edit#gid=282854124")</f>
        <v>https://docs.google.com/spreadsheets/d/1FkR-belIltsQbrFSfrEc6kU0dIWUIHD5-gOZTLOsTDs/edit#gid=282854124</v>
      </c>
      <c r="H957" s="35" t="s">
        <v>182</v>
      </c>
    </row>
    <row r="958">
      <c r="D958" s="15"/>
      <c r="E958" s="32" t="s">
        <v>178</v>
      </c>
      <c r="F958" s="35" t="s">
        <v>180</v>
      </c>
      <c r="G958" s="84" t="str">
        <f>HYPERLINK("https://docs.google.com/spreadsheets/d/1FkR-belIltsQbrFSfrEc6kU0dIWUIHD5-gOZTLOsTDs/edit#gid=276180599", "https://docs.google.com/spreadsheets/d/1FkR-belIltsQbrFSfrEc6kU0dIWUIHD5-gOZTLOsTDs/edit#gid=276180599")</f>
        <v>https://docs.google.com/spreadsheets/d/1FkR-belIltsQbrFSfrEc6kU0dIWUIHD5-gOZTLOsTDs/edit#gid=276180599</v>
      </c>
      <c r="H958" s="35" t="s">
        <v>180</v>
      </c>
    </row>
    <row r="959">
      <c r="D959" s="15"/>
      <c r="E959" s="32" t="s">
        <v>178</v>
      </c>
      <c r="F959" s="35" t="s">
        <v>209</v>
      </c>
      <c r="G959" s="84" t="str">
        <f>HYPERLINK("https://docs.google.com/spreadsheets/d/1FkR-belIltsQbrFSfrEc6kU0dIWUIHD5-gOZTLOsTDs/edit#gid=2136838688", "https://docs.google.com/spreadsheets/d/1FkR-belIltsQbrFSfrEc6kU0dIWUIHD5-gOZTLOsTDs/edit#gid=2136838688")</f>
        <v>https://docs.google.com/spreadsheets/d/1FkR-belIltsQbrFSfrEc6kU0dIWUIHD5-gOZTLOsTDs/edit#gid=2136838688</v>
      </c>
      <c r="H959" s="35" t="s">
        <v>209</v>
      </c>
    </row>
    <row r="960">
      <c r="D960" s="15"/>
      <c r="E960" s="32" t="s">
        <v>178</v>
      </c>
      <c r="F960" s="35" t="s">
        <v>210</v>
      </c>
      <c r="G960" s="84" t="str">
        <f>HYPERLINK("https://docs.google.com/spreadsheets/d/1FkR-belIltsQbrFSfrEc6kU0dIWUIHD5-gOZTLOsTDs/edit#gid=1798005694", "https://docs.google.com/spreadsheets/d/1FkR-belIltsQbrFSfrEc6kU0dIWUIHD5-gOZTLOsTDs/edit#gid=1798005694")</f>
        <v>https://docs.google.com/spreadsheets/d/1FkR-belIltsQbrFSfrEc6kU0dIWUIHD5-gOZTLOsTDs/edit#gid=1798005694</v>
      </c>
      <c r="H960" s="35" t="s">
        <v>210</v>
      </c>
    </row>
    <row r="961">
      <c r="D961" s="15"/>
      <c r="E961" s="32" t="s">
        <v>157</v>
      </c>
      <c r="F961" s="35" t="s">
        <v>161</v>
      </c>
      <c r="G961" s="84" t="str">
        <f>HYPERLINK("https://docs.google.com/spreadsheets/d/1FkR-belIltsQbrFSfrEc6kU0dIWUIHD5-gOZTLOsTDs/edit#gid=1799547812", "https://docs.google.com/spreadsheets/d/1FkR-belIltsQbrFSfrEc6kU0dIWUIHD5-gOZTLOsTDs/edit#gid=1799547812")</f>
        <v>https://docs.google.com/spreadsheets/d/1FkR-belIltsQbrFSfrEc6kU0dIWUIHD5-gOZTLOsTDs/edit#gid=1799547812</v>
      </c>
      <c r="H961" s="35" t="s">
        <v>161</v>
      </c>
    </row>
    <row r="962">
      <c r="D962" s="15"/>
      <c r="E962" s="32" t="s">
        <v>157</v>
      </c>
      <c r="F962" s="35" t="s">
        <v>158</v>
      </c>
      <c r="G962" s="84" t="str">
        <f>HYPERLINK("https://docs.google.com/spreadsheets/d/1FkR-belIltsQbrFSfrEc6kU0dIWUIHD5-gOZTLOsTDs/edit#gid=450719826", "https://docs.google.com/spreadsheets/d/1FkR-belIltsQbrFSfrEc6kU0dIWUIHD5-gOZTLOsTDs/edit#gid=450719826")</f>
        <v>https://docs.google.com/spreadsheets/d/1FkR-belIltsQbrFSfrEc6kU0dIWUIHD5-gOZTLOsTDs/edit#gid=450719826</v>
      </c>
      <c r="H962" s="35" t="s">
        <v>158</v>
      </c>
    </row>
    <row r="963">
      <c r="D963" s="15"/>
      <c r="E963" s="32" t="s">
        <v>157</v>
      </c>
      <c r="F963" s="35" t="s">
        <v>196</v>
      </c>
      <c r="G963" s="84" t="str">
        <f>HYPERLINK("https://docs.google.com/spreadsheets/d/1FkR-belIltsQbrFSfrEc6kU0dIWUIHD5-gOZTLOsTDs/edit#gid=1079211256", "https://docs.google.com/spreadsheets/d/1FkR-belIltsQbrFSfrEc6kU0dIWUIHD5-gOZTLOsTDs/edit#gid=1079211256")</f>
        <v>https://docs.google.com/spreadsheets/d/1FkR-belIltsQbrFSfrEc6kU0dIWUIHD5-gOZTLOsTDs/edit#gid=1079211256</v>
      </c>
      <c r="H963" s="35" t="s">
        <v>196</v>
      </c>
    </row>
    <row r="964">
      <c r="D964" s="15"/>
      <c r="E964" s="32" t="s">
        <v>172</v>
      </c>
      <c r="F964" s="35" t="s">
        <v>173</v>
      </c>
      <c r="G964" s="84" t="str">
        <f>HYPERLINK("https://docs.google.com/spreadsheets/d/1FkR-belIltsQbrFSfrEc6kU0dIWUIHD5-gOZTLOsTDs/edit#gid=905424659", "https://docs.google.com/spreadsheets/d/1FkR-belIltsQbrFSfrEc6kU0dIWUIHD5-gOZTLOsTDs/edit#gid=905424659")</f>
        <v>https://docs.google.com/spreadsheets/d/1FkR-belIltsQbrFSfrEc6kU0dIWUIHD5-gOZTLOsTDs/edit#gid=905424659</v>
      </c>
      <c r="H964" s="35" t="s">
        <v>2054</v>
      </c>
    </row>
    <row r="965">
      <c r="D965" s="15"/>
      <c r="E965" s="32" t="s">
        <v>172</v>
      </c>
      <c r="F965" s="35" t="s">
        <v>402</v>
      </c>
      <c r="G965" s="84" t="str">
        <f>HYPERLINK("https://docs.google.com/spreadsheets/d/1FkR-belIltsQbrFSfrEc6kU0dIWUIHD5-gOZTLOsTDs/edit#gid=2026726734", "https://docs.google.com/spreadsheets/d/1FkR-belIltsQbrFSfrEc6kU0dIWUIHD5-gOZTLOsTDs/edit#gid=2026726734")</f>
        <v>https://docs.google.com/spreadsheets/d/1FkR-belIltsQbrFSfrEc6kU0dIWUIHD5-gOZTLOsTDs/edit#gid=2026726734</v>
      </c>
      <c r="H965" s="35" t="s">
        <v>2055</v>
      </c>
    </row>
    <row r="966">
      <c r="D966" s="15"/>
      <c r="E966" s="32" t="s">
        <v>172</v>
      </c>
      <c r="F966" s="35" t="s">
        <v>203</v>
      </c>
      <c r="G966" s="84" t="str">
        <f>HYPERLINK("https://docs.google.com/spreadsheets/d/1FkR-belIltsQbrFSfrEc6kU0dIWUIHD5-gOZTLOsTDs/edit#gid=1802471913", "https://docs.google.com/spreadsheets/d/1FkR-belIltsQbrFSfrEc6kU0dIWUIHD5-gOZTLOsTDs/edit#gid=1802471913")</f>
        <v>https://docs.google.com/spreadsheets/d/1FkR-belIltsQbrFSfrEc6kU0dIWUIHD5-gOZTLOsTDs/edit#gid=1802471913</v>
      </c>
      <c r="H966" s="35" t="s">
        <v>1999</v>
      </c>
    </row>
    <row r="967">
      <c r="D967" s="15"/>
      <c r="E967" s="32" t="s">
        <v>172</v>
      </c>
      <c r="F967" s="35" t="s">
        <v>204</v>
      </c>
      <c r="G967" s="84" t="str">
        <f>HYPERLINK("https://docs.google.com/spreadsheets/d/1FkR-belIltsQbrFSfrEc6kU0dIWUIHD5-gOZTLOsTDs/edit#gid=2069529498", "https://docs.google.com/spreadsheets/d/1FkR-belIltsQbrFSfrEc6kU0dIWUIHD5-gOZTLOsTDs/edit#gid=2069529498")</f>
        <v>https://docs.google.com/spreadsheets/d/1FkR-belIltsQbrFSfrEc6kU0dIWUIHD5-gOZTLOsTDs/edit#gid=2069529498</v>
      </c>
      <c r="H967" s="35" t="s">
        <v>2000</v>
      </c>
    </row>
    <row r="968">
      <c r="D968" s="15"/>
      <c r="E968" s="32" t="s">
        <v>178</v>
      </c>
      <c r="F968" s="35" t="s">
        <v>207</v>
      </c>
      <c r="G968" s="84" t="str">
        <f>HYPERLINK("https://docs.google.com/spreadsheets/d/1FkR-belIltsQbrFSfrEc6kU0dIWUIHD5-gOZTLOsTDs/edit#gid=1631495617", "https://docs.google.com/spreadsheets/d/1FkR-belIltsQbrFSfrEc6kU0dIWUIHD5-gOZTLOsTDs/edit#gid=1631495617")</f>
        <v>https://docs.google.com/spreadsheets/d/1FkR-belIltsQbrFSfrEc6kU0dIWUIHD5-gOZTLOsTDs/edit#gid=1631495617</v>
      </c>
      <c r="H968" s="35" t="s">
        <v>2001</v>
      </c>
    </row>
    <row r="969">
      <c r="D969" s="15"/>
      <c r="E969" s="32" t="s">
        <v>178</v>
      </c>
      <c r="F969" s="35" t="s">
        <v>208</v>
      </c>
      <c r="G969" s="84" t="str">
        <f>HYPERLINK("https://docs.google.com/spreadsheets/d/1FkR-belIltsQbrFSfrEc6kU0dIWUIHD5-gOZTLOsTDs/edit#gid=2084710749", "https://docs.google.com/spreadsheets/d/1FkR-belIltsQbrFSfrEc6kU0dIWUIHD5-gOZTLOsTDs/edit#gid=2084710749")</f>
        <v>https://docs.google.com/spreadsheets/d/1FkR-belIltsQbrFSfrEc6kU0dIWUIHD5-gOZTLOsTDs/edit#gid=2084710749</v>
      </c>
      <c r="H969" s="35" t="s">
        <v>2002</v>
      </c>
    </row>
    <row r="970">
      <c r="D970" s="15"/>
      <c r="E970" s="32" t="s">
        <v>178</v>
      </c>
      <c r="F970" s="35" t="s">
        <v>182</v>
      </c>
      <c r="G970" s="84" t="str">
        <f>HYPERLINK("https://docs.google.com/spreadsheets/d/1FkR-belIltsQbrFSfrEc6kU0dIWUIHD5-gOZTLOsTDs/edit#gid=1584382357", "https://docs.google.com/spreadsheets/d/1FkR-belIltsQbrFSfrEc6kU0dIWUIHD5-gOZTLOsTDs/edit#gid=1584382357")</f>
        <v>https://docs.google.com/spreadsheets/d/1FkR-belIltsQbrFSfrEc6kU0dIWUIHD5-gOZTLOsTDs/edit#gid=1584382357</v>
      </c>
      <c r="H970" s="35" t="s">
        <v>2003</v>
      </c>
    </row>
    <row r="971">
      <c r="D971" s="15"/>
      <c r="E971" s="32" t="s">
        <v>178</v>
      </c>
      <c r="F971" s="35" t="s">
        <v>180</v>
      </c>
      <c r="G971" s="84" t="str">
        <f>HYPERLINK("https://docs.google.com/spreadsheets/d/1FkR-belIltsQbrFSfrEc6kU0dIWUIHD5-gOZTLOsTDs/edit#gid=1073342154", "https://docs.google.com/spreadsheets/d/1FkR-belIltsQbrFSfrEc6kU0dIWUIHD5-gOZTLOsTDs/edit#gid=1073342154")</f>
        <v>https://docs.google.com/spreadsheets/d/1FkR-belIltsQbrFSfrEc6kU0dIWUIHD5-gOZTLOsTDs/edit#gid=1073342154</v>
      </c>
      <c r="H971" s="35" t="s">
        <v>2009</v>
      </c>
    </row>
    <row r="972">
      <c r="D972" s="15"/>
      <c r="E972" s="32" t="s">
        <v>178</v>
      </c>
      <c r="F972" s="35" t="s">
        <v>209</v>
      </c>
      <c r="G972" s="84" t="str">
        <f>HYPERLINK("https://docs.google.com/spreadsheets/d/1FkR-belIltsQbrFSfrEc6kU0dIWUIHD5-gOZTLOsTDs/edit#gid=484509489", "https://docs.google.com/spreadsheets/d/1FkR-belIltsQbrFSfrEc6kU0dIWUIHD5-gOZTLOsTDs/edit#gid=484509489")</f>
        <v>https://docs.google.com/spreadsheets/d/1FkR-belIltsQbrFSfrEc6kU0dIWUIHD5-gOZTLOsTDs/edit#gid=484509489</v>
      </c>
      <c r="H972" s="35" t="s">
        <v>1986</v>
      </c>
    </row>
    <row r="973">
      <c r="D973" s="15"/>
      <c r="E973" s="32" t="s">
        <v>178</v>
      </c>
      <c r="F973" s="35" t="s">
        <v>210</v>
      </c>
      <c r="G973" s="84" t="str">
        <f>HYPERLINK("https://docs.google.com/spreadsheets/d/1FkR-belIltsQbrFSfrEc6kU0dIWUIHD5-gOZTLOsTDs/edit#gid=976004069", "https://docs.google.com/spreadsheets/d/1FkR-belIltsQbrFSfrEc6kU0dIWUIHD5-gOZTLOsTDs/edit#gid=976004069")</f>
        <v>https://docs.google.com/spreadsheets/d/1FkR-belIltsQbrFSfrEc6kU0dIWUIHD5-gOZTLOsTDs/edit#gid=976004069</v>
      </c>
      <c r="H973" s="35" t="s">
        <v>1987</v>
      </c>
    </row>
    <row r="974">
      <c r="D974" s="15"/>
      <c r="E974" s="32" t="s">
        <v>86</v>
      </c>
      <c r="F974" s="35" t="s">
        <v>90</v>
      </c>
      <c r="G974" s="84" t="str">
        <f>HYPERLINK("https://docs.google.com/spreadsheets/d/1FkR-belIltsQbrFSfrEc6kU0dIWUIHD5-gOZTLOsTDs/edit#gid=1391532172", "https://docs.google.com/spreadsheets/d/1FkR-belIltsQbrFSfrEc6kU0dIWUIHD5-gOZTLOsTDs/edit#gid=1391532172")</f>
        <v>https://docs.google.com/spreadsheets/d/1FkR-belIltsQbrFSfrEc6kU0dIWUIHD5-gOZTLOsTDs/edit#gid=1391532172</v>
      </c>
      <c r="H974" s="35" t="s">
        <v>90</v>
      </c>
    </row>
    <row r="975">
      <c r="D975" s="15"/>
      <c r="E975" s="32" t="s">
        <v>86</v>
      </c>
      <c r="F975" s="35" t="s">
        <v>91</v>
      </c>
      <c r="G975" s="84" t="str">
        <f>HYPERLINK("https://docs.google.com/spreadsheets/d/1FkR-belIltsQbrFSfrEc6kU0dIWUIHD5-gOZTLOsTDs/edit#gid=826136673", "https://docs.google.com/spreadsheets/d/1FkR-belIltsQbrFSfrEc6kU0dIWUIHD5-gOZTLOsTDs/edit#gid=826136673")</f>
        <v>https://docs.google.com/spreadsheets/d/1FkR-belIltsQbrFSfrEc6kU0dIWUIHD5-gOZTLOsTDs/edit#gid=826136673</v>
      </c>
      <c r="H975" s="35" t="s">
        <v>91</v>
      </c>
    </row>
    <row r="976">
      <c r="D976" s="15"/>
      <c r="E976" s="32" t="s">
        <v>88</v>
      </c>
      <c r="F976" s="35" t="s">
        <v>95</v>
      </c>
      <c r="G976" s="84" t="str">
        <f>HYPERLINK("https://docs.google.com/spreadsheets/d/1FkR-belIltsQbrFSfrEc6kU0dIWUIHD5-gOZTLOsTDs/edit#gid=1451905967", "https://docs.google.com/spreadsheets/d/1FkR-belIltsQbrFSfrEc6kU0dIWUIHD5-gOZTLOsTDs/edit#gid=1451905967")</f>
        <v>https://docs.google.com/spreadsheets/d/1FkR-belIltsQbrFSfrEc6kU0dIWUIHD5-gOZTLOsTDs/edit#gid=1451905967</v>
      </c>
      <c r="H976" s="35" t="s">
        <v>95</v>
      </c>
    </row>
    <row r="977">
      <c r="D977" s="15"/>
      <c r="E977" s="32" t="s">
        <v>88</v>
      </c>
      <c r="F977" s="35" t="s">
        <v>96</v>
      </c>
      <c r="G977" s="84" t="str">
        <f>HYPERLINK("https://docs.google.com/spreadsheets/d/1FkR-belIltsQbrFSfrEc6kU0dIWUIHD5-gOZTLOsTDs/edit#gid=38274619", "https://docs.google.com/spreadsheets/d/1FkR-belIltsQbrFSfrEc6kU0dIWUIHD5-gOZTLOsTDs/edit#gid=38274619")</f>
        <v>https://docs.google.com/spreadsheets/d/1FkR-belIltsQbrFSfrEc6kU0dIWUIHD5-gOZTLOsTDs/edit#gid=38274619</v>
      </c>
      <c r="H977" s="35" t="s">
        <v>96</v>
      </c>
    </row>
    <row r="978">
      <c r="D978" s="15"/>
      <c r="E978" s="32"/>
      <c r="F978" s="35"/>
      <c r="H978" s="35"/>
    </row>
    <row r="979">
      <c r="B979" s="35" t="s">
        <v>2102</v>
      </c>
      <c r="C979" s="35" t="s">
        <v>2103</v>
      </c>
      <c r="D979" s="32" t="s">
        <v>20</v>
      </c>
      <c r="E979" s="32" t="s">
        <v>89</v>
      </c>
      <c r="F979" s="35" t="s">
        <v>291</v>
      </c>
      <c r="H979" s="36"/>
    </row>
    <row r="980">
      <c r="B980" s="35" t="s">
        <v>2104</v>
      </c>
      <c r="C980" s="210" t="s">
        <v>2105</v>
      </c>
      <c r="D980" s="32" t="s">
        <v>20</v>
      </c>
      <c r="E980" s="32" t="s">
        <v>178</v>
      </c>
      <c r="F980" s="35" t="s">
        <v>201</v>
      </c>
      <c r="G980" s="84" t="str">
        <f>HYPERLINK("https://docs.google.com/spreadsheets/d/1CvEvE2MdRTM2Hddz1b4xPmOb4P9C8sSofbTOSFCB4OY/edit#gid=1490638340", "https://docs.google.com/spreadsheets/d/1CvEvE2MdRTM2Hddz1b4xPmOb4P9C8sSofbTOSFCB4OY/edit#gid=1490638340")</f>
        <v>https://docs.google.com/spreadsheets/d/1CvEvE2MdRTM2Hddz1b4xPmOb4P9C8sSofbTOSFCB4OY/edit#gid=1490638340</v>
      </c>
      <c r="H980" s="36"/>
    </row>
    <row r="981">
      <c r="D981" s="15"/>
      <c r="E981" s="32" t="s">
        <v>178</v>
      </c>
      <c r="F981" s="35" t="s">
        <v>202</v>
      </c>
      <c r="G981" s="84" t="str">
        <f>HYPERLINK("https://docs.google.com/spreadsheets/d/1CvEvE2MdRTM2Hddz1b4xPmOb4P9C8sSofbTOSFCB4OY/edit#gid=1589504348", "https://docs.google.com/spreadsheets/d/1CvEvE2MdRTM2Hddz1b4xPmOb4P9C8sSofbTOSFCB4OY/edit#gid=1589504348")</f>
        <v>https://docs.google.com/spreadsheets/d/1CvEvE2MdRTM2Hddz1b4xPmOb4P9C8sSofbTOSFCB4OY/edit#gid=1589504348</v>
      </c>
      <c r="H981" s="35" t="s">
        <v>202</v>
      </c>
    </row>
    <row r="982">
      <c r="D982" s="15"/>
      <c r="E982" s="32" t="s">
        <v>178</v>
      </c>
      <c r="F982" s="35" t="s">
        <v>202</v>
      </c>
      <c r="G982" s="84" t="str">
        <f>HYPERLINK("https://docs.google.com/spreadsheets/d/1CvEvE2MdRTM2Hddz1b4xPmOb4P9C8sSofbTOSFCB4OY/edit#gid=143158555", "https://docs.google.com/spreadsheets/d/1CvEvE2MdRTM2Hddz1b4xPmOb4P9C8sSofbTOSFCB4OY/edit#gid=143158555")</f>
        <v>https://docs.google.com/spreadsheets/d/1CvEvE2MdRTM2Hddz1b4xPmOb4P9C8sSofbTOSFCB4OY/edit#gid=143158555</v>
      </c>
      <c r="H982" s="35" t="s">
        <v>2025</v>
      </c>
    </row>
    <row r="983">
      <c r="D983" s="15"/>
      <c r="E983" s="32" t="s">
        <v>21</v>
      </c>
      <c r="F983" s="35" t="s">
        <v>51</v>
      </c>
      <c r="G983" s="84" t="str">
        <f>HYPERLINK("https://docs.google.com/spreadsheets/d/1CvEvE2MdRTM2Hddz1b4xPmOb4P9C8sSofbTOSFCB4OY/edit#gid=848013601", "https://docs.google.com/spreadsheets/d/1CvEvE2MdRTM2Hddz1b4xPmOb4P9C8sSofbTOSFCB4OY/edit#gid=848013601")</f>
        <v>https://docs.google.com/spreadsheets/d/1CvEvE2MdRTM2Hddz1b4xPmOb4P9C8sSofbTOSFCB4OY/edit#gid=848013601</v>
      </c>
      <c r="H983" s="35" t="s">
        <v>51</v>
      </c>
    </row>
    <row r="984">
      <c r="D984" s="15"/>
      <c r="E984" s="32" t="s">
        <v>172</v>
      </c>
      <c r="F984" s="35" t="s">
        <v>173</v>
      </c>
      <c r="G984" s="84" t="str">
        <f>HYPERLINK("https://docs.google.com/spreadsheets/d/1CvEvE2MdRTM2Hddz1b4xPmOb4P9C8sSofbTOSFCB4OY/edit#gid=682052300", "https://docs.google.com/spreadsheets/d/1CvEvE2MdRTM2Hddz1b4xPmOb4P9C8sSofbTOSFCB4OY/edit#gid=682052300")</f>
        <v>https://docs.google.com/spreadsheets/d/1CvEvE2MdRTM2Hddz1b4xPmOb4P9C8sSofbTOSFCB4OY/edit#gid=682052300</v>
      </c>
      <c r="H984" s="35" t="s">
        <v>173</v>
      </c>
    </row>
    <row r="985">
      <c r="D985" s="15"/>
      <c r="E985" s="32" t="s">
        <v>172</v>
      </c>
      <c r="F985" s="35" t="s">
        <v>402</v>
      </c>
      <c r="G985" s="84" t="str">
        <f>HYPERLINK("https://docs.google.com/spreadsheets/d/1CvEvE2MdRTM2Hddz1b4xPmOb4P9C8sSofbTOSFCB4OY/edit#gid=1553341018", "https://docs.google.com/spreadsheets/d/1CvEvE2MdRTM2Hddz1b4xPmOb4P9C8sSofbTOSFCB4OY/edit#gid=1553341018")</f>
        <v>https://docs.google.com/spreadsheets/d/1CvEvE2MdRTM2Hddz1b4xPmOb4P9C8sSofbTOSFCB4OY/edit#gid=1553341018</v>
      </c>
      <c r="H985" s="35" t="s">
        <v>402</v>
      </c>
    </row>
    <row r="986">
      <c r="D986" s="15"/>
      <c r="E986" s="32" t="s">
        <v>172</v>
      </c>
      <c r="F986" s="35" t="s">
        <v>203</v>
      </c>
      <c r="G986" s="84" t="str">
        <f>HYPERLINK("https://docs.google.com/spreadsheets/d/1CvEvE2MdRTM2Hddz1b4xPmOb4P9C8sSofbTOSFCB4OY/edit#gid=1800987964", "https://docs.google.com/spreadsheets/d/1CvEvE2MdRTM2Hddz1b4xPmOb4P9C8sSofbTOSFCB4OY/edit#gid=1800987964")</f>
        <v>https://docs.google.com/spreadsheets/d/1CvEvE2MdRTM2Hddz1b4xPmOb4P9C8sSofbTOSFCB4OY/edit#gid=1800987964</v>
      </c>
      <c r="H986" s="35" t="s">
        <v>203</v>
      </c>
    </row>
    <row r="987">
      <c r="D987" s="15"/>
      <c r="E987" s="32" t="s">
        <v>172</v>
      </c>
      <c r="F987" s="35" t="s">
        <v>204</v>
      </c>
      <c r="G987" s="84" t="str">
        <f>HYPERLINK("https://docs.google.com/spreadsheets/d/1CvEvE2MdRTM2Hddz1b4xPmOb4P9C8sSofbTOSFCB4OY/edit#gid=293134886", "https://docs.google.com/spreadsheets/d/1CvEvE2MdRTM2Hddz1b4xPmOb4P9C8sSofbTOSFCB4OY/edit#gid=293134886")</f>
        <v>https://docs.google.com/spreadsheets/d/1CvEvE2MdRTM2Hddz1b4xPmOb4P9C8sSofbTOSFCB4OY/edit#gid=293134886</v>
      </c>
      <c r="H987" s="35" t="s">
        <v>204</v>
      </c>
    </row>
    <row r="988">
      <c r="D988" s="15"/>
      <c r="E988" s="32" t="s">
        <v>178</v>
      </c>
      <c r="F988" s="35" t="s">
        <v>205</v>
      </c>
      <c r="G988" s="84" t="str">
        <f>HYPERLINK("https://docs.google.com/spreadsheets/d/1CvEvE2MdRTM2Hddz1b4xPmOb4P9C8sSofbTOSFCB4OY/edit#gid=1209501771", "https://docs.google.com/spreadsheets/d/1CvEvE2MdRTM2Hddz1b4xPmOb4P9C8sSofbTOSFCB4OY/edit#gid=1209501771")</f>
        <v>https://docs.google.com/spreadsheets/d/1CvEvE2MdRTM2Hddz1b4xPmOb4P9C8sSofbTOSFCB4OY/edit#gid=1209501771</v>
      </c>
      <c r="H988" s="35" t="s">
        <v>205</v>
      </c>
    </row>
    <row r="989">
      <c r="D989" s="15"/>
      <c r="E989" s="32" t="s">
        <v>178</v>
      </c>
      <c r="F989" s="35" t="s">
        <v>206</v>
      </c>
      <c r="H989" s="36"/>
    </row>
    <row r="990">
      <c r="D990" s="15"/>
      <c r="E990" s="32" t="s">
        <v>178</v>
      </c>
      <c r="F990" s="35" t="s">
        <v>207</v>
      </c>
      <c r="G990" s="84" t="str">
        <f>HYPERLINK("https://docs.google.com/spreadsheets/d/1CvEvE2MdRTM2Hddz1b4xPmOb4P9C8sSofbTOSFCB4OY/edit#gid=469900901", "https://docs.google.com/spreadsheets/d/1CvEvE2MdRTM2Hddz1b4xPmOb4P9C8sSofbTOSFCB4OY/edit#gid=469900901")</f>
        <v>https://docs.google.com/spreadsheets/d/1CvEvE2MdRTM2Hddz1b4xPmOb4P9C8sSofbTOSFCB4OY/edit#gid=469900901</v>
      </c>
      <c r="H990" s="36"/>
    </row>
    <row r="991">
      <c r="D991" s="15"/>
      <c r="E991" s="32" t="s">
        <v>172</v>
      </c>
      <c r="F991" s="35" t="s">
        <v>173</v>
      </c>
      <c r="G991" s="84" t="str">
        <f>HYPERLINK("https://docs.google.com/spreadsheets/d/1CvEvE2MdRTM2Hddz1b4xPmOb4P9C8sSofbTOSFCB4OY/edit#gid=86171872", "https://docs.google.com/spreadsheets/d/1CvEvE2MdRTM2Hddz1b4xPmOb4P9C8sSofbTOSFCB4OY/edit#gid=86171872")</f>
        <v>https://docs.google.com/spreadsheets/d/1CvEvE2MdRTM2Hddz1b4xPmOb4P9C8sSofbTOSFCB4OY/edit#gid=86171872</v>
      </c>
      <c r="H991" s="36"/>
    </row>
    <row r="992">
      <c r="D992" s="15"/>
      <c r="E992" s="32" t="s">
        <v>172</v>
      </c>
      <c r="F992" s="35" t="s">
        <v>402</v>
      </c>
      <c r="G992" s="84" t="str">
        <f>HYPERLINK("https://docs.google.com/spreadsheets/d/1CvEvE2MdRTM2Hddz1b4xPmOb4P9C8sSofbTOSFCB4OY/edit#gid=98408418", "https://docs.google.com/spreadsheets/d/1CvEvE2MdRTM2Hddz1b4xPmOb4P9C8sSofbTOSFCB4OY/edit#gid=98408418")</f>
        <v>https://docs.google.com/spreadsheets/d/1CvEvE2MdRTM2Hddz1b4xPmOb4P9C8sSofbTOSFCB4OY/edit#gid=98408418</v>
      </c>
      <c r="H992" s="35" t="s">
        <v>2053</v>
      </c>
    </row>
    <row r="993">
      <c r="D993" s="15"/>
      <c r="E993" s="32" t="s">
        <v>172</v>
      </c>
      <c r="F993" s="35" t="s">
        <v>203</v>
      </c>
      <c r="G993" s="84" t="str">
        <f>HYPERLINK("https://docs.google.com/spreadsheets/d/1CvEvE2MdRTM2Hddz1b4xPmOb4P9C8sSofbTOSFCB4OY/edit#gid=1269427205", "https://docs.google.com/spreadsheets/d/1CvEvE2MdRTM2Hddz1b4xPmOb4P9C8sSofbTOSFCB4OY/edit#gid=1269427205")</f>
        <v>https://docs.google.com/spreadsheets/d/1CvEvE2MdRTM2Hddz1b4xPmOb4P9C8sSofbTOSFCB4OY/edit#gid=1269427205</v>
      </c>
      <c r="H993" s="35" t="s">
        <v>1995</v>
      </c>
    </row>
    <row r="994">
      <c r="D994" s="15"/>
      <c r="E994" s="32" t="s">
        <v>172</v>
      </c>
      <c r="F994" s="35" t="s">
        <v>204</v>
      </c>
      <c r="G994" s="84" t="str">
        <f>HYPERLINK("https://docs.google.com/spreadsheets/d/1CvEvE2MdRTM2Hddz1b4xPmOb4P9C8sSofbTOSFCB4OY/edit#gid=1719253749", "https://docs.google.com/spreadsheets/d/1CvEvE2MdRTM2Hddz1b4xPmOb4P9C8sSofbTOSFCB4OY/edit#gid=1719253749")</f>
        <v>https://docs.google.com/spreadsheets/d/1CvEvE2MdRTM2Hddz1b4xPmOb4P9C8sSofbTOSFCB4OY/edit#gid=1719253749</v>
      </c>
      <c r="H994" s="35" t="s">
        <v>1996</v>
      </c>
    </row>
    <row r="995">
      <c r="D995" s="15"/>
      <c r="E995" s="32" t="s">
        <v>178</v>
      </c>
      <c r="F995" s="35" t="s">
        <v>205</v>
      </c>
      <c r="G995" s="84" t="str">
        <f>HYPERLINK("https://docs.google.com/spreadsheets/d/1CvEvE2MdRTM2Hddz1b4xPmOb4P9C8sSofbTOSFCB4OY/edit#gid=586293726", "https://docs.google.com/spreadsheets/d/1CvEvE2MdRTM2Hddz1b4xPmOb4P9C8sSofbTOSFCB4OY/edit#gid=586293726")</f>
        <v>https://docs.google.com/spreadsheets/d/1CvEvE2MdRTM2Hddz1b4xPmOb4P9C8sSofbTOSFCB4OY/edit#gid=586293726</v>
      </c>
      <c r="H995" s="35" t="s">
        <v>1997</v>
      </c>
    </row>
    <row r="996">
      <c r="D996" s="15"/>
      <c r="E996" s="32" t="s">
        <v>178</v>
      </c>
      <c r="F996" s="35" t="s">
        <v>206</v>
      </c>
      <c r="H996" s="36"/>
    </row>
    <row r="997">
      <c r="D997" s="15"/>
      <c r="E997" s="32" t="s">
        <v>178</v>
      </c>
      <c r="F997" s="35" t="s">
        <v>207</v>
      </c>
      <c r="G997" s="84" t="str">
        <f>HYPERLINK("https://docs.google.com/spreadsheets/d/1CvEvE2MdRTM2Hddz1b4xPmOb4P9C8sSofbTOSFCB4OY/edit#gid=2053082467", "https://docs.google.com/spreadsheets/d/1CvEvE2MdRTM2Hddz1b4xPmOb4P9C8sSofbTOSFCB4OY/edit#gid=2053082467")</f>
        <v>https://docs.google.com/spreadsheets/d/1CvEvE2MdRTM2Hddz1b4xPmOb4P9C8sSofbTOSFCB4OY/edit#gid=2053082467</v>
      </c>
      <c r="H997" s="35" t="s">
        <v>1998</v>
      </c>
    </row>
    <row r="998">
      <c r="D998" s="15"/>
      <c r="E998" s="32" t="s">
        <v>178</v>
      </c>
      <c r="F998" s="35" t="s">
        <v>208</v>
      </c>
      <c r="G998" s="84" t="str">
        <f>HYPERLINK("https://docs.google.com/spreadsheets/d/1CvEvE2MdRTM2Hddz1b4xPmOb4P9C8sSofbTOSFCB4OY/edit#gid=441788010", "https://docs.google.com/spreadsheets/d/1CvEvE2MdRTM2Hddz1b4xPmOb4P9C8sSofbTOSFCB4OY/edit#gid=441788010")</f>
        <v>https://docs.google.com/spreadsheets/d/1CvEvE2MdRTM2Hddz1b4xPmOb4P9C8sSofbTOSFCB4OY/edit#gid=441788010</v>
      </c>
      <c r="H998" s="35" t="s">
        <v>208</v>
      </c>
    </row>
    <row r="999">
      <c r="D999" s="15"/>
      <c r="E999" s="32" t="s">
        <v>178</v>
      </c>
      <c r="F999" s="35" t="s">
        <v>182</v>
      </c>
      <c r="G999" s="84" t="str">
        <f>HYPERLINK("https://docs.google.com/spreadsheets/d/1CvEvE2MdRTM2Hddz1b4xPmOb4P9C8sSofbTOSFCB4OY/edit#gid=1811907869", "https://docs.google.com/spreadsheets/d/1CvEvE2MdRTM2Hddz1b4xPmOb4P9C8sSofbTOSFCB4OY/edit#gid=1811907869")</f>
        <v>https://docs.google.com/spreadsheets/d/1CvEvE2MdRTM2Hddz1b4xPmOb4P9C8sSofbTOSFCB4OY/edit#gid=1811907869</v>
      </c>
      <c r="H999" s="35" t="s">
        <v>182</v>
      </c>
    </row>
    <row r="1000">
      <c r="D1000" s="15"/>
      <c r="E1000" s="32" t="s">
        <v>178</v>
      </c>
      <c r="F1000" s="35" t="s">
        <v>180</v>
      </c>
      <c r="G1000" s="84" t="str">
        <f>HYPERLINK("https://docs.google.com/spreadsheets/d/1CvEvE2MdRTM2Hddz1b4xPmOb4P9C8sSofbTOSFCB4OY/edit#gid=838731692", "https://docs.google.com/spreadsheets/d/1CvEvE2MdRTM2Hddz1b4xPmOb4P9C8sSofbTOSFCB4OY/edit#gid=838731692")</f>
        <v>https://docs.google.com/spreadsheets/d/1CvEvE2MdRTM2Hddz1b4xPmOb4P9C8sSofbTOSFCB4OY/edit#gid=838731692</v>
      </c>
      <c r="H1000" s="35" t="s">
        <v>180</v>
      </c>
    </row>
    <row r="1001">
      <c r="D1001" s="15"/>
      <c r="E1001" s="32" t="s">
        <v>178</v>
      </c>
      <c r="F1001" s="35" t="s">
        <v>209</v>
      </c>
      <c r="G1001" s="84" t="str">
        <f>HYPERLINK("https://docs.google.com/spreadsheets/d/1CvEvE2MdRTM2Hddz1b4xPmOb4P9C8sSofbTOSFCB4OY/edit#gid=649201143", "https://docs.google.com/spreadsheets/d/1CvEvE2MdRTM2Hddz1b4xPmOb4P9C8sSofbTOSFCB4OY/edit#gid=649201143")</f>
        <v>https://docs.google.com/spreadsheets/d/1CvEvE2MdRTM2Hddz1b4xPmOb4P9C8sSofbTOSFCB4OY/edit#gid=649201143</v>
      </c>
      <c r="H1001" s="35" t="s">
        <v>209</v>
      </c>
    </row>
    <row r="1002">
      <c r="D1002" s="15"/>
      <c r="E1002" s="32" t="s">
        <v>178</v>
      </c>
      <c r="F1002" s="35" t="s">
        <v>210</v>
      </c>
      <c r="G1002" s="84" t="str">
        <f>HYPERLINK("https://docs.google.com/spreadsheets/d/1CvEvE2MdRTM2Hddz1b4xPmOb4P9C8sSofbTOSFCB4OY/edit#gid=954983650", "https://docs.google.com/spreadsheets/d/1CvEvE2MdRTM2Hddz1b4xPmOb4P9C8sSofbTOSFCB4OY/edit#gid=954983650")</f>
        <v>https://docs.google.com/spreadsheets/d/1CvEvE2MdRTM2Hddz1b4xPmOb4P9C8sSofbTOSFCB4OY/edit#gid=954983650</v>
      </c>
      <c r="H1002" s="35" t="s">
        <v>210</v>
      </c>
    </row>
    <row r="1003">
      <c r="D1003" s="15"/>
      <c r="E1003" s="32" t="s">
        <v>157</v>
      </c>
      <c r="F1003" s="35" t="s">
        <v>161</v>
      </c>
      <c r="G1003" s="84" t="str">
        <f>HYPERLINK("https://docs.google.com/spreadsheets/d/1CvEvE2MdRTM2Hddz1b4xPmOb4P9C8sSofbTOSFCB4OY/edit#gid=2070464513", "https://docs.google.com/spreadsheets/d/1CvEvE2MdRTM2Hddz1b4xPmOb4P9C8sSofbTOSFCB4OY/edit#gid=2070464513")</f>
        <v>https://docs.google.com/spreadsheets/d/1CvEvE2MdRTM2Hddz1b4xPmOb4P9C8sSofbTOSFCB4OY/edit#gid=2070464513</v>
      </c>
      <c r="H1003" s="35" t="s">
        <v>161</v>
      </c>
    </row>
    <row r="1004">
      <c r="D1004" s="15"/>
      <c r="E1004" s="32" t="s">
        <v>157</v>
      </c>
      <c r="F1004" s="35" t="s">
        <v>158</v>
      </c>
      <c r="G1004" s="84" t="str">
        <f>HYPERLINK("https://docs.google.com/spreadsheets/d/1CvEvE2MdRTM2Hddz1b4xPmOb4P9C8sSofbTOSFCB4OY/edit#gid=1500249344", "https://docs.google.com/spreadsheets/d/1CvEvE2MdRTM2Hddz1b4xPmOb4P9C8sSofbTOSFCB4OY/edit#gid=1500249344")</f>
        <v>https://docs.google.com/spreadsheets/d/1CvEvE2MdRTM2Hddz1b4xPmOb4P9C8sSofbTOSFCB4OY/edit#gid=1500249344</v>
      </c>
      <c r="H1004" s="35" t="s">
        <v>158</v>
      </c>
    </row>
    <row r="1005">
      <c r="D1005" s="15"/>
      <c r="E1005" s="32" t="s">
        <v>157</v>
      </c>
      <c r="F1005" s="35" t="s">
        <v>196</v>
      </c>
      <c r="G1005" s="84" t="str">
        <f>HYPERLINK("https://docs.google.com/spreadsheets/d/1CvEvE2MdRTM2Hddz1b4xPmOb4P9C8sSofbTOSFCB4OY/edit#gid=1056662807", "https://docs.google.com/spreadsheets/d/1CvEvE2MdRTM2Hddz1b4xPmOb4P9C8sSofbTOSFCB4OY/edit#gid=1056662807")</f>
        <v>https://docs.google.com/spreadsheets/d/1CvEvE2MdRTM2Hddz1b4xPmOb4P9C8sSofbTOSFCB4OY/edit#gid=1056662807</v>
      </c>
      <c r="H1005" s="35" t="s">
        <v>196</v>
      </c>
    </row>
    <row r="1006">
      <c r="D1006" s="15"/>
      <c r="E1006" s="32" t="s">
        <v>172</v>
      </c>
      <c r="F1006" s="35" t="s">
        <v>173</v>
      </c>
      <c r="G1006" s="84" t="str">
        <f>HYPERLINK("https://docs.google.com/spreadsheets/d/1CvEvE2MdRTM2Hddz1b4xPmOb4P9C8sSofbTOSFCB4OY/edit#gid=302652520", "https://docs.google.com/spreadsheets/d/1CvEvE2MdRTM2Hddz1b4xPmOb4P9C8sSofbTOSFCB4OY/edit#gid=302652520")</f>
        <v>https://docs.google.com/spreadsheets/d/1CvEvE2MdRTM2Hddz1b4xPmOb4P9C8sSofbTOSFCB4OY/edit#gid=302652520</v>
      </c>
      <c r="H1006" s="35" t="s">
        <v>2054</v>
      </c>
    </row>
    <row r="1007">
      <c r="D1007" s="15"/>
      <c r="E1007" s="32" t="s">
        <v>172</v>
      </c>
      <c r="F1007" s="35" t="s">
        <v>402</v>
      </c>
      <c r="G1007" s="84" t="str">
        <f>HYPERLINK("https://docs.google.com/spreadsheets/d/1CvEvE2MdRTM2Hddz1b4xPmOb4P9C8sSofbTOSFCB4OY/edit#gid=820939316", "https://docs.google.com/spreadsheets/d/1CvEvE2MdRTM2Hddz1b4xPmOb4P9C8sSofbTOSFCB4OY/edit#gid=820939316")</f>
        <v>https://docs.google.com/spreadsheets/d/1CvEvE2MdRTM2Hddz1b4xPmOb4P9C8sSofbTOSFCB4OY/edit#gid=820939316</v>
      </c>
      <c r="H1007" s="35" t="s">
        <v>2055</v>
      </c>
    </row>
    <row r="1008">
      <c r="D1008" s="15"/>
      <c r="E1008" s="32" t="s">
        <v>172</v>
      </c>
      <c r="F1008" s="35" t="s">
        <v>203</v>
      </c>
      <c r="G1008" s="84" t="str">
        <f>HYPERLINK("https://docs.google.com/spreadsheets/d/1CvEvE2MdRTM2Hddz1b4xPmOb4P9C8sSofbTOSFCB4OY/edit#gid=288296172", "https://docs.google.com/spreadsheets/d/1CvEvE2MdRTM2Hddz1b4xPmOb4P9C8sSofbTOSFCB4OY/edit#gid=288296172")</f>
        <v>https://docs.google.com/spreadsheets/d/1CvEvE2MdRTM2Hddz1b4xPmOb4P9C8sSofbTOSFCB4OY/edit#gid=288296172</v>
      </c>
      <c r="H1008" s="35" t="s">
        <v>1999</v>
      </c>
    </row>
    <row r="1009">
      <c r="D1009" s="15"/>
      <c r="E1009" s="32" t="s">
        <v>172</v>
      </c>
      <c r="F1009" s="35" t="s">
        <v>204</v>
      </c>
      <c r="G1009" s="84" t="str">
        <f>HYPERLINK("https://docs.google.com/spreadsheets/d/1CvEvE2MdRTM2Hddz1b4xPmOb4P9C8sSofbTOSFCB4OY/edit#gid=160942383", "https://docs.google.com/spreadsheets/d/1CvEvE2MdRTM2Hddz1b4xPmOb4P9C8sSofbTOSFCB4OY/edit#gid=160942383")</f>
        <v>https://docs.google.com/spreadsheets/d/1CvEvE2MdRTM2Hddz1b4xPmOb4P9C8sSofbTOSFCB4OY/edit#gid=160942383</v>
      </c>
      <c r="H1009" s="35" t="s">
        <v>2000</v>
      </c>
    </row>
    <row r="1010">
      <c r="D1010" s="15"/>
      <c r="E1010" s="32" t="s">
        <v>178</v>
      </c>
      <c r="F1010" s="35" t="s">
        <v>207</v>
      </c>
      <c r="G1010" s="84" t="str">
        <f>HYPERLINK("https://docs.google.com/spreadsheets/d/1CvEvE2MdRTM2Hddz1b4xPmOb4P9C8sSofbTOSFCB4OY/edit#gid=1587546879", "https://docs.google.com/spreadsheets/d/1CvEvE2MdRTM2Hddz1b4xPmOb4P9C8sSofbTOSFCB4OY/edit#gid=1587546879")</f>
        <v>https://docs.google.com/spreadsheets/d/1CvEvE2MdRTM2Hddz1b4xPmOb4P9C8sSofbTOSFCB4OY/edit#gid=1587546879</v>
      </c>
      <c r="H1010" s="35" t="s">
        <v>2001</v>
      </c>
    </row>
    <row r="1011">
      <c r="D1011" s="15"/>
      <c r="E1011" s="32" t="s">
        <v>178</v>
      </c>
      <c r="F1011" s="35" t="s">
        <v>208</v>
      </c>
      <c r="G1011" s="84" t="str">
        <f>HYPERLINK("https://docs.google.com/spreadsheets/d/1CvEvE2MdRTM2Hddz1b4xPmOb4P9C8sSofbTOSFCB4OY/edit#gid=504684338", "https://docs.google.com/spreadsheets/d/1CvEvE2MdRTM2Hddz1b4xPmOb4P9C8sSofbTOSFCB4OY/edit#gid=504684338")</f>
        <v>https://docs.google.com/spreadsheets/d/1CvEvE2MdRTM2Hddz1b4xPmOb4P9C8sSofbTOSFCB4OY/edit#gid=504684338</v>
      </c>
      <c r="H1011" s="35" t="s">
        <v>2002</v>
      </c>
    </row>
    <row r="1012">
      <c r="D1012" s="15"/>
      <c r="E1012" s="32" t="s">
        <v>178</v>
      </c>
      <c r="F1012" s="35" t="s">
        <v>182</v>
      </c>
      <c r="G1012" s="84" t="str">
        <f>HYPERLINK("https://docs.google.com/spreadsheets/d/1CvEvE2MdRTM2Hddz1b4xPmOb4P9C8sSofbTOSFCB4OY/edit#gid=234960668", "https://docs.google.com/spreadsheets/d/1CvEvE2MdRTM2Hddz1b4xPmOb4P9C8sSofbTOSFCB4OY/edit#gid=234960668")</f>
        <v>https://docs.google.com/spreadsheets/d/1CvEvE2MdRTM2Hddz1b4xPmOb4P9C8sSofbTOSFCB4OY/edit#gid=234960668</v>
      </c>
      <c r="H1012" s="35" t="s">
        <v>2003</v>
      </c>
    </row>
    <row r="1013">
      <c r="D1013" s="15"/>
      <c r="E1013" s="32" t="s">
        <v>178</v>
      </c>
      <c r="F1013" s="35" t="s">
        <v>180</v>
      </c>
      <c r="G1013" s="84" t="str">
        <f>HYPERLINK("https://docs.google.com/spreadsheets/d/1CvEvE2MdRTM2Hddz1b4xPmOb4P9C8sSofbTOSFCB4OY/edit#gid=880901648", "https://docs.google.com/spreadsheets/d/1CvEvE2MdRTM2Hddz1b4xPmOb4P9C8sSofbTOSFCB4OY/edit#gid=880901648")</f>
        <v>https://docs.google.com/spreadsheets/d/1CvEvE2MdRTM2Hddz1b4xPmOb4P9C8sSofbTOSFCB4OY/edit#gid=880901648</v>
      </c>
      <c r="H1013" s="35" t="s">
        <v>2009</v>
      </c>
    </row>
    <row r="1014">
      <c r="D1014" s="15"/>
      <c r="E1014" s="32" t="s">
        <v>178</v>
      </c>
      <c r="F1014" s="35" t="s">
        <v>209</v>
      </c>
      <c r="G1014" s="84" t="str">
        <f>HYPERLINK("https://docs.google.com/spreadsheets/d/1CvEvE2MdRTM2Hddz1b4xPmOb4P9C8sSofbTOSFCB4OY/edit#gid=2074238104", "https://docs.google.com/spreadsheets/d/1CvEvE2MdRTM2Hddz1b4xPmOb4P9C8sSofbTOSFCB4OY/edit#gid=2074238104")</f>
        <v>https://docs.google.com/spreadsheets/d/1CvEvE2MdRTM2Hddz1b4xPmOb4P9C8sSofbTOSFCB4OY/edit#gid=2074238104</v>
      </c>
      <c r="H1014" s="35" t="s">
        <v>1986</v>
      </c>
    </row>
    <row r="1015">
      <c r="D1015" s="15"/>
      <c r="E1015" s="32" t="s">
        <v>178</v>
      </c>
      <c r="F1015" s="35" t="s">
        <v>210</v>
      </c>
      <c r="G1015" s="84" t="str">
        <f>HYPERLINK("https://docs.google.com/spreadsheets/d/1CvEvE2MdRTM2Hddz1b4xPmOb4P9C8sSofbTOSFCB4OY/edit#gid=412382861", "https://docs.google.com/spreadsheets/d/1CvEvE2MdRTM2Hddz1b4xPmOb4P9C8sSofbTOSFCB4OY/edit#gid=412382861")</f>
        <v>https://docs.google.com/spreadsheets/d/1CvEvE2MdRTM2Hddz1b4xPmOb4P9C8sSofbTOSFCB4OY/edit#gid=412382861</v>
      </c>
      <c r="H1015" s="35" t="s">
        <v>1987</v>
      </c>
    </row>
    <row r="1016">
      <c r="D1016" s="15"/>
      <c r="E1016" s="32" t="s">
        <v>86</v>
      </c>
      <c r="F1016" s="35" t="s">
        <v>90</v>
      </c>
      <c r="G1016" s="84" t="str">
        <f>HYPERLINK("https://docs.google.com/spreadsheets/d/1CvEvE2MdRTM2Hddz1b4xPmOb4P9C8sSofbTOSFCB4OY/edit#gid=355668570", "https://docs.google.com/spreadsheets/d/1CvEvE2MdRTM2Hddz1b4xPmOb4P9C8sSofbTOSFCB4OY/edit#gid=355668570")</f>
        <v>https://docs.google.com/spreadsheets/d/1CvEvE2MdRTM2Hddz1b4xPmOb4P9C8sSofbTOSFCB4OY/edit#gid=355668570</v>
      </c>
      <c r="H1016" s="35" t="s">
        <v>90</v>
      </c>
    </row>
    <row r="1017">
      <c r="D1017" s="15"/>
      <c r="E1017" s="32" t="s">
        <v>86</v>
      </c>
      <c r="F1017" s="35" t="s">
        <v>338</v>
      </c>
      <c r="G1017" s="84" t="str">
        <f>HYPERLINK("https://docs.google.com/spreadsheets/d/1CvEvE2MdRTM2Hddz1b4xPmOb4P9C8sSofbTOSFCB4OY/edit#gid=1911936328", "https://docs.google.com/spreadsheets/d/1CvEvE2MdRTM2Hddz1b4xPmOb4P9C8sSofbTOSFCB4OY/edit#gid=1911936328")</f>
        <v>https://docs.google.com/spreadsheets/d/1CvEvE2MdRTM2Hddz1b4xPmOb4P9C8sSofbTOSFCB4OY/edit#gid=1911936328</v>
      </c>
      <c r="H1017" s="35" t="s">
        <v>338</v>
      </c>
    </row>
    <row r="1018">
      <c r="D1018" s="15"/>
      <c r="E1018" s="32" t="s">
        <v>88</v>
      </c>
      <c r="F1018" s="35" t="s">
        <v>95</v>
      </c>
      <c r="G1018" s="84" t="str">
        <f>HYPERLINK("https://docs.google.com/spreadsheets/d/1CvEvE2MdRTM2Hddz1b4xPmOb4P9C8sSofbTOSFCB4OY/edit#gid=1846834345", "https://docs.google.com/spreadsheets/d/1CvEvE2MdRTM2Hddz1b4xPmOb4P9C8sSofbTOSFCB4OY/edit#gid=1846834345")</f>
        <v>https://docs.google.com/spreadsheets/d/1CvEvE2MdRTM2Hddz1b4xPmOb4P9C8sSofbTOSFCB4OY/edit#gid=1846834345</v>
      </c>
      <c r="H1018" s="35" t="s">
        <v>95</v>
      </c>
    </row>
    <row r="1019">
      <c r="D1019" s="15"/>
      <c r="E1019" s="32" t="s">
        <v>88</v>
      </c>
      <c r="F1019" s="35" t="s">
        <v>96</v>
      </c>
      <c r="G1019" s="84" t="str">
        <f>HYPERLINK("https://docs.google.com/spreadsheets/d/1CvEvE2MdRTM2Hddz1b4xPmOb4P9C8sSofbTOSFCB4OY/edit#gid=123519253", "https://docs.google.com/spreadsheets/d/1CvEvE2MdRTM2Hddz1b4xPmOb4P9C8sSofbTOSFCB4OY/edit#gid=123519253")</f>
        <v>https://docs.google.com/spreadsheets/d/1CvEvE2MdRTM2Hddz1b4xPmOb4P9C8sSofbTOSFCB4OY/edit#gid=123519253</v>
      </c>
      <c r="H1019" s="35" t="s">
        <v>96</v>
      </c>
    </row>
    <row r="1020">
      <c r="D1020" s="15"/>
      <c r="E1020" s="32"/>
      <c r="F1020" s="35"/>
      <c r="H1020" s="35"/>
    </row>
    <row r="1021">
      <c r="B1021" s="35" t="s">
        <v>2106</v>
      </c>
      <c r="C1021" s="35" t="s">
        <v>2107</v>
      </c>
      <c r="D1021" s="32" t="s">
        <v>20</v>
      </c>
      <c r="E1021" s="32" t="s">
        <v>89</v>
      </c>
      <c r="F1021" s="35" t="s">
        <v>291</v>
      </c>
      <c r="H1021" s="36"/>
    </row>
    <row r="1022">
      <c r="B1022" s="35" t="s">
        <v>2108</v>
      </c>
      <c r="C1022" s="210" t="s">
        <v>2109</v>
      </c>
      <c r="D1022" s="32" t="s">
        <v>20</v>
      </c>
      <c r="E1022" s="32" t="s">
        <v>178</v>
      </c>
      <c r="F1022" s="35" t="s">
        <v>201</v>
      </c>
      <c r="G1022" s="84" t="str">
        <f>HYPERLINK("https://docs.google.com/spreadsheets/d/19Qg4Dcxf22tGj7ikPPHasK6pxlwU1xDC_c69W3E_2nI/edit#gid=465651264", "https://docs.google.com/spreadsheets/d/19Qg4Dcxf22tGj7ikPPHasK6pxlwU1xDC_c69W3E_2nI/edit#gid=465651264")</f>
        <v>https://docs.google.com/spreadsheets/d/19Qg4Dcxf22tGj7ikPPHasK6pxlwU1xDC_c69W3E_2nI/edit#gid=465651264</v>
      </c>
      <c r="H1022" s="36"/>
    </row>
    <row r="1023">
      <c r="D1023" s="15"/>
      <c r="E1023" s="32" t="s">
        <v>178</v>
      </c>
      <c r="F1023" s="35" t="s">
        <v>202</v>
      </c>
      <c r="G1023" s="84" t="str">
        <f>HYPERLINK("https://docs.google.com/spreadsheets/d/19Qg4Dcxf22tGj7ikPPHasK6pxlwU1xDC_c69W3E_2nI/edit#gid=1635333904", "https://docs.google.com/spreadsheets/d/19Qg4Dcxf22tGj7ikPPHasK6pxlwU1xDC_c69W3E_2nI/edit#gid=1635333904")</f>
        <v>https://docs.google.com/spreadsheets/d/19Qg4Dcxf22tGj7ikPPHasK6pxlwU1xDC_c69W3E_2nI/edit#gid=1635333904</v>
      </c>
      <c r="H1023" s="35" t="s">
        <v>202</v>
      </c>
    </row>
    <row r="1024">
      <c r="D1024" s="15"/>
      <c r="E1024" s="32" t="s">
        <v>21</v>
      </c>
      <c r="F1024" s="35" t="s">
        <v>51</v>
      </c>
      <c r="G1024" s="84" t="str">
        <f>HYPERLINK("https://docs.google.com/spreadsheets/d/19Qg4Dcxf22tGj7ikPPHasK6pxlwU1xDC_c69W3E_2nI/edit#gid=1704846552", "https://docs.google.com/spreadsheets/d/19Qg4Dcxf22tGj7ikPPHasK6pxlwU1xDC_c69W3E_2nI/edit#gid=1704846552")</f>
        <v>https://docs.google.com/spreadsheets/d/19Qg4Dcxf22tGj7ikPPHasK6pxlwU1xDC_c69W3E_2nI/edit#gid=1704846552</v>
      </c>
      <c r="H1024" s="36"/>
    </row>
    <row r="1025">
      <c r="D1025" s="15"/>
      <c r="E1025" s="32" t="s">
        <v>172</v>
      </c>
      <c r="F1025" s="35" t="s">
        <v>173</v>
      </c>
      <c r="G1025" s="84" t="str">
        <f>HYPERLINK("https://docs.google.com/spreadsheets/d/19Qg4Dcxf22tGj7ikPPHasK6pxlwU1xDC_c69W3E_2nI/edit#gid=522850736", "https://docs.google.com/spreadsheets/d/19Qg4Dcxf22tGj7ikPPHasK6pxlwU1xDC_c69W3E_2nI/edit#gid=522850736")</f>
        <v>https://docs.google.com/spreadsheets/d/19Qg4Dcxf22tGj7ikPPHasK6pxlwU1xDC_c69W3E_2nI/edit#gid=522850736</v>
      </c>
      <c r="H1025" s="35" t="s">
        <v>173</v>
      </c>
    </row>
    <row r="1026">
      <c r="D1026" s="15"/>
      <c r="E1026" s="32" t="s">
        <v>172</v>
      </c>
      <c r="F1026" s="35" t="s">
        <v>402</v>
      </c>
      <c r="G1026" s="84" t="str">
        <f>HYPERLINK("https://docs.google.com/spreadsheets/d/19Qg4Dcxf22tGj7ikPPHasK6pxlwU1xDC_c69W3E_2nI/edit#gid=64205861", "https://docs.google.com/spreadsheets/d/19Qg4Dcxf22tGj7ikPPHasK6pxlwU1xDC_c69W3E_2nI/edit#gid=64205861")</f>
        <v>https://docs.google.com/spreadsheets/d/19Qg4Dcxf22tGj7ikPPHasK6pxlwU1xDC_c69W3E_2nI/edit#gid=64205861</v>
      </c>
      <c r="H1026" s="36"/>
    </row>
    <row r="1027">
      <c r="D1027" s="15"/>
      <c r="E1027" s="32" t="s">
        <v>172</v>
      </c>
      <c r="F1027" s="35" t="s">
        <v>203</v>
      </c>
      <c r="G1027" s="84" t="str">
        <f>HYPERLINK("https://docs.google.com/spreadsheets/d/19Qg4Dcxf22tGj7ikPPHasK6pxlwU1xDC_c69W3E_2nI/edit#gid=246922155", "https://docs.google.com/spreadsheets/d/19Qg4Dcxf22tGj7ikPPHasK6pxlwU1xDC_c69W3E_2nI/edit#gid=246922155")</f>
        <v>https://docs.google.com/spreadsheets/d/19Qg4Dcxf22tGj7ikPPHasK6pxlwU1xDC_c69W3E_2nI/edit#gid=246922155</v>
      </c>
      <c r="H1027" s="35" t="s">
        <v>203</v>
      </c>
    </row>
    <row r="1028">
      <c r="D1028" s="15"/>
      <c r="E1028" s="32" t="s">
        <v>172</v>
      </c>
      <c r="F1028" s="35" t="s">
        <v>204</v>
      </c>
      <c r="G1028" s="84" t="str">
        <f>HYPERLINK("https://docs.google.com/spreadsheets/d/19Qg4Dcxf22tGj7ikPPHasK6pxlwU1xDC_c69W3E_2nI/edit#gid=454074827", "https://docs.google.com/spreadsheets/d/19Qg4Dcxf22tGj7ikPPHasK6pxlwU1xDC_c69W3E_2nI/edit#gid=454074827")</f>
        <v>https://docs.google.com/spreadsheets/d/19Qg4Dcxf22tGj7ikPPHasK6pxlwU1xDC_c69W3E_2nI/edit#gid=454074827</v>
      </c>
      <c r="H1028" s="35" t="s">
        <v>204</v>
      </c>
    </row>
    <row r="1029">
      <c r="D1029" s="15"/>
      <c r="E1029" s="32" t="s">
        <v>178</v>
      </c>
      <c r="F1029" s="35" t="s">
        <v>205</v>
      </c>
      <c r="G1029" s="84" t="str">
        <f>HYPERLINK("https://docs.google.com/spreadsheets/d/19Qg4Dcxf22tGj7ikPPHasK6pxlwU1xDC_c69W3E_2nI/edit#gid=158715104", "https://docs.google.com/spreadsheets/d/19Qg4Dcxf22tGj7ikPPHasK6pxlwU1xDC_c69W3E_2nI/edit#gid=158715104")</f>
        <v>https://docs.google.com/spreadsheets/d/19Qg4Dcxf22tGj7ikPPHasK6pxlwU1xDC_c69W3E_2nI/edit#gid=158715104</v>
      </c>
      <c r="H1029" s="35" t="s">
        <v>205</v>
      </c>
    </row>
    <row r="1030">
      <c r="D1030" s="15"/>
      <c r="E1030" s="32" t="s">
        <v>178</v>
      </c>
      <c r="F1030" s="35" t="s">
        <v>206</v>
      </c>
      <c r="H1030" s="36"/>
    </row>
    <row r="1031">
      <c r="D1031" s="15"/>
      <c r="E1031" s="32" t="s">
        <v>178</v>
      </c>
      <c r="F1031" s="35" t="s">
        <v>207</v>
      </c>
      <c r="G1031" s="84" t="str">
        <f>HYPERLINK("https://docs.google.com/spreadsheets/d/19Qg4Dcxf22tGj7ikPPHasK6pxlwU1xDC_c69W3E_2nI/edit#gid=1226468439", "https://docs.google.com/spreadsheets/d/19Qg4Dcxf22tGj7ikPPHasK6pxlwU1xDC_c69W3E_2nI/edit#gid=1226468439")</f>
        <v>https://docs.google.com/spreadsheets/d/19Qg4Dcxf22tGj7ikPPHasK6pxlwU1xDC_c69W3E_2nI/edit#gid=1226468439</v>
      </c>
      <c r="H1031" s="35" t="s">
        <v>207</v>
      </c>
    </row>
    <row r="1032">
      <c r="D1032" s="15"/>
      <c r="E1032" s="32" t="s">
        <v>21</v>
      </c>
      <c r="F1032" s="35" t="s">
        <v>51</v>
      </c>
      <c r="G1032" s="84" t="str">
        <f>HYPERLINK("https://docs.google.com/spreadsheets/d/19Qg4Dcxf22tGj7ikPPHasK6pxlwU1xDC_c69W3E_2nI/edit#gid=1071725869", "https://docs.google.com/spreadsheets/d/19Qg4Dcxf22tGj7ikPPHasK6pxlwU1xDC_c69W3E_2nI/edit#gid=1071725869")</f>
        <v>https://docs.google.com/spreadsheets/d/19Qg4Dcxf22tGj7ikPPHasK6pxlwU1xDC_c69W3E_2nI/edit#gid=1071725869</v>
      </c>
      <c r="H1032" s="35" t="s">
        <v>1383</v>
      </c>
    </row>
    <row r="1033">
      <c r="D1033" s="15"/>
      <c r="E1033" s="32" t="s">
        <v>86</v>
      </c>
      <c r="F1033" s="35" t="s">
        <v>90</v>
      </c>
      <c r="G1033" s="84" t="str">
        <f>HYPERLINK("https://docs.google.com/spreadsheets/d/19Qg4Dcxf22tGj7ikPPHasK6pxlwU1xDC_c69W3E_2nI/edit#gid=371227532", "https://docs.google.com/spreadsheets/d/19Qg4Dcxf22tGj7ikPPHasK6pxlwU1xDC_c69W3E_2nI/edit#gid=371227532")</f>
        <v>https://docs.google.com/spreadsheets/d/19Qg4Dcxf22tGj7ikPPHasK6pxlwU1xDC_c69W3E_2nI/edit#gid=371227532</v>
      </c>
      <c r="H1033" s="35" t="s">
        <v>90</v>
      </c>
    </row>
    <row r="1034">
      <c r="D1034" s="15"/>
      <c r="E1034" s="32" t="s">
        <v>86</v>
      </c>
      <c r="F1034" s="35" t="s">
        <v>339</v>
      </c>
      <c r="G1034" s="84" t="str">
        <f>HYPERLINK("https://docs.google.com/spreadsheets/d/19Qg4Dcxf22tGj7ikPPHasK6pxlwU1xDC_c69W3E_2nI/edit#gid=1838457436", "https://docs.google.com/spreadsheets/d/19Qg4Dcxf22tGj7ikPPHasK6pxlwU1xDC_c69W3E_2nI/edit#gid=1838457436")</f>
        <v>https://docs.google.com/spreadsheets/d/19Qg4Dcxf22tGj7ikPPHasK6pxlwU1xDC_c69W3E_2nI/edit#gid=1838457436</v>
      </c>
      <c r="H1034" s="35" t="s">
        <v>339</v>
      </c>
    </row>
    <row r="1035">
      <c r="D1035" s="15"/>
      <c r="E1035" s="32" t="s">
        <v>172</v>
      </c>
      <c r="F1035" s="35" t="s">
        <v>173</v>
      </c>
      <c r="G1035" s="84" t="str">
        <f>HYPERLINK("https://docs.google.com/spreadsheets/d/19Qg4Dcxf22tGj7ikPPHasK6pxlwU1xDC_c69W3E_2nI/edit#gid=2048006070", "https://docs.google.com/spreadsheets/d/19Qg4Dcxf22tGj7ikPPHasK6pxlwU1xDC_c69W3E_2nI/edit#gid=2048006070")</f>
        <v>https://docs.google.com/spreadsheets/d/19Qg4Dcxf22tGj7ikPPHasK6pxlwU1xDC_c69W3E_2nI/edit#gid=2048006070</v>
      </c>
      <c r="H1035" s="35" t="s">
        <v>269</v>
      </c>
    </row>
    <row r="1036">
      <c r="D1036" s="15"/>
      <c r="E1036" s="32" t="s">
        <v>172</v>
      </c>
      <c r="F1036" s="35" t="s">
        <v>402</v>
      </c>
      <c r="G1036" s="84" t="str">
        <f>HYPERLINK("https://docs.google.com/spreadsheets/d/19Qg4Dcxf22tGj7ikPPHasK6pxlwU1xDC_c69W3E_2nI/edit#gid=1943433845", "https://docs.google.com/spreadsheets/d/19Qg4Dcxf22tGj7ikPPHasK6pxlwU1xDC_c69W3E_2nI/edit#gid=1943433845")</f>
        <v>https://docs.google.com/spreadsheets/d/19Qg4Dcxf22tGj7ikPPHasK6pxlwU1xDC_c69W3E_2nI/edit#gid=1943433845</v>
      </c>
      <c r="H1036" s="35" t="s">
        <v>2053</v>
      </c>
    </row>
    <row r="1037">
      <c r="D1037" s="15"/>
      <c r="E1037" s="32" t="s">
        <v>172</v>
      </c>
      <c r="F1037" s="35" t="s">
        <v>203</v>
      </c>
      <c r="G1037" s="84" t="str">
        <f>HYPERLINK("https://docs.google.com/spreadsheets/d/19Qg4Dcxf22tGj7ikPPHasK6pxlwU1xDC_c69W3E_2nI/edit#gid=1807998784", "https://docs.google.com/spreadsheets/d/19Qg4Dcxf22tGj7ikPPHasK6pxlwU1xDC_c69W3E_2nI/edit#gid=1807998784")</f>
        <v>https://docs.google.com/spreadsheets/d/19Qg4Dcxf22tGj7ikPPHasK6pxlwU1xDC_c69W3E_2nI/edit#gid=1807998784</v>
      </c>
      <c r="H1037" s="35" t="s">
        <v>1995</v>
      </c>
    </row>
    <row r="1038">
      <c r="D1038" s="15"/>
      <c r="E1038" s="32" t="s">
        <v>172</v>
      </c>
      <c r="F1038" s="35" t="s">
        <v>204</v>
      </c>
      <c r="G1038" s="84" t="str">
        <f>HYPERLINK("https://docs.google.com/spreadsheets/d/19Qg4Dcxf22tGj7ikPPHasK6pxlwU1xDC_c69W3E_2nI/edit#gid=1439648967", "https://docs.google.com/spreadsheets/d/19Qg4Dcxf22tGj7ikPPHasK6pxlwU1xDC_c69W3E_2nI/edit#gid=1439648967")</f>
        <v>https://docs.google.com/spreadsheets/d/19Qg4Dcxf22tGj7ikPPHasK6pxlwU1xDC_c69W3E_2nI/edit#gid=1439648967</v>
      </c>
      <c r="H1038" s="35" t="s">
        <v>1996</v>
      </c>
    </row>
    <row r="1039">
      <c r="D1039" s="15"/>
      <c r="E1039" s="32" t="s">
        <v>178</v>
      </c>
      <c r="F1039" s="35" t="s">
        <v>205</v>
      </c>
      <c r="G1039" s="84" t="str">
        <f>HYPERLINK("https://docs.google.com/spreadsheets/d/19Qg4Dcxf22tGj7ikPPHasK6pxlwU1xDC_c69W3E_2nI/edit#gid=459685676", "https://docs.google.com/spreadsheets/d/19Qg4Dcxf22tGj7ikPPHasK6pxlwU1xDC_c69W3E_2nI/edit#gid=459685676")</f>
        <v>https://docs.google.com/spreadsheets/d/19Qg4Dcxf22tGj7ikPPHasK6pxlwU1xDC_c69W3E_2nI/edit#gid=459685676</v>
      </c>
      <c r="H1039" s="35" t="s">
        <v>1997</v>
      </c>
    </row>
    <row r="1040">
      <c r="D1040" s="15"/>
      <c r="E1040" s="32" t="s">
        <v>178</v>
      </c>
      <c r="F1040" s="35" t="s">
        <v>206</v>
      </c>
      <c r="H1040" s="36"/>
    </row>
    <row r="1041">
      <c r="D1041" s="15"/>
      <c r="E1041" s="32" t="s">
        <v>178</v>
      </c>
      <c r="F1041" s="35" t="s">
        <v>207</v>
      </c>
      <c r="G1041" s="84" t="str">
        <f>HYPERLINK("https://docs.google.com/spreadsheets/d/19Qg4Dcxf22tGj7ikPPHasK6pxlwU1xDC_c69W3E_2nI/edit#gid=1289124987", "https://docs.google.com/spreadsheets/d/19Qg4Dcxf22tGj7ikPPHasK6pxlwU1xDC_c69W3E_2nI/edit#gid=1289124987")</f>
        <v>https://docs.google.com/spreadsheets/d/19Qg4Dcxf22tGj7ikPPHasK6pxlwU1xDC_c69W3E_2nI/edit#gid=1289124987</v>
      </c>
      <c r="H1041" s="35" t="s">
        <v>1998</v>
      </c>
    </row>
    <row r="1042">
      <c r="D1042" s="15"/>
      <c r="E1042" s="32" t="s">
        <v>178</v>
      </c>
      <c r="F1042" s="35" t="s">
        <v>208</v>
      </c>
      <c r="G1042" s="84" t="str">
        <f>HYPERLINK("https://docs.google.com/spreadsheets/d/19Qg4Dcxf22tGj7ikPPHasK6pxlwU1xDC_c69W3E_2nI/edit#gid=1194350965", "https://docs.google.com/spreadsheets/d/19Qg4Dcxf22tGj7ikPPHasK6pxlwU1xDC_c69W3E_2nI/edit#gid=1194350965")</f>
        <v>https://docs.google.com/spreadsheets/d/19Qg4Dcxf22tGj7ikPPHasK6pxlwU1xDC_c69W3E_2nI/edit#gid=1194350965</v>
      </c>
      <c r="H1042" s="35" t="s">
        <v>208</v>
      </c>
    </row>
    <row r="1043">
      <c r="D1043" s="15"/>
      <c r="E1043" s="32" t="s">
        <v>178</v>
      </c>
      <c r="F1043" s="35" t="s">
        <v>182</v>
      </c>
      <c r="G1043" s="84" t="str">
        <f>HYPERLINK("https://docs.google.com/spreadsheets/d/19Qg4Dcxf22tGj7ikPPHasK6pxlwU1xDC_c69W3E_2nI/edit#gid=2021283536", "https://docs.google.com/spreadsheets/d/19Qg4Dcxf22tGj7ikPPHasK6pxlwU1xDC_c69W3E_2nI/edit#gid=2021283536")</f>
        <v>https://docs.google.com/spreadsheets/d/19Qg4Dcxf22tGj7ikPPHasK6pxlwU1xDC_c69W3E_2nI/edit#gid=2021283536</v>
      </c>
      <c r="H1043" s="36"/>
    </row>
    <row r="1044">
      <c r="D1044" s="15"/>
      <c r="E1044" s="32" t="s">
        <v>178</v>
      </c>
      <c r="F1044" s="35" t="s">
        <v>180</v>
      </c>
      <c r="G1044" s="84" t="str">
        <f>HYPERLINK("https://docs.google.com/spreadsheets/d/19Qg4Dcxf22tGj7ikPPHasK6pxlwU1xDC_c69W3E_2nI/edit#gid=1435156665", "https://docs.google.com/spreadsheets/d/19Qg4Dcxf22tGj7ikPPHasK6pxlwU1xDC_c69W3E_2nI/edit#gid=1435156665")</f>
        <v>https://docs.google.com/spreadsheets/d/19Qg4Dcxf22tGj7ikPPHasK6pxlwU1xDC_c69W3E_2nI/edit#gid=1435156665</v>
      </c>
      <c r="H1044" s="35" t="s">
        <v>180</v>
      </c>
    </row>
    <row r="1045">
      <c r="D1045" s="15"/>
      <c r="E1045" s="32" t="s">
        <v>178</v>
      </c>
      <c r="F1045" s="35" t="s">
        <v>209</v>
      </c>
      <c r="G1045" s="84" t="str">
        <f>HYPERLINK("https://docs.google.com/spreadsheets/d/19Qg4Dcxf22tGj7ikPPHasK6pxlwU1xDC_c69W3E_2nI/edit#gid=688754800", "https://docs.google.com/spreadsheets/d/19Qg4Dcxf22tGj7ikPPHasK6pxlwU1xDC_c69W3E_2nI/edit#gid=688754800")</f>
        <v>https://docs.google.com/spreadsheets/d/19Qg4Dcxf22tGj7ikPPHasK6pxlwU1xDC_c69W3E_2nI/edit#gid=688754800</v>
      </c>
      <c r="H1045" s="35" t="s">
        <v>209</v>
      </c>
    </row>
    <row r="1046">
      <c r="D1046" s="15"/>
      <c r="E1046" s="32" t="s">
        <v>178</v>
      </c>
      <c r="F1046" s="35" t="s">
        <v>210</v>
      </c>
      <c r="G1046" s="84" t="str">
        <f>HYPERLINK("https://docs.google.com/spreadsheets/d/19Qg4Dcxf22tGj7ikPPHasK6pxlwU1xDC_c69W3E_2nI/edit#gid=1334125115", "https://docs.google.com/spreadsheets/d/19Qg4Dcxf22tGj7ikPPHasK6pxlwU1xDC_c69W3E_2nI/edit#gid=1334125115")</f>
        <v>https://docs.google.com/spreadsheets/d/19Qg4Dcxf22tGj7ikPPHasK6pxlwU1xDC_c69W3E_2nI/edit#gid=1334125115</v>
      </c>
      <c r="H1046" s="35" t="s">
        <v>210</v>
      </c>
    </row>
    <row r="1047">
      <c r="D1047" s="15"/>
      <c r="E1047" s="32" t="s">
        <v>157</v>
      </c>
      <c r="F1047" s="35" t="s">
        <v>161</v>
      </c>
      <c r="G1047" s="84" t="str">
        <f>HYPERLINK("https://docs.google.com/spreadsheets/d/19Qg4Dcxf22tGj7ikPPHasK6pxlwU1xDC_c69W3E_2nI/edit#gid=796756285", "https://docs.google.com/spreadsheets/d/19Qg4Dcxf22tGj7ikPPHasK6pxlwU1xDC_c69W3E_2nI/edit#gid=796756285")</f>
        <v>https://docs.google.com/spreadsheets/d/19Qg4Dcxf22tGj7ikPPHasK6pxlwU1xDC_c69W3E_2nI/edit#gid=796756285</v>
      </c>
      <c r="H1047" s="35" t="s">
        <v>161</v>
      </c>
    </row>
    <row r="1048">
      <c r="D1048" s="15"/>
      <c r="E1048" s="32" t="s">
        <v>157</v>
      </c>
      <c r="F1048" s="35" t="s">
        <v>158</v>
      </c>
      <c r="G1048" s="84" t="str">
        <f>HYPERLINK("https://docs.google.com/spreadsheets/d/19Qg4Dcxf22tGj7ikPPHasK6pxlwU1xDC_c69W3E_2nI/edit#gid=601658588", "https://docs.google.com/spreadsheets/d/19Qg4Dcxf22tGj7ikPPHasK6pxlwU1xDC_c69W3E_2nI/edit#gid=601658588")</f>
        <v>https://docs.google.com/spreadsheets/d/19Qg4Dcxf22tGj7ikPPHasK6pxlwU1xDC_c69W3E_2nI/edit#gid=601658588</v>
      </c>
      <c r="H1048" s="35" t="s">
        <v>158</v>
      </c>
    </row>
    <row r="1049">
      <c r="D1049" s="15"/>
      <c r="E1049" s="32" t="s">
        <v>157</v>
      </c>
      <c r="F1049" s="35" t="s">
        <v>196</v>
      </c>
      <c r="G1049" s="84" t="str">
        <f>HYPERLINK("https://docs.google.com/spreadsheets/d/19Qg4Dcxf22tGj7ikPPHasK6pxlwU1xDC_c69W3E_2nI/edit#gid=102327998", "https://docs.google.com/spreadsheets/d/19Qg4Dcxf22tGj7ikPPHasK6pxlwU1xDC_c69W3E_2nI/edit#gid=102327998")</f>
        <v>https://docs.google.com/spreadsheets/d/19Qg4Dcxf22tGj7ikPPHasK6pxlwU1xDC_c69W3E_2nI/edit#gid=102327998</v>
      </c>
      <c r="H1049" s="35" t="s">
        <v>196</v>
      </c>
    </row>
    <row r="1050">
      <c r="D1050" s="15"/>
      <c r="E1050" s="32" t="s">
        <v>172</v>
      </c>
      <c r="F1050" s="35" t="s">
        <v>173</v>
      </c>
      <c r="G1050" s="84" t="str">
        <f>HYPERLINK("https://docs.google.com/spreadsheets/d/19Qg4Dcxf22tGj7ikPPHasK6pxlwU1xDC_c69W3E_2nI/edit#gid=1307511461", "https://docs.google.com/spreadsheets/d/19Qg4Dcxf22tGj7ikPPHasK6pxlwU1xDC_c69W3E_2nI/edit#gid=1307511461")</f>
        <v>https://docs.google.com/spreadsheets/d/19Qg4Dcxf22tGj7ikPPHasK6pxlwU1xDC_c69W3E_2nI/edit#gid=1307511461</v>
      </c>
      <c r="H1050" s="36"/>
    </row>
    <row r="1051">
      <c r="D1051" s="15"/>
      <c r="E1051" s="32" t="s">
        <v>172</v>
      </c>
      <c r="F1051" s="35" t="s">
        <v>402</v>
      </c>
      <c r="G1051" s="84" t="str">
        <f>HYPERLINK("https://docs.google.com/spreadsheets/d/19Qg4Dcxf22tGj7ikPPHasK6pxlwU1xDC_c69W3E_2nI/edit#gid=908377709", "https://docs.google.com/spreadsheets/d/19Qg4Dcxf22tGj7ikPPHasK6pxlwU1xDC_c69W3E_2nI/edit#gid=908377709")</f>
        <v>https://docs.google.com/spreadsheets/d/19Qg4Dcxf22tGj7ikPPHasK6pxlwU1xDC_c69W3E_2nI/edit#gid=908377709</v>
      </c>
      <c r="H1051" s="35" t="s">
        <v>2055</v>
      </c>
    </row>
    <row r="1052">
      <c r="D1052" s="15"/>
      <c r="E1052" s="32" t="s">
        <v>172</v>
      </c>
      <c r="F1052" s="35" t="s">
        <v>203</v>
      </c>
      <c r="G1052" s="84" t="str">
        <f>HYPERLINK("https://docs.google.com/spreadsheets/d/19Qg4Dcxf22tGj7ikPPHasK6pxlwU1xDC_c69W3E_2nI/edit#gid=623748624", "https://docs.google.com/spreadsheets/d/19Qg4Dcxf22tGj7ikPPHasK6pxlwU1xDC_c69W3E_2nI/edit#gid=623748624")</f>
        <v>https://docs.google.com/spreadsheets/d/19Qg4Dcxf22tGj7ikPPHasK6pxlwU1xDC_c69W3E_2nI/edit#gid=623748624</v>
      </c>
      <c r="H1052" s="35" t="s">
        <v>1999</v>
      </c>
    </row>
    <row r="1053">
      <c r="D1053" s="15"/>
      <c r="E1053" s="32" t="s">
        <v>172</v>
      </c>
      <c r="F1053" s="35" t="s">
        <v>204</v>
      </c>
      <c r="G1053" s="84" t="str">
        <f>HYPERLINK("https://docs.google.com/spreadsheets/d/19Qg4Dcxf22tGj7ikPPHasK6pxlwU1xDC_c69W3E_2nI/edit#gid=586356869", "https://docs.google.com/spreadsheets/d/19Qg4Dcxf22tGj7ikPPHasK6pxlwU1xDC_c69W3E_2nI/edit#gid=586356869")</f>
        <v>https://docs.google.com/spreadsheets/d/19Qg4Dcxf22tGj7ikPPHasK6pxlwU1xDC_c69W3E_2nI/edit#gid=586356869</v>
      </c>
      <c r="H1053" s="35" t="s">
        <v>2000</v>
      </c>
    </row>
    <row r="1054">
      <c r="D1054" s="15"/>
      <c r="E1054" s="32" t="s">
        <v>178</v>
      </c>
      <c r="F1054" s="35" t="s">
        <v>207</v>
      </c>
      <c r="G1054" s="84" t="str">
        <f>HYPERLINK("https://docs.google.com/spreadsheets/d/19Qg4Dcxf22tGj7ikPPHasK6pxlwU1xDC_c69W3E_2nI/edit#gid=259448318", "https://docs.google.com/spreadsheets/d/19Qg4Dcxf22tGj7ikPPHasK6pxlwU1xDC_c69W3E_2nI/edit#gid=259448318")</f>
        <v>https://docs.google.com/spreadsheets/d/19Qg4Dcxf22tGj7ikPPHasK6pxlwU1xDC_c69W3E_2nI/edit#gid=259448318</v>
      </c>
      <c r="H1054" s="35" t="s">
        <v>2001</v>
      </c>
    </row>
    <row r="1055">
      <c r="D1055" s="15"/>
      <c r="E1055" s="32" t="s">
        <v>178</v>
      </c>
      <c r="F1055" s="35" t="s">
        <v>208</v>
      </c>
      <c r="G1055" s="84" t="str">
        <f>HYPERLINK("https://docs.google.com/spreadsheets/d/19Qg4Dcxf22tGj7ikPPHasK6pxlwU1xDC_c69W3E_2nI/edit#gid=1301628846", "https://docs.google.com/spreadsheets/d/19Qg4Dcxf22tGj7ikPPHasK6pxlwU1xDC_c69W3E_2nI/edit#gid=1301628846")</f>
        <v>https://docs.google.com/spreadsheets/d/19Qg4Dcxf22tGj7ikPPHasK6pxlwU1xDC_c69W3E_2nI/edit#gid=1301628846</v>
      </c>
      <c r="H1055" s="35" t="s">
        <v>2002</v>
      </c>
    </row>
    <row r="1056">
      <c r="D1056" s="15"/>
      <c r="E1056" s="32" t="s">
        <v>178</v>
      </c>
      <c r="F1056" s="35" t="s">
        <v>182</v>
      </c>
      <c r="G1056" s="84" t="str">
        <f>HYPERLINK("https://docs.google.com/spreadsheets/d/19Qg4Dcxf22tGj7ikPPHasK6pxlwU1xDC_c69W3E_2nI/edit#gid=103670840", "https://docs.google.com/spreadsheets/d/19Qg4Dcxf22tGj7ikPPHasK6pxlwU1xDC_c69W3E_2nI/edit#gid=103670840")</f>
        <v>https://docs.google.com/spreadsheets/d/19Qg4Dcxf22tGj7ikPPHasK6pxlwU1xDC_c69W3E_2nI/edit#gid=103670840</v>
      </c>
      <c r="H1056" s="35" t="s">
        <v>2003</v>
      </c>
    </row>
    <row r="1057">
      <c r="D1057" s="15"/>
      <c r="E1057" s="32" t="s">
        <v>178</v>
      </c>
      <c r="F1057" s="35" t="s">
        <v>180</v>
      </c>
      <c r="G1057" s="84" t="str">
        <f>HYPERLINK("https://docs.google.com/spreadsheets/d/19Qg4Dcxf22tGj7ikPPHasK6pxlwU1xDC_c69W3E_2nI/edit#gid=21437654", "https://docs.google.com/spreadsheets/d/19Qg4Dcxf22tGj7ikPPHasK6pxlwU1xDC_c69W3E_2nI/edit#gid=21437654")</f>
        <v>https://docs.google.com/spreadsheets/d/19Qg4Dcxf22tGj7ikPPHasK6pxlwU1xDC_c69W3E_2nI/edit#gid=21437654</v>
      </c>
      <c r="H1057" s="35" t="s">
        <v>2009</v>
      </c>
    </row>
    <row r="1058">
      <c r="D1058" s="15"/>
      <c r="E1058" s="32" t="s">
        <v>178</v>
      </c>
      <c r="F1058" s="35" t="s">
        <v>209</v>
      </c>
      <c r="G1058" s="84" t="str">
        <f>HYPERLINK("https://docs.google.com/spreadsheets/d/19Qg4Dcxf22tGj7ikPPHasK6pxlwU1xDC_c69W3E_2nI/edit#gid=842032230", "https://docs.google.com/spreadsheets/d/19Qg4Dcxf22tGj7ikPPHasK6pxlwU1xDC_c69W3E_2nI/edit#gid=842032230")</f>
        <v>https://docs.google.com/spreadsheets/d/19Qg4Dcxf22tGj7ikPPHasK6pxlwU1xDC_c69W3E_2nI/edit#gid=842032230</v>
      </c>
      <c r="H1058" s="35" t="s">
        <v>1986</v>
      </c>
    </row>
    <row r="1059">
      <c r="D1059" s="15"/>
      <c r="E1059" s="32" t="s">
        <v>178</v>
      </c>
      <c r="F1059" s="35" t="s">
        <v>210</v>
      </c>
      <c r="G1059" s="84" t="str">
        <f>HYPERLINK("https://docs.google.com/spreadsheets/d/19Qg4Dcxf22tGj7ikPPHasK6pxlwU1xDC_c69W3E_2nI/edit#gid=416405076", "https://docs.google.com/spreadsheets/d/19Qg4Dcxf22tGj7ikPPHasK6pxlwU1xDC_c69W3E_2nI/edit#gid=416405076")</f>
        <v>https://docs.google.com/spreadsheets/d/19Qg4Dcxf22tGj7ikPPHasK6pxlwU1xDC_c69W3E_2nI/edit#gid=416405076</v>
      </c>
      <c r="H1059" s="35" t="s">
        <v>1987</v>
      </c>
    </row>
    <row r="1060">
      <c r="D1060" s="15"/>
      <c r="E1060" s="32" t="s">
        <v>86</v>
      </c>
      <c r="F1060" s="35" t="s">
        <v>90</v>
      </c>
      <c r="G1060" s="84" t="str">
        <f>HYPERLINK("https://docs.google.com/spreadsheets/d/19Qg4Dcxf22tGj7ikPPHasK6pxlwU1xDC_c69W3E_2nI/edit#gid=371227532", "https://docs.google.com/spreadsheets/d/19Qg4Dcxf22tGj7ikPPHasK6pxlwU1xDC_c69W3E_2nI/edit#gid=371227532")</f>
        <v>https://docs.google.com/spreadsheets/d/19Qg4Dcxf22tGj7ikPPHasK6pxlwU1xDC_c69W3E_2nI/edit#gid=371227532</v>
      </c>
      <c r="H1060" s="35" t="s">
        <v>2022</v>
      </c>
    </row>
    <row r="1061">
      <c r="D1061" s="15"/>
      <c r="E1061" s="32" t="s">
        <v>86</v>
      </c>
      <c r="F1061" s="35" t="s">
        <v>91</v>
      </c>
      <c r="G1061" s="84" t="str">
        <f>HYPERLINK("https://docs.google.com/spreadsheets/d/19Qg4Dcxf22tGj7ikPPHasK6pxlwU1xDC_c69W3E_2nI/edit#gid=1710257548", "https://docs.google.com/spreadsheets/d/19Qg4Dcxf22tGj7ikPPHasK6pxlwU1xDC_c69W3E_2nI/edit#gid=1710257548")</f>
        <v>https://docs.google.com/spreadsheets/d/19Qg4Dcxf22tGj7ikPPHasK6pxlwU1xDC_c69W3E_2nI/edit#gid=1710257548</v>
      </c>
      <c r="H1061" s="35" t="s">
        <v>91</v>
      </c>
    </row>
    <row r="1062">
      <c r="D1062" s="15"/>
      <c r="E1062" s="32" t="s">
        <v>88</v>
      </c>
      <c r="F1062" s="35" t="s">
        <v>95</v>
      </c>
      <c r="G1062" s="84" t="str">
        <f>HYPERLINK("https://docs.google.com/spreadsheets/d/19Qg4Dcxf22tGj7ikPPHasK6pxlwU1xDC_c69W3E_2nI/edit#gid=1567462724", "https://docs.google.com/spreadsheets/d/19Qg4Dcxf22tGj7ikPPHasK6pxlwU1xDC_c69W3E_2nI/edit#gid=1567462724")</f>
        <v>https://docs.google.com/spreadsheets/d/19Qg4Dcxf22tGj7ikPPHasK6pxlwU1xDC_c69W3E_2nI/edit#gid=1567462724</v>
      </c>
      <c r="H1062" s="35" t="s">
        <v>95</v>
      </c>
    </row>
    <row r="1063">
      <c r="D1063" s="15"/>
      <c r="E1063" s="32" t="s">
        <v>88</v>
      </c>
      <c r="F1063" s="35" t="s">
        <v>96</v>
      </c>
      <c r="G1063" s="84" t="str">
        <f>HYPERLINK("https://docs.google.com/spreadsheets/d/19Qg4Dcxf22tGj7ikPPHasK6pxlwU1xDC_c69W3E_2nI/edit#gid=981450916", "https://docs.google.com/spreadsheets/d/19Qg4Dcxf22tGj7ikPPHasK6pxlwU1xDC_c69W3E_2nI/edit#gid=981450916")</f>
        <v>https://docs.google.com/spreadsheets/d/19Qg4Dcxf22tGj7ikPPHasK6pxlwU1xDC_c69W3E_2nI/edit#gid=981450916</v>
      </c>
      <c r="H1063" s="35" t="s">
        <v>96</v>
      </c>
    </row>
    <row r="1064">
      <c r="D1064" s="15"/>
      <c r="E1064" s="32"/>
      <c r="F1064" s="35"/>
      <c r="H1064" s="35"/>
    </row>
    <row r="1065">
      <c r="D1065" s="15"/>
      <c r="E1065" s="32"/>
      <c r="F1065" s="35"/>
      <c r="H1065" s="35"/>
    </row>
    <row r="1066">
      <c r="B1066" s="35" t="s">
        <v>2110</v>
      </c>
      <c r="C1066" s="35" t="s">
        <v>2047</v>
      </c>
      <c r="D1066" s="32" t="s">
        <v>20</v>
      </c>
      <c r="E1066" s="32" t="s">
        <v>89</v>
      </c>
      <c r="F1066" s="35" t="s">
        <v>291</v>
      </c>
      <c r="H1066" s="36"/>
    </row>
    <row r="1067">
      <c r="B1067" s="35" t="s">
        <v>2111</v>
      </c>
      <c r="C1067" s="210" t="s">
        <v>2112</v>
      </c>
      <c r="D1067" s="32" t="s">
        <v>20</v>
      </c>
      <c r="E1067" s="32" t="s">
        <v>178</v>
      </c>
      <c r="F1067" s="35" t="s">
        <v>201</v>
      </c>
      <c r="G1067" s="84" t="str">
        <f>HYPERLINK("https://docs.google.com/spreadsheets/d/1Bdkujs8vpvOg17nO6b87hiftcB9gWfFGVVbwef_77qw/edit#gid=4469171", "https://docs.google.com/spreadsheets/d/1Bdkujs8vpvOg17nO6b87hiftcB9gWfFGVVbwef_77qw/edit#gid=4469171")</f>
        <v>https://docs.google.com/spreadsheets/d/1Bdkujs8vpvOg17nO6b87hiftcB9gWfFGVVbwef_77qw/edit#gid=4469171</v>
      </c>
      <c r="H1067" s="35" t="s">
        <v>201</v>
      </c>
    </row>
    <row r="1068">
      <c r="D1068" s="15"/>
      <c r="E1068" s="32" t="s">
        <v>178</v>
      </c>
      <c r="F1068" s="35" t="s">
        <v>202</v>
      </c>
      <c r="G1068" s="84" t="str">
        <f>HYPERLINK("https://docs.google.com/spreadsheets/d/1Bdkujs8vpvOg17nO6b87hiftcB9gWfFGVVbwef_77qw/edit#gid=1218050581", "https://docs.google.com/spreadsheets/d/1Bdkujs8vpvOg17nO6b87hiftcB9gWfFGVVbwef_77qw/edit#gid=1218050581")</f>
        <v>https://docs.google.com/spreadsheets/d/1Bdkujs8vpvOg17nO6b87hiftcB9gWfFGVVbwef_77qw/edit#gid=1218050581</v>
      </c>
      <c r="H1068" s="35" t="s">
        <v>202</v>
      </c>
    </row>
    <row r="1069">
      <c r="D1069" s="15"/>
      <c r="E1069" s="32" t="s">
        <v>21</v>
      </c>
      <c r="F1069" s="35" t="s">
        <v>51</v>
      </c>
      <c r="G1069" s="84" t="str">
        <f>HYPERLINK("https://docs.google.com/spreadsheets/d/1Bdkujs8vpvOg17nO6b87hiftcB9gWfFGVVbwef_77qw/edit#gid=2135064920", "https://docs.google.com/spreadsheets/d/1Bdkujs8vpvOg17nO6b87hiftcB9gWfFGVVbwef_77qw/edit#gid=2135064920")</f>
        <v>https://docs.google.com/spreadsheets/d/1Bdkujs8vpvOg17nO6b87hiftcB9gWfFGVVbwef_77qw/edit#gid=2135064920</v>
      </c>
      <c r="H1069" s="35" t="s">
        <v>51</v>
      </c>
    </row>
    <row r="1070">
      <c r="D1070" s="15"/>
      <c r="E1070" s="32" t="s">
        <v>172</v>
      </c>
      <c r="F1070" s="35" t="s">
        <v>173</v>
      </c>
      <c r="G1070" s="84" t="str">
        <f>HYPERLINK("https://docs.google.com/spreadsheets/d/1Bdkujs8vpvOg17nO6b87hiftcB9gWfFGVVbwef_77qw/edit#gid=1717511045", "https://docs.google.com/spreadsheets/d/1Bdkujs8vpvOg17nO6b87hiftcB9gWfFGVVbwef_77qw/edit#gid=1717511045")</f>
        <v>https://docs.google.com/spreadsheets/d/1Bdkujs8vpvOg17nO6b87hiftcB9gWfFGVVbwef_77qw/edit#gid=1717511045</v>
      </c>
      <c r="H1070" s="35" t="s">
        <v>173</v>
      </c>
    </row>
    <row r="1071">
      <c r="D1071" s="15"/>
      <c r="E1071" s="32" t="s">
        <v>172</v>
      </c>
      <c r="F1071" s="35" t="s">
        <v>402</v>
      </c>
      <c r="G1071" s="84" t="str">
        <f>HYPERLINK("https://docs.google.com/spreadsheets/d/1Bdkujs8vpvOg17nO6b87hiftcB9gWfFGVVbwef_77qw/edit#gid=1944037250", "https://docs.google.com/spreadsheets/d/1Bdkujs8vpvOg17nO6b87hiftcB9gWfFGVVbwef_77qw/edit#gid=1944037250")</f>
        <v>https://docs.google.com/spreadsheets/d/1Bdkujs8vpvOg17nO6b87hiftcB9gWfFGVVbwef_77qw/edit#gid=1944037250</v>
      </c>
      <c r="H1071" s="35" t="s">
        <v>402</v>
      </c>
    </row>
    <row r="1072">
      <c r="D1072" s="15"/>
      <c r="E1072" s="32" t="s">
        <v>172</v>
      </c>
      <c r="F1072" s="35" t="s">
        <v>203</v>
      </c>
      <c r="G1072" s="84" t="str">
        <f>HYPERLINK("https://docs.google.com/spreadsheets/d/1Bdkujs8vpvOg17nO6b87hiftcB9gWfFGVVbwef_77qw/edit#gid=1457525360", "https://docs.google.com/spreadsheets/d/1Bdkujs8vpvOg17nO6b87hiftcB9gWfFGVVbwef_77qw/edit#gid=1457525360")</f>
        <v>https://docs.google.com/spreadsheets/d/1Bdkujs8vpvOg17nO6b87hiftcB9gWfFGVVbwef_77qw/edit#gid=1457525360</v>
      </c>
      <c r="H1072" s="35" t="s">
        <v>203</v>
      </c>
    </row>
    <row r="1073">
      <c r="D1073" s="15"/>
      <c r="E1073" s="32" t="s">
        <v>172</v>
      </c>
      <c r="F1073" s="35" t="s">
        <v>204</v>
      </c>
      <c r="G1073" s="84" t="str">
        <f>HYPERLINK("https://docs.google.com/spreadsheets/d/1Bdkujs8vpvOg17nO6b87hiftcB9gWfFGVVbwef_77qw/edit#gid=1320731655", "https://docs.google.com/spreadsheets/d/1Bdkujs8vpvOg17nO6b87hiftcB9gWfFGVVbwef_77qw/edit#gid=1320731655")</f>
        <v>https://docs.google.com/spreadsheets/d/1Bdkujs8vpvOg17nO6b87hiftcB9gWfFGVVbwef_77qw/edit#gid=1320731655</v>
      </c>
      <c r="H1073" s="35" t="s">
        <v>204</v>
      </c>
    </row>
    <row r="1074">
      <c r="D1074" s="15"/>
      <c r="E1074" s="32" t="s">
        <v>178</v>
      </c>
      <c r="F1074" s="35" t="s">
        <v>205</v>
      </c>
      <c r="G1074" s="84" t="str">
        <f>HYPERLINK("https://docs.google.com/spreadsheets/d/1Bdkujs8vpvOg17nO6b87hiftcB9gWfFGVVbwef_77qw/edit#gid=1908590772", "https://docs.google.com/spreadsheets/d/1Bdkujs8vpvOg17nO6b87hiftcB9gWfFGVVbwef_77qw/edit#gid=1908590772")</f>
        <v>https://docs.google.com/spreadsheets/d/1Bdkujs8vpvOg17nO6b87hiftcB9gWfFGVVbwef_77qw/edit#gid=1908590772</v>
      </c>
      <c r="H1074" s="35" t="s">
        <v>205</v>
      </c>
    </row>
    <row r="1075">
      <c r="D1075" s="15"/>
      <c r="E1075" s="32" t="s">
        <v>178</v>
      </c>
      <c r="F1075" s="35" t="s">
        <v>206</v>
      </c>
      <c r="H1075" s="36"/>
    </row>
    <row r="1076">
      <c r="D1076" s="15"/>
      <c r="E1076" s="32" t="s">
        <v>178</v>
      </c>
      <c r="F1076" s="35" t="s">
        <v>207</v>
      </c>
      <c r="G1076" s="84" t="str">
        <f>HYPERLINK("https://docs.google.com/spreadsheets/d/1Bdkujs8vpvOg17nO6b87hiftcB9gWfFGVVbwef_77qw/edit#gid=1952828787", "https://docs.google.com/spreadsheets/d/1Bdkujs8vpvOg17nO6b87hiftcB9gWfFGVVbwef_77qw/edit#gid=1952828787")</f>
        <v>https://docs.google.com/spreadsheets/d/1Bdkujs8vpvOg17nO6b87hiftcB9gWfFGVVbwef_77qw/edit#gid=1952828787</v>
      </c>
      <c r="H1076" s="35" t="s">
        <v>207</v>
      </c>
    </row>
    <row r="1077">
      <c r="D1077" s="15"/>
      <c r="E1077" s="32" t="s">
        <v>21</v>
      </c>
      <c r="F1077" s="35" t="s">
        <v>51</v>
      </c>
      <c r="G1077" s="84" t="str">
        <f>HYPERLINK("https://docs.google.com/spreadsheets/d/1Bdkujs8vpvOg17nO6b87hiftcB9gWfFGVVbwef_77qw/edit#gid=652830298", "https://docs.google.com/spreadsheets/d/1Bdkujs8vpvOg17nO6b87hiftcB9gWfFGVVbwef_77qw/edit#gid=652830298")</f>
        <v>https://docs.google.com/spreadsheets/d/1Bdkujs8vpvOg17nO6b87hiftcB9gWfFGVVbwef_77qw/edit#gid=652830298</v>
      </c>
      <c r="H1077" s="35" t="s">
        <v>1383</v>
      </c>
    </row>
    <row r="1078">
      <c r="D1078" s="15"/>
      <c r="E1078" s="32" t="s">
        <v>86</v>
      </c>
      <c r="F1078" s="35" t="s">
        <v>90</v>
      </c>
      <c r="G1078" s="84" t="str">
        <f>HYPERLINK("https://docs.google.com/spreadsheets/d/1Bdkujs8vpvOg17nO6b87hiftcB9gWfFGVVbwef_77qw/edit#gid=1585515298", "https://docs.google.com/spreadsheets/d/1Bdkujs8vpvOg17nO6b87hiftcB9gWfFGVVbwef_77qw/edit#gid=1585515298")</f>
        <v>https://docs.google.com/spreadsheets/d/1Bdkujs8vpvOg17nO6b87hiftcB9gWfFGVVbwef_77qw/edit#gid=1585515298</v>
      </c>
      <c r="H1078" s="35" t="s">
        <v>90</v>
      </c>
    </row>
    <row r="1079">
      <c r="D1079" s="15"/>
      <c r="E1079" s="32" t="s">
        <v>86</v>
      </c>
      <c r="F1079" s="35" t="s">
        <v>339</v>
      </c>
      <c r="G1079" s="84" t="str">
        <f>HYPERLINK("https://docs.google.com/spreadsheets/d/1Bdkujs8vpvOg17nO6b87hiftcB9gWfFGVVbwef_77qw/edit#gid=1678532562", "https://docs.google.com/spreadsheets/d/1Bdkujs8vpvOg17nO6b87hiftcB9gWfFGVVbwef_77qw/edit#gid=1678532562")</f>
        <v>https://docs.google.com/spreadsheets/d/1Bdkujs8vpvOg17nO6b87hiftcB9gWfFGVVbwef_77qw/edit#gid=1678532562</v>
      </c>
      <c r="H1079" s="35" t="s">
        <v>339</v>
      </c>
    </row>
    <row r="1080">
      <c r="D1080" s="15"/>
      <c r="E1080" s="32" t="s">
        <v>172</v>
      </c>
      <c r="F1080" s="35" t="s">
        <v>173</v>
      </c>
      <c r="G1080" s="84" t="str">
        <f>HYPERLINK("https://docs.google.com/spreadsheets/d/1Bdkujs8vpvOg17nO6b87hiftcB9gWfFGVVbwef_77qw/edit#gid=1570697869", "https://docs.google.com/spreadsheets/d/1Bdkujs8vpvOg17nO6b87hiftcB9gWfFGVVbwef_77qw/edit#gid=1570697869")</f>
        <v>https://docs.google.com/spreadsheets/d/1Bdkujs8vpvOg17nO6b87hiftcB9gWfFGVVbwef_77qw/edit#gid=1570697869</v>
      </c>
      <c r="H1080" s="35" t="s">
        <v>269</v>
      </c>
    </row>
    <row r="1081">
      <c r="D1081" s="15"/>
      <c r="E1081" s="32" t="s">
        <v>172</v>
      </c>
      <c r="F1081" s="35" t="s">
        <v>402</v>
      </c>
      <c r="G1081" s="84" t="str">
        <f>HYPERLINK("https://docs.google.com/spreadsheets/d/1Bdkujs8vpvOg17nO6b87hiftcB9gWfFGVVbwef_77qw/edit#gid=321968561", "https://docs.google.com/spreadsheets/d/1Bdkujs8vpvOg17nO6b87hiftcB9gWfFGVVbwef_77qw/edit#gid=321968561")</f>
        <v>https://docs.google.com/spreadsheets/d/1Bdkujs8vpvOg17nO6b87hiftcB9gWfFGVVbwef_77qw/edit#gid=321968561</v>
      </c>
      <c r="H1081" s="35" t="s">
        <v>2053</v>
      </c>
    </row>
    <row r="1082">
      <c r="D1082" s="15"/>
      <c r="E1082" s="32" t="s">
        <v>172</v>
      </c>
      <c r="F1082" s="35" t="s">
        <v>203</v>
      </c>
      <c r="G1082" s="84" t="str">
        <f>HYPERLINK("https://docs.google.com/spreadsheets/d/1Bdkujs8vpvOg17nO6b87hiftcB9gWfFGVVbwef_77qw/edit#gid=467402547", "https://docs.google.com/spreadsheets/d/1Bdkujs8vpvOg17nO6b87hiftcB9gWfFGVVbwef_77qw/edit#gid=467402547")</f>
        <v>https://docs.google.com/spreadsheets/d/1Bdkujs8vpvOg17nO6b87hiftcB9gWfFGVVbwef_77qw/edit#gid=467402547</v>
      </c>
      <c r="H1082" s="35" t="s">
        <v>1995</v>
      </c>
    </row>
    <row r="1083">
      <c r="D1083" s="15"/>
      <c r="E1083" s="32" t="s">
        <v>172</v>
      </c>
      <c r="F1083" s="35" t="s">
        <v>204</v>
      </c>
      <c r="G1083" s="84" t="str">
        <f>HYPERLINK("https://docs.google.com/spreadsheets/d/1Bdkujs8vpvOg17nO6b87hiftcB9gWfFGVVbwef_77qw/edit#gid=617647946", "https://docs.google.com/spreadsheets/d/1Bdkujs8vpvOg17nO6b87hiftcB9gWfFGVVbwef_77qw/edit#gid=617647946")</f>
        <v>https://docs.google.com/spreadsheets/d/1Bdkujs8vpvOg17nO6b87hiftcB9gWfFGVVbwef_77qw/edit#gid=617647946</v>
      </c>
      <c r="H1083" s="35" t="s">
        <v>1996</v>
      </c>
    </row>
    <row r="1084">
      <c r="D1084" s="15"/>
      <c r="E1084" s="32" t="s">
        <v>178</v>
      </c>
      <c r="F1084" s="35" t="s">
        <v>205</v>
      </c>
      <c r="G1084" s="84" t="str">
        <f>HYPERLINK("https://docs.google.com/spreadsheets/d/1Bdkujs8vpvOg17nO6b87hiftcB9gWfFGVVbwef_77qw/edit#gid=301684012", "https://docs.google.com/spreadsheets/d/1Bdkujs8vpvOg17nO6b87hiftcB9gWfFGVVbwef_77qw/edit#gid=301684012")</f>
        <v>https://docs.google.com/spreadsheets/d/1Bdkujs8vpvOg17nO6b87hiftcB9gWfFGVVbwef_77qw/edit#gid=301684012</v>
      </c>
      <c r="H1084" s="35" t="s">
        <v>1997</v>
      </c>
    </row>
    <row r="1085">
      <c r="D1085" s="15"/>
      <c r="E1085" s="32" t="s">
        <v>178</v>
      </c>
      <c r="F1085" s="35" t="s">
        <v>206</v>
      </c>
      <c r="H1085" s="36"/>
    </row>
    <row r="1086">
      <c r="D1086" s="15"/>
      <c r="E1086" s="32" t="s">
        <v>178</v>
      </c>
      <c r="F1086" s="35" t="s">
        <v>207</v>
      </c>
      <c r="G1086" s="84" t="str">
        <f>HYPERLINK("https://docs.google.com/spreadsheets/d/1Bdkujs8vpvOg17nO6b87hiftcB9gWfFGVVbwef_77qw/edit#gid=1641084391", "https://docs.google.com/spreadsheets/d/1Bdkujs8vpvOg17nO6b87hiftcB9gWfFGVVbwef_77qw/edit#gid=1641084391")</f>
        <v>https://docs.google.com/spreadsheets/d/1Bdkujs8vpvOg17nO6b87hiftcB9gWfFGVVbwef_77qw/edit#gid=1641084391</v>
      </c>
      <c r="H1086" s="35" t="s">
        <v>1998</v>
      </c>
    </row>
    <row r="1087">
      <c r="D1087" s="15"/>
      <c r="E1087" s="32" t="s">
        <v>178</v>
      </c>
      <c r="F1087" s="35" t="s">
        <v>208</v>
      </c>
      <c r="G1087" s="84" t="str">
        <f>HYPERLINK("https://docs.google.com/spreadsheets/d/1Bdkujs8vpvOg17nO6b87hiftcB9gWfFGVVbwef_77qw/edit#gid=1956029956", "https://docs.google.com/spreadsheets/d/1Bdkujs8vpvOg17nO6b87hiftcB9gWfFGVVbwef_77qw/edit#gid=1956029956")</f>
        <v>https://docs.google.com/spreadsheets/d/1Bdkujs8vpvOg17nO6b87hiftcB9gWfFGVVbwef_77qw/edit#gid=1956029956</v>
      </c>
      <c r="H1087" s="35" t="s">
        <v>208</v>
      </c>
    </row>
    <row r="1088">
      <c r="D1088" s="15"/>
      <c r="E1088" s="32" t="s">
        <v>178</v>
      </c>
      <c r="F1088" s="35" t="s">
        <v>182</v>
      </c>
      <c r="G1088" s="84" t="str">
        <f>HYPERLINK("https://docs.google.com/spreadsheets/d/1Bdkujs8vpvOg17nO6b87hiftcB9gWfFGVVbwef_77qw/edit#gid=1250429286", "https://docs.google.com/spreadsheets/d/1Bdkujs8vpvOg17nO6b87hiftcB9gWfFGVVbwef_77qw/edit#gid=1250429286")</f>
        <v>https://docs.google.com/spreadsheets/d/1Bdkujs8vpvOg17nO6b87hiftcB9gWfFGVVbwef_77qw/edit#gid=1250429286</v>
      </c>
      <c r="H1088" s="35" t="s">
        <v>182</v>
      </c>
    </row>
    <row r="1089">
      <c r="D1089" s="15"/>
      <c r="E1089" s="32" t="s">
        <v>178</v>
      </c>
      <c r="F1089" s="35" t="s">
        <v>180</v>
      </c>
      <c r="G1089" s="84" t="str">
        <f>HYPERLINK("https://docs.google.com/spreadsheets/d/1Bdkujs8vpvOg17nO6b87hiftcB9gWfFGVVbwef_77qw/edit#gid=148120700", "https://docs.google.com/spreadsheets/d/1Bdkujs8vpvOg17nO6b87hiftcB9gWfFGVVbwef_77qw/edit#gid=148120700")</f>
        <v>https://docs.google.com/spreadsheets/d/1Bdkujs8vpvOg17nO6b87hiftcB9gWfFGVVbwef_77qw/edit#gid=148120700</v>
      </c>
      <c r="H1089" s="35" t="s">
        <v>180</v>
      </c>
    </row>
    <row r="1090">
      <c r="D1090" s="15"/>
      <c r="E1090" s="32" t="s">
        <v>178</v>
      </c>
      <c r="F1090" s="35" t="s">
        <v>209</v>
      </c>
      <c r="G1090" s="84" t="str">
        <f>HYPERLINK("https://docs.google.com/spreadsheets/d/1Bdkujs8vpvOg17nO6b87hiftcB9gWfFGVVbwef_77qw/edit#gid=878016610", "https://docs.google.com/spreadsheets/d/1Bdkujs8vpvOg17nO6b87hiftcB9gWfFGVVbwef_77qw/edit#gid=878016610")</f>
        <v>https://docs.google.com/spreadsheets/d/1Bdkujs8vpvOg17nO6b87hiftcB9gWfFGVVbwef_77qw/edit#gid=878016610</v>
      </c>
      <c r="H1090" s="35" t="s">
        <v>209</v>
      </c>
    </row>
    <row r="1091">
      <c r="D1091" s="15"/>
      <c r="E1091" s="32" t="s">
        <v>178</v>
      </c>
      <c r="F1091" s="35" t="s">
        <v>210</v>
      </c>
      <c r="G1091" s="84" t="str">
        <f>HYPERLINK("https://docs.google.com/spreadsheets/d/1Bdkujs8vpvOg17nO6b87hiftcB9gWfFGVVbwef_77qw/edit#gid=2087886752", "https://docs.google.com/spreadsheets/d/1Bdkujs8vpvOg17nO6b87hiftcB9gWfFGVVbwef_77qw/edit#gid=2087886752")</f>
        <v>https://docs.google.com/spreadsheets/d/1Bdkujs8vpvOg17nO6b87hiftcB9gWfFGVVbwef_77qw/edit#gid=2087886752</v>
      </c>
      <c r="H1091" s="35" t="s">
        <v>210</v>
      </c>
    </row>
    <row r="1092">
      <c r="D1092" s="15"/>
      <c r="E1092" s="32" t="s">
        <v>157</v>
      </c>
      <c r="F1092" s="35" t="s">
        <v>161</v>
      </c>
      <c r="G1092" s="84" t="str">
        <f>HYPERLINK("https://docs.google.com/spreadsheets/d/1Bdkujs8vpvOg17nO6b87hiftcB9gWfFGVVbwef_77qw/edit#gid=1111925039", "https://docs.google.com/spreadsheets/d/1Bdkujs8vpvOg17nO6b87hiftcB9gWfFGVVbwef_77qw/edit#gid=1111925039")</f>
        <v>https://docs.google.com/spreadsheets/d/1Bdkujs8vpvOg17nO6b87hiftcB9gWfFGVVbwef_77qw/edit#gid=1111925039</v>
      </c>
      <c r="H1092" s="35" t="s">
        <v>161</v>
      </c>
    </row>
    <row r="1093">
      <c r="D1093" s="15"/>
      <c r="E1093" s="32" t="s">
        <v>157</v>
      </c>
      <c r="F1093" s="35" t="s">
        <v>158</v>
      </c>
      <c r="G1093" s="84" t="str">
        <f>HYPERLINK("https://docs.google.com/spreadsheets/d/1Bdkujs8vpvOg17nO6b87hiftcB9gWfFGVVbwef_77qw/edit#gid=369384749", "https://docs.google.com/spreadsheets/d/1Bdkujs8vpvOg17nO6b87hiftcB9gWfFGVVbwef_77qw/edit#gid=369384749")</f>
        <v>https://docs.google.com/spreadsheets/d/1Bdkujs8vpvOg17nO6b87hiftcB9gWfFGVVbwef_77qw/edit#gid=369384749</v>
      </c>
      <c r="H1093" s="35" t="s">
        <v>158</v>
      </c>
    </row>
    <row r="1094">
      <c r="D1094" s="15"/>
      <c r="E1094" s="32" t="s">
        <v>157</v>
      </c>
      <c r="F1094" s="35" t="s">
        <v>196</v>
      </c>
      <c r="G1094" s="84" t="str">
        <f>HYPERLINK("https://docs.google.com/spreadsheets/d/1Bdkujs8vpvOg17nO6b87hiftcB9gWfFGVVbwef_77qw/edit#gid=33451974", "https://docs.google.com/spreadsheets/d/1Bdkujs8vpvOg17nO6b87hiftcB9gWfFGVVbwef_77qw/edit#gid=33451974")</f>
        <v>https://docs.google.com/spreadsheets/d/1Bdkujs8vpvOg17nO6b87hiftcB9gWfFGVVbwef_77qw/edit#gid=33451974</v>
      </c>
      <c r="H1094" s="35" t="s">
        <v>196</v>
      </c>
    </row>
    <row r="1095">
      <c r="D1095" s="15"/>
      <c r="E1095" s="32" t="s">
        <v>172</v>
      </c>
      <c r="F1095" s="35" t="s">
        <v>173</v>
      </c>
      <c r="G1095" s="84" t="str">
        <f>HYPERLINK("https://docs.google.com/spreadsheets/d/1Bdkujs8vpvOg17nO6b87hiftcB9gWfFGVVbwef_77qw/edit#gid=1210018589", "https://docs.google.com/spreadsheets/d/1Bdkujs8vpvOg17nO6b87hiftcB9gWfFGVVbwef_77qw/edit#gid=1210018589")</f>
        <v>https://docs.google.com/spreadsheets/d/1Bdkujs8vpvOg17nO6b87hiftcB9gWfFGVVbwef_77qw/edit#gid=1210018589</v>
      </c>
      <c r="H1095" s="35" t="s">
        <v>2054</v>
      </c>
    </row>
    <row r="1096">
      <c r="D1096" s="15"/>
      <c r="E1096" s="32" t="s">
        <v>172</v>
      </c>
      <c r="F1096" s="35" t="s">
        <v>402</v>
      </c>
      <c r="G1096" s="84" t="str">
        <f>HYPERLINK("https://docs.google.com/spreadsheets/d/1Bdkujs8vpvOg17nO6b87hiftcB9gWfFGVVbwef_77qw/edit#gid=1398342352", "https://docs.google.com/spreadsheets/d/1Bdkujs8vpvOg17nO6b87hiftcB9gWfFGVVbwef_77qw/edit#gid=1398342352")</f>
        <v>https://docs.google.com/spreadsheets/d/1Bdkujs8vpvOg17nO6b87hiftcB9gWfFGVVbwef_77qw/edit#gid=1398342352</v>
      </c>
      <c r="H1096" s="35" t="s">
        <v>2055</v>
      </c>
    </row>
    <row r="1097">
      <c r="D1097" s="15"/>
      <c r="E1097" s="32" t="s">
        <v>172</v>
      </c>
      <c r="F1097" s="35" t="s">
        <v>203</v>
      </c>
      <c r="G1097" s="84" t="str">
        <f>HYPERLINK("https://docs.google.com/spreadsheets/d/1Bdkujs8vpvOg17nO6b87hiftcB9gWfFGVVbwef_77qw/edit#gid=1905541863", "https://docs.google.com/spreadsheets/d/1Bdkujs8vpvOg17nO6b87hiftcB9gWfFGVVbwef_77qw/edit#gid=1905541863")</f>
        <v>https://docs.google.com/spreadsheets/d/1Bdkujs8vpvOg17nO6b87hiftcB9gWfFGVVbwef_77qw/edit#gid=1905541863</v>
      </c>
      <c r="H1097" s="35" t="s">
        <v>1999</v>
      </c>
    </row>
    <row r="1098">
      <c r="D1098" s="15"/>
      <c r="E1098" s="32" t="s">
        <v>172</v>
      </c>
      <c r="F1098" s="35" t="s">
        <v>204</v>
      </c>
      <c r="G1098" s="84" t="str">
        <f>HYPERLINK("https://docs.google.com/spreadsheets/d/1Bdkujs8vpvOg17nO6b87hiftcB9gWfFGVVbwef_77qw/edit#gid=800923228", "https://docs.google.com/spreadsheets/d/1Bdkujs8vpvOg17nO6b87hiftcB9gWfFGVVbwef_77qw/edit#gid=800923228")</f>
        <v>https://docs.google.com/spreadsheets/d/1Bdkujs8vpvOg17nO6b87hiftcB9gWfFGVVbwef_77qw/edit#gid=800923228</v>
      </c>
      <c r="H1098" s="35" t="s">
        <v>2000</v>
      </c>
    </row>
    <row r="1099">
      <c r="D1099" s="15"/>
      <c r="E1099" s="32" t="s">
        <v>178</v>
      </c>
      <c r="F1099" s="35" t="s">
        <v>207</v>
      </c>
      <c r="G1099" s="84" t="str">
        <f>HYPERLINK("https://docs.google.com/spreadsheets/d/1Bdkujs8vpvOg17nO6b87hiftcB9gWfFGVVbwef_77qw/edit#gid=3625115", "https://docs.google.com/spreadsheets/d/1Bdkujs8vpvOg17nO6b87hiftcB9gWfFGVVbwef_77qw/edit#gid=3625115")</f>
        <v>https://docs.google.com/spreadsheets/d/1Bdkujs8vpvOg17nO6b87hiftcB9gWfFGVVbwef_77qw/edit#gid=3625115</v>
      </c>
      <c r="H1099" s="35" t="s">
        <v>2001</v>
      </c>
    </row>
    <row r="1100">
      <c r="D1100" s="15"/>
      <c r="E1100" s="32" t="s">
        <v>178</v>
      </c>
      <c r="F1100" s="35" t="s">
        <v>208</v>
      </c>
      <c r="G1100" s="84" t="str">
        <f>HYPERLINK("https://docs.google.com/spreadsheets/d/1Bdkujs8vpvOg17nO6b87hiftcB9gWfFGVVbwef_77qw/edit#gid=511797006", "https://docs.google.com/spreadsheets/d/1Bdkujs8vpvOg17nO6b87hiftcB9gWfFGVVbwef_77qw/edit#gid=511797006")</f>
        <v>https://docs.google.com/spreadsheets/d/1Bdkujs8vpvOg17nO6b87hiftcB9gWfFGVVbwef_77qw/edit#gid=511797006</v>
      </c>
      <c r="H1100" s="35" t="s">
        <v>2002</v>
      </c>
    </row>
    <row r="1101">
      <c r="D1101" s="15"/>
      <c r="E1101" s="32" t="s">
        <v>178</v>
      </c>
      <c r="F1101" s="35" t="s">
        <v>182</v>
      </c>
      <c r="G1101" s="84" t="str">
        <f>HYPERLINK("https://docs.google.com/spreadsheets/d/1Bdkujs8vpvOg17nO6b87hiftcB9gWfFGVVbwef_77qw/edit#gid=1973972293", "https://docs.google.com/spreadsheets/d/1Bdkujs8vpvOg17nO6b87hiftcB9gWfFGVVbwef_77qw/edit#gid=1973972293")</f>
        <v>https://docs.google.com/spreadsheets/d/1Bdkujs8vpvOg17nO6b87hiftcB9gWfFGVVbwef_77qw/edit#gid=1973972293</v>
      </c>
      <c r="H1101" s="35" t="s">
        <v>2003</v>
      </c>
    </row>
    <row r="1102">
      <c r="D1102" s="15"/>
      <c r="E1102" s="32" t="s">
        <v>178</v>
      </c>
      <c r="F1102" s="35" t="s">
        <v>180</v>
      </c>
      <c r="G1102" s="84" t="str">
        <f>HYPERLINK("https://docs.google.com/spreadsheets/d/1Bdkujs8vpvOg17nO6b87hiftcB9gWfFGVVbwef_77qw/edit#gid=1382097041", "https://docs.google.com/spreadsheets/d/1Bdkujs8vpvOg17nO6b87hiftcB9gWfFGVVbwef_77qw/edit#gid=1382097041")</f>
        <v>https://docs.google.com/spreadsheets/d/1Bdkujs8vpvOg17nO6b87hiftcB9gWfFGVVbwef_77qw/edit#gid=1382097041</v>
      </c>
      <c r="H1102" s="35" t="s">
        <v>2009</v>
      </c>
    </row>
    <row r="1103">
      <c r="D1103" s="15"/>
      <c r="E1103" s="32" t="s">
        <v>178</v>
      </c>
      <c r="F1103" s="35" t="s">
        <v>209</v>
      </c>
      <c r="G1103" s="84" t="str">
        <f>HYPERLINK("https://docs.google.com/spreadsheets/d/1Bdkujs8vpvOg17nO6b87hiftcB9gWfFGVVbwef_77qw/edit#gid=1427395491", "https://docs.google.com/spreadsheets/d/1Bdkujs8vpvOg17nO6b87hiftcB9gWfFGVVbwef_77qw/edit#gid=1427395491")</f>
        <v>https://docs.google.com/spreadsheets/d/1Bdkujs8vpvOg17nO6b87hiftcB9gWfFGVVbwef_77qw/edit#gid=1427395491</v>
      </c>
      <c r="H1103" s="35" t="s">
        <v>1986</v>
      </c>
    </row>
    <row r="1104">
      <c r="D1104" s="15"/>
      <c r="E1104" s="32" t="s">
        <v>178</v>
      </c>
      <c r="F1104" s="35" t="s">
        <v>210</v>
      </c>
      <c r="G1104" s="84" t="str">
        <f>HYPERLINK("https://docs.google.com/spreadsheets/d/1Bdkujs8vpvOg17nO6b87hiftcB9gWfFGVVbwef_77qw/edit#gid=1521815812", "https://docs.google.com/spreadsheets/d/1Bdkujs8vpvOg17nO6b87hiftcB9gWfFGVVbwef_77qw/edit#gid=1521815812")</f>
        <v>https://docs.google.com/spreadsheets/d/1Bdkujs8vpvOg17nO6b87hiftcB9gWfFGVVbwef_77qw/edit#gid=1521815812</v>
      </c>
      <c r="H1104" s="35" t="s">
        <v>1987</v>
      </c>
    </row>
    <row r="1105">
      <c r="D1105" s="15"/>
      <c r="E1105" s="32" t="s">
        <v>86</v>
      </c>
      <c r="F1105" s="35" t="s">
        <v>90</v>
      </c>
      <c r="G1105" s="84" t="str">
        <f>HYPERLINK("https://docs.google.com/spreadsheets/d/1Bdkujs8vpvOg17nO6b87hiftcB9gWfFGVVbwef_77qw/edit#gid=1093554967", "https://docs.google.com/spreadsheets/d/1Bdkujs8vpvOg17nO6b87hiftcB9gWfFGVVbwef_77qw/edit#gid=1093554967")</f>
        <v>https://docs.google.com/spreadsheets/d/1Bdkujs8vpvOg17nO6b87hiftcB9gWfFGVVbwef_77qw/edit#gid=1093554967</v>
      </c>
      <c r="H1105" s="35" t="s">
        <v>2022</v>
      </c>
    </row>
    <row r="1106">
      <c r="D1106" s="15"/>
      <c r="E1106" s="32" t="s">
        <v>86</v>
      </c>
      <c r="F1106" s="35" t="s">
        <v>338</v>
      </c>
      <c r="G1106" s="84" t="str">
        <f>HYPERLINK("https://docs.google.com/spreadsheets/d/1Bdkujs8vpvOg17nO6b87hiftcB9gWfFGVVbwef_77qw/edit#gid=1769396465", "https://docs.google.com/spreadsheets/d/1Bdkujs8vpvOg17nO6b87hiftcB9gWfFGVVbwef_77qw/edit#gid=1769396465")</f>
        <v>https://docs.google.com/spreadsheets/d/1Bdkujs8vpvOg17nO6b87hiftcB9gWfFGVVbwef_77qw/edit#gid=1769396465</v>
      </c>
      <c r="H1106" s="35" t="s">
        <v>338</v>
      </c>
    </row>
    <row r="1107">
      <c r="D1107" s="15"/>
      <c r="E1107" s="32" t="s">
        <v>88</v>
      </c>
      <c r="F1107" s="35" t="s">
        <v>95</v>
      </c>
      <c r="G1107" s="84" t="str">
        <f>HYPERLINK("https://docs.google.com/spreadsheets/d/1Bdkujs8vpvOg17nO6b87hiftcB9gWfFGVVbwef_77qw/edit#gid=1438752627", "https://docs.google.com/spreadsheets/d/1Bdkujs8vpvOg17nO6b87hiftcB9gWfFGVVbwef_77qw/edit#gid=1438752627")</f>
        <v>https://docs.google.com/spreadsheets/d/1Bdkujs8vpvOg17nO6b87hiftcB9gWfFGVVbwef_77qw/edit#gid=1438752627</v>
      </c>
      <c r="H1107" s="35" t="s">
        <v>95</v>
      </c>
    </row>
    <row r="1108">
      <c r="D1108" s="15"/>
      <c r="E1108" s="32" t="s">
        <v>88</v>
      </c>
      <c r="F1108" s="35" t="s">
        <v>96</v>
      </c>
      <c r="G1108" s="84" t="str">
        <f>HYPERLINK("https://docs.google.com/spreadsheets/d/1Bdkujs8vpvOg17nO6b87hiftcB9gWfFGVVbwef_77qw/edit#gid=1650729512", "https://docs.google.com/spreadsheets/d/1Bdkujs8vpvOg17nO6b87hiftcB9gWfFGVVbwef_77qw/edit#gid=1650729512")</f>
        <v>https://docs.google.com/spreadsheets/d/1Bdkujs8vpvOg17nO6b87hiftcB9gWfFGVVbwef_77qw/edit#gid=1650729512</v>
      </c>
      <c r="H1108" s="35" t="s">
        <v>96</v>
      </c>
    </row>
    <row r="1109">
      <c r="D1109" s="15"/>
      <c r="E1109" s="32"/>
      <c r="F1109" s="35"/>
      <c r="H1109" s="35"/>
    </row>
    <row r="1110">
      <c r="D1110" s="15"/>
      <c r="E1110" s="32"/>
      <c r="F1110" s="35"/>
      <c r="H1110" s="35"/>
    </row>
    <row r="1111">
      <c r="B1111" s="35" t="s">
        <v>2113</v>
      </c>
      <c r="C1111" s="35" t="s">
        <v>2107</v>
      </c>
      <c r="D1111" s="32" t="s">
        <v>20</v>
      </c>
      <c r="E1111" s="32" t="s">
        <v>89</v>
      </c>
      <c r="F1111" s="35" t="s">
        <v>291</v>
      </c>
      <c r="H1111" s="36"/>
    </row>
    <row r="1112">
      <c r="B1112" s="35" t="s">
        <v>2114</v>
      </c>
      <c r="C1112" s="210" t="s">
        <v>2115</v>
      </c>
      <c r="D1112" s="32" t="s">
        <v>20</v>
      </c>
      <c r="E1112" s="32" t="s">
        <v>178</v>
      </c>
      <c r="F1112" s="35" t="s">
        <v>201</v>
      </c>
      <c r="G1112" s="84" t="str">
        <f>HYPERLINK("https://docs.google.com/spreadsheets/d/12zTCo8DtJfRtzLoqYZjZbp4CnX1KVBDHTvmX3-QFFQ0/edit#gid=292753053", "https://docs.google.com/spreadsheets/d/12zTCo8DtJfRtzLoqYZjZbp4CnX1KVBDHTvmX3-QFFQ0/edit#gid=292753053")</f>
        <v>https://docs.google.com/spreadsheets/d/12zTCo8DtJfRtzLoqYZjZbp4CnX1KVBDHTvmX3-QFFQ0/edit#gid=292753053</v>
      </c>
      <c r="H1112" s="35" t="s">
        <v>201</v>
      </c>
    </row>
    <row r="1113">
      <c r="D1113" s="15"/>
      <c r="E1113" s="32" t="s">
        <v>178</v>
      </c>
      <c r="F1113" s="35" t="s">
        <v>202</v>
      </c>
      <c r="G1113" s="84" t="str">
        <f>HYPERLINK("https://docs.google.com/spreadsheets/d/12zTCo8DtJfRtzLoqYZjZbp4CnX1KVBDHTvmX3-QFFQ0/edit#gid=2040866972", "https://docs.google.com/spreadsheets/d/12zTCo8DtJfRtzLoqYZjZbp4CnX1KVBDHTvmX3-QFFQ0/edit#gid=2040866972")</f>
        <v>https://docs.google.com/spreadsheets/d/12zTCo8DtJfRtzLoqYZjZbp4CnX1KVBDHTvmX3-QFFQ0/edit#gid=2040866972</v>
      </c>
      <c r="H1113" s="35" t="s">
        <v>202</v>
      </c>
    </row>
    <row r="1114">
      <c r="D1114" s="15"/>
      <c r="E1114" s="32" t="s">
        <v>21</v>
      </c>
      <c r="F1114" s="35" t="s">
        <v>51</v>
      </c>
      <c r="G1114" s="84" t="str">
        <f>HYPERLINK("https://docs.google.com/spreadsheets/d/12zTCo8DtJfRtzLoqYZjZbp4CnX1KVBDHTvmX3-QFFQ0/edit#gid=1533528770", "https://docs.google.com/spreadsheets/d/12zTCo8DtJfRtzLoqYZjZbp4CnX1KVBDHTvmX3-QFFQ0/edit#gid=1533528770")</f>
        <v>https://docs.google.com/spreadsheets/d/12zTCo8DtJfRtzLoqYZjZbp4CnX1KVBDHTvmX3-QFFQ0/edit#gid=1533528770</v>
      </c>
      <c r="H1114" s="35" t="s">
        <v>51</v>
      </c>
    </row>
    <row r="1115">
      <c r="D1115" s="15"/>
      <c r="E1115" s="32" t="s">
        <v>172</v>
      </c>
      <c r="F1115" s="35" t="s">
        <v>173</v>
      </c>
      <c r="G1115" s="84" t="str">
        <f>HYPERLINK("https://docs.google.com/spreadsheets/d/12zTCo8DtJfRtzLoqYZjZbp4CnX1KVBDHTvmX3-QFFQ0/edit#gid=1230554454", "https://docs.google.com/spreadsheets/d/12zTCo8DtJfRtzLoqYZjZbp4CnX1KVBDHTvmX3-QFFQ0/edit#gid=1230554454")</f>
        <v>https://docs.google.com/spreadsheets/d/12zTCo8DtJfRtzLoqYZjZbp4CnX1KVBDHTvmX3-QFFQ0/edit#gid=1230554454</v>
      </c>
      <c r="H1115" s="35" t="s">
        <v>173</v>
      </c>
    </row>
    <row r="1116">
      <c r="D1116" s="15"/>
      <c r="E1116" s="32" t="s">
        <v>172</v>
      </c>
      <c r="F1116" s="35" t="s">
        <v>402</v>
      </c>
      <c r="G1116" s="84" t="str">
        <f>HYPERLINK("https://docs.google.com/spreadsheets/d/12zTCo8DtJfRtzLoqYZjZbp4CnX1KVBDHTvmX3-QFFQ0/edit#gid=1460679060", "https://docs.google.com/spreadsheets/d/12zTCo8DtJfRtzLoqYZjZbp4CnX1KVBDHTvmX3-QFFQ0/edit#gid=1460679060")</f>
        <v>https://docs.google.com/spreadsheets/d/12zTCo8DtJfRtzLoqYZjZbp4CnX1KVBDHTvmX3-QFFQ0/edit#gid=1460679060</v>
      </c>
      <c r="H1116" s="35" t="s">
        <v>402</v>
      </c>
    </row>
    <row r="1117">
      <c r="D1117" s="15"/>
      <c r="E1117" s="32" t="s">
        <v>172</v>
      </c>
      <c r="F1117" s="35" t="s">
        <v>203</v>
      </c>
      <c r="G1117" s="84" t="str">
        <f>HYPERLINK("https://docs.google.com/spreadsheets/d/12zTCo8DtJfRtzLoqYZjZbp4CnX1KVBDHTvmX3-QFFQ0/edit#gid=823423506", "https://docs.google.com/spreadsheets/d/12zTCo8DtJfRtzLoqYZjZbp4CnX1KVBDHTvmX3-QFFQ0/edit#gid=823423506")</f>
        <v>https://docs.google.com/spreadsheets/d/12zTCo8DtJfRtzLoqYZjZbp4CnX1KVBDHTvmX3-QFFQ0/edit#gid=823423506</v>
      </c>
      <c r="H1117" s="35" t="s">
        <v>203</v>
      </c>
    </row>
    <row r="1118">
      <c r="D1118" s="15"/>
      <c r="E1118" s="32" t="s">
        <v>172</v>
      </c>
      <c r="F1118" s="35" t="s">
        <v>204</v>
      </c>
      <c r="G1118" s="84" t="str">
        <f>HYPERLINK("https://docs.google.com/spreadsheets/d/12zTCo8DtJfRtzLoqYZjZbp4CnX1KVBDHTvmX3-QFFQ0/edit#gid=1573182033", "https://docs.google.com/spreadsheets/d/12zTCo8DtJfRtzLoqYZjZbp4CnX1KVBDHTvmX3-QFFQ0/edit#gid=1573182033")</f>
        <v>https://docs.google.com/spreadsheets/d/12zTCo8DtJfRtzLoqYZjZbp4CnX1KVBDHTvmX3-QFFQ0/edit#gid=1573182033</v>
      </c>
      <c r="H1118" s="35" t="s">
        <v>204</v>
      </c>
    </row>
    <row r="1119">
      <c r="D1119" s="15"/>
      <c r="E1119" s="32" t="s">
        <v>178</v>
      </c>
      <c r="F1119" s="35" t="s">
        <v>205</v>
      </c>
      <c r="G1119" s="84" t="str">
        <f>HYPERLINK("https://docs.google.com/spreadsheets/d/12zTCo8DtJfRtzLoqYZjZbp4CnX1KVBDHTvmX3-QFFQ0/edit#gid=478956395", "https://docs.google.com/spreadsheets/d/12zTCo8DtJfRtzLoqYZjZbp4CnX1KVBDHTvmX3-QFFQ0/edit#gid=478956395")</f>
        <v>https://docs.google.com/spreadsheets/d/12zTCo8DtJfRtzLoqYZjZbp4CnX1KVBDHTvmX3-QFFQ0/edit#gid=478956395</v>
      </c>
      <c r="H1119" s="35" t="s">
        <v>205</v>
      </c>
    </row>
    <row r="1120">
      <c r="D1120" s="15"/>
      <c r="E1120" s="32" t="s">
        <v>178</v>
      </c>
      <c r="F1120" s="35" t="s">
        <v>206</v>
      </c>
      <c r="H1120" s="36"/>
    </row>
    <row r="1121">
      <c r="D1121" s="15"/>
      <c r="E1121" s="32" t="s">
        <v>178</v>
      </c>
      <c r="F1121" s="35" t="s">
        <v>207</v>
      </c>
      <c r="G1121" s="84" t="str">
        <f>HYPERLINK("https://docs.google.com/spreadsheets/d/12zTCo8DtJfRtzLoqYZjZbp4CnX1KVBDHTvmX3-QFFQ0/edit#gid=916072488", "https://docs.google.com/spreadsheets/d/12zTCo8DtJfRtzLoqYZjZbp4CnX1KVBDHTvmX3-QFFQ0/edit#gid=916072488")</f>
        <v>https://docs.google.com/spreadsheets/d/12zTCo8DtJfRtzLoqYZjZbp4CnX1KVBDHTvmX3-QFFQ0/edit#gid=916072488</v>
      </c>
      <c r="H1121" s="35" t="s">
        <v>207</v>
      </c>
    </row>
    <row r="1122">
      <c r="D1122" s="15"/>
      <c r="E1122" s="32" t="s">
        <v>172</v>
      </c>
      <c r="F1122" s="35" t="s">
        <v>173</v>
      </c>
      <c r="G1122" s="84" t="str">
        <f>HYPERLINK("https://docs.google.com/spreadsheets/d/12zTCo8DtJfRtzLoqYZjZbp4CnX1KVBDHTvmX3-QFFQ0/edit#gid=750138078", "https://docs.google.com/spreadsheets/d/12zTCo8DtJfRtzLoqYZjZbp4CnX1KVBDHTvmX3-QFFQ0/edit#gid=750138078")</f>
        <v>https://docs.google.com/spreadsheets/d/12zTCo8DtJfRtzLoqYZjZbp4CnX1KVBDHTvmX3-QFFQ0/edit#gid=750138078</v>
      </c>
      <c r="H1122" s="35" t="s">
        <v>269</v>
      </c>
    </row>
    <row r="1123">
      <c r="D1123" s="15"/>
      <c r="E1123" s="32" t="s">
        <v>172</v>
      </c>
      <c r="F1123" s="35" t="s">
        <v>402</v>
      </c>
      <c r="G1123" s="84" t="str">
        <f>HYPERLINK("https://docs.google.com/spreadsheets/d/12zTCo8DtJfRtzLoqYZjZbp4CnX1KVBDHTvmX3-QFFQ0/edit#gid=98386816", "https://docs.google.com/spreadsheets/d/12zTCo8DtJfRtzLoqYZjZbp4CnX1KVBDHTvmX3-QFFQ0/edit#gid=98386816")</f>
        <v>https://docs.google.com/spreadsheets/d/12zTCo8DtJfRtzLoqYZjZbp4CnX1KVBDHTvmX3-QFFQ0/edit#gid=98386816</v>
      </c>
      <c r="H1123" s="35" t="s">
        <v>2053</v>
      </c>
    </row>
    <row r="1124">
      <c r="D1124" s="15"/>
      <c r="E1124" s="32" t="s">
        <v>172</v>
      </c>
      <c r="F1124" s="35" t="s">
        <v>203</v>
      </c>
      <c r="G1124" s="84" t="str">
        <f>HYPERLINK("https://docs.google.com/spreadsheets/d/12zTCo8DtJfRtzLoqYZjZbp4CnX1KVBDHTvmX3-QFFQ0/edit#gid=484810692", "https://docs.google.com/spreadsheets/d/12zTCo8DtJfRtzLoqYZjZbp4CnX1KVBDHTvmX3-QFFQ0/edit#gid=484810692")</f>
        <v>https://docs.google.com/spreadsheets/d/12zTCo8DtJfRtzLoqYZjZbp4CnX1KVBDHTvmX3-QFFQ0/edit#gid=484810692</v>
      </c>
      <c r="H1124" s="35" t="s">
        <v>1995</v>
      </c>
    </row>
    <row r="1125">
      <c r="D1125" s="15"/>
      <c r="E1125" s="32" t="s">
        <v>172</v>
      </c>
      <c r="F1125" s="35" t="s">
        <v>204</v>
      </c>
      <c r="G1125" s="84" t="str">
        <f>HYPERLINK("https://docs.google.com/spreadsheets/d/12zTCo8DtJfRtzLoqYZjZbp4CnX1KVBDHTvmX3-QFFQ0/edit#gid=310832620", "https://docs.google.com/spreadsheets/d/12zTCo8DtJfRtzLoqYZjZbp4CnX1KVBDHTvmX3-QFFQ0/edit#gid=310832620")</f>
        <v>https://docs.google.com/spreadsheets/d/12zTCo8DtJfRtzLoqYZjZbp4CnX1KVBDHTvmX3-QFFQ0/edit#gid=310832620</v>
      </c>
      <c r="H1125" s="35" t="s">
        <v>1996</v>
      </c>
    </row>
    <row r="1126">
      <c r="D1126" s="15"/>
      <c r="E1126" s="32" t="s">
        <v>178</v>
      </c>
      <c r="F1126" s="35" t="s">
        <v>205</v>
      </c>
      <c r="G1126" s="84" t="str">
        <f>HYPERLINK("https://docs.google.com/spreadsheets/d/12zTCo8DtJfRtzLoqYZjZbp4CnX1KVBDHTvmX3-QFFQ0/edit#gid=1805304072", "https://docs.google.com/spreadsheets/d/12zTCo8DtJfRtzLoqYZjZbp4CnX1KVBDHTvmX3-QFFQ0/edit#gid=1805304072")</f>
        <v>https://docs.google.com/spreadsheets/d/12zTCo8DtJfRtzLoqYZjZbp4CnX1KVBDHTvmX3-QFFQ0/edit#gid=1805304072</v>
      </c>
      <c r="H1126" s="35" t="s">
        <v>1997</v>
      </c>
    </row>
    <row r="1127">
      <c r="D1127" s="15"/>
      <c r="E1127" s="32" t="s">
        <v>178</v>
      </c>
      <c r="F1127" s="35" t="s">
        <v>206</v>
      </c>
      <c r="H1127" s="36"/>
    </row>
    <row r="1128">
      <c r="D1128" s="15"/>
      <c r="E1128" s="32" t="s">
        <v>178</v>
      </c>
      <c r="F1128" s="35" t="s">
        <v>207</v>
      </c>
      <c r="G1128" s="84" t="str">
        <f>HYPERLINK("https://docs.google.com/spreadsheets/d/12zTCo8DtJfRtzLoqYZjZbp4CnX1KVBDHTvmX3-QFFQ0/edit#gid=1858551881", "https://docs.google.com/spreadsheets/d/12zTCo8DtJfRtzLoqYZjZbp4CnX1KVBDHTvmX3-QFFQ0/edit#gid=1858551881")</f>
        <v>https://docs.google.com/spreadsheets/d/12zTCo8DtJfRtzLoqYZjZbp4CnX1KVBDHTvmX3-QFFQ0/edit#gid=1858551881</v>
      </c>
      <c r="H1128" s="35" t="s">
        <v>1998</v>
      </c>
    </row>
    <row r="1129">
      <c r="D1129" s="15"/>
      <c r="E1129" s="32" t="s">
        <v>178</v>
      </c>
      <c r="F1129" s="35" t="s">
        <v>208</v>
      </c>
      <c r="G1129" s="84" t="str">
        <f>HYPERLINK("https://docs.google.com/spreadsheets/d/12zTCo8DtJfRtzLoqYZjZbp4CnX1KVBDHTvmX3-QFFQ0/edit#gid=757836565", "https://docs.google.com/spreadsheets/d/12zTCo8DtJfRtzLoqYZjZbp4CnX1KVBDHTvmX3-QFFQ0/edit#gid=757836565")</f>
        <v>https://docs.google.com/spreadsheets/d/12zTCo8DtJfRtzLoqYZjZbp4CnX1KVBDHTvmX3-QFFQ0/edit#gid=757836565</v>
      </c>
      <c r="H1129" s="35" t="s">
        <v>208</v>
      </c>
    </row>
    <row r="1130">
      <c r="D1130" s="15"/>
      <c r="E1130" s="32" t="s">
        <v>178</v>
      </c>
      <c r="F1130" s="35" t="s">
        <v>182</v>
      </c>
      <c r="G1130" s="84" t="str">
        <f>HYPERLINK("https://docs.google.com/spreadsheets/d/12zTCo8DtJfRtzLoqYZjZbp4CnX1KVBDHTvmX3-QFFQ0/edit#gid=933919587", "https://docs.google.com/spreadsheets/d/12zTCo8DtJfRtzLoqYZjZbp4CnX1KVBDHTvmX3-QFFQ0/edit#gid=933919587")</f>
        <v>https://docs.google.com/spreadsheets/d/12zTCo8DtJfRtzLoqYZjZbp4CnX1KVBDHTvmX3-QFFQ0/edit#gid=933919587</v>
      </c>
      <c r="H1130" s="35" t="s">
        <v>182</v>
      </c>
    </row>
    <row r="1131">
      <c r="D1131" s="15"/>
      <c r="E1131" s="32" t="s">
        <v>178</v>
      </c>
      <c r="F1131" s="35" t="s">
        <v>180</v>
      </c>
      <c r="G1131" s="84" t="str">
        <f>HYPERLINK("https://docs.google.com/spreadsheets/d/12zTCo8DtJfRtzLoqYZjZbp4CnX1KVBDHTvmX3-QFFQ0/edit#gid=1621907936", "https://docs.google.com/spreadsheets/d/12zTCo8DtJfRtzLoqYZjZbp4CnX1KVBDHTvmX3-QFFQ0/edit#gid=1621907936")</f>
        <v>https://docs.google.com/spreadsheets/d/12zTCo8DtJfRtzLoqYZjZbp4CnX1KVBDHTvmX3-QFFQ0/edit#gid=1621907936</v>
      </c>
      <c r="H1131" s="35" t="s">
        <v>180</v>
      </c>
    </row>
    <row r="1132">
      <c r="D1132" s="15"/>
      <c r="E1132" s="32" t="s">
        <v>178</v>
      </c>
      <c r="F1132" s="35" t="s">
        <v>209</v>
      </c>
      <c r="G1132" s="84" t="str">
        <f>HYPERLINK("https://docs.google.com/spreadsheets/d/12zTCo8DtJfRtzLoqYZjZbp4CnX1KVBDHTvmX3-QFFQ0/edit#gid=552185455", "https://docs.google.com/spreadsheets/d/12zTCo8DtJfRtzLoqYZjZbp4CnX1KVBDHTvmX3-QFFQ0/edit#gid=552185455")</f>
        <v>https://docs.google.com/spreadsheets/d/12zTCo8DtJfRtzLoqYZjZbp4CnX1KVBDHTvmX3-QFFQ0/edit#gid=552185455</v>
      </c>
      <c r="H1132" s="35" t="s">
        <v>209</v>
      </c>
    </row>
    <row r="1133">
      <c r="D1133" s="15"/>
      <c r="E1133" s="32" t="s">
        <v>178</v>
      </c>
      <c r="F1133" s="35" t="s">
        <v>210</v>
      </c>
      <c r="G1133" s="84" t="str">
        <f>HYPERLINK("https://docs.google.com/spreadsheets/d/12zTCo8DtJfRtzLoqYZjZbp4CnX1KVBDHTvmX3-QFFQ0/edit#gid=1580876456", "https://docs.google.com/spreadsheets/d/12zTCo8DtJfRtzLoqYZjZbp4CnX1KVBDHTvmX3-QFFQ0/edit#gid=1580876456")</f>
        <v>https://docs.google.com/spreadsheets/d/12zTCo8DtJfRtzLoqYZjZbp4CnX1KVBDHTvmX3-QFFQ0/edit#gid=1580876456</v>
      </c>
      <c r="H1133" s="35" t="s">
        <v>210</v>
      </c>
    </row>
    <row r="1134">
      <c r="D1134" s="15"/>
      <c r="E1134" s="32" t="s">
        <v>157</v>
      </c>
      <c r="F1134" s="35" t="s">
        <v>161</v>
      </c>
      <c r="G1134" s="84" t="str">
        <f>HYPERLINK("https://docs.google.com/spreadsheets/d/12zTCo8DtJfRtzLoqYZjZbp4CnX1KVBDHTvmX3-QFFQ0/edit#gid=445100802", "https://docs.google.com/spreadsheets/d/12zTCo8DtJfRtzLoqYZjZbp4CnX1KVBDHTvmX3-QFFQ0/edit#gid=445100802")</f>
        <v>https://docs.google.com/spreadsheets/d/12zTCo8DtJfRtzLoqYZjZbp4CnX1KVBDHTvmX3-QFFQ0/edit#gid=445100802</v>
      </c>
      <c r="H1134" s="35" t="s">
        <v>161</v>
      </c>
    </row>
    <row r="1135">
      <c r="D1135" s="15"/>
      <c r="E1135" s="32" t="s">
        <v>157</v>
      </c>
      <c r="F1135" s="35" t="s">
        <v>158</v>
      </c>
      <c r="G1135" s="84" t="str">
        <f>HYPERLINK("https://docs.google.com/spreadsheets/d/12zTCo8DtJfRtzLoqYZjZbp4CnX1KVBDHTvmX3-QFFQ0/edit#gid=1109674051", "https://docs.google.com/spreadsheets/d/12zTCo8DtJfRtzLoqYZjZbp4CnX1KVBDHTvmX3-QFFQ0/edit#gid=1109674051")</f>
        <v>https://docs.google.com/spreadsheets/d/12zTCo8DtJfRtzLoqYZjZbp4CnX1KVBDHTvmX3-QFFQ0/edit#gid=1109674051</v>
      </c>
      <c r="H1135" s="35" t="s">
        <v>158</v>
      </c>
    </row>
    <row r="1136">
      <c r="D1136" s="15"/>
      <c r="E1136" s="32" t="s">
        <v>157</v>
      </c>
      <c r="F1136" s="35" t="s">
        <v>196</v>
      </c>
      <c r="G1136" s="84" t="str">
        <f>HYPERLINK("https://docs.google.com/spreadsheets/d/12zTCo8DtJfRtzLoqYZjZbp4CnX1KVBDHTvmX3-QFFQ0/edit#gid=1049320850", "https://docs.google.com/spreadsheets/d/12zTCo8DtJfRtzLoqYZjZbp4CnX1KVBDHTvmX3-QFFQ0/edit#gid=1049320850")</f>
        <v>https://docs.google.com/spreadsheets/d/12zTCo8DtJfRtzLoqYZjZbp4CnX1KVBDHTvmX3-QFFQ0/edit#gid=1049320850</v>
      </c>
      <c r="H1136" s="35" t="s">
        <v>196</v>
      </c>
    </row>
    <row r="1137">
      <c r="D1137" s="15"/>
      <c r="E1137" s="32" t="s">
        <v>172</v>
      </c>
      <c r="F1137" s="35" t="s">
        <v>173</v>
      </c>
      <c r="G1137" s="84" t="str">
        <f>HYPERLINK("https://docs.google.com/spreadsheets/d/12zTCo8DtJfRtzLoqYZjZbp4CnX1KVBDHTvmX3-QFFQ0/edit#gid=134707970", "https://docs.google.com/spreadsheets/d/12zTCo8DtJfRtzLoqYZjZbp4CnX1KVBDHTvmX3-QFFQ0/edit#gid=134707970")</f>
        <v>https://docs.google.com/spreadsheets/d/12zTCo8DtJfRtzLoqYZjZbp4CnX1KVBDHTvmX3-QFFQ0/edit#gid=134707970</v>
      </c>
      <c r="H1137" s="35" t="s">
        <v>2054</v>
      </c>
    </row>
    <row r="1138">
      <c r="D1138" s="15"/>
      <c r="E1138" s="32" t="s">
        <v>172</v>
      </c>
      <c r="F1138" s="35" t="s">
        <v>402</v>
      </c>
      <c r="G1138" s="84" t="str">
        <f>HYPERLINK("https://docs.google.com/spreadsheets/d/12zTCo8DtJfRtzLoqYZjZbp4CnX1KVBDHTvmX3-QFFQ0/edit#gid=377207400", "https://docs.google.com/spreadsheets/d/12zTCo8DtJfRtzLoqYZjZbp4CnX1KVBDHTvmX3-QFFQ0/edit#gid=377207400")</f>
        <v>https://docs.google.com/spreadsheets/d/12zTCo8DtJfRtzLoqYZjZbp4CnX1KVBDHTvmX3-QFFQ0/edit#gid=377207400</v>
      </c>
      <c r="H1138" s="35" t="s">
        <v>2055</v>
      </c>
    </row>
    <row r="1139">
      <c r="D1139" s="15"/>
      <c r="E1139" s="32" t="s">
        <v>172</v>
      </c>
      <c r="F1139" s="35" t="s">
        <v>203</v>
      </c>
      <c r="G1139" s="84" t="str">
        <f>HYPERLINK("https://docs.google.com/spreadsheets/d/12zTCo8DtJfRtzLoqYZjZbp4CnX1KVBDHTvmX3-QFFQ0/edit#gid=729851015", "https://docs.google.com/spreadsheets/d/12zTCo8DtJfRtzLoqYZjZbp4CnX1KVBDHTvmX3-QFFQ0/edit#gid=729851015")</f>
        <v>https://docs.google.com/spreadsheets/d/12zTCo8DtJfRtzLoqYZjZbp4CnX1KVBDHTvmX3-QFFQ0/edit#gid=729851015</v>
      </c>
      <c r="H1139" s="35" t="s">
        <v>1999</v>
      </c>
    </row>
    <row r="1140">
      <c r="D1140" s="15"/>
      <c r="E1140" s="32" t="s">
        <v>172</v>
      </c>
      <c r="F1140" s="35" t="s">
        <v>204</v>
      </c>
      <c r="G1140" s="84" t="str">
        <f>HYPERLINK("https://docs.google.com/spreadsheets/d/12zTCo8DtJfRtzLoqYZjZbp4CnX1KVBDHTvmX3-QFFQ0/edit#gid=1275879521", "https://docs.google.com/spreadsheets/d/12zTCo8DtJfRtzLoqYZjZbp4CnX1KVBDHTvmX3-QFFQ0/edit#gid=1275879521")</f>
        <v>https://docs.google.com/spreadsheets/d/12zTCo8DtJfRtzLoqYZjZbp4CnX1KVBDHTvmX3-QFFQ0/edit#gid=1275879521</v>
      </c>
      <c r="H1140" s="35" t="s">
        <v>2000</v>
      </c>
    </row>
    <row r="1141">
      <c r="D1141" s="15"/>
      <c r="E1141" s="32" t="s">
        <v>178</v>
      </c>
      <c r="F1141" s="35" t="s">
        <v>207</v>
      </c>
      <c r="G1141" s="84" t="str">
        <f>HYPERLINK("https://docs.google.com/spreadsheets/d/12zTCo8DtJfRtzLoqYZjZbp4CnX1KVBDHTvmX3-QFFQ0/edit#gid=1107512907", "https://docs.google.com/spreadsheets/d/12zTCo8DtJfRtzLoqYZjZbp4CnX1KVBDHTvmX3-QFFQ0/edit#gid=1107512907")</f>
        <v>https://docs.google.com/spreadsheets/d/12zTCo8DtJfRtzLoqYZjZbp4CnX1KVBDHTvmX3-QFFQ0/edit#gid=1107512907</v>
      </c>
      <c r="H1141" s="35" t="s">
        <v>2001</v>
      </c>
    </row>
    <row r="1142">
      <c r="D1142" s="15"/>
      <c r="E1142" s="32" t="s">
        <v>178</v>
      </c>
      <c r="F1142" s="35" t="s">
        <v>208</v>
      </c>
      <c r="G1142" s="84" t="str">
        <f>HYPERLINK("https://docs.google.com/spreadsheets/d/12zTCo8DtJfRtzLoqYZjZbp4CnX1KVBDHTvmX3-QFFQ0/edit#gid=1334795911", "https://docs.google.com/spreadsheets/d/12zTCo8DtJfRtzLoqYZjZbp4CnX1KVBDHTvmX3-QFFQ0/edit#gid=1334795911")</f>
        <v>https://docs.google.com/spreadsheets/d/12zTCo8DtJfRtzLoqYZjZbp4CnX1KVBDHTvmX3-QFFQ0/edit#gid=1334795911</v>
      </c>
      <c r="H1142" s="35" t="s">
        <v>2002</v>
      </c>
    </row>
    <row r="1143">
      <c r="D1143" s="15"/>
      <c r="E1143" s="32" t="s">
        <v>178</v>
      </c>
      <c r="F1143" s="35" t="s">
        <v>182</v>
      </c>
      <c r="G1143" s="84" t="str">
        <f>HYPERLINK("https://docs.google.com/spreadsheets/d/12zTCo8DtJfRtzLoqYZjZbp4CnX1KVBDHTvmX3-QFFQ0/edit#gid=497494573", "https://docs.google.com/spreadsheets/d/12zTCo8DtJfRtzLoqYZjZbp4CnX1KVBDHTvmX3-QFFQ0/edit#gid=497494573")</f>
        <v>https://docs.google.com/spreadsheets/d/12zTCo8DtJfRtzLoqYZjZbp4CnX1KVBDHTvmX3-QFFQ0/edit#gid=497494573</v>
      </c>
      <c r="H1143" s="35" t="s">
        <v>2003</v>
      </c>
    </row>
    <row r="1144">
      <c r="D1144" s="15"/>
      <c r="E1144" s="32" t="s">
        <v>178</v>
      </c>
      <c r="F1144" s="35" t="s">
        <v>180</v>
      </c>
      <c r="G1144" s="84" t="str">
        <f>HYPERLINK("https://docs.google.com/spreadsheets/d/12zTCo8DtJfRtzLoqYZjZbp4CnX1KVBDHTvmX3-QFFQ0/edit#gid=721678898", "https://docs.google.com/spreadsheets/d/12zTCo8DtJfRtzLoqYZjZbp4CnX1KVBDHTvmX3-QFFQ0/edit#gid=721678898")</f>
        <v>https://docs.google.com/spreadsheets/d/12zTCo8DtJfRtzLoqYZjZbp4CnX1KVBDHTvmX3-QFFQ0/edit#gid=721678898</v>
      </c>
      <c r="H1144" s="35" t="s">
        <v>2009</v>
      </c>
    </row>
    <row r="1145">
      <c r="D1145" s="15"/>
      <c r="E1145" s="32" t="s">
        <v>178</v>
      </c>
      <c r="F1145" s="35" t="s">
        <v>209</v>
      </c>
      <c r="G1145" s="84" t="str">
        <f>HYPERLINK("https://docs.google.com/spreadsheets/d/12zTCo8DtJfRtzLoqYZjZbp4CnX1KVBDHTvmX3-QFFQ0/edit#gid=222430604", "https://docs.google.com/spreadsheets/d/12zTCo8DtJfRtzLoqYZjZbp4CnX1KVBDHTvmX3-QFFQ0/edit#gid=222430604")</f>
        <v>https://docs.google.com/spreadsheets/d/12zTCo8DtJfRtzLoqYZjZbp4CnX1KVBDHTvmX3-QFFQ0/edit#gid=222430604</v>
      </c>
      <c r="H1145" s="35" t="s">
        <v>1986</v>
      </c>
    </row>
    <row r="1146">
      <c r="D1146" s="15"/>
      <c r="E1146" s="32" t="s">
        <v>178</v>
      </c>
      <c r="F1146" s="35" t="s">
        <v>210</v>
      </c>
      <c r="G1146" s="84" t="str">
        <f>HYPERLINK("https://docs.google.com/spreadsheets/d/12zTCo8DtJfRtzLoqYZjZbp4CnX1KVBDHTvmX3-QFFQ0/edit#gid=605229111", "https://docs.google.com/spreadsheets/d/12zTCo8DtJfRtzLoqYZjZbp4CnX1KVBDHTvmX3-QFFQ0/edit#gid=605229111")</f>
        <v>https://docs.google.com/spreadsheets/d/12zTCo8DtJfRtzLoqYZjZbp4CnX1KVBDHTvmX3-QFFQ0/edit#gid=605229111</v>
      </c>
      <c r="H1146" s="35" t="s">
        <v>1987</v>
      </c>
    </row>
    <row r="1147">
      <c r="D1147" s="15"/>
      <c r="E1147" s="32" t="s">
        <v>86</v>
      </c>
      <c r="F1147" s="35" t="s">
        <v>90</v>
      </c>
      <c r="G1147" s="84" t="str">
        <f>HYPERLINK("https://docs.google.com/spreadsheets/d/12zTCo8DtJfRtzLoqYZjZbp4CnX1KVBDHTvmX3-QFFQ0/edit#gid=907561164", "https://docs.google.com/spreadsheets/d/12zTCo8DtJfRtzLoqYZjZbp4CnX1KVBDHTvmX3-QFFQ0/edit#gid=907561164")</f>
        <v>https://docs.google.com/spreadsheets/d/12zTCo8DtJfRtzLoqYZjZbp4CnX1KVBDHTvmX3-QFFQ0/edit#gid=907561164</v>
      </c>
      <c r="H1147" s="35" t="s">
        <v>90</v>
      </c>
    </row>
    <row r="1148">
      <c r="D1148" s="15"/>
      <c r="E1148" s="32" t="s">
        <v>86</v>
      </c>
      <c r="F1148" s="35" t="s">
        <v>338</v>
      </c>
      <c r="G1148" s="84" t="str">
        <f>HYPERLINK("https://docs.google.com/spreadsheets/d/12zTCo8DtJfRtzLoqYZjZbp4CnX1KVBDHTvmX3-QFFQ0/edit#gid=111778805", "https://docs.google.com/spreadsheets/d/12zTCo8DtJfRtzLoqYZjZbp4CnX1KVBDHTvmX3-QFFQ0/edit#gid=111778805")</f>
        <v>https://docs.google.com/spreadsheets/d/12zTCo8DtJfRtzLoqYZjZbp4CnX1KVBDHTvmX3-QFFQ0/edit#gid=111778805</v>
      </c>
      <c r="H1148" s="35" t="s">
        <v>338</v>
      </c>
    </row>
    <row r="1149">
      <c r="D1149" s="15"/>
      <c r="E1149" s="32" t="s">
        <v>88</v>
      </c>
      <c r="F1149" s="35" t="s">
        <v>95</v>
      </c>
      <c r="G1149" s="84" t="str">
        <f>HYPERLINK("https://docs.google.com/spreadsheets/d/12zTCo8DtJfRtzLoqYZjZbp4CnX1KVBDHTvmX3-QFFQ0/edit#gid=956148351", "https://docs.google.com/spreadsheets/d/12zTCo8DtJfRtzLoqYZjZbp4CnX1KVBDHTvmX3-QFFQ0/edit#gid=956148351")</f>
        <v>https://docs.google.com/spreadsheets/d/12zTCo8DtJfRtzLoqYZjZbp4CnX1KVBDHTvmX3-QFFQ0/edit#gid=956148351</v>
      </c>
      <c r="H1149" s="35" t="s">
        <v>95</v>
      </c>
    </row>
    <row r="1150">
      <c r="D1150" s="15"/>
      <c r="E1150" s="32" t="s">
        <v>88</v>
      </c>
      <c r="F1150" s="35" t="s">
        <v>96</v>
      </c>
      <c r="G1150" s="84" t="str">
        <f>HYPERLINK("https://docs.google.com/spreadsheets/d/12zTCo8DtJfRtzLoqYZjZbp4CnX1KVBDHTvmX3-QFFQ0/edit#gid=1315339917", "https://docs.google.com/spreadsheets/d/12zTCo8DtJfRtzLoqYZjZbp4CnX1KVBDHTvmX3-QFFQ0/edit#gid=1315339917")</f>
        <v>https://docs.google.com/spreadsheets/d/12zTCo8DtJfRtzLoqYZjZbp4CnX1KVBDHTvmX3-QFFQ0/edit#gid=1315339917</v>
      </c>
      <c r="H1150" s="35" t="s">
        <v>96</v>
      </c>
    </row>
    <row r="1151">
      <c r="D1151" s="15"/>
      <c r="E1151" s="32"/>
      <c r="F1151" s="35"/>
      <c r="H1151" s="35"/>
    </row>
    <row r="1152">
      <c r="B1152" s="35" t="s">
        <v>2116</v>
      </c>
      <c r="C1152" s="35" t="s">
        <v>2107</v>
      </c>
      <c r="D1152" s="32" t="s">
        <v>20</v>
      </c>
      <c r="E1152" s="32" t="s">
        <v>89</v>
      </c>
      <c r="F1152" s="35" t="s">
        <v>291</v>
      </c>
      <c r="H1152" s="36"/>
    </row>
    <row r="1153">
      <c r="B1153" s="35" t="s">
        <v>2117</v>
      </c>
      <c r="C1153" s="210" t="s">
        <v>2118</v>
      </c>
      <c r="D1153" s="32" t="s">
        <v>20</v>
      </c>
      <c r="E1153" s="32" t="s">
        <v>178</v>
      </c>
      <c r="F1153" s="35" t="s">
        <v>201</v>
      </c>
      <c r="G1153" s="84" t="str">
        <f>HYPERLINK("https://docs.google.com/spreadsheets/d/1-RbV-7mG4-Rn-sLJGoSyBmBcq6hQwjuXjpGVw_kHj2A/edit#gid=1312714766", "https://docs.google.com/spreadsheets/d/1-RbV-7mG4-Rn-sLJGoSyBmBcq6hQwjuXjpGVw_kHj2A/edit#gid=1312714766")</f>
        <v>https://docs.google.com/spreadsheets/d/1-RbV-7mG4-Rn-sLJGoSyBmBcq6hQwjuXjpGVw_kHj2A/edit#gid=1312714766</v>
      </c>
      <c r="H1153" s="35" t="s">
        <v>201</v>
      </c>
    </row>
    <row r="1154">
      <c r="D1154" s="15"/>
      <c r="E1154" s="32" t="s">
        <v>178</v>
      </c>
      <c r="F1154" s="35" t="s">
        <v>202</v>
      </c>
      <c r="G1154" s="84" t="str">
        <f>HYPERLINK("https://docs.google.com/spreadsheets/d/1-RbV-7mG4-Rn-sLJGoSyBmBcq6hQwjuXjpGVw_kHj2A/edit#gid=2069296540", "https://docs.google.com/spreadsheets/d/1-RbV-7mG4-Rn-sLJGoSyBmBcq6hQwjuXjpGVw_kHj2A/edit#gid=2069296540")</f>
        <v>https://docs.google.com/spreadsheets/d/1-RbV-7mG4-Rn-sLJGoSyBmBcq6hQwjuXjpGVw_kHj2A/edit#gid=2069296540</v>
      </c>
      <c r="H1154" s="35" t="s">
        <v>202</v>
      </c>
    </row>
    <row r="1155">
      <c r="D1155" s="15"/>
      <c r="E1155" s="32" t="s">
        <v>21</v>
      </c>
      <c r="F1155" s="35" t="s">
        <v>51</v>
      </c>
      <c r="G1155" s="84" t="str">
        <f>HYPERLINK("https://docs.google.com/spreadsheets/d/1-RbV-7mG4-Rn-sLJGoSyBmBcq6hQwjuXjpGVw_kHj2A/edit#gid=565236061", "https://docs.google.com/spreadsheets/d/1-RbV-7mG4-Rn-sLJGoSyBmBcq6hQwjuXjpGVw_kHj2A/edit#gid=565236061")</f>
        <v>https://docs.google.com/spreadsheets/d/1-RbV-7mG4-Rn-sLJGoSyBmBcq6hQwjuXjpGVw_kHj2A/edit#gid=565236061</v>
      </c>
      <c r="H1155" s="35" t="s">
        <v>51</v>
      </c>
    </row>
    <row r="1156">
      <c r="D1156" s="15"/>
      <c r="E1156" s="32" t="s">
        <v>172</v>
      </c>
      <c r="F1156" s="35" t="s">
        <v>173</v>
      </c>
      <c r="G1156" s="84" t="str">
        <f>HYPERLINK("https://docs.google.com/spreadsheets/d/1-RbV-7mG4-Rn-sLJGoSyBmBcq6hQwjuXjpGVw_kHj2A/edit#gid=1134550887", "https://docs.google.com/spreadsheets/d/1-RbV-7mG4-Rn-sLJGoSyBmBcq6hQwjuXjpGVw_kHj2A/edit#gid=1134550887")</f>
        <v>https://docs.google.com/spreadsheets/d/1-RbV-7mG4-Rn-sLJGoSyBmBcq6hQwjuXjpGVw_kHj2A/edit#gid=1134550887</v>
      </c>
      <c r="H1156" s="35" t="s">
        <v>173</v>
      </c>
    </row>
    <row r="1157">
      <c r="D1157" s="15"/>
      <c r="E1157" s="32" t="s">
        <v>172</v>
      </c>
      <c r="F1157" s="35" t="s">
        <v>402</v>
      </c>
      <c r="G1157" s="84" t="str">
        <f>HYPERLINK("https://docs.google.com/spreadsheets/d/1-RbV-7mG4-Rn-sLJGoSyBmBcq6hQwjuXjpGVw_kHj2A/edit#gid=1076769114", "https://docs.google.com/spreadsheets/d/1-RbV-7mG4-Rn-sLJGoSyBmBcq6hQwjuXjpGVw_kHj2A/edit#gid=1076769114")</f>
        <v>https://docs.google.com/spreadsheets/d/1-RbV-7mG4-Rn-sLJGoSyBmBcq6hQwjuXjpGVw_kHj2A/edit#gid=1076769114</v>
      </c>
      <c r="H1157" s="35" t="s">
        <v>402</v>
      </c>
    </row>
    <row r="1158">
      <c r="D1158" s="15"/>
      <c r="E1158" s="32" t="s">
        <v>172</v>
      </c>
      <c r="F1158" s="35" t="s">
        <v>203</v>
      </c>
      <c r="G1158" s="84" t="str">
        <f>HYPERLINK("https://docs.google.com/spreadsheets/d/1-RbV-7mG4-Rn-sLJGoSyBmBcq6hQwjuXjpGVw_kHj2A/edit#gid=1244086083", "https://docs.google.com/spreadsheets/d/1-RbV-7mG4-Rn-sLJGoSyBmBcq6hQwjuXjpGVw_kHj2A/edit#gid=1244086083")</f>
        <v>https://docs.google.com/spreadsheets/d/1-RbV-7mG4-Rn-sLJGoSyBmBcq6hQwjuXjpGVw_kHj2A/edit#gid=1244086083</v>
      </c>
      <c r="H1158" s="35" t="s">
        <v>203</v>
      </c>
    </row>
    <row r="1159">
      <c r="D1159" s="15"/>
      <c r="E1159" s="32" t="s">
        <v>172</v>
      </c>
      <c r="F1159" s="35" t="s">
        <v>204</v>
      </c>
      <c r="G1159" s="84" t="str">
        <f>HYPERLINK("https://docs.google.com/spreadsheets/d/1-RbV-7mG4-Rn-sLJGoSyBmBcq6hQwjuXjpGVw_kHj2A/edit#gid=961491919", "https://docs.google.com/spreadsheets/d/1-RbV-7mG4-Rn-sLJGoSyBmBcq6hQwjuXjpGVw_kHj2A/edit#gid=961491919")</f>
        <v>https://docs.google.com/spreadsheets/d/1-RbV-7mG4-Rn-sLJGoSyBmBcq6hQwjuXjpGVw_kHj2A/edit#gid=961491919</v>
      </c>
      <c r="H1159" s="35" t="s">
        <v>204</v>
      </c>
    </row>
    <row r="1160">
      <c r="D1160" s="15"/>
      <c r="E1160" s="32" t="s">
        <v>178</v>
      </c>
      <c r="F1160" s="35" t="s">
        <v>205</v>
      </c>
      <c r="G1160" s="84" t="str">
        <f>HYPERLINK("https://docs.google.com/spreadsheets/d/1-RbV-7mG4-Rn-sLJGoSyBmBcq6hQwjuXjpGVw_kHj2A/edit#gid=769078458", "https://docs.google.com/spreadsheets/d/1-RbV-7mG4-Rn-sLJGoSyBmBcq6hQwjuXjpGVw_kHj2A/edit#gid=769078458")</f>
        <v>https://docs.google.com/spreadsheets/d/1-RbV-7mG4-Rn-sLJGoSyBmBcq6hQwjuXjpGVw_kHj2A/edit#gid=769078458</v>
      </c>
      <c r="H1160" s="35" t="s">
        <v>205</v>
      </c>
    </row>
    <row r="1161">
      <c r="D1161" s="15"/>
      <c r="E1161" s="32" t="s">
        <v>178</v>
      </c>
      <c r="F1161" s="35" t="s">
        <v>206</v>
      </c>
      <c r="H1161" s="36"/>
    </row>
    <row r="1162">
      <c r="D1162" s="15"/>
      <c r="E1162" s="32" t="s">
        <v>178</v>
      </c>
      <c r="F1162" s="35" t="s">
        <v>207</v>
      </c>
      <c r="G1162" s="84" t="str">
        <f>HYPERLINK("https://docs.google.com/spreadsheets/d/1-RbV-7mG4-Rn-sLJGoSyBmBcq6hQwjuXjpGVw_kHj2A/edit#gid=2139832498", "https://docs.google.com/spreadsheets/d/1-RbV-7mG4-Rn-sLJGoSyBmBcq6hQwjuXjpGVw_kHj2A/edit#gid=2139832498")</f>
        <v>https://docs.google.com/spreadsheets/d/1-RbV-7mG4-Rn-sLJGoSyBmBcq6hQwjuXjpGVw_kHj2A/edit#gid=2139832498</v>
      </c>
      <c r="H1162" s="35" t="s">
        <v>207</v>
      </c>
    </row>
    <row r="1163">
      <c r="D1163" s="15"/>
      <c r="E1163" s="32" t="s">
        <v>172</v>
      </c>
      <c r="F1163" s="35" t="s">
        <v>173</v>
      </c>
      <c r="G1163" s="84" t="str">
        <f>HYPERLINK("https://docs.google.com/spreadsheets/d/1-RbV-7mG4-Rn-sLJGoSyBmBcq6hQwjuXjpGVw_kHj2A/edit#gid=1776525392", "https://docs.google.com/spreadsheets/d/1-RbV-7mG4-Rn-sLJGoSyBmBcq6hQwjuXjpGVw_kHj2A/edit#gid=1776525392")</f>
        <v>https://docs.google.com/spreadsheets/d/1-RbV-7mG4-Rn-sLJGoSyBmBcq6hQwjuXjpGVw_kHj2A/edit#gid=1776525392</v>
      </c>
      <c r="H1163" s="35" t="s">
        <v>269</v>
      </c>
    </row>
    <row r="1164">
      <c r="D1164" s="15"/>
      <c r="E1164" s="32" t="s">
        <v>172</v>
      </c>
      <c r="F1164" s="35" t="s">
        <v>402</v>
      </c>
      <c r="G1164" s="84" t="str">
        <f>HYPERLINK("https://docs.google.com/spreadsheets/d/1-RbV-7mG4-Rn-sLJGoSyBmBcq6hQwjuXjpGVw_kHj2A/edit#gid=416011079", "https://docs.google.com/spreadsheets/d/1-RbV-7mG4-Rn-sLJGoSyBmBcq6hQwjuXjpGVw_kHj2A/edit#gid=416011079")</f>
        <v>https://docs.google.com/spreadsheets/d/1-RbV-7mG4-Rn-sLJGoSyBmBcq6hQwjuXjpGVw_kHj2A/edit#gid=416011079</v>
      </c>
      <c r="H1164" s="35" t="s">
        <v>2053</v>
      </c>
    </row>
    <row r="1165">
      <c r="D1165" s="15"/>
      <c r="E1165" s="32" t="s">
        <v>172</v>
      </c>
      <c r="F1165" s="35" t="s">
        <v>203</v>
      </c>
      <c r="G1165" s="84" t="str">
        <f>HYPERLINK("https://docs.google.com/spreadsheets/d/1-RbV-7mG4-Rn-sLJGoSyBmBcq6hQwjuXjpGVw_kHj2A/edit#gid=2018597364", "https://docs.google.com/spreadsheets/d/1-RbV-7mG4-Rn-sLJGoSyBmBcq6hQwjuXjpGVw_kHj2A/edit#gid=2018597364")</f>
        <v>https://docs.google.com/spreadsheets/d/1-RbV-7mG4-Rn-sLJGoSyBmBcq6hQwjuXjpGVw_kHj2A/edit#gid=2018597364</v>
      </c>
      <c r="H1165" s="35" t="s">
        <v>1995</v>
      </c>
    </row>
    <row r="1166">
      <c r="D1166" s="15"/>
      <c r="E1166" s="32" t="s">
        <v>172</v>
      </c>
      <c r="F1166" s="35" t="s">
        <v>204</v>
      </c>
      <c r="G1166" s="84" t="str">
        <f>HYPERLINK("https://docs.google.com/spreadsheets/d/1-RbV-7mG4-Rn-sLJGoSyBmBcq6hQwjuXjpGVw_kHj2A/edit#gid=1438554712", "https://docs.google.com/spreadsheets/d/1-RbV-7mG4-Rn-sLJGoSyBmBcq6hQwjuXjpGVw_kHj2A/edit#gid=1438554712")</f>
        <v>https://docs.google.com/spreadsheets/d/1-RbV-7mG4-Rn-sLJGoSyBmBcq6hQwjuXjpGVw_kHj2A/edit#gid=1438554712</v>
      </c>
      <c r="H1166" s="35" t="s">
        <v>1996</v>
      </c>
    </row>
    <row r="1167">
      <c r="D1167" s="15"/>
      <c r="E1167" s="32" t="s">
        <v>178</v>
      </c>
      <c r="F1167" s="35" t="s">
        <v>205</v>
      </c>
      <c r="G1167" s="84" t="str">
        <f>HYPERLINK("https://docs.google.com/spreadsheets/d/1-RbV-7mG4-Rn-sLJGoSyBmBcq6hQwjuXjpGVw_kHj2A/edit#gid=333570157", "https://docs.google.com/spreadsheets/d/1-RbV-7mG4-Rn-sLJGoSyBmBcq6hQwjuXjpGVw_kHj2A/edit#gid=333570157")</f>
        <v>https://docs.google.com/spreadsheets/d/1-RbV-7mG4-Rn-sLJGoSyBmBcq6hQwjuXjpGVw_kHj2A/edit#gid=333570157</v>
      </c>
      <c r="H1167" s="35" t="s">
        <v>1997</v>
      </c>
    </row>
    <row r="1168">
      <c r="D1168" s="15"/>
      <c r="E1168" s="32" t="s">
        <v>178</v>
      </c>
      <c r="F1168" s="35" t="s">
        <v>206</v>
      </c>
      <c r="H1168" s="36"/>
    </row>
    <row r="1169">
      <c r="D1169" s="15"/>
      <c r="E1169" s="32" t="s">
        <v>178</v>
      </c>
      <c r="F1169" s="35" t="s">
        <v>207</v>
      </c>
      <c r="G1169" s="84" t="str">
        <f>HYPERLINK("https://docs.google.com/spreadsheets/d/1-RbV-7mG4-Rn-sLJGoSyBmBcq6hQwjuXjpGVw_kHj2A/edit#gid=1096440298", "https://docs.google.com/spreadsheets/d/1-RbV-7mG4-Rn-sLJGoSyBmBcq6hQwjuXjpGVw_kHj2A/edit#gid=1096440298")</f>
        <v>https://docs.google.com/spreadsheets/d/1-RbV-7mG4-Rn-sLJGoSyBmBcq6hQwjuXjpGVw_kHj2A/edit#gid=1096440298</v>
      </c>
      <c r="H1169" s="35" t="s">
        <v>1998</v>
      </c>
    </row>
    <row r="1170">
      <c r="D1170" s="15"/>
      <c r="E1170" s="32" t="s">
        <v>178</v>
      </c>
      <c r="F1170" s="35" t="s">
        <v>208</v>
      </c>
      <c r="G1170" s="84" t="str">
        <f>HYPERLINK("https://docs.google.com/spreadsheets/d/1-RbV-7mG4-Rn-sLJGoSyBmBcq6hQwjuXjpGVw_kHj2A/edit#gid=415853419", "https://docs.google.com/spreadsheets/d/1-RbV-7mG4-Rn-sLJGoSyBmBcq6hQwjuXjpGVw_kHj2A/edit#gid=415853419")</f>
        <v>https://docs.google.com/spreadsheets/d/1-RbV-7mG4-Rn-sLJGoSyBmBcq6hQwjuXjpGVw_kHj2A/edit#gid=415853419</v>
      </c>
      <c r="H1170" s="35" t="s">
        <v>208</v>
      </c>
    </row>
    <row r="1171">
      <c r="D1171" s="15"/>
      <c r="E1171" s="32" t="s">
        <v>178</v>
      </c>
      <c r="F1171" s="35" t="s">
        <v>182</v>
      </c>
      <c r="G1171" s="84" t="str">
        <f>HYPERLINK("https://docs.google.com/spreadsheets/d/1-RbV-7mG4-Rn-sLJGoSyBmBcq6hQwjuXjpGVw_kHj2A/edit#gid=1289912791", "https://docs.google.com/spreadsheets/d/1-RbV-7mG4-Rn-sLJGoSyBmBcq6hQwjuXjpGVw_kHj2A/edit#gid=1289912791")</f>
        <v>https://docs.google.com/spreadsheets/d/1-RbV-7mG4-Rn-sLJGoSyBmBcq6hQwjuXjpGVw_kHj2A/edit#gid=1289912791</v>
      </c>
      <c r="H1171" s="35" t="s">
        <v>182</v>
      </c>
    </row>
    <row r="1172">
      <c r="D1172" s="15"/>
      <c r="E1172" s="32" t="s">
        <v>178</v>
      </c>
      <c r="F1172" s="35" t="s">
        <v>180</v>
      </c>
      <c r="G1172" s="84" t="str">
        <f>HYPERLINK("https://docs.google.com/spreadsheets/d/1-RbV-7mG4-Rn-sLJGoSyBmBcq6hQwjuXjpGVw_kHj2A/edit#gid=754875018", "https://docs.google.com/spreadsheets/d/1-RbV-7mG4-Rn-sLJGoSyBmBcq6hQwjuXjpGVw_kHj2A/edit#gid=754875018")</f>
        <v>https://docs.google.com/spreadsheets/d/1-RbV-7mG4-Rn-sLJGoSyBmBcq6hQwjuXjpGVw_kHj2A/edit#gid=754875018</v>
      </c>
      <c r="H1172" s="35" t="s">
        <v>180</v>
      </c>
    </row>
    <row r="1173">
      <c r="D1173" s="15"/>
      <c r="E1173" s="32" t="s">
        <v>178</v>
      </c>
      <c r="F1173" s="35" t="s">
        <v>209</v>
      </c>
      <c r="G1173" s="84" t="str">
        <f>HYPERLINK("https://docs.google.com/spreadsheets/d/1-RbV-7mG4-Rn-sLJGoSyBmBcq6hQwjuXjpGVw_kHj2A/edit#gid=1562625455", "https://docs.google.com/spreadsheets/d/1-RbV-7mG4-Rn-sLJGoSyBmBcq6hQwjuXjpGVw_kHj2A/edit#gid=1562625455")</f>
        <v>https://docs.google.com/spreadsheets/d/1-RbV-7mG4-Rn-sLJGoSyBmBcq6hQwjuXjpGVw_kHj2A/edit#gid=1562625455</v>
      </c>
      <c r="H1173" s="35" t="s">
        <v>209</v>
      </c>
    </row>
    <row r="1174">
      <c r="D1174" s="15"/>
      <c r="E1174" s="32" t="s">
        <v>178</v>
      </c>
      <c r="F1174" s="35" t="s">
        <v>210</v>
      </c>
      <c r="G1174" s="84" t="str">
        <f>HYPERLINK("https://docs.google.com/spreadsheets/d/1-RbV-7mG4-Rn-sLJGoSyBmBcq6hQwjuXjpGVw_kHj2A/edit#gid=315480876", "https://docs.google.com/spreadsheets/d/1-RbV-7mG4-Rn-sLJGoSyBmBcq6hQwjuXjpGVw_kHj2A/edit#gid=315480876")</f>
        <v>https://docs.google.com/spreadsheets/d/1-RbV-7mG4-Rn-sLJGoSyBmBcq6hQwjuXjpGVw_kHj2A/edit#gid=315480876</v>
      </c>
      <c r="H1174" s="35" t="s">
        <v>210</v>
      </c>
    </row>
    <row r="1175">
      <c r="D1175" s="15"/>
      <c r="E1175" s="32" t="s">
        <v>157</v>
      </c>
      <c r="F1175" s="35" t="s">
        <v>161</v>
      </c>
      <c r="G1175" s="84" t="str">
        <f>HYPERLINK("https://docs.google.com/spreadsheets/d/1-RbV-7mG4-Rn-sLJGoSyBmBcq6hQwjuXjpGVw_kHj2A/edit#gid=1303356850", "https://docs.google.com/spreadsheets/d/1-RbV-7mG4-Rn-sLJGoSyBmBcq6hQwjuXjpGVw_kHj2A/edit#gid=1303356850")</f>
        <v>https://docs.google.com/spreadsheets/d/1-RbV-7mG4-Rn-sLJGoSyBmBcq6hQwjuXjpGVw_kHj2A/edit#gid=1303356850</v>
      </c>
      <c r="H1175" s="35" t="s">
        <v>161</v>
      </c>
    </row>
    <row r="1176">
      <c r="D1176" s="15"/>
      <c r="E1176" s="32" t="s">
        <v>157</v>
      </c>
      <c r="F1176" s="35" t="s">
        <v>158</v>
      </c>
      <c r="G1176" s="84" t="str">
        <f>HYPERLINK("https://docs.google.com/spreadsheets/d/1-RbV-7mG4-Rn-sLJGoSyBmBcq6hQwjuXjpGVw_kHj2A/edit#gid=737090423", "https://docs.google.com/spreadsheets/d/1-RbV-7mG4-Rn-sLJGoSyBmBcq6hQwjuXjpGVw_kHj2A/edit#gid=737090423")</f>
        <v>https://docs.google.com/spreadsheets/d/1-RbV-7mG4-Rn-sLJGoSyBmBcq6hQwjuXjpGVw_kHj2A/edit#gid=737090423</v>
      </c>
      <c r="H1176" s="35" t="s">
        <v>158</v>
      </c>
    </row>
    <row r="1177">
      <c r="D1177" s="15"/>
      <c r="E1177" s="32" t="s">
        <v>157</v>
      </c>
      <c r="F1177" s="35" t="s">
        <v>196</v>
      </c>
      <c r="G1177" s="84" t="str">
        <f>HYPERLINK("https://docs.google.com/spreadsheets/d/1-RbV-7mG4-Rn-sLJGoSyBmBcq6hQwjuXjpGVw_kHj2A/edit#gid=878420943", "https://docs.google.com/spreadsheets/d/1-RbV-7mG4-Rn-sLJGoSyBmBcq6hQwjuXjpGVw_kHj2A/edit#gid=878420943")</f>
        <v>https://docs.google.com/spreadsheets/d/1-RbV-7mG4-Rn-sLJGoSyBmBcq6hQwjuXjpGVw_kHj2A/edit#gid=878420943</v>
      </c>
      <c r="H1177" s="35" t="s">
        <v>196</v>
      </c>
    </row>
    <row r="1178">
      <c r="D1178" s="15"/>
      <c r="E1178" s="32" t="s">
        <v>172</v>
      </c>
      <c r="F1178" s="35" t="s">
        <v>173</v>
      </c>
      <c r="G1178" s="84" t="str">
        <f>HYPERLINK("https://docs.google.com/spreadsheets/d/1-RbV-7mG4-Rn-sLJGoSyBmBcq6hQwjuXjpGVw_kHj2A/edit#gid=213197084", "https://docs.google.com/spreadsheets/d/1-RbV-7mG4-Rn-sLJGoSyBmBcq6hQwjuXjpGVw_kHj2A/edit#gid=213197084")</f>
        <v>https://docs.google.com/spreadsheets/d/1-RbV-7mG4-Rn-sLJGoSyBmBcq6hQwjuXjpGVw_kHj2A/edit#gid=213197084</v>
      </c>
      <c r="H1178" s="35" t="s">
        <v>2054</v>
      </c>
    </row>
    <row r="1179">
      <c r="D1179" s="15"/>
      <c r="E1179" s="32" t="s">
        <v>172</v>
      </c>
      <c r="F1179" s="35" t="s">
        <v>402</v>
      </c>
      <c r="G1179" s="84" t="str">
        <f>HYPERLINK("https://docs.google.com/spreadsheets/d/1-RbV-7mG4-Rn-sLJGoSyBmBcq6hQwjuXjpGVw_kHj2A/edit#gid=1434552573", "https://docs.google.com/spreadsheets/d/1-RbV-7mG4-Rn-sLJGoSyBmBcq6hQwjuXjpGVw_kHj2A/edit#gid=1434552573")</f>
        <v>https://docs.google.com/spreadsheets/d/1-RbV-7mG4-Rn-sLJGoSyBmBcq6hQwjuXjpGVw_kHj2A/edit#gid=1434552573</v>
      </c>
      <c r="H1179" s="35" t="s">
        <v>2055</v>
      </c>
    </row>
    <row r="1180">
      <c r="D1180" s="15"/>
      <c r="E1180" s="32" t="s">
        <v>172</v>
      </c>
      <c r="F1180" s="35" t="s">
        <v>203</v>
      </c>
      <c r="G1180" s="84" t="str">
        <f>HYPERLINK("https://docs.google.com/spreadsheets/d/1-RbV-7mG4-Rn-sLJGoSyBmBcq6hQwjuXjpGVw_kHj2A/edit#gid=982347844", "https://docs.google.com/spreadsheets/d/1-RbV-7mG4-Rn-sLJGoSyBmBcq6hQwjuXjpGVw_kHj2A/edit#gid=982347844")</f>
        <v>https://docs.google.com/spreadsheets/d/1-RbV-7mG4-Rn-sLJGoSyBmBcq6hQwjuXjpGVw_kHj2A/edit#gid=982347844</v>
      </c>
      <c r="H1180" s="35" t="s">
        <v>1999</v>
      </c>
    </row>
    <row r="1181">
      <c r="D1181" s="15"/>
      <c r="E1181" s="32" t="s">
        <v>172</v>
      </c>
      <c r="F1181" s="35" t="s">
        <v>204</v>
      </c>
      <c r="G1181" s="84" t="str">
        <f>HYPERLINK("https://docs.google.com/spreadsheets/d/1-RbV-7mG4-Rn-sLJGoSyBmBcq6hQwjuXjpGVw_kHj2A/edit#gid=1953025275", "https://docs.google.com/spreadsheets/d/1-RbV-7mG4-Rn-sLJGoSyBmBcq6hQwjuXjpGVw_kHj2A/edit#gid=1953025275")</f>
        <v>https://docs.google.com/spreadsheets/d/1-RbV-7mG4-Rn-sLJGoSyBmBcq6hQwjuXjpGVw_kHj2A/edit#gid=1953025275</v>
      </c>
      <c r="H1181" s="35" t="s">
        <v>2000</v>
      </c>
    </row>
    <row r="1182">
      <c r="D1182" s="15"/>
      <c r="E1182" s="32" t="s">
        <v>178</v>
      </c>
      <c r="F1182" s="35" t="s">
        <v>207</v>
      </c>
      <c r="G1182" s="84" t="str">
        <f>HYPERLINK("https://docs.google.com/spreadsheets/d/1-RbV-7mG4-Rn-sLJGoSyBmBcq6hQwjuXjpGVw_kHj2A/edit#gid=1228341335", "https://docs.google.com/spreadsheets/d/1-RbV-7mG4-Rn-sLJGoSyBmBcq6hQwjuXjpGVw_kHj2A/edit#gid=1228341335")</f>
        <v>https://docs.google.com/spreadsheets/d/1-RbV-7mG4-Rn-sLJGoSyBmBcq6hQwjuXjpGVw_kHj2A/edit#gid=1228341335</v>
      </c>
      <c r="H1182" s="35" t="s">
        <v>2001</v>
      </c>
    </row>
    <row r="1183">
      <c r="D1183" s="15"/>
      <c r="E1183" s="32" t="s">
        <v>178</v>
      </c>
      <c r="F1183" s="35" t="s">
        <v>208</v>
      </c>
      <c r="G1183" s="84" t="str">
        <f>HYPERLINK("https://docs.google.com/spreadsheets/d/1-RbV-7mG4-Rn-sLJGoSyBmBcq6hQwjuXjpGVw_kHj2A/edit#gid=1507611012", "https://docs.google.com/spreadsheets/d/1-RbV-7mG4-Rn-sLJGoSyBmBcq6hQwjuXjpGVw_kHj2A/edit#gid=1507611012")</f>
        <v>https://docs.google.com/spreadsheets/d/1-RbV-7mG4-Rn-sLJGoSyBmBcq6hQwjuXjpGVw_kHj2A/edit#gid=1507611012</v>
      </c>
      <c r="H1183" s="35" t="s">
        <v>2002</v>
      </c>
    </row>
    <row r="1184">
      <c r="D1184" s="15"/>
      <c r="E1184" s="32" t="s">
        <v>178</v>
      </c>
      <c r="F1184" s="35" t="s">
        <v>182</v>
      </c>
      <c r="G1184" s="84" t="str">
        <f>HYPERLINK("https://docs.google.com/spreadsheets/d/1-RbV-7mG4-Rn-sLJGoSyBmBcq6hQwjuXjpGVw_kHj2A/edit#gid=138562754", "https://docs.google.com/spreadsheets/d/1-RbV-7mG4-Rn-sLJGoSyBmBcq6hQwjuXjpGVw_kHj2A/edit#gid=138562754")</f>
        <v>https://docs.google.com/spreadsheets/d/1-RbV-7mG4-Rn-sLJGoSyBmBcq6hQwjuXjpGVw_kHj2A/edit#gid=138562754</v>
      </c>
      <c r="H1184" s="35" t="s">
        <v>2003</v>
      </c>
    </row>
    <row r="1185">
      <c r="D1185" s="15"/>
      <c r="E1185" s="32" t="s">
        <v>178</v>
      </c>
      <c r="F1185" s="35" t="s">
        <v>180</v>
      </c>
      <c r="G1185" s="84" t="str">
        <f>HYPERLINK("https://docs.google.com/spreadsheets/d/1-RbV-7mG4-Rn-sLJGoSyBmBcq6hQwjuXjpGVw_kHj2A/edit#gid=1426991405", "https://docs.google.com/spreadsheets/d/1-RbV-7mG4-Rn-sLJGoSyBmBcq6hQwjuXjpGVw_kHj2A/edit#gid=1426991405")</f>
        <v>https://docs.google.com/spreadsheets/d/1-RbV-7mG4-Rn-sLJGoSyBmBcq6hQwjuXjpGVw_kHj2A/edit#gid=1426991405</v>
      </c>
      <c r="H1185" s="35" t="s">
        <v>2009</v>
      </c>
    </row>
    <row r="1186">
      <c r="D1186" s="15"/>
      <c r="E1186" s="32" t="s">
        <v>178</v>
      </c>
      <c r="F1186" s="35" t="s">
        <v>209</v>
      </c>
      <c r="G1186" s="84" t="str">
        <f>HYPERLINK("https://docs.google.com/spreadsheets/d/1-RbV-7mG4-Rn-sLJGoSyBmBcq6hQwjuXjpGVw_kHj2A/edit#gid=1477884212", "https://docs.google.com/spreadsheets/d/1-RbV-7mG4-Rn-sLJGoSyBmBcq6hQwjuXjpGVw_kHj2A/edit#gid=1477884212")</f>
        <v>https://docs.google.com/spreadsheets/d/1-RbV-7mG4-Rn-sLJGoSyBmBcq6hQwjuXjpGVw_kHj2A/edit#gid=1477884212</v>
      </c>
      <c r="H1186" s="35" t="s">
        <v>1986</v>
      </c>
    </row>
    <row r="1187">
      <c r="D1187" s="15"/>
      <c r="E1187" s="32" t="s">
        <v>178</v>
      </c>
      <c r="F1187" s="35" t="s">
        <v>210</v>
      </c>
      <c r="G1187" s="84" t="str">
        <f>HYPERLINK("https://docs.google.com/spreadsheets/d/1-RbV-7mG4-Rn-sLJGoSyBmBcq6hQwjuXjpGVw_kHj2A/edit#gid=1318141990", "https://docs.google.com/spreadsheets/d/1-RbV-7mG4-Rn-sLJGoSyBmBcq6hQwjuXjpGVw_kHj2A/edit#gid=1318141990")</f>
        <v>https://docs.google.com/spreadsheets/d/1-RbV-7mG4-Rn-sLJGoSyBmBcq6hQwjuXjpGVw_kHj2A/edit#gid=1318141990</v>
      </c>
      <c r="H1187" s="35" t="s">
        <v>1987</v>
      </c>
    </row>
    <row r="1188">
      <c r="D1188" s="15"/>
      <c r="E1188" s="32" t="s">
        <v>86</v>
      </c>
      <c r="F1188" s="35" t="s">
        <v>90</v>
      </c>
      <c r="G1188" s="84" t="str">
        <f>HYPERLINK("https://docs.google.com/spreadsheets/d/1-RbV-7mG4-Rn-sLJGoSyBmBcq6hQwjuXjpGVw_kHj2A/edit#gid=1658746232", "https://docs.google.com/spreadsheets/d/1-RbV-7mG4-Rn-sLJGoSyBmBcq6hQwjuXjpGVw_kHj2A/edit#gid=1658746232")</f>
        <v>https://docs.google.com/spreadsheets/d/1-RbV-7mG4-Rn-sLJGoSyBmBcq6hQwjuXjpGVw_kHj2A/edit#gid=1658746232</v>
      </c>
      <c r="H1188" s="35" t="s">
        <v>90</v>
      </c>
    </row>
    <row r="1189">
      <c r="D1189" s="15"/>
      <c r="E1189" s="32" t="s">
        <v>86</v>
      </c>
      <c r="F1189" s="35" t="s">
        <v>91</v>
      </c>
      <c r="G1189" s="84" t="str">
        <f>HYPERLINK("https://docs.google.com/spreadsheets/d/1-RbV-7mG4-Rn-sLJGoSyBmBcq6hQwjuXjpGVw_kHj2A/edit#gid=1018093939", "https://docs.google.com/spreadsheets/d/1-RbV-7mG4-Rn-sLJGoSyBmBcq6hQwjuXjpGVw_kHj2A/edit#gid=1018093939")</f>
        <v>https://docs.google.com/spreadsheets/d/1-RbV-7mG4-Rn-sLJGoSyBmBcq6hQwjuXjpGVw_kHj2A/edit#gid=1018093939</v>
      </c>
      <c r="H1189" s="35" t="s">
        <v>91</v>
      </c>
    </row>
    <row r="1190">
      <c r="D1190" s="15"/>
      <c r="E1190" s="32" t="s">
        <v>88</v>
      </c>
      <c r="F1190" s="35" t="s">
        <v>95</v>
      </c>
      <c r="G1190" s="84" t="str">
        <f>HYPERLINK("https://docs.google.com/spreadsheets/d/1-RbV-7mG4-Rn-sLJGoSyBmBcq6hQwjuXjpGVw_kHj2A/edit#gid=1202437422", "https://docs.google.com/spreadsheets/d/1-RbV-7mG4-Rn-sLJGoSyBmBcq6hQwjuXjpGVw_kHj2A/edit#gid=1202437422")</f>
        <v>https://docs.google.com/spreadsheets/d/1-RbV-7mG4-Rn-sLJGoSyBmBcq6hQwjuXjpGVw_kHj2A/edit#gid=1202437422</v>
      </c>
      <c r="H1190" s="35" t="s">
        <v>95</v>
      </c>
    </row>
    <row r="1191">
      <c r="D1191" s="15"/>
      <c r="E1191" s="32" t="s">
        <v>88</v>
      </c>
      <c r="F1191" s="35" t="s">
        <v>96</v>
      </c>
      <c r="G1191" s="84" t="str">
        <f>HYPERLINK("https://docs.google.com/spreadsheets/d/1-RbV-7mG4-Rn-sLJGoSyBmBcq6hQwjuXjpGVw_kHj2A/edit#gid=1793903020", "https://docs.google.com/spreadsheets/d/1-RbV-7mG4-Rn-sLJGoSyBmBcq6hQwjuXjpGVw_kHj2A/edit#gid=1793903020")</f>
        <v>https://docs.google.com/spreadsheets/d/1-RbV-7mG4-Rn-sLJGoSyBmBcq6hQwjuXjpGVw_kHj2A/edit#gid=1793903020</v>
      </c>
      <c r="H1191" s="35" t="s">
        <v>96</v>
      </c>
    </row>
    <row r="1192">
      <c r="D1192" s="15"/>
      <c r="E1192" s="32"/>
      <c r="F1192" s="35"/>
      <c r="H1192" s="35"/>
    </row>
    <row r="1193">
      <c r="B1193" s="35" t="s">
        <v>2119</v>
      </c>
      <c r="C1193" s="35" t="s">
        <v>2120</v>
      </c>
      <c r="D1193" s="32" t="s">
        <v>20</v>
      </c>
      <c r="E1193" s="32" t="s">
        <v>89</v>
      </c>
      <c r="F1193" s="35" t="s">
        <v>291</v>
      </c>
      <c r="H1193" s="36"/>
    </row>
    <row r="1194">
      <c r="B1194" s="35" t="s">
        <v>2121</v>
      </c>
      <c r="C1194" s="210" t="s">
        <v>2122</v>
      </c>
      <c r="D1194" s="32" t="s">
        <v>20</v>
      </c>
      <c r="E1194" s="32" t="s">
        <v>178</v>
      </c>
      <c r="F1194" s="35" t="s">
        <v>201</v>
      </c>
      <c r="G1194" s="84" t="str">
        <f>HYPERLINK("https://docs.google.com/spreadsheets/d/1DziwoubJ0iwhsx3iZkyPN7sjQ6S_txoPPtGEq5WMp98/edit#gid=997919239", "https://docs.google.com/spreadsheets/d/1DziwoubJ0iwhsx3iZkyPN7sjQ6S_txoPPtGEq5WMp98/edit#gid=997919239")</f>
        <v>https://docs.google.com/spreadsheets/d/1DziwoubJ0iwhsx3iZkyPN7sjQ6S_txoPPtGEq5WMp98/edit#gid=997919239</v>
      </c>
      <c r="H1194" s="35" t="s">
        <v>201</v>
      </c>
    </row>
    <row r="1195">
      <c r="D1195" s="15"/>
      <c r="E1195" s="32" t="s">
        <v>178</v>
      </c>
      <c r="F1195" s="35" t="s">
        <v>202</v>
      </c>
      <c r="G1195" s="84" t="str">
        <f>HYPERLINK("https://docs.google.com/spreadsheets/d/1DziwoubJ0iwhsx3iZkyPN7sjQ6S_txoPPtGEq5WMp98/edit#gid=443419896", "https://docs.google.com/spreadsheets/d/1DziwoubJ0iwhsx3iZkyPN7sjQ6S_txoPPtGEq5WMp98/edit#gid=443419896")</f>
        <v>https://docs.google.com/spreadsheets/d/1DziwoubJ0iwhsx3iZkyPN7sjQ6S_txoPPtGEq5WMp98/edit#gid=443419896</v>
      </c>
      <c r="H1195" s="35" t="s">
        <v>202</v>
      </c>
    </row>
    <row r="1196">
      <c r="D1196" s="15"/>
      <c r="E1196" s="32" t="s">
        <v>178</v>
      </c>
      <c r="F1196" s="35" t="s">
        <v>202</v>
      </c>
      <c r="G1196" s="84" t="str">
        <f>HYPERLINK("https://docs.google.com/spreadsheets/d/1DziwoubJ0iwhsx3iZkyPN7sjQ6S_txoPPtGEq5WMp98/edit#gid=1188185256", "https://docs.google.com/spreadsheets/d/1DziwoubJ0iwhsx3iZkyPN7sjQ6S_txoPPtGEq5WMp98/edit#gid=1188185256")</f>
        <v>https://docs.google.com/spreadsheets/d/1DziwoubJ0iwhsx3iZkyPN7sjQ6S_txoPPtGEq5WMp98/edit#gid=1188185256</v>
      </c>
      <c r="H1196" s="35" t="s">
        <v>2025</v>
      </c>
    </row>
    <row r="1197">
      <c r="D1197" s="15"/>
      <c r="E1197" s="32" t="s">
        <v>21</v>
      </c>
      <c r="F1197" s="35" t="s">
        <v>51</v>
      </c>
      <c r="G1197" s="84" t="str">
        <f>HYPERLINK("https://docs.google.com/spreadsheets/d/1DziwoubJ0iwhsx3iZkyPN7sjQ6S_txoPPtGEq5WMp98/edit#gid=1408551277", "https://docs.google.com/spreadsheets/d/1DziwoubJ0iwhsx3iZkyPN7sjQ6S_txoPPtGEq5WMp98/edit#gid=1408551277")</f>
        <v>https://docs.google.com/spreadsheets/d/1DziwoubJ0iwhsx3iZkyPN7sjQ6S_txoPPtGEq5WMp98/edit#gid=1408551277</v>
      </c>
      <c r="H1197" s="35" t="s">
        <v>51</v>
      </c>
    </row>
    <row r="1198">
      <c r="D1198" s="15"/>
      <c r="E1198" s="32" t="s">
        <v>172</v>
      </c>
      <c r="F1198" s="35" t="s">
        <v>173</v>
      </c>
      <c r="G1198" s="84" t="str">
        <f>HYPERLINK("https://docs.google.com/spreadsheets/d/1DziwoubJ0iwhsx3iZkyPN7sjQ6S_txoPPtGEq5WMp98/edit#gid=1284709065", "https://docs.google.com/spreadsheets/d/1DziwoubJ0iwhsx3iZkyPN7sjQ6S_txoPPtGEq5WMp98/edit#gid=1284709065")</f>
        <v>https://docs.google.com/spreadsheets/d/1DziwoubJ0iwhsx3iZkyPN7sjQ6S_txoPPtGEq5WMp98/edit#gid=1284709065</v>
      </c>
      <c r="H1198" s="35" t="s">
        <v>173</v>
      </c>
    </row>
    <row r="1199">
      <c r="D1199" s="15"/>
      <c r="E1199" s="32" t="s">
        <v>172</v>
      </c>
      <c r="F1199" s="35" t="s">
        <v>402</v>
      </c>
      <c r="G1199" s="84" t="str">
        <f>HYPERLINK("https://docs.google.com/spreadsheets/d/1DziwoubJ0iwhsx3iZkyPN7sjQ6S_txoPPtGEq5WMp98/edit#gid=497348369", "https://docs.google.com/spreadsheets/d/1DziwoubJ0iwhsx3iZkyPN7sjQ6S_txoPPtGEq5WMp98/edit#gid=497348369")</f>
        <v>https://docs.google.com/spreadsheets/d/1DziwoubJ0iwhsx3iZkyPN7sjQ6S_txoPPtGEq5WMp98/edit#gid=497348369</v>
      </c>
      <c r="H1199" s="35" t="s">
        <v>402</v>
      </c>
    </row>
    <row r="1200">
      <c r="D1200" s="15"/>
      <c r="E1200" s="32" t="s">
        <v>172</v>
      </c>
      <c r="F1200" s="35" t="s">
        <v>203</v>
      </c>
      <c r="G1200" s="84" t="str">
        <f>HYPERLINK("https://docs.google.com/spreadsheets/d/1DziwoubJ0iwhsx3iZkyPN7sjQ6S_txoPPtGEq5WMp98/edit#gid=318727784", "https://docs.google.com/spreadsheets/d/1DziwoubJ0iwhsx3iZkyPN7sjQ6S_txoPPtGEq5WMp98/edit#gid=318727784")</f>
        <v>https://docs.google.com/spreadsheets/d/1DziwoubJ0iwhsx3iZkyPN7sjQ6S_txoPPtGEq5WMp98/edit#gid=318727784</v>
      </c>
      <c r="H1200" s="35" t="s">
        <v>203</v>
      </c>
    </row>
    <row r="1201">
      <c r="D1201" s="15"/>
      <c r="E1201" s="32" t="s">
        <v>172</v>
      </c>
      <c r="F1201" s="35" t="s">
        <v>204</v>
      </c>
      <c r="G1201" s="84" t="str">
        <f>HYPERLINK("https://docs.google.com/spreadsheets/d/1DziwoubJ0iwhsx3iZkyPN7sjQ6S_txoPPtGEq5WMp98/edit#gid=703565355", "https://docs.google.com/spreadsheets/d/1DziwoubJ0iwhsx3iZkyPN7sjQ6S_txoPPtGEq5WMp98/edit#gid=703565355")</f>
        <v>https://docs.google.com/spreadsheets/d/1DziwoubJ0iwhsx3iZkyPN7sjQ6S_txoPPtGEq5WMp98/edit#gid=703565355</v>
      </c>
      <c r="H1201" s="35" t="s">
        <v>204</v>
      </c>
    </row>
    <row r="1202">
      <c r="D1202" s="15"/>
      <c r="E1202" s="32" t="s">
        <v>178</v>
      </c>
      <c r="F1202" s="35" t="s">
        <v>205</v>
      </c>
      <c r="G1202" s="84" t="str">
        <f>HYPERLINK("https://docs.google.com/spreadsheets/d/1DziwoubJ0iwhsx3iZkyPN7sjQ6S_txoPPtGEq5WMp98/edit#gid=684679643", "https://docs.google.com/spreadsheets/d/1DziwoubJ0iwhsx3iZkyPN7sjQ6S_txoPPtGEq5WMp98/edit#gid=684679643")</f>
        <v>https://docs.google.com/spreadsheets/d/1DziwoubJ0iwhsx3iZkyPN7sjQ6S_txoPPtGEq5WMp98/edit#gid=684679643</v>
      </c>
      <c r="H1202" s="35" t="s">
        <v>205</v>
      </c>
    </row>
    <row r="1203">
      <c r="D1203" s="15"/>
      <c r="E1203" s="32" t="s">
        <v>178</v>
      </c>
      <c r="F1203" s="35" t="s">
        <v>206</v>
      </c>
      <c r="H1203" s="36"/>
    </row>
    <row r="1204">
      <c r="D1204" s="15"/>
      <c r="E1204" s="32" t="s">
        <v>178</v>
      </c>
      <c r="F1204" s="35" t="s">
        <v>207</v>
      </c>
      <c r="G1204" s="84" t="str">
        <f>HYPERLINK("https://docs.google.com/spreadsheets/d/1DziwoubJ0iwhsx3iZkyPN7sjQ6S_txoPPtGEq5WMp98/edit#gid=1158511946", "https://docs.google.com/spreadsheets/d/1DziwoubJ0iwhsx3iZkyPN7sjQ6S_txoPPtGEq5WMp98/edit#gid=1158511946")</f>
        <v>https://docs.google.com/spreadsheets/d/1DziwoubJ0iwhsx3iZkyPN7sjQ6S_txoPPtGEq5WMp98/edit#gid=1158511946</v>
      </c>
      <c r="H1204" s="35" t="s">
        <v>207</v>
      </c>
    </row>
    <row r="1205">
      <c r="D1205" s="15"/>
      <c r="E1205" s="32" t="s">
        <v>172</v>
      </c>
      <c r="F1205" s="35" t="s">
        <v>173</v>
      </c>
      <c r="G1205" s="84" t="str">
        <f>HYPERLINK("https://docs.google.com/spreadsheets/d/1DziwoubJ0iwhsx3iZkyPN7sjQ6S_txoPPtGEq5WMp98/edit#gid=794785580", "https://docs.google.com/spreadsheets/d/1DziwoubJ0iwhsx3iZkyPN7sjQ6S_txoPPtGEq5WMp98/edit#gid=794785580")</f>
        <v>https://docs.google.com/spreadsheets/d/1DziwoubJ0iwhsx3iZkyPN7sjQ6S_txoPPtGEq5WMp98/edit#gid=794785580</v>
      </c>
      <c r="H1205" s="35" t="s">
        <v>269</v>
      </c>
    </row>
    <row r="1206">
      <c r="D1206" s="15"/>
      <c r="E1206" s="32" t="s">
        <v>172</v>
      </c>
      <c r="F1206" s="35" t="s">
        <v>402</v>
      </c>
      <c r="G1206" s="84" t="str">
        <f>HYPERLINK("https://docs.google.com/spreadsheets/d/1DziwoubJ0iwhsx3iZkyPN7sjQ6S_txoPPtGEq5WMp98/edit#gid=1300840107", "https://docs.google.com/spreadsheets/d/1DziwoubJ0iwhsx3iZkyPN7sjQ6S_txoPPtGEq5WMp98/edit#gid=1300840107")</f>
        <v>https://docs.google.com/spreadsheets/d/1DziwoubJ0iwhsx3iZkyPN7sjQ6S_txoPPtGEq5WMp98/edit#gid=1300840107</v>
      </c>
      <c r="H1206" s="35" t="s">
        <v>2053</v>
      </c>
    </row>
    <row r="1207">
      <c r="D1207" s="15"/>
      <c r="E1207" s="32" t="s">
        <v>172</v>
      </c>
      <c r="F1207" s="35" t="s">
        <v>203</v>
      </c>
      <c r="G1207" s="84" t="str">
        <f>HYPERLINK("https://docs.google.com/spreadsheets/d/1DziwoubJ0iwhsx3iZkyPN7sjQ6S_txoPPtGEq5WMp98/edit#gid=1901006240", "https://docs.google.com/spreadsheets/d/1DziwoubJ0iwhsx3iZkyPN7sjQ6S_txoPPtGEq5WMp98/edit#gid=1901006240")</f>
        <v>https://docs.google.com/spreadsheets/d/1DziwoubJ0iwhsx3iZkyPN7sjQ6S_txoPPtGEq5WMp98/edit#gid=1901006240</v>
      </c>
      <c r="H1207" s="35" t="s">
        <v>1995</v>
      </c>
    </row>
    <row r="1208">
      <c r="D1208" s="15"/>
      <c r="E1208" s="32" t="s">
        <v>172</v>
      </c>
      <c r="F1208" s="35" t="s">
        <v>204</v>
      </c>
      <c r="G1208" s="84" t="str">
        <f>HYPERLINK("https://docs.google.com/spreadsheets/d/1DziwoubJ0iwhsx3iZkyPN7sjQ6S_txoPPtGEq5WMp98/edit#gid=269616174", "https://docs.google.com/spreadsheets/d/1DziwoubJ0iwhsx3iZkyPN7sjQ6S_txoPPtGEq5WMp98/edit#gid=269616174")</f>
        <v>https://docs.google.com/spreadsheets/d/1DziwoubJ0iwhsx3iZkyPN7sjQ6S_txoPPtGEq5WMp98/edit#gid=269616174</v>
      </c>
      <c r="H1208" s="35" t="s">
        <v>1996</v>
      </c>
    </row>
    <row r="1209">
      <c r="D1209" s="15"/>
      <c r="E1209" s="32" t="s">
        <v>178</v>
      </c>
      <c r="F1209" s="35" t="s">
        <v>205</v>
      </c>
      <c r="G1209" s="84" t="str">
        <f>HYPERLINK("https://docs.google.com/spreadsheets/d/1DziwoubJ0iwhsx3iZkyPN7sjQ6S_txoPPtGEq5WMp98/edit#gid=57348273", "https://docs.google.com/spreadsheets/d/1DziwoubJ0iwhsx3iZkyPN7sjQ6S_txoPPtGEq5WMp98/edit#gid=57348273")</f>
        <v>https://docs.google.com/spreadsheets/d/1DziwoubJ0iwhsx3iZkyPN7sjQ6S_txoPPtGEq5WMp98/edit#gid=57348273</v>
      </c>
      <c r="H1209" s="35" t="s">
        <v>1997</v>
      </c>
    </row>
    <row r="1210">
      <c r="D1210" s="15"/>
      <c r="E1210" s="32" t="s">
        <v>178</v>
      </c>
      <c r="F1210" s="35" t="s">
        <v>206</v>
      </c>
      <c r="H1210" s="36"/>
    </row>
    <row r="1211">
      <c r="D1211" s="15"/>
      <c r="E1211" s="32" t="s">
        <v>178</v>
      </c>
      <c r="F1211" s="35" t="s">
        <v>207</v>
      </c>
      <c r="G1211" s="84" t="str">
        <f>HYPERLINK("https://docs.google.com/spreadsheets/d/1DziwoubJ0iwhsx3iZkyPN7sjQ6S_txoPPtGEq5WMp98/edit#gid=1104893521", "https://docs.google.com/spreadsheets/d/1DziwoubJ0iwhsx3iZkyPN7sjQ6S_txoPPtGEq5WMp98/edit#gid=1104893521")</f>
        <v>https://docs.google.com/spreadsheets/d/1DziwoubJ0iwhsx3iZkyPN7sjQ6S_txoPPtGEq5WMp98/edit#gid=1104893521</v>
      </c>
      <c r="H1211" s="35" t="s">
        <v>1998</v>
      </c>
    </row>
    <row r="1212">
      <c r="D1212" s="15"/>
      <c r="E1212" s="32" t="s">
        <v>178</v>
      </c>
      <c r="F1212" s="35" t="s">
        <v>208</v>
      </c>
      <c r="G1212" s="84" t="str">
        <f>HYPERLINK("https://docs.google.com/spreadsheets/d/1DziwoubJ0iwhsx3iZkyPN7sjQ6S_txoPPtGEq5WMp98/edit#gid=1908125992", "https://docs.google.com/spreadsheets/d/1DziwoubJ0iwhsx3iZkyPN7sjQ6S_txoPPtGEq5WMp98/edit#gid=1908125992")</f>
        <v>https://docs.google.com/spreadsheets/d/1DziwoubJ0iwhsx3iZkyPN7sjQ6S_txoPPtGEq5WMp98/edit#gid=1908125992</v>
      </c>
      <c r="H1212" s="36"/>
    </row>
    <row r="1213">
      <c r="D1213" s="15"/>
      <c r="E1213" s="32" t="s">
        <v>178</v>
      </c>
      <c r="F1213" s="35" t="s">
        <v>182</v>
      </c>
      <c r="G1213" s="84" t="str">
        <f>HYPERLINK("https://docs.google.com/spreadsheets/d/1DziwoubJ0iwhsx3iZkyPN7sjQ6S_txoPPtGEq5WMp98/edit#gid=409030835", "https://docs.google.com/spreadsheets/d/1DziwoubJ0iwhsx3iZkyPN7sjQ6S_txoPPtGEq5WMp98/edit#gid=409030835")</f>
        <v>https://docs.google.com/spreadsheets/d/1DziwoubJ0iwhsx3iZkyPN7sjQ6S_txoPPtGEq5WMp98/edit#gid=409030835</v>
      </c>
      <c r="H1213" s="35" t="s">
        <v>182</v>
      </c>
    </row>
    <row r="1214">
      <c r="D1214" s="15"/>
      <c r="E1214" s="32" t="s">
        <v>178</v>
      </c>
      <c r="F1214" s="35" t="s">
        <v>180</v>
      </c>
      <c r="G1214" s="84" t="str">
        <f>HYPERLINK("https://docs.google.com/spreadsheets/d/1DziwoubJ0iwhsx3iZkyPN7sjQ6S_txoPPtGEq5WMp98/edit#gid=71194565", "https://docs.google.com/spreadsheets/d/1DziwoubJ0iwhsx3iZkyPN7sjQ6S_txoPPtGEq5WMp98/edit#gid=71194565")</f>
        <v>https://docs.google.com/spreadsheets/d/1DziwoubJ0iwhsx3iZkyPN7sjQ6S_txoPPtGEq5WMp98/edit#gid=71194565</v>
      </c>
      <c r="H1214" s="35" t="s">
        <v>180</v>
      </c>
    </row>
    <row r="1215">
      <c r="D1215" s="15"/>
      <c r="E1215" s="32" t="s">
        <v>178</v>
      </c>
      <c r="F1215" s="35" t="s">
        <v>209</v>
      </c>
      <c r="G1215" s="84" t="str">
        <f>HYPERLINK("https://docs.google.com/spreadsheets/d/1DziwoubJ0iwhsx3iZkyPN7sjQ6S_txoPPtGEq5WMp98/edit#gid=1602867666", "https://docs.google.com/spreadsheets/d/1DziwoubJ0iwhsx3iZkyPN7sjQ6S_txoPPtGEq5WMp98/edit#gid=1602867666")</f>
        <v>https://docs.google.com/spreadsheets/d/1DziwoubJ0iwhsx3iZkyPN7sjQ6S_txoPPtGEq5WMp98/edit#gid=1602867666</v>
      </c>
      <c r="H1215" s="35" t="s">
        <v>209</v>
      </c>
    </row>
    <row r="1216">
      <c r="D1216" s="15"/>
      <c r="E1216" s="32" t="s">
        <v>178</v>
      </c>
      <c r="F1216" s="35" t="s">
        <v>210</v>
      </c>
      <c r="G1216" s="84" t="str">
        <f>HYPERLINK("https://docs.google.com/spreadsheets/d/1DziwoubJ0iwhsx3iZkyPN7sjQ6S_txoPPtGEq5WMp98/edit#gid=164523662", "https://docs.google.com/spreadsheets/d/1DziwoubJ0iwhsx3iZkyPN7sjQ6S_txoPPtGEq5WMp98/edit#gid=164523662")</f>
        <v>https://docs.google.com/spreadsheets/d/1DziwoubJ0iwhsx3iZkyPN7sjQ6S_txoPPtGEq5WMp98/edit#gid=164523662</v>
      </c>
      <c r="H1216" s="35" t="s">
        <v>210</v>
      </c>
    </row>
    <row r="1217">
      <c r="D1217" s="15"/>
      <c r="E1217" s="32" t="s">
        <v>157</v>
      </c>
      <c r="F1217" s="35" t="s">
        <v>161</v>
      </c>
      <c r="G1217" s="84" t="str">
        <f>HYPERLINK("https://docs.google.com/spreadsheets/d/1DziwoubJ0iwhsx3iZkyPN7sjQ6S_txoPPtGEq5WMp98/edit#gid=2013976835", "https://docs.google.com/spreadsheets/d/1DziwoubJ0iwhsx3iZkyPN7sjQ6S_txoPPtGEq5WMp98/edit#gid=2013976835")</f>
        <v>https://docs.google.com/spreadsheets/d/1DziwoubJ0iwhsx3iZkyPN7sjQ6S_txoPPtGEq5WMp98/edit#gid=2013976835</v>
      </c>
      <c r="H1217" s="35" t="s">
        <v>161</v>
      </c>
    </row>
    <row r="1218">
      <c r="D1218" s="15"/>
      <c r="E1218" s="32" t="s">
        <v>157</v>
      </c>
      <c r="F1218" s="35" t="s">
        <v>158</v>
      </c>
      <c r="G1218" s="84" t="str">
        <f>HYPERLINK("https://docs.google.com/spreadsheets/d/1DziwoubJ0iwhsx3iZkyPN7sjQ6S_txoPPtGEq5WMp98/edit#gid=1402527482", "https://docs.google.com/spreadsheets/d/1DziwoubJ0iwhsx3iZkyPN7sjQ6S_txoPPtGEq5WMp98/edit#gid=1402527482")</f>
        <v>https://docs.google.com/spreadsheets/d/1DziwoubJ0iwhsx3iZkyPN7sjQ6S_txoPPtGEq5WMp98/edit#gid=1402527482</v>
      </c>
      <c r="H1218" s="35" t="s">
        <v>158</v>
      </c>
    </row>
    <row r="1219">
      <c r="D1219" s="15"/>
      <c r="E1219" s="32" t="s">
        <v>157</v>
      </c>
      <c r="F1219" s="35" t="s">
        <v>196</v>
      </c>
      <c r="G1219" s="84" t="str">
        <f>HYPERLINK("https://docs.google.com/spreadsheets/d/1DziwoubJ0iwhsx3iZkyPN7sjQ6S_txoPPtGEq5WMp98/edit#gid=1715337230", "https://docs.google.com/spreadsheets/d/1DziwoubJ0iwhsx3iZkyPN7sjQ6S_txoPPtGEq5WMp98/edit#gid=1715337230")</f>
        <v>https://docs.google.com/spreadsheets/d/1DziwoubJ0iwhsx3iZkyPN7sjQ6S_txoPPtGEq5WMp98/edit#gid=1715337230</v>
      </c>
      <c r="H1219" s="35" t="s">
        <v>196</v>
      </c>
    </row>
    <row r="1220">
      <c r="D1220" s="15"/>
      <c r="E1220" s="32" t="s">
        <v>172</v>
      </c>
      <c r="F1220" s="35" t="s">
        <v>173</v>
      </c>
      <c r="G1220" s="84" t="str">
        <f>HYPERLINK("https://docs.google.com/spreadsheets/d/1DziwoubJ0iwhsx3iZkyPN7sjQ6S_txoPPtGEq5WMp98/edit#gid=1051399884", "https://docs.google.com/spreadsheets/d/1DziwoubJ0iwhsx3iZkyPN7sjQ6S_txoPPtGEq5WMp98/edit#gid=1051399884")</f>
        <v>https://docs.google.com/spreadsheets/d/1DziwoubJ0iwhsx3iZkyPN7sjQ6S_txoPPtGEq5WMp98/edit#gid=1051399884</v>
      </c>
      <c r="H1220" s="35" t="s">
        <v>2054</v>
      </c>
    </row>
    <row r="1221">
      <c r="D1221" s="15"/>
      <c r="E1221" s="32" t="s">
        <v>172</v>
      </c>
      <c r="F1221" s="35" t="s">
        <v>402</v>
      </c>
      <c r="G1221" s="84" t="str">
        <f>HYPERLINK("https://docs.google.com/spreadsheets/d/1DziwoubJ0iwhsx3iZkyPN7sjQ6S_txoPPtGEq5WMp98/edit#gid=1406230770", "https://docs.google.com/spreadsheets/d/1DziwoubJ0iwhsx3iZkyPN7sjQ6S_txoPPtGEq5WMp98/edit#gid=1406230770")</f>
        <v>https://docs.google.com/spreadsheets/d/1DziwoubJ0iwhsx3iZkyPN7sjQ6S_txoPPtGEq5WMp98/edit#gid=1406230770</v>
      </c>
      <c r="H1221" s="35" t="s">
        <v>2055</v>
      </c>
    </row>
    <row r="1222">
      <c r="D1222" s="15"/>
      <c r="E1222" s="32" t="s">
        <v>172</v>
      </c>
      <c r="F1222" s="35" t="s">
        <v>203</v>
      </c>
      <c r="G1222" s="84" t="str">
        <f>HYPERLINK("https://docs.google.com/spreadsheets/d/1DziwoubJ0iwhsx3iZkyPN7sjQ6S_txoPPtGEq5WMp98/edit#gid=373765853", "https://docs.google.com/spreadsheets/d/1DziwoubJ0iwhsx3iZkyPN7sjQ6S_txoPPtGEq5WMp98/edit#gid=373765853")</f>
        <v>https://docs.google.com/spreadsheets/d/1DziwoubJ0iwhsx3iZkyPN7sjQ6S_txoPPtGEq5WMp98/edit#gid=373765853</v>
      </c>
      <c r="H1222" s="35" t="s">
        <v>1999</v>
      </c>
    </row>
    <row r="1223">
      <c r="D1223" s="15"/>
      <c r="E1223" s="32" t="s">
        <v>172</v>
      </c>
      <c r="F1223" s="35" t="s">
        <v>204</v>
      </c>
      <c r="G1223" s="84" t="str">
        <f>HYPERLINK("https://docs.google.com/spreadsheets/d/1DziwoubJ0iwhsx3iZkyPN7sjQ6S_txoPPtGEq5WMp98/edit#gid=701597397", "https://docs.google.com/spreadsheets/d/1DziwoubJ0iwhsx3iZkyPN7sjQ6S_txoPPtGEq5WMp98/edit#gid=701597397")</f>
        <v>https://docs.google.com/spreadsheets/d/1DziwoubJ0iwhsx3iZkyPN7sjQ6S_txoPPtGEq5WMp98/edit#gid=701597397</v>
      </c>
      <c r="H1223" s="35" t="s">
        <v>2000</v>
      </c>
    </row>
    <row r="1224">
      <c r="D1224" s="15"/>
      <c r="E1224" s="32" t="s">
        <v>178</v>
      </c>
      <c r="F1224" s="35" t="s">
        <v>207</v>
      </c>
      <c r="G1224" s="84" t="str">
        <f>HYPERLINK("https://docs.google.com/spreadsheets/d/1DziwoubJ0iwhsx3iZkyPN7sjQ6S_txoPPtGEq5WMp98/edit#gid=436825660", "https://docs.google.com/spreadsheets/d/1DziwoubJ0iwhsx3iZkyPN7sjQ6S_txoPPtGEq5WMp98/edit#gid=436825660")</f>
        <v>https://docs.google.com/spreadsheets/d/1DziwoubJ0iwhsx3iZkyPN7sjQ6S_txoPPtGEq5WMp98/edit#gid=436825660</v>
      </c>
      <c r="H1224" s="35" t="s">
        <v>2001</v>
      </c>
    </row>
    <row r="1225">
      <c r="D1225" s="15"/>
      <c r="E1225" s="32" t="s">
        <v>178</v>
      </c>
      <c r="F1225" s="35" t="s">
        <v>208</v>
      </c>
      <c r="G1225" s="84" t="str">
        <f>HYPERLINK("https://docs.google.com/spreadsheets/d/1DziwoubJ0iwhsx3iZkyPN7sjQ6S_txoPPtGEq5WMp98/edit#gid=771090795", "https://docs.google.com/spreadsheets/d/1DziwoubJ0iwhsx3iZkyPN7sjQ6S_txoPPtGEq5WMp98/edit#gid=771090795")</f>
        <v>https://docs.google.com/spreadsheets/d/1DziwoubJ0iwhsx3iZkyPN7sjQ6S_txoPPtGEq5WMp98/edit#gid=771090795</v>
      </c>
      <c r="H1225" s="35" t="s">
        <v>2002</v>
      </c>
    </row>
    <row r="1226">
      <c r="D1226" s="15"/>
      <c r="E1226" s="32" t="s">
        <v>178</v>
      </c>
      <c r="F1226" s="35" t="s">
        <v>182</v>
      </c>
      <c r="G1226" s="84" t="str">
        <f>HYPERLINK("https://docs.google.com/spreadsheets/d/1DziwoubJ0iwhsx3iZkyPN7sjQ6S_txoPPtGEq5WMp98/edit#gid=1980876887", "https://docs.google.com/spreadsheets/d/1DziwoubJ0iwhsx3iZkyPN7sjQ6S_txoPPtGEq5WMp98/edit#gid=1980876887")</f>
        <v>https://docs.google.com/spreadsheets/d/1DziwoubJ0iwhsx3iZkyPN7sjQ6S_txoPPtGEq5WMp98/edit#gid=1980876887</v>
      </c>
      <c r="H1226" s="35" t="s">
        <v>2003</v>
      </c>
    </row>
    <row r="1227">
      <c r="D1227" s="15"/>
      <c r="E1227" s="32" t="s">
        <v>178</v>
      </c>
      <c r="F1227" s="35" t="s">
        <v>180</v>
      </c>
      <c r="G1227" s="84" t="str">
        <f>HYPERLINK("https://docs.google.com/spreadsheets/d/1DziwoubJ0iwhsx3iZkyPN7sjQ6S_txoPPtGEq5WMp98/edit#gid=1850955519", "https://docs.google.com/spreadsheets/d/1DziwoubJ0iwhsx3iZkyPN7sjQ6S_txoPPtGEq5WMp98/edit#gid=1850955519")</f>
        <v>https://docs.google.com/spreadsheets/d/1DziwoubJ0iwhsx3iZkyPN7sjQ6S_txoPPtGEq5WMp98/edit#gid=1850955519</v>
      </c>
      <c r="H1227" s="35" t="s">
        <v>2009</v>
      </c>
    </row>
    <row r="1228">
      <c r="D1228" s="15"/>
      <c r="E1228" s="32" t="s">
        <v>178</v>
      </c>
      <c r="F1228" s="35" t="s">
        <v>209</v>
      </c>
      <c r="G1228" s="84" t="str">
        <f>HYPERLINK("https://docs.google.com/spreadsheets/d/1DziwoubJ0iwhsx3iZkyPN7sjQ6S_txoPPtGEq5WMp98/edit#gid=1278891010", "https://docs.google.com/spreadsheets/d/1DziwoubJ0iwhsx3iZkyPN7sjQ6S_txoPPtGEq5WMp98/edit#gid=1278891010")</f>
        <v>https://docs.google.com/spreadsheets/d/1DziwoubJ0iwhsx3iZkyPN7sjQ6S_txoPPtGEq5WMp98/edit#gid=1278891010</v>
      </c>
      <c r="H1228" s="35" t="s">
        <v>1986</v>
      </c>
    </row>
    <row r="1229">
      <c r="D1229" s="15"/>
      <c r="E1229" s="32" t="s">
        <v>178</v>
      </c>
      <c r="F1229" s="35" t="s">
        <v>210</v>
      </c>
      <c r="G1229" s="84" t="str">
        <f>HYPERLINK("https://docs.google.com/spreadsheets/d/1DziwoubJ0iwhsx3iZkyPN7sjQ6S_txoPPtGEq5WMp98/edit#gid=1856383437", "https://docs.google.com/spreadsheets/d/1DziwoubJ0iwhsx3iZkyPN7sjQ6S_txoPPtGEq5WMp98/edit#gid=1856383437")</f>
        <v>https://docs.google.com/spreadsheets/d/1DziwoubJ0iwhsx3iZkyPN7sjQ6S_txoPPtGEq5WMp98/edit#gid=1856383437</v>
      </c>
      <c r="H1229" s="35" t="s">
        <v>1987</v>
      </c>
    </row>
    <row r="1230">
      <c r="D1230" s="15"/>
      <c r="E1230" s="32" t="s">
        <v>86</v>
      </c>
      <c r="F1230" s="35" t="s">
        <v>90</v>
      </c>
      <c r="G1230" s="84" t="str">
        <f>HYPERLINK("https://docs.google.com/spreadsheets/d/1DziwoubJ0iwhsx3iZkyPN7sjQ6S_txoPPtGEq5WMp98/edit#gid=971971101", "https://docs.google.com/spreadsheets/d/1DziwoubJ0iwhsx3iZkyPN7sjQ6S_txoPPtGEq5WMp98/edit#gid=971971101")</f>
        <v>https://docs.google.com/spreadsheets/d/1DziwoubJ0iwhsx3iZkyPN7sjQ6S_txoPPtGEq5WMp98/edit#gid=971971101</v>
      </c>
      <c r="H1230" s="35" t="s">
        <v>90</v>
      </c>
    </row>
    <row r="1231">
      <c r="D1231" s="15"/>
      <c r="E1231" s="32" t="s">
        <v>86</v>
      </c>
      <c r="F1231" s="35" t="s">
        <v>338</v>
      </c>
      <c r="G1231" s="84" t="str">
        <f>HYPERLINK("https://docs.google.com/spreadsheets/d/1DziwoubJ0iwhsx3iZkyPN7sjQ6S_txoPPtGEq5WMp98/edit#gid=1296567010", "https://docs.google.com/spreadsheets/d/1DziwoubJ0iwhsx3iZkyPN7sjQ6S_txoPPtGEq5WMp98/edit#gid=1296567010")</f>
        <v>https://docs.google.com/spreadsheets/d/1DziwoubJ0iwhsx3iZkyPN7sjQ6S_txoPPtGEq5WMp98/edit#gid=1296567010</v>
      </c>
      <c r="H1231" s="35" t="s">
        <v>338</v>
      </c>
    </row>
    <row r="1232">
      <c r="D1232" s="15"/>
      <c r="E1232" s="32" t="s">
        <v>88</v>
      </c>
      <c r="F1232" s="35" t="s">
        <v>95</v>
      </c>
      <c r="G1232" s="84" t="str">
        <f>HYPERLINK("https://docs.google.com/spreadsheets/d/1DziwoubJ0iwhsx3iZkyPN7sjQ6S_txoPPtGEq5WMp98/edit#gid=193540704", "https://docs.google.com/spreadsheets/d/1DziwoubJ0iwhsx3iZkyPN7sjQ6S_txoPPtGEq5WMp98/edit#gid=193540704")</f>
        <v>https://docs.google.com/spreadsheets/d/1DziwoubJ0iwhsx3iZkyPN7sjQ6S_txoPPtGEq5WMp98/edit#gid=193540704</v>
      </c>
      <c r="H1232" s="35" t="s">
        <v>95</v>
      </c>
    </row>
    <row r="1233">
      <c r="D1233" s="15"/>
      <c r="E1233" s="32" t="s">
        <v>88</v>
      </c>
      <c r="F1233" s="35" t="s">
        <v>96</v>
      </c>
      <c r="G1233" s="84" t="str">
        <f>HYPERLINK("https://docs.google.com/spreadsheets/d/1DziwoubJ0iwhsx3iZkyPN7sjQ6S_txoPPtGEq5WMp98/edit#gid=1879125149", "https://docs.google.com/spreadsheets/d/1DziwoubJ0iwhsx3iZkyPN7sjQ6S_txoPPtGEq5WMp98/edit#gid=1879125149")</f>
        <v>https://docs.google.com/spreadsheets/d/1DziwoubJ0iwhsx3iZkyPN7sjQ6S_txoPPtGEq5WMp98/edit#gid=1879125149</v>
      </c>
      <c r="H1233" s="35" t="s">
        <v>96</v>
      </c>
    </row>
    <row r="1234">
      <c r="D1234" s="15"/>
      <c r="E1234" s="32"/>
      <c r="F1234" s="35"/>
      <c r="H1234" s="35"/>
    </row>
    <row r="1235">
      <c r="B1235" s="35" t="s">
        <v>2123</v>
      </c>
      <c r="C1235" s="35" t="s">
        <v>2082</v>
      </c>
      <c r="D1235" s="32" t="s">
        <v>20</v>
      </c>
      <c r="E1235" s="32" t="s">
        <v>89</v>
      </c>
      <c r="F1235" s="35" t="s">
        <v>291</v>
      </c>
      <c r="H1235" s="36"/>
    </row>
    <row r="1236">
      <c r="B1236" s="35" t="s">
        <v>2124</v>
      </c>
      <c r="C1236" s="210" t="s">
        <v>2125</v>
      </c>
      <c r="D1236" s="32" t="s">
        <v>20</v>
      </c>
      <c r="E1236" s="32" t="s">
        <v>178</v>
      </c>
      <c r="F1236" s="35" t="s">
        <v>201</v>
      </c>
      <c r="G1236" s="84" t="str">
        <f>HYPERLINK("https://docs.google.com/spreadsheets/d/1DLGaPzsH4fv4-83QwayPH8KYtuco6vZfPYY0bfl8FIU/edit#gid=1525279823", "https://docs.google.com/spreadsheets/d/1DLGaPzsH4fv4-83QwayPH8KYtuco6vZfPYY0bfl8FIU/edit#gid=1525279823")</f>
        <v>https://docs.google.com/spreadsheets/d/1DLGaPzsH4fv4-83QwayPH8KYtuco6vZfPYY0bfl8FIU/edit#gid=1525279823</v>
      </c>
      <c r="H1236" s="35" t="s">
        <v>201</v>
      </c>
    </row>
    <row r="1237">
      <c r="D1237" s="15"/>
      <c r="E1237" s="32" t="s">
        <v>178</v>
      </c>
      <c r="F1237" s="35" t="s">
        <v>202</v>
      </c>
      <c r="G1237" s="84" t="str">
        <f>HYPERLINK("https://docs.google.com/spreadsheets/d/1DLGaPzsH4fv4-83QwayPH8KYtuco6vZfPYY0bfl8FIU/edit#gid=1980541064", "https://docs.google.com/spreadsheets/d/1DLGaPzsH4fv4-83QwayPH8KYtuco6vZfPYY0bfl8FIU/edit#gid=1980541064")</f>
        <v>https://docs.google.com/spreadsheets/d/1DLGaPzsH4fv4-83QwayPH8KYtuco6vZfPYY0bfl8FIU/edit#gid=1980541064</v>
      </c>
      <c r="H1237" s="35" t="s">
        <v>202</v>
      </c>
    </row>
    <row r="1238">
      <c r="D1238" s="15"/>
      <c r="E1238" s="32" t="s">
        <v>178</v>
      </c>
      <c r="F1238" s="35" t="s">
        <v>202</v>
      </c>
      <c r="G1238" s="84" t="str">
        <f>HYPERLINK("https://docs.google.com/spreadsheets/d/1DLGaPzsH4fv4-83QwayPH8KYtuco6vZfPYY0bfl8FIU/edit#gid=554533338", "https://docs.google.com/spreadsheets/d/1DLGaPzsH4fv4-83QwayPH8KYtuco6vZfPYY0bfl8FIU/edit#gid=554533338")</f>
        <v>https://docs.google.com/spreadsheets/d/1DLGaPzsH4fv4-83QwayPH8KYtuco6vZfPYY0bfl8FIU/edit#gid=554533338</v>
      </c>
      <c r="H1238" s="35" t="s">
        <v>2025</v>
      </c>
    </row>
    <row r="1239">
      <c r="D1239" s="15"/>
      <c r="E1239" s="32" t="s">
        <v>21</v>
      </c>
      <c r="F1239" s="35" t="s">
        <v>51</v>
      </c>
      <c r="G1239" s="84" t="str">
        <f>HYPERLINK("https://docs.google.com/spreadsheets/d/1DLGaPzsH4fv4-83QwayPH8KYtuco6vZfPYY0bfl8FIU/edit#gid=306021754", "https://docs.google.com/spreadsheets/d/1DLGaPzsH4fv4-83QwayPH8KYtuco6vZfPYY0bfl8FIU/edit#gid=306021754")</f>
        <v>https://docs.google.com/spreadsheets/d/1DLGaPzsH4fv4-83QwayPH8KYtuco6vZfPYY0bfl8FIU/edit#gid=306021754</v>
      </c>
      <c r="H1239" s="35" t="s">
        <v>51</v>
      </c>
    </row>
    <row r="1240">
      <c r="D1240" s="15"/>
      <c r="E1240" s="32" t="s">
        <v>172</v>
      </c>
      <c r="F1240" s="35" t="s">
        <v>173</v>
      </c>
      <c r="G1240" s="84" t="str">
        <f>HYPERLINK("https://docs.google.com/spreadsheets/d/1DLGaPzsH4fv4-83QwayPH8KYtuco6vZfPYY0bfl8FIU/edit#gid=1042535493", "https://docs.google.com/spreadsheets/d/1DLGaPzsH4fv4-83QwayPH8KYtuco6vZfPYY0bfl8FIU/edit#gid=1042535493")</f>
        <v>https://docs.google.com/spreadsheets/d/1DLGaPzsH4fv4-83QwayPH8KYtuco6vZfPYY0bfl8FIU/edit#gid=1042535493</v>
      </c>
      <c r="H1240" s="35" t="s">
        <v>173</v>
      </c>
    </row>
    <row r="1241">
      <c r="D1241" s="15"/>
      <c r="E1241" s="32" t="s">
        <v>172</v>
      </c>
      <c r="F1241" s="35" t="s">
        <v>402</v>
      </c>
      <c r="G1241" s="84" t="str">
        <f>HYPERLINK("https://docs.google.com/spreadsheets/d/1DLGaPzsH4fv4-83QwayPH8KYtuco6vZfPYY0bfl8FIU/edit#gid=1130168856", "https://docs.google.com/spreadsheets/d/1DLGaPzsH4fv4-83QwayPH8KYtuco6vZfPYY0bfl8FIU/edit#gid=1130168856")</f>
        <v>https://docs.google.com/spreadsheets/d/1DLGaPzsH4fv4-83QwayPH8KYtuco6vZfPYY0bfl8FIU/edit#gid=1130168856</v>
      </c>
      <c r="H1241" s="35" t="s">
        <v>402</v>
      </c>
    </row>
    <row r="1242">
      <c r="D1242" s="15"/>
      <c r="E1242" s="32" t="s">
        <v>172</v>
      </c>
      <c r="F1242" s="35" t="s">
        <v>203</v>
      </c>
      <c r="G1242" s="84" t="str">
        <f>HYPERLINK("https://docs.google.com/spreadsheets/d/1DLGaPzsH4fv4-83QwayPH8KYtuco6vZfPYY0bfl8FIU/edit#gid=1886968412", "https://docs.google.com/spreadsheets/d/1DLGaPzsH4fv4-83QwayPH8KYtuco6vZfPYY0bfl8FIU/edit#gid=1886968412")</f>
        <v>https://docs.google.com/spreadsheets/d/1DLGaPzsH4fv4-83QwayPH8KYtuco6vZfPYY0bfl8FIU/edit#gid=1886968412</v>
      </c>
      <c r="H1242" s="35" t="s">
        <v>203</v>
      </c>
    </row>
    <row r="1243">
      <c r="D1243" s="15"/>
      <c r="E1243" s="32" t="s">
        <v>172</v>
      </c>
      <c r="F1243" s="35" t="s">
        <v>204</v>
      </c>
      <c r="G1243" s="84" t="str">
        <f>HYPERLINK("https://docs.google.com/spreadsheets/d/1DLGaPzsH4fv4-83QwayPH8KYtuco6vZfPYY0bfl8FIU/edit#gid=381446134", "https://docs.google.com/spreadsheets/d/1DLGaPzsH4fv4-83QwayPH8KYtuco6vZfPYY0bfl8FIU/edit#gid=381446134")</f>
        <v>https://docs.google.com/spreadsheets/d/1DLGaPzsH4fv4-83QwayPH8KYtuco6vZfPYY0bfl8FIU/edit#gid=381446134</v>
      </c>
      <c r="H1243" s="35" t="s">
        <v>204</v>
      </c>
    </row>
    <row r="1244">
      <c r="D1244" s="15"/>
      <c r="E1244" s="32" t="s">
        <v>178</v>
      </c>
      <c r="F1244" s="35" t="s">
        <v>205</v>
      </c>
      <c r="G1244" s="84" t="str">
        <f>HYPERLINK("https://docs.google.com/spreadsheets/d/1DLGaPzsH4fv4-83QwayPH8KYtuco6vZfPYY0bfl8FIU/edit#gid=739396738", "https://docs.google.com/spreadsheets/d/1DLGaPzsH4fv4-83QwayPH8KYtuco6vZfPYY0bfl8FIU/edit#gid=739396738")</f>
        <v>https://docs.google.com/spreadsheets/d/1DLGaPzsH4fv4-83QwayPH8KYtuco6vZfPYY0bfl8FIU/edit#gid=739396738</v>
      </c>
      <c r="H1244" s="35" t="s">
        <v>205</v>
      </c>
    </row>
    <row r="1245">
      <c r="D1245" s="15"/>
      <c r="E1245" s="32" t="s">
        <v>178</v>
      </c>
      <c r="F1245" s="35" t="s">
        <v>206</v>
      </c>
      <c r="H1245" s="35"/>
    </row>
    <row r="1246">
      <c r="D1246" s="15"/>
      <c r="E1246" s="32" t="s">
        <v>178</v>
      </c>
      <c r="F1246" s="35" t="s">
        <v>207</v>
      </c>
      <c r="G1246" s="84" t="str">
        <f>HYPERLINK("https://docs.google.com/spreadsheets/d/1DLGaPzsH4fv4-83QwayPH8KYtuco6vZfPYY0bfl8FIU/edit#gid=1023505499", "https://docs.google.com/spreadsheets/d/1DLGaPzsH4fv4-83QwayPH8KYtuco6vZfPYY0bfl8FIU/edit#gid=1023505499")</f>
        <v>https://docs.google.com/spreadsheets/d/1DLGaPzsH4fv4-83QwayPH8KYtuco6vZfPYY0bfl8FIU/edit#gid=1023505499</v>
      </c>
      <c r="H1246" s="35" t="s">
        <v>207</v>
      </c>
    </row>
    <row r="1247">
      <c r="D1247" s="15"/>
      <c r="E1247" s="32" t="s">
        <v>21</v>
      </c>
      <c r="F1247" s="35" t="s">
        <v>51</v>
      </c>
      <c r="G1247" s="84" t="str">
        <f>HYPERLINK("https://docs.google.com/spreadsheets/d/1DLGaPzsH4fv4-83QwayPH8KYtuco6vZfPYY0bfl8FIU/edit#gid=1856515033", "https://docs.google.com/spreadsheets/d/1DLGaPzsH4fv4-83QwayPH8KYtuco6vZfPYY0bfl8FIU/edit#gid=1856515033")</f>
        <v>https://docs.google.com/spreadsheets/d/1DLGaPzsH4fv4-83QwayPH8KYtuco6vZfPYY0bfl8FIU/edit#gid=1856515033</v>
      </c>
      <c r="H1247" s="35" t="s">
        <v>1383</v>
      </c>
    </row>
    <row r="1248">
      <c r="D1248" s="15"/>
      <c r="E1248" s="32" t="s">
        <v>86</v>
      </c>
      <c r="F1248" s="35" t="s">
        <v>90</v>
      </c>
      <c r="G1248" s="84" t="str">
        <f>HYPERLINK("https://docs.google.com/spreadsheets/d/1DLGaPzsH4fv4-83QwayPH8KYtuco6vZfPYY0bfl8FIU/edit#gid=1283808960", "https://docs.google.com/spreadsheets/d/1DLGaPzsH4fv4-83QwayPH8KYtuco6vZfPYY0bfl8FIU/edit#gid=1283808960")</f>
        <v>https://docs.google.com/spreadsheets/d/1DLGaPzsH4fv4-83QwayPH8KYtuco6vZfPYY0bfl8FIU/edit#gid=1283808960</v>
      </c>
      <c r="H1248" s="35" t="s">
        <v>90</v>
      </c>
    </row>
    <row r="1249">
      <c r="D1249" s="15"/>
      <c r="E1249" s="32" t="s">
        <v>86</v>
      </c>
      <c r="F1249" s="35" t="s">
        <v>339</v>
      </c>
      <c r="G1249" s="84" t="str">
        <f>HYPERLINK("https://docs.google.com/spreadsheets/d/1DLGaPzsH4fv4-83QwayPH8KYtuco6vZfPYY0bfl8FIU/edit#gid=1089225762", "https://docs.google.com/spreadsheets/d/1DLGaPzsH4fv4-83QwayPH8KYtuco6vZfPYY0bfl8FIU/edit#gid=1089225762")</f>
        <v>https://docs.google.com/spreadsheets/d/1DLGaPzsH4fv4-83QwayPH8KYtuco6vZfPYY0bfl8FIU/edit#gid=1089225762</v>
      </c>
      <c r="H1249" s="35" t="s">
        <v>339</v>
      </c>
    </row>
    <row r="1250">
      <c r="D1250" s="15"/>
      <c r="E1250" s="32" t="s">
        <v>172</v>
      </c>
      <c r="F1250" s="35" t="s">
        <v>173</v>
      </c>
      <c r="G1250" s="84" t="str">
        <f>HYPERLINK("https://docs.google.com/spreadsheets/d/1DLGaPzsH4fv4-83QwayPH8KYtuco6vZfPYY0bfl8FIU/edit#gid=797851405", "https://docs.google.com/spreadsheets/d/1DLGaPzsH4fv4-83QwayPH8KYtuco6vZfPYY0bfl8FIU/edit#gid=797851405")</f>
        <v>https://docs.google.com/spreadsheets/d/1DLGaPzsH4fv4-83QwayPH8KYtuco6vZfPYY0bfl8FIU/edit#gid=797851405</v>
      </c>
      <c r="H1250" s="35" t="s">
        <v>269</v>
      </c>
    </row>
    <row r="1251">
      <c r="D1251" s="15"/>
      <c r="E1251" s="32" t="s">
        <v>172</v>
      </c>
      <c r="F1251" s="35" t="s">
        <v>402</v>
      </c>
      <c r="G1251" s="84" t="str">
        <f>HYPERLINK("https://docs.google.com/spreadsheets/d/1DLGaPzsH4fv4-83QwayPH8KYtuco6vZfPYY0bfl8FIU/edit#gid=1575413037", "https://docs.google.com/spreadsheets/d/1DLGaPzsH4fv4-83QwayPH8KYtuco6vZfPYY0bfl8FIU/edit#gid=1575413037")</f>
        <v>https://docs.google.com/spreadsheets/d/1DLGaPzsH4fv4-83QwayPH8KYtuco6vZfPYY0bfl8FIU/edit#gid=1575413037</v>
      </c>
      <c r="H1251" s="35" t="s">
        <v>2053</v>
      </c>
    </row>
    <row r="1252">
      <c r="D1252" s="15"/>
      <c r="E1252" s="32" t="s">
        <v>172</v>
      </c>
      <c r="F1252" s="35" t="s">
        <v>203</v>
      </c>
      <c r="G1252" s="84" t="str">
        <f>HYPERLINK("https://docs.google.com/spreadsheets/d/1DLGaPzsH4fv4-83QwayPH8KYtuco6vZfPYY0bfl8FIU/edit#gid=1281918849", "https://docs.google.com/spreadsheets/d/1DLGaPzsH4fv4-83QwayPH8KYtuco6vZfPYY0bfl8FIU/edit#gid=1281918849")</f>
        <v>https://docs.google.com/spreadsheets/d/1DLGaPzsH4fv4-83QwayPH8KYtuco6vZfPYY0bfl8FIU/edit#gid=1281918849</v>
      </c>
      <c r="H1252" s="35" t="s">
        <v>1995</v>
      </c>
    </row>
    <row r="1253">
      <c r="D1253" s="15"/>
      <c r="E1253" s="32" t="s">
        <v>172</v>
      </c>
      <c r="F1253" s="35" t="s">
        <v>204</v>
      </c>
      <c r="G1253" s="84" t="str">
        <f>HYPERLINK("https://docs.google.com/spreadsheets/d/1DLGaPzsH4fv4-83QwayPH8KYtuco6vZfPYY0bfl8FIU/edit#gid=972629161", "https://docs.google.com/spreadsheets/d/1DLGaPzsH4fv4-83QwayPH8KYtuco6vZfPYY0bfl8FIU/edit#gid=972629161")</f>
        <v>https://docs.google.com/spreadsheets/d/1DLGaPzsH4fv4-83QwayPH8KYtuco6vZfPYY0bfl8FIU/edit#gid=972629161</v>
      </c>
      <c r="H1253" s="35" t="s">
        <v>1996</v>
      </c>
    </row>
    <row r="1254">
      <c r="D1254" s="15"/>
      <c r="E1254" s="32" t="s">
        <v>178</v>
      </c>
      <c r="F1254" s="35" t="s">
        <v>205</v>
      </c>
      <c r="G1254" s="84" t="str">
        <f>HYPERLINK("https://docs.google.com/spreadsheets/d/1DLGaPzsH4fv4-83QwayPH8KYtuco6vZfPYY0bfl8FIU/edit#gid=1594027635", "https://docs.google.com/spreadsheets/d/1DLGaPzsH4fv4-83QwayPH8KYtuco6vZfPYY0bfl8FIU/edit#gid=1594027635")</f>
        <v>https://docs.google.com/spreadsheets/d/1DLGaPzsH4fv4-83QwayPH8KYtuco6vZfPYY0bfl8FIU/edit#gid=1594027635</v>
      </c>
      <c r="H1254" s="35" t="s">
        <v>1997</v>
      </c>
    </row>
    <row r="1255">
      <c r="D1255" s="15"/>
      <c r="E1255" s="32" t="s">
        <v>178</v>
      </c>
      <c r="F1255" s="35" t="s">
        <v>206</v>
      </c>
      <c r="H1255" s="36"/>
    </row>
    <row r="1256">
      <c r="D1256" s="15"/>
      <c r="E1256" s="32" t="s">
        <v>178</v>
      </c>
      <c r="F1256" s="35" t="s">
        <v>207</v>
      </c>
      <c r="G1256" s="84" t="str">
        <f>HYPERLINK("https://docs.google.com/spreadsheets/d/1DLGaPzsH4fv4-83QwayPH8KYtuco6vZfPYY0bfl8FIU/edit#gid=1798595805", "https://docs.google.com/spreadsheets/d/1DLGaPzsH4fv4-83QwayPH8KYtuco6vZfPYY0bfl8FIU/edit#gid=1798595805")</f>
        <v>https://docs.google.com/spreadsheets/d/1DLGaPzsH4fv4-83QwayPH8KYtuco6vZfPYY0bfl8FIU/edit#gid=1798595805</v>
      </c>
      <c r="H1256" s="35" t="s">
        <v>1998</v>
      </c>
    </row>
    <row r="1257">
      <c r="D1257" s="15"/>
      <c r="E1257" s="32" t="s">
        <v>178</v>
      </c>
      <c r="F1257" s="35" t="s">
        <v>208</v>
      </c>
      <c r="G1257" s="84" t="str">
        <f>HYPERLINK("https://docs.google.com/spreadsheets/d/1DLGaPzsH4fv4-83QwayPH8KYtuco6vZfPYY0bfl8FIU/edit#gid=882434817", "https://docs.google.com/spreadsheets/d/1DLGaPzsH4fv4-83QwayPH8KYtuco6vZfPYY0bfl8FIU/edit#gid=882434817")</f>
        <v>https://docs.google.com/spreadsheets/d/1DLGaPzsH4fv4-83QwayPH8KYtuco6vZfPYY0bfl8FIU/edit#gid=882434817</v>
      </c>
      <c r="H1257" s="35" t="s">
        <v>208</v>
      </c>
    </row>
    <row r="1258">
      <c r="D1258" s="15"/>
      <c r="E1258" s="32" t="s">
        <v>178</v>
      </c>
      <c r="F1258" s="35" t="s">
        <v>182</v>
      </c>
      <c r="G1258" s="84" t="str">
        <f>HYPERLINK("https://docs.google.com/spreadsheets/d/1DLGaPzsH4fv4-83QwayPH8KYtuco6vZfPYY0bfl8FIU/edit#gid=1022224490", "https://docs.google.com/spreadsheets/d/1DLGaPzsH4fv4-83QwayPH8KYtuco6vZfPYY0bfl8FIU/edit#gid=1022224490")</f>
        <v>https://docs.google.com/spreadsheets/d/1DLGaPzsH4fv4-83QwayPH8KYtuco6vZfPYY0bfl8FIU/edit#gid=1022224490</v>
      </c>
      <c r="H1258" s="35" t="s">
        <v>182</v>
      </c>
    </row>
    <row r="1259">
      <c r="D1259" s="15"/>
      <c r="E1259" s="32" t="s">
        <v>178</v>
      </c>
      <c r="F1259" s="35" t="s">
        <v>180</v>
      </c>
      <c r="G1259" s="84" t="str">
        <f>HYPERLINK("https://docs.google.com/spreadsheets/d/1DLGaPzsH4fv4-83QwayPH8KYtuco6vZfPYY0bfl8FIU/edit#gid=24630714", "https://docs.google.com/spreadsheets/d/1DLGaPzsH4fv4-83QwayPH8KYtuco6vZfPYY0bfl8FIU/edit#gid=24630714")</f>
        <v>https://docs.google.com/spreadsheets/d/1DLGaPzsH4fv4-83QwayPH8KYtuco6vZfPYY0bfl8FIU/edit#gid=24630714</v>
      </c>
      <c r="H1259" s="35" t="s">
        <v>180</v>
      </c>
    </row>
    <row r="1260">
      <c r="D1260" s="15"/>
      <c r="E1260" s="32" t="s">
        <v>178</v>
      </c>
      <c r="F1260" s="35" t="s">
        <v>209</v>
      </c>
      <c r="G1260" s="84" t="str">
        <f>HYPERLINK("https://docs.google.com/spreadsheets/d/1DLGaPzsH4fv4-83QwayPH8KYtuco6vZfPYY0bfl8FIU/edit#gid=76263376", "https://docs.google.com/spreadsheets/d/1DLGaPzsH4fv4-83QwayPH8KYtuco6vZfPYY0bfl8FIU/edit#gid=76263376")</f>
        <v>https://docs.google.com/spreadsheets/d/1DLGaPzsH4fv4-83QwayPH8KYtuco6vZfPYY0bfl8FIU/edit#gid=76263376</v>
      </c>
      <c r="H1260" s="35" t="s">
        <v>209</v>
      </c>
    </row>
    <row r="1261">
      <c r="D1261" s="15"/>
      <c r="E1261" s="32" t="s">
        <v>178</v>
      </c>
      <c r="F1261" s="35" t="s">
        <v>210</v>
      </c>
      <c r="G1261" s="84" t="str">
        <f>HYPERLINK("https://docs.google.com/spreadsheets/d/1DLGaPzsH4fv4-83QwayPH8KYtuco6vZfPYY0bfl8FIU/edit#gid=808467558", "https://docs.google.com/spreadsheets/d/1DLGaPzsH4fv4-83QwayPH8KYtuco6vZfPYY0bfl8FIU/edit#gid=808467558")</f>
        <v>https://docs.google.com/spreadsheets/d/1DLGaPzsH4fv4-83QwayPH8KYtuco6vZfPYY0bfl8FIU/edit#gid=808467558</v>
      </c>
      <c r="H1261" s="35" t="s">
        <v>210</v>
      </c>
    </row>
    <row r="1262">
      <c r="D1262" s="15"/>
      <c r="E1262" s="32" t="s">
        <v>157</v>
      </c>
      <c r="F1262" s="35" t="s">
        <v>161</v>
      </c>
      <c r="G1262" s="84" t="str">
        <f>HYPERLINK("https://docs.google.com/spreadsheets/d/1DLGaPzsH4fv4-83QwayPH8KYtuco6vZfPYY0bfl8FIU/edit#gid=93861405", "https://docs.google.com/spreadsheets/d/1DLGaPzsH4fv4-83QwayPH8KYtuco6vZfPYY0bfl8FIU/edit#gid=93861405")</f>
        <v>https://docs.google.com/spreadsheets/d/1DLGaPzsH4fv4-83QwayPH8KYtuco6vZfPYY0bfl8FIU/edit#gid=93861405</v>
      </c>
      <c r="H1262" s="35" t="s">
        <v>161</v>
      </c>
    </row>
    <row r="1263">
      <c r="D1263" s="15"/>
      <c r="E1263" s="32" t="s">
        <v>157</v>
      </c>
      <c r="F1263" s="35" t="s">
        <v>158</v>
      </c>
      <c r="G1263" s="84" t="str">
        <f>HYPERLINK("https://docs.google.com/spreadsheets/d/1DLGaPzsH4fv4-83QwayPH8KYtuco6vZfPYY0bfl8FIU/edit#gid=364868193", "https://docs.google.com/spreadsheets/d/1DLGaPzsH4fv4-83QwayPH8KYtuco6vZfPYY0bfl8FIU/edit#gid=364868193")</f>
        <v>https://docs.google.com/spreadsheets/d/1DLGaPzsH4fv4-83QwayPH8KYtuco6vZfPYY0bfl8FIU/edit#gid=364868193</v>
      </c>
      <c r="H1263" s="35" t="s">
        <v>158</v>
      </c>
    </row>
    <row r="1264">
      <c r="D1264" s="15"/>
      <c r="E1264" s="32" t="s">
        <v>157</v>
      </c>
      <c r="F1264" s="35" t="s">
        <v>196</v>
      </c>
      <c r="G1264" s="84" t="str">
        <f>HYPERLINK("https://docs.google.com/spreadsheets/d/1DLGaPzsH4fv4-83QwayPH8KYtuco6vZfPYY0bfl8FIU/edit#gid=161492602", "https://docs.google.com/spreadsheets/d/1DLGaPzsH4fv4-83QwayPH8KYtuco6vZfPYY0bfl8FIU/edit#gid=161492602")</f>
        <v>https://docs.google.com/spreadsheets/d/1DLGaPzsH4fv4-83QwayPH8KYtuco6vZfPYY0bfl8FIU/edit#gid=161492602</v>
      </c>
      <c r="H1264" s="35" t="s">
        <v>196</v>
      </c>
    </row>
    <row r="1265">
      <c r="D1265" s="15"/>
      <c r="E1265" s="32" t="s">
        <v>172</v>
      </c>
      <c r="F1265" s="35" t="s">
        <v>173</v>
      </c>
      <c r="G1265" s="84" t="str">
        <f>HYPERLINK("https://docs.google.com/spreadsheets/d/1DLGaPzsH4fv4-83QwayPH8KYtuco6vZfPYY0bfl8FIU/edit#gid=1013351301", "https://docs.google.com/spreadsheets/d/1DLGaPzsH4fv4-83QwayPH8KYtuco6vZfPYY0bfl8FIU/edit#gid=1013351301")</f>
        <v>https://docs.google.com/spreadsheets/d/1DLGaPzsH4fv4-83QwayPH8KYtuco6vZfPYY0bfl8FIU/edit#gid=1013351301</v>
      </c>
      <c r="H1265" s="35" t="s">
        <v>2054</v>
      </c>
    </row>
    <row r="1266">
      <c r="D1266" s="15"/>
      <c r="E1266" s="32" t="s">
        <v>172</v>
      </c>
      <c r="F1266" s="35" t="s">
        <v>402</v>
      </c>
      <c r="G1266" s="84" t="str">
        <f>HYPERLINK("https://docs.google.com/spreadsheets/d/1DLGaPzsH4fv4-83QwayPH8KYtuco6vZfPYY0bfl8FIU/edit#gid=1511870805", "https://docs.google.com/spreadsheets/d/1DLGaPzsH4fv4-83QwayPH8KYtuco6vZfPYY0bfl8FIU/edit#gid=1511870805")</f>
        <v>https://docs.google.com/spreadsheets/d/1DLGaPzsH4fv4-83QwayPH8KYtuco6vZfPYY0bfl8FIU/edit#gid=1511870805</v>
      </c>
      <c r="H1266" s="35" t="s">
        <v>2055</v>
      </c>
    </row>
    <row r="1267">
      <c r="D1267" s="15"/>
      <c r="E1267" s="32" t="s">
        <v>172</v>
      </c>
      <c r="F1267" s="35" t="s">
        <v>203</v>
      </c>
      <c r="G1267" s="84" t="str">
        <f>HYPERLINK("https://docs.google.com/spreadsheets/d/1DLGaPzsH4fv4-83QwayPH8KYtuco6vZfPYY0bfl8FIU/edit#gid=890852895", "https://docs.google.com/spreadsheets/d/1DLGaPzsH4fv4-83QwayPH8KYtuco6vZfPYY0bfl8FIU/edit#gid=890852895")</f>
        <v>https://docs.google.com/spreadsheets/d/1DLGaPzsH4fv4-83QwayPH8KYtuco6vZfPYY0bfl8FIU/edit#gid=890852895</v>
      </c>
      <c r="H1267" s="35" t="s">
        <v>1999</v>
      </c>
    </row>
    <row r="1268">
      <c r="D1268" s="15"/>
      <c r="E1268" s="32" t="s">
        <v>172</v>
      </c>
      <c r="F1268" s="35" t="s">
        <v>204</v>
      </c>
      <c r="G1268" s="84" t="str">
        <f>HYPERLINK("https://docs.google.com/spreadsheets/d/1DLGaPzsH4fv4-83QwayPH8KYtuco6vZfPYY0bfl8FIU/edit#gid=191943819", "https://docs.google.com/spreadsheets/d/1DLGaPzsH4fv4-83QwayPH8KYtuco6vZfPYY0bfl8FIU/edit#gid=191943819")</f>
        <v>https://docs.google.com/spreadsheets/d/1DLGaPzsH4fv4-83QwayPH8KYtuco6vZfPYY0bfl8FIU/edit#gid=191943819</v>
      </c>
      <c r="H1268" s="35" t="s">
        <v>2000</v>
      </c>
    </row>
    <row r="1269">
      <c r="D1269" s="15"/>
      <c r="E1269" s="32" t="s">
        <v>178</v>
      </c>
      <c r="F1269" s="35" t="s">
        <v>207</v>
      </c>
      <c r="G1269" s="84" t="str">
        <f>HYPERLINK("https://docs.google.com/spreadsheets/d/1DLGaPzsH4fv4-83QwayPH8KYtuco6vZfPYY0bfl8FIU/edit#gid=913205360", "https://docs.google.com/spreadsheets/d/1DLGaPzsH4fv4-83QwayPH8KYtuco6vZfPYY0bfl8FIU/edit#gid=913205360")</f>
        <v>https://docs.google.com/spreadsheets/d/1DLGaPzsH4fv4-83QwayPH8KYtuco6vZfPYY0bfl8FIU/edit#gid=913205360</v>
      </c>
      <c r="H1269" s="35" t="s">
        <v>2001</v>
      </c>
    </row>
    <row r="1270">
      <c r="D1270" s="15"/>
      <c r="E1270" s="32" t="s">
        <v>178</v>
      </c>
      <c r="F1270" s="35" t="s">
        <v>208</v>
      </c>
      <c r="G1270" s="84" t="str">
        <f>HYPERLINK("https://docs.google.com/spreadsheets/d/1DLGaPzsH4fv4-83QwayPH8KYtuco6vZfPYY0bfl8FIU/edit#gid=1857994994", "https://docs.google.com/spreadsheets/d/1DLGaPzsH4fv4-83QwayPH8KYtuco6vZfPYY0bfl8FIU/edit#gid=1857994994")</f>
        <v>https://docs.google.com/spreadsheets/d/1DLGaPzsH4fv4-83QwayPH8KYtuco6vZfPYY0bfl8FIU/edit#gid=1857994994</v>
      </c>
      <c r="H1270" s="35" t="s">
        <v>2002</v>
      </c>
    </row>
    <row r="1271">
      <c r="D1271" s="15"/>
      <c r="E1271" s="32" t="s">
        <v>178</v>
      </c>
      <c r="F1271" s="35" t="s">
        <v>182</v>
      </c>
      <c r="G1271" s="84" t="str">
        <f>HYPERLINK("https://docs.google.com/spreadsheets/d/1DLGaPzsH4fv4-83QwayPH8KYtuco6vZfPYY0bfl8FIU/edit#gid=333546366", "https://docs.google.com/spreadsheets/d/1DLGaPzsH4fv4-83QwayPH8KYtuco6vZfPYY0bfl8FIU/edit#gid=333546366")</f>
        <v>https://docs.google.com/spreadsheets/d/1DLGaPzsH4fv4-83QwayPH8KYtuco6vZfPYY0bfl8FIU/edit#gid=333546366</v>
      </c>
      <c r="H1271" s="35" t="s">
        <v>2003</v>
      </c>
    </row>
    <row r="1272">
      <c r="D1272" s="15"/>
      <c r="E1272" s="32" t="s">
        <v>178</v>
      </c>
      <c r="F1272" s="35" t="s">
        <v>180</v>
      </c>
      <c r="G1272" s="84" t="str">
        <f>HYPERLINK("https://docs.google.com/spreadsheets/d/1DLGaPzsH4fv4-83QwayPH8KYtuco6vZfPYY0bfl8FIU/edit#gid=1541728323", "https://docs.google.com/spreadsheets/d/1DLGaPzsH4fv4-83QwayPH8KYtuco6vZfPYY0bfl8FIU/edit#gid=1541728323")</f>
        <v>https://docs.google.com/spreadsheets/d/1DLGaPzsH4fv4-83QwayPH8KYtuco6vZfPYY0bfl8FIU/edit#gid=1541728323</v>
      </c>
      <c r="H1272" s="35" t="s">
        <v>2009</v>
      </c>
    </row>
    <row r="1273">
      <c r="D1273" s="15"/>
      <c r="E1273" s="32" t="s">
        <v>178</v>
      </c>
      <c r="F1273" s="35" t="s">
        <v>209</v>
      </c>
      <c r="G1273" s="84" t="str">
        <f>HYPERLINK("https://docs.google.com/spreadsheets/d/1DLGaPzsH4fv4-83QwayPH8KYtuco6vZfPYY0bfl8FIU/edit#gid=1638898548", "https://docs.google.com/spreadsheets/d/1DLGaPzsH4fv4-83QwayPH8KYtuco6vZfPYY0bfl8FIU/edit#gid=1638898548")</f>
        <v>https://docs.google.com/spreadsheets/d/1DLGaPzsH4fv4-83QwayPH8KYtuco6vZfPYY0bfl8FIU/edit#gid=1638898548</v>
      </c>
      <c r="H1273" s="35" t="s">
        <v>1986</v>
      </c>
    </row>
    <row r="1274">
      <c r="D1274" s="15"/>
      <c r="E1274" s="32" t="s">
        <v>178</v>
      </c>
      <c r="F1274" s="35" t="s">
        <v>210</v>
      </c>
      <c r="G1274" s="84" t="str">
        <f>HYPERLINK("https://docs.google.com/spreadsheets/d/1DLGaPzsH4fv4-83QwayPH8KYtuco6vZfPYY0bfl8FIU/edit#gid=1250023663", "https://docs.google.com/spreadsheets/d/1DLGaPzsH4fv4-83QwayPH8KYtuco6vZfPYY0bfl8FIU/edit#gid=1250023663")</f>
        <v>https://docs.google.com/spreadsheets/d/1DLGaPzsH4fv4-83QwayPH8KYtuco6vZfPYY0bfl8FIU/edit#gid=1250023663</v>
      </c>
      <c r="H1274" s="35" t="s">
        <v>1987</v>
      </c>
    </row>
    <row r="1275">
      <c r="D1275" s="15"/>
      <c r="E1275" s="32" t="s">
        <v>86</v>
      </c>
      <c r="F1275" s="35" t="s">
        <v>90</v>
      </c>
      <c r="G1275" s="84" t="str">
        <f>HYPERLINK("https://docs.google.com/spreadsheets/d/1DLGaPzsH4fv4-83QwayPH8KYtuco6vZfPYY0bfl8FIU/edit#gid=1496950403", "https://docs.google.com/spreadsheets/d/1DLGaPzsH4fv4-83QwayPH8KYtuco6vZfPYY0bfl8FIU/edit#gid=1496950403")</f>
        <v>https://docs.google.com/spreadsheets/d/1DLGaPzsH4fv4-83QwayPH8KYtuco6vZfPYY0bfl8FIU/edit#gid=1496950403</v>
      </c>
      <c r="H1275" s="35" t="s">
        <v>2022</v>
      </c>
    </row>
    <row r="1276">
      <c r="D1276" s="15"/>
      <c r="E1276" s="32" t="s">
        <v>86</v>
      </c>
      <c r="F1276" s="35" t="s">
        <v>338</v>
      </c>
      <c r="G1276" s="84" t="str">
        <f>HYPERLINK("https://docs.google.com/spreadsheets/d/1DLGaPzsH4fv4-83QwayPH8KYtuco6vZfPYY0bfl8FIU/edit#gid=1491801041", "https://docs.google.com/spreadsheets/d/1DLGaPzsH4fv4-83QwayPH8KYtuco6vZfPYY0bfl8FIU/edit#gid=1491801041")</f>
        <v>https://docs.google.com/spreadsheets/d/1DLGaPzsH4fv4-83QwayPH8KYtuco6vZfPYY0bfl8FIU/edit#gid=1491801041</v>
      </c>
      <c r="H1276" s="35" t="s">
        <v>338</v>
      </c>
    </row>
    <row r="1277">
      <c r="D1277" s="15"/>
      <c r="E1277" s="32" t="s">
        <v>88</v>
      </c>
      <c r="F1277" s="35" t="s">
        <v>95</v>
      </c>
      <c r="G1277" s="84" t="str">
        <f>HYPERLINK("https://docs.google.com/spreadsheets/d/1DLGaPzsH4fv4-83QwayPH8KYtuco6vZfPYY0bfl8FIU/edit#gid=1522053489", "https://docs.google.com/spreadsheets/d/1DLGaPzsH4fv4-83QwayPH8KYtuco6vZfPYY0bfl8FIU/edit#gid=1522053489")</f>
        <v>https://docs.google.com/spreadsheets/d/1DLGaPzsH4fv4-83QwayPH8KYtuco6vZfPYY0bfl8FIU/edit#gid=1522053489</v>
      </c>
      <c r="H1277" s="35" t="s">
        <v>95</v>
      </c>
    </row>
    <row r="1278">
      <c r="D1278" s="15"/>
      <c r="E1278" s="32" t="s">
        <v>88</v>
      </c>
      <c r="F1278" s="35" t="s">
        <v>96</v>
      </c>
      <c r="G1278" s="84" t="str">
        <f>HYPERLINK("https://docs.google.com/spreadsheets/d/1DLGaPzsH4fv4-83QwayPH8KYtuco6vZfPYY0bfl8FIU/edit#gid=408645564", "https://docs.google.com/spreadsheets/d/1DLGaPzsH4fv4-83QwayPH8KYtuco6vZfPYY0bfl8FIU/edit#gid=408645564")</f>
        <v>https://docs.google.com/spreadsheets/d/1DLGaPzsH4fv4-83QwayPH8KYtuco6vZfPYY0bfl8FIU/edit#gid=408645564</v>
      </c>
      <c r="H1278" s="35" t="s">
        <v>96</v>
      </c>
    </row>
    <row r="1279">
      <c r="D1279" s="15"/>
      <c r="E1279" s="32"/>
      <c r="F1279" s="35"/>
      <c r="H1279" s="35"/>
    </row>
    <row r="1280">
      <c r="B1280" s="35" t="s">
        <v>2126</v>
      </c>
      <c r="C1280" s="35" t="s">
        <v>2127</v>
      </c>
      <c r="D1280" s="32" t="s">
        <v>20</v>
      </c>
      <c r="E1280" s="32" t="s">
        <v>89</v>
      </c>
      <c r="F1280" s="35" t="s">
        <v>291</v>
      </c>
      <c r="H1280" s="36"/>
    </row>
    <row r="1281">
      <c r="B1281" s="35" t="s">
        <v>2128</v>
      </c>
      <c r="C1281" s="210" t="s">
        <v>2129</v>
      </c>
      <c r="D1281" s="32" t="s">
        <v>20</v>
      </c>
      <c r="E1281" s="32" t="s">
        <v>178</v>
      </c>
      <c r="F1281" s="35" t="s">
        <v>201</v>
      </c>
      <c r="G1281" s="84" t="str">
        <f>HYPERLINK("https://docs.google.com/spreadsheets/d/156m_Xa7tclktShfswnV5Z_sP15pqOtsaJXobdyZ4-0U/edit#gid=1655591400", "https://docs.google.com/spreadsheets/d/156m_Xa7tclktShfswnV5Z_sP15pqOtsaJXobdyZ4-0U/edit#gid=1655591400")</f>
        <v>https://docs.google.com/spreadsheets/d/156m_Xa7tclktShfswnV5Z_sP15pqOtsaJXobdyZ4-0U/edit#gid=1655591400</v>
      </c>
      <c r="H1281" s="35" t="s">
        <v>201</v>
      </c>
    </row>
    <row r="1282">
      <c r="D1282" s="15"/>
      <c r="E1282" s="32" t="s">
        <v>178</v>
      </c>
      <c r="F1282" s="35" t="s">
        <v>202</v>
      </c>
      <c r="G1282" s="84" t="str">
        <f>HYPERLINK("https://docs.google.com/spreadsheets/d/156m_Xa7tclktShfswnV5Z_sP15pqOtsaJXobdyZ4-0U/edit#gid=1791550180", "https://docs.google.com/spreadsheets/d/156m_Xa7tclktShfswnV5Z_sP15pqOtsaJXobdyZ4-0U/edit#gid=1791550180")</f>
        <v>https://docs.google.com/spreadsheets/d/156m_Xa7tclktShfswnV5Z_sP15pqOtsaJXobdyZ4-0U/edit#gid=1791550180</v>
      </c>
      <c r="H1282" s="35" t="s">
        <v>202</v>
      </c>
    </row>
    <row r="1283">
      <c r="D1283" s="15"/>
      <c r="E1283" s="32" t="s">
        <v>178</v>
      </c>
      <c r="F1283" s="35" t="s">
        <v>202</v>
      </c>
      <c r="G1283" s="84" t="str">
        <f>HYPERLINK("https://docs.google.com/spreadsheets/d/156m_Xa7tclktShfswnV5Z_sP15pqOtsaJXobdyZ4-0U/edit#gid=676723309", "https://docs.google.com/spreadsheets/d/156m_Xa7tclktShfswnV5Z_sP15pqOtsaJXobdyZ4-0U/edit#gid=676723309")</f>
        <v>https://docs.google.com/spreadsheets/d/156m_Xa7tclktShfswnV5Z_sP15pqOtsaJXobdyZ4-0U/edit#gid=676723309</v>
      </c>
      <c r="H1283" s="35" t="s">
        <v>2025</v>
      </c>
    </row>
    <row r="1284">
      <c r="D1284" s="15"/>
      <c r="E1284" s="32" t="s">
        <v>21</v>
      </c>
      <c r="F1284" s="35" t="s">
        <v>51</v>
      </c>
      <c r="G1284" s="84" t="str">
        <f>HYPERLINK("https://docs.google.com/spreadsheets/d/156m_Xa7tclktShfswnV5Z_sP15pqOtsaJXobdyZ4-0U/edit#gid=2021994174", "https://docs.google.com/spreadsheets/d/156m_Xa7tclktShfswnV5Z_sP15pqOtsaJXobdyZ4-0U/edit#gid=2021994174")</f>
        <v>https://docs.google.com/spreadsheets/d/156m_Xa7tclktShfswnV5Z_sP15pqOtsaJXobdyZ4-0U/edit#gid=2021994174</v>
      </c>
      <c r="H1284" s="35" t="s">
        <v>51</v>
      </c>
    </row>
    <row r="1285">
      <c r="D1285" s="15"/>
      <c r="E1285" s="32" t="s">
        <v>172</v>
      </c>
      <c r="F1285" s="35" t="s">
        <v>173</v>
      </c>
      <c r="G1285" s="84" t="str">
        <f>HYPERLINK("https://docs.google.com/spreadsheets/d/156m_Xa7tclktShfswnV5Z_sP15pqOtsaJXobdyZ4-0U/edit#gid=1245419570", "https://docs.google.com/spreadsheets/d/156m_Xa7tclktShfswnV5Z_sP15pqOtsaJXobdyZ4-0U/edit#gid=1245419570")</f>
        <v>https://docs.google.com/spreadsheets/d/156m_Xa7tclktShfswnV5Z_sP15pqOtsaJXobdyZ4-0U/edit#gid=1245419570</v>
      </c>
      <c r="H1285" s="35" t="s">
        <v>173</v>
      </c>
    </row>
    <row r="1286">
      <c r="D1286" s="15"/>
      <c r="E1286" s="32" t="s">
        <v>172</v>
      </c>
      <c r="F1286" s="35" t="s">
        <v>402</v>
      </c>
      <c r="G1286" s="84" t="str">
        <f>HYPERLINK("https://docs.google.com/spreadsheets/d/156m_Xa7tclktShfswnV5Z_sP15pqOtsaJXobdyZ4-0U/edit#gid=508906527", "https://docs.google.com/spreadsheets/d/156m_Xa7tclktShfswnV5Z_sP15pqOtsaJXobdyZ4-0U/edit#gid=508906527")</f>
        <v>https://docs.google.com/spreadsheets/d/156m_Xa7tclktShfswnV5Z_sP15pqOtsaJXobdyZ4-0U/edit#gid=508906527</v>
      </c>
      <c r="H1286" s="35" t="s">
        <v>402</v>
      </c>
    </row>
    <row r="1287">
      <c r="D1287" s="15"/>
      <c r="E1287" s="32" t="s">
        <v>172</v>
      </c>
      <c r="F1287" s="35" t="s">
        <v>203</v>
      </c>
      <c r="G1287" s="84" t="str">
        <f>HYPERLINK("https://docs.google.com/spreadsheets/d/156m_Xa7tclktShfswnV5Z_sP15pqOtsaJXobdyZ4-0U/edit#gid=430204299", "https://docs.google.com/spreadsheets/d/156m_Xa7tclktShfswnV5Z_sP15pqOtsaJXobdyZ4-0U/edit#gid=430204299")</f>
        <v>https://docs.google.com/spreadsheets/d/156m_Xa7tclktShfswnV5Z_sP15pqOtsaJXobdyZ4-0U/edit#gid=430204299</v>
      </c>
      <c r="H1287" s="35" t="s">
        <v>203</v>
      </c>
    </row>
    <row r="1288">
      <c r="D1288" s="15"/>
      <c r="E1288" s="32" t="s">
        <v>172</v>
      </c>
      <c r="F1288" s="35" t="s">
        <v>204</v>
      </c>
      <c r="G1288" s="84" t="str">
        <f>HYPERLINK("https://docs.google.com/spreadsheets/d/156m_Xa7tclktShfswnV5Z_sP15pqOtsaJXobdyZ4-0U/edit#gid=1794483040", "https://docs.google.com/spreadsheets/d/156m_Xa7tclktShfswnV5Z_sP15pqOtsaJXobdyZ4-0U/edit#gid=1794483040")</f>
        <v>https://docs.google.com/spreadsheets/d/156m_Xa7tclktShfswnV5Z_sP15pqOtsaJXobdyZ4-0U/edit#gid=1794483040</v>
      </c>
      <c r="H1288" s="35" t="s">
        <v>204</v>
      </c>
    </row>
    <row r="1289">
      <c r="D1289" s="15"/>
      <c r="E1289" s="32" t="s">
        <v>178</v>
      </c>
      <c r="F1289" s="35" t="s">
        <v>205</v>
      </c>
      <c r="G1289" s="84" t="str">
        <f>HYPERLINK("https://docs.google.com/spreadsheets/d/156m_Xa7tclktShfswnV5Z_sP15pqOtsaJXobdyZ4-0U/edit#gid=655014351", "https://docs.google.com/spreadsheets/d/156m_Xa7tclktShfswnV5Z_sP15pqOtsaJXobdyZ4-0U/edit#gid=655014351")</f>
        <v>https://docs.google.com/spreadsheets/d/156m_Xa7tclktShfswnV5Z_sP15pqOtsaJXobdyZ4-0U/edit#gid=655014351</v>
      </c>
      <c r="H1289" s="35" t="s">
        <v>205</v>
      </c>
    </row>
    <row r="1290">
      <c r="D1290" s="15"/>
      <c r="E1290" s="32" t="s">
        <v>178</v>
      </c>
      <c r="F1290" s="35" t="s">
        <v>206</v>
      </c>
      <c r="H1290" s="36"/>
    </row>
    <row r="1291">
      <c r="D1291" s="15"/>
      <c r="E1291" s="32" t="s">
        <v>178</v>
      </c>
      <c r="F1291" s="35" t="s">
        <v>207</v>
      </c>
      <c r="G1291" s="84" t="str">
        <f>HYPERLINK("https://docs.google.com/spreadsheets/d/156m_Xa7tclktShfswnV5Z_sP15pqOtsaJXobdyZ4-0U/edit#gid=1046361427", "https://docs.google.com/spreadsheets/d/156m_Xa7tclktShfswnV5Z_sP15pqOtsaJXobdyZ4-0U/edit#gid=1046361427")</f>
        <v>https://docs.google.com/spreadsheets/d/156m_Xa7tclktShfswnV5Z_sP15pqOtsaJXobdyZ4-0U/edit#gid=1046361427</v>
      </c>
      <c r="H1291" s="35" t="s">
        <v>207</v>
      </c>
    </row>
    <row r="1292">
      <c r="D1292" s="15"/>
      <c r="E1292" s="32" t="s">
        <v>21</v>
      </c>
      <c r="F1292" s="35" t="s">
        <v>51</v>
      </c>
      <c r="G1292" s="84" t="str">
        <f>HYPERLINK("https://docs.google.com/spreadsheets/d/156m_Xa7tclktShfswnV5Z_sP15pqOtsaJXobdyZ4-0U/edit#gid=1068370573", "https://docs.google.com/spreadsheets/d/156m_Xa7tclktShfswnV5Z_sP15pqOtsaJXobdyZ4-0U/edit#gid=1068370573")</f>
        <v>https://docs.google.com/spreadsheets/d/156m_Xa7tclktShfswnV5Z_sP15pqOtsaJXobdyZ4-0U/edit#gid=1068370573</v>
      </c>
      <c r="H1292" s="35" t="s">
        <v>1383</v>
      </c>
    </row>
    <row r="1293">
      <c r="D1293" s="15"/>
      <c r="E1293" s="32" t="s">
        <v>86</v>
      </c>
      <c r="F1293" s="35" t="s">
        <v>90</v>
      </c>
      <c r="G1293" s="84" t="str">
        <f>HYPERLINK("https://docs.google.com/spreadsheets/d/156m_Xa7tclktShfswnV5Z_sP15pqOtsaJXobdyZ4-0U/edit#gid=1246978965", "https://docs.google.com/spreadsheets/d/156m_Xa7tclktShfswnV5Z_sP15pqOtsaJXobdyZ4-0U/edit#gid=1246978965")</f>
        <v>https://docs.google.com/spreadsheets/d/156m_Xa7tclktShfswnV5Z_sP15pqOtsaJXobdyZ4-0U/edit#gid=1246978965</v>
      </c>
      <c r="H1293" s="35" t="s">
        <v>90</v>
      </c>
    </row>
    <row r="1294">
      <c r="D1294" s="15"/>
      <c r="E1294" s="32" t="s">
        <v>86</v>
      </c>
      <c r="F1294" s="35" t="s">
        <v>339</v>
      </c>
      <c r="G1294" s="84" t="str">
        <f>HYPERLINK("https://docs.google.com/spreadsheets/d/156m_Xa7tclktShfswnV5Z_sP15pqOtsaJXobdyZ4-0U/edit#gid=2135266410", "https://docs.google.com/spreadsheets/d/156m_Xa7tclktShfswnV5Z_sP15pqOtsaJXobdyZ4-0U/edit#gid=2135266410")</f>
        <v>https://docs.google.com/spreadsheets/d/156m_Xa7tclktShfswnV5Z_sP15pqOtsaJXobdyZ4-0U/edit#gid=2135266410</v>
      </c>
      <c r="H1294" s="35" t="s">
        <v>339</v>
      </c>
    </row>
    <row r="1295">
      <c r="D1295" s="15"/>
      <c r="E1295" s="32" t="s">
        <v>172</v>
      </c>
      <c r="F1295" s="35" t="s">
        <v>173</v>
      </c>
      <c r="G1295" s="84" t="str">
        <f>HYPERLINK("https://docs.google.com/spreadsheets/d/156m_Xa7tclktShfswnV5Z_sP15pqOtsaJXobdyZ4-0U/edit#gid=1165193144", "https://docs.google.com/spreadsheets/d/156m_Xa7tclktShfswnV5Z_sP15pqOtsaJXobdyZ4-0U/edit#gid=1165193144")</f>
        <v>https://docs.google.com/spreadsheets/d/156m_Xa7tclktShfswnV5Z_sP15pqOtsaJXobdyZ4-0U/edit#gid=1165193144</v>
      </c>
      <c r="H1295" s="35" t="s">
        <v>269</v>
      </c>
    </row>
    <row r="1296">
      <c r="D1296" s="15"/>
      <c r="E1296" s="32" t="s">
        <v>172</v>
      </c>
      <c r="F1296" s="35" t="s">
        <v>402</v>
      </c>
      <c r="G1296" s="84" t="str">
        <f>HYPERLINK("https://docs.google.com/spreadsheets/d/156m_Xa7tclktShfswnV5Z_sP15pqOtsaJXobdyZ4-0U/edit#gid=769426010", "https://docs.google.com/spreadsheets/d/156m_Xa7tclktShfswnV5Z_sP15pqOtsaJXobdyZ4-0U/edit#gid=769426010")</f>
        <v>https://docs.google.com/spreadsheets/d/156m_Xa7tclktShfswnV5Z_sP15pqOtsaJXobdyZ4-0U/edit#gid=769426010</v>
      </c>
      <c r="H1296" s="35" t="s">
        <v>2053</v>
      </c>
    </row>
    <row r="1297">
      <c r="D1297" s="15"/>
      <c r="E1297" s="32" t="s">
        <v>172</v>
      </c>
      <c r="F1297" s="35" t="s">
        <v>203</v>
      </c>
      <c r="G1297" s="84" t="str">
        <f>HYPERLINK("https://docs.google.com/spreadsheets/d/156m_Xa7tclktShfswnV5Z_sP15pqOtsaJXobdyZ4-0U/edit#gid=1160685115", "https://docs.google.com/spreadsheets/d/156m_Xa7tclktShfswnV5Z_sP15pqOtsaJXobdyZ4-0U/edit#gid=1160685115")</f>
        <v>https://docs.google.com/spreadsheets/d/156m_Xa7tclktShfswnV5Z_sP15pqOtsaJXobdyZ4-0U/edit#gid=1160685115</v>
      </c>
      <c r="H1297" s="35" t="s">
        <v>1995</v>
      </c>
    </row>
    <row r="1298">
      <c r="D1298" s="15"/>
      <c r="E1298" s="32" t="s">
        <v>172</v>
      </c>
      <c r="F1298" s="35" t="s">
        <v>204</v>
      </c>
      <c r="G1298" s="84" t="str">
        <f>HYPERLINK("https://docs.google.com/spreadsheets/d/156m_Xa7tclktShfswnV5Z_sP15pqOtsaJXobdyZ4-0U/edit#gid=254919551", "https://docs.google.com/spreadsheets/d/156m_Xa7tclktShfswnV5Z_sP15pqOtsaJXobdyZ4-0U/edit#gid=254919551")</f>
        <v>https://docs.google.com/spreadsheets/d/156m_Xa7tclktShfswnV5Z_sP15pqOtsaJXobdyZ4-0U/edit#gid=254919551</v>
      </c>
      <c r="H1298" s="35" t="s">
        <v>1996</v>
      </c>
    </row>
    <row r="1299">
      <c r="D1299" s="15"/>
      <c r="E1299" s="32" t="s">
        <v>178</v>
      </c>
      <c r="F1299" s="35" t="s">
        <v>205</v>
      </c>
      <c r="G1299" s="84" t="str">
        <f>HYPERLINK("https://docs.google.com/spreadsheets/d/156m_Xa7tclktShfswnV5Z_sP15pqOtsaJXobdyZ4-0U/edit#gid=360978237", "https://docs.google.com/spreadsheets/d/156m_Xa7tclktShfswnV5Z_sP15pqOtsaJXobdyZ4-0U/edit#gid=360978237")</f>
        <v>https://docs.google.com/spreadsheets/d/156m_Xa7tclktShfswnV5Z_sP15pqOtsaJXobdyZ4-0U/edit#gid=360978237</v>
      </c>
      <c r="H1299" s="35" t="s">
        <v>1997</v>
      </c>
    </row>
    <row r="1300">
      <c r="D1300" s="15"/>
      <c r="E1300" s="32" t="s">
        <v>178</v>
      </c>
      <c r="F1300" s="35" t="s">
        <v>206</v>
      </c>
      <c r="H1300" s="36"/>
    </row>
    <row r="1301">
      <c r="D1301" s="15"/>
      <c r="E1301" s="32" t="s">
        <v>178</v>
      </c>
      <c r="F1301" s="35" t="s">
        <v>207</v>
      </c>
      <c r="G1301" s="84" t="str">
        <f>HYPERLINK("https://docs.google.com/spreadsheets/d/156m_Xa7tclktShfswnV5Z_sP15pqOtsaJXobdyZ4-0U/edit#gid=796366937", "https://docs.google.com/spreadsheets/d/156m_Xa7tclktShfswnV5Z_sP15pqOtsaJXobdyZ4-0U/edit#gid=796366937")</f>
        <v>https://docs.google.com/spreadsheets/d/156m_Xa7tclktShfswnV5Z_sP15pqOtsaJXobdyZ4-0U/edit#gid=796366937</v>
      </c>
      <c r="H1301" s="35" t="s">
        <v>1998</v>
      </c>
    </row>
    <row r="1302">
      <c r="D1302" s="15"/>
      <c r="E1302" s="32" t="s">
        <v>178</v>
      </c>
      <c r="F1302" s="35" t="s">
        <v>208</v>
      </c>
      <c r="G1302" s="84" t="str">
        <f>HYPERLINK("https://docs.google.com/spreadsheets/d/156m_Xa7tclktShfswnV5Z_sP15pqOtsaJXobdyZ4-0U/edit#gid=1837801143", "https://docs.google.com/spreadsheets/d/156m_Xa7tclktShfswnV5Z_sP15pqOtsaJXobdyZ4-0U/edit#gid=1837801143")</f>
        <v>https://docs.google.com/spreadsheets/d/156m_Xa7tclktShfswnV5Z_sP15pqOtsaJXobdyZ4-0U/edit#gid=1837801143</v>
      </c>
      <c r="H1302" s="35" t="s">
        <v>208</v>
      </c>
    </row>
    <row r="1303">
      <c r="D1303" s="15"/>
      <c r="E1303" s="32" t="s">
        <v>178</v>
      </c>
      <c r="F1303" s="35" t="s">
        <v>182</v>
      </c>
      <c r="G1303" s="84" t="str">
        <f>HYPERLINK("https://docs.google.com/spreadsheets/d/156m_Xa7tclktShfswnV5Z_sP15pqOtsaJXobdyZ4-0U/edit#gid=1981901660", "https://docs.google.com/spreadsheets/d/156m_Xa7tclktShfswnV5Z_sP15pqOtsaJXobdyZ4-0U/edit#gid=1981901660")</f>
        <v>https://docs.google.com/spreadsheets/d/156m_Xa7tclktShfswnV5Z_sP15pqOtsaJXobdyZ4-0U/edit#gid=1981901660</v>
      </c>
      <c r="H1303" s="35" t="s">
        <v>182</v>
      </c>
    </row>
    <row r="1304">
      <c r="D1304" s="15"/>
      <c r="E1304" s="32" t="s">
        <v>178</v>
      </c>
      <c r="F1304" s="35" t="s">
        <v>180</v>
      </c>
      <c r="G1304" s="84" t="str">
        <f>HYPERLINK("https://docs.google.com/spreadsheets/d/156m_Xa7tclktShfswnV5Z_sP15pqOtsaJXobdyZ4-0U/edit#gid=91268238", "https://docs.google.com/spreadsheets/d/156m_Xa7tclktShfswnV5Z_sP15pqOtsaJXobdyZ4-0U/edit#gid=91268238")</f>
        <v>https://docs.google.com/spreadsheets/d/156m_Xa7tclktShfswnV5Z_sP15pqOtsaJXobdyZ4-0U/edit#gid=91268238</v>
      </c>
      <c r="H1304" s="35" t="s">
        <v>180</v>
      </c>
    </row>
    <row r="1305">
      <c r="D1305" s="15"/>
      <c r="E1305" s="32" t="s">
        <v>178</v>
      </c>
      <c r="F1305" s="35" t="s">
        <v>209</v>
      </c>
      <c r="G1305" s="84" t="str">
        <f>HYPERLINK("https://docs.google.com/spreadsheets/d/156m_Xa7tclktShfswnV5Z_sP15pqOtsaJXobdyZ4-0U/edit#gid=1555640115", "https://docs.google.com/spreadsheets/d/156m_Xa7tclktShfswnV5Z_sP15pqOtsaJXobdyZ4-0U/edit#gid=1555640115")</f>
        <v>https://docs.google.com/spreadsheets/d/156m_Xa7tclktShfswnV5Z_sP15pqOtsaJXobdyZ4-0U/edit#gid=1555640115</v>
      </c>
      <c r="H1305" s="35" t="s">
        <v>209</v>
      </c>
    </row>
    <row r="1306">
      <c r="D1306" s="15"/>
      <c r="E1306" s="32" t="s">
        <v>178</v>
      </c>
      <c r="F1306" s="35" t="s">
        <v>210</v>
      </c>
      <c r="G1306" s="84" t="str">
        <f>HYPERLINK("https://docs.google.com/spreadsheets/d/156m_Xa7tclktShfswnV5Z_sP15pqOtsaJXobdyZ4-0U/edit#gid=1599538098", "https://docs.google.com/spreadsheets/d/156m_Xa7tclktShfswnV5Z_sP15pqOtsaJXobdyZ4-0U/edit#gid=1599538098")</f>
        <v>https://docs.google.com/spreadsheets/d/156m_Xa7tclktShfswnV5Z_sP15pqOtsaJXobdyZ4-0U/edit#gid=1599538098</v>
      </c>
      <c r="H1306" s="35" t="s">
        <v>210</v>
      </c>
    </row>
    <row r="1307">
      <c r="D1307" s="15"/>
      <c r="E1307" s="32" t="s">
        <v>157</v>
      </c>
      <c r="F1307" s="35" t="s">
        <v>161</v>
      </c>
      <c r="G1307" s="84" t="str">
        <f>HYPERLINK("https://docs.google.com/spreadsheets/d/156m_Xa7tclktShfswnV5Z_sP15pqOtsaJXobdyZ4-0U/edit#gid=1655296209", "https://docs.google.com/spreadsheets/d/156m_Xa7tclktShfswnV5Z_sP15pqOtsaJXobdyZ4-0U/edit#gid=1655296209")</f>
        <v>https://docs.google.com/spreadsheets/d/156m_Xa7tclktShfswnV5Z_sP15pqOtsaJXobdyZ4-0U/edit#gid=1655296209</v>
      </c>
      <c r="H1307" s="35" t="s">
        <v>161</v>
      </c>
    </row>
    <row r="1308">
      <c r="D1308" s="15"/>
      <c r="E1308" s="32" t="s">
        <v>157</v>
      </c>
      <c r="F1308" s="35" t="s">
        <v>158</v>
      </c>
      <c r="G1308" s="84" t="str">
        <f>HYPERLINK("https://docs.google.com/spreadsheets/d/156m_Xa7tclktShfswnV5Z_sP15pqOtsaJXobdyZ4-0U/edit#gid=440101285", "https://docs.google.com/spreadsheets/d/156m_Xa7tclktShfswnV5Z_sP15pqOtsaJXobdyZ4-0U/edit#gid=440101285")</f>
        <v>https://docs.google.com/spreadsheets/d/156m_Xa7tclktShfswnV5Z_sP15pqOtsaJXobdyZ4-0U/edit#gid=440101285</v>
      </c>
      <c r="H1308" s="35" t="s">
        <v>158</v>
      </c>
    </row>
    <row r="1309">
      <c r="D1309" s="15"/>
      <c r="E1309" s="32" t="s">
        <v>157</v>
      </c>
      <c r="F1309" s="35" t="s">
        <v>196</v>
      </c>
      <c r="G1309" s="84" t="str">
        <f>HYPERLINK("https://docs.google.com/spreadsheets/d/156m_Xa7tclktShfswnV5Z_sP15pqOtsaJXobdyZ4-0U/edit#gid=1739985214", "https://docs.google.com/spreadsheets/d/156m_Xa7tclktShfswnV5Z_sP15pqOtsaJXobdyZ4-0U/edit#gid=1739985214")</f>
        <v>https://docs.google.com/spreadsheets/d/156m_Xa7tclktShfswnV5Z_sP15pqOtsaJXobdyZ4-0U/edit#gid=1739985214</v>
      </c>
      <c r="H1309" s="35" t="s">
        <v>196</v>
      </c>
    </row>
    <row r="1310">
      <c r="D1310" s="15"/>
      <c r="E1310" s="32" t="s">
        <v>172</v>
      </c>
      <c r="F1310" s="35" t="s">
        <v>173</v>
      </c>
      <c r="G1310" s="84" t="str">
        <f>HYPERLINK("https://docs.google.com/spreadsheets/d/156m_Xa7tclktShfswnV5Z_sP15pqOtsaJXobdyZ4-0U/edit#gid=1918083502", "https://docs.google.com/spreadsheets/d/156m_Xa7tclktShfswnV5Z_sP15pqOtsaJXobdyZ4-0U/edit#gid=1918083502")</f>
        <v>https://docs.google.com/spreadsheets/d/156m_Xa7tclktShfswnV5Z_sP15pqOtsaJXobdyZ4-0U/edit#gid=1918083502</v>
      </c>
      <c r="H1310" s="35" t="s">
        <v>2054</v>
      </c>
    </row>
    <row r="1311">
      <c r="D1311" s="15"/>
      <c r="E1311" s="32" t="s">
        <v>172</v>
      </c>
      <c r="F1311" s="35" t="s">
        <v>402</v>
      </c>
      <c r="G1311" s="84" t="str">
        <f>HYPERLINK("https://docs.google.com/spreadsheets/d/156m_Xa7tclktShfswnV5Z_sP15pqOtsaJXobdyZ4-0U/edit#gid=55416555", "https://docs.google.com/spreadsheets/d/156m_Xa7tclktShfswnV5Z_sP15pqOtsaJXobdyZ4-0U/edit#gid=55416555")</f>
        <v>https://docs.google.com/spreadsheets/d/156m_Xa7tclktShfswnV5Z_sP15pqOtsaJXobdyZ4-0U/edit#gid=55416555</v>
      </c>
      <c r="H1311" s="35" t="s">
        <v>2055</v>
      </c>
    </row>
    <row r="1312">
      <c r="D1312" s="15"/>
      <c r="E1312" s="32" t="s">
        <v>172</v>
      </c>
      <c r="F1312" s="35" t="s">
        <v>203</v>
      </c>
      <c r="G1312" s="84" t="str">
        <f>HYPERLINK("https://docs.google.com/spreadsheets/d/156m_Xa7tclktShfswnV5Z_sP15pqOtsaJXobdyZ4-0U/edit#gid=584264028", "https://docs.google.com/spreadsheets/d/156m_Xa7tclktShfswnV5Z_sP15pqOtsaJXobdyZ4-0U/edit#gid=584264028")</f>
        <v>https://docs.google.com/spreadsheets/d/156m_Xa7tclktShfswnV5Z_sP15pqOtsaJXobdyZ4-0U/edit#gid=584264028</v>
      </c>
      <c r="H1312" s="35" t="s">
        <v>1999</v>
      </c>
    </row>
    <row r="1313">
      <c r="D1313" s="15"/>
      <c r="E1313" s="32" t="s">
        <v>172</v>
      </c>
      <c r="F1313" s="35" t="s">
        <v>204</v>
      </c>
      <c r="G1313" s="84" t="str">
        <f>HYPERLINK("https://docs.google.com/spreadsheets/d/156m_Xa7tclktShfswnV5Z_sP15pqOtsaJXobdyZ4-0U/edit#gid=1397638402", "https://docs.google.com/spreadsheets/d/156m_Xa7tclktShfswnV5Z_sP15pqOtsaJXobdyZ4-0U/edit#gid=1397638402")</f>
        <v>https://docs.google.com/spreadsheets/d/156m_Xa7tclktShfswnV5Z_sP15pqOtsaJXobdyZ4-0U/edit#gid=1397638402</v>
      </c>
      <c r="H1313" s="35" t="s">
        <v>2000</v>
      </c>
    </row>
    <row r="1314">
      <c r="D1314" s="15"/>
      <c r="E1314" s="32" t="s">
        <v>178</v>
      </c>
      <c r="F1314" s="35" t="s">
        <v>207</v>
      </c>
      <c r="G1314" s="84" t="str">
        <f>HYPERLINK("https://docs.google.com/spreadsheets/d/156m_Xa7tclktShfswnV5Z_sP15pqOtsaJXobdyZ4-0U/edit#gid=612916367", "https://docs.google.com/spreadsheets/d/156m_Xa7tclktShfswnV5Z_sP15pqOtsaJXobdyZ4-0U/edit#gid=612916367")</f>
        <v>https://docs.google.com/spreadsheets/d/156m_Xa7tclktShfswnV5Z_sP15pqOtsaJXobdyZ4-0U/edit#gid=612916367</v>
      </c>
      <c r="H1314" s="35" t="s">
        <v>2001</v>
      </c>
    </row>
    <row r="1315">
      <c r="D1315" s="15"/>
      <c r="E1315" s="32" t="s">
        <v>178</v>
      </c>
      <c r="F1315" s="35" t="s">
        <v>208</v>
      </c>
      <c r="G1315" s="84" t="str">
        <f>HYPERLINK("https://docs.google.com/spreadsheets/d/156m_Xa7tclktShfswnV5Z_sP15pqOtsaJXobdyZ4-0U/edit#gid=1883664443", "https://docs.google.com/spreadsheets/d/156m_Xa7tclktShfswnV5Z_sP15pqOtsaJXobdyZ4-0U/edit#gid=1883664443")</f>
        <v>https://docs.google.com/spreadsheets/d/156m_Xa7tclktShfswnV5Z_sP15pqOtsaJXobdyZ4-0U/edit#gid=1883664443</v>
      </c>
      <c r="H1315" s="35" t="s">
        <v>2002</v>
      </c>
    </row>
    <row r="1316">
      <c r="D1316" s="15"/>
      <c r="E1316" s="32" t="s">
        <v>178</v>
      </c>
      <c r="F1316" s="35" t="s">
        <v>182</v>
      </c>
      <c r="G1316" s="84" t="str">
        <f>HYPERLINK("https://docs.google.com/spreadsheets/d/156m_Xa7tclktShfswnV5Z_sP15pqOtsaJXobdyZ4-0U/edit#gid=1158991127", "https://docs.google.com/spreadsheets/d/156m_Xa7tclktShfswnV5Z_sP15pqOtsaJXobdyZ4-0U/edit#gid=1158991127")</f>
        <v>https://docs.google.com/spreadsheets/d/156m_Xa7tclktShfswnV5Z_sP15pqOtsaJXobdyZ4-0U/edit#gid=1158991127</v>
      </c>
      <c r="H1316" s="35" t="s">
        <v>2003</v>
      </c>
    </row>
    <row r="1317">
      <c r="D1317" s="15"/>
      <c r="E1317" s="32" t="s">
        <v>178</v>
      </c>
      <c r="F1317" s="35" t="s">
        <v>180</v>
      </c>
      <c r="G1317" s="84" t="str">
        <f>HYPERLINK("https://docs.google.com/spreadsheets/d/156m_Xa7tclktShfswnV5Z_sP15pqOtsaJXobdyZ4-0U/edit#gid=141389753", "https://docs.google.com/spreadsheets/d/156m_Xa7tclktShfswnV5Z_sP15pqOtsaJXobdyZ4-0U/edit#gid=141389753")</f>
        <v>https://docs.google.com/spreadsheets/d/156m_Xa7tclktShfswnV5Z_sP15pqOtsaJXobdyZ4-0U/edit#gid=141389753</v>
      </c>
      <c r="H1317" s="35" t="s">
        <v>2009</v>
      </c>
    </row>
    <row r="1318">
      <c r="D1318" s="15"/>
      <c r="E1318" s="32" t="s">
        <v>178</v>
      </c>
      <c r="F1318" s="35" t="s">
        <v>209</v>
      </c>
      <c r="G1318" s="84" t="str">
        <f>HYPERLINK("https://docs.google.com/spreadsheets/d/156m_Xa7tclktShfswnV5Z_sP15pqOtsaJXobdyZ4-0U/edit#gid=609317752", "https://docs.google.com/spreadsheets/d/156m_Xa7tclktShfswnV5Z_sP15pqOtsaJXobdyZ4-0U/edit#gid=609317752")</f>
        <v>https://docs.google.com/spreadsheets/d/156m_Xa7tclktShfswnV5Z_sP15pqOtsaJXobdyZ4-0U/edit#gid=609317752</v>
      </c>
      <c r="H1318" s="35" t="s">
        <v>1986</v>
      </c>
    </row>
    <row r="1319">
      <c r="D1319" s="15"/>
      <c r="E1319" s="32" t="s">
        <v>178</v>
      </c>
      <c r="F1319" s="35" t="s">
        <v>210</v>
      </c>
      <c r="G1319" s="84" t="str">
        <f>HYPERLINK("https://docs.google.com/spreadsheets/d/156m_Xa7tclktShfswnV5Z_sP15pqOtsaJXobdyZ4-0U/edit#gid=1669045935", "https://docs.google.com/spreadsheets/d/156m_Xa7tclktShfswnV5Z_sP15pqOtsaJXobdyZ4-0U/edit#gid=1669045935")</f>
        <v>https://docs.google.com/spreadsheets/d/156m_Xa7tclktShfswnV5Z_sP15pqOtsaJXobdyZ4-0U/edit#gid=1669045935</v>
      </c>
      <c r="H1319" s="35" t="s">
        <v>1987</v>
      </c>
    </row>
    <row r="1320">
      <c r="D1320" s="15"/>
      <c r="E1320" s="32" t="s">
        <v>86</v>
      </c>
      <c r="F1320" s="35" t="s">
        <v>90</v>
      </c>
      <c r="G1320" s="84" t="str">
        <f>HYPERLINK("https://docs.google.com/spreadsheets/d/156m_Xa7tclktShfswnV5Z_sP15pqOtsaJXobdyZ4-0U/edit#gid=812684638", "https://docs.google.com/spreadsheets/d/156m_Xa7tclktShfswnV5Z_sP15pqOtsaJXobdyZ4-0U/edit#gid=812684638")</f>
        <v>https://docs.google.com/spreadsheets/d/156m_Xa7tclktShfswnV5Z_sP15pqOtsaJXobdyZ4-0U/edit#gid=812684638</v>
      </c>
      <c r="H1320" s="35" t="s">
        <v>2022</v>
      </c>
    </row>
    <row r="1321">
      <c r="D1321" s="15"/>
      <c r="E1321" s="32" t="s">
        <v>86</v>
      </c>
      <c r="F1321" s="35" t="s">
        <v>338</v>
      </c>
      <c r="G1321" s="84" t="str">
        <f>HYPERLINK("https://docs.google.com/spreadsheets/d/156m_Xa7tclktShfswnV5Z_sP15pqOtsaJXobdyZ4-0U/edit#gid=622566886", "https://docs.google.com/spreadsheets/d/156m_Xa7tclktShfswnV5Z_sP15pqOtsaJXobdyZ4-0U/edit#gid=622566886")</f>
        <v>https://docs.google.com/spreadsheets/d/156m_Xa7tclktShfswnV5Z_sP15pqOtsaJXobdyZ4-0U/edit#gid=622566886</v>
      </c>
      <c r="H1321" s="35" t="s">
        <v>338</v>
      </c>
    </row>
    <row r="1322">
      <c r="D1322" s="15"/>
      <c r="E1322" s="32" t="s">
        <v>88</v>
      </c>
      <c r="F1322" s="35" t="s">
        <v>95</v>
      </c>
      <c r="G1322" s="84" t="str">
        <f>HYPERLINK("https://docs.google.com/spreadsheets/d/156m_Xa7tclktShfswnV5Z_sP15pqOtsaJXobdyZ4-0U/edit#gid=858477368", "https://docs.google.com/spreadsheets/d/156m_Xa7tclktShfswnV5Z_sP15pqOtsaJXobdyZ4-0U/edit#gid=858477368")</f>
        <v>https://docs.google.com/spreadsheets/d/156m_Xa7tclktShfswnV5Z_sP15pqOtsaJXobdyZ4-0U/edit#gid=858477368</v>
      </c>
      <c r="H1322" s="35" t="s">
        <v>95</v>
      </c>
    </row>
    <row r="1323">
      <c r="D1323" s="15"/>
      <c r="E1323" s="32" t="s">
        <v>88</v>
      </c>
      <c r="F1323" s="35" t="s">
        <v>96</v>
      </c>
      <c r="G1323" s="84" t="str">
        <f>HYPERLINK("https://docs.google.com/spreadsheets/d/156m_Xa7tclktShfswnV5Z_sP15pqOtsaJXobdyZ4-0U/edit#gid=817218652", "https://docs.google.com/spreadsheets/d/156m_Xa7tclktShfswnV5Z_sP15pqOtsaJXobdyZ4-0U/edit#gid=817218652")</f>
        <v>https://docs.google.com/spreadsheets/d/156m_Xa7tclktShfswnV5Z_sP15pqOtsaJXobdyZ4-0U/edit#gid=817218652</v>
      </c>
      <c r="H1323" s="35" t="s">
        <v>96</v>
      </c>
    </row>
    <row r="1324">
      <c r="D1324" s="15"/>
      <c r="E1324" s="32"/>
      <c r="F1324" s="35"/>
      <c r="H1324" s="35"/>
    </row>
    <row r="1325">
      <c r="B1325" s="35" t="s">
        <v>2130</v>
      </c>
      <c r="C1325" s="35" t="s">
        <v>2127</v>
      </c>
      <c r="D1325" s="32" t="s">
        <v>20</v>
      </c>
      <c r="E1325" s="32" t="s">
        <v>89</v>
      </c>
      <c r="F1325" s="35" t="s">
        <v>291</v>
      </c>
      <c r="H1325" s="36"/>
    </row>
    <row r="1326">
      <c r="B1326" s="35" t="s">
        <v>2131</v>
      </c>
      <c r="C1326" s="210" t="s">
        <v>2132</v>
      </c>
      <c r="D1326" s="32" t="s">
        <v>20</v>
      </c>
      <c r="E1326" s="32" t="s">
        <v>178</v>
      </c>
      <c r="F1326" s="35" t="s">
        <v>201</v>
      </c>
      <c r="G1326" s="84" t="str">
        <f>HYPERLINK("https://docs.google.com/spreadsheets/d/1WrSvtwXPz86znii-b-B3QD3sSn9rEYSLamwHri7tU_k/edit#gid=166250936", "https://docs.google.com/spreadsheets/d/1WrSvtwXPz86znii-b-B3QD3sSn9rEYSLamwHri7tU_k/edit#gid=166250936")</f>
        <v>https://docs.google.com/spreadsheets/d/1WrSvtwXPz86znii-b-B3QD3sSn9rEYSLamwHri7tU_k/edit#gid=166250936</v>
      </c>
      <c r="H1326" s="35" t="s">
        <v>201</v>
      </c>
    </row>
    <row r="1327">
      <c r="D1327" s="15"/>
      <c r="E1327" s="32" t="s">
        <v>178</v>
      </c>
      <c r="F1327" s="35" t="s">
        <v>202</v>
      </c>
      <c r="G1327" s="84" t="str">
        <f>HYPERLINK("https://docs.google.com/spreadsheets/d/1WrSvtwXPz86znii-b-B3QD3sSn9rEYSLamwHri7tU_k/edit#gid=1468815226", "https://docs.google.com/spreadsheets/d/1WrSvtwXPz86znii-b-B3QD3sSn9rEYSLamwHri7tU_k/edit#gid=1468815226")</f>
        <v>https://docs.google.com/spreadsheets/d/1WrSvtwXPz86znii-b-B3QD3sSn9rEYSLamwHri7tU_k/edit#gid=1468815226</v>
      </c>
      <c r="H1327" s="35" t="s">
        <v>202</v>
      </c>
    </row>
    <row r="1328">
      <c r="D1328" s="15"/>
      <c r="E1328" s="32" t="s">
        <v>178</v>
      </c>
      <c r="F1328" s="35" t="s">
        <v>202</v>
      </c>
      <c r="G1328" s="84" t="str">
        <f>HYPERLINK("https://docs.google.com/spreadsheets/d/1WrSvtwXPz86znii-b-B3QD3sSn9rEYSLamwHri7tU_k/edit#gid=1571941429", "https://docs.google.com/spreadsheets/d/1WrSvtwXPz86znii-b-B3QD3sSn9rEYSLamwHri7tU_k/edit#gid=1571941429")</f>
        <v>https://docs.google.com/spreadsheets/d/1WrSvtwXPz86znii-b-B3QD3sSn9rEYSLamwHri7tU_k/edit#gid=1571941429</v>
      </c>
      <c r="H1328" s="35" t="s">
        <v>2025</v>
      </c>
    </row>
    <row r="1329">
      <c r="D1329" s="15"/>
      <c r="E1329" s="32" t="s">
        <v>21</v>
      </c>
      <c r="F1329" s="35" t="s">
        <v>51</v>
      </c>
      <c r="G1329" s="84" t="str">
        <f>HYPERLINK("https://docs.google.com/spreadsheets/d/1WrSvtwXPz86znii-b-B3QD3sSn9rEYSLamwHri7tU_k/edit#gid=1897657952", "https://docs.google.com/spreadsheets/d/1WrSvtwXPz86znii-b-B3QD3sSn9rEYSLamwHri7tU_k/edit#gid=1897657952")</f>
        <v>https://docs.google.com/spreadsheets/d/1WrSvtwXPz86znii-b-B3QD3sSn9rEYSLamwHri7tU_k/edit#gid=1897657952</v>
      </c>
      <c r="H1329" s="35" t="s">
        <v>51</v>
      </c>
    </row>
    <row r="1330">
      <c r="D1330" s="15"/>
      <c r="E1330" s="32" t="s">
        <v>172</v>
      </c>
      <c r="F1330" s="35" t="s">
        <v>173</v>
      </c>
      <c r="G1330" s="84" t="str">
        <f>HYPERLINK("https://docs.google.com/spreadsheets/d/1WrSvtwXPz86znii-b-B3QD3sSn9rEYSLamwHri7tU_k/edit#gid=1198333369", "https://docs.google.com/spreadsheets/d/1WrSvtwXPz86znii-b-B3QD3sSn9rEYSLamwHri7tU_k/edit#gid=1198333369")</f>
        <v>https://docs.google.com/spreadsheets/d/1WrSvtwXPz86znii-b-B3QD3sSn9rEYSLamwHri7tU_k/edit#gid=1198333369</v>
      </c>
      <c r="H1330" s="35" t="s">
        <v>173</v>
      </c>
    </row>
    <row r="1331">
      <c r="D1331" s="15"/>
      <c r="E1331" s="32" t="s">
        <v>172</v>
      </c>
      <c r="F1331" s="35" t="s">
        <v>402</v>
      </c>
      <c r="G1331" s="84" t="str">
        <f>HYPERLINK("https://docs.google.com/spreadsheets/d/1WrSvtwXPz86znii-b-B3QD3sSn9rEYSLamwHri7tU_k/edit#gid=268718487", "https://docs.google.com/spreadsheets/d/1WrSvtwXPz86znii-b-B3QD3sSn9rEYSLamwHri7tU_k/edit#gid=268718487")</f>
        <v>https://docs.google.com/spreadsheets/d/1WrSvtwXPz86znii-b-B3QD3sSn9rEYSLamwHri7tU_k/edit#gid=268718487</v>
      </c>
      <c r="H1331" s="35" t="s">
        <v>402</v>
      </c>
    </row>
    <row r="1332">
      <c r="D1332" s="15"/>
      <c r="E1332" s="32" t="s">
        <v>172</v>
      </c>
      <c r="F1332" s="35" t="s">
        <v>203</v>
      </c>
      <c r="G1332" s="84" t="str">
        <f>HYPERLINK("https://docs.google.com/spreadsheets/d/1WrSvtwXPz86znii-b-B3QD3sSn9rEYSLamwHri7tU_k/edit#gid=463423551", "https://docs.google.com/spreadsheets/d/1WrSvtwXPz86znii-b-B3QD3sSn9rEYSLamwHri7tU_k/edit#gid=463423551")</f>
        <v>https://docs.google.com/spreadsheets/d/1WrSvtwXPz86znii-b-B3QD3sSn9rEYSLamwHri7tU_k/edit#gid=463423551</v>
      </c>
      <c r="H1332" s="35" t="s">
        <v>203</v>
      </c>
    </row>
    <row r="1333">
      <c r="D1333" s="15"/>
      <c r="E1333" s="32" t="s">
        <v>172</v>
      </c>
      <c r="F1333" s="35" t="s">
        <v>204</v>
      </c>
      <c r="G1333" s="84" t="str">
        <f>HYPERLINK("https://docs.google.com/spreadsheets/d/1WrSvtwXPz86znii-b-B3QD3sSn9rEYSLamwHri7tU_k/edit#gid=467948202", "https://docs.google.com/spreadsheets/d/1WrSvtwXPz86znii-b-B3QD3sSn9rEYSLamwHri7tU_k/edit#gid=467948202")</f>
        <v>https://docs.google.com/spreadsheets/d/1WrSvtwXPz86znii-b-B3QD3sSn9rEYSLamwHri7tU_k/edit#gid=467948202</v>
      </c>
      <c r="H1333" s="35" t="s">
        <v>204</v>
      </c>
    </row>
    <row r="1334">
      <c r="D1334" s="15"/>
      <c r="E1334" s="32" t="s">
        <v>178</v>
      </c>
      <c r="F1334" s="35" t="s">
        <v>205</v>
      </c>
      <c r="G1334" s="84" t="str">
        <f>HYPERLINK("https://docs.google.com/spreadsheets/d/1WrSvtwXPz86znii-b-B3QD3sSn9rEYSLamwHri7tU_k/edit#gid=642942218", "https://docs.google.com/spreadsheets/d/1WrSvtwXPz86znii-b-B3QD3sSn9rEYSLamwHri7tU_k/edit#gid=642942218")</f>
        <v>https://docs.google.com/spreadsheets/d/1WrSvtwXPz86znii-b-B3QD3sSn9rEYSLamwHri7tU_k/edit#gid=642942218</v>
      </c>
      <c r="H1334" s="35" t="s">
        <v>205</v>
      </c>
    </row>
    <row r="1335">
      <c r="D1335" s="15"/>
      <c r="E1335" s="32" t="s">
        <v>178</v>
      </c>
      <c r="F1335" s="35" t="s">
        <v>206</v>
      </c>
      <c r="H1335" s="36"/>
    </row>
    <row r="1336">
      <c r="D1336" s="15"/>
      <c r="E1336" s="32" t="s">
        <v>178</v>
      </c>
      <c r="F1336" s="35" t="s">
        <v>207</v>
      </c>
      <c r="G1336" s="84" t="str">
        <f>HYPERLINK("https://docs.google.com/spreadsheets/d/1WrSvtwXPz86znii-b-B3QD3sSn9rEYSLamwHri7tU_k/edit#gid=1795010834", "https://docs.google.com/spreadsheets/d/1WrSvtwXPz86znii-b-B3QD3sSn9rEYSLamwHri7tU_k/edit#gid=1795010834")</f>
        <v>https://docs.google.com/spreadsheets/d/1WrSvtwXPz86znii-b-B3QD3sSn9rEYSLamwHri7tU_k/edit#gid=1795010834</v>
      </c>
      <c r="H1336" s="35" t="s">
        <v>207</v>
      </c>
    </row>
    <row r="1337">
      <c r="D1337" s="15"/>
      <c r="E1337" s="32" t="s">
        <v>172</v>
      </c>
      <c r="F1337" s="35" t="s">
        <v>173</v>
      </c>
      <c r="G1337" s="84" t="str">
        <f>HYPERLINK("https://docs.google.com/spreadsheets/d/1WrSvtwXPz86znii-b-B3QD3sSn9rEYSLamwHri7tU_k/edit#gid=386017524", "https://docs.google.com/spreadsheets/d/1WrSvtwXPz86znii-b-B3QD3sSn9rEYSLamwHri7tU_k/edit#gid=386017524")</f>
        <v>https://docs.google.com/spreadsheets/d/1WrSvtwXPz86znii-b-B3QD3sSn9rEYSLamwHri7tU_k/edit#gid=386017524</v>
      </c>
      <c r="H1337" s="35" t="s">
        <v>269</v>
      </c>
    </row>
    <row r="1338">
      <c r="D1338" s="15"/>
      <c r="E1338" s="32" t="s">
        <v>172</v>
      </c>
      <c r="F1338" s="35" t="s">
        <v>402</v>
      </c>
      <c r="G1338" s="84" t="str">
        <f>HYPERLINK("https://docs.google.com/spreadsheets/d/1WrSvtwXPz86znii-b-B3QD3sSn9rEYSLamwHri7tU_k/edit#gid=1756022584", "https://docs.google.com/spreadsheets/d/1WrSvtwXPz86znii-b-B3QD3sSn9rEYSLamwHri7tU_k/edit#gid=1756022584")</f>
        <v>https://docs.google.com/spreadsheets/d/1WrSvtwXPz86znii-b-B3QD3sSn9rEYSLamwHri7tU_k/edit#gid=1756022584</v>
      </c>
      <c r="H1338" s="35" t="s">
        <v>2053</v>
      </c>
    </row>
    <row r="1339">
      <c r="D1339" s="15"/>
      <c r="E1339" s="32" t="s">
        <v>172</v>
      </c>
      <c r="F1339" s="35" t="s">
        <v>203</v>
      </c>
      <c r="G1339" s="84" t="str">
        <f>HYPERLINK("https://docs.google.com/spreadsheets/d/1WrSvtwXPz86znii-b-B3QD3sSn9rEYSLamwHri7tU_k/edit#gid=1004649460", "https://docs.google.com/spreadsheets/d/1WrSvtwXPz86znii-b-B3QD3sSn9rEYSLamwHri7tU_k/edit#gid=1004649460")</f>
        <v>https://docs.google.com/spreadsheets/d/1WrSvtwXPz86znii-b-B3QD3sSn9rEYSLamwHri7tU_k/edit#gid=1004649460</v>
      </c>
      <c r="H1339" s="35" t="s">
        <v>1995</v>
      </c>
    </row>
    <row r="1340">
      <c r="D1340" s="15"/>
      <c r="E1340" s="32" t="s">
        <v>172</v>
      </c>
      <c r="F1340" s="35" t="s">
        <v>204</v>
      </c>
      <c r="G1340" s="84" t="str">
        <f>HYPERLINK("https://docs.google.com/spreadsheets/d/1WrSvtwXPz86znii-b-B3QD3sSn9rEYSLamwHri7tU_k/edit#gid=1974576402", "https://docs.google.com/spreadsheets/d/1WrSvtwXPz86znii-b-B3QD3sSn9rEYSLamwHri7tU_k/edit#gid=1974576402")</f>
        <v>https://docs.google.com/spreadsheets/d/1WrSvtwXPz86znii-b-B3QD3sSn9rEYSLamwHri7tU_k/edit#gid=1974576402</v>
      </c>
      <c r="H1340" s="35" t="s">
        <v>1996</v>
      </c>
    </row>
    <row r="1341">
      <c r="D1341" s="15"/>
      <c r="E1341" s="32" t="s">
        <v>178</v>
      </c>
      <c r="F1341" s="35" t="s">
        <v>205</v>
      </c>
      <c r="G1341" s="84" t="str">
        <f>HYPERLINK("https://docs.google.com/spreadsheets/d/1WrSvtwXPz86znii-b-B3QD3sSn9rEYSLamwHri7tU_k/edit#gid=406224089", "https://docs.google.com/spreadsheets/d/1WrSvtwXPz86znii-b-B3QD3sSn9rEYSLamwHri7tU_k/edit#gid=406224089")</f>
        <v>https://docs.google.com/spreadsheets/d/1WrSvtwXPz86znii-b-B3QD3sSn9rEYSLamwHri7tU_k/edit#gid=406224089</v>
      </c>
      <c r="H1341" s="35" t="s">
        <v>1997</v>
      </c>
    </row>
    <row r="1342">
      <c r="D1342" s="15"/>
      <c r="E1342" s="32" t="s">
        <v>178</v>
      </c>
      <c r="F1342" s="35" t="s">
        <v>206</v>
      </c>
      <c r="H1342" s="36"/>
    </row>
    <row r="1343">
      <c r="D1343" s="15"/>
      <c r="E1343" s="32" t="s">
        <v>178</v>
      </c>
      <c r="F1343" s="35" t="s">
        <v>207</v>
      </c>
      <c r="G1343" s="84" t="str">
        <f>HYPERLINK("https://docs.google.com/spreadsheets/d/1WrSvtwXPz86znii-b-B3QD3sSn9rEYSLamwHri7tU_k/edit#gid=813997066", "https://docs.google.com/spreadsheets/d/1WrSvtwXPz86znii-b-B3QD3sSn9rEYSLamwHri7tU_k/edit#gid=813997066")</f>
        <v>https://docs.google.com/spreadsheets/d/1WrSvtwXPz86znii-b-B3QD3sSn9rEYSLamwHri7tU_k/edit#gid=813997066</v>
      </c>
      <c r="H1343" s="35" t="s">
        <v>1998</v>
      </c>
    </row>
    <row r="1344">
      <c r="D1344" s="15"/>
      <c r="E1344" s="32" t="s">
        <v>178</v>
      </c>
      <c r="F1344" s="35" t="s">
        <v>208</v>
      </c>
      <c r="G1344" s="84" t="str">
        <f>HYPERLINK("https://docs.google.com/spreadsheets/d/1WrSvtwXPz86znii-b-B3QD3sSn9rEYSLamwHri7tU_k/edit#gid=889040919", "https://docs.google.com/spreadsheets/d/1WrSvtwXPz86znii-b-B3QD3sSn9rEYSLamwHri7tU_k/edit#gid=889040919")</f>
        <v>https://docs.google.com/spreadsheets/d/1WrSvtwXPz86znii-b-B3QD3sSn9rEYSLamwHri7tU_k/edit#gid=889040919</v>
      </c>
      <c r="H1344" s="35" t="s">
        <v>208</v>
      </c>
    </row>
    <row r="1345">
      <c r="D1345" s="15"/>
      <c r="E1345" s="32" t="s">
        <v>178</v>
      </c>
      <c r="F1345" s="35" t="s">
        <v>182</v>
      </c>
      <c r="G1345" s="84" t="str">
        <f>HYPERLINK("https://docs.google.com/spreadsheets/d/1WrSvtwXPz86znii-b-B3QD3sSn9rEYSLamwHri7tU_k/edit#gid=411109084", "https://docs.google.com/spreadsheets/d/1WrSvtwXPz86znii-b-B3QD3sSn9rEYSLamwHri7tU_k/edit#gid=411109084")</f>
        <v>https://docs.google.com/spreadsheets/d/1WrSvtwXPz86znii-b-B3QD3sSn9rEYSLamwHri7tU_k/edit#gid=411109084</v>
      </c>
      <c r="H1345" s="35" t="s">
        <v>182</v>
      </c>
    </row>
    <row r="1346">
      <c r="D1346" s="15"/>
      <c r="E1346" s="32" t="s">
        <v>178</v>
      </c>
      <c r="F1346" s="35" t="s">
        <v>180</v>
      </c>
      <c r="G1346" s="84" t="str">
        <f>HYPERLINK("https://docs.google.com/spreadsheets/d/1WrSvtwXPz86znii-b-B3QD3sSn9rEYSLamwHri7tU_k/edit#gid=127536308", "https://docs.google.com/spreadsheets/d/1WrSvtwXPz86znii-b-B3QD3sSn9rEYSLamwHri7tU_k/edit#gid=127536308")</f>
        <v>https://docs.google.com/spreadsheets/d/1WrSvtwXPz86znii-b-B3QD3sSn9rEYSLamwHri7tU_k/edit#gid=127536308</v>
      </c>
      <c r="H1346" s="35" t="s">
        <v>180</v>
      </c>
    </row>
    <row r="1347">
      <c r="D1347" s="15"/>
      <c r="E1347" s="32" t="s">
        <v>178</v>
      </c>
      <c r="F1347" s="35" t="s">
        <v>209</v>
      </c>
      <c r="G1347" s="84" t="str">
        <f>HYPERLINK("https://docs.google.com/spreadsheets/d/1WrSvtwXPz86znii-b-B3QD3sSn9rEYSLamwHri7tU_k/edit#gid=1437483164", "https://docs.google.com/spreadsheets/d/1WrSvtwXPz86znii-b-B3QD3sSn9rEYSLamwHri7tU_k/edit#gid=1437483164")</f>
        <v>https://docs.google.com/spreadsheets/d/1WrSvtwXPz86znii-b-B3QD3sSn9rEYSLamwHri7tU_k/edit#gid=1437483164</v>
      </c>
      <c r="H1347" s="35" t="s">
        <v>209</v>
      </c>
    </row>
    <row r="1348">
      <c r="D1348" s="15"/>
      <c r="E1348" s="32" t="s">
        <v>178</v>
      </c>
      <c r="F1348" s="35" t="s">
        <v>210</v>
      </c>
      <c r="G1348" s="84" t="str">
        <f>HYPERLINK("https://docs.google.com/spreadsheets/d/1WrSvtwXPz86znii-b-B3QD3sSn9rEYSLamwHri7tU_k/edit#gid=913865843", "https://docs.google.com/spreadsheets/d/1WrSvtwXPz86znii-b-B3QD3sSn9rEYSLamwHri7tU_k/edit#gid=913865843")</f>
        <v>https://docs.google.com/spreadsheets/d/1WrSvtwXPz86znii-b-B3QD3sSn9rEYSLamwHri7tU_k/edit#gid=913865843</v>
      </c>
      <c r="H1348" s="35" t="s">
        <v>210</v>
      </c>
    </row>
    <row r="1349">
      <c r="D1349" s="15"/>
      <c r="E1349" s="32" t="s">
        <v>157</v>
      </c>
      <c r="F1349" s="35" t="s">
        <v>161</v>
      </c>
      <c r="G1349" s="84" t="str">
        <f>HYPERLINK("https://docs.google.com/spreadsheets/d/1WrSvtwXPz86znii-b-B3QD3sSn9rEYSLamwHri7tU_k/edit#gid=966146739", "https://docs.google.com/spreadsheets/d/1WrSvtwXPz86znii-b-B3QD3sSn9rEYSLamwHri7tU_k/edit#gid=966146739")</f>
        <v>https://docs.google.com/spreadsheets/d/1WrSvtwXPz86znii-b-B3QD3sSn9rEYSLamwHri7tU_k/edit#gid=966146739</v>
      </c>
      <c r="H1349" s="35" t="s">
        <v>161</v>
      </c>
    </row>
    <row r="1350">
      <c r="D1350" s="15"/>
      <c r="E1350" s="32" t="s">
        <v>157</v>
      </c>
      <c r="F1350" s="35" t="s">
        <v>158</v>
      </c>
      <c r="G1350" s="84" t="str">
        <f>HYPERLINK("https://docs.google.com/spreadsheets/d/1WrSvtwXPz86znii-b-B3QD3sSn9rEYSLamwHri7tU_k/edit#gid=1664553106", "https://docs.google.com/spreadsheets/d/1WrSvtwXPz86znii-b-B3QD3sSn9rEYSLamwHri7tU_k/edit#gid=1664553106")</f>
        <v>https://docs.google.com/spreadsheets/d/1WrSvtwXPz86znii-b-B3QD3sSn9rEYSLamwHri7tU_k/edit#gid=1664553106</v>
      </c>
      <c r="H1350" s="35" t="s">
        <v>158</v>
      </c>
    </row>
    <row r="1351">
      <c r="D1351" s="15"/>
      <c r="E1351" s="32" t="s">
        <v>157</v>
      </c>
      <c r="F1351" s="35" t="s">
        <v>196</v>
      </c>
      <c r="G1351" s="84" t="str">
        <f>HYPERLINK("https://docs.google.com/spreadsheets/d/1WrSvtwXPz86znii-b-B3QD3sSn9rEYSLamwHri7tU_k/edit#gid=252675817", "https://docs.google.com/spreadsheets/d/1WrSvtwXPz86znii-b-B3QD3sSn9rEYSLamwHri7tU_k/edit#gid=252675817")</f>
        <v>https://docs.google.com/spreadsheets/d/1WrSvtwXPz86znii-b-B3QD3sSn9rEYSLamwHri7tU_k/edit#gid=252675817</v>
      </c>
      <c r="H1351" s="35" t="s">
        <v>196</v>
      </c>
    </row>
    <row r="1352">
      <c r="D1352" s="15"/>
      <c r="E1352" s="32" t="s">
        <v>172</v>
      </c>
      <c r="F1352" s="35" t="s">
        <v>173</v>
      </c>
      <c r="G1352" s="84" t="str">
        <f>HYPERLINK("https://docs.google.com/spreadsheets/d/1WrSvtwXPz86znii-b-B3QD3sSn9rEYSLamwHri7tU_k/edit#gid=1057006471", "https://docs.google.com/spreadsheets/d/1WrSvtwXPz86znii-b-B3QD3sSn9rEYSLamwHri7tU_k/edit#gid=1057006471")</f>
        <v>https://docs.google.com/spreadsheets/d/1WrSvtwXPz86znii-b-B3QD3sSn9rEYSLamwHri7tU_k/edit#gid=1057006471</v>
      </c>
      <c r="H1352" s="35" t="s">
        <v>2054</v>
      </c>
    </row>
    <row r="1353">
      <c r="D1353" s="15"/>
      <c r="E1353" s="32" t="s">
        <v>172</v>
      </c>
      <c r="F1353" s="35" t="s">
        <v>402</v>
      </c>
      <c r="G1353" s="84" t="str">
        <f>HYPERLINK("https://docs.google.com/spreadsheets/d/1WrSvtwXPz86znii-b-B3QD3sSn9rEYSLamwHri7tU_k/edit#gid=1985925694", "https://docs.google.com/spreadsheets/d/1WrSvtwXPz86znii-b-B3QD3sSn9rEYSLamwHri7tU_k/edit#gid=1985925694")</f>
        <v>https://docs.google.com/spreadsheets/d/1WrSvtwXPz86znii-b-B3QD3sSn9rEYSLamwHri7tU_k/edit#gid=1985925694</v>
      </c>
      <c r="H1353" s="35" t="s">
        <v>2055</v>
      </c>
    </row>
    <row r="1354">
      <c r="D1354" s="15"/>
      <c r="E1354" s="32" t="s">
        <v>172</v>
      </c>
      <c r="F1354" s="35" t="s">
        <v>203</v>
      </c>
      <c r="G1354" s="84" t="str">
        <f>HYPERLINK("https://docs.google.com/spreadsheets/d/1WrSvtwXPz86znii-b-B3QD3sSn9rEYSLamwHri7tU_k/edit#gid=1815373290", "https://docs.google.com/spreadsheets/d/1WrSvtwXPz86znii-b-B3QD3sSn9rEYSLamwHri7tU_k/edit#gid=1815373290")</f>
        <v>https://docs.google.com/spreadsheets/d/1WrSvtwXPz86znii-b-B3QD3sSn9rEYSLamwHri7tU_k/edit#gid=1815373290</v>
      </c>
      <c r="H1354" s="35" t="s">
        <v>1999</v>
      </c>
    </row>
    <row r="1355">
      <c r="D1355" s="15"/>
      <c r="E1355" s="32" t="s">
        <v>172</v>
      </c>
      <c r="F1355" s="35" t="s">
        <v>204</v>
      </c>
      <c r="G1355" s="84" t="str">
        <f>HYPERLINK("https://docs.google.com/spreadsheets/d/1WrSvtwXPz86znii-b-B3QD3sSn9rEYSLamwHri7tU_k/edit#gid=1822032026", "https://docs.google.com/spreadsheets/d/1WrSvtwXPz86znii-b-B3QD3sSn9rEYSLamwHri7tU_k/edit#gid=1822032026")</f>
        <v>https://docs.google.com/spreadsheets/d/1WrSvtwXPz86znii-b-B3QD3sSn9rEYSLamwHri7tU_k/edit#gid=1822032026</v>
      </c>
      <c r="H1355" s="35" t="s">
        <v>2000</v>
      </c>
    </row>
    <row r="1356">
      <c r="D1356" s="15"/>
      <c r="E1356" s="32" t="s">
        <v>178</v>
      </c>
      <c r="F1356" s="35" t="s">
        <v>207</v>
      </c>
      <c r="G1356" s="84" t="str">
        <f>HYPERLINK("https://docs.google.com/spreadsheets/d/1WrSvtwXPz86znii-b-B3QD3sSn9rEYSLamwHri7tU_k/edit#gid=17152337", "https://docs.google.com/spreadsheets/d/1WrSvtwXPz86znii-b-B3QD3sSn9rEYSLamwHri7tU_k/edit#gid=17152337")</f>
        <v>https://docs.google.com/spreadsheets/d/1WrSvtwXPz86znii-b-B3QD3sSn9rEYSLamwHri7tU_k/edit#gid=17152337</v>
      </c>
      <c r="H1356" s="35" t="s">
        <v>2001</v>
      </c>
    </row>
    <row r="1357">
      <c r="D1357" s="15"/>
      <c r="E1357" s="32" t="s">
        <v>178</v>
      </c>
      <c r="F1357" s="35" t="s">
        <v>208</v>
      </c>
      <c r="G1357" s="84" t="str">
        <f>HYPERLINK("https://docs.google.com/spreadsheets/d/1WrSvtwXPz86znii-b-B3QD3sSn9rEYSLamwHri7tU_k/edit#gid=1455871366", "https://docs.google.com/spreadsheets/d/1WrSvtwXPz86znii-b-B3QD3sSn9rEYSLamwHri7tU_k/edit#gid=1455871366")</f>
        <v>https://docs.google.com/spreadsheets/d/1WrSvtwXPz86znii-b-B3QD3sSn9rEYSLamwHri7tU_k/edit#gid=1455871366</v>
      </c>
      <c r="H1357" s="35" t="s">
        <v>2002</v>
      </c>
    </row>
    <row r="1358">
      <c r="D1358" s="15"/>
      <c r="E1358" s="32" t="s">
        <v>178</v>
      </c>
      <c r="F1358" s="35" t="s">
        <v>182</v>
      </c>
      <c r="G1358" s="84" t="str">
        <f>HYPERLINK("https://docs.google.com/spreadsheets/d/1WrSvtwXPz86znii-b-B3QD3sSn9rEYSLamwHri7tU_k/edit#gid=1658075572", "https://docs.google.com/spreadsheets/d/1WrSvtwXPz86znii-b-B3QD3sSn9rEYSLamwHri7tU_k/edit#gid=1658075572")</f>
        <v>https://docs.google.com/spreadsheets/d/1WrSvtwXPz86znii-b-B3QD3sSn9rEYSLamwHri7tU_k/edit#gid=1658075572</v>
      </c>
      <c r="H1358" s="35" t="s">
        <v>2003</v>
      </c>
    </row>
    <row r="1359">
      <c r="D1359" s="15"/>
      <c r="E1359" s="32" t="s">
        <v>178</v>
      </c>
      <c r="F1359" s="35" t="s">
        <v>180</v>
      </c>
      <c r="G1359" s="84" t="str">
        <f>HYPERLINK("https://docs.google.com/spreadsheets/d/1WrSvtwXPz86znii-b-B3QD3sSn9rEYSLamwHri7tU_k/edit#gid=1762592231", "https://docs.google.com/spreadsheets/d/1WrSvtwXPz86znii-b-B3QD3sSn9rEYSLamwHri7tU_k/edit#gid=1762592231")</f>
        <v>https://docs.google.com/spreadsheets/d/1WrSvtwXPz86znii-b-B3QD3sSn9rEYSLamwHri7tU_k/edit#gid=1762592231</v>
      </c>
      <c r="H1359" s="35" t="s">
        <v>2009</v>
      </c>
    </row>
    <row r="1360">
      <c r="D1360" s="15"/>
      <c r="E1360" s="32" t="s">
        <v>178</v>
      </c>
      <c r="F1360" s="35" t="s">
        <v>209</v>
      </c>
      <c r="G1360" s="84" t="str">
        <f>HYPERLINK("https://docs.google.com/spreadsheets/d/1WrSvtwXPz86znii-b-B3QD3sSn9rEYSLamwHri7tU_k/edit#gid=876397204", "https://docs.google.com/spreadsheets/d/1WrSvtwXPz86znii-b-B3QD3sSn9rEYSLamwHri7tU_k/edit#gid=876397204")</f>
        <v>https://docs.google.com/spreadsheets/d/1WrSvtwXPz86znii-b-B3QD3sSn9rEYSLamwHri7tU_k/edit#gid=876397204</v>
      </c>
      <c r="H1360" s="35" t="s">
        <v>1986</v>
      </c>
    </row>
    <row r="1361">
      <c r="D1361" s="15"/>
      <c r="E1361" s="32" t="s">
        <v>178</v>
      </c>
      <c r="F1361" s="35" t="s">
        <v>210</v>
      </c>
      <c r="G1361" s="84" t="str">
        <f>HYPERLINK("https://docs.google.com/spreadsheets/d/1WrSvtwXPz86znii-b-B3QD3sSn9rEYSLamwHri7tU_k/edit#gid=1635826814", "https://docs.google.com/spreadsheets/d/1WrSvtwXPz86znii-b-B3QD3sSn9rEYSLamwHri7tU_k/edit#gid=1635826814")</f>
        <v>https://docs.google.com/spreadsheets/d/1WrSvtwXPz86znii-b-B3QD3sSn9rEYSLamwHri7tU_k/edit#gid=1635826814</v>
      </c>
      <c r="H1361" s="35" t="s">
        <v>1987</v>
      </c>
    </row>
    <row r="1362">
      <c r="D1362" s="15"/>
      <c r="E1362" s="32" t="s">
        <v>86</v>
      </c>
      <c r="F1362" s="35" t="s">
        <v>90</v>
      </c>
      <c r="G1362" s="84" t="str">
        <f>HYPERLINK("https://docs.google.com/spreadsheets/d/1WrSvtwXPz86znii-b-B3QD3sSn9rEYSLamwHri7tU_k/edit#gid=810043772", "https://docs.google.com/spreadsheets/d/1WrSvtwXPz86znii-b-B3QD3sSn9rEYSLamwHri7tU_k/edit#gid=810043772")</f>
        <v>https://docs.google.com/spreadsheets/d/1WrSvtwXPz86znii-b-B3QD3sSn9rEYSLamwHri7tU_k/edit#gid=810043772</v>
      </c>
      <c r="H1362" s="35" t="s">
        <v>90</v>
      </c>
    </row>
    <row r="1363">
      <c r="D1363" s="15"/>
      <c r="E1363" s="32" t="s">
        <v>86</v>
      </c>
      <c r="F1363" s="35" t="s">
        <v>338</v>
      </c>
      <c r="G1363" s="84" t="str">
        <f>HYPERLINK("https://docs.google.com/spreadsheets/d/1WrSvtwXPz86znii-b-B3QD3sSn9rEYSLamwHri7tU_k/edit#gid=111292104", "https://docs.google.com/spreadsheets/d/1WrSvtwXPz86znii-b-B3QD3sSn9rEYSLamwHri7tU_k/edit#gid=111292104")</f>
        <v>https://docs.google.com/spreadsheets/d/1WrSvtwXPz86znii-b-B3QD3sSn9rEYSLamwHri7tU_k/edit#gid=111292104</v>
      </c>
      <c r="H1363" s="35" t="s">
        <v>338</v>
      </c>
    </row>
    <row r="1364">
      <c r="D1364" s="15"/>
      <c r="E1364" s="32" t="s">
        <v>88</v>
      </c>
      <c r="F1364" s="35" t="s">
        <v>95</v>
      </c>
      <c r="G1364" s="84" t="str">
        <f>HYPERLINK("https://docs.google.com/spreadsheets/d/1WrSvtwXPz86znii-b-B3QD3sSn9rEYSLamwHri7tU_k/edit#gid=191650168", "https://docs.google.com/spreadsheets/d/1WrSvtwXPz86znii-b-B3QD3sSn9rEYSLamwHri7tU_k/edit#gid=191650168")</f>
        <v>https://docs.google.com/spreadsheets/d/1WrSvtwXPz86znii-b-B3QD3sSn9rEYSLamwHri7tU_k/edit#gid=191650168</v>
      </c>
      <c r="H1364" s="35" t="s">
        <v>95</v>
      </c>
    </row>
    <row r="1365">
      <c r="D1365" s="15"/>
      <c r="E1365" s="32" t="s">
        <v>88</v>
      </c>
      <c r="F1365" s="35" t="s">
        <v>96</v>
      </c>
      <c r="G1365" s="84" t="str">
        <f>HYPERLINK("https://docs.google.com/spreadsheets/d/1WrSvtwXPz86znii-b-B3QD3sSn9rEYSLamwHri7tU_k/edit#gid=261120825", "https://docs.google.com/spreadsheets/d/1WrSvtwXPz86znii-b-B3QD3sSn9rEYSLamwHri7tU_k/edit#gid=261120825")</f>
        <v>https://docs.google.com/spreadsheets/d/1WrSvtwXPz86znii-b-B3QD3sSn9rEYSLamwHri7tU_k/edit#gid=261120825</v>
      </c>
      <c r="H1365" s="35" t="s">
        <v>96</v>
      </c>
    </row>
    <row r="1366">
      <c r="D1366" s="15"/>
      <c r="E1366" s="32"/>
      <c r="F1366" s="35"/>
      <c r="H1366" s="35"/>
    </row>
    <row r="1367">
      <c r="B1367" s="35" t="s">
        <v>2133</v>
      </c>
      <c r="C1367" s="35" t="s">
        <v>2127</v>
      </c>
      <c r="D1367" s="32" t="s">
        <v>20</v>
      </c>
      <c r="E1367" s="32" t="s">
        <v>89</v>
      </c>
      <c r="F1367" s="35" t="s">
        <v>291</v>
      </c>
      <c r="H1367" s="36"/>
    </row>
    <row r="1368">
      <c r="B1368" s="35" t="s">
        <v>2134</v>
      </c>
      <c r="C1368" s="210" t="s">
        <v>2135</v>
      </c>
      <c r="D1368" s="32" t="s">
        <v>20</v>
      </c>
      <c r="E1368" s="32" t="s">
        <v>178</v>
      </c>
      <c r="F1368" s="35" t="s">
        <v>201</v>
      </c>
      <c r="G1368" s="84" t="str">
        <f>HYPERLINK("https://docs.google.com/spreadsheets/d/1-8mtAH3W3wB6vOACOyJFYoth0_aVpT6zRfhxMRyCPp8/edit#gid=1163843688", "https://docs.google.com/spreadsheets/d/1-8mtAH3W3wB6vOACOyJFYoth0_aVpT6zRfhxMRyCPp8/edit#gid=1163843688")</f>
        <v>https://docs.google.com/spreadsheets/d/1-8mtAH3W3wB6vOACOyJFYoth0_aVpT6zRfhxMRyCPp8/edit#gid=1163843688</v>
      </c>
      <c r="H1368" s="35" t="s">
        <v>201</v>
      </c>
    </row>
    <row r="1369">
      <c r="D1369" s="15"/>
      <c r="E1369" s="32" t="s">
        <v>178</v>
      </c>
      <c r="F1369" s="35" t="s">
        <v>202</v>
      </c>
      <c r="G1369" s="84" t="str">
        <f>HYPERLINK("https://docs.google.com/spreadsheets/d/1-8mtAH3W3wB6vOACOyJFYoth0_aVpT6zRfhxMRyCPp8/edit#gid=366226025", "https://docs.google.com/spreadsheets/d/1-8mtAH3W3wB6vOACOyJFYoth0_aVpT6zRfhxMRyCPp8/edit#gid=366226025")</f>
        <v>https://docs.google.com/spreadsheets/d/1-8mtAH3W3wB6vOACOyJFYoth0_aVpT6zRfhxMRyCPp8/edit#gid=366226025</v>
      </c>
      <c r="H1369" s="35" t="s">
        <v>202</v>
      </c>
    </row>
    <row r="1370">
      <c r="D1370" s="15"/>
      <c r="E1370" s="32" t="s">
        <v>178</v>
      </c>
      <c r="F1370" s="35" t="s">
        <v>202</v>
      </c>
      <c r="G1370" s="84" t="str">
        <f>HYPERLINK("https://docs.google.com/spreadsheets/d/1-8mtAH3W3wB6vOACOyJFYoth0_aVpT6zRfhxMRyCPp8/edit#gid=734586939", "https://docs.google.com/spreadsheets/d/1-8mtAH3W3wB6vOACOyJFYoth0_aVpT6zRfhxMRyCPp8/edit#gid=734586939")</f>
        <v>https://docs.google.com/spreadsheets/d/1-8mtAH3W3wB6vOACOyJFYoth0_aVpT6zRfhxMRyCPp8/edit#gid=734586939</v>
      </c>
      <c r="H1370" s="35" t="s">
        <v>2025</v>
      </c>
    </row>
    <row r="1371">
      <c r="D1371" s="15"/>
      <c r="E1371" s="32" t="s">
        <v>21</v>
      </c>
      <c r="F1371" s="35" t="s">
        <v>51</v>
      </c>
      <c r="G1371" s="84" t="str">
        <f>HYPERLINK("https://docs.google.com/spreadsheets/d/1-8mtAH3W3wB6vOACOyJFYoth0_aVpT6zRfhxMRyCPp8/edit#gid=167769887", "https://docs.google.com/spreadsheets/d/1-8mtAH3W3wB6vOACOyJFYoth0_aVpT6zRfhxMRyCPp8/edit#gid=167769887")</f>
        <v>https://docs.google.com/spreadsheets/d/1-8mtAH3W3wB6vOACOyJFYoth0_aVpT6zRfhxMRyCPp8/edit#gid=167769887</v>
      </c>
      <c r="H1371" s="35" t="s">
        <v>51</v>
      </c>
    </row>
    <row r="1372">
      <c r="D1372" s="15"/>
      <c r="E1372" s="32" t="s">
        <v>172</v>
      </c>
      <c r="F1372" s="35" t="s">
        <v>173</v>
      </c>
      <c r="G1372" s="84" t="str">
        <f>HYPERLINK("https://docs.google.com/spreadsheets/d/1-8mtAH3W3wB6vOACOyJFYoth0_aVpT6zRfhxMRyCPp8/edit#gid=2100106844", "https://docs.google.com/spreadsheets/d/1-8mtAH3W3wB6vOACOyJFYoth0_aVpT6zRfhxMRyCPp8/edit#gid=2100106844")</f>
        <v>https://docs.google.com/spreadsheets/d/1-8mtAH3W3wB6vOACOyJFYoth0_aVpT6zRfhxMRyCPp8/edit#gid=2100106844</v>
      </c>
      <c r="H1372" s="35" t="s">
        <v>173</v>
      </c>
    </row>
    <row r="1373">
      <c r="D1373" s="15"/>
      <c r="E1373" s="32" t="s">
        <v>172</v>
      </c>
      <c r="F1373" s="35" t="s">
        <v>402</v>
      </c>
      <c r="G1373" s="84" t="str">
        <f>HYPERLINK("https://docs.google.com/spreadsheets/d/1-8mtAH3W3wB6vOACOyJFYoth0_aVpT6zRfhxMRyCPp8/edit#gid=1758325183", "https://docs.google.com/spreadsheets/d/1-8mtAH3W3wB6vOACOyJFYoth0_aVpT6zRfhxMRyCPp8/edit#gid=1758325183")</f>
        <v>https://docs.google.com/spreadsheets/d/1-8mtAH3W3wB6vOACOyJFYoth0_aVpT6zRfhxMRyCPp8/edit#gid=1758325183</v>
      </c>
      <c r="H1373" s="35" t="s">
        <v>402</v>
      </c>
    </row>
    <row r="1374">
      <c r="D1374" s="15"/>
      <c r="E1374" s="32" t="s">
        <v>172</v>
      </c>
      <c r="F1374" s="35" t="s">
        <v>203</v>
      </c>
      <c r="G1374" s="84" t="str">
        <f>HYPERLINK("https://docs.google.com/spreadsheets/d/1-8mtAH3W3wB6vOACOyJFYoth0_aVpT6zRfhxMRyCPp8/edit#gid=1186980458", "https://docs.google.com/spreadsheets/d/1-8mtAH3W3wB6vOACOyJFYoth0_aVpT6zRfhxMRyCPp8/edit#gid=1186980458")</f>
        <v>https://docs.google.com/spreadsheets/d/1-8mtAH3W3wB6vOACOyJFYoth0_aVpT6zRfhxMRyCPp8/edit#gid=1186980458</v>
      </c>
      <c r="H1374" s="35" t="s">
        <v>203</v>
      </c>
    </row>
    <row r="1375">
      <c r="D1375" s="15"/>
      <c r="E1375" s="32" t="s">
        <v>172</v>
      </c>
      <c r="F1375" s="35" t="s">
        <v>204</v>
      </c>
      <c r="G1375" s="84" t="str">
        <f>HYPERLINK("https://docs.google.com/spreadsheets/d/1-8mtAH3W3wB6vOACOyJFYoth0_aVpT6zRfhxMRyCPp8/edit#gid=320373740", "https://docs.google.com/spreadsheets/d/1-8mtAH3W3wB6vOACOyJFYoth0_aVpT6zRfhxMRyCPp8/edit#gid=320373740")</f>
        <v>https://docs.google.com/spreadsheets/d/1-8mtAH3W3wB6vOACOyJFYoth0_aVpT6zRfhxMRyCPp8/edit#gid=320373740</v>
      </c>
      <c r="H1375" s="35" t="s">
        <v>204</v>
      </c>
    </row>
    <row r="1376">
      <c r="D1376" s="15"/>
      <c r="E1376" s="32" t="s">
        <v>178</v>
      </c>
      <c r="F1376" s="35" t="s">
        <v>205</v>
      </c>
      <c r="G1376" s="84" t="str">
        <f>HYPERLINK("https://docs.google.com/spreadsheets/d/1-8mtAH3W3wB6vOACOyJFYoth0_aVpT6zRfhxMRyCPp8/edit#gid=1250461745", "https://docs.google.com/spreadsheets/d/1-8mtAH3W3wB6vOACOyJFYoth0_aVpT6zRfhxMRyCPp8/edit#gid=1250461745")</f>
        <v>https://docs.google.com/spreadsheets/d/1-8mtAH3W3wB6vOACOyJFYoth0_aVpT6zRfhxMRyCPp8/edit#gid=1250461745</v>
      </c>
      <c r="H1376" s="35" t="s">
        <v>205</v>
      </c>
    </row>
    <row r="1377">
      <c r="D1377" s="15"/>
      <c r="E1377" s="32" t="s">
        <v>178</v>
      </c>
      <c r="F1377" s="35" t="s">
        <v>206</v>
      </c>
      <c r="H1377" s="36"/>
    </row>
    <row r="1378">
      <c r="D1378" s="15"/>
      <c r="E1378" s="32" t="s">
        <v>178</v>
      </c>
      <c r="F1378" s="35" t="s">
        <v>207</v>
      </c>
      <c r="G1378" s="84" t="str">
        <f>HYPERLINK("https://docs.google.com/spreadsheets/d/1-8mtAH3W3wB6vOACOyJFYoth0_aVpT6zRfhxMRyCPp8/edit#gid=1853923816", "https://docs.google.com/spreadsheets/d/1-8mtAH3W3wB6vOACOyJFYoth0_aVpT6zRfhxMRyCPp8/edit#gid=1853923816")</f>
        <v>https://docs.google.com/spreadsheets/d/1-8mtAH3W3wB6vOACOyJFYoth0_aVpT6zRfhxMRyCPp8/edit#gid=1853923816</v>
      </c>
      <c r="H1378" s="35" t="s">
        <v>207</v>
      </c>
    </row>
    <row r="1379">
      <c r="D1379" s="15"/>
      <c r="E1379" s="32" t="s">
        <v>172</v>
      </c>
      <c r="F1379" s="35" t="s">
        <v>173</v>
      </c>
      <c r="G1379" s="84" t="str">
        <f>HYPERLINK("https://docs.google.com/spreadsheets/d/1-8mtAH3W3wB6vOACOyJFYoth0_aVpT6zRfhxMRyCPp8/edit#gid=1762776419", "https://docs.google.com/spreadsheets/d/1-8mtAH3W3wB6vOACOyJFYoth0_aVpT6zRfhxMRyCPp8/edit#gid=1762776419")</f>
        <v>https://docs.google.com/spreadsheets/d/1-8mtAH3W3wB6vOACOyJFYoth0_aVpT6zRfhxMRyCPp8/edit#gid=1762776419</v>
      </c>
      <c r="H1379" s="35" t="s">
        <v>269</v>
      </c>
    </row>
    <row r="1380">
      <c r="D1380" s="15"/>
      <c r="E1380" s="32" t="s">
        <v>172</v>
      </c>
      <c r="F1380" s="35" t="s">
        <v>402</v>
      </c>
      <c r="G1380" s="84" t="str">
        <f>HYPERLINK("https://docs.google.com/spreadsheets/d/1-8mtAH3W3wB6vOACOyJFYoth0_aVpT6zRfhxMRyCPp8/edit#gid=275327103", "https://docs.google.com/spreadsheets/d/1-8mtAH3W3wB6vOACOyJFYoth0_aVpT6zRfhxMRyCPp8/edit#gid=275327103")</f>
        <v>https://docs.google.com/spreadsheets/d/1-8mtAH3W3wB6vOACOyJFYoth0_aVpT6zRfhxMRyCPp8/edit#gid=275327103</v>
      </c>
      <c r="H1380" s="35" t="s">
        <v>2053</v>
      </c>
    </row>
    <row r="1381">
      <c r="D1381" s="15"/>
      <c r="E1381" s="32" t="s">
        <v>172</v>
      </c>
      <c r="F1381" s="35" t="s">
        <v>203</v>
      </c>
      <c r="G1381" s="84" t="str">
        <f>HYPERLINK("https://docs.google.com/spreadsheets/d/1-8mtAH3W3wB6vOACOyJFYoth0_aVpT6zRfhxMRyCPp8/edit#gid=1173968209", "https://docs.google.com/spreadsheets/d/1-8mtAH3W3wB6vOACOyJFYoth0_aVpT6zRfhxMRyCPp8/edit#gid=1173968209")</f>
        <v>https://docs.google.com/spreadsheets/d/1-8mtAH3W3wB6vOACOyJFYoth0_aVpT6zRfhxMRyCPp8/edit#gid=1173968209</v>
      </c>
      <c r="H1381" s="35" t="s">
        <v>1995</v>
      </c>
    </row>
    <row r="1382">
      <c r="D1382" s="15"/>
      <c r="E1382" s="32" t="s">
        <v>172</v>
      </c>
      <c r="F1382" s="35" t="s">
        <v>204</v>
      </c>
      <c r="G1382" s="84" t="str">
        <f>HYPERLINK("https://docs.google.com/spreadsheets/d/1-8mtAH3W3wB6vOACOyJFYoth0_aVpT6zRfhxMRyCPp8/edit#gid=1346637263", "https://docs.google.com/spreadsheets/d/1-8mtAH3W3wB6vOACOyJFYoth0_aVpT6zRfhxMRyCPp8/edit#gid=1346637263")</f>
        <v>https://docs.google.com/spreadsheets/d/1-8mtAH3W3wB6vOACOyJFYoth0_aVpT6zRfhxMRyCPp8/edit#gid=1346637263</v>
      </c>
      <c r="H1382" s="35" t="s">
        <v>1996</v>
      </c>
    </row>
    <row r="1383">
      <c r="D1383" s="15"/>
      <c r="E1383" s="32" t="s">
        <v>178</v>
      </c>
      <c r="F1383" s="35" t="s">
        <v>205</v>
      </c>
      <c r="G1383" s="84" t="str">
        <f>HYPERLINK("https://docs.google.com/spreadsheets/d/1-8mtAH3W3wB6vOACOyJFYoth0_aVpT6zRfhxMRyCPp8/edit#gid=1708661986", "https://docs.google.com/spreadsheets/d/1-8mtAH3W3wB6vOACOyJFYoth0_aVpT6zRfhxMRyCPp8/edit#gid=1708661986")</f>
        <v>https://docs.google.com/spreadsheets/d/1-8mtAH3W3wB6vOACOyJFYoth0_aVpT6zRfhxMRyCPp8/edit#gid=1708661986</v>
      </c>
      <c r="H1383" s="35" t="s">
        <v>1997</v>
      </c>
    </row>
    <row r="1384">
      <c r="D1384" s="15"/>
      <c r="E1384" s="32" t="s">
        <v>178</v>
      </c>
      <c r="F1384" s="35" t="s">
        <v>206</v>
      </c>
      <c r="H1384" s="36"/>
    </row>
    <row r="1385">
      <c r="D1385" s="15"/>
      <c r="E1385" s="32" t="s">
        <v>178</v>
      </c>
      <c r="F1385" s="35" t="s">
        <v>207</v>
      </c>
      <c r="G1385" s="84" t="str">
        <f>HYPERLINK("https://docs.google.com/spreadsheets/d/1-8mtAH3W3wB6vOACOyJFYoth0_aVpT6zRfhxMRyCPp8/edit#gid=1526939776", "https://docs.google.com/spreadsheets/d/1-8mtAH3W3wB6vOACOyJFYoth0_aVpT6zRfhxMRyCPp8/edit#gid=1526939776")</f>
        <v>https://docs.google.com/spreadsheets/d/1-8mtAH3W3wB6vOACOyJFYoth0_aVpT6zRfhxMRyCPp8/edit#gid=1526939776</v>
      </c>
      <c r="H1385" s="35" t="s">
        <v>1998</v>
      </c>
    </row>
    <row r="1386">
      <c r="D1386" s="15"/>
      <c r="E1386" s="32" t="s">
        <v>178</v>
      </c>
      <c r="F1386" s="35" t="s">
        <v>208</v>
      </c>
      <c r="G1386" s="84" t="str">
        <f>HYPERLINK("https://docs.google.com/spreadsheets/d/1-8mtAH3W3wB6vOACOyJFYoth0_aVpT6zRfhxMRyCPp8/edit#gid=181361169", "https://docs.google.com/spreadsheets/d/1-8mtAH3W3wB6vOACOyJFYoth0_aVpT6zRfhxMRyCPp8/edit#gid=181361169")</f>
        <v>https://docs.google.com/spreadsheets/d/1-8mtAH3W3wB6vOACOyJFYoth0_aVpT6zRfhxMRyCPp8/edit#gid=181361169</v>
      </c>
      <c r="H1386" s="35" t="s">
        <v>208</v>
      </c>
    </row>
    <row r="1387">
      <c r="D1387" s="15"/>
      <c r="E1387" s="32" t="s">
        <v>178</v>
      </c>
      <c r="F1387" s="35" t="s">
        <v>182</v>
      </c>
      <c r="G1387" s="84" t="str">
        <f>HYPERLINK("https://docs.google.com/spreadsheets/d/1-8mtAH3W3wB6vOACOyJFYoth0_aVpT6zRfhxMRyCPp8/edit#gid=1404803320", "https://docs.google.com/spreadsheets/d/1-8mtAH3W3wB6vOACOyJFYoth0_aVpT6zRfhxMRyCPp8/edit#gid=1404803320")</f>
        <v>https://docs.google.com/spreadsheets/d/1-8mtAH3W3wB6vOACOyJFYoth0_aVpT6zRfhxMRyCPp8/edit#gid=1404803320</v>
      </c>
      <c r="H1387" s="35" t="s">
        <v>182</v>
      </c>
    </row>
    <row r="1388">
      <c r="D1388" s="15"/>
      <c r="E1388" s="32" t="s">
        <v>178</v>
      </c>
      <c r="F1388" s="35" t="s">
        <v>180</v>
      </c>
      <c r="G1388" s="84" t="str">
        <f>HYPERLINK("https://docs.google.com/spreadsheets/d/1-8mtAH3W3wB6vOACOyJFYoth0_aVpT6zRfhxMRyCPp8/edit#gid=117502562", "https://docs.google.com/spreadsheets/d/1-8mtAH3W3wB6vOACOyJFYoth0_aVpT6zRfhxMRyCPp8/edit#gid=117502562")</f>
        <v>https://docs.google.com/spreadsheets/d/1-8mtAH3W3wB6vOACOyJFYoth0_aVpT6zRfhxMRyCPp8/edit#gid=117502562</v>
      </c>
      <c r="H1388" s="35" t="s">
        <v>180</v>
      </c>
    </row>
    <row r="1389">
      <c r="D1389" s="15"/>
      <c r="E1389" s="32" t="s">
        <v>178</v>
      </c>
      <c r="F1389" s="35" t="s">
        <v>209</v>
      </c>
      <c r="G1389" s="84" t="str">
        <f>HYPERLINK("https://docs.google.com/spreadsheets/d/1-8mtAH3W3wB6vOACOyJFYoth0_aVpT6zRfhxMRyCPp8/edit#gid=1204320760", "https://docs.google.com/spreadsheets/d/1-8mtAH3W3wB6vOACOyJFYoth0_aVpT6zRfhxMRyCPp8/edit#gid=1204320760")</f>
        <v>https://docs.google.com/spreadsheets/d/1-8mtAH3W3wB6vOACOyJFYoth0_aVpT6zRfhxMRyCPp8/edit#gid=1204320760</v>
      </c>
      <c r="H1389" s="35" t="s">
        <v>209</v>
      </c>
    </row>
    <row r="1390">
      <c r="D1390" s="15"/>
      <c r="E1390" s="32" t="s">
        <v>178</v>
      </c>
      <c r="F1390" s="35" t="s">
        <v>210</v>
      </c>
      <c r="G1390" s="84" t="str">
        <f>HYPERLINK("https://docs.google.com/spreadsheets/d/1-8mtAH3W3wB6vOACOyJFYoth0_aVpT6zRfhxMRyCPp8/edit#gid=1478805266", "https://docs.google.com/spreadsheets/d/1-8mtAH3W3wB6vOACOyJFYoth0_aVpT6zRfhxMRyCPp8/edit#gid=1478805266")</f>
        <v>https://docs.google.com/spreadsheets/d/1-8mtAH3W3wB6vOACOyJFYoth0_aVpT6zRfhxMRyCPp8/edit#gid=1478805266</v>
      </c>
      <c r="H1390" s="35" t="s">
        <v>210</v>
      </c>
    </row>
    <row r="1391">
      <c r="D1391" s="15"/>
      <c r="E1391" s="32" t="s">
        <v>157</v>
      </c>
      <c r="F1391" s="35" t="s">
        <v>161</v>
      </c>
      <c r="G1391" s="84" t="str">
        <f>HYPERLINK("https://docs.google.com/spreadsheets/d/1-8mtAH3W3wB6vOACOyJFYoth0_aVpT6zRfhxMRyCPp8/edit#gid=52184999", "https://docs.google.com/spreadsheets/d/1-8mtAH3W3wB6vOACOyJFYoth0_aVpT6zRfhxMRyCPp8/edit#gid=52184999")</f>
        <v>https://docs.google.com/spreadsheets/d/1-8mtAH3W3wB6vOACOyJFYoth0_aVpT6zRfhxMRyCPp8/edit#gid=52184999</v>
      </c>
      <c r="H1391" s="35" t="s">
        <v>161</v>
      </c>
    </row>
    <row r="1392">
      <c r="D1392" s="15"/>
      <c r="E1392" s="32" t="s">
        <v>157</v>
      </c>
      <c r="F1392" s="35" t="s">
        <v>158</v>
      </c>
      <c r="G1392" s="84" t="str">
        <f>HYPERLINK("https://docs.google.com/spreadsheets/d/1-8mtAH3W3wB6vOACOyJFYoth0_aVpT6zRfhxMRyCPp8/edit#gid=1230290656", "https://docs.google.com/spreadsheets/d/1-8mtAH3W3wB6vOACOyJFYoth0_aVpT6zRfhxMRyCPp8/edit#gid=1230290656")</f>
        <v>https://docs.google.com/spreadsheets/d/1-8mtAH3W3wB6vOACOyJFYoth0_aVpT6zRfhxMRyCPp8/edit#gid=1230290656</v>
      </c>
      <c r="H1392" s="35" t="s">
        <v>158</v>
      </c>
    </row>
    <row r="1393">
      <c r="D1393" s="15"/>
      <c r="E1393" s="32" t="s">
        <v>157</v>
      </c>
      <c r="F1393" s="35" t="s">
        <v>196</v>
      </c>
      <c r="G1393" s="84" t="str">
        <f>HYPERLINK("https://docs.google.com/spreadsheets/d/1-8mtAH3W3wB6vOACOyJFYoth0_aVpT6zRfhxMRyCPp8/edit#gid=97467994", "https://docs.google.com/spreadsheets/d/1-8mtAH3W3wB6vOACOyJFYoth0_aVpT6zRfhxMRyCPp8/edit#gid=97467994")</f>
        <v>https://docs.google.com/spreadsheets/d/1-8mtAH3W3wB6vOACOyJFYoth0_aVpT6zRfhxMRyCPp8/edit#gid=97467994</v>
      </c>
      <c r="H1393" s="35" t="s">
        <v>196</v>
      </c>
    </row>
    <row r="1394">
      <c r="D1394" s="15"/>
      <c r="E1394" s="32" t="s">
        <v>172</v>
      </c>
      <c r="F1394" s="35" t="s">
        <v>173</v>
      </c>
      <c r="G1394" s="84" t="str">
        <f>HYPERLINK("https://docs.google.com/spreadsheets/d/1-8mtAH3W3wB6vOACOyJFYoth0_aVpT6zRfhxMRyCPp8/edit#gid=632188980", "https://docs.google.com/spreadsheets/d/1-8mtAH3W3wB6vOACOyJFYoth0_aVpT6zRfhxMRyCPp8/edit#gid=632188980")</f>
        <v>https://docs.google.com/spreadsheets/d/1-8mtAH3W3wB6vOACOyJFYoth0_aVpT6zRfhxMRyCPp8/edit#gid=632188980</v>
      </c>
      <c r="H1394" s="35" t="s">
        <v>2054</v>
      </c>
    </row>
    <row r="1395">
      <c r="D1395" s="15"/>
      <c r="E1395" s="32" t="s">
        <v>172</v>
      </c>
      <c r="F1395" s="35" t="s">
        <v>402</v>
      </c>
      <c r="G1395" s="84" t="str">
        <f>HYPERLINK("https://docs.google.com/spreadsheets/d/1-8mtAH3W3wB6vOACOyJFYoth0_aVpT6zRfhxMRyCPp8/edit#gid=977752150", "https://docs.google.com/spreadsheets/d/1-8mtAH3W3wB6vOACOyJFYoth0_aVpT6zRfhxMRyCPp8/edit#gid=977752150")</f>
        <v>https://docs.google.com/spreadsheets/d/1-8mtAH3W3wB6vOACOyJFYoth0_aVpT6zRfhxMRyCPp8/edit#gid=977752150</v>
      </c>
      <c r="H1395" s="35" t="s">
        <v>2055</v>
      </c>
    </row>
    <row r="1396">
      <c r="D1396" s="15"/>
      <c r="E1396" s="32" t="s">
        <v>172</v>
      </c>
      <c r="F1396" s="35" t="s">
        <v>203</v>
      </c>
      <c r="G1396" s="84" t="str">
        <f>HYPERLINK("https://docs.google.com/spreadsheets/d/1-8mtAH3W3wB6vOACOyJFYoth0_aVpT6zRfhxMRyCPp8/edit#gid=1144155433", "https://docs.google.com/spreadsheets/d/1-8mtAH3W3wB6vOACOyJFYoth0_aVpT6zRfhxMRyCPp8/edit#gid=1144155433")</f>
        <v>https://docs.google.com/spreadsheets/d/1-8mtAH3W3wB6vOACOyJFYoth0_aVpT6zRfhxMRyCPp8/edit#gid=1144155433</v>
      </c>
      <c r="H1396" s="35" t="s">
        <v>1999</v>
      </c>
    </row>
    <row r="1397">
      <c r="D1397" s="15"/>
      <c r="E1397" s="32" t="s">
        <v>172</v>
      </c>
      <c r="F1397" s="35" t="s">
        <v>204</v>
      </c>
      <c r="G1397" s="84" t="str">
        <f>HYPERLINK("https://docs.google.com/spreadsheets/d/1-8mtAH3W3wB6vOACOyJFYoth0_aVpT6zRfhxMRyCPp8/edit#gid=2094601220", "https://docs.google.com/spreadsheets/d/1-8mtAH3W3wB6vOACOyJFYoth0_aVpT6zRfhxMRyCPp8/edit#gid=2094601220")</f>
        <v>https://docs.google.com/spreadsheets/d/1-8mtAH3W3wB6vOACOyJFYoth0_aVpT6zRfhxMRyCPp8/edit#gid=2094601220</v>
      </c>
      <c r="H1397" s="35" t="s">
        <v>2000</v>
      </c>
    </row>
    <row r="1398">
      <c r="D1398" s="15"/>
      <c r="E1398" s="32" t="s">
        <v>178</v>
      </c>
      <c r="F1398" s="35" t="s">
        <v>207</v>
      </c>
      <c r="G1398" s="84" t="str">
        <f>HYPERLINK("https://docs.google.com/spreadsheets/d/1-8mtAH3W3wB6vOACOyJFYoth0_aVpT6zRfhxMRyCPp8/edit#gid=1642010203", "https://docs.google.com/spreadsheets/d/1-8mtAH3W3wB6vOACOyJFYoth0_aVpT6zRfhxMRyCPp8/edit#gid=1642010203")</f>
        <v>https://docs.google.com/spreadsheets/d/1-8mtAH3W3wB6vOACOyJFYoth0_aVpT6zRfhxMRyCPp8/edit#gid=1642010203</v>
      </c>
      <c r="H1398" s="35" t="s">
        <v>2001</v>
      </c>
    </row>
    <row r="1399">
      <c r="D1399" s="15"/>
      <c r="E1399" s="32" t="s">
        <v>178</v>
      </c>
      <c r="F1399" s="35" t="s">
        <v>208</v>
      </c>
      <c r="G1399" s="84" t="str">
        <f>HYPERLINK("https://docs.google.com/spreadsheets/d/1-8mtAH3W3wB6vOACOyJFYoth0_aVpT6zRfhxMRyCPp8/edit#gid=306749115", "https://docs.google.com/spreadsheets/d/1-8mtAH3W3wB6vOACOyJFYoth0_aVpT6zRfhxMRyCPp8/edit#gid=306749115")</f>
        <v>https://docs.google.com/spreadsheets/d/1-8mtAH3W3wB6vOACOyJFYoth0_aVpT6zRfhxMRyCPp8/edit#gid=306749115</v>
      </c>
      <c r="H1399" s="35" t="s">
        <v>2002</v>
      </c>
    </row>
    <row r="1400">
      <c r="D1400" s="15"/>
      <c r="E1400" s="32" t="s">
        <v>178</v>
      </c>
      <c r="F1400" s="35" t="s">
        <v>182</v>
      </c>
      <c r="G1400" s="84" t="str">
        <f>HYPERLINK("https://docs.google.com/spreadsheets/d/1-8mtAH3W3wB6vOACOyJFYoth0_aVpT6zRfhxMRyCPp8/edit#gid=213114310", "https://docs.google.com/spreadsheets/d/1-8mtAH3W3wB6vOACOyJFYoth0_aVpT6zRfhxMRyCPp8/edit#gid=213114310")</f>
        <v>https://docs.google.com/spreadsheets/d/1-8mtAH3W3wB6vOACOyJFYoth0_aVpT6zRfhxMRyCPp8/edit#gid=213114310</v>
      </c>
      <c r="H1400" s="35" t="s">
        <v>2003</v>
      </c>
    </row>
    <row r="1401">
      <c r="D1401" s="15"/>
      <c r="E1401" s="32" t="s">
        <v>178</v>
      </c>
      <c r="F1401" s="35" t="s">
        <v>180</v>
      </c>
      <c r="G1401" s="84" t="str">
        <f>HYPERLINK("https://docs.google.com/spreadsheets/d/1-8mtAH3W3wB6vOACOyJFYoth0_aVpT6zRfhxMRyCPp8/edit#gid=1814132156", "https://docs.google.com/spreadsheets/d/1-8mtAH3W3wB6vOACOyJFYoth0_aVpT6zRfhxMRyCPp8/edit#gid=1814132156")</f>
        <v>https://docs.google.com/spreadsheets/d/1-8mtAH3W3wB6vOACOyJFYoth0_aVpT6zRfhxMRyCPp8/edit#gid=1814132156</v>
      </c>
      <c r="H1401" s="35" t="s">
        <v>2009</v>
      </c>
    </row>
    <row r="1402">
      <c r="D1402" s="15"/>
      <c r="E1402" s="32" t="s">
        <v>178</v>
      </c>
      <c r="F1402" s="35" t="s">
        <v>209</v>
      </c>
      <c r="G1402" s="84" t="str">
        <f>HYPERLINK("https://docs.google.com/spreadsheets/d/1-8mtAH3W3wB6vOACOyJFYoth0_aVpT6zRfhxMRyCPp8/edit#gid=1517503536", "https://docs.google.com/spreadsheets/d/1-8mtAH3W3wB6vOACOyJFYoth0_aVpT6zRfhxMRyCPp8/edit#gid=1517503536")</f>
        <v>https://docs.google.com/spreadsheets/d/1-8mtAH3W3wB6vOACOyJFYoth0_aVpT6zRfhxMRyCPp8/edit#gid=1517503536</v>
      </c>
      <c r="H1402" s="35" t="s">
        <v>1986</v>
      </c>
    </row>
    <row r="1403">
      <c r="D1403" s="15"/>
      <c r="E1403" s="32" t="s">
        <v>178</v>
      </c>
      <c r="F1403" s="35" t="s">
        <v>210</v>
      </c>
      <c r="G1403" s="84" t="str">
        <f>HYPERLINK("https://docs.google.com/spreadsheets/d/1-8mtAH3W3wB6vOACOyJFYoth0_aVpT6zRfhxMRyCPp8/edit#gid=2042126121", "https://docs.google.com/spreadsheets/d/1-8mtAH3W3wB6vOACOyJFYoth0_aVpT6zRfhxMRyCPp8/edit#gid=2042126121")</f>
        <v>https://docs.google.com/spreadsheets/d/1-8mtAH3W3wB6vOACOyJFYoth0_aVpT6zRfhxMRyCPp8/edit#gid=2042126121</v>
      </c>
      <c r="H1403" s="35" t="s">
        <v>1987</v>
      </c>
    </row>
    <row r="1404">
      <c r="D1404" s="15"/>
      <c r="E1404" s="32" t="s">
        <v>86</v>
      </c>
      <c r="F1404" s="35" t="s">
        <v>90</v>
      </c>
      <c r="G1404" s="84" t="str">
        <f>HYPERLINK("https://docs.google.com/spreadsheets/d/1-8mtAH3W3wB6vOACOyJFYoth0_aVpT6zRfhxMRyCPp8/edit#gid=639207596", "https://docs.google.com/spreadsheets/d/1-8mtAH3W3wB6vOACOyJFYoth0_aVpT6zRfhxMRyCPp8/edit#gid=639207596")</f>
        <v>https://docs.google.com/spreadsheets/d/1-8mtAH3W3wB6vOACOyJFYoth0_aVpT6zRfhxMRyCPp8/edit#gid=639207596</v>
      </c>
      <c r="H1404" s="35" t="s">
        <v>90</v>
      </c>
    </row>
    <row r="1405">
      <c r="D1405" s="15"/>
      <c r="E1405" s="32" t="s">
        <v>86</v>
      </c>
      <c r="F1405" s="35" t="s">
        <v>338</v>
      </c>
      <c r="G1405" s="84" t="str">
        <f>HYPERLINK("https://docs.google.com/spreadsheets/d/1-8mtAH3W3wB6vOACOyJFYoth0_aVpT6zRfhxMRyCPp8/edit#gid=60509516", "https://docs.google.com/spreadsheets/d/1-8mtAH3W3wB6vOACOyJFYoth0_aVpT6zRfhxMRyCPp8/edit#gid=60509516")</f>
        <v>https://docs.google.com/spreadsheets/d/1-8mtAH3W3wB6vOACOyJFYoth0_aVpT6zRfhxMRyCPp8/edit#gid=60509516</v>
      </c>
      <c r="H1405" s="35" t="s">
        <v>338</v>
      </c>
    </row>
    <row r="1406">
      <c r="D1406" s="15"/>
      <c r="E1406" s="32" t="s">
        <v>88</v>
      </c>
      <c r="F1406" s="35" t="s">
        <v>95</v>
      </c>
      <c r="G1406" s="84" t="str">
        <f>HYPERLINK("https://docs.google.com/spreadsheets/d/1-8mtAH3W3wB6vOACOyJFYoth0_aVpT6zRfhxMRyCPp8/edit#gid=1366711380", "https://docs.google.com/spreadsheets/d/1-8mtAH3W3wB6vOACOyJFYoth0_aVpT6zRfhxMRyCPp8/edit#gid=1366711380")</f>
        <v>https://docs.google.com/spreadsheets/d/1-8mtAH3W3wB6vOACOyJFYoth0_aVpT6zRfhxMRyCPp8/edit#gid=1366711380</v>
      </c>
      <c r="H1406" s="35" t="s">
        <v>95</v>
      </c>
    </row>
    <row r="1407">
      <c r="D1407" s="15"/>
      <c r="E1407" s="32" t="s">
        <v>88</v>
      </c>
      <c r="F1407" s="35" t="s">
        <v>96</v>
      </c>
      <c r="G1407" s="84" t="str">
        <f>HYPERLINK("https://docs.google.com/spreadsheets/d/1-8mtAH3W3wB6vOACOyJFYoth0_aVpT6zRfhxMRyCPp8/edit#gid=1654257985", "https://docs.google.com/spreadsheets/d/1-8mtAH3W3wB6vOACOyJFYoth0_aVpT6zRfhxMRyCPp8/edit#gid=1654257985")</f>
        <v>https://docs.google.com/spreadsheets/d/1-8mtAH3W3wB6vOACOyJFYoth0_aVpT6zRfhxMRyCPp8/edit#gid=1654257985</v>
      </c>
      <c r="H1407" s="35" t="s">
        <v>96</v>
      </c>
    </row>
    <row r="1408">
      <c r="D1408" s="15"/>
      <c r="E1408" s="32"/>
      <c r="F1408" s="35"/>
      <c r="H1408" s="35"/>
    </row>
    <row r="1409">
      <c r="B1409" s="35" t="s">
        <v>2136</v>
      </c>
      <c r="C1409" s="35" t="s">
        <v>2127</v>
      </c>
      <c r="D1409" s="32" t="s">
        <v>20</v>
      </c>
      <c r="E1409" s="32" t="s">
        <v>89</v>
      </c>
      <c r="F1409" s="35" t="s">
        <v>291</v>
      </c>
      <c r="H1409" s="36"/>
    </row>
    <row r="1410">
      <c r="B1410" s="35" t="s">
        <v>2137</v>
      </c>
      <c r="C1410" s="210" t="s">
        <v>2138</v>
      </c>
      <c r="D1410" s="32" t="s">
        <v>20</v>
      </c>
      <c r="E1410" s="32" t="s">
        <v>178</v>
      </c>
      <c r="F1410" s="35" t="s">
        <v>201</v>
      </c>
      <c r="G1410" s="84" t="str">
        <f>HYPERLINK("https://docs.google.com/spreadsheets/d/1mRdM3sO7RGFz2TssTtM8VWVXBlx5VwJxAskG5jZ8x64/edit#gid=766460829", "https://docs.google.com/spreadsheets/d/1mRdM3sO7RGFz2TssTtM8VWVXBlx5VwJxAskG5jZ8x64/edit#gid=766460829")</f>
        <v>https://docs.google.com/spreadsheets/d/1mRdM3sO7RGFz2TssTtM8VWVXBlx5VwJxAskG5jZ8x64/edit#gid=766460829</v>
      </c>
      <c r="H1410" s="35" t="s">
        <v>201</v>
      </c>
    </row>
    <row r="1411">
      <c r="D1411" s="15"/>
      <c r="E1411" s="32" t="s">
        <v>178</v>
      </c>
      <c r="F1411" s="35" t="s">
        <v>202</v>
      </c>
      <c r="G1411" s="84" t="str">
        <f>HYPERLINK("https://docs.google.com/spreadsheets/d/1mRdM3sO7RGFz2TssTtM8VWVXBlx5VwJxAskG5jZ8x64/edit#gid=2139725274", "https://docs.google.com/spreadsheets/d/1mRdM3sO7RGFz2TssTtM8VWVXBlx5VwJxAskG5jZ8x64/edit#gid=2139725274")</f>
        <v>https://docs.google.com/spreadsheets/d/1mRdM3sO7RGFz2TssTtM8VWVXBlx5VwJxAskG5jZ8x64/edit#gid=2139725274</v>
      </c>
      <c r="H1411" s="35" t="s">
        <v>202</v>
      </c>
    </row>
    <row r="1412">
      <c r="D1412" s="15"/>
      <c r="E1412" s="32" t="s">
        <v>178</v>
      </c>
      <c r="F1412" s="35" t="s">
        <v>202</v>
      </c>
      <c r="G1412" s="84" t="str">
        <f>HYPERLINK("https://docs.google.com/spreadsheets/d/1mRdM3sO7RGFz2TssTtM8VWVXBlx5VwJxAskG5jZ8x64/edit#gid=715361114", "https://docs.google.com/spreadsheets/d/1mRdM3sO7RGFz2TssTtM8VWVXBlx5VwJxAskG5jZ8x64/edit#gid=715361114")</f>
        <v>https://docs.google.com/spreadsheets/d/1mRdM3sO7RGFz2TssTtM8VWVXBlx5VwJxAskG5jZ8x64/edit#gid=715361114</v>
      </c>
      <c r="H1412" s="35" t="s">
        <v>2025</v>
      </c>
    </row>
    <row r="1413">
      <c r="D1413" s="15"/>
      <c r="E1413" s="32" t="s">
        <v>21</v>
      </c>
      <c r="F1413" s="35" t="s">
        <v>51</v>
      </c>
      <c r="G1413" s="84" t="str">
        <f>HYPERLINK("https://docs.google.com/spreadsheets/d/1mRdM3sO7RGFz2TssTtM8VWVXBlx5VwJxAskG5jZ8x64/edit#gid=1117451273", "https://docs.google.com/spreadsheets/d/1mRdM3sO7RGFz2TssTtM8VWVXBlx5VwJxAskG5jZ8x64/edit#gid=1117451273")</f>
        <v>https://docs.google.com/spreadsheets/d/1mRdM3sO7RGFz2TssTtM8VWVXBlx5VwJxAskG5jZ8x64/edit#gid=1117451273</v>
      </c>
      <c r="H1413" s="35" t="s">
        <v>51</v>
      </c>
    </row>
    <row r="1414">
      <c r="D1414" s="15"/>
      <c r="E1414" s="32" t="s">
        <v>172</v>
      </c>
      <c r="F1414" s="35" t="s">
        <v>173</v>
      </c>
      <c r="G1414" s="84" t="str">
        <f>HYPERLINK("https://docs.google.com/spreadsheets/d/1mRdM3sO7RGFz2TssTtM8VWVXBlx5VwJxAskG5jZ8x64/edit#gid=1435084239", "https://docs.google.com/spreadsheets/d/1mRdM3sO7RGFz2TssTtM8VWVXBlx5VwJxAskG5jZ8x64/edit#gid=1435084239")</f>
        <v>https://docs.google.com/spreadsheets/d/1mRdM3sO7RGFz2TssTtM8VWVXBlx5VwJxAskG5jZ8x64/edit#gid=1435084239</v>
      </c>
      <c r="H1414" s="35" t="s">
        <v>173</v>
      </c>
    </row>
    <row r="1415">
      <c r="D1415" s="15"/>
      <c r="E1415" s="32" t="s">
        <v>172</v>
      </c>
      <c r="F1415" s="35" t="s">
        <v>402</v>
      </c>
      <c r="G1415" s="84" t="str">
        <f>HYPERLINK("https://docs.google.com/spreadsheets/d/1mRdM3sO7RGFz2TssTtM8VWVXBlx5VwJxAskG5jZ8x64/edit#gid=1599624397", "https://docs.google.com/spreadsheets/d/1mRdM3sO7RGFz2TssTtM8VWVXBlx5VwJxAskG5jZ8x64/edit#gid=1599624397")</f>
        <v>https://docs.google.com/spreadsheets/d/1mRdM3sO7RGFz2TssTtM8VWVXBlx5VwJxAskG5jZ8x64/edit#gid=1599624397</v>
      </c>
      <c r="H1415" s="35" t="s">
        <v>402</v>
      </c>
    </row>
    <row r="1416">
      <c r="D1416" s="15"/>
      <c r="E1416" s="32" t="s">
        <v>172</v>
      </c>
      <c r="F1416" s="35" t="s">
        <v>203</v>
      </c>
      <c r="G1416" s="84" t="str">
        <f>HYPERLINK("https://docs.google.com/spreadsheets/d/1mRdM3sO7RGFz2TssTtM8VWVXBlx5VwJxAskG5jZ8x64/edit#gid=958144907", "https://docs.google.com/spreadsheets/d/1mRdM3sO7RGFz2TssTtM8VWVXBlx5VwJxAskG5jZ8x64/edit#gid=958144907")</f>
        <v>https://docs.google.com/spreadsheets/d/1mRdM3sO7RGFz2TssTtM8VWVXBlx5VwJxAskG5jZ8x64/edit#gid=958144907</v>
      </c>
      <c r="H1416" s="35" t="s">
        <v>203</v>
      </c>
    </row>
    <row r="1417">
      <c r="D1417" s="15"/>
      <c r="E1417" s="32" t="s">
        <v>172</v>
      </c>
      <c r="F1417" s="35" t="s">
        <v>204</v>
      </c>
      <c r="G1417" s="84" t="str">
        <f>HYPERLINK("https://docs.google.com/spreadsheets/d/1mRdM3sO7RGFz2TssTtM8VWVXBlx5VwJxAskG5jZ8x64/edit#gid=657283773", "https://docs.google.com/spreadsheets/d/1mRdM3sO7RGFz2TssTtM8VWVXBlx5VwJxAskG5jZ8x64/edit#gid=657283773")</f>
        <v>https://docs.google.com/spreadsheets/d/1mRdM3sO7RGFz2TssTtM8VWVXBlx5VwJxAskG5jZ8x64/edit#gid=657283773</v>
      </c>
      <c r="H1417" s="35" t="s">
        <v>204</v>
      </c>
    </row>
    <row r="1418">
      <c r="D1418" s="15"/>
      <c r="E1418" s="32" t="s">
        <v>178</v>
      </c>
      <c r="F1418" s="35" t="s">
        <v>205</v>
      </c>
      <c r="G1418" s="84" t="str">
        <f>HYPERLINK("https://docs.google.com/spreadsheets/d/1mRdM3sO7RGFz2TssTtM8VWVXBlx5VwJxAskG5jZ8x64/edit#gid=1237613435", "https://docs.google.com/spreadsheets/d/1mRdM3sO7RGFz2TssTtM8VWVXBlx5VwJxAskG5jZ8x64/edit#gid=1237613435")</f>
        <v>https://docs.google.com/spreadsheets/d/1mRdM3sO7RGFz2TssTtM8VWVXBlx5VwJxAskG5jZ8x64/edit#gid=1237613435</v>
      </c>
      <c r="H1418" s="35" t="s">
        <v>205</v>
      </c>
    </row>
    <row r="1419">
      <c r="D1419" s="15"/>
      <c r="E1419" s="32" t="s">
        <v>178</v>
      </c>
      <c r="F1419" s="35" t="s">
        <v>206</v>
      </c>
      <c r="H1419" s="36"/>
    </row>
    <row r="1420">
      <c r="D1420" s="15"/>
      <c r="E1420" s="32" t="s">
        <v>178</v>
      </c>
      <c r="F1420" s="35" t="s">
        <v>207</v>
      </c>
      <c r="G1420" s="84" t="str">
        <f>HYPERLINK("https://docs.google.com/spreadsheets/d/1mRdM3sO7RGFz2TssTtM8VWVXBlx5VwJxAskG5jZ8x64/edit#gid=707791462", "https://docs.google.com/spreadsheets/d/1mRdM3sO7RGFz2TssTtM8VWVXBlx5VwJxAskG5jZ8x64/edit#gid=707791462")</f>
        <v>https://docs.google.com/spreadsheets/d/1mRdM3sO7RGFz2TssTtM8VWVXBlx5VwJxAskG5jZ8x64/edit#gid=707791462</v>
      </c>
      <c r="H1420" s="35" t="s">
        <v>207</v>
      </c>
    </row>
    <row r="1421">
      <c r="D1421" s="15"/>
      <c r="E1421" s="32" t="s">
        <v>172</v>
      </c>
      <c r="F1421" s="35" t="s">
        <v>173</v>
      </c>
      <c r="G1421" s="84" t="str">
        <f>HYPERLINK("https://docs.google.com/spreadsheets/d/1mRdM3sO7RGFz2TssTtM8VWVXBlx5VwJxAskG5jZ8x64/edit#gid=2146979674", "https://docs.google.com/spreadsheets/d/1mRdM3sO7RGFz2TssTtM8VWVXBlx5VwJxAskG5jZ8x64/edit#gid=2146979674")</f>
        <v>https://docs.google.com/spreadsheets/d/1mRdM3sO7RGFz2TssTtM8VWVXBlx5VwJxAskG5jZ8x64/edit#gid=2146979674</v>
      </c>
      <c r="H1421" s="35" t="s">
        <v>269</v>
      </c>
    </row>
    <row r="1422">
      <c r="D1422" s="15"/>
      <c r="E1422" s="32" t="s">
        <v>172</v>
      </c>
      <c r="F1422" s="35" t="s">
        <v>402</v>
      </c>
      <c r="G1422" s="84" t="str">
        <f>HYPERLINK("https://docs.google.com/spreadsheets/d/1mRdM3sO7RGFz2TssTtM8VWVXBlx5VwJxAskG5jZ8x64/edit#gid=1212113834", "https://docs.google.com/spreadsheets/d/1mRdM3sO7RGFz2TssTtM8VWVXBlx5VwJxAskG5jZ8x64/edit#gid=1212113834")</f>
        <v>https://docs.google.com/spreadsheets/d/1mRdM3sO7RGFz2TssTtM8VWVXBlx5VwJxAskG5jZ8x64/edit#gid=1212113834</v>
      </c>
      <c r="H1422" s="35" t="s">
        <v>2053</v>
      </c>
    </row>
    <row r="1423">
      <c r="D1423" s="15"/>
      <c r="E1423" s="32" t="s">
        <v>172</v>
      </c>
      <c r="F1423" s="35" t="s">
        <v>203</v>
      </c>
      <c r="G1423" s="84" t="str">
        <f>HYPERLINK("https://docs.google.com/spreadsheets/d/1mRdM3sO7RGFz2TssTtM8VWVXBlx5VwJxAskG5jZ8x64/edit#gid=502028251", "https://docs.google.com/spreadsheets/d/1mRdM3sO7RGFz2TssTtM8VWVXBlx5VwJxAskG5jZ8x64/edit#gid=502028251")</f>
        <v>https://docs.google.com/spreadsheets/d/1mRdM3sO7RGFz2TssTtM8VWVXBlx5VwJxAskG5jZ8x64/edit#gid=502028251</v>
      </c>
      <c r="H1423" s="35" t="s">
        <v>1995</v>
      </c>
    </row>
    <row r="1424">
      <c r="D1424" s="15"/>
      <c r="E1424" s="32" t="s">
        <v>172</v>
      </c>
      <c r="F1424" s="35" t="s">
        <v>204</v>
      </c>
      <c r="G1424" s="84" t="str">
        <f>HYPERLINK("https://docs.google.com/spreadsheets/d/1mRdM3sO7RGFz2TssTtM8VWVXBlx5VwJxAskG5jZ8x64/edit#gid=2009444785", "https://docs.google.com/spreadsheets/d/1mRdM3sO7RGFz2TssTtM8VWVXBlx5VwJxAskG5jZ8x64/edit#gid=2009444785")</f>
        <v>https://docs.google.com/spreadsheets/d/1mRdM3sO7RGFz2TssTtM8VWVXBlx5VwJxAskG5jZ8x64/edit#gid=2009444785</v>
      </c>
      <c r="H1424" s="35" t="s">
        <v>1996</v>
      </c>
    </row>
    <row r="1425">
      <c r="D1425" s="15"/>
      <c r="E1425" s="32" t="s">
        <v>178</v>
      </c>
      <c r="F1425" s="35" t="s">
        <v>205</v>
      </c>
      <c r="G1425" s="84" t="str">
        <f>HYPERLINK("https://docs.google.com/spreadsheets/d/1mRdM3sO7RGFz2TssTtM8VWVXBlx5VwJxAskG5jZ8x64/edit#gid=450007313", "https://docs.google.com/spreadsheets/d/1mRdM3sO7RGFz2TssTtM8VWVXBlx5VwJxAskG5jZ8x64/edit#gid=450007313")</f>
        <v>https://docs.google.com/spreadsheets/d/1mRdM3sO7RGFz2TssTtM8VWVXBlx5VwJxAskG5jZ8x64/edit#gid=450007313</v>
      </c>
      <c r="H1425" s="35" t="s">
        <v>1997</v>
      </c>
    </row>
    <row r="1426">
      <c r="D1426" s="15"/>
      <c r="E1426" s="32" t="s">
        <v>178</v>
      </c>
      <c r="F1426" s="35" t="s">
        <v>206</v>
      </c>
      <c r="H1426" s="36"/>
    </row>
    <row r="1427">
      <c r="D1427" s="15"/>
      <c r="E1427" s="32" t="s">
        <v>178</v>
      </c>
      <c r="F1427" s="35" t="s">
        <v>207</v>
      </c>
      <c r="G1427" s="84" t="str">
        <f>HYPERLINK("https://docs.google.com/spreadsheets/d/1mRdM3sO7RGFz2TssTtM8VWVXBlx5VwJxAskG5jZ8x64/edit#gid=524382906", "https://docs.google.com/spreadsheets/d/1mRdM3sO7RGFz2TssTtM8VWVXBlx5VwJxAskG5jZ8x64/edit#gid=524382906")</f>
        <v>https://docs.google.com/spreadsheets/d/1mRdM3sO7RGFz2TssTtM8VWVXBlx5VwJxAskG5jZ8x64/edit#gid=524382906</v>
      </c>
      <c r="H1427" s="35" t="s">
        <v>1998</v>
      </c>
    </row>
    <row r="1428">
      <c r="D1428" s="15"/>
      <c r="E1428" s="32" t="s">
        <v>178</v>
      </c>
      <c r="F1428" s="35" t="s">
        <v>208</v>
      </c>
      <c r="G1428" s="84" t="str">
        <f>HYPERLINK("https://docs.google.com/spreadsheets/d/1mRdM3sO7RGFz2TssTtM8VWVXBlx5VwJxAskG5jZ8x64/edit#gid=1331588142", "https://docs.google.com/spreadsheets/d/1mRdM3sO7RGFz2TssTtM8VWVXBlx5VwJxAskG5jZ8x64/edit#gid=1331588142")</f>
        <v>https://docs.google.com/spreadsheets/d/1mRdM3sO7RGFz2TssTtM8VWVXBlx5VwJxAskG5jZ8x64/edit#gid=1331588142</v>
      </c>
      <c r="H1428" s="35" t="s">
        <v>208</v>
      </c>
    </row>
    <row r="1429">
      <c r="D1429" s="15"/>
      <c r="E1429" s="32" t="s">
        <v>178</v>
      </c>
      <c r="F1429" s="35" t="s">
        <v>182</v>
      </c>
      <c r="G1429" s="84" t="str">
        <f>HYPERLINK("https://docs.google.com/spreadsheets/d/1mRdM3sO7RGFz2TssTtM8VWVXBlx5VwJxAskG5jZ8x64/edit#gid=114633010", "https://docs.google.com/spreadsheets/d/1mRdM3sO7RGFz2TssTtM8VWVXBlx5VwJxAskG5jZ8x64/edit#gid=114633010")</f>
        <v>https://docs.google.com/spreadsheets/d/1mRdM3sO7RGFz2TssTtM8VWVXBlx5VwJxAskG5jZ8x64/edit#gid=114633010</v>
      </c>
      <c r="H1429" s="35" t="s">
        <v>182</v>
      </c>
    </row>
    <row r="1430">
      <c r="D1430" s="15"/>
      <c r="E1430" s="32" t="s">
        <v>178</v>
      </c>
      <c r="F1430" s="35" t="s">
        <v>180</v>
      </c>
      <c r="G1430" s="84" t="str">
        <f>HYPERLINK("https://docs.google.com/spreadsheets/d/1mRdM3sO7RGFz2TssTtM8VWVXBlx5VwJxAskG5jZ8x64/edit#gid=852734899", "https://docs.google.com/spreadsheets/d/1mRdM3sO7RGFz2TssTtM8VWVXBlx5VwJxAskG5jZ8x64/edit#gid=852734899")</f>
        <v>https://docs.google.com/spreadsheets/d/1mRdM3sO7RGFz2TssTtM8VWVXBlx5VwJxAskG5jZ8x64/edit#gid=852734899</v>
      </c>
      <c r="H1430" s="35" t="s">
        <v>180</v>
      </c>
    </row>
    <row r="1431">
      <c r="D1431" s="15"/>
      <c r="E1431" s="32" t="s">
        <v>178</v>
      </c>
      <c r="F1431" s="35" t="s">
        <v>209</v>
      </c>
      <c r="G1431" s="84" t="str">
        <f>HYPERLINK("https://docs.google.com/spreadsheets/d/1mRdM3sO7RGFz2TssTtM8VWVXBlx5VwJxAskG5jZ8x64/edit#gid=1835617398", "https://docs.google.com/spreadsheets/d/1mRdM3sO7RGFz2TssTtM8VWVXBlx5VwJxAskG5jZ8x64/edit#gid=1835617398")</f>
        <v>https://docs.google.com/spreadsheets/d/1mRdM3sO7RGFz2TssTtM8VWVXBlx5VwJxAskG5jZ8x64/edit#gid=1835617398</v>
      </c>
      <c r="H1431" s="35" t="s">
        <v>209</v>
      </c>
    </row>
    <row r="1432">
      <c r="D1432" s="15"/>
      <c r="E1432" s="32" t="s">
        <v>178</v>
      </c>
      <c r="F1432" s="35" t="s">
        <v>210</v>
      </c>
      <c r="G1432" s="84" t="str">
        <f>HYPERLINK("https://docs.google.com/spreadsheets/d/1mRdM3sO7RGFz2TssTtM8VWVXBlx5VwJxAskG5jZ8x64/edit#gid=1526589566", "https://docs.google.com/spreadsheets/d/1mRdM3sO7RGFz2TssTtM8VWVXBlx5VwJxAskG5jZ8x64/edit#gid=1526589566")</f>
        <v>https://docs.google.com/spreadsheets/d/1mRdM3sO7RGFz2TssTtM8VWVXBlx5VwJxAskG5jZ8x64/edit#gid=1526589566</v>
      </c>
      <c r="H1432" s="35" t="s">
        <v>210</v>
      </c>
    </row>
    <row r="1433">
      <c r="D1433" s="15"/>
      <c r="E1433" s="32" t="s">
        <v>157</v>
      </c>
      <c r="F1433" s="35" t="s">
        <v>161</v>
      </c>
      <c r="G1433" s="84" t="str">
        <f>HYPERLINK("https://docs.google.com/spreadsheets/d/1mRdM3sO7RGFz2TssTtM8VWVXBlx5VwJxAskG5jZ8x64/edit#gid=2071003591", "https://docs.google.com/spreadsheets/d/1mRdM3sO7RGFz2TssTtM8VWVXBlx5VwJxAskG5jZ8x64/edit#gid=2071003591")</f>
        <v>https://docs.google.com/spreadsheets/d/1mRdM3sO7RGFz2TssTtM8VWVXBlx5VwJxAskG5jZ8x64/edit#gid=2071003591</v>
      </c>
      <c r="H1433" s="35" t="s">
        <v>161</v>
      </c>
    </row>
    <row r="1434">
      <c r="D1434" s="15"/>
      <c r="E1434" s="32" t="s">
        <v>157</v>
      </c>
      <c r="F1434" s="35" t="s">
        <v>158</v>
      </c>
      <c r="G1434" s="84" t="str">
        <f>HYPERLINK("https://docs.google.com/spreadsheets/d/1mRdM3sO7RGFz2TssTtM8VWVXBlx5VwJxAskG5jZ8x64/edit#gid=710656347", "https://docs.google.com/spreadsheets/d/1mRdM3sO7RGFz2TssTtM8VWVXBlx5VwJxAskG5jZ8x64/edit#gid=710656347")</f>
        <v>https://docs.google.com/spreadsheets/d/1mRdM3sO7RGFz2TssTtM8VWVXBlx5VwJxAskG5jZ8x64/edit#gid=710656347</v>
      </c>
      <c r="H1434" s="35" t="s">
        <v>158</v>
      </c>
    </row>
    <row r="1435">
      <c r="D1435" s="15"/>
      <c r="E1435" s="32" t="s">
        <v>157</v>
      </c>
      <c r="F1435" s="35" t="s">
        <v>196</v>
      </c>
      <c r="G1435" s="84" t="str">
        <f>HYPERLINK("https://docs.google.com/spreadsheets/d/1mRdM3sO7RGFz2TssTtM8VWVXBlx5VwJxAskG5jZ8x64/edit#gid=1873761932", "https://docs.google.com/spreadsheets/d/1mRdM3sO7RGFz2TssTtM8VWVXBlx5VwJxAskG5jZ8x64/edit#gid=1873761932")</f>
        <v>https://docs.google.com/spreadsheets/d/1mRdM3sO7RGFz2TssTtM8VWVXBlx5VwJxAskG5jZ8x64/edit#gid=1873761932</v>
      </c>
      <c r="H1435" s="35" t="s">
        <v>196</v>
      </c>
    </row>
    <row r="1436">
      <c r="D1436" s="15"/>
      <c r="E1436" s="32" t="s">
        <v>172</v>
      </c>
      <c r="F1436" s="35" t="s">
        <v>173</v>
      </c>
      <c r="G1436" s="84" t="str">
        <f>HYPERLINK("https://docs.google.com/spreadsheets/d/1mRdM3sO7RGFz2TssTtM8VWVXBlx5VwJxAskG5jZ8x64/edit#gid=1879558410", "https://docs.google.com/spreadsheets/d/1mRdM3sO7RGFz2TssTtM8VWVXBlx5VwJxAskG5jZ8x64/edit#gid=1879558410")</f>
        <v>https://docs.google.com/spreadsheets/d/1mRdM3sO7RGFz2TssTtM8VWVXBlx5VwJxAskG5jZ8x64/edit#gid=1879558410</v>
      </c>
      <c r="H1436" s="35" t="s">
        <v>2054</v>
      </c>
    </row>
    <row r="1437">
      <c r="D1437" s="15"/>
      <c r="E1437" s="32" t="s">
        <v>172</v>
      </c>
      <c r="F1437" s="35" t="s">
        <v>402</v>
      </c>
      <c r="G1437" s="84" t="str">
        <f>HYPERLINK("https://docs.google.com/spreadsheets/d/1mRdM3sO7RGFz2TssTtM8VWVXBlx5VwJxAskG5jZ8x64/edit#gid=1026963084", "https://docs.google.com/spreadsheets/d/1mRdM3sO7RGFz2TssTtM8VWVXBlx5VwJxAskG5jZ8x64/edit#gid=1026963084")</f>
        <v>https://docs.google.com/spreadsheets/d/1mRdM3sO7RGFz2TssTtM8VWVXBlx5VwJxAskG5jZ8x64/edit#gid=1026963084</v>
      </c>
      <c r="H1437" s="35" t="s">
        <v>2055</v>
      </c>
    </row>
    <row r="1438">
      <c r="D1438" s="15"/>
      <c r="E1438" s="32" t="s">
        <v>172</v>
      </c>
      <c r="F1438" s="35" t="s">
        <v>203</v>
      </c>
      <c r="G1438" s="84" t="str">
        <f>HYPERLINK("https://docs.google.com/spreadsheets/d/1mRdM3sO7RGFz2TssTtM8VWVXBlx5VwJxAskG5jZ8x64/edit#gid=708366639", "https://docs.google.com/spreadsheets/d/1mRdM3sO7RGFz2TssTtM8VWVXBlx5VwJxAskG5jZ8x64/edit#gid=708366639")</f>
        <v>https://docs.google.com/spreadsheets/d/1mRdM3sO7RGFz2TssTtM8VWVXBlx5VwJxAskG5jZ8x64/edit#gid=708366639</v>
      </c>
      <c r="H1438" s="35" t="s">
        <v>1999</v>
      </c>
    </row>
    <row r="1439">
      <c r="D1439" s="15"/>
      <c r="E1439" s="32" t="s">
        <v>172</v>
      </c>
      <c r="F1439" s="35" t="s">
        <v>204</v>
      </c>
      <c r="G1439" s="84" t="str">
        <f>HYPERLINK("https://docs.google.com/spreadsheets/d/1mRdM3sO7RGFz2TssTtM8VWVXBlx5VwJxAskG5jZ8x64/edit#gid=1897814010", "https://docs.google.com/spreadsheets/d/1mRdM3sO7RGFz2TssTtM8VWVXBlx5VwJxAskG5jZ8x64/edit#gid=1897814010")</f>
        <v>https://docs.google.com/spreadsheets/d/1mRdM3sO7RGFz2TssTtM8VWVXBlx5VwJxAskG5jZ8x64/edit#gid=1897814010</v>
      </c>
      <c r="H1439" s="35" t="s">
        <v>2000</v>
      </c>
    </row>
    <row r="1440">
      <c r="D1440" s="15"/>
      <c r="E1440" s="32" t="s">
        <v>178</v>
      </c>
      <c r="F1440" s="35" t="s">
        <v>207</v>
      </c>
      <c r="G1440" s="84" t="str">
        <f>HYPERLINK("https://docs.google.com/spreadsheets/d/1mRdM3sO7RGFz2TssTtM8VWVXBlx5VwJxAskG5jZ8x64/edit#gid=793392931", "https://docs.google.com/spreadsheets/d/1mRdM3sO7RGFz2TssTtM8VWVXBlx5VwJxAskG5jZ8x64/edit#gid=793392931")</f>
        <v>https://docs.google.com/spreadsheets/d/1mRdM3sO7RGFz2TssTtM8VWVXBlx5VwJxAskG5jZ8x64/edit#gid=793392931</v>
      </c>
      <c r="H1440" s="35" t="s">
        <v>2001</v>
      </c>
    </row>
    <row r="1441">
      <c r="D1441" s="15"/>
      <c r="E1441" s="32" t="s">
        <v>178</v>
      </c>
      <c r="F1441" s="35" t="s">
        <v>208</v>
      </c>
      <c r="G1441" s="84" t="str">
        <f>HYPERLINK("https://docs.google.com/spreadsheets/d/1mRdM3sO7RGFz2TssTtM8VWVXBlx5VwJxAskG5jZ8x64/edit#gid=347489095", "https://docs.google.com/spreadsheets/d/1mRdM3sO7RGFz2TssTtM8VWVXBlx5VwJxAskG5jZ8x64/edit#gid=347489095")</f>
        <v>https://docs.google.com/spreadsheets/d/1mRdM3sO7RGFz2TssTtM8VWVXBlx5VwJxAskG5jZ8x64/edit#gid=347489095</v>
      </c>
      <c r="H1441" s="35" t="s">
        <v>2002</v>
      </c>
    </row>
    <row r="1442">
      <c r="D1442" s="15"/>
      <c r="E1442" s="32" t="s">
        <v>178</v>
      </c>
      <c r="F1442" s="35" t="s">
        <v>182</v>
      </c>
      <c r="G1442" s="84" t="str">
        <f>HYPERLINK("https://docs.google.com/spreadsheets/d/1mRdM3sO7RGFz2TssTtM8VWVXBlx5VwJxAskG5jZ8x64/edit#gid=863076932", "https://docs.google.com/spreadsheets/d/1mRdM3sO7RGFz2TssTtM8VWVXBlx5VwJxAskG5jZ8x64/edit#gid=863076932")</f>
        <v>https://docs.google.com/spreadsheets/d/1mRdM3sO7RGFz2TssTtM8VWVXBlx5VwJxAskG5jZ8x64/edit#gid=863076932</v>
      </c>
      <c r="H1442" s="35" t="s">
        <v>2003</v>
      </c>
    </row>
    <row r="1443">
      <c r="D1443" s="15"/>
      <c r="E1443" s="32" t="s">
        <v>178</v>
      </c>
      <c r="F1443" s="35" t="s">
        <v>180</v>
      </c>
      <c r="G1443" s="84" t="str">
        <f>HYPERLINK("https://docs.google.com/spreadsheets/d/1mRdM3sO7RGFz2TssTtM8VWVXBlx5VwJxAskG5jZ8x64/edit#gid=1331826301", "https://docs.google.com/spreadsheets/d/1mRdM3sO7RGFz2TssTtM8VWVXBlx5VwJxAskG5jZ8x64/edit#gid=1331826301")</f>
        <v>https://docs.google.com/spreadsheets/d/1mRdM3sO7RGFz2TssTtM8VWVXBlx5VwJxAskG5jZ8x64/edit#gid=1331826301</v>
      </c>
      <c r="H1443" s="71" t="s">
        <v>2009</v>
      </c>
    </row>
    <row r="1444">
      <c r="D1444" s="15"/>
      <c r="E1444" s="32" t="s">
        <v>178</v>
      </c>
      <c r="F1444" s="35" t="s">
        <v>209</v>
      </c>
      <c r="G1444" s="84" t="str">
        <f>HYPERLINK("https://docs.google.com/spreadsheets/d/1mRdM3sO7RGFz2TssTtM8VWVXBlx5VwJxAskG5jZ8x64/edit#gid=625183642", "https://docs.google.com/spreadsheets/d/1mRdM3sO7RGFz2TssTtM8VWVXBlx5VwJxAskG5jZ8x64/edit#gid=625183642")</f>
        <v>https://docs.google.com/spreadsheets/d/1mRdM3sO7RGFz2TssTtM8VWVXBlx5VwJxAskG5jZ8x64/edit#gid=625183642</v>
      </c>
      <c r="H1444" s="35" t="s">
        <v>1986</v>
      </c>
    </row>
    <row r="1445">
      <c r="D1445" s="15"/>
      <c r="E1445" s="32" t="s">
        <v>178</v>
      </c>
      <c r="F1445" s="35" t="s">
        <v>210</v>
      </c>
      <c r="G1445" s="84" t="str">
        <f>HYPERLINK("https://docs.google.com/spreadsheets/d/1mRdM3sO7RGFz2TssTtM8VWVXBlx5VwJxAskG5jZ8x64/edit#gid=2007547933", "https://docs.google.com/spreadsheets/d/1mRdM3sO7RGFz2TssTtM8VWVXBlx5VwJxAskG5jZ8x64/edit#gid=2007547933")</f>
        <v>https://docs.google.com/spreadsheets/d/1mRdM3sO7RGFz2TssTtM8VWVXBlx5VwJxAskG5jZ8x64/edit#gid=2007547933</v>
      </c>
      <c r="H1445" s="35" t="s">
        <v>1987</v>
      </c>
    </row>
    <row r="1446">
      <c r="D1446" s="15"/>
      <c r="E1446" s="32" t="s">
        <v>86</v>
      </c>
      <c r="F1446" s="35" t="s">
        <v>90</v>
      </c>
      <c r="G1446" s="84" t="str">
        <f>HYPERLINK("https://docs.google.com/spreadsheets/d/1mRdM3sO7RGFz2TssTtM8VWVXBlx5VwJxAskG5jZ8x64/edit#gid=1046752579", "https://docs.google.com/spreadsheets/d/1mRdM3sO7RGFz2TssTtM8VWVXBlx5VwJxAskG5jZ8x64/edit#gid=1046752579")</f>
        <v>https://docs.google.com/spreadsheets/d/1mRdM3sO7RGFz2TssTtM8VWVXBlx5VwJxAskG5jZ8x64/edit#gid=1046752579</v>
      </c>
      <c r="H1446" s="35" t="s">
        <v>90</v>
      </c>
    </row>
    <row r="1447">
      <c r="D1447" s="15"/>
      <c r="E1447" s="32" t="s">
        <v>86</v>
      </c>
      <c r="F1447" s="35" t="s">
        <v>91</v>
      </c>
      <c r="G1447" s="84" t="str">
        <f>HYPERLINK("https://docs.google.com/spreadsheets/d/1mRdM3sO7RGFz2TssTtM8VWVXBlx5VwJxAskG5jZ8x64/edit#gid=1205605794", "https://docs.google.com/spreadsheets/d/1mRdM3sO7RGFz2TssTtM8VWVXBlx5VwJxAskG5jZ8x64/edit#gid=1205605794")</f>
        <v>https://docs.google.com/spreadsheets/d/1mRdM3sO7RGFz2TssTtM8VWVXBlx5VwJxAskG5jZ8x64/edit#gid=1205605794</v>
      </c>
      <c r="H1447" s="35" t="s">
        <v>91</v>
      </c>
    </row>
    <row r="1448">
      <c r="D1448" s="15"/>
      <c r="E1448" s="32" t="s">
        <v>88</v>
      </c>
      <c r="F1448" s="35" t="s">
        <v>95</v>
      </c>
      <c r="G1448" s="84" t="str">
        <f>HYPERLINK("https://docs.google.com/spreadsheets/d/1mRdM3sO7RGFz2TssTtM8VWVXBlx5VwJxAskG5jZ8x64/edit#gid=321092937", "https://docs.google.com/spreadsheets/d/1mRdM3sO7RGFz2TssTtM8VWVXBlx5VwJxAskG5jZ8x64/edit#gid=321092937")</f>
        <v>https://docs.google.com/spreadsheets/d/1mRdM3sO7RGFz2TssTtM8VWVXBlx5VwJxAskG5jZ8x64/edit#gid=321092937</v>
      </c>
      <c r="H1448" s="35" t="s">
        <v>95</v>
      </c>
    </row>
    <row r="1449">
      <c r="D1449" s="15"/>
      <c r="E1449" s="32" t="s">
        <v>88</v>
      </c>
      <c r="F1449" s="35" t="s">
        <v>96</v>
      </c>
      <c r="G1449" s="84" t="str">
        <f>HYPERLINK("https://docs.google.com/spreadsheets/d/1mRdM3sO7RGFz2TssTtM8VWVXBlx5VwJxAskG5jZ8x64/edit#gid=997039834", "https://docs.google.com/spreadsheets/d/1mRdM3sO7RGFz2TssTtM8VWVXBlx5VwJxAskG5jZ8x64/edit#gid=997039834")</f>
        <v>https://docs.google.com/spreadsheets/d/1mRdM3sO7RGFz2TssTtM8VWVXBlx5VwJxAskG5jZ8x64/edit#gid=997039834</v>
      </c>
      <c r="H1449" s="35" t="s">
        <v>96</v>
      </c>
    </row>
    <row r="1450">
      <c r="D1450" s="15"/>
      <c r="E1450" s="32"/>
      <c r="F1450" s="35"/>
      <c r="H1450" s="35"/>
    </row>
    <row r="1451">
      <c r="D1451" s="15"/>
      <c r="E1451" s="32"/>
      <c r="F1451" s="35"/>
      <c r="H1451" s="35"/>
    </row>
    <row r="1452">
      <c r="B1452" s="35" t="s">
        <v>2139</v>
      </c>
      <c r="C1452" s="35" t="s">
        <v>2140</v>
      </c>
      <c r="D1452" s="32" t="s">
        <v>20</v>
      </c>
      <c r="E1452" s="32" t="s">
        <v>89</v>
      </c>
      <c r="F1452" s="35" t="s">
        <v>291</v>
      </c>
      <c r="H1452" s="36"/>
    </row>
    <row r="1453">
      <c r="B1453" s="35" t="s">
        <v>2141</v>
      </c>
      <c r="C1453" s="212" t="s">
        <v>2142</v>
      </c>
      <c r="D1453" s="15"/>
      <c r="E1453" s="32" t="s">
        <v>178</v>
      </c>
      <c r="F1453" s="35" t="s">
        <v>201</v>
      </c>
      <c r="G1453" s="84" t="str">
        <f>HYPERLINK("https://docs.google.com/spreadsheets/d/1rHA3Os5J0_Kq55bF7zfmbA6ccoD6zB_oEENN8XuTg8M/edit#gid=437620652", "https://docs.google.com/spreadsheets/d/1rHA3Os5J0_Kq55bF7zfmbA6ccoD6zB_oEENN8XuTg8M/edit#gid=437620652")</f>
        <v>https://docs.google.com/spreadsheets/d/1rHA3Os5J0_Kq55bF7zfmbA6ccoD6zB_oEENN8XuTg8M/edit#gid=437620652</v>
      </c>
      <c r="H1453" s="35" t="s">
        <v>201</v>
      </c>
    </row>
    <row r="1454">
      <c r="D1454" s="15"/>
      <c r="E1454" s="32" t="s">
        <v>178</v>
      </c>
      <c r="F1454" s="35" t="s">
        <v>202</v>
      </c>
      <c r="G1454" s="84" t="str">
        <f>HYPERLINK("https://docs.google.com/spreadsheets/d/1YsqfL8eQ0KuDI42m6J7W42zXninMI1Y0BFnc2Loey6Y/edit#gid=450997951", "https://docs.google.com/spreadsheets/d/1YsqfL8eQ0KuDI42m6J7W42zXninMI1Y0BFnc2Loey6Y/edit#gid=450997951")</f>
        <v>https://docs.google.com/spreadsheets/d/1YsqfL8eQ0KuDI42m6J7W42zXninMI1Y0BFnc2Loey6Y/edit#gid=450997951</v>
      </c>
      <c r="H1454" s="35" t="s">
        <v>202</v>
      </c>
    </row>
    <row r="1455">
      <c r="D1455" s="15"/>
      <c r="E1455" s="32" t="s">
        <v>21</v>
      </c>
      <c r="F1455" s="35" t="s">
        <v>51</v>
      </c>
      <c r="G1455" s="84" t="str">
        <f>HYPERLINK("https://docs.google.com/spreadsheets/d/1YsqfL8eQ0KuDI42m6J7W42zXninMI1Y0BFnc2Loey6Y/edit#gid=1514416095", "https://docs.google.com/spreadsheets/d/1YsqfL8eQ0KuDI42m6J7W42zXninMI1Y0BFnc2Loey6Y/edit#gid=1514416095")</f>
        <v>https://docs.google.com/spreadsheets/d/1YsqfL8eQ0KuDI42m6J7W42zXninMI1Y0BFnc2Loey6Y/edit#gid=1514416095</v>
      </c>
      <c r="H1455" s="36"/>
    </row>
    <row r="1456">
      <c r="D1456" s="15"/>
      <c r="E1456" s="32" t="s">
        <v>172</v>
      </c>
      <c r="F1456" s="35" t="s">
        <v>173</v>
      </c>
      <c r="G1456" s="84" t="str">
        <f>HYPERLINK("https://docs.google.com/spreadsheets/d/1YsqfL8eQ0KuDI42m6J7W42zXninMI1Y0BFnc2Loey6Y/edit#gid=1405413280", "https://docs.google.com/spreadsheets/d/1YsqfL8eQ0KuDI42m6J7W42zXninMI1Y0BFnc2Loey6Y/edit#gid=1405413280")</f>
        <v>https://docs.google.com/spreadsheets/d/1YsqfL8eQ0KuDI42m6J7W42zXninMI1Y0BFnc2Loey6Y/edit#gid=1405413280</v>
      </c>
      <c r="H1456" s="35" t="s">
        <v>173</v>
      </c>
    </row>
    <row r="1457">
      <c r="D1457" s="15"/>
      <c r="E1457" s="32" t="s">
        <v>172</v>
      </c>
      <c r="F1457" s="35" t="s">
        <v>402</v>
      </c>
      <c r="G1457" s="84" t="str">
        <f>HYPERLINK("https://docs.google.com/spreadsheets/d/1YsqfL8eQ0KuDI42m6J7W42zXninMI1Y0BFnc2Loey6Y/edit#gid=628222450", "https://docs.google.com/spreadsheets/d/1YsqfL8eQ0KuDI42m6J7W42zXninMI1Y0BFnc2Loey6Y/edit#gid=628222450")</f>
        <v>https://docs.google.com/spreadsheets/d/1YsqfL8eQ0KuDI42m6J7W42zXninMI1Y0BFnc2Loey6Y/edit#gid=628222450</v>
      </c>
      <c r="H1457" s="35" t="s">
        <v>402</v>
      </c>
    </row>
    <row r="1458">
      <c r="D1458" s="15"/>
      <c r="E1458" s="32" t="s">
        <v>172</v>
      </c>
      <c r="F1458" s="35" t="s">
        <v>203</v>
      </c>
      <c r="G1458" s="84" t="str">
        <f>HYPERLINK("https://docs.google.com/spreadsheets/d/1YsqfL8eQ0KuDI42m6J7W42zXninMI1Y0BFnc2Loey6Y/edit#gid=370810592", "https://docs.google.com/spreadsheets/d/1YsqfL8eQ0KuDI42m6J7W42zXninMI1Y0BFnc2Loey6Y/edit#gid=370810592")</f>
        <v>https://docs.google.com/spreadsheets/d/1YsqfL8eQ0KuDI42m6J7W42zXninMI1Y0BFnc2Loey6Y/edit#gid=370810592</v>
      </c>
      <c r="H1458" s="35" t="s">
        <v>203</v>
      </c>
    </row>
    <row r="1459">
      <c r="D1459" s="15"/>
      <c r="E1459" s="32" t="s">
        <v>172</v>
      </c>
      <c r="F1459" s="35" t="s">
        <v>204</v>
      </c>
      <c r="G1459" s="84" t="str">
        <f>HYPERLINK("https://docs.google.com/spreadsheets/d/1YsqfL8eQ0KuDI42m6J7W42zXninMI1Y0BFnc2Loey6Y/edit#gid=1662305073", "https://docs.google.com/spreadsheets/d/1YsqfL8eQ0KuDI42m6J7W42zXninMI1Y0BFnc2Loey6Y/edit#gid=1662305073")</f>
        <v>https://docs.google.com/spreadsheets/d/1YsqfL8eQ0KuDI42m6J7W42zXninMI1Y0BFnc2Loey6Y/edit#gid=1662305073</v>
      </c>
      <c r="H1459" s="35" t="s">
        <v>204</v>
      </c>
    </row>
    <row r="1460">
      <c r="D1460" s="15"/>
      <c r="E1460" s="32" t="s">
        <v>178</v>
      </c>
      <c r="F1460" s="35" t="s">
        <v>205</v>
      </c>
      <c r="G1460" s="84" t="str">
        <f>HYPERLINK("https://docs.google.com/spreadsheets/d/1YsqfL8eQ0KuDI42m6J7W42zXninMI1Y0BFnc2Loey6Y/edit#gid=2061681234", "https://docs.google.com/spreadsheets/d/1YsqfL8eQ0KuDI42m6J7W42zXninMI1Y0BFnc2Loey6Y/edit#gid=2061681234")</f>
        <v>https://docs.google.com/spreadsheets/d/1YsqfL8eQ0KuDI42m6J7W42zXninMI1Y0BFnc2Loey6Y/edit#gid=2061681234</v>
      </c>
      <c r="H1460" s="35" t="s">
        <v>205</v>
      </c>
    </row>
    <row r="1461">
      <c r="D1461" s="15"/>
      <c r="E1461" s="32" t="s">
        <v>178</v>
      </c>
      <c r="F1461" s="35" t="s">
        <v>206</v>
      </c>
      <c r="H1461" s="36"/>
    </row>
    <row r="1462">
      <c r="D1462" s="15"/>
      <c r="E1462" s="32" t="s">
        <v>178</v>
      </c>
      <c r="F1462" s="35" t="s">
        <v>207</v>
      </c>
      <c r="G1462" s="84" t="str">
        <f>HYPERLINK("https://docs.google.com/spreadsheets/d/1YsqfL8eQ0KuDI42m6J7W42zXninMI1Y0BFnc2Loey6Y/edit#gid=264288343", "https://docs.google.com/spreadsheets/d/1YsqfL8eQ0KuDI42m6J7W42zXninMI1Y0BFnc2Loey6Y/edit#gid=264288343")</f>
        <v>https://docs.google.com/spreadsheets/d/1YsqfL8eQ0KuDI42m6J7W42zXninMI1Y0BFnc2Loey6Y/edit#gid=264288343</v>
      </c>
      <c r="H1462" s="35" t="s">
        <v>207</v>
      </c>
    </row>
    <row r="1463">
      <c r="D1463" s="15"/>
      <c r="E1463" s="32" t="s">
        <v>21</v>
      </c>
      <c r="F1463" s="35" t="s">
        <v>51</v>
      </c>
      <c r="G1463" s="84" t="str">
        <f>HYPERLINK("https://docs.google.com/spreadsheets/d/1YsqfL8eQ0KuDI42m6J7W42zXninMI1Y0BFnc2Loey6Y/edit#gid=491914729", "https://docs.google.com/spreadsheets/d/1YsqfL8eQ0KuDI42m6J7W42zXninMI1Y0BFnc2Loey6Y/edit#gid=491914729")</f>
        <v>https://docs.google.com/spreadsheets/d/1YsqfL8eQ0KuDI42m6J7W42zXninMI1Y0BFnc2Loey6Y/edit#gid=491914729</v>
      </c>
      <c r="H1463" s="35" t="s">
        <v>1383</v>
      </c>
    </row>
    <row r="1464">
      <c r="D1464" s="15"/>
      <c r="E1464" s="32" t="s">
        <v>86</v>
      </c>
      <c r="F1464" s="35" t="s">
        <v>90</v>
      </c>
      <c r="G1464" s="84" t="str">
        <f>HYPERLINK("https://docs.google.com/spreadsheets/d/1YsqfL8eQ0KuDI42m6J7W42zXninMI1Y0BFnc2Loey6Y/edit#gid=1558568935", "https://docs.google.com/spreadsheets/d/1YsqfL8eQ0KuDI42m6J7W42zXninMI1Y0BFnc2Loey6Y/edit#gid=1558568935")</f>
        <v>https://docs.google.com/spreadsheets/d/1YsqfL8eQ0KuDI42m6J7W42zXninMI1Y0BFnc2Loey6Y/edit#gid=1558568935</v>
      </c>
      <c r="H1464" s="35" t="s">
        <v>90</v>
      </c>
    </row>
    <row r="1465">
      <c r="D1465" s="15"/>
      <c r="E1465" s="32" t="s">
        <v>86</v>
      </c>
      <c r="F1465" s="35" t="s">
        <v>339</v>
      </c>
      <c r="G1465" s="84" t="str">
        <f>HYPERLINK("https://docs.google.com/spreadsheets/d/1YsqfL8eQ0KuDI42m6J7W42zXninMI1Y0BFnc2Loey6Y/edit#gid=1130899222", "https://docs.google.com/spreadsheets/d/1YsqfL8eQ0KuDI42m6J7W42zXninMI1Y0BFnc2Loey6Y/edit#gid=1130899222")</f>
        <v>https://docs.google.com/spreadsheets/d/1YsqfL8eQ0KuDI42m6J7W42zXninMI1Y0BFnc2Loey6Y/edit#gid=1130899222</v>
      </c>
      <c r="H1465" s="35" t="s">
        <v>339</v>
      </c>
    </row>
    <row r="1466">
      <c r="D1466" s="15"/>
      <c r="E1466" s="32" t="s">
        <v>172</v>
      </c>
      <c r="F1466" s="35" t="s">
        <v>173</v>
      </c>
      <c r="G1466" s="84" t="str">
        <f>HYPERLINK("https://docs.google.com/spreadsheets/d/1YsqfL8eQ0KuDI42m6J7W42zXninMI1Y0BFnc2Loey6Y/edit#gid=1292633886", "https://docs.google.com/spreadsheets/d/1YsqfL8eQ0KuDI42m6J7W42zXninMI1Y0BFnc2Loey6Y/edit#gid=1292633886")</f>
        <v>https://docs.google.com/spreadsheets/d/1YsqfL8eQ0KuDI42m6J7W42zXninMI1Y0BFnc2Loey6Y/edit#gid=1292633886</v>
      </c>
      <c r="H1466" s="35" t="s">
        <v>269</v>
      </c>
    </row>
    <row r="1467">
      <c r="D1467" s="15"/>
      <c r="E1467" s="32" t="s">
        <v>172</v>
      </c>
      <c r="F1467" s="35" t="s">
        <v>402</v>
      </c>
      <c r="G1467" s="84" t="str">
        <f>HYPERLINK("https://docs.google.com/spreadsheets/d/1YsqfL8eQ0KuDI42m6J7W42zXninMI1Y0BFnc2Loey6Y/edit#gid=932191003", "https://docs.google.com/spreadsheets/d/1YsqfL8eQ0KuDI42m6J7W42zXninMI1Y0BFnc2Loey6Y/edit#gid=932191003")</f>
        <v>https://docs.google.com/spreadsheets/d/1YsqfL8eQ0KuDI42m6J7W42zXninMI1Y0BFnc2Loey6Y/edit#gid=932191003</v>
      </c>
      <c r="H1467" s="35" t="s">
        <v>2053</v>
      </c>
    </row>
    <row r="1468">
      <c r="D1468" s="15"/>
      <c r="E1468" s="32" t="s">
        <v>172</v>
      </c>
      <c r="F1468" s="35" t="s">
        <v>203</v>
      </c>
      <c r="G1468" s="84" t="str">
        <f>HYPERLINK("https://docs.google.com/spreadsheets/d/1YsqfL8eQ0KuDI42m6J7W42zXninMI1Y0BFnc2Loey6Y/edit#gid=1187462455", "https://docs.google.com/spreadsheets/d/1YsqfL8eQ0KuDI42m6J7W42zXninMI1Y0BFnc2Loey6Y/edit#gid=1187462455")</f>
        <v>https://docs.google.com/spreadsheets/d/1YsqfL8eQ0KuDI42m6J7W42zXninMI1Y0BFnc2Loey6Y/edit#gid=1187462455</v>
      </c>
      <c r="H1468" s="35" t="s">
        <v>1995</v>
      </c>
    </row>
    <row r="1469">
      <c r="D1469" s="15"/>
      <c r="E1469" s="32" t="s">
        <v>172</v>
      </c>
      <c r="F1469" s="35" t="s">
        <v>204</v>
      </c>
      <c r="G1469" s="84" t="str">
        <f>HYPERLINK("https://docs.google.com/spreadsheets/d/1YsqfL8eQ0KuDI42m6J7W42zXninMI1Y0BFnc2Loey6Y/edit#gid=2007986752", "https://docs.google.com/spreadsheets/d/1YsqfL8eQ0KuDI42m6J7W42zXninMI1Y0BFnc2Loey6Y/edit#gid=2007986752")</f>
        <v>https://docs.google.com/spreadsheets/d/1YsqfL8eQ0KuDI42m6J7W42zXninMI1Y0BFnc2Loey6Y/edit#gid=2007986752</v>
      </c>
      <c r="H1469" s="35" t="s">
        <v>1996</v>
      </c>
    </row>
    <row r="1470">
      <c r="D1470" s="15"/>
      <c r="E1470" s="32" t="s">
        <v>178</v>
      </c>
      <c r="F1470" s="35" t="s">
        <v>205</v>
      </c>
      <c r="G1470" s="84" t="str">
        <f>HYPERLINK("https://docs.google.com/spreadsheets/d/1YsqfL8eQ0KuDI42m6J7W42zXninMI1Y0BFnc2Loey6Y/edit#gid=1595609949", "https://docs.google.com/spreadsheets/d/1YsqfL8eQ0KuDI42m6J7W42zXninMI1Y0BFnc2Loey6Y/edit#gid=1595609949")</f>
        <v>https://docs.google.com/spreadsheets/d/1YsqfL8eQ0KuDI42m6J7W42zXninMI1Y0BFnc2Loey6Y/edit#gid=1595609949</v>
      </c>
      <c r="H1470" s="35" t="s">
        <v>1997</v>
      </c>
    </row>
    <row r="1471">
      <c r="D1471" s="15"/>
      <c r="E1471" s="32" t="s">
        <v>178</v>
      </c>
      <c r="F1471" s="35" t="s">
        <v>206</v>
      </c>
      <c r="H1471" s="36"/>
    </row>
    <row r="1472">
      <c r="D1472" s="15"/>
      <c r="E1472" s="32" t="s">
        <v>178</v>
      </c>
      <c r="F1472" s="35" t="s">
        <v>207</v>
      </c>
      <c r="G1472" s="84" t="str">
        <f>HYPERLINK("https://docs.google.com/spreadsheets/d/1YsqfL8eQ0KuDI42m6J7W42zXninMI1Y0BFnc2Loey6Y/edit#gid=1379873415", "https://docs.google.com/spreadsheets/d/1YsqfL8eQ0KuDI42m6J7W42zXninMI1Y0BFnc2Loey6Y/edit#gid=1379873415")</f>
        <v>https://docs.google.com/spreadsheets/d/1YsqfL8eQ0KuDI42m6J7W42zXninMI1Y0BFnc2Loey6Y/edit#gid=1379873415</v>
      </c>
      <c r="H1472" s="35" t="s">
        <v>1998</v>
      </c>
    </row>
    <row r="1473">
      <c r="D1473" s="15"/>
      <c r="E1473" s="32" t="s">
        <v>178</v>
      </c>
      <c r="F1473" s="35" t="s">
        <v>208</v>
      </c>
      <c r="G1473" s="84" t="str">
        <f>HYPERLINK("https://docs.google.com/spreadsheets/d/1YsqfL8eQ0KuDI42m6J7W42zXninMI1Y0BFnc2Loey6Y/edit#gid=1281618612", "https://docs.google.com/spreadsheets/d/1YsqfL8eQ0KuDI42m6J7W42zXninMI1Y0BFnc2Loey6Y/edit#gid=1281618612")</f>
        <v>https://docs.google.com/spreadsheets/d/1YsqfL8eQ0KuDI42m6J7W42zXninMI1Y0BFnc2Loey6Y/edit#gid=1281618612</v>
      </c>
      <c r="H1473" s="36"/>
    </row>
    <row r="1474">
      <c r="D1474" s="15"/>
      <c r="E1474" s="32" t="s">
        <v>178</v>
      </c>
      <c r="F1474" s="35" t="s">
        <v>182</v>
      </c>
      <c r="G1474" s="84" t="str">
        <f>HYPERLINK("https://docs.google.com/spreadsheets/d/1YsqfL8eQ0KuDI42m6J7W42zXninMI1Y0BFnc2Loey6Y/edit#gid=754608494", "https://docs.google.com/spreadsheets/d/1YsqfL8eQ0KuDI42m6J7W42zXninMI1Y0BFnc2Loey6Y/edit#gid=754608494")</f>
        <v>https://docs.google.com/spreadsheets/d/1YsqfL8eQ0KuDI42m6J7W42zXninMI1Y0BFnc2Loey6Y/edit#gid=754608494</v>
      </c>
      <c r="H1474" s="36"/>
    </row>
    <row r="1475">
      <c r="D1475" s="15"/>
      <c r="E1475" s="32" t="s">
        <v>178</v>
      </c>
      <c r="F1475" s="35" t="s">
        <v>180</v>
      </c>
      <c r="G1475" s="84" t="str">
        <f>HYPERLINK("https://docs.google.com/spreadsheets/d/1YsqfL8eQ0KuDI42m6J7W42zXninMI1Y0BFnc2Loey6Y/edit#gid=1647724449", "https://docs.google.com/spreadsheets/d/1YsqfL8eQ0KuDI42m6J7W42zXninMI1Y0BFnc2Loey6Y/edit#gid=1647724449")</f>
        <v>https://docs.google.com/spreadsheets/d/1YsqfL8eQ0KuDI42m6J7W42zXninMI1Y0BFnc2Loey6Y/edit#gid=1647724449</v>
      </c>
      <c r="H1475" s="36"/>
    </row>
    <row r="1476">
      <c r="D1476" s="15"/>
      <c r="E1476" s="32" t="s">
        <v>178</v>
      </c>
      <c r="F1476" s="35" t="s">
        <v>209</v>
      </c>
      <c r="G1476" s="84" t="str">
        <f>HYPERLINK("https://docs.google.com/spreadsheets/d/1YsqfL8eQ0KuDI42m6J7W42zXninMI1Y0BFnc2Loey6Y/edit#gid=528483193", "https://docs.google.com/spreadsheets/d/1YsqfL8eQ0KuDI42m6J7W42zXninMI1Y0BFnc2Loey6Y/edit#gid=528483193")</f>
        <v>https://docs.google.com/spreadsheets/d/1YsqfL8eQ0KuDI42m6J7W42zXninMI1Y0BFnc2Loey6Y/edit#gid=528483193</v>
      </c>
      <c r="H1476" s="35" t="s">
        <v>209</v>
      </c>
    </row>
    <row r="1477">
      <c r="D1477" s="15"/>
      <c r="E1477" s="32" t="s">
        <v>178</v>
      </c>
      <c r="F1477" s="35" t="s">
        <v>210</v>
      </c>
      <c r="G1477" s="84" t="str">
        <f>HYPERLINK("https://docs.google.com/spreadsheets/d/1YsqfL8eQ0KuDI42m6J7W42zXninMI1Y0BFnc2Loey6Y/edit#gid=1824739262", "https://docs.google.com/spreadsheets/d/1YsqfL8eQ0KuDI42m6J7W42zXninMI1Y0BFnc2Loey6Y/edit#gid=1824739262")</f>
        <v>https://docs.google.com/spreadsheets/d/1YsqfL8eQ0KuDI42m6J7W42zXninMI1Y0BFnc2Loey6Y/edit#gid=1824739262</v>
      </c>
      <c r="H1477" s="35" t="s">
        <v>210</v>
      </c>
    </row>
    <row r="1478">
      <c r="D1478" s="15"/>
      <c r="E1478" s="32" t="s">
        <v>157</v>
      </c>
      <c r="F1478" s="35" t="s">
        <v>161</v>
      </c>
      <c r="G1478" s="84" t="str">
        <f>HYPERLINK("https://docs.google.com/spreadsheets/d/1YsqfL8eQ0KuDI42m6J7W42zXninMI1Y0BFnc2Loey6Y/edit#gid=1455884917", "https://docs.google.com/spreadsheets/d/1YsqfL8eQ0KuDI42m6J7W42zXninMI1Y0BFnc2Loey6Y/edit#gid=1455884917")</f>
        <v>https://docs.google.com/spreadsheets/d/1YsqfL8eQ0KuDI42m6J7W42zXninMI1Y0BFnc2Loey6Y/edit#gid=1455884917</v>
      </c>
      <c r="H1478" s="35" t="s">
        <v>161</v>
      </c>
    </row>
    <row r="1479">
      <c r="D1479" s="15"/>
      <c r="E1479" s="32" t="s">
        <v>157</v>
      </c>
      <c r="F1479" s="35" t="s">
        <v>158</v>
      </c>
      <c r="G1479" s="84" t="str">
        <f>HYPERLINK("https://docs.google.com/spreadsheets/d/1YsqfL8eQ0KuDI42m6J7W42zXninMI1Y0BFnc2Loey6Y/edit#gid=1252656693", "https://docs.google.com/spreadsheets/d/1YsqfL8eQ0KuDI42m6J7W42zXninMI1Y0BFnc2Loey6Y/edit#gid=1252656693")</f>
        <v>https://docs.google.com/spreadsheets/d/1YsqfL8eQ0KuDI42m6J7W42zXninMI1Y0BFnc2Loey6Y/edit#gid=1252656693</v>
      </c>
      <c r="H1479" s="35" t="s">
        <v>158</v>
      </c>
    </row>
    <row r="1480">
      <c r="D1480" s="15"/>
      <c r="E1480" s="32" t="s">
        <v>157</v>
      </c>
      <c r="F1480" s="35" t="s">
        <v>196</v>
      </c>
      <c r="G1480" s="84" t="str">
        <f>HYPERLINK("https://docs.google.com/spreadsheets/d/1YsqfL8eQ0KuDI42m6J7W42zXninMI1Y0BFnc2Loey6Y/edit#gid=972905121", "https://docs.google.com/spreadsheets/d/1YsqfL8eQ0KuDI42m6J7W42zXninMI1Y0BFnc2Loey6Y/edit#gid=972905121")</f>
        <v>https://docs.google.com/spreadsheets/d/1YsqfL8eQ0KuDI42m6J7W42zXninMI1Y0BFnc2Loey6Y/edit#gid=972905121</v>
      </c>
      <c r="H1480" s="35" t="s">
        <v>196</v>
      </c>
    </row>
    <row r="1481">
      <c r="D1481" s="15"/>
      <c r="E1481" s="32" t="s">
        <v>172</v>
      </c>
      <c r="F1481" s="35" t="s">
        <v>173</v>
      </c>
      <c r="G1481" s="84" t="str">
        <f>HYPERLINK("https://docs.google.com/spreadsheets/d/1YsqfL8eQ0KuDI42m6J7W42zXninMI1Y0BFnc2Loey6Y/edit#gid=750554020", "https://docs.google.com/spreadsheets/d/1YsqfL8eQ0KuDI42m6J7W42zXninMI1Y0BFnc2Loey6Y/edit#gid=750554020")</f>
        <v>https://docs.google.com/spreadsheets/d/1YsqfL8eQ0KuDI42m6J7W42zXninMI1Y0BFnc2Loey6Y/edit#gid=750554020</v>
      </c>
      <c r="H1481" s="35" t="s">
        <v>2054</v>
      </c>
    </row>
    <row r="1482">
      <c r="D1482" s="15"/>
      <c r="E1482" s="32" t="s">
        <v>172</v>
      </c>
      <c r="F1482" s="35" t="s">
        <v>402</v>
      </c>
      <c r="G1482" s="84" t="str">
        <f>HYPERLINK("https://docs.google.com/spreadsheets/d/1YsqfL8eQ0KuDI42m6J7W42zXninMI1Y0BFnc2Loey6Y/edit#gid=939957820", "https://docs.google.com/spreadsheets/d/1YsqfL8eQ0KuDI42m6J7W42zXninMI1Y0BFnc2Loey6Y/edit#gid=939957820")</f>
        <v>https://docs.google.com/spreadsheets/d/1YsqfL8eQ0KuDI42m6J7W42zXninMI1Y0BFnc2Loey6Y/edit#gid=939957820</v>
      </c>
      <c r="H1482" s="35" t="s">
        <v>2055</v>
      </c>
    </row>
    <row r="1483">
      <c r="D1483" s="15"/>
      <c r="E1483" s="32" t="s">
        <v>172</v>
      </c>
      <c r="F1483" s="35" t="s">
        <v>203</v>
      </c>
      <c r="G1483" s="84" t="str">
        <f>HYPERLINK("https://docs.google.com/spreadsheets/d/1YsqfL8eQ0KuDI42m6J7W42zXninMI1Y0BFnc2Loey6Y/edit#gid=1728251303", "https://docs.google.com/spreadsheets/d/1YsqfL8eQ0KuDI42m6J7W42zXninMI1Y0BFnc2Loey6Y/edit#gid=1728251303")</f>
        <v>https://docs.google.com/spreadsheets/d/1YsqfL8eQ0KuDI42m6J7W42zXninMI1Y0BFnc2Loey6Y/edit#gid=1728251303</v>
      </c>
      <c r="H1483" s="35" t="s">
        <v>1999</v>
      </c>
    </row>
    <row r="1484">
      <c r="D1484" s="15"/>
      <c r="E1484" s="32" t="s">
        <v>172</v>
      </c>
      <c r="F1484" s="35" t="s">
        <v>204</v>
      </c>
      <c r="G1484" s="84" t="str">
        <f>HYPERLINK("https://docs.google.com/spreadsheets/d/1YsqfL8eQ0KuDI42m6J7W42zXninMI1Y0BFnc2Loey6Y/edit#gid=674511708", "https://docs.google.com/spreadsheets/d/1YsqfL8eQ0KuDI42m6J7W42zXninMI1Y0BFnc2Loey6Y/edit#gid=674511708")</f>
        <v>https://docs.google.com/spreadsheets/d/1YsqfL8eQ0KuDI42m6J7W42zXninMI1Y0BFnc2Loey6Y/edit#gid=674511708</v>
      </c>
      <c r="H1484" s="35" t="s">
        <v>2000</v>
      </c>
    </row>
    <row r="1485">
      <c r="D1485" s="15"/>
      <c r="E1485" s="32" t="s">
        <v>178</v>
      </c>
      <c r="F1485" s="35" t="s">
        <v>207</v>
      </c>
      <c r="G1485" s="84" t="str">
        <f>HYPERLINK("https://docs.google.com/spreadsheets/d/1YsqfL8eQ0KuDI42m6J7W42zXninMI1Y0BFnc2Loey6Y/edit#gid=549999275", "https://docs.google.com/spreadsheets/d/1YsqfL8eQ0KuDI42m6J7W42zXninMI1Y0BFnc2Loey6Y/edit#gid=549999275")</f>
        <v>https://docs.google.com/spreadsheets/d/1YsqfL8eQ0KuDI42m6J7W42zXninMI1Y0BFnc2Loey6Y/edit#gid=549999275</v>
      </c>
      <c r="H1485" s="35" t="s">
        <v>2001</v>
      </c>
    </row>
    <row r="1486">
      <c r="D1486" s="15"/>
      <c r="E1486" s="32" t="s">
        <v>178</v>
      </c>
      <c r="F1486" s="35" t="s">
        <v>208</v>
      </c>
      <c r="G1486" s="84" t="str">
        <f>HYPERLINK("https://docs.google.com/spreadsheets/d/1YsqfL8eQ0KuDI42m6J7W42zXninMI1Y0BFnc2Loey6Y/edit#gid=1105394850", "https://docs.google.com/spreadsheets/d/1YsqfL8eQ0KuDI42m6J7W42zXninMI1Y0BFnc2Loey6Y/edit#gid=1105394850")</f>
        <v>https://docs.google.com/spreadsheets/d/1YsqfL8eQ0KuDI42m6J7W42zXninMI1Y0BFnc2Loey6Y/edit#gid=1105394850</v>
      </c>
      <c r="H1486" s="35" t="s">
        <v>2002</v>
      </c>
    </row>
    <row r="1487">
      <c r="D1487" s="15"/>
      <c r="E1487" s="32" t="s">
        <v>178</v>
      </c>
      <c r="F1487" s="35" t="s">
        <v>182</v>
      </c>
      <c r="G1487" s="84" t="str">
        <f>HYPERLINK("https://docs.google.com/spreadsheets/d/1YsqfL8eQ0KuDI42m6J7W42zXninMI1Y0BFnc2Loey6Y/edit#gid=626493321", "https://docs.google.com/spreadsheets/d/1YsqfL8eQ0KuDI42m6J7W42zXninMI1Y0BFnc2Loey6Y/edit#gid=626493321")</f>
        <v>https://docs.google.com/spreadsheets/d/1YsqfL8eQ0KuDI42m6J7W42zXninMI1Y0BFnc2Loey6Y/edit#gid=626493321</v>
      </c>
      <c r="H1487" s="35" t="s">
        <v>2003</v>
      </c>
    </row>
    <row r="1488">
      <c r="D1488" s="15"/>
      <c r="E1488" s="32" t="s">
        <v>178</v>
      </c>
      <c r="F1488" s="35" t="s">
        <v>180</v>
      </c>
      <c r="G1488" s="84" t="str">
        <f>HYPERLINK("https://docs.google.com/spreadsheets/d/1YsqfL8eQ0KuDI42m6J7W42zXninMI1Y0BFnc2Loey6Y/edit#gid=1412443803", "https://docs.google.com/spreadsheets/d/1YsqfL8eQ0KuDI42m6J7W42zXninMI1Y0BFnc2Loey6Y/edit#gid=1412443803")</f>
        <v>https://docs.google.com/spreadsheets/d/1YsqfL8eQ0KuDI42m6J7W42zXninMI1Y0BFnc2Loey6Y/edit#gid=1412443803</v>
      </c>
      <c r="H1488" s="35" t="s">
        <v>2009</v>
      </c>
    </row>
    <row r="1489">
      <c r="D1489" s="15"/>
      <c r="E1489" s="32" t="s">
        <v>178</v>
      </c>
      <c r="F1489" s="35" t="s">
        <v>209</v>
      </c>
      <c r="G1489" s="84" t="str">
        <f>HYPERLINK("https://docs.google.com/spreadsheets/d/1YsqfL8eQ0KuDI42m6J7W42zXninMI1Y0BFnc2Loey6Y/edit#gid=1441480696", "https://docs.google.com/spreadsheets/d/1YsqfL8eQ0KuDI42m6J7W42zXninMI1Y0BFnc2Loey6Y/edit#gid=1441480696")</f>
        <v>https://docs.google.com/spreadsheets/d/1YsqfL8eQ0KuDI42m6J7W42zXninMI1Y0BFnc2Loey6Y/edit#gid=1441480696</v>
      </c>
      <c r="H1489" s="35" t="s">
        <v>1986</v>
      </c>
    </row>
    <row r="1490">
      <c r="D1490" s="15"/>
      <c r="E1490" s="32" t="s">
        <v>178</v>
      </c>
      <c r="F1490" s="35" t="s">
        <v>210</v>
      </c>
      <c r="G1490" s="84" t="str">
        <f>HYPERLINK("https://docs.google.com/spreadsheets/d/1YsqfL8eQ0KuDI42m6J7W42zXninMI1Y0BFnc2Loey6Y/edit#gid=1849086448", "https://docs.google.com/spreadsheets/d/1YsqfL8eQ0KuDI42m6J7W42zXninMI1Y0BFnc2Loey6Y/edit#gid=1849086448")</f>
        <v>https://docs.google.com/spreadsheets/d/1YsqfL8eQ0KuDI42m6J7W42zXninMI1Y0BFnc2Loey6Y/edit#gid=1849086448</v>
      </c>
      <c r="H1490" s="35" t="s">
        <v>1987</v>
      </c>
    </row>
    <row r="1491">
      <c r="D1491" s="15"/>
      <c r="E1491" s="32" t="s">
        <v>86</v>
      </c>
      <c r="F1491" s="35" t="s">
        <v>90</v>
      </c>
      <c r="G1491" s="84" t="str">
        <f>HYPERLINK("https://docs.google.com/spreadsheets/d/1YsqfL8eQ0KuDI42m6J7W42zXninMI1Y0BFnc2Loey6Y/edit#gid=1447447155", "https://docs.google.com/spreadsheets/d/1YsqfL8eQ0KuDI42m6J7W42zXninMI1Y0BFnc2Loey6Y/edit#gid=1447447155")</f>
        <v>https://docs.google.com/spreadsheets/d/1YsqfL8eQ0KuDI42m6J7W42zXninMI1Y0BFnc2Loey6Y/edit#gid=1447447155</v>
      </c>
      <c r="H1491" s="35" t="s">
        <v>2022</v>
      </c>
    </row>
    <row r="1492">
      <c r="D1492" s="15"/>
      <c r="E1492" s="32" t="s">
        <v>86</v>
      </c>
      <c r="F1492" s="35" t="s">
        <v>91</v>
      </c>
      <c r="G1492" s="84" t="str">
        <f>HYPERLINK("https://docs.google.com/spreadsheets/d/1YsqfL8eQ0KuDI42m6J7W42zXninMI1Y0BFnc2Loey6Y/edit#gid=335593102", "https://docs.google.com/spreadsheets/d/1YsqfL8eQ0KuDI42m6J7W42zXninMI1Y0BFnc2Loey6Y/edit#gid=335593102")</f>
        <v>https://docs.google.com/spreadsheets/d/1YsqfL8eQ0KuDI42m6J7W42zXninMI1Y0BFnc2Loey6Y/edit#gid=335593102</v>
      </c>
      <c r="H1492" s="35" t="s">
        <v>91</v>
      </c>
    </row>
    <row r="1493">
      <c r="D1493" s="15"/>
      <c r="E1493" s="32" t="s">
        <v>88</v>
      </c>
      <c r="F1493" s="35" t="s">
        <v>95</v>
      </c>
      <c r="G1493" s="84" t="str">
        <f>HYPERLINK("https://docs.google.com/spreadsheets/d/1YsqfL8eQ0KuDI42m6J7W42zXninMI1Y0BFnc2Loey6Y/edit#gid=1036894952", "https://docs.google.com/spreadsheets/d/1YsqfL8eQ0KuDI42m6J7W42zXninMI1Y0BFnc2Loey6Y/edit#gid=1036894952")</f>
        <v>https://docs.google.com/spreadsheets/d/1YsqfL8eQ0KuDI42m6J7W42zXninMI1Y0BFnc2Loey6Y/edit#gid=1036894952</v>
      </c>
      <c r="H1493" s="36"/>
    </row>
    <row r="1494">
      <c r="D1494" s="15"/>
      <c r="E1494" s="32" t="s">
        <v>88</v>
      </c>
      <c r="F1494" s="35" t="s">
        <v>96</v>
      </c>
      <c r="G1494" s="84" t="str">
        <f>HYPERLINK("https://docs.google.com/spreadsheets/d/1YsqfL8eQ0KuDI42m6J7W42zXninMI1Y0BFnc2Loey6Y/edit#gid=1705902065", "https://docs.google.com/spreadsheets/d/1YsqfL8eQ0KuDI42m6J7W42zXninMI1Y0BFnc2Loey6Y/edit#gid=1705902065")</f>
        <v>https://docs.google.com/spreadsheets/d/1YsqfL8eQ0KuDI42m6J7W42zXninMI1Y0BFnc2Loey6Y/edit#gid=1705902065</v>
      </c>
      <c r="H1494" s="35" t="s">
        <v>96</v>
      </c>
    </row>
    <row r="1495">
      <c r="D1495" s="15"/>
      <c r="E1495" s="32"/>
    </row>
    <row r="1496">
      <c r="D1496" s="15"/>
      <c r="E1496" s="32"/>
      <c r="F1496" s="35"/>
      <c r="H1496" s="35"/>
    </row>
    <row r="1497">
      <c r="B1497" s="35" t="s">
        <v>2143</v>
      </c>
      <c r="C1497" s="35" t="s">
        <v>2093</v>
      </c>
      <c r="D1497" s="32" t="s">
        <v>20</v>
      </c>
      <c r="E1497" s="32" t="s">
        <v>89</v>
      </c>
      <c r="F1497" s="35" t="s">
        <v>291</v>
      </c>
    </row>
    <row r="1498">
      <c r="B1498" s="35" t="s">
        <v>2144</v>
      </c>
      <c r="C1498" s="213" t="s">
        <v>2145</v>
      </c>
      <c r="D1498" s="32" t="s">
        <v>20</v>
      </c>
      <c r="E1498" s="32" t="s">
        <v>178</v>
      </c>
      <c r="F1498" s="35" t="s">
        <v>201</v>
      </c>
      <c r="G1498" s="84" t="str">
        <f>HYPERLINK("https://docs.google.com/spreadsheets/d/1xVkB1I3CTzyL3Mo68JQVUHWKGyfJWVo1RttNaLDKNBw/edit#gid=910044439", "https://docs.google.com/spreadsheets/d/1xVkB1I3CTzyL3Mo68JQVUHWKGyfJWVo1RttNaLDKNBw/edit#gid=910044439")</f>
        <v>https://docs.google.com/spreadsheets/d/1xVkB1I3CTzyL3Mo68JQVUHWKGyfJWVo1RttNaLDKNBw/edit#gid=910044439</v>
      </c>
      <c r="H1498" s="35" t="s">
        <v>201</v>
      </c>
    </row>
    <row r="1499">
      <c r="D1499" s="15"/>
      <c r="E1499" s="32" t="s">
        <v>178</v>
      </c>
      <c r="F1499" s="35" t="s">
        <v>202</v>
      </c>
      <c r="G1499" s="84" t="str">
        <f>HYPERLINK("https://docs.google.com/spreadsheets/d/1JldDktcQvFkkv7lMH6L-vHM4Qzax7SVhRqxW0QIKU9c/edit#gid=564456022", "https://docs.google.com/spreadsheets/d/1JldDktcQvFkkv7lMH6L-vHM4Qzax7SVhRqxW0QIKU9c/edit#gid=564456022")</f>
        <v>https://docs.google.com/spreadsheets/d/1JldDktcQvFkkv7lMH6L-vHM4Qzax7SVhRqxW0QIKU9c/edit#gid=564456022</v>
      </c>
      <c r="H1499" s="35" t="s">
        <v>202</v>
      </c>
    </row>
    <row r="1500">
      <c r="D1500" s="15"/>
      <c r="E1500" s="32" t="s">
        <v>21</v>
      </c>
      <c r="F1500" s="35" t="s">
        <v>51</v>
      </c>
      <c r="G1500" s="84" t="str">
        <f>HYPERLINK("https://docs.google.com/spreadsheets/d/1xVkB1I3CTzyL3Mo68JQVUHWKGyfJWVo1RttNaLDKNBw/edit#gid=950991837", "https://docs.google.com/spreadsheets/d/1xVkB1I3CTzyL3Mo68JQVUHWKGyfJWVo1RttNaLDKNBw/edit#gid=950991837")</f>
        <v>https://docs.google.com/spreadsheets/d/1xVkB1I3CTzyL3Mo68JQVUHWKGyfJWVo1RttNaLDKNBw/edit#gid=950991837</v>
      </c>
      <c r="H1500" s="35" t="s">
        <v>51</v>
      </c>
    </row>
    <row r="1501">
      <c r="D1501" s="15"/>
      <c r="E1501" s="32" t="s">
        <v>172</v>
      </c>
      <c r="F1501" s="35" t="s">
        <v>173</v>
      </c>
      <c r="G1501" s="84" t="str">
        <f>HYPERLINK("https://docs.google.com/spreadsheets/d/1xVkB1I3CTzyL3Mo68JQVUHWKGyfJWVo1RttNaLDKNBw/edit#gid=2112127124", "https://docs.google.com/spreadsheets/d/1xVkB1I3CTzyL3Mo68JQVUHWKGyfJWVo1RttNaLDKNBw/edit#gid=2112127124")</f>
        <v>https://docs.google.com/spreadsheets/d/1xVkB1I3CTzyL3Mo68JQVUHWKGyfJWVo1RttNaLDKNBw/edit#gid=2112127124</v>
      </c>
      <c r="H1501" s="35" t="s">
        <v>173</v>
      </c>
    </row>
    <row r="1502">
      <c r="D1502" s="15"/>
      <c r="E1502" s="32" t="s">
        <v>172</v>
      </c>
      <c r="F1502" s="35" t="s">
        <v>402</v>
      </c>
      <c r="G1502" s="84" t="str">
        <f>HYPERLINK("https://docs.google.com/spreadsheets/d/1xVkB1I3CTzyL3Mo68JQVUHWKGyfJWVo1RttNaLDKNBw/edit#gid=838376530", "https://docs.google.com/spreadsheets/d/1xVkB1I3CTzyL3Mo68JQVUHWKGyfJWVo1RttNaLDKNBw/edit#gid=838376530")</f>
        <v>https://docs.google.com/spreadsheets/d/1xVkB1I3CTzyL3Mo68JQVUHWKGyfJWVo1RttNaLDKNBw/edit#gid=838376530</v>
      </c>
      <c r="H1502" s="35" t="s">
        <v>402</v>
      </c>
    </row>
    <row r="1503">
      <c r="D1503" s="15"/>
      <c r="E1503" s="32" t="s">
        <v>172</v>
      </c>
      <c r="F1503" s="35" t="s">
        <v>203</v>
      </c>
      <c r="G1503" s="84" t="str">
        <f>HYPERLINK("https://docs.google.com/spreadsheets/d/1xVkB1I3CTzyL3Mo68JQVUHWKGyfJWVo1RttNaLDKNBw/edit#gid=755618295", "https://docs.google.com/spreadsheets/d/1xVkB1I3CTzyL3Mo68JQVUHWKGyfJWVo1RttNaLDKNBw/edit#gid=755618295")</f>
        <v>https://docs.google.com/spreadsheets/d/1xVkB1I3CTzyL3Mo68JQVUHWKGyfJWVo1RttNaLDKNBw/edit#gid=755618295</v>
      </c>
      <c r="H1503" s="35" t="s">
        <v>203</v>
      </c>
    </row>
    <row r="1504">
      <c r="D1504" s="15"/>
      <c r="E1504" s="32" t="s">
        <v>172</v>
      </c>
      <c r="F1504" s="35" t="s">
        <v>204</v>
      </c>
      <c r="G1504" s="84" t="str">
        <f>HYPERLINK("https://docs.google.com/spreadsheets/d/1xVkB1I3CTzyL3Mo68JQVUHWKGyfJWVo1RttNaLDKNBw/edit#gid=1776592324", "https://docs.google.com/spreadsheets/d/1xVkB1I3CTzyL3Mo68JQVUHWKGyfJWVo1RttNaLDKNBw/edit#gid=1776592324")</f>
        <v>https://docs.google.com/spreadsheets/d/1xVkB1I3CTzyL3Mo68JQVUHWKGyfJWVo1RttNaLDKNBw/edit#gid=1776592324</v>
      </c>
      <c r="H1504" s="35" t="s">
        <v>204</v>
      </c>
    </row>
    <row r="1505">
      <c r="D1505" s="15"/>
      <c r="E1505" s="32" t="s">
        <v>178</v>
      </c>
      <c r="F1505" s="35" t="s">
        <v>205</v>
      </c>
      <c r="G1505" s="84" t="str">
        <f>HYPERLINK("https://docs.google.com/spreadsheets/d/1xVkB1I3CTzyL3Mo68JQVUHWKGyfJWVo1RttNaLDKNBw/edit#gid=407710385", "https://docs.google.com/spreadsheets/d/1xVkB1I3CTzyL3Mo68JQVUHWKGyfJWVo1RttNaLDKNBw/edit#gid=407710385")</f>
        <v>https://docs.google.com/spreadsheets/d/1xVkB1I3CTzyL3Mo68JQVUHWKGyfJWVo1RttNaLDKNBw/edit#gid=407710385</v>
      </c>
      <c r="H1505" s="35" t="s">
        <v>205</v>
      </c>
    </row>
    <row r="1506">
      <c r="D1506" s="15"/>
      <c r="E1506" s="32" t="s">
        <v>178</v>
      </c>
      <c r="F1506" s="35" t="s">
        <v>206</v>
      </c>
    </row>
    <row r="1507">
      <c r="D1507" s="15"/>
      <c r="E1507" s="32" t="s">
        <v>178</v>
      </c>
      <c r="F1507" s="35" t="s">
        <v>207</v>
      </c>
      <c r="G1507" s="84" t="str">
        <f>HYPERLINK("https://docs.google.com/spreadsheets/d/1xVkB1I3CTzyL3Mo68JQVUHWKGyfJWVo1RttNaLDKNBw/edit#gid=840402951", "https://docs.google.com/spreadsheets/d/1xVkB1I3CTzyL3Mo68JQVUHWKGyfJWVo1RttNaLDKNBw/edit#gid=840402951")</f>
        <v>https://docs.google.com/spreadsheets/d/1xVkB1I3CTzyL3Mo68JQVUHWKGyfJWVo1RttNaLDKNBw/edit#gid=840402951</v>
      </c>
      <c r="H1507" s="35" t="s">
        <v>207</v>
      </c>
    </row>
    <row r="1508">
      <c r="D1508" s="15"/>
      <c r="E1508" s="32" t="s">
        <v>21</v>
      </c>
      <c r="F1508" s="35" t="s">
        <v>51</v>
      </c>
      <c r="G1508" s="84" t="str">
        <f>HYPERLINK("https://docs.google.com/spreadsheets/d/1xVkB1I3CTzyL3Mo68JQVUHWKGyfJWVo1RttNaLDKNBw/edit#gid=285336589", "https://docs.google.com/spreadsheets/d/1xVkB1I3CTzyL3Mo68JQVUHWKGyfJWVo1RttNaLDKNBw/edit#gid=285336589")</f>
        <v>https://docs.google.com/spreadsheets/d/1xVkB1I3CTzyL3Mo68JQVUHWKGyfJWVo1RttNaLDKNBw/edit#gid=285336589</v>
      </c>
      <c r="H1508" s="35" t="s">
        <v>1383</v>
      </c>
    </row>
    <row r="1509">
      <c r="D1509" s="15"/>
      <c r="E1509" s="32" t="s">
        <v>86</v>
      </c>
      <c r="F1509" s="35" t="s">
        <v>90</v>
      </c>
      <c r="G1509" s="84" t="str">
        <f>HYPERLINK("https://docs.google.com/spreadsheets/d/1xVkB1I3CTzyL3Mo68JQVUHWKGyfJWVo1RttNaLDKNBw/edit#gid=2102461843", "https://docs.google.com/spreadsheets/d/1xVkB1I3CTzyL3Mo68JQVUHWKGyfJWVo1RttNaLDKNBw/edit#gid=2102461843")</f>
        <v>https://docs.google.com/spreadsheets/d/1xVkB1I3CTzyL3Mo68JQVUHWKGyfJWVo1RttNaLDKNBw/edit#gid=2102461843</v>
      </c>
      <c r="H1509" s="35" t="s">
        <v>90</v>
      </c>
    </row>
    <row r="1510">
      <c r="D1510" s="15"/>
      <c r="E1510" s="32" t="s">
        <v>86</v>
      </c>
      <c r="F1510" s="35" t="s">
        <v>339</v>
      </c>
      <c r="G1510" s="84" t="str">
        <f>HYPERLINK("https://docs.google.com/spreadsheets/d/1xVkB1I3CTzyL3Mo68JQVUHWKGyfJWVo1RttNaLDKNBw/edit#gid=1332877794", "https://docs.google.com/spreadsheets/d/1xVkB1I3CTzyL3Mo68JQVUHWKGyfJWVo1RttNaLDKNBw/edit#gid=1332877794")</f>
        <v>https://docs.google.com/spreadsheets/d/1xVkB1I3CTzyL3Mo68JQVUHWKGyfJWVo1RttNaLDKNBw/edit#gid=1332877794</v>
      </c>
      <c r="H1510" s="35" t="s">
        <v>339</v>
      </c>
    </row>
    <row r="1511">
      <c r="D1511" s="15"/>
      <c r="E1511" s="32" t="s">
        <v>172</v>
      </c>
      <c r="F1511" s="35" t="s">
        <v>173</v>
      </c>
      <c r="G1511" s="84" t="str">
        <f>HYPERLINK("https://docs.google.com/spreadsheets/d/1xVkB1I3CTzyL3Mo68JQVUHWKGyfJWVo1RttNaLDKNBw/edit#gid=700134934", "https://docs.google.com/spreadsheets/d/1xVkB1I3CTzyL3Mo68JQVUHWKGyfJWVo1RttNaLDKNBw/edit#gid=700134934")</f>
        <v>https://docs.google.com/spreadsheets/d/1xVkB1I3CTzyL3Mo68JQVUHWKGyfJWVo1RttNaLDKNBw/edit#gid=700134934</v>
      </c>
      <c r="H1511" s="35" t="s">
        <v>269</v>
      </c>
    </row>
    <row r="1512">
      <c r="D1512" s="15"/>
      <c r="E1512" s="32" t="s">
        <v>172</v>
      </c>
      <c r="F1512" s="35" t="s">
        <v>402</v>
      </c>
      <c r="G1512" s="84" t="str">
        <f>HYPERLINK("https://docs.google.com/spreadsheets/d/1JldDktcQvFkkv7lMH6L-vHM4Qzax7SVhRqxW0QIKU9c/edit#gid=382120605", "https://docs.google.com/spreadsheets/d/1JldDktcQvFkkv7lMH6L-vHM4Qzax7SVhRqxW0QIKU9c/edit#gid=382120605")</f>
        <v>https://docs.google.com/spreadsheets/d/1JldDktcQvFkkv7lMH6L-vHM4Qzax7SVhRqxW0QIKU9c/edit#gid=382120605</v>
      </c>
      <c r="H1512" s="35" t="s">
        <v>2053</v>
      </c>
    </row>
    <row r="1513">
      <c r="D1513" s="15"/>
      <c r="E1513" s="32" t="s">
        <v>172</v>
      </c>
      <c r="F1513" s="35" t="s">
        <v>203</v>
      </c>
      <c r="G1513" s="84" t="str">
        <f>HYPERLINK("https://docs.google.com/spreadsheets/d/1JldDktcQvFkkv7lMH6L-vHM4Qzax7SVhRqxW0QIKU9c/edit#gid=292737737", "https://docs.google.com/spreadsheets/d/1JldDktcQvFkkv7lMH6L-vHM4Qzax7SVhRqxW0QIKU9c/edit#gid=292737737")</f>
        <v>https://docs.google.com/spreadsheets/d/1JldDktcQvFkkv7lMH6L-vHM4Qzax7SVhRqxW0QIKU9c/edit#gid=292737737</v>
      </c>
      <c r="H1513" s="35" t="s">
        <v>1995</v>
      </c>
    </row>
    <row r="1514">
      <c r="D1514" s="15"/>
      <c r="E1514" s="32" t="s">
        <v>172</v>
      </c>
      <c r="F1514" s="35" t="s">
        <v>204</v>
      </c>
      <c r="G1514" s="84" t="str">
        <f>HYPERLINK("https://docs.google.com/spreadsheets/d/1xVkB1I3CTzyL3Mo68JQVUHWKGyfJWVo1RttNaLDKNBw/edit#gid=119031910", "https://docs.google.com/spreadsheets/d/1xVkB1I3CTzyL3Mo68JQVUHWKGyfJWVo1RttNaLDKNBw/edit#gid=119031910")</f>
        <v>https://docs.google.com/spreadsheets/d/1xVkB1I3CTzyL3Mo68JQVUHWKGyfJWVo1RttNaLDKNBw/edit#gid=119031910</v>
      </c>
      <c r="H1514" s="35" t="s">
        <v>1996</v>
      </c>
    </row>
    <row r="1515">
      <c r="D1515" s="15"/>
      <c r="E1515" s="32" t="s">
        <v>178</v>
      </c>
      <c r="F1515" s="35" t="s">
        <v>205</v>
      </c>
      <c r="G1515" s="84" t="str">
        <f>HYPERLINK("https://docs.google.com/spreadsheets/d/1xVkB1I3CTzyL3Mo68JQVUHWKGyfJWVo1RttNaLDKNBw/edit#gid=1407336933", "https://docs.google.com/spreadsheets/d/1xVkB1I3CTzyL3Mo68JQVUHWKGyfJWVo1RttNaLDKNBw/edit#gid=1407336933")</f>
        <v>https://docs.google.com/spreadsheets/d/1xVkB1I3CTzyL3Mo68JQVUHWKGyfJWVo1RttNaLDKNBw/edit#gid=1407336933</v>
      </c>
      <c r="H1515" s="35" t="s">
        <v>1997</v>
      </c>
    </row>
    <row r="1516">
      <c r="D1516" s="15"/>
      <c r="E1516" s="32" t="s">
        <v>178</v>
      </c>
      <c r="F1516" s="35" t="s">
        <v>206</v>
      </c>
    </row>
    <row r="1517">
      <c r="D1517" s="15"/>
      <c r="E1517" s="32" t="s">
        <v>178</v>
      </c>
      <c r="F1517" s="35" t="s">
        <v>207</v>
      </c>
      <c r="G1517" s="84" t="str">
        <f>HYPERLINK("https://docs.google.com/spreadsheets/d/1xVkB1I3CTzyL3Mo68JQVUHWKGyfJWVo1RttNaLDKNBw/edit#gid=1097552415", "https://docs.google.com/spreadsheets/d/1xVkB1I3CTzyL3Mo68JQVUHWKGyfJWVo1RttNaLDKNBw/edit#gid=1097552415")</f>
        <v>https://docs.google.com/spreadsheets/d/1xVkB1I3CTzyL3Mo68JQVUHWKGyfJWVo1RttNaLDKNBw/edit#gid=1097552415</v>
      </c>
      <c r="H1517" s="35" t="s">
        <v>1998</v>
      </c>
    </row>
    <row r="1518">
      <c r="D1518" s="15"/>
      <c r="E1518" s="32" t="s">
        <v>178</v>
      </c>
      <c r="F1518" s="35" t="s">
        <v>208</v>
      </c>
      <c r="G1518" s="84" t="str">
        <f>HYPERLINK("https://docs.google.com/spreadsheets/d/1xVkB1I3CTzyL3Mo68JQVUHWKGyfJWVo1RttNaLDKNBw/edit#gid=556182102", "https://docs.google.com/spreadsheets/d/1xVkB1I3CTzyL3Mo68JQVUHWKGyfJWVo1RttNaLDKNBw/edit#gid=556182102")</f>
        <v>https://docs.google.com/spreadsheets/d/1xVkB1I3CTzyL3Mo68JQVUHWKGyfJWVo1RttNaLDKNBw/edit#gid=556182102</v>
      </c>
      <c r="H1518" s="35" t="s">
        <v>208</v>
      </c>
    </row>
    <row r="1519">
      <c r="D1519" s="15"/>
      <c r="E1519" s="32" t="s">
        <v>178</v>
      </c>
      <c r="F1519" s="35" t="s">
        <v>182</v>
      </c>
      <c r="G1519" s="84" t="str">
        <f>HYPERLINK("https://docs.google.com/spreadsheets/d/1xVkB1I3CTzyL3Mo68JQVUHWKGyfJWVo1RttNaLDKNBw/edit#gid=862972291", "https://docs.google.com/spreadsheets/d/1xVkB1I3CTzyL3Mo68JQVUHWKGyfJWVo1RttNaLDKNBw/edit#gid=862972291")</f>
        <v>https://docs.google.com/spreadsheets/d/1xVkB1I3CTzyL3Mo68JQVUHWKGyfJWVo1RttNaLDKNBw/edit#gid=862972291</v>
      </c>
      <c r="H1519" s="35" t="s">
        <v>182</v>
      </c>
    </row>
    <row r="1520">
      <c r="D1520" s="15"/>
      <c r="E1520" s="32" t="s">
        <v>178</v>
      </c>
      <c r="F1520" s="35" t="s">
        <v>180</v>
      </c>
      <c r="G1520" s="84" t="str">
        <f>HYPERLINK("https://docs.google.com/spreadsheets/d/1xVkB1I3CTzyL3Mo68JQVUHWKGyfJWVo1RttNaLDKNBw/edit#gid=920589095", "https://docs.google.com/spreadsheets/d/1xVkB1I3CTzyL3Mo68JQVUHWKGyfJWVo1RttNaLDKNBw/edit#gid=920589095")</f>
        <v>https://docs.google.com/spreadsheets/d/1xVkB1I3CTzyL3Mo68JQVUHWKGyfJWVo1RttNaLDKNBw/edit#gid=920589095</v>
      </c>
      <c r="H1520" s="35" t="s">
        <v>180</v>
      </c>
    </row>
    <row r="1521">
      <c r="D1521" s="15"/>
      <c r="E1521" s="32" t="s">
        <v>178</v>
      </c>
      <c r="F1521" s="35" t="s">
        <v>209</v>
      </c>
      <c r="G1521" s="84" t="str">
        <f>HYPERLINK("https://docs.google.com/spreadsheets/d/1xVkB1I3CTzyL3Mo68JQVUHWKGyfJWVo1RttNaLDKNBw/edit#gid=355528354", "https://docs.google.com/spreadsheets/d/1xVkB1I3CTzyL3Mo68JQVUHWKGyfJWVo1RttNaLDKNBw/edit#gid=355528354")</f>
        <v>https://docs.google.com/spreadsheets/d/1xVkB1I3CTzyL3Mo68JQVUHWKGyfJWVo1RttNaLDKNBw/edit#gid=355528354</v>
      </c>
      <c r="H1521" s="35" t="s">
        <v>209</v>
      </c>
    </row>
    <row r="1522">
      <c r="D1522" s="15"/>
      <c r="E1522" s="32" t="s">
        <v>178</v>
      </c>
      <c r="F1522" s="35" t="s">
        <v>210</v>
      </c>
      <c r="G1522" s="84" t="str">
        <f>HYPERLINK("https://docs.google.com/spreadsheets/d/1xVkB1I3CTzyL3Mo68JQVUHWKGyfJWVo1RttNaLDKNBw/edit#gid=1647389728", "https://docs.google.com/spreadsheets/d/1xVkB1I3CTzyL3Mo68JQVUHWKGyfJWVo1RttNaLDKNBw/edit#gid=1647389728")</f>
        <v>https://docs.google.com/spreadsheets/d/1xVkB1I3CTzyL3Mo68JQVUHWKGyfJWVo1RttNaLDKNBw/edit#gid=1647389728</v>
      </c>
      <c r="H1522" s="35" t="s">
        <v>210</v>
      </c>
    </row>
    <row r="1523">
      <c r="D1523" s="15"/>
      <c r="E1523" s="32" t="s">
        <v>157</v>
      </c>
      <c r="F1523" s="35" t="s">
        <v>161</v>
      </c>
      <c r="G1523" s="84" t="str">
        <f>HYPERLINK("https://docs.google.com/spreadsheets/d/1xVkB1I3CTzyL3Mo68JQVUHWKGyfJWVo1RttNaLDKNBw/edit#gid=736050737", "https://docs.google.com/spreadsheets/d/1xVkB1I3CTzyL3Mo68JQVUHWKGyfJWVo1RttNaLDKNBw/edit#gid=736050737")</f>
        <v>https://docs.google.com/spreadsheets/d/1xVkB1I3CTzyL3Mo68JQVUHWKGyfJWVo1RttNaLDKNBw/edit#gid=736050737</v>
      </c>
      <c r="H1523" s="35" t="s">
        <v>161</v>
      </c>
    </row>
    <row r="1524">
      <c r="D1524" s="15"/>
      <c r="E1524" s="32" t="s">
        <v>157</v>
      </c>
      <c r="F1524" s="35" t="s">
        <v>158</v>
      </c>
      <c r="G1524" s="84" t="str">
        <f>HYPERLINK("https://docs.google.com/spreadsheets/d/1xVkB1I3CTzyL3Mo68JQVUHWKGyfJWVo1RttNaLDKNBw/edit#gid=2034235723", "https://docs.google.com/spreadsheets/d/1xVkB1I3CTzyL3Mo68JQVUHWKGyfJWVo1RttNaLDKNBw/edit#gid=2034235723")</f>
        <v>https://docs.google.com/spreadsheets/d/1xVkB1I3CTzyL3Mo68JQVUHWKGyfJWVo1RttNaLDKNBw/edit#gid=2034235723</v>
      </c>
      <c r="H1524" s="35" t="s">
        <v>158</v>
      </c>
    </row>
    <row r="1525">
      <c r="D1525" s="15"/>
      <c r="E1525" s="32" t="s">
        <v>157</v>
      </c>
      <c r="F1525" s="35" t="s">
        <v>196</v>
      </c>
      <c r="G1525" s="84" t="str">
        <f>HYPERLINK("https://docs.google.com/spreadsheets/d/1xVkB1I3CTzyL3Mo68JQVUHWKGyfJWVo1RttNaLDKNBw/edit#gid=733146542", "https://docs.google.com/spreadsheets/d/1xVkB1I3CTzyL3Mo68JQVUHWKGyfJWVo1RttNaLDKNBw/edit#gid=733146542")</f>
        <v>https://docs.google.com/spreadsheets/d/1xVkB1I3CTzyL3Mo68JQVUHWKGyfJWVo1RttNaLDKNBw/edit#gid=733146542</v>
      </c>
      <c r="H1525" s="35" t="s">
        <v>196</v>
      </c>
    </row>
    <row r="1526">
      <c r="D1526" s="15"/>
      <c r="E1526" s="32" t="s">
        <v>172</v>
      </c>
      <c r="F1526" s="35" t="s">
        <v>173</v>
      </c>
      <c r="G1526" s="84" t="str">
        <f>HYPERLINK("https://docs.google.com/spreadsheets/d/1xVkB1I3CTzyL3Mo68JQVUHWKGyfJWVo1RttNaLDKNBw/edit#gid=1968308845", "https://docs.google.com/spreadsheets/d/1xVkB1I3CTzyL3Mo68JQVUHWKGyfJWVo1RttNaLDKNBw/edit#gid=1968308845")</f>
        <v>https://docs.google.com/spreadsheets/d/1xVkB1I3CTzyL3Mo68JQVUHWKGyfJWVo1RttNaLDKNBw/edit#gid=1968308845</v>
      </c>
      <c r="H1526" s="35" t="s">
        <v>2054</v>
      </c>
    </row>
    <row r="1527">
      <c r="D1527" s="15"/>
      <c r="E1527" s="32" t="s">
        <v>172</v>
      </c>
      <c r="F1527" s="35" t="s">
        <v>402</v>
      </c>
      <c r="G1527" s="84" t="str">
        <f>HYPERLINK("https://docs.google.com/spreadsheets/d/1xVkB1I3CTzyL3Mo68JQVUHWKGyfJWVo1RttNaLDKNBw/edit#gid=262806550", "https://docs.google.com/spreadsheets/d/1xVkB1I3CTzyL3Mo68JQVUHWKGyfJWVo1RttNaLDKNBw/edit#gid=262806550")</f>
        <v>https://docs.google.com/spreadsheets/d/1xVkB1I3CTzyL3Mo68JQVUHWKGyfJWVo1RttNaLDKNBw/edit#gid=262806550</v>
      </c>
      <c r="H1527" s="35" t="s">
        <v>2055</v>
      </c>
    </row>
    <row r="1528">
      <c r="D1528" s="15"/>
      <c r="E1528" s="32" t="s">
        <v>172</v>
      </c>
      <c r="F1528" s="35" t="s">
        <v>203</v>
      </c>
      <c r="G1528" s="84" t="str">
        <f>HYPERLINK("https://docs.google.com/spreadsheets/d/1xVkB1I3CTzyL3Mo68JQVUHWKGyfJWVo1RttNaLDKNBw/edit#gid=77724596", "https://docs.google.com/spreadsheets/d/1xVkB1I3CTzyL3Mo68JQVUHWKGyfJWVo1RttNaLDKNBw/edit#gid=77724596")</f>
        <v>https://docs.google.com/spreadsheets/d/1xVkB1I3CTzyL3Mo68JQVUHWKGyfJWVo1RttNaLDKNBw/edit#gid=77724596</v>
      </c>
      <c r="H1528" s="35" t="s">
        <v>1999</v>
      </c>
    </row>
    <row r="1529">
      <c r="D1529" s="15"/>
      <c r="E1529" s="32" t="s">
        <v>172</v>
      </c>
      <c r="F1529" s="35" t="s">
        <v>204</v>
      </c>
      <c r="G1529" s="84" t="str">
        <f>HYPERLINK("https://docs.google.com/spreadsheets/d/1xVkB1I3CTzyL3Mo68JQVUHWKGyfJWVo1RttNaLDKNBw/edit#gid=1335362496", "https://docs.google.com/spreadsheets/d/1xVkB1I3CTzyL3Mo68JQVUHWKGyfJWVo1RttNaLDKNBw/edit#gid=1335362496")</f>
        <v>https://docs.google.com/spreadsheets/d/1xVkB1I3CTzyL3Mo68JQVUHWKGyfJWVo1RttNaLDKNBw/edit#gid=1335362496</v>
      </c>
      <c r="H1529" s="35" t="s">
        <v>2000</v>
      </c>
    </row>
    <row r="1530">
      <c r="D1530" s="15"/>
      <c r="E1530" s="32" t="s">
        <v>178</v>
      </c>
      <c r="F1530" s="35" t="s">
        <v>207</v>
      </c>
      <c r="G1530" s="84" t="str">
        <f>HYPERLINK("https://docs.google.com/spreadsheets/d/1xVkB1I3CTzyL3Mo68JQVUHWKGyfJWVo1RttNaLDKNBw/edit#gid=403533316", "https://docs.google.com/spreadsheets/d/1xVkB1I3CTzyL3Mo68JQVUHWKGyfJWVo1RttNaLDKNBw/edit#gid=403533316")</f>
        <v>https://docs.google.com/spreadsheets/d/1xVkB1I3CTzyL3Mo68JQVUHWKGyfJWVo1RttNaLDKNBw/edit#gid=403533316</v>
      </c>
      <c r="H1530" s="35" t="s">
        <v>2001</v>
      </c>
    </row>
    <row r="1531">
      <c r="D1531" s="15"/>
      <c r="E1531" s="32" t="s">
        <v>178</v>
      </c>
      <c r="F1531" s="35" t="s">
        <v>208</v>
      </c>
      <c r="G1531" s="84" t="str">
        <f>HYPERLINK("https://docs.google.com/spreadsheets/d/1xVkB1I3CTzyL3Mo68JQVUHWKGyfJWVo1RttNaLDKNBw/edit#gid=20051665", "https://docs.google.com/spreadsheets/d/1xVkB1I3CTzyL3Mo68JQVUHWKGyfJWVo1RttNaLDKNBw/edit#gid=20051665")</f>
        <v>https://docs.google.com/spreadsheets/d/1xVkB1I3CTzyL3Mo68JQVUHWKGyfJWVo1RttNaLDKNBw/edit#gid=20051665</v>
      </c>
      <c r="H1531" s="35" t="s">
        <v>2002</v>
      </c>
    </row>
    <row r="1532">
      <c r="D1532" s="15"/>
      <c r="E1532" s="32" t="s">
        <v>178</v>
      </c>
      <c r="F1532" s="35" t="s">
        <v>182</v>
      </c>
      <c r="G1532" s="84" t="str">
        <f>HYPERLINK("https://docs.google.com/spreadsheets/d/1xVkB1I3CTzyL3Mo68JQVUHWKGyfJWVo1RttNaLDKNBw/edit#gid=1464770515", "https://docs.google.com/spreadsheets/d/1xVkB1I3CTzyL3Mo68JQVUHWKGyfJWVo1RttNaLDKNBw/edit#gid=1464770515")</f>
        <v>https://docs.google.com/spreadsheets/d/1xVkB1I3CTzyL3Mo68JQVUHWKGyfJWVo1RttNaLDKNBw/edit#gid=1464770515</v>
      </c>
      <c r="H1532" s="35" t="s">
        <v>2003</v>
      </c>
    </row>
    <row r="1533">
      <c r="D1533" s="15"/>
      <c r="E1533" s="32" t="s">
        <v>178</v>
      </c>
      <c r="F1533" s="35" t="s">
        <v>180</v>
      </c>
      <c r="G1533" s="84" t="str">
        <f>HYPERLINK("https://docs.google.com/spreadsheets/d/1xVkB1I3CTzyL3Mo68JQVUHWKGyfJWVo1RttNaLDKNBw/edit#gid=942767612", "https://docs.google.com/spreadsheets/d/1xVkB1I3CTzyL3Mo68JQVUHWKGyfJWVo1RttNaLDKNBw/edit#gid=942767612")</f>
        <v>https://docs.google.com/spreadsheets/d/1xVkB1I3CTzyL3Mo68JQVUHWKGyfJWVo1RttNaLDKNBw/edit#gid=942767612</v>
      </c>
      <c r="H1533" s="35" t="s">
        <v>2009</v>
      </c>
    </row>
    <row r="1534">
      <c r="D1534" s="15"/>
      <c r="E1534" s="32" t="s">
        <v>178</v>
      </c>
      <c r="F1534" s="35" t="s">
        <v>209</v>
      </c>
      <c r="G1534" s="84" t="str">
        <f>HYPERLINK("https://docs.google.com/spreadsheets/d/1xVkB1I3CTzyL3Mo68JQVUHWKGyfJWVo1RttNaLDKNBw/edit#gid=822663342", "https://docs.google.com/spreadsheets/d/1xVkB1I3CTzyL3Mo68JQVUHWKGyfJWVo1RttNaLDKNBw/edit#gid=822663342")</f>
        <v>https://docs.google.com/spreadsheets/d/1xVkB1I3CTzyL3Mo68JQVUHWKGyfJWVo1RttNaLDKNBw/edit#gid=822663342</v>
      </c>
      <c r="H1534" s="35" t="s">
        <v>1986</v>
      </c>
    </row>
    <row r="1535">
      <c r="D1535" s="15"/>
      <c r="E1535" s="32" t="s">
        <v>178</v>
      </c>
      <c r="F1535" s="35" t="s">
        <v>210</v>
      </c>
      <c r="G1535" s="84" t="str">
        <f>HYPERLINK("https://docs.google.com/spreadsheets/d/1xVkB1I3CTzyL3Mo68JQVUHWKGyfJWVo1RttNaLDKNBw/edit#gid=1110036758", "https://docs.google.com/spreadsheets/d/1xVkB1I3CTzyL3Mo68JQVUHWKGyfJWVo1RttNaLDKNBw/edit#gid=1110036758")</f>
        <v>https://docs.google.com/spreadsheets/d/1xVkB1I3CTzyL3Mo68JQVUHWKGyfJWVo1RttNaLDKNBw/edit#gid=1110036758</v>
      </c>
      <c r="H1535" s="35" t="s">
        <v>1987</v>
      </c>
    </row>
    <row r="1536">
      <c r="D1536" s="15"/>
      <c r="E1536" s="32" t="s">
        <v>86</v>
      </c>
      <c r="F1536" s="35" t="s">
        <v>90</v>
      </c>
      <c r="G1536" s="84" t="str">
        <f>HYPERLINK("https://docs.google.com/spreadsheets/d/1xVkB1I3CTzyL3Mo68JQVUHWKGyfJWVo1RttNaLDKNBw/edit#gid=246245219", "https://docs.google.com/spreadsheets/d/1xVkB1I3CTzyL3Mo68JQVUHWKGyfJWVo1RttNaLDKNBw/edit#gid=246245219")</f>
        <v>https://docs.google.com/spreadsheets/d/1xVkB1I3CTzyL3Mo68JQVUHWKGyfJWVo1RttNaLDKNBw/edit#gid=246245219</v>
      </c>
      <c r="H1536" s="35" t="s">
        <v>2022</v>
      </c>
    </row>
    <row r="1537">
      <c r="D1537" s="15"/>
      <c r="E1537" s="32" t="s">
        <v>86</v>
      </c>
      <c r="F1537" s="35" t="s">
        <v>338</v>
      </c>
      <c r="G1537" s="84" t="str">
        <f>HYPERLINK("https://docs.google.com/spreadsheets/d/1xVkB1I3CTzyL3Mo68JQVUHWKGyfJWVo1RttNaLDKNBw/edit#gid=1207806723", "https://docs.google.com/spreadsheets/d/1xVkB1I3CTzyL3Mo68JQVUHWKGyfJWVo1RttNaLDKNBw/edit#gid=1207806723")</f>
        <v>https://docs.google.com/spreadsheets/d/1xVkB1I3CTzyL3Mo68JQVUHWKGyfJWVo1RttNaLDKNBw/edit#gid=1207806723</v>
      </c>
      <c r="H1537" s="35" t="s">
        <v>338</v>
      </c>
    </row>
    <row r="1538">
      <c r="D1538" s="15"/>
      <c r="E1538" s="32" t="s">
        <v>88</v>
      </c>
      <c r="F1538" s="35" t="s">
        <v>95</v>
      </c>
      <c r="G1538" s="84" t="str">
        <f>HYPERLINK("https://docs.google.com/spreadsheets/d/1xVkB1I3CTzyL3Mo68JQVUHWKGyfJWVo1RttNaLDKNBw/edit#gid=491856972", "https://docs.google.com/spreadsheets/d/1xVkB1I3CTzyL3Mo68JQVUHWKGyfJWVo1RttNaLDKNBw/edit#gid=491856972")</f>
        <v>https://docs.google.com/spreadsheets/d/1xVkB1I3CTzyL3Mo68JQVUHWKGyfJWVo1RttNaLDKNBw/edit#gid=491856972</v>
      </c>
      <c r="H1538" s="35" t="s">
        <v>95</v>
      </c>
    </row>
    <row r="1539">
      <c r="D1539" s="15"/>
      <c r="E1539" s="32" t="s">
        <v>88</v>
      </c>
      <c r="F1539" s="35" t="s">
        <v>96</v>
      </c>
      <c r="G1539" s="84" t="str">
        <f>HYPERLINK("https://docs.google.com/spreadsheets/d/1xVkB1I3CTzyL3Mo68JQVUHWKGyfJWVo1RttNaLDKNBw/edit#gid=225263113", "https://docs.google.com/spreadsheets/d/1xVkB1I3CTzyL3Mo68JQVUHWKGyfJWVo1RttNaLDKNBw/edit#gid=225263113")</f>
        <v>https://docs.google.com/spreadsheets/d/1xVkB1I3CTzyL3Mo68JQVUHWKGyfJWVo1RttNaLDKNBw/edit#gid=225263113</v>
      </c>
      <c r="H1539" s="35" t="s">
        <v>96</v>
      </c>
    </row>
    <row r="1540">
      <c r="D1540" s="15"/>
      <c r="E1540" s="32"/>
      <c r="F1540" s="35"/>
      <c r="H1540" s="35"/>
    </row>
    <row r="1541">
      <c r="B1541" s="35" t="s">
        <v>2146</v>
      </c>
      <c r="C1541" s="35" t="s">
        <v>2093</v>
      </c>
      <c r="D1541" s="32" t="s">
        <v>20</v>
      </c>
      <c r="E1541" s="32" t="s">
        <v>89</v>
      </c>
      <c r="F1541" s="35" t="s">
        <v>291</v>
      </c>
      <c r="H1541" s="36"/>
    </row>
    <row r="1542">
      <c r="B1542" s="35" t="s">
        <v>2147</v>
      </c>
      <c r="C1542" s="210" t="s">
        <v>2148</v>
      </c>
      <c r="D1542" s="32" t="s">
        <v>20</v>
      </c>
      <c r="E1542" s="32" t="s">
        <v>178</v>
      </c>
      <c r="F1542" s="35" t="s">
        <v>201</v>
      </c>
      <c r="G1542" s="84" t="str">
        <f>HYPERLINK("https://docs.google.com/spreadsheets/d/1-TjLgukpxmpFBHiHGrLCzNmcrPiqqtCV03G1eEAgxkE/edit#gid=885149024", "https://docs.google.com/spreadsheets/d/1-TjLgukpxmpFBHiHGrLCzNmcrPiqqtCV03G1eEAgxkE/edit#gid=885149024")</f>
        <v>https://docs.google.com/spreadsheets/d/1-TjLgukpxmpFBHiHGrLCzNmcrPiqqtCV03G1eEAgxkE/edit#gid=885149024</v>
      </c>
      <c r="H1542" s="35" t="s">
        <v>201</v>
      </c>
    </row>
    <row r="1543">
      <c r="D1543" s="15"/>
      <c r="E1543" s="32" t="s">
        <v>178</v>
      </c>
      <c r="F1543" s="35" t="s">
        <v>202</v>
      </c>
      <c r="G1543" s="84" t="str">
        <f>HYPERLINK("https://docs.google.com/spreadsheets/d/1-TjLgukpxmpFBHiHGrLCzNmcrPiqqtCV03G1eEAgxkE/edit#gid=2043735307", "https://docs.google.com/spreadsheets/d/1-TjLgukpxmpFBHiHGrLCzNmcrPiqqtCV03G1eEAgxkE/edit#gid=2043735307")</f>
        <v>https://docs.google.com/spreadsheets/d/1-TjLgukpxmpFBHiHGrLCzNmcrPiqqtCV03G1eEAgxkE/edit#gid=2043735307</v>
      </c>
      <c r="H1543" s="35" t="s">
        <v>202</v>
      </c>
    </row>
    <row r="1544">
      <c r="D1544" s="15"/>
      <c r="E1544" s="32" t="s">
        <v>178</v>
      </c>
      <c r="F1544" s="35" t="s">
        <v>202</v>
      </c>
      <c r="G1544" s="84" t="str">
        <f>HYPERLINK("https://docs.google.com/spreadsheets/d/1-TjLgukpxmpFBHiHGrLCzNmcrPiqqtCV03G1eEAgxkE/edit#gid=1522396851", "https://docs.google.com/spreadsheets/d/1-TjLgukpxmpFBHiHGrLCzNmcrPiqqtCV03G1eEAgxkE/edit#gid=1522396851")</f>
        <v>https://docs.google.com/spreadsheets/d/1-TjLgukpxmpFBHiHGrLCzNmcrPiqqtCV03G1eEAgxkE/edit#gid=1522396851</v>
      </c>
      <c r="H1544" s="35" t="s">
        <v>2025</v>
      </c>
    </row>
    <row r="1545">
      <c r="D1545" s="15"/>
      <c r="E1545" s="32" t="s">
        <v>21</v>
      </c>
      <c r="F1545" s="35" t="s">
        <v>51</v>
      </c>
      <c r="G1545" s="84" t="str">
        <f>HYPERLINK("https://docs.google.com/spreadsheets/d/1-TjLgukpxmpFBHiHGrLCzNmcrPiqqtCV03G1eEAgxkE/edit#gid=1153144604", "https://docs.google.com/spreadsheets/d/1-TjLgukpxmpFBHiHGrLCzNmcrPiqqtCV03G1eEAgxkE/edit#gid=1153144604")</f>
        <v>https://docs.google.com/spreadsheets/d/1-TjLgukpxmpFBHiHGrLCzNmcrPiqqtCV03G1eEAgxkE/edit#gid=1153144604</v>
      </c>
      <c r="H1545" s="35" t="s">
        <v>51</v>
      </c>
    </row>
    <row r="1546">
      <c r="D1546" s="15"/>
      <c r="E1546" s="32" t="s">
        <v>172</v>
      </c>
      <c r="F1546" s="35" t="s">
        <v>173</v>
      </c>
      <c r="G1546" s="84" t="str">
        <f>HYPERLINK("https://docs.google.com/spreadsheets/d/1-TjLgukpxmpFBHiHGrLCzNmcrPiqqtCV03G1eEAgxkE/edit#gid=1683425776", "https://docs.google.com/spreadsheets/d/1-TjLgukpxmpFBHiHGrLCzNmcrPiqqtCV03G1eEAgxkE/edit#gid=1683425776")</f>
        <v>https://docs.google.com/spreadsheets/d/1-TjLgukpxmpFBHiHGrLCzNmcrPiqqtCV03G1eEAgxkE/edit#gid=1683425776</v>
      </c>
      <c r="H1546" s="35" t="s">
        <v>173</v>
      </c>
    </row>
    <row r="1547">
      <c r="D1547" s="15"/>
      <c r="E1547" s="32" t="s">
        <v>172</v>
      </c>
      <c r="F1547" s="35" t="s">
        <v>402</v>
      </c>
      <c r="G1547" s="84" t="str">
        <f>HYPERLINK("https://docs.google.com/spreadsheets/d/1-TjLgukpxmpFBHiHGrLCzNmcrPiqqtCV03G1eEAgxkE/edit#gid=399407319", "https://docs.google.com/spreadsheets/d/1-TjLgukpxmpFBHiHGrLCzNmcrPiqqtCV03G1eEAgxkE/edit#gid=399407319")</f>
        <v>https://docs.google.com/spreadsheets/d/1-TjLgukpxmpFBHiHGrLCzNmcrPiqqtCV03G1eEAgxkE/edit#gid=399407319</v>
      </c>
      <c r="H1547" s="35" t="s">
        <v>402</v>
      </c>
    </row>
    <row r="1548">
      <c r="D1548" s="15"/>
      <c r="E1548" s="32" t="s">
        <v>172</v>
      </c>
      <c r="F1548" s="35" t="s">
        <v>203</v>
      </c>
      <c r="G1548" s="84" t="str">
        <f>HYPERLINK("https://docs.google.com/spreadsheets/d/1-TjLgukpxmpFBHiHGrLCzNmcrPiqqtCV03G1eEAgxkE/edit#gid=1209899218", "https://docs.google.com/spreadsheets/d/1-TjLgukpxmpFBHiHGrLCzNmcrPiqqtCV03G1eEAgxkE/edit#gid=1209899218")</f>
        <v>https://docs.google.com/spreadsheets/d/1-TjLgukpxmpFBHiHGrLCzNmcrPiqqtCV03G1eEAgxkE/edit#gid=1209899218</v>
      </c>
      <c r="H1548" s="35" t="s">
        <v>203</v>
      </c>
    </row>
    <row r="1549">
      <c r="D1549" s="15"/>
      <c r="E1549" s="32" t="s">
        <v>172</v>
      </c>
      <c r="F1549" s="35" t="s">
        <v>204</v>
      </c>
      <c r="G1549" s="84" t="str">
        <f>HYPERLINK("https://docs.google.com/spreadsheets/d/1-TjLgukpxmpFBHiHGrLCzNmcrPiqqtCV03G1eEAgxkE/edit#gid=9882616", "https://docs.google.com/spreadsheets/d/1-TjLgukpxmpFBHiHGrLCzNmcrPiqqtCV03G1eEAgxkE/edit#gid=9882616")</f>
        <v>https://docs.google.com/spreadsheets/d/1-TjLgukpxmpFBHiHGrLCzNmcrPiqqtCV03G1eEAgxkE/edit#gid=9882616</v>
      </c>
      <c r="H1549" s="35" t="s">
        <v>204</v>
      </c>
    </row>
    <row r="1550">
      <c r="D1550" s="15"/>
      <c r="E1550" s="32" t="s">
        <v>178</v>
      </c>
      <c r="F1550" s="35" t="s">
        <v>205</v>
      </c>
      <c r="G1550" s="84" t="str">
        <f>HYPERLINK("https://docs.google.com/spreadsheets/d/1-TjLgukpxmpFBHiHGrLCzNmcrPiqqtCV03G1eEAgxkE/edit#gid=392628646", "https://docs.google.com/spreadsheets/d/1-TjLgukpxmpFBHiHGrLCzNmcrPiqqtCV03G1eEAgxkE/edit#gid=392628646")</f>
        <v>https://docs.google.com/spreadsheets/d/1-TjLgukpxmpFBHiHGrLCzNmcrPiqqtCV03G1eEAgxkE/edit#gid=392628646</v>
      </c>
      <c r="H1550" s="35" t="s">
        <v>205</v>
      </c>
    </row>
    <row r="1551">
      <c r="D1551" s="15"/>
      <c r="E1551" s="32" t="s">
        <v>178</v>
      </c>
      <c r="F1551" s="35" t="s">
        <v>206</v>
      </c>
      <c r="H1551" s="36"/>
    </row>
    <row r="1552">
      <c r="D1552" s="15"/>
      <c r="E1552" s="32" t="s">
        <v>178</v>
      </c>
      <c r="F1552" s="35" t="s">
        <v>207</v>
      </c>
      <c r="G1552" s="84" t="str">
        <f>HYPERLINK("https://docs.google.com/spreadsheets/d/1-TjLgukpxmpFBHiHGrLCzNmcrPiqqtCV03G1eEAgxkE/edit#gid=843940737", "https://docs.google.com/spreadsheets/d/1-TjLgukpxmpFBHiHGrLCzNmcrPiqqtCV03G1eEAgxkE/edit#gid=843940737")</f>
        <v>https://docs.google.com/spreadsheets/d/1-TjLgukpxmpFBHiHGrLCzNmcrPiqqtCV03G1eEAgxkE/edit#gid=843940737</v>
      </c>
      <c r="H1552" s="35" t="s">
        <v>207</v>
      </c>
    </row>
    <row r="1553">
      <c r="D1553" s="15"/>
      <c r="E1553" s="32" t="s">
        <v>172</v>
      </c>
      <c r="F1553" s="35" t="s">
        <v>173</v>
      </c>
      <c r="G1553" s="84" t="str">
        <f>HYPERLINK("https://docs.google.com/spreadsheets/d/1-TjLgukpxmpFBHiHGrLCzNmcrPiqqtCV03G1eEAgxkE/edit#gid=138110467", "https://docs.google.com/spreadsheets/d/1-TjLgukpxmpFBHiHGrLCzNmcrPiqqtCV03G1eEAgxkE/edit#gid=138110467")</f>
        <v>https://docs.google.com/spreadsheets/d/1-TjLgukpxmpFBHiHGrLCzNmcrPiqqtCV03G1eEAgxkE/edit#gid=138110467</v>
      </c>
      <c r="H1553" s="35" t="s">
        <v>269</v>
      </c>
    </row>
    <row r="1554">
      <c r="D1554" s="15"/>
      <c r="E1554" s="32" t="s">
        <v>172</v>
      </c>
      <c r="F1554" s="35" t="s">
        <v>402</v>
      </c>
      <c r="G1554" s="84" t="str">
        <f>HYPERLINK("https://docs.google.com/spreadsheets/d/1-TjLgukpxmpFBHiHGrLCzNmcrPiqqtCV03G1eEAgxkE/edit#gid=1398206674", "https://docs.google.com/spreadsheets/d/1-TjLgukpxmpFBHiHGrLCzNmcrPiqqtCV03G1eEAgxkE/edit#gid=1398206674")</f>
        <v>https://docs.google.com/spreadsheets/d/1-TjLgukpxmpFBHiHGrLCzNmcrPiqqtCV03G1eEAgxkE/edit#gid=1398206674</v>
      </c>
      <c r="H1554" s="35" t="s">
        <v>2053</v>
      </c>
    </row>
    <row r="1555">
      <c r="D1555" s="15"/>
      <c r="E1555" s="32" t="s">
        <v>172</v>
      </c>
      <c r="F1555" s="35" t="s">
        <v>203</v>
      </c>
      <c r="G1555" s="84" t="str">
        <f>HYPERLINK("https://docs.google.com/spreadsheets/d/1-TjLgukpxmpFBHiHGrLCzNmcrPiqqtCV03G1eEAgxkE/edit#gid=465803439", "https://docs.google.com/spreadsheets/d/1-TjLgukpxmpFBHiHGrLCzNmcrPiqqtCV03G1eEAgxkE/edit#gid=465803439")</f>
        <v>https://docs.google.com/spreadsheets/d/1-TjLgukpxmpFBHiHGrLCzNmcrPiqqtCV03G1eEAgxkE/edit#gid=465803439</v>
      </c>
      <c r="H1555" s="35" t="s">
        <v>1995</v>
      </c>
    </row>
    <row r="1556">
      <c r="D1556" s="15"/>
      <c r="E1556" s="32" t="s">
        <v>172</v>
      </c>
      <c r="F1556" s="35" t="s">
        <v>204</v>
      </c>
      <c r="G1556" s="84" t="str">
        <f>HYPERLINK("https://docs.google.com/spreadsheets/d/1-TjLgukpxmpFBHiHGrLCzNmcrPiqqtCV03G1eEAgxkE/edit#gid=1323966249", "https://docs.google.com/spreadsheets/d/1-TjLgukpxmpFBHiHGrLCzNmcrPiqqtCV03G1eEAgxkE/edit#gid=1323966249")</f>
        <v>https://docs.google.com/spreadsheets/d/1-TjLgukpxmpFBHiHGrLCzNmcrPiqqtCV03G1eEAgxkE/edit#gid=1323966249</v>
      </c>
      <c r="H1556" s="35" t="s">
        <v>1996</v>
      </c>
    </row>
    <row r="1557">
      <c r="D1557" s="15"/>
      <c r="E1557" s="32" t="s">
        <v>178</v>
      </c>
      <c r="F1557" s="35" t="s">
        <v>205</v>
      </c>
      <c r="G1557" s="84" t="str">
        <f>HYPERLINK("https://docs.google.com/spreadsheets/d/1-TjLgukpxmpFBHiHGrLCzNmcrPiqqtCV03G1eEAgxkE/edit#gid=40041464", "https://docs.google.com/spreadsheets/d/1-TjLgukpxmpFBHiHGrLCzNmcrPiqqtCV03G1eEAgxkE/edit#gid=40041464")</f>
        <v>https://docs.google.com/spreadsheets/d/1-TjLgukpxmpFBHiHGrLCzNmcrPiqqtCV03G1eEAgxkE/edit#gid=40041464</v>
      </c>
      <c r="H1557" s="35" t="s">
        <v>1997</v>
      </c>
    </row>
    <row r="1558">
      <c r="D1558" s="15"/>
      <c r="E1558" s="32" t="s">
        <v>178</v>
      </c>
      <c r="F1558" s="35" t="s">
        <v>206</v>
      </c>
      <c r="H1558" s="36"/>
    </row>
    <row r="1559">
      <c r="D1559" s="15"/>
      <c r="E1559" s="32" t="s">
        <v>178</v>
      </c>
      <c r="F1559" s="35" t="s">
        <v>207</v>
      </c>
      <c r="G1559" s="84" t="str">
        <f>HYPERLINK("https://docs.google.com/spreadsheets/d/1-TjLgukpxmpFBHiHGrLCzNmcrPiqqtCV03G1eEAgxkE/edit#gid=416440363", "https://docs.google.com/spreadsheets/d/1-TjLgukpxmpFBHiHGrLCzNmcrPiqqtCV03G1eEAgxkE/edit#gid=416440363")</f>
        <v>https://docs.google.com/spreadsheets/d/1-TjLgukpxmpFBHiHGrLCzNmcrPiqqtCV03G1eEAgxkE/edit#gid=416440363</v>
      </c>
      <c r="H1559" s="35" t="s">
        <v>1998</v>
      </c>
    </row>
    <row r="1560">
      <c r="D1560" s="15"/>
      <c r="E1560" s="32" t="s">
        <v>178</v>
      </c>
      <c r="F1560" s="35" t="s">
        <v>208</v>
      </c>
      <c r="G1560" s="84" t="str">
        <f>HYPERLINK("https://docs.google.com/spreadsheets/d/1-TjLgukpxmpFBHiHGrLCzNmcrPiqqtCV03G1eEAgxkE/edit#gid=1998087539", "https://docs.google.com/spreadsheets/d/1-TjLgukpxmpFBHiHGrLCzNmcrPiqqtCV03G1eEAgxkE/edit#gid=1998087539")</f>
        <v>https://docs.google.com/spreadsheets/d/1-TjLgukpxmpFBHiHGrLCzNmcrPiqqtCV03G1eEAgxkE/edit#gid=1998087539</v>
      </c>
      <c r="H1560" s="35" t="s">
        <v>208</v>
      </c>
    </row>
    <row r="1561">
      <c r="D1561" s="15"/>
      <c r="E1561" s="32" t="s">
        <v>178</v>
      </c>
      <c r="F1561" s="35" t="s">
        <v>182</v>
      </c>
      <c r="G1561" s="84" t="str">
        <f>HYPERLINK("https://docs.google.com/spreadsheets/d/1-TjLgukpxmpFBHiHGrLCzNmcrPiqqtCV03G1eEAgxkE/edit#gid=127513550", "https://docs.google.com/spreadsheets/d/1-TjLgukpxmpFBHiHGrLCzNmcrPiqqtCV03G1eEAgxkE/edit#gid=127513550")</f>
        <v>https://docs.google.com/spreadsheets/d/1-TjLgukpxmpFBHiHGrLCzNmcrPiqqtCV03G1eEAgxkE/edit#gid=127513550</v>
      </c>
      <c r="H1561" s="35" t="s">
        <v>182</v>
      </c>
    </row>
    <row r="1562">
      <c r="D1562" s="15"/>
      <c r="E1562" s="32" t="s">
        <v>178</v>
      </c>
      <c r="F1562" s="35" t="s">
        <v>180</v>
      </c>
      <c r="G1562" s="84" t="str">
        <f>HYPERLINK("https://docs.google.com/spreadsheets/d/1-TjLgukpxmpFBHiHGrLCzNmcrPiqqtCV03G1eEAgxkE/edit#gid=350498416", "https://docs.google.com/spreadsheets/d/1-TjLgukpxmpFBHiHGrLCzNmcrPiqqtCV03G1eEAgxkE/edit#gid=350498416")</f>
        <v>https://docs.google.com/spreadsheets/d/1-TjLgukpxmpFBHiHGrLCzNmcrPiqqtCV03G1eEAgxkE/edit#gid=350498416</v>
      </c>
      <c r="H1562" s="35" t="s">
        <v>180</v>
      </c>
    </row>
    <row r="1563">
      <c r="D1563" s="15"/>
      <c r="E1563" s="32" t="s">
        <v>178</v>
      </c>
      <c r="F1563" s="35" t="s">
        <v>209</v>
      </c>
      <c r="G1563" s="84" t="str">
        <f>HYPERLINK("https://docs.google.com/spreadsheets/d/1-TjLgukpxmpFBHiHGrLCzNmcrPiqqtCV03G1eEAgxkE/edit#gid=1804170200", "https://docs.google.com/spreadsheets/d/1-TjLgukpxmpFBHiHGrLCzNmcrPiqqtCV03G1eEAgxkE/edit#gid=1804170200")</f>
        <v>https://docs.google.com/spreadsheets/d/1-TjLgukpxmpFBHiHGrLCzNmcrPiqqtCV03G1eEAgxkE/edit#gid=1804170200</v>
      </c>
      <c r="H1563" s="35" t="s">
        <v>209</v>
      </c>
    </row>
    <row r="1564">
      <c r="D1564" s="15"/>
      <c r="E1564" s="32" t="s">
        <v>178</v>
      </c>
      <c r="F1564" s="35" t="s">
        <v>210</v>
      </c>
      <c r="G1564" s="84" t="str">
        <f>HYPERLINK("https://docs.google.com/spreadsheets/d/1-TjLgukpxmpFBHiHGrLCzNmcrPiqqtCV03G1eEAgxkE/edit#gid=1411662789", "https://docs.google.com/spreadsheets/d/1-TjLgukpxmpFBHiHGrLCzNmcrPiqqtCV03G1eEAgxkE/edit#gid=1411662789")</f>
        <v>https://docs.google.com/spreadsheets/d/1-TjLgukpxmpFBHiHGrLCzNmcrPiqqtCV03G1eEAgxkE/edit#gid=1411662789</v>
      </c>
      <c r="H1564" s="35" t="s">
        <v>210</v>
      </c>
    </row>
    <row r="1565">
      <c r="D1565" s="15"/>
      <c r="E1565" s="32" t="s">
        <v>157</v>
      </c>
      <c r="F1565" s="35" t="s">
        <v>161</v>
      </c>
      <c r="G1565" s="84" t="str">
        <f>HYPERLINK("https://docs.google.com/spreadsheets/d/1-TjLgukpxmpFBHiHGrLCzNmcrPiqqtCV03G1eEAgxkE/edit#gid=188159332", "https://docs.google.com/spreadsheets/d/1-TjLgukpxmpFBHiHGrLCzNmcrPiqqtCV03G1eEAgxkE/edit#gid=188159332")</f>
        <v>https://docs.google.com/spreadsheets/d/1-TjLgukpxmpFBHiHGrLCzNmcrPiqqtCV03G1eEAgxkE/edit#gid=188159332</v>
      </c>
      <c r="H1565" s="35" t="s">
        <v>161</v>
      </c>
    </row>
    <row r="1566">
      <c r="D1566" s="15"/>
      <c r="E1566" s="32" t="s">
        <v>157</v>
      </c>
      <c r="F1566" s="35" t="s">
        <v>158</v>
      </c>
      <c r="G1566" s="84" t="str">
        <f>HYPERLINK("https://docs.google.com/spreadsheets/d/1-TjLgukpxmpFBHiHGrLCzNmcrPiqqtCV03G1eEAgxkE/edit#gid=1473391159", "https://docs.google.com/spreadsheets/d/1-TjLgukpxmpFBHiHGrLCzNmcrPiqqtCV03G1eEAgxkE/edit#gid=1473391159")</f>
        <v>https://docs.google.com/spreadsheets/d/1-TjLgukpxmpFBHiHGrLCzNmcrPiqqtCV03G1eEAgxkE/edit#gid=1473391159</v>
      </c>
      <c r="H1566" s="35" t="s">
        <v>158</v>
      </c>
    </row>
    <row r="1567">
      <c r="D1567" s="15"/>
      <c r="E1567" s="32" t="s">
        <v>157</v>
      </c>
      <c r="F1567" s="35" t="s">
        <v>196</v>
      </c>
      <c r="G1567" s="84" t="str">
        <f>HYPERLINK("https://docs.google.com/spreadsheets/d/1-TjLgukpxmpFBHiHGrLCzNmcrPiqqtCV03G1eEAgxkE/edit#gid=1253421597", "https://docs.google.com/spreadsheets/d/1-TjLgukpxmpFBHiHGrLCzNmcrPiqqtCV03G1eEAgxkE/edit#gid=1253421597")</f>
        <v>https://docs.google.com/spreadsheets/d/1-TjLgukpxmpFBHiHGrLCzNmcrPiqqtCV03G1eEAgxkE/edit#gid=1253421597</v>
      </c>
      <c r="H1567" s="35" t="s">
        <v>196</v>
      </c>
    </row>
    <row r="1568">
      <c r="D1568" s="15"/>
      <c r="E1568" s="32" t="s">
        <v>172</v>
      </c>
      <c r="F1568" s="35" t="s">
        <v>173</v>
      </c>
      <c r="G1568" s="84" t="str">
        <f>HYPERLINK("https://docs.google.com/spreadsheets/d/1-TjLgukpxmpFBHiHGrLCzNmcrPiqqtCV03G1eEAgxkE/edit#gid=1172400182", "https://docs.google.com/spreadsheets/d/1-TjLgukpxmpFBHiHGrLCzNmcrPiqqtCV03G1eEAgxkE/edit#gid=1172400182")</f>
        <v>https://docs.google.com/spreadsheets/d/1-TjLgukpxmpFBHiHGrLCzNmcrPiqqtCV03G1eEAgxkE/edit#gid=1172400182</v>
      </c>
      <c r="H1568" s="35" t="s">
        <v>2054</v>
      </c>
    </row>
    <row r="1569">
      <c r="D1569" s="15"/>
      <c r="E1569" s="32" t="s">
        <v>172</v>
      </c>
      <c r="F1569" s="35" t="s">
        <v>402</v>
      </c>
      <c r="G1569" s="84" t="str">
        <f>HYPERLINK("https://docs.google.com/spreadsheets/d/1-TjLgukpxmpFBHiHGrLCzNmcrPiqqtCV03G1eEAgxkE/edit#gid=428418695", "https://docs.google.com/spreadsheets/d/1-TjLgukpxmpFBHiHGrLCzNmcrPiqqtCV03G1eEAgxkE/edit#gid=428418695")</f>
        <v>https://docs.google.com/spreadsheets/d/1-TjLgukpxmpFBHiHGrLCzNmcrPiqqtCV03G1eEAgxkE/edit#gid=428418695</v>
      </c>
      <c r="H1569" s="35" t="s">
        <v>2055</v>
      </c>
    </row>
    <row r="1570">
      <c r="D1570" s="15"/>
      <c r="E1570" s="32" t="s">
        <v>172</v>
      </c>
      <c r="F1570" s="35" t="s">
        <v>203</v>
      </c>
      <c r="G1570" s="84" t="str">
        <f>HYPERLINK("https://docs.google.com/spreadsheets/d/1-TjLgukpxmpFBHiHGrLCzNmcrPiqqtCV03G1eEAgxkE/edit#gid=1618958213", "https://docs.google.com/spreadsheets/d/1-TjLgukpxmpFBHiHGrLCzNmcrPiqqtCV03G1eEAgxkE/edit#gid=1618958213")</f>
        <v>https://docs.google.com/spreadsheets/d/1-TjLgukpxmpFBHiHGrLCzNmcrPiqqtCV03G1eEAgxkE/edit#gid=1618958213</v>
      </c>
      <c r="H1570" s="35" t="s">
        <v>1999</v>
      </c>
    </row>
    <row r="1571">
      <c r="D1571" s="15"/>
      <c r="E1571" s="32" t="s">
        <v>172</v>
      </c>
      <c r="F1571" s="35" t="s">
        <v>204</v>
      </c>
      <c r="G1571" s="84" t="str">
        <f>HYPERLINK("https://docs.google.com/spreadsheets/d/1-TjLgukpxmpFBHiHGrLCzNmcrPiqqtCV03G1eEAgxkE/edit#gid=1973329987", "https://docs.google.com/spreadsheets/d/1-TjLgukpxmpFBHiHGrLCzNmcrPiqqtCV03G1eEAgxkE/edit#gid=1973329987")</f>
        <v>https://docs.google.com/spreadsheets/d/1-TjLgukpxmpFBHiHGrLCzNmcrPiqqtCV03G1eEAgxkE/edit#gid=1973329987</v>
      </c>
      <c r="H1571" s="35" t="s">
        <v>2000</v>
      </c>
    </row>
    <row r="1572">
      <c r="D1572" s="15"/>
      <c r="E1572" s="32" t="s">
        <v>178</v>
      </c>
      <c r="F1572" s="35" t="s">
        <v>207</v>
      </c>
      <c r="G1572" s="84" t="str">
        <f>HYPERLINK("https://docs.google.com/spreadsheets/d/1-TjLgukpxmpFBHiHGrLCzNmcrPiqqtCV03G1eEAgxkE/edit#gid=336466446", "https://docs.google.com/spreadsheets/d/1-TjLgukpxmpFBHiHGrLCzNmcrPiqqtCV03G1eEAgxkE/edit#gid=336466446")</f>
        <v>https://docs.google.com/spreadsheets/d/1-TjLgukpxmpFBHiHGrLCzNmcrPiqqtCV03G1eEAgxkE/edit#gid=336466446</v>
      </c>
      <c r="H1572" s="35" t="s">
        <v>2001</v>
      </c>
    </row>
    <row r="1573">
      <c r="D1573" s="15"/>
      <c r="E1573" s="32" t="s">
        <v>178</v>
      </c>
      <c r="F1573" s="35" t="s">
        <v>208</v>
      </c>
      <c r="G1573" s="84" t="str">
        <f>HYPERLINK("https://docs.google.com/spreadsheets/d/1-TjLgukpxmpFBHiHGrLCzNmcrPiqqtCV03G1eEAgxkE/edit#gid=1651573765", "https://docs.google.com/spreadsheets/d/1-TjLgukpxmpFBHiHGrLCzNmcrPiqqtCV03G1eEAgxkE/edit#gid=1651573765")</f>
        <v>https://docs.google.com/spreadsheets/d/1-TjLgukpxmpFBHiHGrLCzNmcrPiqqtCV03G1eEAgxkE/edit#gid=1651573765</v>
      </c>
      <c r="H1573" s="35" t="s">
        <v>2002</v>
      </c>
    </row>
    <row r="1574">
      <c r="D1574" s="15"/>
      <c r="E1574" s="32" t="s">
        <v>178</v>
      </c>
      <c r="F1574" s="35" t="s">
        <v>182</v>
      </c>
      <c r="G1574" s="84" t="str">
        <f>HYPERLINK("https://docs.google.com/spreadsheets/d/1-TjLgukpxmpFBHiHGrLCzNmcrPiqqtCV03G1eEAgxkE/edit#gid=548513289", "https://docs.google.com/spreadsheets/d/1-TjLgukpxmpFBHiHGrLCzNmcrPiqqtCV03G1eEAgxkE/edit#gid=548513289")</f>
        <v>https://docs.google.com/spreadsheets/d/1-TjLgukpxmpFBHiHGrLCzNmcrPiqqtCV03G1eEAgxkE/edit#gid=548513289</v>
      </c>
      <c r="H1574" s="35" t="s">
        <v>2003</v>
      </c>
    </row>
    <row r="1575">
      <c r="D1575" s="15"/>
      <c r="E1575" s="32" t="s">
        <v>178</v>
      </c>
      <c r="F1575" s="35" t="s">
        <v>180</v>
      </c>
      <c r="G1575" s="84" t="str">
        <f>HYPERLINK("https://docs.google.com/spreadsheets/d/1-TjLgukpxmpFBHiHGrLCzNmcrPiqqtCV03G1eEAgxkE/edit#gid=1638735391", "https://docs.google.com/spreadsheets/d/1-TjLgukpxmpFBHiHGrLCzNmcrPiqqtCV03G1eEAgxkE/edit#gid=1638735391")</f>
        <v>https://docs.google.com/spreadsheets/d/1-TjLgukpxmpFBHiHGrLCzNmcrPiqqtCV03G1eEAgxkE/edit#gid=1638735391</v>
      </c>
      <c r="H1575" s="71" t="s">
        <v>2009</v>
      </c>
    </row>
    <row r="1576">
      <c r="D1576" s="15"/>
      <c r="E1576" s="32" t="s">
        <v>178</v>
      </c>
      <c r="F1576" s="35" t="s">
        <v>209</v>
      </c>
      <c r="G1576" s="84" t="str">
        <f>HYPERLINK("https://docs.google.com/spreadsheets/d/1-TjLgukpxmpFBHiHGrLCzNmcrPiqqtCV03G1eEAgxkE/edit#gid=2092720248", "https://docs.google.com/spreadsheets/d/1-TjLgukpxmpFBHiHGrLCzNmcrPiqqtCV03G1eEAgxkE/edit#gid=2092720248")</f>
        <v>https://docs.google.com/spreadsheets/d/1-TjLgukpxmpFBHiHGrLCzNmcrPiqqtCV03G1eEAgxkE/edit#gid=2092720248</v>
      </c>
      <c r="H1576" s="35" t="s">
        <v>1986</v>
      </c>
    </row>
    <row r="1577">
      <c r="D1577" s="15"/>
      <c r="E1577" s="32" t="s">
        <v>178</v>
      </c>
      <c r="F1577" s="35" t="s">
        <v>210</v>
      </c>
      <c r="G1577" s="84" t="str">
        <f>HYPERLINK("https://docs.google.com/spreadsheets/d/1-TjLgukpxmpFBHiHGrLCzNmcrPiqqtCV03G1eEAgxkE/edit#gid=1417855304", "https://docs.google.com/spreadsheets/d/1-TjLgukpxmpFBHiHGrLCzNmcrPiqqtCV03G1eEAgxkE/edit#gid=1417855304")</f>
        <v>https://docs.google.com/spreadsheets/d/1-TjLgukpxmpFBHiHGrLCzNmcrPiqqtCV03G1eEAgxkE/edit#gid=1417855304</v>
      </c>
      <c r="H1577" s="35" t="s">
        <v>1987</v>
      </c>
    </row>
    <row r="1578">
      <c r="D1578" s="15"/>
      <c r="E1578" s="32" t="s">
        <v>86</v>
      </c>
      <c r="F1578" s="35" t="s">
        <v>90</v>
      </c>
      <c r="G1578" s="84" t="str">
        <f>HYPERLINK("https://docs.google.com/spreadsheets/d/1-TjLgukpxmpFBHiHGrLCzNmcrPiqqtCV03G1eEAgxkE/edit#gid=1234675010", "https://docs.google.com/spreadsheets/d/1-TjLgukpxmpFBHiHGrLCzNmcrPiqqtCV03G1eEAgxkE/edit#gid=1234675010")</f>
        <v>https://docs.google.com/spreadsheets/d/1-TjLgukpxmpFBHiHGrLCzNmcrPiqqtCV03G1eEAgxkE/edit#gid=1234675010</v>
      </c>
      <c r="H1578" s="35" t="s">
        <v>90</v>
      </c>
    </row>
    <row r="1579">
      <c r="D1579" s="15"/>
      <c r="E1579" s="32" t="s">
        <v>86</v>
      </c>
      <c r="F1579" s="35" t="s">
        <v>91</v>
      </c>
      <c r="G1579" s="84" t="str">
        <f>HYPERLINK("https://docs.google.com/spreadsheets/d/1-TjLgukpxmpFBHiHGrLCzNmcrPiqqtCV03G1eEAgxkE/edit#gid=478613964", "https://docs.google.com/spreadsheets/d/1-TjLgukpxmpFBHiHGrLCzNmcrPiqqtCV03G1eEAgxkE/edit#gid=478613964")</f>
        <v>https://docs.google.com/spreadsheets/d/1-TjLgukpxmpFBHiHGrLCzNmcrPiqqtCV03G1eEAgxkE/edit#gid=478613964</v>
      </c>
      <c r="H1579" s="35" t="s">
        <v>91</v>
      </c>
    </row>
    <row r="1580">
      <c r="D1580" s="15"/>
      <c r="E1580" s="32" t="s">
        <v>88</v>
      </c>
      <c r="F1580" s="35" t="s">
        <v>95</v>
      </c>
      <c r="G1580" s="84" t="str">
        <f>HYPERLINK("https://docs.google.com/spreadsheets/d/1-TjLgukpxmpFBHiHGrLCzNmcrPiqqtCV03G1eEAgxkE/edit#gid=445208217", "https://docs.google.com/spreadsheets/d/1-TjLgukpxmpFBHiHGrLCzNmcrPiqqtCV03G1eEAgxkE/edit#gid=445208217")</f>
        <v>https://docs.google.com/spreadsheets/d/1-TjLgukpxmpFBHiHGrLCzNmcrPiqqtCV03G1eEAgxkE/edit#gid=445208217</v>
      </c>
      <c r="H1580" s="35" t="s">
        <v>95</v>
      </c>
    </row>
    <row r="1581">
      <c r="D1581" s="15"/>
      <c r="E1581" s="32" t="s">
        <v>88</v>
      </c>
      <c r="F1581" s="35" t="s">
        <v>96</v>
      </c>
      <c r="G1581" s="84" t="str">
        <f>HYPERLINK("https://docs.google.com/spreadsheets/d/1-TjLgukpxmpFBHiHGrLCzNmcrPiqqtCV03G1eEAgxkE/edit#gid=783823873", "https://docs.google.com/spreadsheets/d/1-TjLgukpxmpFBHiHGrLCzNmcrPiqqtCV03G1eEAgxkE/edit#gid=783823873")</f>
        <v>https://docs.google.com/spreadsheets/d/1-TjLgukpxmpFBHiHGrLCzNmcrPiqqtCV03G1eEAgxkE/edit#gid=783823873</v>
      </c>
      <c r="H1581" s="35" t="s">
        <v>96</v>
      </c>
    </row>
    <row r="1582">
      <c r="D1582" s="15"/>
      <c r="E1582" s="32"/>
      <c r="F1582" s="35"/>
      <c r="H1582" s="35"/>
    </row>
    <row r="1583">
      <c r="B1583" s="35" t="s">
        <v>2149</v>
      </c>
      <c r="C1583" s="35" t="s">
        <v>2103</v>
      </c>
      <c r="D1583" s="32" t="s">
        <v>20</v>
      </c>
      <c r="E1583" s="32" t="s">
        <v>89</v>
      </c>
      <c r="F1583" s="35" t="s">
        <v>291</v>
      </c>
      <c r="H1583" s="36"/>
    </row>
    <row r="1584">
      <c r="B1584" s="35" t="s">
        <v>2150</v>
      </c>
      <c r="C1584" s="205" t="s">
        <v>2151</v>
      </c>
      <c r="D1584" s="32" t="s">
        <v>20</v>
      </c>
      <c r="E1584" s="32" t="s">
        <v>178</v>
      </c>
      <c r="F1584" s="35" t="s">
        <v>201</v>
      </c>
      <c r="G1584" s="84" t="str">
        <f>HYPERLINK("https://docs.google.com/spreadsheets/d/1kYI8ePRiO8Fy5j__rVnSt7RpesHnptD0dfu_MkZKzoY/edit#gid=1921312537", "https://docs.google.com/spreadsheets/d/1kYI8ePRiO8Fy5j__rVnSt7RpesHnptD0dfu_MkZKzoY/edit#gid=1921312537")</f>
        <v>https://docs.google.com/spreadsheets/d/1kYI8ePRiO8Fy5j__rVnSt7RpesHnptD0dfu_MkZKzoY/edit#gid=1921312537</v>
      </c>
      <c r="H1584" s="35" t="s">
        <v>201</v>
      </c>
    </row>
    <row r="1585">
      <c r="D1585" s="15"/>
      <c r="E1585" s="32" t="s">
        <v>178</v>
      </c>
      <c r="F1585" s="35" t="s">
        <v>202</v>
      </c>
      <c r="G1585" s="84" t="str">
        <f>HYPERLINK("https://docs.google.com/spreadsheets/d/1kYI8ePRiO8Fy5j__rVnSt7RpesHnptD0dfu_MkZKzoY/edit#gid=725212287", "https://docs.google.com/spreadsheets/d/1kYI8ePRiO8Fy5j__rVnSt7RpesHnptD0dfu_MkZKzoY/edit#gid=725212287")</f>
        <v>https://docs.google.com/spreadsheets/d/1kYI8ePRiO8Fy5j__rVnSt7RpesHnptD0dfu_MkZKzoY/edit#gid=725212287</v>
      </c>
      <c r="H1585" s="35" t="s">
        <v>202</v>
      </c>
    </row>
    <row r="1586">
      <c r="D1586" s="15"/>
      <c r="E1586" s="32" t="s">
        <v>21</v>
      </c>
      <c r="F1586" s="35" t="s">
        <v>51</v>
      </c>
      <c r="G1586" s="84" t="str">
        <f>HYPERLINK("https://docs.google.com/spreadsheets/d/1kYI8ePRiO8Fy5j__rVnSt7RpesHnptD0dfu_MkZKzoY/edit#gid=777005969", "https://docs.google.com/spreadsheets/d/1kYI8ePRiO8Fy5j__rVnSt7RpesHnptD0dfu_MkZKzoY/edit#gid=777005969")</f>
        <v>https://docs.google.com/spreadsheets/d/1kYI8ePRiO8Fy5j__rVnSt7RpesHnptD0dfu_MkZKzoY/edit#gid=777005969</v>
      </c>
      <c r="H1586" s="35" t="s">
        <v>51</v>
      </c>
    </row>
    <row r="1587">
      <c r="D1587" s="15"/>
      <c r="E1587" s="32" t="s">
        <v>172</v>
      </c>
      <c r="F1587" s="35" t="s">
        <v>173</v>
      </c>
      <c r="G1587" s="84" t="str">
        <f>HYPERLINK("https://docs.google.com/spreadsheets/d/1kYI8ePRiO8Fy5j__rVnSt7RpesHnptD0dfu_MkZKzoY/edit#gid=2112190783", "https://docs.google.com/spreadsheets/d/1kYI8ePRiO8Fy5j__rVnSt7RpesHnptD0dfu_MkZKzoY/edit#gid=2112190783")</f>
        <v>https://docs.google.com/spreadsheets/d/1kYI8ePRiO8Fy5j__rVnSt7RpesHnptD0dfu_MkZKzoY/edit#gid=2112190783</v>
      </c>
      <c r="H1587" s="35" t="s">
        <v>173</v>
      </c>
    </row>
    <row r="1588">
      <c r="D1588" s="15"/>
      <c r="E1588" s="32" t="s">
        <v>172</v>
      </c>
      <c r="F1588" s="35" t="s">
        <v>402</v>
      </c>
      <c r="G1588" s="84" t="str">
        <f>HYPERLINK("https://docs.google.com/spreadsheets/d/1kYI8ePRiO8Fy5j__rVnSt7RpesHnptD0dfu_MkZKzoY/edit#gid=2058110495", "https://docs.google.com/spreadsheets/d/1kYI8ePRiO8Fy5j__rVnSt7RpesHnptD0dfu_MkZKzoY/edit#gid=2058110495")</f>
        <v>https://docs.google.com/spreadsheets/d/1kYI8ePRiO8Fy5j__rVnSt7RpesHnptD0dfu_MkZKzoY/edit#gid=2058110495</v>
      </c>
      <c r="H1588" s="35" t="s">
        <v>402</v>
      </c>
    </row>
    <row r="1589">
      <c r="D1589" s="15"/>
      <c r="E1589" s="32" t="s">
        <v>172</v>
      </c>
      <c r="F1589" s="35" t="s">
        <v>203</v>
      </c>
      <c r="G1589" s="84" t="str">
        <f>HYPERLINK("https://docs.google.com/spreadsheets/d/1kYI8ePRiO8Fy5j__rVnSt7RpesHnptD0dfu_MkZKzoY/edit#gid=721490550", "https://docs.google.com/spreadsheets/d/1kYI8ePRiO8Fy5j__rVnSt7RpesHnptD0dfu_MkZKzoY/edit#gid=721490550")</f>
        <v>https://docs.google.com/spreadsheets/d/1kYI8ePRiO8Fy5j__rVnSt7RpesHnptD0dfu_MkZKzoY/edit#gid=721490550</v>
      </c>
      <c r="H1589" s="35" t="s">
        <v>203</v>
      </c>
    </row>
    <row r="1590">
      <c r="D1590" s="15"/>
      <c r="E1590" s="32" t="s">
        <v>172</v>
      </c>
      <c r="F1590" s="35" t="s">
        <v>204</v>
      </c>
      <c r="G1590" s="84" t="str">
        <f>HYPERLINK("https://docs.google.com/spreadsheets/d/1kYI8ePRiO8Fy5j__rVnSt7RpesHnptD0dfu_MkZKzoY/edit#gid=160383993", "https://docs.google.com/spreadsheets/d/1kYI8ePRiO8Fy5j__rVnSt7RpesHnptD0dfu_MkZKzoY/edit#gid=160383993")</f>
        <v>https://docs.google.com/spreadsheets/d/1kYI8ePRiO8Fy5j__rVnSt7RpesHnptD0dfu_MkZKzoY/edit#gid=160383993</v>
      </c>
      <c r="H1590" s="35" t="s">
        <v>204</v>
      </c>
    </row>
    <row r="1591">
      <c r="D1591" s="15"/>
      <c r="E1591" s="32" t="s">
        <v>178</v>
      </c>
      <c r="F1591" s="35" t="s">
        <v>205</v>
      </c>
      <c r="G1591" s="84" t="str">
        <f>HYPERLINK("https://docs.google.com/spreadsheets/d/1kYI8ePRiO8Fy5j__rVnSt7RpesHnptD0dfu_MkZKzoY/edit#gid=1702153298", "https://docs.google.com/spreadsheets/d/1kYI8ePRiO8Fy5j__rVnSt7RpesHnptD0dfu_MkZKzoY/edit#gid=1702153298")</f>
        <v>https://docs.google.com/spreadsheets/d/1kYI8ePRiO8Fy5j__rVnSt7RpesHnptD0dfu_MkZKzoY/edit#gid=1702153298</v>
      </c>
      <c r="H1591" s="35" t="s">
        <v>205</v>
      </c>
    </row>
    <row r="1592">
      <c r="D1592" s="15"/>
      <c r="E1592" s="32" t="s">
        <v>178</v>
      </c>
      <c r="F1592" s="35" t="s">
        <v>206</v>
      </c>
      <c r="H1592" s="36"/>
    </row>
    <row r="1593">
      <c r="D1593" s="15"/>
      <c r="E1593" s="32" t="s">
        <v>178</v>
      </c>
      <c r="F1593" s="35" t="s">
        <v>207</v>
      </c>
      <c r="G1593" s="84" t="str">
        <f>HYPERLINK("https://docs.google.com/spreadsheets/d/1kYI8ePRiO8Fy5j__rVnSt7RpesHnptD0dfu_MkZKzoY/edit#gid=455380629", "https://docs.google.com/spreadsheets/d/1kYI8ePRiO8Fy5j__rVnSt7RpesHnptD0dfu_MkZKzoY/edit#gid=455380629")</f>
        <v>https://docs.google.com/spreadsheets/d/1kYI8ePRiO8Fy5j__rVnSt7RpesHnptD0dfu_MkZKzoY/edit#gid=455380629</v>
      </c>
      <c r="H1593" s="35" t="s">
        <v>207</v>
      </c>
    </row>
    <row r="1594">
      <c r="D1594" s="15"/>
      <c r="E1594" s="32" t="s">
        <v>21</v>
      </c>
      <c r="F1594" s="35" t="s">
        <v>51</v>
      </c>
      <c r="G1594" s="84" t="str">
        <f>HYPERLINK("https://docs.google.com/spreadsheets/d/1kYI8ePRiO8Fy5j__rVnSt7RpesHnptD0dfu_MkZKzoY/edit#gid=1007386389", "https://docs.google.com/spreadsheets/d/1kYI8ePRiO8Fy5j__rVnSt7RpesHnptD0dfu_MkZKzoY/edit#gid=1007386389")</f>
        <v>https://docs.google.com/spreadsheets/d/1kYI8ePRiO8Fy5j__rVnSt7RpesHnptD0dfu_MkZKzoY/edit#gid=1007386389</v>
      </c>
      <c r="H1594" s="35" t="s">
        <v>1383</v>
      </c>
    </row>
    <row r="1595">
      <c r="D1595" s="15"/>
      <c r="E1595" s="32" t="s">
        <v>86</v>
      </c>
      <c r="F1595" s="35" t="s">
        <v>90</v>
      </c>
      <c r="G1595" s="84" t="str">
        <f>HYPERLINK("https://docs.google.com/spreadsheets/d/1kYI8ePRiO8Fy5j__rVnSt7RpesHnptD0dfu_MkZKzoY/edit#gid=391353646", "https://docs.google.com/spreadsheets/d/1kYI8ePRiO8Fy5j__rVnSt7RpesHnptD0dfu_MkZKzoY/edit#gid=391353646")</f>
        <v>https://docs.google.com/spreadsheets/d/1kYI8ePRiO8Fy5j__rVnSt7RpesHnptD0dfu_MkZKzoY/edit#gid=391353646</v>
      </c>
      <c r="H1595" s="35" t="s">
        <v>90</v>
      </c>
    </row>
    <row r="1596">
      <c r="D1596" s="15"/>
      <c r="E1596" s="32" t="s">
        <v>86</v>
      </c>
      <c r="F1596" s="35" t="s">
        <v>339</v>
      </c>
      <c r="G1596" s="84" t="str">
        <f>HYPERLINK("https://docs.google.com/spreadsheets/d/1kYI8ePRiO8Fy5j__rVnSt7RpesHnptD0dfu_MkZKzoY/edit#gid=1685292834", "https://docs.google.com/spreadsheets/d/1kYI8ePRiO8Fy5j__rVnSt7RpesHnptD0dfu_MkZKzoY/edit#gid=1685292834")</f>
        <v>https://docs.google.com/spreadsheets/d/1kYI8ePRiO8Fy5j__rVnSt7RpesHnptD0dfu_MkZKzoY/edit#gid=1685292834</v>
      </c>
      <c r="H1596" s="35" t="s">
        <v>339</v>
      </c>
    </row>
    <row r="1597">
      <c r="D1597" s="15"/>
      <c r="E1597" s="32" t="s">
        <v>172</v>
      </c>
      <c r="F1597" s="35" t="s">
        <v>173</v>
      </c>
      <c r="G1597" s="84" t="str">
        <f>HYPERLINK("https://docs.google.com/spreadsheets/d/1kYI8ePRiO8Fy5j__rVnSt7RpesHnptD0dfu_MkZKzoY/edit#gid=213982448", "https://docs.google.com/spreadsheets/d/1kYI8ePRiO8Fy5j__rVnSt7RpesHnptD0dfu_MkZKzoY/edit#gid=213982448")</f>
        <v>https://docs.google.com/spreadsheets/d/1kYI8ePRiO8Fy5j__rVnSt7RpesHnptD0dfu_MkZKzoY/edit#gid=213982448</v>
      </c>
      <c r="H1597" s="35" t="s">
        <v>269</v>
      </c>
    </row>
    <row r="1598">
      <c r="D1598" s="15"/>
      <c r="E1598" s="32" t="s">
        <v>172</v>
      </c>
      <c r="F1598" s="35" t="s">
        <v>402</v>
      </c>
      <c r="G1598" s="84" t="str">
        <f>HYPERLINK("https://docs.google.com/spreadsheets/d/1kYI8ePRiO8Fy5j__rVnSt7RpesHnptD0dfu_MkZKzoY/edit#gid=1839030214", "https://docs.google.com/spreadsheets/d/1kYI8ePRiO8Fy5j__rVnSt7RpesHnptD0dfu_MkZKzoY/edit#gid=1839030214")</f>
        <v>https://docs.google.com/spreadsheets/d/1kYI8ePRiO8Fy5j__rVnSt7RpesHnptD0dfu_MkZKzoY/edit#gid=1839030214</v>
      </c>
      <c r="H1598" s="35" t="s">
        <v>2053</v>
      </c>
    </row>
    <row r="1599">
      <c r="D1599" s="15"/>
      <c r="E1599" s="32" t="s">
        <v>172</v>
      </c>
      <c r="F1599" s="35" t="s">
        <v>203</v>
      </c>
      <c r="G1599" s="84" t="str">
        <f>HYPERLINK("https://docs.google.com/spreadsheets/d/1kYI8ePRiO8Fy5j__rVnSt7RpesHnptD0dfu_MkZKzoY/edit#gid=500533203", "https://docs.google.com/spreadsheets/d/1kYI8ePRiO8Fy5j__rVnSt7RpesHnptD0dfu_MkZKzoY/edit#gid=500533203")</f>
        <v>https://docs.google.com/spreadsheets/d/1kYI8ePRiO8Fy5j__rVnSt7RpesHnptD0dfu_MkZKzoY/edit#gid=500533203</v>
      </c>
      <c r="H1599" s="35" t="s">
        <v>1995</v>
      </c>
    </row>
    <row r="1600">
      <c r="D1600" s="15"/>
      <c r="E1600" s="32" t="s">
        <v>172</v>
      </c>
      <c r="F1600" s="35" t="s">
        <v>204</v>
      </c>
      <c r="G1600" s="84" t="str">
        <f>HYPERLINK("https://docs.google.com/spreadsheets/d/1kYI8ePRiO8Fy5j__rVnSt7RpesHnptD0dfu_MkZKzoY/edit#gid=1411509448", "https://docs.google.com/spreadsheets/d/1kYI8ePRiO8Fy5j__rVnSt7RpesHnptD0dfu_MkZKzoY/edit#gid=1411509448")</f>
        <v>https://docs.google.com/spreadsheets/d/1kYI8ePRiO8Fy5j__rVnSt7RpesHnptD0dfu_MkZKzoY/edit#gid=1411509448</v>
      </c>
      <c r="H1600" s="35" t="s">
        <v>1996</v>
      </c>
    </row>
    <row r="1601">
      <c r="D1601" s="15"/>
      <c r="E1601" s="32" t="s">
        <v>178</v>
      </c>
      <c r="F1601" s="35" t="s">
        <v>205</v>
      </c>
      <c r="G1601" s="84" t="str">
        <f>HYPERLINK("https://docs.google.com/spreadsheets/d/1kYI8ePRiO8Fy5j__rVnSt7RpesHnptD0dfu_MkZKzoY/edit#gid=842881906", "https://docs.google.com/spreadsheets/d/1kYI8ePRiO8Fy5j__rVnSt7RpesHnptD0dfu_MkZKzoY/edit#gid=842881906")</f>
        <v>https://docs.google.com/spreadsheets/d/1kYI8ePRiO8Fy5j__rVnSt7RpesHnptD0dfu_MkZKzoY/edit#gid=842881906</v>
      </c>
      <c r="H1601" s="35" t="s">
        <v>1997</v>
      </c>
    </row>
    <row r="1602">
      <c r="D1602" s="15"/>
      <c r="E1602" s="32" t="s">
        <v>178</v>
      </c>
      <c r="F1602" s="35" t="s">
        <v>206</v>
      </c>
      <c r="H1602" s="36"/>
    </row>
    <row r="1603">
      <c r="D1603" s="15"/>
      <c r="E1603" s="32" t="s">
        <v>178</v>
      </c>
      <c r="F1603" s="35" t="s">
        <v>207</v>
      </c>
      <c r="G1603" s="84" t="str">
        <f>HYPERLINK("https://docs.google.com/spreadsheets/d/1kYI8ePRiO8Fy5j__rVnSt7RpesHnptD0dfu_MkZKzoY/edit#gid=421404863", "https://docs.google.com/spreadsheets/d/1kYI8ePRiO8Fy5j__rVnSt7RpesHnptD0dfu_MkZKzoY/edit#gid=421404863")</f>
        <v>https://docs.google.com/spreadsheets/d/1kYI8ePRiO8Fy5j__rVnSt7RpesHnptD0dfu_MkZKzoY/edit#gid=421404863</v>
      </c>
      <c r="H1603" s="35" t="s">
        <v>1998</v>
      </c>
    </row>
    <row r="1604">
      <c r="D1604" s="15"/>
      <c r="E1604" s="32" t="s">
        <v>178</v>
      </c>
      <c r="F1604" s="35" t="s">
        <v>208</v>
      </c>
      <c r="G1604" s="84" t="str">
        <f>HYPERLINK("https://docs.google.com/spreadsheets/d/1kYI8ePRiO8Fy5j__rVnSt7RpesHnptD0dfu_MkZKzoY/edit#gid=1558506748", "https://docs.google.com/spreadsheets/d/1kYI8ePRiO8Fy5j__rVnSt7RpesHnptD0dfu_MkZKzoY/edit#gid=1558506748")</f>
        <v>https://docs.google.com/spreadsheets/d/1kYI8ePRiO8Fy5j__rVnSt7RpesHnptD0dfu_MkZKzoY/edit#gid=1558506748</v>
      </c>
      <c r="H1604" s="35" t="s">
        <v>208</v>
      </c>
    </row>
    <row r="1605">
      <c r="D1605" s="15"/>
      <c r="E1605" s="32" t="s">
        <v>178</v>
      </c>
      <c r="F1605" s="35" t="s">
        <v>182</v>
      </c>
      <c r="G1605" s="84" t="str">
        <f>HYPERLINK("https://docs.google.com/spreadsheets/d/1kYI8ePRiO8Fy5j__rVnSt7RpesHnptD0dfu_MkZKzoY/edit#gid=483645511", "https://docs.google.com/spreadsheets/d/1kYI8ePRiO8Fy5j__rVnSt7RpesHnptD0dfu_MkZKzoY/edit#gid=483645511")</f>
        <v>https://docs.google.com/spreadsheets/d/1kYI8ePRiO8Fy5j__rVnSt7RpesHnptD0dfu_MkZKzoY/edit#gid=483645511</v>
      </c>
      <c r="H1605" s="35" t="s">
        <v>182</v>
      </c>
    </row>
    <row r="1606">
      <c r="D1606" s="15"/>
      <c r="E1606" s="32" t="s">
        <v>178</v>
      </c>
      <c r="F1606" s="35" t="s">
        <v>180</v>
      </c>
      <c r="G1606" s="84" t="str">
        <f>HYPERLINK("https://docs.google.com/spreadsheets/d/1kYI8ePRiO8Fy5j__rVnSt7RpesHnptD0dfu_MkZKzoY/edit#gid=1330336809", "https://docs.google.com/spreadsheets/d/1kYI8ePRiO8Fy5j__rVnSt7RpesHnptD0dfu_MkZKzoY/edit#gid=1330336809")</f>
        <v>https://docs.google.com/spreadsheets/d/1kYI8ePRiO8Fy5j__rVnSt7RpesHnptD0dfu_MkZKzoY/edit#gid=1330336809</v>
      </c>
      <c r="H1606" s="35" t="s">
        <v>180</v>
      </c>
    </row>
    <row r="1607">
      <c r="D1607" s="15"/>
      <c r="E1607" s="32" t="s">
        <v>178</v>
      </c>
    </row>
    <row r="1608">
      <c r="D1608" s="15"/>
      <c r="E1608" s="32" t="s">
        <v>178</v>
      </c>
      <c r="F1608" s="35" t="s">
        <v>210</v>
      </c>
      <c r="G1608" s="84" t="str">
        <f>HYPERLINK("https://docs.google.com/spreadsheets/d/1kYI8ePRiO8Fy5j__rVnSt7RpesHnptD0dfu_MkZKzoY/edit#gid=1686400816", "https://docs.google.com/spreadsheets/d/1kYI8ePRiO8Fy5j__rVnSt7RpesHnptD0dfu_MkZKzoY/edit#gid=1686400816")</f>
        <v>https://docs.google.com/spreadsheets/d/1kYI8ePRiO8Fy5j__rVnSt7RpesHnptD0dfu_MkZKzoY/edit#gid=1686400816</v>
      </c>
      <c r="H1608" s="35" t="s">
        <v>210</v>
      </c>
    </row>
    <row r="1609">
      <c r="D1609" s="15"/>
      <c r="E1609" s="32" t="s">
        <v>157</v>
      </c>
      <c r="F1609" s="35" t="s">
        <v>161</v>
      </c>
      <c r="G1609" s="84" t="str">
        <f>HYPERLINK("https://docs.google.com/spreadsheets/d/1kYI8ePRiO8Fy5j__rVnSt7RpesHnptD0dfu_MkZKzoY/edit#gid=1317307832", "https://docs.google.com/spreadsheets/d/1kYI8ePRiO8Fy5j__rVnSt7RpesHnptD0dfu_MkZKzoY/edit#gid=1317307832")</f>
        <v>https://docs.google.com/spreadsheets/d/1kYI8ePRiO8Fy5j__rVnSt7RpesHnptD0dfu_MkZKzoY/edit#gid=1317307832</v>
      </c>
      <c r="H1609" s="35" t="s">
        <v>161</v>
      </c>
    </row>
    <row r="1610">
      <c r="D1610" s="15"/>
      <c r="E1610" s="32" t="s">
        <v>157</v>
      </c>
      <c r="F1610" s="35" t="s">
        <v>158</v>
      </c>
      <c r="G1610" s="84" t="str">
        <f>HYPERLINK("https://docs.google.com/spreadsheets/d/1kYI8ePRiO8Fy5j__rVnSt7RpesHnptD0dfu_MkZKzoY/edit#gid=1914177297", "https://docs.google.com/spreadsheets/d/1kYI8ePRiO8Fy5j__rVnSt7RpesHnptD0dfu_MkZKzoY/edit#gid=1914177297")</f>
        <v>https://docs.google.com/spreadsheets/d/1kYI8ePRiO8Fy5j__rVnSt7RpesHnptD0dfu_MkZKzoY/edit#gid=1914177297</v>
      </c>
      <c r="H1610" s="35" t="s">
        <v>158</v>
      </c>
    </row>
    <row r="1611">
      <c r="D1611" s="15"/>
      <c r="E1611" s="32" t="s">
        <v>157</v>
      </c>
      <c r="F1611" s="35" t="s">
        <v>196</v>
      </c>
      <c r="G1611" s="84" t="str">
        <f>HYPERLINK("https://docs.google.com/spreadsheets/d/1kYI8ePRiO8Fy5j__rVnSt7RpesHnptD0dfu_MkZKzoY/edit#gid=1759972829", "https://docs.google.com/spreadsheets/d/1kYI8ePRiO8Fy5j__rVnSt7RpesHnptD0dfu_MkZKzoY/edit#gid=1759972829")</f>
        <v>https://docs.google.com/spreadsheets/d/1kYI8ePRiO8Fy5j__rVnSt7RpesHnptD0dfu_MkZKzoY/edit#gid=1759972829</v>
      </c>
      <c r="H1611" s="35" t="s">
        <v>196</v>
      </c>
    </row>
    <row r="1612">
      <c r="D1612" s="15"/>
      <c r="E1612" s="32" t="s">
        <v>172</v>
      </c>
      <c r="F1612" s="35" t="s">
        <v>173</v>
      </c>
      <c r="G1612" s="84" t="str">
        <f>HYPERLINK("https://docs.google.com/spreadsheets/d/1kYI8ePRiO8Fy5j__rVnSt7RpesHnptD0dfu_MkZKzoY/edit#gid=1544578082", "https://docs.google.com/spreadsheets/d/1kYI8ePRiO8Fy5j__rVnSt7RpesHnptD0dfu_MkZKzoY/edit#gid=1544578082")</f>
        <v>https://docs.google.com/spreadsheets/d/1kYI8ePRiO8Fy5j__rVnSt7RpesHnptD0dfu_MkZKzoY/edit#gid=1544578082</v>
      </c>
      <c r="H1612" s="35" t="s">
        <v>2054</v>
      </c>
    </row>
    <row r="1613">
      <c r="D1613" s="15"/>
      <c r="E1613" s="32" t="s">
        <v>172</v>
      </c>
      <c r="F1613" s="35" t="s">
        <v>402</v>
      </c>
      <c r="G1613" s="84" t="str">
        <f>HYPERLINK("https://docs.google.com/spreadsheets/d/1kYI8ePRiO8Fy5j__rVnSt7RpesHnptD0dfu_MkZKzoY/edit#gid=1548507266", "https://docs.google.com/spreadsheets/d/1kYI8ePRiO8Fy5j__rVnSt7RpesHnptD0dfu_MkZKzoY/edit#gid=1548507266")</f>
        <v>https://docs.google.com/spreadsheets/d/1kYI8ePRiO8Fy5j__rVnSt7RpesHnptD0dfu_MkZKzoY/edit#gid=1548507266</v>
      </c>
      <c r="H1613" s="35" t="s">
        <v>2055</v>
      </c>
    </row>
    <row r="1614">
      <c r="D1614" s="15"/>
      <c r="E1614" s="32" t="s">
        <v>172</v>
      </c>
      <c r="F1614" s="35" t="s">
        <v>203</v>
      </c>
      <c r="G1614" s="84" t="str">
        <f>HYPERLINK("https://docs.google.com/spreadsheets/d/1kYI8ePRiO8Fy5j__rVnSt7RpesHnptD0dfu_MkZKzoY/edit#gid=1024982087", "https://docs.google.com/spreadsheets/d/1kYI8ePRiO8Fy5j__rVnSt7RpesHnptD0dfu_MkZKzoY/edit#gid=1024982087")</f>
        <v>https://docs.google.com/spreadsheets/d/1kYI8ePRiO8Fy5j__rVnSt7RpesHnptD0dfu_MkZKzoY/edit#gid=1024982087</v>
      </c>
      <c r="H1614" s="35" t="s">
        <v>1999</v>
      </c>
    </row>
    <row r="1615">
      <c r="D1615" s="15"/>
      <c r="E1615" s="32" t="s">
        <v>172</v>
      </c>
      <c r="F1615" s="35" t="s">
        <v>204</v>
      </c>
      <c r="G1615" s="84" t="str">
        <f>HYPERLINK("https://docs.google.com/spreadsheets/d/1kYI8ePRiO8Fy5j__rVnSt7RpesHnptD0dfu_MkZKzoY/edit#gid=2123550030", "https://docs.google.com/spreadsheets/d/1kYI8ePRiO8Fy5j__rVnSt7RpesHnptD0dfu_MkZKzoY/edit#gid=2123550030")</f>
        <v>https://docs.google.com/spreadsheets/d/1kYI8ePRiO8Fy5j__rVnSt7RpesHnptD0dfu_MkZKzoY/edit#gid=2123550030</v>
      </c>
      <c r="H1615" s="35" t="s">
        <v>204</v>
      </c>
    </row>
    <row r="1616">
      <c r="D1616" s="15"/>
      <c r="E1616" s="32" t="s">
        <v>178</v>
      </c>
      <c r="F1616" s="35" t="s">
        <v>207</v>
      </c>
      <c r="G1616" s="84" t="str">
        <f>HYPERLINK("https://docs.google.com/spreadsheets/d/1kYI8ePRiO8Fy5j__rVnSt7RpesHnptD0dfu_MkZKzoY/edit#gid=937178749", "https://docs.google.com/spreadsheets/d/1kYI8ePRiO8Fy5j__rVnSt7RpesHnptD0dfu_MkZKzoY/edit#gid=937178749")</f>
        <v>https://docs.google.com/spreadsheets/d/1kYI8ePRiO8Fy5j__rVnSt7RpesHnptD0dfu_MkZKzoY/edit#gid=937178749</v>
      </c>
      <c r="H1616" s="35" t="s">
        <v>2001</v>
      </c>
    </row>
    <row r="1617">
      <c r="D1617" s="15"/>
      <c r="E1617" s="32" t="s">
        <v>178</v>
      </c>
      <c r="F1617" s="35" t="s">
        <v>208</v>
      </c>
      <c r="G1617" s="84" t="str">
        <f>HYPERLINK("https://docs.google.com/spreadsheets/d/1kYI8ePRiO8Fy5j__rVnSt7RpesHnptD0dfu_MkZKzoY/edit#gid=1608095838", "https://docs.google.com/spreadsheets/d/1kYI8ePRiO8Fy5j__rVnSt7RpesHnptD0dfu_MkZKzoY/edit#gid=1608095838")</f>
        <v>https://docs.google.com/spreadsheets/d/1kYI8ePRiO8Fy5j__rVnSt7RpesHnptD0dfu_MkZKzoY/edit#gid=1608095838</v>
      </c>
      <c r="H1617" s="35" t="s">
        <v>2002</v>
      </c>
    </row>
    <row r="1618">
      <c r="D1618" s="15"/>
      <c r="E1618" s="32" t="s">
        <v>178</v>
      </c>
      <c r="F1618" s="35" t="s">
        <v>182</v>
      </c>
      <c r="G1618" s="84" t="str">
        <f>HYPERLINK("https://docs.google.com/spreadsheets/d/1kYI8ePRiO8Fy5j__rVnSt7RpesHnptD0dfu_MkZKzoY/edit#gid=1674452870", "https://docs.google.com/spreadsheets/d/1kYI8ePRiO8Fy5j__rVnSt7RpesHnptD0dfu_MkZKzoY/edit#gid=1674452870")</f>
        <v>https://docs.google.com/spreadsheets/d/1kYI8ePRiO8Fy5j__rVnSt7RpesHnptD0dfu_MkZKzoY/edit#gid=1674452870</v>
      </c>
      <c r="H1618" s="35" t="s">
        <v>2003</v>
      </c>
    </row>
    <row r="1619">
      <c r="D1619" s="15"/>
      <c r="E1619" s="32" t="s">
        <v>178</v>
      </c>
      <c r="F1619" s="35" t="s">
        <v>180</v>
      </c>
      <c r="G1619" s="84" t="str">
        <f>HYPERLINK("https://docs.google.com/spreadsheets/d/1kYI8ePRiO8Fy5j__rVnSt7RpesHnptD0dfu_MkZKzoY/edit#gid=1387267242", "https://docs.google.com/spreadsheets/d/1kYI8ePRiO8Fy5j__rVnSt7RpesHnptD0dfu_MkZKzoY/edit#gid=1387267242")</f>
        <v>https://docs.google.com/spreadsheets/d/1kYI8ePRiO8Fy5j__rVnSt7RpesHnptD0dfu_MkZKzoY/edit#gid=1387267242</v>
      </c>
      <c r="H1619" s="35" t="s">
        <v>2009</v>
      </c>
    </row>
    <row r="1620">
      <c r="D1620" s="15"/>
      <c r="E1620" s="32" t="s">
        <v>178</v>
      </c>
      <c r="F1620" s="35" t="s">
        <v>209</v>
      </c>
      <c r="G1620" s="84" t="str">
        <f>HYPERLINK("https://docs.google.com/spreadsheets/d/1kYI8ePRiO8Fy5j__rVnSt7RpesHnptD0dfu_MkZKzoY/edit#gid=242953735", "https://docs.google.com/spreadsheets/d/1kYI8ePRiO8Fy5j__rVnSt7RpesHnptD0dfu_MkZKzoY/edit#gid=242953735")</f>
        <v>https://docs.google.com/spreadsheets/d/1kYI8ePRiO8Fy5j__rVnSt7RpesHnptD0dfu_MkZKzoY/edit#gid=242953735</v>
      </c>
      <c r="H1620" s="35" t="s">
        <v>1986</v>
      </c>
    </row>
    <row r="1621">
      <c r="D1621" s="15"/>
      <c r="E1621" s="32" t="s">
        <v>178</v>
      </c>
      <c r="F1621" s="35" t="s">
        <v>210</v>
      </c>
      <c r="G1621" s="84" t="str">
        <f>HYPERLINK("https://docs.google.com/spreadsheets/d/1kYI8ePRiO8Fy5j__rVnSt7RpesHnptD0dfu_MkZKzoY/edit#gid=139984359", "https://docs.google.com/spreadsheets/d/1kYI8ePRiO8Fy5j__rVnSt7RpesHnptD0dfu_MkZKzoY/edit#gid=139984359")</f>
        <v>https://docs.google.com/spreadsheets/d/1kYI8ePRiO8Fy5j__rVnSt7RpesHnptD0dfu_MkZKzoY/edit#gid=139984359</v>
      </c>
      <c r="H1621" s="35" t="s">
        <v>1987</v>
      </c>
    </row>
    <row r="1622">
      <c r="D1622" s="15"/>
      <c r="E1622" s="32" t="s">
        <v>86</v>
      </c>
      <c r="F1622" s="35" t="s">
        <v>90</v>
      </c>
      <c r="G1622" s="84" t="str">
        <f>HYPERLINK("https://docs.google.com/spreadsheets/d/1kYI8ePRiO8Fy5j__rVnSt7RpesHnptD0dfu_MkZKzoY/edit#gid=1063350084", "https://docs.google.com/spreadsheets/d/1kYI8ePRiO8Fy5j__rVnSt7RpesHnptD0dfu_MkZKzoY/edit#gid=1063350084")</f>
        <v>https://docs.google.com/spreadsheets/d/1kYI8ePRiO8Fy5j__rVnSt7RpesHnptD0dfu_MkZKzoY/edit#gid=1063350084</v>
      </c>
      <c r="H1622" s="35" t="s">
        <v>2022</v>
      </c>
    </row>
    <row r="1623">
      <c r="D1623" s="15"/>
      <c r="E1623" s="32" t="s">
        <v>86</v>
      </c>
      <c r="F1623" s="35" t="s">
        <v>91</v>
      </c>
      <c r="G1623" s="84" t="str">
        <f>HYPERLINK("https://docs.google.com/spreadsheets/d/1kYI8ePRiO8Fy5j__rVnSt7RpesHnptD0dfu_MkZKzoY/edit#gid=811863669", "https://docs.google.com/spreadsheets/d/1kYI8ePRiO8Fy5j__rVnSt7RpesHnptD0dfu_MkZKzoY/edit#gid=811863669")</f>
        <v>https://docs.google.com/spreadsheets/d/1kYI8ePRiO8Fy5j__rVnSt7RpesHnptD0dfu_MkZKzoY/edit#gid=811863669</v>
      </c>
      <c r="H1623" s="35" t="s">
        <v>91</v>
      </c>
    </row>
    <row r="1624">
      <c r="D1624" s="15"/>
      <c r="E1624" s="32" t="s">
        <v>88</v>
      </c>
      <c r="F1624" s="35" t="s">
        <v>95</v>
      </c>
      <c r="G1624" s="84" t="str">
        <f>HYPERLINK("https://docs.google.com/spreadsheets/d/1kYI8ePRiO8Fy5j__rVnSt7RpesHnptD0dfu_MkZKzoY/edit#gid=2093579880", "https://docs.google.com/spreadsheets/d/1kYI8ePRiO8Fy5j__rVnSt7RpesHnptD0dfu_MkZKzoY/edit#gid=2093579880")</f>
        <v>https://docs.google.com/spreadsheets/d/1kYI8ePRiO8Fy5j__rVnSt7RpesHnptD0dfu_MkZKzoY/edit#gid=2093579880</v>
      </c>
      <c r="H1624" s="35" t="s">
        <v>95</v>
      </c>
    </row>
    <row r="1625">
      <c r="D1625" s="15"/>
      <c r="E1625" s="32" t="s">
        <v>88</v>
      </c>
      <c r="F1625" s="35" t="s">
        <v>96</v>
      </c>
      <c r="G1625" s="84" t="str">
        <f>HYPERLINK("https://docs.google.com/spreadsheets/d/1kYI8ePRiO8Fy5j__rVnSt7RpesHnptD0dfu_MkZKzoY/edit#gid=1122157268", "https://docs.google.com/spreadsheets/d/1kYI8ePRiO8Fy5j__rVnSt7RpesHnptD0dfu_MkZKzoY/edit#gid=1122157268")</f>
        <v>https://docs.google.com/spreadsheets/d/1kYI8ePRiO8Fy5j__rVnSt7RpesHnptD0dfu_MkZKzoY/edit#gid=1122157268</v>
      </c>
      <c r="H1625" s="35" t="s">
        <v>96</v>
      </c>
    </row>
    <row r="1626">
      <c r="D1626" s="15"/>
      <c r="E1626" s="32"/>
      <c r="F1626" s="35"/>
      <c r="H1626" s="35"/>
    </row>
    <row r="1627">
      <c r="B1627" s="35" t="s">
        <v>2152</v>
      </c>
      <c r="C1627" s="35" t="s">
        <v>2093</v>
      </c>
      <c r="D1627" s="32" t="s">
        <v>20</v>
      </c>
      <c r="E1627" s="32" t="s">
        <v>89</v>
      </c>
      <c r="F1627" s="35" t="s">
        <v>291</v>
      </c>
      <c r="H1627" s="35"/>
    </row>
    <row r="1628">
      <c r="B1628" s="35" t="s">
        <v>2153</v>
      </c>
      <c r="C1628" s="210" t="s">
        <v>2154</v>
      </c>
      <c r="D1628" s="32" t="s">
        <v>20</v>
      </c>
      <c r="E1628" s="32" t="s">
        <v>178</v>
      </c>
      <c r="F1628" s="35" t="s">
        <v>201</v>
      </c>
      <c r="G1628" s="84" t="str">
        <f>HYPERLINK("https://docs.google.com/spreadsheets/d/1IPVdlh1KgGd2bKCryKrtedVsiOOdg4bhBuWhQ4a22bI/edit#gid=1341560414", "https://docs.google.com/spreadsheets/d/1IPVdlh1KgGd2bKCryKrtedVsiOOdg4bhBuWhQ4a22bI/edit#gid=1341560414")</f>
        <v>https://docs.google.com/spreadsheets/d/1IPVdlh1KgGd2bKCryKrtedVsiOOdg4bhBuWhQ4a22bI/edit#gid=1341560414</v>
      </c>
      <c r="H1628" s="35" t="s">
        <v>201</v>
      </c>
    </row>
    <row r="1629">
      <c r="D1629" s="15"/>
      <c r="E1629" s="32" t="s">
        <v>178</v>
      </c>
      <c r="F1629" s="35" t="s">
        <v>202</v>
      </c>
      <c r="G1629" s="84" t="str">
        <f>HYPERLINK("https://docs.google.com/spreadsheets/d/1IPVdlh1KgGd2bKCryKrtedVsiOOdg4bhBuWhQ4a22bI/edit#gid=1344994950", "https://docs.google.com/spreadsheets/d/1IPVdlh1KgGd2bKCryKrtedVsiOOdg4bhBuWhQ4a22bI/edit#gid=1344994950")</f>
        <v>https://docs.google.com/spreadsheets/d/1IPVdlh1KgGd2bKCryKrtedVsiOOdg4bhBuWhQ4a22bI/edit#gid=1344994950</v>
      </c>
      <c r="H1629" s="35" t="s">
        <v>202</v>
      </c>
    </row>
    <row r="1630">
      <c r="D1630" s="15"/>
      <c r="E1630" s="32" t="s">
        <v>21</v>
      </c>
      <c r="F1630" s="35" t="s">
        <v>51</v>
      </c>
      <c r="G1630" s="84" t="str">
        <f>HYPERLINK("https://docs.google.com/spreadsheets/d/1IPVdlh1KgGd2bKCryKrtedVsiOOdg4bhBuWhQ4a22bI/edit#gid=1820202073", "https://docs.google.com/spreadsheets/d/1IPVdlh1KgGd2bKCryKrtedVsiOOdg4bhBuWhQ4a22bI/edit#gid=1820202073")</f>
        <v>https://docs.google.com/spreadsheets/d/1IPVdlh1KgGd2bKCryKrtedVsiOOdg4bhBuWhQ4a22bI/edit#gid=1820202073</v>
      </c>
      <c r="H1630" s="36"/>
    </row>
    <row r="1631">
      <c r="D1631" s="15"/>
      <c r="E1631" s="32" t="s">
        <v>172</v>
      </c>
      <c r="F1631" s="35" t="s">
        <v>173</v>
      </c>
      <c r="G1631" s="84" t="str">
        <f>HYPERLINK("https://docs.google.com/spreadsheets/d/1IPVdlh1KgGd2bKCryKrtedVsiOOdg4bhBuWhQ4a22bI/edit#gid=1622048988", "https://docs.google.com/spreadsheets/d/1IPVdlh1KgGd2bKCryKrtedVsiOOdg4bhBuWhQ4a22bI/edit#gid=1622048988")</f>
        <v>https://docs.google.com/spreadsheets/d/1IPVdlh1KgGd2bKCryKrtedVsiOOdg4bhBuWhQ4a22bI/edit#gid=1622048988</v>
      </c>
      <c r="H1631" s="35" t="s">
        <v>173</v>
      </c>
    </row>
    <row r="1632">
      <c r="D1632" s="15"/>
      <c r="E1632" s="32" t="s">
        <v>172</v>
      </c>
      <c r="F1632" s="35" t="s">
        <v>402</v>
      </c>
      <c r="G1632" s="84" t="str">
        <f>HYPERLINK("https://docs.google.com/spreadsheets/d/1IPVdlh1KgGd2bKCryKrtedVsiOOdg4bhBuWhQ4a22bI/edit#gid=195653345", "https://docs.google.com/spreadsheets/d/1IPVdlh1KgGd2bKCryKrtedVsiOOdg4bhBuWhQ4a22bI/edit#gid=195653345")</f>
        <v>https://docs.google.com/spreadsheets/d/1IPVdlh1KgGd2bKCryKrtedVsiOOdg4bhBuWhQ4a22bI/edit#gid=195653345</v>
      </c>
      <c r="H1632" s="35" t="s">
        <v>402</v>
      </c>
    </row>
    <row r="1633">
      <c r="D1633" s="15"/>
      <c r="E1633" s="32" t="s">
        <v>172</v>
      </c>
      <c r="F1633" s="35" t="s">
        <v>203</v>
      </c>
      <c r="G1633" s="84" t="str">
        <f>HYPERLINK("https://docs.google.com/spreadsheets/d/1IPVdlh1KgGd2bKCryKrtedVsiOOdg4bhBuWhQ4a22bI/edit#gid=1190884362", "https://docs.google.com/spreadsheets/d/1IPVdlh1KgGd2bKCryKrtedVsiOOdg4bhBuWhQ4a22bI/edit#gid=1190884362")</f>
        <v>https://docs.google.com/spreadsheets/d/1IPVdlh1KgGd2bKCryKrtedVsiOOdg4bhBuWhQ4a22bI/edit#gid=1190884362</v>
      </c>
      <c r="H1633" s="35" t="s">
        <v>203</v>
      </c>
    </row>
    <row r="1634">
      <c r="D1634" s="15"/>
      <c r="E1634" s="32" t="s">
        <v>172</v>
      </c>
      <c r="F1634" s="35" t="s">
        <v>204</v>
      </c>
      <c r="G1634" s="84" t="str">
        <f>HYPERLINK("https://docs.google.com/spreadsheets/d/1IPVdlh1KgGd2bKCryKrtedVsiOOdg4bhBuWhQ4a22bI/edit#gid=851132755", "https://docs.google.com/spreadsheets/d/1IPVdlh1KgGd2bKCryKrtedVsiOOdg4bhBuWhQ4a22bI/edit#gid=851132755")</f>
        <v>https://docs.google.com/spreadsheets/d/1IPVdlh1KgGd2bKCryKrtedVsiOOdg4bhBuWhQ4a22bI/edit#gid=851132755</v>
      </c>
      <c r="H1634" s="35" t="s">
        <v>204</v>
      </c>
    </row>
    <row r="1635">
      <c r="B1635" s="35"/>
      <c r="D1635" s="15"/>
      <c r="E1635" s="32" t="s">
        <v>178</v>
      </c>
      <c r="F1635" s="35" t="s">
        <v>205</v>
      </c>
      <c r="G1635" s="84" t="str">
        <f>HYPERLINK("https://docs.google.com/spreadsheets/d/1IPVdlh1KgGd2bKCryKrtedVsiOOdg4bhBuWhQ4a22bI/edit#gid=1622204453", "https://docs.google.com/spreadsheets/d/1IPVdlh1KgGd2bKCryKrtedVsiOOdg4bhBuWhQ4a22bI/edit#gid=1622204453")</f>
        <v>https://docs.google.com/spreadsheets/d/1IPVdlh1KgGd2bKCryKrtedVsiOOdg4bhBuWhQ4a22bI/edit#gid=1622204453</v>
      </c>
      <c r="H1635" s="35" t="s">
        <v>205</v>
      </c>
    </row>
    <row r="1636">
      <c r="D1636" s="15"/>
      <c r="E1636" s="32" t="s">
        <v>178</v>
      </c>
      <c r="F1636" s="35" t="s">
        <v>206</v>
      </c>
    </row>
    <row r="1637">
      <c r="D1637" s="15"/>
      <c r="E1637" s="32" t="s">
        <v>178</v>
      </c>
      <c r="F1637" s="35" t="s">
        <v>207</v>
      </c>
      <c r="G1637" s="84" t="str">
        <f>HYPERLINK("https://docs.google.com/spreadsheets/d/1IPVdlh1KgGd2bKCryKrtedVsiOOdg4bhBuWhQ4a22bI/edit#gid=2095228256", "https://docs.google.com/spreadsheets/d/1IPVdlh1KgGd2bKCryKrtedVsiOOdg4bhBuWhQ4a22bI/edit#gid=2095228256")</f>
        <v>https://docs.google.com/spreadsheets/d/1IPVdlh1KgGd2bKCryKrtedVsiOOdg4bhBuWhQ4a22bI/edit#gid=2095228256</v>
      </c>
      <c r="H1637" s="35" t="s">
        <v>207</v>
      </c>
    </row>
    <row r="1638">
      <c r="D1638" s="15"/>
      <c r="E1638" s="32" t="s">
        <v>21</v>
      </c>
      <c r="F1638" s="35" t="s">
        <v>51</v>
      </c>
      <c r="G1638" s="84" t="str">
        <f>HYPERLINK("https://docs.google.com/spreadsheets/d/1IPVdlh1KgGd2bKCryKrtedVsiOOdg4bhBuWhQ4a22bI/edit#gid=301252029", "https://docs.google.com/spreadsheets/d/1IPVdlh1KgGd2bKCryKrtedVsiOOdg4bhBuWhQ4a22bI/edit#gid=301252029")</f>
        <v>https://docs.google.com/spreadsheets/d/1IPVdlh1KgGd2bKCryKrtedVsiOOdg4bhBuWhQ4a22bI/edit#gid=301252029</v>
      </c>
      <c r="H1638" s="35" t="s">
        <v>1383</v>
      </c>
    </row>
    <row r="1639">
      <c r="D1639" s="15"/>
      <c r="E1639" s="32" t="s">
        <v>86</v>
      </c>
      <c r="F1639" s="35" t="s">
        <v>90</v>
      </c>
      <c r="G1639" s="84" t="str">
        <f>HYPERLINK("https://docs.google.com/spreadsheets/d/1IPVdlh1KgGd2bKCryKrtedVsiOOdg4bhBuWhQ4a22bI/edit#gid=19546516", "https://docs.google.com/spreadsheets/d/1IPVdlh1KgGd2bKCryKrtedVsiOOdg4bhBuWhQ4a22bI/edit#gid=19546516")</f>
        <v>https://docs.google.com/spreadsheets/d/1IPVdlh1KgGd2bKCryKrtedVsiOOdg4bhBuWhQ4a22bI/edit#gid=19546516</v>
      </c>
      <c r="H1639" s="35" t="s">
        <v>90</v>
      </c>
    </row>
    <row r="1640">
      <c r="D1640" s="15"/>
      <c r="E1640" s="32" t="s">
        <v>86</v>
      </c>
      <c r="F1640" s="35" t="s">
        <v>339</v>
      </c>
      <c r="G1640" s="84" t="str">
        <f>HYPERLINK("https://docs.google.com/spreadsheets/d/1IPVdlh1KgGd2bKCryKrtedVsiOOdg4bhBuWhQ4a22bI/edit#gid=1091005361", "https://docs.google.com/spreadsheets/d/1IPVdlh1KgGd2bKCryKrtedVsiOOdg4bhBuWhQ4a22bI/edit#gid=1091005361")</f>
        <v>https://docs.google.com/spreadsheets/d/1IPVdlh1KgGd2bKCryKrtedVsiOOdg4bhBuWhQ4a22bI/edit#gid=1091005361</v>
      </c>
      <c r="H1640" s="35" t="s">
        <v>339</v>
      </c>
    </row>
    <row r="1641">
      <c r="D1641" s="15"/>
      <c r="E1641" s="32" t="s">
        <v>172</v>
      </c>
      <c r="F1641" s="35" t="s">
        <v>173</v>
      </c>
      <c r="G1641" s="84" t="str">
        <f>HYPERLINK("https://docs.google.com/spreadsheets/d/1IPVdlh1KgGd2bKCryKrtedVsiOOdg4bhBuWhQ4a22bI/edit#gid=1655299236", "https://docs.google.com/spreadsheets/d/1IPVdlh1KgGd2bKCryKrtedVsiOOdg4bhBuWhQ4a22bI/edit#gid=1655299236")</f>
        <v>https://docs.google.com/spreadsheets/d/1IPVdlh1KgGd2bKCryKrtedVsiOOdg4bhBuWhQ4a22bI/edit#gid=1655299236</v>
      </c>
      <c r="H1641" s="35" t="s">
        <v>269</v>
      </c>
    </row>
    <row r="1642">
      <c r="D1642" s="15"/>
      <c r="E1642" s="32" t="s">
        <v>172</v>
      </c>
      <c r="F1642" s="35" t="s">
        <v>402</v>
      </c>
      <c r="G1642" s="84" t="str">
        <f>HYPERLINK("https://docs.google.com/spreadsheets/d/1IPVdlh1KgGd2bKCryKrtedVsiOOdg4bhBuWhQ4a22bI/edit#gid=793445932", "https://docs.google.com/spreadsheets/d/1IPVdlh1KgGd2bKCryKrtedVsiOOdg4bhBuWhQ4a22bI/edit#gid=793445932")</f>
        <v>https://docs.google.com/spreadsheets/d/1IPVdlh1KgGd2bKCryKrtedVsiOOdg4bhBuWhQ4a22bI/edit#gid=793445932</v>
      </c>
      <c r="H1642" s="35" t="s">
        <v>2053</v>
      </c>
    </row>
    <row r="1643">
      <c r="D1643" s="15"/>
      <c r="E1643" s="32" t="s">
        <v>172</v>
      </c>
      <c r="F1643" s="35" t="s">
        <v>203</v>
      </c>
      <c r="G1643" s="84" t="str">
        <f>HYPERLINK("https://docs.google.com/spreadsheets/d/1IPVdlh1KgGd2bKCryKrtedVsiOOdg4bhBuWhQ4a22bI/edit#gid=950286749", "https://docs.google.com/spreadsheets/d/1IPVdlh1KgGd2bKCryKrtedVsiOOdg4bhBuWhQ4a22bI/edit#gid=950286749")</f>
        <v>https://docs.google.com/spreadsheets/d/1IPVdlh1KgGd2bKCryKrtedVsiOOdg4bhBuWhQ4a22bI/edit#gid=950286749</v>
      </c>
      <c r="H1643" s="35" t="s">
        <v>1995</v>
      </c>
    </row>
    <row r="1644">
      <c r="D1644" s="15"/>
      <c r="E1644" s="32" t="s">
        <v>172</v>
      </c>
      <c r="F1644" s="35" t="s">
        <v>204</v>
      </c>
      <c r="G1644" s="84" t="str">
        <f>HYPERLINK("https://docs.google.com/spreadsheets/d/1IPVdlh1KgGd2bKCryKrtedVsiOOdg4bhBuWhQ4a22bI/edit#gid=2042590289", "https://docs.google.com/spreadsheets/d/1IPVdlh1KgGd2bKCryKrtedVsiOOdg4bhBuWhQ4a22bI/edit#gid=2042590289")</f>
        <v>https://docs.google.com/spreadsheets/d/1IPVdlh1KgGd2bKCryKrtedVsiOOdg4bhBuWhQ4a22bI/edit#gid=2042590289</v>
      </c>
      <c r="H1644" s="35" t="s">
        <v>1996</v>
      </c>
    </row>
    <row r="1645">
      <c r="D1645" s="15"/>
      <c r="E1645" s="32" t="s">
        <v>178</v>
      </c>
      <c r="F1645" s="35" t="s">
        <v>205</v>
      </c>
      <c r="G1645" s="84" t="str">
        <f>HYPERLINK("https://docs.google.com/spreadsheets/d/1IPVdlh1KgGd2bKCryKrtedVsiOOdg4bhBuWhQ4a22bI/edit#gid=600471755", "https://docs.google.com/spreadsheets/d/1IPVdlh1KgGd2bKCryKrtedVsiOOdg4bhBuWhQ4a22bI/edit#gid=600471755")</f>
        <v>https://docs.google.com/spreadsheets/d/1IPVdlh1KgGd2bKCryKrtedVsiOOdg4bhBuWhQ4a22bI/edit#gid=600471755</v>
      </c>
      <c r="H1645" s="35" t="s">
        <v>1997</v>
      </c>
    </row>
    <row r="1646">
      <c r="D1646" s="15"/>
      <c r="E1646" s="32" t="s">
        <v>178</v>
      </c>
      <c r="F1646" s="35" t="s">
        <v>206</v>
      </c>
    </row>
    <row r="1647">
      <c r="D1647" s="15"/>
      <c r="E1647" s="32" t="s">
        <v>178</v>
      </c>
      <c r="F1647" s="35" t="s">
        <v>207</v>
      </c>
      <c r="G1647" s="84" t="str">
        <f>HYPERLINK("https://docs.google.com/spreadsheets/d/1IPVdlh1KgGd2bKCryKrtedVsiOOdg4bhBuWhQ4a22bI/edit#gid=751525746", "https://docs.google.com/spreadsheets/d/1IPVdlh1KgGd2bKCryKrtedVsiOOdg4bhBuWhQ4a22bI/edit#gid=751525746")</f>
        <v>https://docs.google.com/spreadsheets/d/1IPVdlh1KgGd2bKCryKrtedVsiOOdg4bhBuWhQ4a22bI/edit#gid=751525746</v>
      </c>
      <c r="H1647" s="35" t="s">
        <v>1998</v>
      </c>
    </row>
    <row r="1648">
      <c r="D1648" s="15"/>
      <c r="E1648" s="32" t="s">
        <v>178</v>
      </c>
      <c r="F1648" s="35" t="s">
        <v>208</v>
      </c>
      <c r="G1648" s="84" t="str">
        <f>HYPERLINK("https://docs.google.com/spreadsheets/d/1IPVdlh1KgGd2bKCryKrtedVsiOOdg4bhBuWhQ4a22bI/edit#gid=1164597558", "https://docs.google.com/spreadsheets/d/1IPVdlh1KgGd2bKCryKrtedVsiOOdg4bhBuWhQ4a22bI/edit#gid=1164597558")</f>
        <v>https://docs.google.com/spreadsheets/d/1IPVdlh1KgGd2bKCryKrtedVsiOOdg4bhBuWhQ4a22bI/edit#gid=1164597558</v>
      </c>
      <c r="H1648" s="35" t="s">
        <v>208</v>
      </c>
    </row>
    <row r="1649">
      <c r="D1649" s="15"/>
      <c r="E1649" s="32" t="s">
        <v>178</v>
      </c>
      <c r="F1649" s="35" t="s">
        <v>182</v>
      </c>
      <c r="G1649" s="84" t="str">
        <f>HYPERLINK("https://docs.google.com/spreadsheets/d/1IPVdlh1KgGd2bKCryKrtedVsiOOdg4bhBuWhQ4a22bI/edit#gid=1492614041", "https://docs.google.com/spreadsheets/d/1IPVdlh1KgGd2bKCryKrtedVsiOOdg4bhBuWhQ4a22bI/edit#gid=1492614041")</f>
        <v>https://docs.google.com/spreadsheets/d/1IPVdlh1KgGd2bKCryKrtedVsiOOdg4bhBuWhQ4a22bI/edit#gid=1492614041</v>
      </c>
      <c r="H1649" s="35" t="s">
        <v>182</v>
      </c>
    </row>
    <row r="1650">
      <c r="D1650" s="15"/>
      <c r="E1650" s="32" t="s">
        <v>178</v>
      </c>
      <c r="F1650" s="35" t="s">
        <v>180</v>
      </c>
      <c r="G1650" s="84" t="str">
        <f>HYPERLINK("https://docs.google.com/spreadsheets/d/1IPVdlh1KgGd2bKCryKrtedVsiOOdg4bhBuWhQ4a22bI/edit#gid=409577000", "https://docs.google.com/spreadsheets/d/1IPVdlh1KgGd2bKCryKrtedVsiOOdg4bhBuWhQ4a22bI/edit#gid=409577000")</f>
        <v>https://docs.google.com/spreadsheets/d/1IPVdlh1KgGd2bKCryKrtedVsiOOdg4bhBuWhQ4a22bI/edit#gid=409577000</v>
      </c>
      <c r="H1650" s="35" t="s">
        <v>180</v>
      </c>
    </row>
    <row r="1651">
      <c r="D1651" s="15"/>
      <c r="E1651" s="32" t="s">
        <v>178</v>
      </c>
      <c r="F1651" s="35" t="s">
        <v>209</v>
      </c>
      <c r="G1651" s="84" t="str">
        <f>HYPERLINK("https://docs.google.com/spreadsheets/d/1IPVdlh1KgGd2bKCryKrtedVsiOOdg4bhBuWhQ4a22bI/edit#gid=322134235", "https://docs.google.com/spreadsheets/d/1IPVdlh1KgGd2bKCryKrtedVsiOOdg4bhBuWhQ4a22bI/edit#gid=322134235")</f>
        <v>https://docs.google.com/spreadsheets/d/1IPVdlh1KgGd2bKCryKrtedVsiOOdg4bhBuWhQ4a22bI/edit#gid=322134235</v>
      </c>
      <c r="H1651" s="35" t="s">
        <v>209</v>
      </c>
    </row>
    <row r="1652">
      <c r="D1652" s="15"/>
      <c r="E1652" s="32" t="s">
        <v>178</v>
      </c>
      <c r="F1652" s="35" t="s">
        <v>210</v>
      </c>
      <c r="G1652" s="84" t="str">
        <f>HYPERLINK("https://docs.google.com/spreadsheets/d/1IPVdlh1KgGd2bKCryKrtedVsiOOdg4bhBuWhQ4a22bI/edit#gid=1190476020", "https://docs.google.com/spreadsheets/d/1IPVdlh1KgGd2bKCryKrtedVsiOOdg4bhBuWhQ4a22bI/edit#gid=1190476020")</f>
        <v>https://docs.google.com/spreadsheets/d/1IPVdlh1KgGd2bKCryKrtedVsiOOdg4bhBuWhQ4a22bI/edit#gid=1190476020</v>
      </c>
      <c r="H1652" s="35" t="s">
        <v>210</v>
      </c>
    </row>
    <row r="1653">
      <c r="D1653" s="15"/>
      <c r="E1653" s="32" t="s">
        <v>157</v>
      </c>
      <c r="F1653" s="35" t="s">
        <v>161</v>
      </c>
      <c r="G1653" s="84" t="str">
        <f>HYPERLINK("https://docs.google.com/spreadsheets/d/1IPVdlh1KgGd2bKCryKrtedVsiOOdg4bhBuWhQ4a22bI/edit#gid=988638073", "https://docs.google.com/spreadsheets/d/1IPVdlh1KgGd2bKCryKrtedVsiOOdg4bhBuWhQ4a22bI/edit#gid=988638073")</f>
        <v>https://docs.google.com/spreadsheets/d/1IPVdlh1KgGd2bKCryKrtedVsiOOdg4bhBuWhQ4a22bI/edit#gid=988638073</v>
      </c>
      <c r="H1653" s="35" t="s">
        <v>161</v>
      </c>
    </row>
    <row r="1654">
      <c r="D1654" s="15"/>
      <c r="E1654" s="32" t="s">
        <v>157</v>
      </c>
      <c r="F1654" s="35" t="s">
        <v>158</v>
      </c>
      <c r="G1654" s="84" t="str">
        <f>HYPERLINK("https://docs.google.com/spreadsheets/d/1IPVdlh1KgGd2bKCryKrtedVsiOOdg4bhBuWhQ4a22bI/edit#gid=87531823", "https://docs.google.com/spreadsheets/d/1IPVdlh1KgGd2bKCryKrtedVsiOOdg4bhBuWhQ4a22bI/edit#gid=87531823")</f>
        <v>https://docs.google.com/spreadsheets/d/1IPVdlh1KgGd2bKCryKrtedVsiOOdg4bhBuWhQ4a22bI/edit#gid=87531823</v>
      </c>
      <c r="H1654" s="35" t="s">
        <v>158</v>
      </c>
    </row>
    <row r="1655">
      <c r="D1655" s="15"/>
      <c r="E1655" s="32" t="s">
        <v>157</v>
      </c>
      <c r="F1655" s="35" t="s">
        <v>196</v>
      </c>
      <c r="G1655" s="84" t="str">
        <f>HYPERLINK("https://docs.google.com/spreadsheets/d/1IPVdlh1KgGd2bKCryKrtedVsiOOdg4bhBuWhQ4a22bI/edit#gid=601280397", "https://docs.google.com/spreadsheets/d/1IPVdlh1KgGd2bKCryKrtedVsiOOdg4bhBuWhQ4a22bI/edit#gid=601280397")</f>
        <v>https://docs.google.com/spreadsheets/d/1IPVdlh1KgGd2bKCryKrtedVsiOOdg4bhBuWhQ4a22bI/edit#gid=601280397</v>
      </c>
      <c r="H1655" s="35" t="s">
        <v>196</v>
      </c>
    </row>
    <row r="1656">
      <c r="D1656" s="15"/>
      <c r="E1656" s="32" t="s">
        <v>172</v>
      </c>
      <c r="F1656" s="35" t="s">
        <v>173</v>
      </c>
      <c r="G1656" s="84" t="str">
        <f>HYPERLINK("https://docs.google.com/spreadsheets/d/1IPVdlh1KgGd2bKCryKrtedVsiOOdg4bhBuWhQ4a22bI/edit#gid=77811165", "https://docs.google.com/spreadsheets/d/1IPVdlh1KgGd2bKCryKrtedVsiOOdg4bhBuWhQ4a22bI/edit#gid=77811165")</f>
        <v>https://docs.google.com/spreadsheets/d/1IPVdlh1KgGd2bKCryKrtedVsiOOdg4bhBuWhQ4a22bI/edit#gid=77811165</v>
      </c>
      <c r="H1656" s="35" t="s">
        <v>2054</v>
      </c>
    </row>
    <row r="1657">
      <c r="D1657" s="15"/>
      <c r="E1657" s="32" t="s">
        <v>172</v>
      </c>
      <c r="F1657" s="35" t="s">
        <v>402</v>
      </c>
      <c r="G1657" s="84" t="str">
        <f>HYPERLINK("https://docs.google.com/spreadsheets/d/1IPVdlh1KgGd2bKCryKrtedVsiOOdg4bhBuWhQ4a22bI/edit#gid=52262945", "https://docs.google.com/spreadsheets/d/1IPVdlh1KgGd2bKCryKrtedVsiOOdg4bhBuWhQ4a22bI/edit#gid=52262945")</f>
        <v>https://docs.google.com/spreadsheets/d/1IPVdlh1KgGd2bKCryKrtedVsiOOdg4bhBuWhQ4a22bI/edit#gid=52262945</v>
      </c>
      <c r="H1657" s="35" t="s">
        <v>2055</v>
      </c>
    </row>
    <row r="1658">
      <c r="D1658" s="15"/>
      <c r="E1658" s="32" t="s">
        <v>172</v>
      </c>
      <c r="F1658" s="35" t="s">
        <v>203</v>
      </c>
      <c r="G1658" s="84" t="str">
        <f>HYPERLINK("https://docs.google.com/spreadsheets/d/1IPVdlh1KgGd2bKCryKrtedVsiOOdg4bhBuWhQ4a22bI/edit#gid=1355630073", "https://docs.google.com/spreadsheets/d/1IPVdlh1KgGd2bKCryKrtedVsiOOdg4bhBuWhQ4a22bI/edit#gid=1355630073")</f>
        <v>https://docs.google.com/spreadsheets/d/1IPVdlh1KgGd2bKCryKrtedVsiOOdg4bhBuWhQ4a22bI/edit#gid=1355630073</v>
      </c>
      <c r="H1658" s="35" t="s">
        <v>1999</v>
      </c>
    </row>
    <row r="1659">
      <c r="D1659" s="15"/>
      <c r="E1659" s="32" t="s">
        <v>172</v>
      </c>
      <c r="F1659" s="35" t="s">
        <v>204</v>
      </c>
      <c r="G1659" s="84" t="str">
        <f>HYPERLINK("https://docs.google.com/spreadsheets/d/1IPVdlh1KgGd2bKCryKrtedVsiOOdg4bhBuWhQ4a22bI/edit#gid=227588293", "https://docs.google.com/spreadsheets/d/1IPVdlh1KgGd2bKCryKrtedVsiOOdg4bhBuWhQ4a22bI/edit#gid=227588293")</f>
        <v>https://docs.google.com/spreadsheets/d/1IPVdlh1KgGd2bKCryKrtedVsiOOdg4bhBuWhQ4a22bI/edit#gid=227588293</v>
      </c>
      <c r="H1659" s="35" t="s">
        <v>2000</v>
      </c>
    </row>
    <row r="1660">
      <c r="D1660" s="15"/>
      <c r="E1660" s="32" t="s">
        <v>178</v>
      </c>
      <c r="F1660" s="35" t="s">
        <v>207</v>
      </c>
      <c r="G1660" s="84" t="str">
        <f>HYPERLINK("https://docs.google.com/spreadsheets/d/1IPVdlh1KgGd2bKCryKrtedVsiOOdg4bhBuWhQ4a22bI/edit#gid=689922728", "https://docs.google.com/spreadsheets/d/1IPVdlh1KgGd2bKCryKrtedVsiOOdg4bhBuWhQ4a22bI/edit#gid=689922728")</f>
        <v>https://docs.google.com/spreadsheets/d/1IPVdlh1KgGd2bKCryKrtedVsiOOdg4bhBuWhQ4a22bI/edit#gid=689922728</v>
      </c>
      <c r="H1660" s="35" t="s">
        <v>2001</v>
      </c>
    </row>
    <row r="1661">
      <c r="D1661" s="15"/>
      <c r="E1661" s="32" t="s">
        <v>178</v>
      </c>
      <c r="F1661" s="35" t="s">
        <v>208</v>
      </c>
      <c r="G1661" s="84" t="str">
        <f>HYPERLINK("https://docs.google.com/spreadsheets/d/1IPVdlh1KgGd2bKCryKrtedVsiOOdg4bhBuWhQ4a22bI/edit#gid=446245250", "https://docs.google.com/spreadsheets/d/1IPVdlh1KgGd2bKCryKrtedVsiOOdg4bhBuWhQ4a22bI/edit#gid=446245250")</f>
        <v>https://docs.google.com/spreadsheets/d/1IPVdlh1KgGd2bKCryKrtedVsiOOdg4bhBuWhQ4a22bI/edit#gid=446245250</v>
      </c>
      <c r="H1661" s="35" t="s">
        <v>2002</v>
      </c>
    </row>
    <row r="1662">
      <c r="D1662" s="15"/>
      <c r="E1662" s="32" t="s">
        <v>178</v>
      </c>
      <c r="F1662" s="35" t="s">
        <v>182</v>
      </c>
      <c r="G1662" s="84" t="str">
        <f>HYPERLINK("https://docs.google.com/spreadsheets/d/1IPVdlh1KgGd2bKCryKrtedVsiOOdg4bhBuWhQ4a22bI/edit#gid=1974615135", "https://docs.google.com/spreadsheets/d/1IPVdlh1KgGd2bKCryKrtedVsiOOdg4bhBuWhQ4a22bI/edit#gid=1974615135")</f>
        <v>https://docs.google.com/spreadsheets/d/1IPVdlh1KgGd2bKCryKrtedVsiOOdg4bhBuWhQ4a22bI/edit#gid=1974615135</v>
      </c>
      <c r="H1662" s="35" t="s">
        <v>2003</v>
      </c>
    </row>
    <row r="1663">
      <c r="D1663" s="15"/>
      <c r="E1663" s="32" t="s">
        <v>178</v>
      </c>
      <c r="F1663" s="35" t="s">
        <v>180</v>
      </c>
      <c r="G1663" s="84" t="str">
        <f>HYPERLINK("https://docs.google.com/spreadsheets/d/1IPVdlh1KgGd2bKCryKrtedVsiOOdg4bhBuWhQ4a22bI/edit#gid=70388904", "https://docs.google.com/spreadsheets/d/1IPVdlh1KgGd2bKCryKrtedVsiOOdg4bhBuWhQ4a22bI/edit#gid=70388904")</f>
        <v>https://docs.google.com/spreadsheets/d/1IPVdlh1KgGd2bKCryKrtedVsiOOdg4bhBuWhQ4a22bI/edit#gid=70388904</v>
      </c>
      <c r="H1663" s="35" t="s">
        <v>2009</v>
      </c>
    </row>
    <row r="1664">
      <c r="D1664" s="15"/>
      <c r="E1664" s="32" t="s">
        <v>178</v>
      </c>
      <c r="F1664" s="35" t="s">
        <v>209</v>
      </c>
      <c r="G1664" s="84" t="str">
        <f>HYPERLINK("https://docs.google.com/spreadsheets/d/1IPVdlh1KgGd2bKCryKrtedVsiOOdg4bhBuWhQ4a22bI/edit#gid=345005399", "https://docs.google.com/spreadsheets/d/1IPVdlh1KgGd2bKCryKrtedVsiOOdg4bhBuWhQ4a22bI/edit#gid=345005399")</f>
        <v>https://docs.google.com/spreadsheets/d/1IPVdlh1KgGd2bKCryKrtedVsiOOdg4bhBuWhQ4a22bI/edit#gid=345005399</v>
      </c>
      <c r="H1664" s="35" t="s">
        <v>1986</v>
      </c>
    </row>
    <row r="1665">
      <c r="D1665" s="15"/>
      <c r="E1665" s="32" t="s">
        <v>178</v>
      </c>
      <c r="F1665" s="35" t="s">
        <v>210</v>
      </c>
      <c r="G1665" s="84" t="str">
        <f>HYPERLINK("https://docs.google.com/spreadsheets/d/1IPVdlh1KgGd2bKCryKrtedVsiOOdg4bhBuWhQ4a22bI/edit#gid=738530792", "https://docs.google.com/spreadsheets/d/1IPVdlh1KgGd2bKCryKrtedVsiOOdg4bhBuWhQ4a22bI/edit#gid=738530792")</f>
        <v>https://docs.google.com/spreadsheets/d/1IPVdlh1KgGd2bKCryKrtedVsiOOdg4bhBuWhQ4a22bI/edit#gid=738530792</v>
      </c>
      <c r="H1665" s="35" t="s">
        <v>1987</v>
      </c>
    </row>
    <row r="1666">
      <c r="D1666" s="15"/>
      <c r="E1666" s="32" t="s">
        <v>86</v>
      </c>
      <c r="F1666" s="35" t="s">
        <v>90</v>
      </c>
      <c r="G1666" s="84" t="str">
        <f>HYPERLINK("https://docs.google.com/spreadsheets/d/1IPVdlh1KgGd2bKCryKrtedVsiOOdg4bhBuWhQ4a22bI/edit#gid=994109105", "https://docs.google.com/spreadsheets/d/1IPVdlh1KgGd2bKCryKrtedVsiOOdg4bhBuWhQ4a22bI/edit#gid=994109105")</f>
        <v>https://docs.google.com/spreadsheets/d/1IPVdlh1KgGd2bKCryKrtedVsiOOdg4bhBuWhQ4a22bI/edit#gid=994109105</v>
      </c>
      <c r="H1666" s="35" t="s">
        <v>2022</v>
      </c>
    </row>
    <row r="1667">
      <c r="D1667" s="15"/>
      <c r="E1667" s="32" t="s">
        <v>86</v>
      </c>
      <c r="F1667" s="35" t="s">
        <v>338</v>
      </c>
      <c r="G1667" s="84" t="str">
        <f>HYPERLINK("https://docs.google.com/spreadsheets/d/1IPVdlh1KgGd2bKCryKrtedVsiOOdg4bhBuWhQ4a22bI/edit#gid=91578582", "https://docs.google.com/spreadsheets/d/1IPVdlh1KgGd2bKCryKrtedVsiOOdg4bhBuWhQ4a22bI/edit#gid=91578582")</f>
        <v>https://docs.google.com/spreadsheets/d/1IPVdlh1KgGd2bKCryKrtedVsiOOdg4bhBuWhQ4a22bI/edit#gid=91578582</v>
      </c>
      <c r="H1667" s="35" t="s">
        <v>338</v>
      </c>
    </row>
    <row r="1668">
      <c r="D1668" s="15"/>
      <c r="E1668" s="32" t="s">
        <v>88</v>
      </c>
      <c r="F1668" s="35" t="s">
        <v>95</v>
      </c>
      <c r="G1668" s="84" t="str">
        <f>HYPERLINK("https://docs.google.com/spreadsheets/d/1IPVdlh1KgGd2bKCryKrtedVsiOOdg4bhBuWhQ4a22bI/edit#gid=252978412", "https://docs.google.com/spreadsheets/d/1IPVdlh1KgGd2bKCryKrtedVsiOOdg4bhBuWhQ4a22bI/edit#gid=252978412")</f>
        <v>https://docs.google.com/spreadsheets/d/1IPVdlh1KgGd2bKCryKrtedVsiOOdg4bhBuWhQ4a22bI/edit#gid=252978412</v>
      </c>
      <c r="H1668" s="35" t="s">
        <v>95</v>
      </c>
    </row>
    <row r="1669">
      <c r="D1669" s="15"/>
      <c r="E1669" s="32" t="s">
        <v>88</v>
      </c>
      <c r="F1669" s="35" t="s">
        <v>96</v>
      </c>
      <c r="G1669" s="84" t="str">
        <f>HYPERLINK("https://docs.google.com/spreadsheets/d/1IPVdlh1KgGd2bKCryKrtedVsiOOdg4bhBuWhQ4a22bI/edit#gid=863705020", "https://docs.google.com/spreadsheets/d/1IPVdlh1KgGd2bKCryKrtedVsiOOdg4bhBuWhQ4a22bI/edit#gid=863705020")</f>
        <v>https://docs.google.com/spreadsheets/d/1IPVdlh1KgGd2bKCryKrtedVsiOOdg4bhBuWhQ4a22bI/edit#gid=863705020</v>
      </c>
      <c r="H1669" s="35" t="s">
        <v>96</v>
      </c>
    </row>
    <row r="1670">
      <c r="D1670" s="15"/>
      <c r="E1670" s="32"/>
      <c r="F1670" s="35"/>
      <c r="H1670" s="35"/>
    </row>
    <row r="1671">
      <c r="A1671" s="9"/>
      <c r="B1671" s="8" t="s">
        <v>2155</v>
      </c>
      <c r="C1671" s="9" t="s">
        <v>2093</v>
      </c>
      <c r="D1671" s="9" t="s">
        <v>20</v>
      </c>
      <c r="E1671" s="8" t="s">
        <v>89</v>
      </c>
      <c r="F1671" s="31" t="s">
        <v>291</v>
      </c>
      <c r="G1671" s="9"/>
      <c r="H1671" s="31"/>
      <c r="I1671" s="9"/>
      <c r="J1671" s="9"/>
      <c r="K1671" s="9"/>
      <c r="L1671" s="9"/>
      <c r="M1671" s="9"/>
      <c r="N1671" s="9"/>
      <c r="O1671" s="9"/>
      <c r="P1671" s="9"/>
      <c r="Q1671" s="9"/>
      <c r="R1671" s="9"/>
      <c r="S1671" s="9"/>
      <c r="T1671" s="9"/>
      <c r="U1671" s="9"/>
      <c r="V1671" s="9"/>
      <c r="W1671" s="9"/>
      <c r="X1671" s="9"/>
      <c r="Y1671" s="9"/>
      <c r="Z1671" s="9"/>
      <c r="AA1671" s="9"/>
      <c r="AB1671" s="9"/>
      <c r="AC1671" s="9"/>
      <c r="AD1671" s="9"/>
      <c r="AE1671" s="9"/>
      <c r="AF1671" s="9"/>
      <c r="AG1671" s="9"/>
      <c r="AH1671" s="9"/>
    </row>
    <row r="1672">
      <c r="B1672" s="35" t="s">
        <v>2156</v>
      </c>
      <c r="C1672" s="210" t="s">
        <v>2157</v>
      </c>
      <c r="D1672" s="32" t="s">
        <v>20</v>
      </c>
      <c r="E1672" s="32" t="s">
        <v>178</v>
      </c>
      <c r="F1672" s="35" t="s">
        <v>201</v>
      </c>
      <c r="G1672" s="84" t="str">
        <f>HYPERLINK("https://docs.google.com/spreadsheets/d/1IsTh5t3hOwhtAqLDBpw_mHKSEkMYq7VF7NxdUKYhdFI/edit#gid=618821411", "https://docs.google.com/spreadsheets/d/1IsTh5t3hOwhtAqLDBpw_mHKSEkMYq7VF7NxdUKYhdFI/edit#gid=618821411")</f>
        <v>https://docs.google.com/spreadsheets/d/1IsTh5t3hOwhtAqLDBpw_mHKSEkMYq7VF7NxdUKYhdFI/edit#gid=618821411</v>
      </c>
      <c r="H1672" s="35" t="s">
        <v>201</v>
      </c>
    </row>
    <row r="1673">
      <c r="D1673" s="15"/>
      <c r="E1673" s="32" t="s">
        <v>178</v>
      </c>
      <c r="F1673" s="35" t="s">
        <v>202</v>
      </c>
      <c r="G1673" s="84" t="str">
        <f>HYPERLINK("https://docs.google.com/spreadsheets/d/1IsTh5t3hOwhtAqLDBpw_mHKSEkMYq7VF7NxdUKYhdFI/edit#gid=2052447525", "https://docs.google.com/spreadsheets/d/1IsTh5t3hOwhtAqLDBpw_mHKSEkMYq7VF7NxdUKYhdFI/edit#gid=2052447525")</f>
        <v>https://docs.google.com/spreadsheets/d/1IsTh5t3hOwhtAqLDBpw_mHKSEkMYq7VF7NxdUKYhdFI/edit#gid=2052447525</v>
      </c>
      <c r="H1673" s="35" t="s">
        <v>202</v>
      </c>
    </row>
    <row r="1674">
      <c r="D1674" s="15"/>
      <c r="E1674" s="32" t="s">
        <v>21</v>
      </c>
      <c r="F1674" s="35" t="s">
        <v>51</v>
      </c>
      <c r="G1674" s="84" t="str">
        <f>HYPERLINK("https://docs.google.com/spreadsheets/d/1IsTh5t3hOwhtAqLDBpw_mHKSEkMYq7VF7NxdUKYhdFI/edit#gid=376259001", "https://docs.google.com/spreadsheets/d/1IsTh5t3hOwhtAqLDBpw_mHKSEkMYq7VF7NxdUKYhdFI/edit#gid=376259001")</f>
        <v>https://docs.google.com/spreadsheets/d/1IsTh5t3hOwhtAqLDBpw_mHKSEkMYq7VF7NxdUKYhdFI/edit#gid=376259001</v>
      </c>
      <c r="H1674" s="35" t="s">
        <v>51</v>
      </c>
    </row>
    <row r="1675">
      <c r="D1675" s="15"/>
      <c r="E1675" s="32" t="s">
        <v>172</v>
      </c>
      <c r="F1675" s="35" t="s">
        <v>173</v>
      </c>
      <c r="G1675" s="84" t="str">
        <f>HYPERLINK("https://docs.google.com/spreadsheets/d/1IsTh5t3hOwhtAqLDBpw_mHKSEkMYq7VF7NxdUKYhdFI/edit#gid=1668997989", "https://docs.google.com/spreadsheets/d/1IsTh5t3hOwhtAqLDBpw_mHKSEkMYq7VF7NxdUKYhdFI/edit#gid=1668997989")</f>
        <v>https://docs.google.com/spreadsheets/d/1IsTh5t3hOwhtAqLDBpw_mHKSEkMYq7VF7NxdUKYhdFI/edit#gid=1668997989</v>
      </c>
      <c r="H1675" s="35" t="s">
        <v>173</v>
      </c>
    </row>
    <row r="1676">
      <c r="D1676" s="15"/>
      <c r="E1676" s="32" t="s">
        <v>172</v>
      </c>
      <c r="F1676" s="35" t="s">
        <v>402</v>
      </c>
      <c r="G1676" s="84" t="str">
        <f>HYPERLINK("https://docs.google.com/spreadsheets/d/1IsTh5t3hOwhtAqLDBpw_mHKSEkMYq7VF7NxdUKYhdFI/edit#gid=295305535", "https://docs.google.com/spreadsheets/d/1IsTh5t3hOwhtAqLDBpw_mHKSEkMYq7VF7NxdUKYhdFI/edit#gid=295305535")</f>
        <v>https://docs.google.com/spreadsheets/d/1IsTh5t3hOwhtAqLDBpw_mHKSEkMYq7VF7NxdUKYhdFI/edit#gid=295305535</v>
      </c>
      <c r="H1676" s="35" t="s">
        <v>402</v>
      </c>
    </row>
    <row r="1677">
      <c r="D1677" s="15"/>
      <c r="E1677" s="32" t="s">
        <v>172</v>
      </c>
      <c r="F1677" s="35" t="s">
        <v>203</v>
      </c>
      <c r="G1677" s="84" t="str">
        <f>HYPERLINK("https://docs.google.com/spreadsheets/d/1IsTh5t3hOwhtAqLDBpw_mHKSEkMYq7VF7NxdUKYhdFI/edit#gid=421309108", "https://docs.google.com/spreadsheets/d/1IsTh5t3hOwhtAqLDBpw_mHKSEkMYq7VF7NxdUKYhdFI/edit#gid=421309108")</f>
        <v>https://docs.google.com/spreadsheets/d/1IsTh5t3hOwhtAqLDBpw_mHKSEkMYq7VF7NxdUKYhdFI/edit#gid=421309108</v>
      </c>
      <c r="H1677" s="35" t="s">
        <v>203</v>
      </c>
    </row>
    <row r="1678">
      <c r="D1678" s="15"/>
      <c r="E1678" s="32" t="s">
        <v>172</v>
      </c>
      <c r="F1678" s="35" t="s">
        <v>204</v>
      </c>
      <c r="G1678" s="84" t="str">
        <f>HYPERLINK("https://docs.google.com/spreadsheets/d/1IsTh5t3hOwhtAqLDBpw_mHKSEkMYq7VF7NxdUKYhdFI/edit#gid=765622048", "https://docs.google.com/spreadsheets/d/1IsTh5t3hOwhtAqLDBpw_mHKSEkMYq7VF7NxdUKYhdFI/edit#gid=765622048")</f>
        <v>https://docs.google.com/spreadsheets/d/1IsTh5t3hOwhtAqLDBpw_mHKSEkMYq7VF7NxdUKYhdFI/edit#gid=765622048</v>
      </c>
      <c r="H1678" s="35" t="s">
        <v>204</v>
      </c>
    </row>
    <row r="1679">
      <c r="D1679" s="15"/>
      <c r="E1679" s="32" t="s">
        <v>178</v>
      </c>
      <c r="F1679" s="35" t="s">
        <v>205</v>
      </c>
      <c r="G1679" s="84" t="str">
        <f>HYPERLINK("https://docs.google.com/spreadsheets/d/1IsTh5t3hOwhtAqLDBpw_mHKSEkMYq7VF7NxdUKYhdFI/edit#gid=1011004602", "https://docs.google.com/spreadsheets/d/1IsTh5t3hOwhtAqLDBpw_mHKSEkMYq7VF7NxdUKYhdFI/edit#gid=1011004602")</f>
        <v>https://docs.google.com/spreadsheets/d/1IsTh5t3hOwhtAqLDBpw_mHKSEkMYq7VF7NxdUKYhdFI/edit#gid=1011004602</v>
      </c>
      <c r="H1679" s="35" t="s">
        <v>205</v>
      </c>
    </row>
    <row r="1680">
      <c r="D1680" s="15"/>
      <c r="E1680" s="32" t="s">
        <v>178</v>
      </c>
      <c r="F1680" s="35" t="s">
        <v>206</v>
      </c>
    </row>
    <row r="1681">
      <c r="D1681" s="15"/>
      <c r="E1681" s="32" t="s">
        <v>178</v>
      </c>
      <c r="F1681" s="35" t="s">
        <v>207</v>
      </c>
      <c r="G1681" s="84" t="str">
        <f>HYPERLINK("https://docs.google.com/spreadsheets/d/1IsTh5t3hOwhtAqLDBpw_mHKSEkMYq7VF7NxdUKYhdFI/edit#gid=1446942749", "https://docs.google.com/spreadsheets/d/1IsTh5t3hOwhtAqLDBpw_mHKSEkMYq7VF7NxdUKYhdFI/edit#gid=1446942749")</f>
        <v>https://docs.google.com/spreadsheets/d/1IsTh5t3hOwhtAqLDBpw_mHKSEkMYq7VF7NxdUKYhdFI/edit#gid=1446942749</v>
      </c>
      <c r="H1681" s="35" t="s">
        <v>207</v>
      </c>
    </row>
    <row r="1682">
      <c r="D1682" s="15"/>
      <c r="E1682" s="32" t="s">
        <v>21</v>
      </c>
      <c r="F1682" s="35" t="s">
        <v>51</v>
      </c>
      <c r="G1682" s="84" t="str">
        <f>HYPERLINK("https://docs.google.com/spreadsheets/d/1IsTh5t3hOwhtAqLDBpw_mHKSEkMYq7VF7NxdUKYhdFI/edit#gid=1883295878", "https://docs.google.com/spreadsheets/d/1IsTh5t3hOwhtAqLDBpw_mHKSEkMYq7VF7NxdUKYhdFI/edit#gid=1883295878")</f>
        <v>https://docs.google.com/spreadsheets/d/1IsTh5t3hOwhtAqLDBpw_mHKSEkMYq7VF7NxdUKYhdFI/edit#gid=1883295878</v>
      </c>
      <c r="H1682" s="35" t="s">
        <v>1383</v>
      </c>
    </row>
    <row r="1683">
      <c r="D1683" s="15"/>
      <c r="E1683" s="32" t="s">
        <v>86</v>
      </c>
      <c r="F1683" s="35" t="s">
        <v>90</v>
      </c>
      <c r="G1683" s="84" t="str">
        <f>HYPERLINK("https://docs.google.com/spreadsheets/d/1IsTh5t3hOwhtAqLDBpw_mHKSEkMYq7VF7NxdUKYhdFI/edit#gid=830187650", "https://docs.google.com/spreadsheets/d/1IsTh5t3hOwhtAqLDBpw_mHKSEkMYq7VF7NxdUKYhdFI/edit#gid=830187650")</f>
        <v>https://docs.google.com/spreadsheets/d/1IsTh5t3hOwhtAqLDBpw_mHKSEkMYq7VF7NxdUKYhdFI/edit#gid=830187650</v>
      </c>
      <c r="H1683" s="35" t="s">
        <v>90</v>
      </c>
    </row>
    <row r="1684">
      <c r="D1684" s="15"/>
      <c r="E1684" s="32" t="s">
        <v>86</v>
      </c>
      <c r="F1684" s="35" t="s">
        <v>339</v>
      </c>
      <c r="G1684" s="84" t="str">
        <f>HYPERLINK("https://docs.google.com/spreadsheets/d/1IsTh5t3hOwhtAqLDBpw_mHKSEkMYq7VF7NxdUKYhdFI/edit#gid=741514822", "https://docs.google.com/spreadsheets/d/1IsTh5t3hOwhtAqLDBpw_mHKSEkMYq7VF7NxdUKYhdFI/edit#gid=741514822")</f>
        <v>https://docs.google.com/spreadsheets/d/1IsTh5t3hOwhtAqLDBpw_mHKSEkMYq7VF7NxdUKYhdFI/edit#gid=741514822</v>
      </c>
      <c r="H1684" s="35" t="s">
        <v>339</v>
      </c>
    </row>
    <row r="1685">
      <c r="D1685" s="15"/>
      <c r="E1685" s="32" t="s">
        <v>172</v>
      </c>
      <c r="F1685" s="35" t="s">
        <v>173</v>
      </c>
      <c r="G1685" s="84" t="str">
        <f>HYPERLINK("https://docs.google.com/spreadsheets/d/1IsTh5t3hOwhtAqLDBpw_mHKSEkMYq7VF7NxdUKYhdFI/edit#gid=1729954104", "https://docs.google.com/spreadsheets/d/1IsTh5t3hOwhtAqLDBpw_mHKSEkMYq7VF7NxdUKYhdFI/edit#gid=1729954104")</f>
        <v>https://docs.google.com/spreadsheets/d/1IsTh5t3hOwhtAqLDBpw_mHKSEkMYq7VF7NxdUKYhdFI/edit#gid=1729954104</v>
      </c>
      <c r="H1685" s="35" t="s">
        <v>269</v>
      </c>
    </row>
    <row r="1686">
      <c r="D1686" s="15"/>
      <c r="E1686" s="32" t="s">
        <v>172</v>
      </c>
      <c r="F1686" s="35" t="s">
        <v>402</v>
      </c>
      <c r="G1686" s="84" t="str">
        <f>HYPERLINK("https://docs.google.com/spreadsheets/d/1IsTh5t3hOwhtAqLDBpw_mHKSEkMYq7VF7NxdUKYhdFI/edit#gid=1813705860", "https://docs.google.com/spreadsheets/d/1IsTh5t3hOwhtAqLDBpw_mHKSEkMYq7VF7NxdUKYhdFI/edit#gid=1813705860")</f>
        <v>https://docs.google.com/spreadsheets/d/1IsTh5t3hOwhtAqLDBpw_mHKSEkMYq7VF7NxdUKYhdFI/edit#gid=1813705860</v>
      </c>
      <c r="H1686" s="35" t="s">
        <v>2053</v>
      </c>
    </row>
    <row r="1687">
      <c r="D1687" s="15"/>
      <c r="E1687" s="32" t="s">
        <v>172</v>
      </c>
      <c r="F1687" s="35" t="s">
        <v>203</v>
      </c>
      <c r="G1687" s="84" t="str">
        <f>HYPERLINK("https://docs.google.com/spreadsheets/d/1IsTh5t3hOwhtAqLDBpw_mHKSEkMYq7VF7NxdUKYhdFI/edit#gid=736028976", "https://docs.google.com/spreadsheets/d/1IsTh5t3hOwhtAqLDBpw_mHKSEkMYq7VF7NxdUKYhdFI/edit#gid=736028976")</f>
        <v>https://docs.google.com/spreadsheets/d/1IsTh5t3hOwhtAqLDBpw_mHKSEkMYq7VF7NxdUKYhdFI/edit#gid=736028976</v>
      </c>
      <c r="H1687" s="35" t="s">
        <v>1995</v>
      </c>
    </row>
    <row r="1688">
      <c r="D1688" s="15"/>
      <c r="E1688" s="32" t="s">
        <v>172</v>
      </c>
      <c r="F1688" s="35" t="s">
        <v>204</v>
      </c>
      <c r="G1688" s="84" t="str">
        <f>HYPERLINK("https://docs.google.com/spreadsheets/d/1IsTh5t3hOwhtAqLDBpw_mHKSEkMYq7VF7NxdUKYhdFI/edit#gid=662930186", "https://docs.google.com/spreadsheets/d/1IsTh5t3hOwhtAqLDBpw_mHKSEkMYq7VF7NxdUKYhdFI/edit#gid=662930186")</f>
        <v>https://docs.google.com/spreadsheets/d/1IsTh5t3hOwhtAqLDBpw_mHKSEkMYq7VF7NxdUKYhdFI/edit#gid=662930186</v>
      </c>
      <c r="H1688" s="35" t="s">
        <v>1996</v>
      </c>
    </row>
    <row r="1689">
      <c r="D1689" s="15"/>
      <c r="E1689" s="32" t="s">
        <v>178</v>
      </c>
      <c r="F1689" s="35" t="s">
        <v>205</v>
      </c>
      <c r="G1689" s="84" t="str">
        <f>HYPERLINK("https://docs.google.com/spreadsheets/d/1IsTh5t3hOwhtAqLDBpw_mHKSEkMYq7VF7NxdUKYhdFI/edit#gid=411888789", "https://docs.google.com/spreadsheets/d/1IsTh5t3hOwhtAqLDBpw_mHKSEkMYq7VF7NxdUKYhdFI/edit#gid=411888789")</f>
        <v>https://docs.google.com/spreadsheets/d/1IsTh5t3hOwhtAqLDBpw_mHKSEkMYq7VF7NxdUKYhdFI/edit#gid=411888789</v>
      </c>
      <c r="H1689" s="35" t="s">
        <v>1997</v>
      </c>
    </row>
    <row r="1690">
      <c r="D1690" s="15"/>
      <c r="E1690" s="32" t="s">
        <v>178</v>
      </c>
      <c r="F1690" s="35" t="s">
        <v>206</v>
      </c>
    </row>
    <row r="1691">
      <c r="D1691" s="15"/>
      <c r="E1691" s="32" t="s">
        <v>178</v>
      </c>
      <c r="F1691" s="35" t="s">
        <v>207</v>
      </c>
      <c r="G1691" s="84" t="str">
        <f>HYPERLINK("https://docs.google.com/spreadsheets/d/1IsTh5t3hOwhtAqLDBpw_mHKSEkMYq7VF7NxdUKYhdFI/edit#gid=1064512288", "https://docs.google.com/spreadsheets/d/1IsTh5t3hOwhtAqLDBpw_mHKSEkMYq7VF7NxdUKYhdFI/edit#gid=1064512288")</f>
        <v>https://docs.google.com/spreadsheets/d/1IsTh5t3hOwhtAqLDBpw_mHKSEkMYq7VF7NxdUKYhdFI/edit#gid=1064512288</v>
      </c>
      <c r="H1691" s="35" t="s">
        <v>1998</v>
      </c>
    </row>
    <row r="1692">
      <c r="D1692" s="15"/>
      <c r="E1692" s="32" t="s">
        <v>178</v>
      </c>
      <c r="F1692" s="35" t="s">
        <v>208</v>
      </c>
      <c r="G1692" s="84" t="str">
        <f>HYPERLINK("https://docs.google.com/spreadsheets/d/1IsTh5t3hOwhtAqLDBpw_mHKSEkMYq7VF7NxdUKYhdFI/edit#gid=1002843476", "https://docs.google.com/spreadsheets/d/1IsTh5t3hOwhtAqLDBpw_mHKSEkMYq7VF7NxdUKYhdFI/edit#gid=1002843476")</f>
        <v>https://docs.google.com/spreadsheets/d/1IsTh5t3hOwhtAqLDBpw_mHKSEkMYq7VF7NxdUKYhdFI/edit#gid=1002843476</v>
      </c>
      <c r="H1692" s="35" t="s">
        <v>208</v>
      </c>
    </row>
    <row r="1693">
      <c r="D1693" s="15"/>
      <c r="E1693" s="32" t="s">
        <v>178</v>
      </c>
      <c r="F1693" s="35" t="s">
        <v>182</v>
      </c>
      <c r="G1693" s="84" t="str">
        <f>HYPERLINK("https://docs.google.com/spreadsheets/d/1IsTh5t3hOwhtAqLDBpw_mHKSEkMYq7VF7NxdUKYhdFI/edit#gid=1866108396", "https://docs.google.com/spreadsheets/d/1IsTh5t3hOwhtAqLDBpw_mHKSEkMYq7VF7NxdUKYhdFI/edit#gid=1866108396")</f>
        <v>https://docs.google.com/spreadsheets/d/1IsTh5t3hOwhtAqLDBpw_mHKSEkMYq7VF7NxdUKYhdFI/edit#gid=1866108396</v>
      </c>
      <c r="H1693" s="35" t="s">
        <v>182</v>
      </c>
    </row>
    <row r="1694">
      <c r="D1694" s="15"/>
      <c r="E1694" s="32" t="s">
        <v>178</v>
      </c>
      <c r="F1694" s="35" t="s">
        <v>180</v>
      </c>
      <c r="G1694" s="84" t="str">
        <f>HYPERLINK("https://docs.google.com/spreadsheets/d/1IsTh5t3hOwhtAqLDBpw_mHKSEkMYq7VF7NxdUKYhdFI/edit#gid=1874781237", "https://docs.google.com/spreadsheets/d/1IsTh5t3hOwhtAqLDBpw_mHKSEkMYq7VF7NxdUKYhdFI/edit#gid=1874781237")</f>
        <v>https://docs.google.com/spreadsheets/d/1IsTh5t3hOwhtAqLDBpw_mHKSEkMYq7VF7NxdUKYhdFI/edit#gid=1874781237</v>
      </c>
      <c r="H1694" s="35" t="s">
        <v>180</v>
      </c>
    </row>
    <row r="1695">
      <c r="D1695" s="15"/>
      <c r="E1695" s="32" t="s">
        <v>178</v>
      </c>
      <c r="F1695" s="35" t="s">
        <v>209</v>
      </c>
      <c r="G1695" s="84" t="str">
        <f>HYPERLINK("https://docs.google.com/spreadsheets/d/1IsTh5t3hOwhtAqLDBpw_mHKSEkMYq7VF7NxdUKYhdFI/edit#gid=1456937702", "https://docs.google.com/spreadsheets/d/1IsTh5t3hOwhtAqLDBpw_mHKSEkMYq7VF7NxdUKYhdFI/edit#gid=1456937702")</f>
        <v>https://docs.google.com/spreadsheets/d/1IsTh5t3hOwhtAqLDBpw_mHKSEkMYq7VF7NxdUKYhdFI/edit#gid=1456937702</v>
      </c>
      <c r="H1695" s="35" t="s">
        <v>209</v>
      </c>
    </row>
    <row r="1696">
      <c r="D1696" s="15"/>
      <c r="E1696" s="32" t="s">
        <v>178</v>
      </c>
      <c r="F1696" s="35" t="s">
        <v>210</v>
      </c>
      <c r="G1696" s="84" t="str">
        <f>HYPERLINK("https://docs.google.com/spreadsheets/d/1IsTh5t3hOwhtAqLDBpw_mHKSEkMYq7VF7NxdUKYhdFI/edit#gid=879364247", "https://docs.google.com/spreadsheets/d/1IsTh5t3hOwhtAqLDBpw_mHKSEkMYq7VF7NxdUKYhdFI/edit#gid=879364247")</f>
        <v>https://docs.google.com/spreadsheets/d/1IsTh5t3hOwhtAqLDBpw_mHKSEkMYq7VF7NxdUKYhdFI/edit#gid=879364247</v>
      </c>
      <c r="H1696" s="35" t="s">
        <v>210</v>
      </c>
    </row>
    <row r="1697">
      <c r="D1697" s="15"/>
      <c r="E1697" s="32" t="s">
        <v>157</v>
      </c>
      <c r="F1697" s="35" t="s">
        <v>161</v>
      </c>
      <c r="G1697" s="84" t="str">
        <f>HYPERLINK("https://docs.google.com/spreadsheets/d/1IsTh5t3hOwhtAqLDBpw_mHKSEkMYq7VF7NxdUKYhdFI/edit#gid=1024886695", "https://docs.google.com/spreadsheets/d/1IsTh5t3hOwhtAqLDBpw_mHKSEkMYq7VF7NxdUKYhdFI/edit#gid=1024886695")</f>
        <v>https://docs.google.com/spreadsheets/d/1IsTh5t3hOwhtAqLDBpw_mHKSEkMYq7VF7NxdUKYhdFI/edit#gid=1024886695</v>
      </c>
      <c r="H1697" s="35" t="s">
        <v>161</v>
      </c>
    </row>
    <row r="1698">
      <c r="D1698" s="15"/>
      <c r="E1698" s="32" t="s">
        <v>157</v>
      </c>
      <c r="F1698" s="35" t="s">
        <v>158</v>
      </c>
      <c r="G1698" s="84" t="str">
        <f>HYPERLINK("https://docs.google.com/spreadsheets/d/1IsTh5t3hOwhtAqLDBpw_mHKSEkMYq7VF7NxdUKYhdFI/edit#gid=1492008462", "https://docs.google.com/spreadsheets/d/1IsTh5t3hOwhtAqLDBpw_mHKSEkMYq7VF7NxdUKYhdFI/edit#gid=1492008462")</f>
        <v>https://docs.google.com/spreadsheets/d/1IsTh5t3hOwhtAqLDBpw_mHKSEkMYq7VF7NxdUKYhdFI/edit#gid=1492008462</v>
      </c>
      <c r="H1698" s="35" t="s">
        <v>158</v>
      </c>
    </row>
    <row r="1699">
      <c r="D1699" s="15"/>
      <c r="E1699" s="32" t="s">
        <v>157</v>
      </c>
      <c r="F1699" s="35" t="s">
        <v>196</v>
      </c>
      <c r="G1699" s="84" t="str">
        <f>HYPERLINK("https://docs.google.com/spreadsheets/d/1IsTh5t3hOwhtAqLDBpw_mHKSEkMYq7VF7NxdUKYhdFI/edit#gid=1760058910", "https://docs.google.com/spreadsheets/d/1IsTh5t3hOwhtAqLDBpw_mHKSEkMYq7VF7NxdUKYhdFI/edit#gid=1760058910")</f>
        <v>https://docs.google.com/spreadsheets/d/1IsTh5t3hOwhtAqLDBpw_mHKSEkMYq7VF7NxdUKYhdFI/edit#gid=1760058910</v>
      </c>
      <c r="H1699" s="35" t="s">
        <v>196</v>
      </c>
    </row>
    <row r="1700">
      <c r="D1700" s="15"/>
      <c r="E1700" s="32" t="s">
        <v>172</v>
      </c>
      <c r="F1700" s="35" t="s">
        <v>173</v>
      </c>
      <c r="G1700" s="84" t="str">
        <f>HYPERLINK("https://docs.google.com/spreadsheets/d/1IsTh5t3hOwhtAqLDBpw_mHKSEkMYq7VF7NxdUKYhdFI/edit#gid=2026855742", "https://docs.google.com/spreadsheets/d/1IsTh5t3hOwhtAqLDBpw_mHKSEkMYq7VF7NxdUKYhdFI/edit#gid=2026855742")</f>
        <v>https://docs.google.com/spreadsheets/d/1IsTh5t3hOwhtAqLDBpw_mHKSEkMYq7VF7NxdUKYhdFI/edit#gid=2026855742</v>
      </c>
      <c r="H1700" s="35" t="s">
        <v>2054</v>
      </c>
    </row>
    <row r="1701">
      <c r="D1701" s="15"/>
      <c r="E1701" s="32" t="s">
        <v>172</v>
      </c>
      <c r="F1701" s="35" t="s">
        <v>402</v>
      </c>
      <c r="G1701" s="84" t="str">
        <f>HYPERLINK("https://docs.google.com/spreadsheets/d/1IsTh5t3hOwhtAqLDBpw_mHKSEkMYq7VF7NxdUKYhdFI/edit#gid=1882376717", "https://docs.google.com/spreadsheets/d/1IsTh5t3hOwhtAqLDBpw_mHKSEkMYq7VF7NxdUKYhdFI/edit#gid=1882376717")</f>
        <v>https://docs.google.com/spreadsheets/d/1IsTh5t3hOwhtAqLDBpw_mHKSEkMYq7VF7NxdUKYhdFI/edit#gid=1882376717</v>
      </c>
      <c r="H1701" s="35" t="s">
        <v>2055</v>
      </c>
    </row>
    <row r="1702">
      <c r="D1702" s="15"/>
      <c r="E1702" s="32" t="s">
        <v>172</v>
      </c>
      <c r="F1702" s="35" t="s">
        <v>203</v>
      </c>
      <c r="G1702" s="84" t="str">
        <f>HYPERLINK("https://docs.google.com/spreadsheets/d/1IsTh5t3hOwhtAqLDBpw_mHKSEkMYq7VF7NxdUKYhdFI/edit#gid=770098277", "https://docs.google.com/spreadsheets/d/1IsTh5t3hOwhtAqLDBpw_mHKSEkMYq7VF7NxdUKYhdFI/edit#gid=770098277")</f>
        <v>https://docs.google.com/spreadsheets/d/1IsTh5t3hOwhtAqLDBpw_mHKSEkMYq7VF7NxdUKYhdFI/edit#gid=770098277</v>
      </c>
      <c r="H1702" s="35" t="s">
        <v>1999</v>
      </c>
    </row>
    <row r="1703">
      <c r="D1703" s="15"/>
      <c r="E1703" s="32" t="s">
        <v>172</v>
      </c>
      <c r="F1703" s="35" t="s">
        <v>204</v>
      </c>
      <c r="G1703" s="84" t="str">
        <f>HYPERLINK("https://docs.google.com/spreadsheets/d/1IsTh5t3hOwhtAqLDBpw_mHKSEkMYq7VF7NxdUKYhdFI/edit#gid=537109007", "https://docs.google.com/spreadsheets/d/1IsTh5t3hOwhtAqLDBpw_mHKSEkMYq7VF7NxdUKYhdFI/edit#gid=537109007")</f>
        <v>https://docs.google.com/spreadsheets/d/1IsTh5t3hOwhtAqLDBpw_mHKSEkMYq7VF7NxdUKYhdFI/edit#gid=537109007</v>
      </c>
      <c r="H1703" s="35" t="s">
        <v>2000</v>
      </c>
    </row>
    <row r="1704">
      <c r="D1704" s="15"/>
      <c r="E1704" s="32" t="s">
        <v>178</v>
      </c>
      <c r="F1704" s="35" t="s">
        <v>207</v>
      </c>
      <c r="G1704" s="84" t="str">
        <f>HYPERLINK("https://docs.google.com/spreadsheets/d/1IsTh5t3hOwhtAqLDBpw_mHKSEkMYq7VF7NxdUKYhdFI/edit#gid=1033434642", "https://docs.google.com/spreadsheets/d/1IsTh5t3hOwhtAqLDBpw_mHKSEkMYq7VF7NxdUKYhdFI/edit#gid=1033434642")</f>
        <v>https://docs.google.com/spreadsheets/d/1IsTh5t3hOwhtAqLDBpw_mHKSEkMYq7VF7NxdUKYhdFI/edit#gid=1033434642</v>
      </c>
      <c r="H1704" s="35" t="s">
        <v>2001</v>
      </c>
    </row>
    <row r="1705">
      <c r="D1705" s="15"/>
      <c r="E1705" s="32" t="s">
        <v>178</v>
      </c>
      <c r="F1705" s="35" t="s">
        <v>208</v>
      </c>
      <c r="G1705" s="84" t="str">
        <f>HYPERLINK("https://docs.google.com/spreadsheets/d/1IsTh5t3hOwhtAqLDBpw_mHKSEkMYq7VF7NxdUKYhdFI/edit#gid=1400610114", "https://docs.google.com/spreadsheets/d/1IsTh5t3hOwhtAqLDBpw_mHKSEkMYq7VF7NxdUKYhdFI/edit#gid=1400610114")</f>
        <v>https://docs.google.com/spreadsheets/d/1IsTh5t3hOwhtAqLDBpw_mHKSEkMYq7VF7NxdUKYhdFI/edit#gid=1400610114</v>
      </c>
      <c r="H1705" s="35" t="s">
        <v>2002</v>
      </c>
    </row>
    <row r="1706">
      <c r="D1706" s="15"/>
      <c r="E1706" s="32" t="s">
        <v>178</v>
      </c>
      <c r="F1706" s="35" t="s">
        <v>182</v>
      </c>
      <c r="G1706" s="84" t="str">
        <f>HYPERLINK("https://docs.google.com/spreadsheets/d/1IsTh5t3hOwhtAqLDBpw_mHKSEkMYq7VF7NxdUKYhdFI/edit#gid=367557628", "https://docs.google.com/spreadsheets/d/1IsTh5t3hOwhtAqLDBpw_mHKSEkMYq7VF7NxdUKYhdFI/edit#gid=367557628")</f>
        <v>https://docs.google.com/spreadsheets/d/1IsTh5t3hOwhtAqLDBpw_mHKSEkMYq7VF7NxdUKYhdFI/edit#gid=367557628</v>
      </c>
      <c r="H1706" s="35" t="s">
        <v>2003</v>
      </c>
    </row>
    <row r="1707">
      <c r="D1707" s="15"/>
      <c r="E1707" s="32" t="s">
        <v>178</v>
      </c>
      <c r="F1707" s="35" t="s">
        <v>180</v>
      </c>
      <c r="G1707" s="84" t="str">
        <f>HYPERLINK("https://docs.google.com/spreadsheets/d/1IsTh5t3hOwhtAqLDBpw_mHKSEkMYq7VF7NxdUKYhdFI/edit#gid=906972834", "https://docs.google.com/spreadsheets/d/1IsTh5t3hOwhtAqLDBpw_mHKSEkMYq7VF7NxdUKYhdFI/edit#gid=906972834")</f>
        <v>https://docs.google.com/spreadsheets/d/1IsTh5t3hOwhtAqLDBpw_mHKSEkMYq7VF7NxdUKYhdFI/edit#gid=906972834</v>
      </c>
      <c r="H1707" s="35" t="s">
        <v>2009</v>
      </c>
    </row>
    <row r="1708">
      <c r="D1708" s="15"/>
      <c r="E1708" s="32" t="s">
        <v>178</v>
      </c>
      <c r="F1708" s="35" t="s">
        <v>209</v>
      </c>
      <c r="G1708" s="84" t="str">
        <f>HYPERLINK("https://docs.google.com/spreadsheets/d/1IsTh5t3hOwhtAqLDBpw_mHKSEkMYq7VF7NxdUKYhdFI/edit#gid=131559425", "https://docs.google.com/spreadsheets/d/1IsTh5t3hOwhtAqLDBpw_mHKSEkMYq7VF7NxdUKYhdFI/edit#gid=131559425")</f>
        <v>https://docs.google.com/spreadsheets/d/1IsTh5t3hOwhtAqLDBpw_mHKSEkMYq7VF7NxdUKYhdFI/edit#gid=131559425</v>
      </c>
      <c r="H1708" s="35" t="s">
        <v>1986</v>
      </c>
    </row>
    <row r="1709">
      <c r="D1709" s="15"/>
      <c r="E1709" s="32" t="s">
        <v>178</v>
      </c>
      <c r="F1709" s="35" t="s">
        <v>210</v>
      </c>
      <c r="G1709" s="84" t="str">
        <f>HYPERLINK("https://docs.google.com/spreadsheets/d/1IsTh5t3hOwhtAqLDBpw_mHKSEkMYq7VF7NxdUKYhdFI/edit#gid=1783789285", "https://docs.google.com/spreadsheets/d/1IsTh5t3hOwhtAqLDBpw_mHKSEkMYq7VF7NxdUKYhdFI/edit#gid=1783789285")</f>
        <v>https://docs.google.com/spreadsheets/d/1IsTh5t3hOwhtAqLDBpw_mHKSEkMYq7VF7NxdUKYhdFI/edit#gid=1783789285</v>
      </c>
      <c r="H1709" s="35" t="s">
        <v>1987</v>
      </c>
    </row>
    <row r="1710">
      <c r="D1710" s="15"/>
      <c r="E1710" s="32" t="s">
        <v>86</v>
      </c>
      <c r="F1710" s="35" t="s">
        <v>90</v>
      </c>
      <c r="G1710" s="84" t="str">
        <f>HYPERLINK("https://docs.google.com/spreadsheets/d/1IsTh5t3hOwhtAqLDBpw_mHKSEkMYq7VF7NxdUKYhdFI/edit#gid=136177533", "https://docs.google.com/spreadsheets/d/1IsTh5t3hOwhtAqLDBpw_mHKSEkMYq7VF7NxdUKYhdFI/edit#gid=136177533")</f>
        <v>https://docs.google.com/spreadsheets/d/1IsTh5t3hOwhtAqLDBpw_mHKSEkMYq7VF7NxdUKYhdFI/edit#gid=136177533</v>
      </c>
      <c r="H1710" s="35" t="s">
        <v>2022</v>
      </c>
    </row>
    <row r="1711">
      <c r="D1711" s="15"/>
      <c r="E1711" s="32" t="s">
        <v>86</v>
      </c>
      <c r="F1711" s="35" t="s">
        <v>338</v>
      </c>
      <c r="G1711" s="84" t="str">
        <f>HYPERLINK("https://docs.google.com/spreadsheets/d/1IsTh5t3hOwhtAqLDBpw_mHKSEkMYq7VF7NxdUKYhdFI/edit#gid=599524012", "https://docs.google.com/spreadsheets/d/1IsTh5t3hOwhtAqLDBpw_mHKSEkMYq7VF7NxdUKYhdFI/edit#gid=599524012")</f>
        <v>https://docs.google.com/spreadsheets/d/1IsTh5t3hOwhtAqLDBpw_mHKSEkMYq7VF7NxdUKYhdFI/edit#gid=599524012</v>
      </c>
      <c r="H1711" s="35" t="s">
        <v>338</v>
      </c>
    </row>
    <row r="1712">
      <c r="D1712" s="15"/>
      <c r="E1712" s="32" t="s">
        <v>88</v>
      </c>
      <c r="F1712" s="35" t="s">
        <v>95</v>
      </c>
      <c r="G1712" s="84" t="str">
        <f>HYPERLINK("https://docs.google.com/spreadsheets/d/1IsTh5t3hOwhtAqLDBpw_mHKSEkMYq7VF7NxdUKYhdFI/edit#gid=1340461", "https://docs.google.com/spreadsheets/d/1IsTh5t3hOwhtAqLDBpw_mHKSEkMYq7VF7NxdUKYhdFI/edit#gid=1340461")</f>
        <v>https://docs.google.com/spreadsheets/d/1IsTh5t3hOwhtAqLDBpw_mHKSEkMYq7VF7NxdUKYhdFI/edit#gid=1340461</v>
      </c>
      <c r="H1712" s="35" t="s">
        <v>95</v>
      </c>
    </row>
    <row r="1713">
      <c r="D1713" s="15"/>
      <c r="E1713" s="32" t="s">
        <v>88</v>
      </c>
      <c r="F1713" s="35" t="s">
        <v>96</v>
      </c>
      <c r="G1713" s="84" t="str">
        <f>HYPERLINK("https://docs.google.com/spreadsheets/d/1IsTh5t3hOwhtAqLDBpw_mHKSEkMYq7VF7NxdUKYhdFI/edit#gid=1678003350", "https://docs.google.com/spreadsheets/d/1IsTh5t3hOwhtAqLDBpw_mHKSEkMYq7VF7NxdUKYhdFI/edit#gid=1678003350")</f>
        <v>https://docs.google.com/spreadsheets/d/1IsTh5t3hOwhtAqLDBpw_mHKSEkMYq7VF7NxdUKYhdFI/edit#gid=1678003350</v>
      </c>
      <c r="H1713" s="35" t="s">
        <v>96</v>
      </c>
    </row>
    <row r="1714">
      <c r="D1714" s="15"/>
      <c r="E1714" s="32"/>
      <c r="F1714" s="35"/>
      <c r="H1714" s="35"/>
    </row>
    <row r="1715">
      <c r="B1715" s="8" t="s">
        <v>2158</v>
      </c>
      <c r="C1715" s="9" t="s">
        <v>2093</v>
      </c>
      <c r="D1715" s="32" t="s">
        <v>20</v>
      </c>
      <c r="E1715" s="32" t="s">
        <v>89</v>
      </c>
      <c r="F1715" s="35" t="s">
        <v>291</v>
      </c>
    </row>
    <row r="1716">
      <c r="B1716" s="35" t="s">
        <v>2159</v>
      </c>
      <c r="C1716" s="210" t="s">
        <v>2160</v>
      </c>
      <c r="D1716" s="32" t="s">
        <v>20</v>
      </c>
      <c r="E1716" s="32" t="s">
        <v>178</v>
      </c>
      <c r="F1716" s="35" t="s">
        <v>201</v>
      </c>
      <c r="G1716" s="84" t="str">
        <f>HYPERLINK("https://docs.google.com/spreadsheets/d/1an08uwOlkPchkGXFJ4IMKPNNs3Z-hZfS5rIU_QgwfSw/edit#gid=1660148537", "https://docs.google.com/spreadsheets/d/1an08uwOlkPchkGXFJ4IMKPNNs3Z-hZfS5rIU_QgwfSw/edit#gid=1660148537")</f>
        <v>https://docs.google.com/spreadsheets/d/1an08uwOlkPchkGXFJ4IMKPNNs3Z-hZfS5rIU_QgwfSw/edit#gid=1660148537</v>
      </c>
      <c r="H1716" s="35" t="s">
        <v>201</v>
      </c>
    </row>
    <row r="1717">
      <c r="D1717" s="15"/>
      <c r="E1717" s="32" t="s">
        <v>178</v>
      </c>
      <c r="F1717" s="35" t="s">
        <v>202</v>
      </c>
      <c r="G1717" s="84" t="str">
        <f>HYPERLINK("https://docs.google.com/spreadsheets/d/1an08uwOlkPchkGXFJ4IMKPNNs3Z-hZfS5rIU_QgwfSw/edit#gid=1087393087", "https://docs.google.com/spreadsheets/d/1an08uwOlkPchkGXFJ4IMKPNNs3Z-hZfS5rIU_QgwfSw/edit#gid=1087393087")</f>
        <v>https://docs.google.com/spreadsheets/d/1an08uwOlkPchkGXFJ4IMKPNNs3Z-hZfS5rIU_QgwfSw/edit#gid=1087393087</v>
      </c>
      <c r="H1717" s="35" t="s">
        <v>202</v>
      </c>
    </row>
    <row r="1718">
      <c r="D1718" s="15"/>
      <c r="E1718" s="32" t="s">
        <v>21</v>
      </c>
      <c r="F1718" s="35" t="s">
        <v>51</v>
      </c>
      <c r="G1718" s="84" t="str">
        <f>HYPERLINK("https://docs.google.com/spreadsheets/d/1an08uwOlkPchkGXFJ4IMKPNNs3Z-hZfS5rIU_QgwfSw/edit#gid=74692666", "https://docs.google.com/spreadsheets/d/1an08uwOlkPchkGXFJ4IMKPNNs3Z-hZfS5rIU_QgwfSw/edit#gid=74692666")</f>
        <v>https://docs.google.com/spreadsheets/d/1an08uwOlkPchkGXFJ4IMKPNNs3Z-hZfS5rIU_QgwfSw/edit#gid=74692666</v>
      </c>
      <c r="H1718" s="35" t="s">
        <v>51</v>
      </c>
    </row>
    <row r="1719">
      <c r="D1719" s="15"/>
      <c r="E1719" s="32" t="s">
        <v>172</v>
      </c>
      <c r="F1719" s="35" t="s">
        <v>173</v>
      </c>
      <c r="G1719" s="84" t="str">
        <f>HYPERLINK("https://docs.google.com/spreadsheets/d/1an08uwOlkPchkGXFJ4IMKPNNs3Z-hZfS5rIU_QgwfSw/edit#gid=1361954344", "https://docs.google.com/spreadsheets/d/1an08uwOlkPchkGXFJ4IMKPNNs3Z-hZfS5rIU_QgwfSw/edit#gid=1361954344")</f>
        <v>https://docs.google.com/spreadsheets/d/1an08uwOlkPchkGXFJ4IMKPNNs3Z-hZfS5rIU_QgwfSw/edit#gid=1361954344</v>
      </c>
      <c r="H1719" s="35" t="s">
        <v>173</v>
      </c>
    </row>
    <row r="1720">
      <c r="D1720" s="15"/>
      <c r="E1720" s="32" t="s">
        <v>172</v>
      </c>
      <c r="F1720" s="35" t="s">
        <v>402</v>
      </c>
      <c r="G1720" s="84" t="str">
        <f>HYPERLINK("https://docs.google.com/spreadsheets/d/1an08uwOlkPchkGXFJ4IMKPNNs3Z-hZfS5rIU_QgwfSw/edit#gid=1844116273", "https://docs.google.com/spreadsheets/d/1an08uwOlkPchkGXFJ4IMKPNNs3Z-hZfS5rIU_QgwfSw/edit#gid=1844116273")</f>
        <v>https://docs.google.com/spreadsheets/d/1an08uwOlkPchkGXFJ4IMKPNNs3Z-hZfS5rIU_QgwfSw/edit#gid=1844116273</v>
      </c>
      <c r="H1720" s="35" t="s">
        <v>402</v>
      </c>
    </row>
    <row r="1721">
      <c r="D1721" s="15"/>
      <c r="E1721" s="32" t="s">
        <v>172</v>
      </c>
      <c r="F1721" s="35" t="s">
        <v>203</v>
      </c>
      <c r="G1721" s="84" t="str">
        <f>HYPERLINK("https://docs.google.com/spreadsheets/d/1an08uwOlkPchkGXFJ4IMKPNNs3Z-hZfS5rIU_QgwfSw/edit#gid=1287349002", "https://docs.google.com/spreadsheets/d/1an08uwOlkPchkGXFJ4IMKPNNs3Z-hZfS5rIU_QgwfSw/edit#gid=1287349002")</f>
        <v>https://docs.google.com/spreadsheets/d/1an08uwOlkPchkGXFJ4IMKPNNs3Z-hZfS5rIU_QgwfSw/edit#gid=1287349002</v>
      </c>
      <c r="H1721" s="35" t="s">
        <v>203</v>
      </c>
    </row>
    <row r="1722">
      <c r="D1722" s="15"/>
      <c r="E1722" s="32" t="s">
        <v>172</v>
      </c>
      <c r="F1722" s="35" t="s">
        <v>204</v>
      </c>
      <c r="G1722" s="84" t="str">
        <f>HYPERLINK("https://docs.google.com/spreadsheets/d/1an08uwOlkPchkGXFJ4IMKPNNs3Z-hZfS5rIU_QgwfSw/edit#gid=1586064125", "https://docs.google.com/spreadsheets/d/1an08uwOlkPchkGXFJ4IMKPNNs3Z-hZfS5rIU_QgwfSw/edit#gid=1586064125")</f>
        <v>https://docs.google.com/spreadsheets/d/1an08uwOlkPchkGXFJ4IMKPNNs3Z-hZfS5rIU_QgwfSw/edit#gid=1586064125</v>
      </c>
      <c r="H1722" s="35" t="s">
        <v>204</v>
      </c>
    </row>
    <row r="1723">
      <c r="D1723" s="15"/>
      <c r="E1723" s="32" t="s">
        <v>178</v>
      </c>
      <c r="F1723" s="35" t="s">
        <v>205</v>
      </c>
      <c r="G1723" s="84" t="str">
        <f>HYPERLINK("https://docs.google.com/spreadsheets/d/1an08uwOlkPchkGXFJ4IMKPNNs3Z-hZfS5rIU_QgwfSw/edit#gid=753014280", "https://docs.google.com/spreadsheets/d/1an08uwOlkPchkGXFJ4IMKPNNs3Z-hZfS5rIU_QgwfSw/edit#gid=753014280")</f>
        <v>https://docs.google.com/spreadsheets/d/1an08uwOlkPchkGXFJ4IMKPNNs3Z-hZfS5rIU_QgwfSw/edit#gid=753014280</v>
      </c>
      <c r="H1723" s="35" t="s">
        <v>205</v>
      </c>
    </row>
    <row r="1724">
      <c r="D1724" s="15"/>
      <c r="E1724" s="32" t="s">
        <v>178</v>
      </c>
      <c r="F1724" s="35" t="s">
        <v>206</v>
      </c>
    </row>
    <row r="1725">
      <c r="D1725" s="15"/>
      <c r="E1725" s="32" t="s">
        <v>178</v>
      </c>
      <c r="F1725" s="35" t="s">
        <v>207</v>
      </c>
      <c r="G1725" s="84" t="str">
        <f>HYPERLINK("https://docs.google.com/spreadsheets/d/1an08uwOlkPchkGXFJ4IMKPNNs3Z-hZfS5rIU_QgwfSw/edit#gid=572360072", "https://docs.google.com/spreadsheets/d/1an08uwOlkPchkGXFJ4IMKPNNs3Z-hZfS5rIU_QgwfSw/edit#gid=572360072")</f>
        <v>https://docs.google.com/spreadsheets/d/1an08uwOlkPchkGXFJ4IMKPNNs3Z-hZfS5rIU_QgwfSw/edit#gid=572360072</v>
      </c>
      <c r="H1725" s="35" t="s">
        <v>207</v>
      </c>
    </row>
    <row r="1726">
      <c r="D1726" s="15"/>
      <c r="E1726" s="32" t="s">
        <v>21</v>
      </c>
      <c r="F1726" s="35" t="s">
        <v>51</v>
      </c>
      <c r="G1726" s="84" t="str">
        <f>HYPERLINK("https://docs.google.com/spreadsheets/d/1an08uwOlkPchkGXFJ4IMKPNNs3Z-hZfS5rIU_QgwfSw/edit#gid=633486367", "https://docs.google.com/spreadsheets/d/1an08uwOlkPchkGXFJ4IMKPNNs3Z-hZfS5rIU_QgwfSw/edit#gid=633486367")</f>
        <v>https://docs.google.com/spreadsheets/d/1an08uwOlkPchkGXFJ4IMKPNNs3Z-hZfS5rIU_QgwfSw/edit#gid=633486367</v>
      </c>
      <c r="H1726" s="35" t="s">
        <v>1383</v>
      </c>
    </row>
    <row r="1727">
      <c r="D1727" s="15"/>
      <c r="E1727" s="32" t="s">
        <v>86</v>
      </c>
      <c r="F1727" s="35" t="s">
        <v>90</v>
      </c>
      <c r="G1727" s="84" t="str">
        <f>HYPERLINK("https://docs.google.com/spreadsheets/d/1an08uwOlkPchkGXFJ4IMKPNNs3Z-hZfS5rIU_QgwfSw/edit#gid=590698629", "https://docs.google.com/spreadsheets/d/1an08uwOlkPchkGXFJ4IMKPNNs3Z-hZfS5rIU_QgwfSw/edit#gid=590698629")</f>
        <v>https://docs.google.com/spreadsheets/d/1an08uwOlkPchkGXFJ4IMKPNNs3Z-hZfS5rIU_QgwfSw/edit#gid=590698629</v>
      </c>
      <c r="H1727" s="35" t="s">
        <v>90</v>
      </c>
    </row>
    <row r="1728">
      <c r="D1728" s="15"/>
      <c r="E1728" s="32" t="s">
        <v>86</v>
      </c>
      <c r="F1728" s="35" t="s">
        <v>339</v>
      </c>
      <c r="G1728" s="84" t="str">
        <f>HYPERLINK("https://docs.google.com/spreadsheets/d/1an08uwOlkPchkGXFJ4IMKPNNs3Z-hZfS5rIU_QgwfSw/edit#gid=1391397580", "https://docs.google.com/spreadsheets/d/1an08uwOlkPchkGXFJ4IMKPNNs3Z-hZfS5rIU_QgwfSw/edit#gid=1391397580")</f>
        <v>https://docs.google.com/spreadsheets/d/1an08uwOlkPchkGXFJ4IMKPNNs3Z-hZfS5rIU_QgwfSw/edit#gid=1391397580</v>
      </c>
      <c r="H1728" s="35" t="s">
        <v>339</v>
      </c>
    </row>
    <row r="1729">
      <c r="D1729" s="15"/>
      <c r="E1729" s="32" t="s">
        <v>172</v>
      </c>
      <c r="F1729" s="35" t="s">
        <v>173</v>
      </c>
      <c r="G1729" s="84" t="str">
        <f>HYPERLINK("https://docs.google.com/spreadsheets/d/1an08uwOlkPchkGXFJ4IMKPNNs3Z-hZfS5rIU_QgwfSw/edit#gid=849048629", "https://docs.google.com/spreadsheets/d/1an08uwOlkPchkGXFJ4IMKPNNs3Z-hZfS5rIU_QgwfSw/edit#gid=849048629")</f>
        <v>https://docs.google.com/spreadsheets/d/1an08uwOlkPchkGXFJ4IMKPNNs3Z-hZfS5rIU_QgwfSw/edit#gid=849048629</v>
      </c>
      <c r="H1729" s="35" t="s">
        <v>269</v>
      </c>
    </row>
    <row r="1730">
      <c r="D1730" s="15"/>
      <c r="E1730" s="32" t="s">
        <v>172</v>
      </c>
      <c r="F1730" s="35" t="s">
        <v>402</v>
      </c>
      <c r="G1730" s="84" t="str">
        <f>HYPERLINK("https://docs.google.com/spreadsheets/d/1an08uwOlkPchkGXFJ4IMKPNNs3Z-hZfS5rIU_QgwfSw/edit#gid=1303486485", "https://docs.google.com/spreadsheets/d/1an08uwOlkPchkGXFJ4IMKPNNs3Z-hZfS5rIU_QgwfSw/edit#gid=1303486485")</f>
        <v>https://docs.google.com/spreadsheets/d/1an08uwOlkPchkGXFJ4IMKPNNs3Z-hZfS5rIU_QgwfSw/edit#gid=1303486485</v>
      </c>
      <c r="H1730" s="35" t="s">
        <v>2053</v>
      </c>
    </row>
    <row r="1731">
      <c r="D1731" s="15"/>
      <c r="E1731" s="32" t="s">
        <v>172</v>
      </c>
      <c r="F1731" s="35" t="s">
        <v>203</v>
      </c>
      <c r="G1731" s="84" t="str">
        <f>HYPERLINK("https://docs.google.com/spreadsheets/d/1an08uwOlkPchkGXFJ4IMKPNNs3Z-hZfS5rIU_QgwfSw/edit#gid=1148136235", "https://docs.google.com/spreadsheets/d/1an08uwOlkPchkGXFJ4IMKPNNs3Z-hZfS5rIU_QgwfSw/edit#gid=1148136235")</f>
        <v>https://docs.google.com/spreadsheets/d/1an08uwOlkPchkGXFJ4IMKPNNs3Z-hZfS5rIU_QgwfSw/edit#gid=1148136235</v>
      </c>
      <c r="H1731" s="35" t="s">
        <v>1995</v>
      </c>
    </row>
    <row r="1732">
      <c r="D1732" s="15"/>
      <c r="E1732" s="32" t="s">
        <v>172</v>
      </c>
      <c r="F1732" s="35" t="s">
        <v>204</v>
      </c>
      <c r="G1732" s="84" t="str">
        <f>HYPERLINK("https://docs.google.com/spreadsheets/d/1an08uwOlkPchkGXFJ4IMKPNNs3Z-hZfS5rIU_QgwfSw/edit#gid=1946282176", "https://docs.google.com/spreadsheets/d/1an08uwOlkPchkGXFJ4IMKPNNs3Z-hZfS5rIU_QgwfSw/edit#gid=1946282176")</f>
        <v>https://docs.google.com/spreadsheets/d/1an08uwOlkPchkGXFJ4IMKPNNs3Z-hZfS5rIU_QgwfSw/edit#gid=1946282176</v>
      </c>
      <c r="H1732" s="35" t="s">
        <v>1996</v>
      </c>
    </row>
    <row r="1733">
      <c r="D1733" s="15"/>
      <c r="E1733" s="32" t="s">
        <v>178</v>
      </c>
      <c r="F1733" s="35" t="s">
        <v>205</v>
      </c>
      <c r="G1733" s="84" t="str">
        <f>HYPERLINK("https://docs.google.com/spreadsheets/d/1an08uwOlkPchkGXFJ4IMKPNNs3Z-hZfS5rIU_QgwfSw/edit#gid=99042849", "https://docs.google.com/spreadsheets/d/1an08uwOlkPchkGXFJ4IMKPNNs3Z-hZfS5rIU_QgwfSw/edit#gid=99042849")</f>
        <v>https://docs.google.com/spreadsheets/d/1an08uwOlkPchkGXFJ4IMKPNNs3Z-hZfS5rIU_QgwfSw/edit#gid=99042849</v>
      </c>
      <c r="H1733" s="35" t="s">
        <v>1997</v>
      </c>
    </row>
    <row r="1734">
      <c r="D1734" s="15"/>
      <c r="E1734" s="32" t="s">
        <v>178</v>
      </c>
      <c r="F1734" s="35" t="s">
        <v>206</v>
      </c>
    </row>
    <row r="1735">
      <c r="D1735" s="15"/>
      <c r="E1735" s="32" t="s">
        <v>178</v>
      </c>
      <c r="F1735" s="35" t="s">
        <v>207</v>
      </c>
      <c r="G1735" s="84" t="str">
        <f>HYPERLINK("https://docs.google.com/spreadsheets/d/1an08uwOlkPchkGXFJ4IMKPNNs3Z-hZfS5rIU_QgwfSw/edit#gid=1451278277", "https://docs.google.com/spreadsheets/d/1an08uwOlkPchkGXFJ4IMKPNNs3Z-hZfS5rIU_QgwfSw/edit#gid=1451278277")</f>
        <v>https://docs.google.com/spreadsheets/d/1an08uwOlkPchkGXFJ4IMKPNNs3Z-hZfS5rIU_QgwfSw/edit#gid=1451278277</v>
      </c>
      <c r="H1735" s="35" t="s">
        <v>1998</v>
      </c>
    </row>
    <row r="1736">
      <c r="D1736" s="15"/>
      <c r="E1736" s="32" t="s">
        <v>178</v>
      </c>
      <c r="F1736" s="35" t="s">
        <v>208</v>
      </c>
      <c r="G1736" s="84" t="str">
        <f>HYPERLINK("https://docs.google.com/spreadsheets/d/1an08uwOlkPchkGXFJ4IMKPNNs3Z-hZfS5rIU_QgwfSw/edit#gid=16734962", "https://docs.google.com/spreadsheets/d/1an08uwOlkPchkGXFJ4IMKPNNs3Z-hZfS5rIU_QgwfSw/edit#gid=16734962")</f>
        <v>https://docs.google.com/spreadsheets/d/1an08uwOlkPchkGXFJ4IMKPNNs3Z-hZfS5rIU_QgwfSw/edit#gid=16734962</v>
      </c>
      <c r="H1736" s="35" t="s">
        <v>208</v>
      </c>
    </row>
    <row r="1737">
      <c r="D1737" s="15"/>
      <c r="E1737" s="32" t="s">
        <v>178</v>
      </c>
      <c r="F1737" s="35" t="s">
        <v>182</v>
      </c>
      <c r="G1737" s="84" t="str">
        <f>HYPERLINK("https://docs.google.com/spreadsheets/d/1an08uwOlkPchkGXFJ4IMKPNNs3Z-hZfS5rIU_QgwfSw/edit#gid=354481436", "https://docs.google.com/spreadsheets/d/1an08uwOlkPchkGXFJ4IMKPNNs3Z-hZfS5rIU_QgwfSw/edit#gid=354481436")</f>
        <v>https://docs.google.com/spreadsheets/d/1an08uwOlkPchkGXFJ4IMKPNNs3Z-hZfS5rIU_QgwfSw/edit#gid=354481436</v>
      </c>
      <c r="H1737" s="35" t="s">
        <v>182</v>
      </c>
    </row>
    <row r="1738">
      <c r="D1738" s="15"/>
      <c r="E1738" s="32" t="s">
        <v>178</v>
      </c>
      <c r="F1738" s="35" t="s">
        <v>180</v>
      </c>
      <c r="G1738" s="84" t="str">
        <f>HYPERLINK("https://docs.google.com/spreadsheets/d/1an08uwOlkPchkGXFJ4IMKPNNs3Z-hZfS5rIU_QgwfSw/edit#gid=1593706674", "https://docs.google.com/spreadsheets/d/1an08uwOlkPchkGXFJ4IMKPNNs3Z-hZfS5rIU_QgwfSw/edit#gid=1593706674")</f>
        <v>https://docs.google.com/spreadsheets/d/1an08uwOlkPchkGXFJ4IMKPNNs3Z-hZfS5rIU_QgwfSw/edit#gid=1593706674</v>
      </c>
      <c r="H1738" s="35" t="s">
        <v>180</v>
      </c>
    </row>
    <row r="1739">
      <c r="D1739" s="15"/>
      <c r="E1739" s="32" t="s">
        <v>178</v>
      </c>
      <c r="F1739" s="35" t="s">
        <v>209</v>
      </c>
      <c r="G1739" s="84" t="str">
        <f>HYPERLINK("https://docs.google.com/spreadsheets/d/1an08uwOlkPchkGXFJ4IMKPNNs3Z-hZfS5rIU_QgwfSw/edit#gid=1489010745", "https://docs.google.com/spreadsheets/d/1an08uwOlkPchkGXFJ4IMKPNNs3Z-hZfS5rIU_QgwfSw/edit#gid=1489010745")</f>
        <v>https://docs.google.com/spreadsheets/d/1an08uwOlkPchkGXFJ4IMKPNNs3Z-hZfS5rIU_QgwfSw/edit#gid=1489010745</v>
      </c>
      <c r="H1739" s="35" t="s">
        <v>209</v>
      </c>
    </row>
    <row r="1740">
      <c r="D1740" s="15"/>
      <c r="E1740" s="32" t="s">
        <v>178</v>
      </c>
      <c r="F1740" s="35" t="s">
        <v>210</v>
      </c>
      <c r="G1740" s="84" t="str">
        <f>HYPERLINK("https://docs.google.com/spreadsheets/d/1an08uwOlkPchkGXFJ4IMKPNNs3Z-hZfS5rIU_QgwfSw/edit#gid=1791593428", "https://docs.google.com/spreadsheets/d/1an08uwOlkPchkGXFJ4IMKPNNs3Z-hZfS5rIU_QgwfSw/edit#gid=1791593428")</f>
        <v>https://docs.google.com/spreadsheets/d/1an08uwOlkPchkGXFJ4IMKPNNs3Z-hZfS5rIU_QgwfSw/edit#gid=1791593428</v>
      </c>
      <c r="H1740" s="35" t="s">
        <v>210</v>
      </c>
    </row>
    <row r="1741">
      <c r="D1741" s="15"/>
      <c r="E1741" s="32" t="s">
        <v>157</v>
      </c>
      <c r="F1741" s="35" t="s">
        <v>161</v>
      </c>
      <c r="G1741" s="84" t="str">
        <f>HYPERLINK("https://docs.google.com/spreadsheets/d/1an08uwOlkPchkGXFJ4IMKPNNs3Z-hZfS5rIU_QgwfSw/edit#gid=1659330427", "https://docs.google.com/spreadsheets/d/1an08uwOlkPchkGXFJ4IMKPNNs3Z-hZfS5rIU_QgwfSw/edit#gid=1659330427")</f>
        <v>https://docs.google.com/spreadsheets/d/1an08uwOlkPchkGXFJ4IMKPNNs3Z-hZfS5rIU_QgwfSw/edit#gid=1659330427</v>
      </c>
      <c r="H1741" s="35" t="s">
        <v>161</v>
      </c>
    </row>
    <row r="1742">
      <c r="D1742" s="15"/>
      <c r="E1742" s="32" t="s">
        <v>157</v>
      </c>
      <c r="F1742" s="35" t="s">
        <v>158</v>
      </c>
      <c r="G1742" s="84" t="str">
        <f>HYPERLINK("https://docs.google.com/spreadsheets/d/1an08uwOlkPchkGXFJ4IMKPNNs3Z-hZfS5rIU_QgwfSw/edit#gid=2143155206", "https://docs.google.com/spreadsheets/d/1an08uwOlkPchkGXFJ4IMKPNNs3Z-hZfS5rIU_QgwfSw/edit#gid=2143155206")</f>
        <v>https://docs.google.com/spreadsheets/d/1an08uwOlkPchkGXFJ4IMKPNNs3Z-hZfS5rIU_QgwfSw/edit#gid=2143155206</v>
      </c>
      <c r="H1742" s="35" t="s">
        <v>158</v>
      </c>
    </row>
    <row r="1743">
      <c r="D1743" s="15"/>
      <c r="E1743" s="32" t="s">
        <v>157</v>
      </c>
      <c r="F1743" s="35" t="s">
        <v>196</v>
      </c>
      <c r="G1743" s="84" t="str">
        <f>HYPERLINK("https://docs.google.com/spreadsheets/d/1an08uwOlkPchkGXFJ4IMKPNNs3Z-hZfS5rIU_QgwfSw/edit#gid=1298387381", "https://docs.google.com/spreadsheets/d/1an08uwOlkPchkGXFJ4IMKPNNs3Z-hZfS5rIU_QgwfSw/edit#gid=1298387381")</f>
        <v>https://docs.google.com/spreadsheets/d/1an08uwOlkPchkGXFJ4IMKPNNs3Z-hZfS5rIU_QgwfSw/edit#gid=1298387381</v>
      </c>
      <c r="H1743" s="35" t="s">
        <v>196</v>
      </c>
    </row>
    <row r="1744">
      <c r="D1744" s="15"/>
      <c r="E1744" s="32" t="s">
        <v>172</v>
      </c>
      <c r="F1744" s="35" t="s">
        <v>173</v>
      </c>
      <c r="G1744" s="84" t="str">
        <f>HYPERLINK("https://docs.google.com/spreadsheets/d/1an08uwOlkPchkGXFJ4IMKPNNs3Z-hZfS5rIU_QgwfSw/edit#gid=741612785", "https://docs.google.com/spreadsheets/d/1an08uwOlkPchkGXFJ4IMKPNNs3Z-hZfS5rIU_QgwfSw/edit#gid=741612785")</f>
        <v>https://docs.google.com/spreadsheets/d/1an08uwOlkPchkGXFJ4IMKPNNs3Z-hZfS5rIU_QgwfSw/edit#gid=741612785</v>
      </c>
      <c r="H1744" s="35" t="s">
        <v>2054</v>
      </c>
    </row>
    <row r="1745">
      <c r="D1745" s="15"/>
      <c r="E1745" s="32" t="s">
        <v>172</v>
      </c>
      <c r="F1745" s="35" t="s">
        <v>402</v>
      </c>
      <c r="G1745" s="84" t="str">
        <f>HYPERLINK("https://docs.google.com/spreadsheets/d/1an08uwOlkPchkGXFJ4IMKPNNs3Z-hZfS5rIU_QgwfSw/edit#gid=1712810590", "https://docs.google.com/spreadsheets/d/1an08uwOlkPchkGXFJ4IMKPNNs3Z-hZfS5rIU_QgwfSw/edit#gid=1712810590")</f>
        <v>https://docs.google.com/spreadsheets/d/1an08uwOlkPchkGXFJ4IMKPNNs3Z-hZfS5rIU_QgwfSw/edit#gid=1712810590</v>
      </c>
      <c r="H1745" s="35" t="s">
        <v>2055</v>
      </c>
    </row>
    <row r="1746">
      <c r="D1746" s="15"/>
      <c r="E1746" s="32" t="s">
        <v>172</v>
      </c>
      <c r="F1746" s="35" t="s">
        <v>203</v>
      </c>
      <c r="G1746" s="84" t="str">
        <f>HYPERLINK("https://docs.google.com/spreadsheets/d/1an08uwOlkPchkGXFJ4IMKPNNs3Z-hZfS5rIU_QgwfSw/edit#gid=909932342", "https://docs.google.com/spreadsheets/d/1an08uwOlkPchkGXFJ4IMKPNNs3Z-hZfS5rIU_QgwfSw/edit#gid=909932342")</f>
        <v>https://docs.google.com/spreadsheets/d/1an08uwOlkPchkGXFJ4IMKPNNs3Z-hZfS5rIU_QgwfSw/edit#gid=909932342</v>
      </c>
      <c r="H1746" s="35" t="s">
        <v>1999</v>
      </c>
    </row>
    <row r="1747">
      <c r="D1747" s="15"/>
      <c r="E1747" s="32" t="s">
        <v>172</v>
      </c>
      <c r="F1747" s="35" t="s">
        <v>204</v>
      </c>
      <c r="G1747" s="84" t="str">
        <f>HYPERLINK("https://docs.google.com/spreadsheets/d/1an08uwOlkPchkGXFJ4IMKPNNs3Z-hZfS5rIU_QgwfSw/edit#gid=1293421967", "https://docs.google.com/spreadsheets/d/1an08uwOlkPchkGXFJ4IMKPNNs3Z-hZfS5rIU_QgwfSw/edit#gid=1293421967")</f>
        <v>https://docs.google.com/spreadsheets/d/1an08uwOlkPchkGXFJ4IMKPNNs3Z-hZfS5rIU_QgwfSw/edit#gid=1293421967</v>
      </c>
      <c r="H1747" s="35" t="s">
        <v>2000</v>
      </c>
    </row>
    <row r="1748">
      <c r="D1748" s="15"/>
      <c r="E1748" s="32" t="s">
        <v>178</v>
      </c>
      <c r="F1748" s="35" t="s">
        <v>207</v>
      </c>
      <c r="G1748" s="84" t="str">
        <f>HYPERLINK("https://docs.google.com/spreadsheets/d/1an08uwOlkPchkGXFJ4IMKPNNs3Z-hZfS5rIU_QgwfSw/edit#gid=525160901", "https://docs.google.com/spreadsheets/d/1an08uwOlkPchkGXFJ4IMKPNNs3Z-hZfS5rIU_QgwfSw/edit#gid=525160901")</f>
        <v>https://docs.google.com/spreadsheets/d/1an08uwOlkPchkGXFJ4IMKPNNs3Z-hZfS5rIU_QgwfSw/edit#gid=525160901</v>
      </c>
      <c r="H1748" s="35" t="s">
        <v>2001</v>
      </c>
    </row>
    <row r="1749">
      <c r="D1749" s="15"/>
      <c r="E1749" s="32" t="s">
        <v>178</v>
      </c>
      <c r="F1749" s="35" t="s">
        <v>208</v>
      </c>
      <c r="G1749" s="84" t="str">
        <f>HYPERLINK("https://docs.google.com/spreadsheets/d/1an08uwOlkPchkGXFJ4IMKPNNs3Z-hZfS5rIU_QgwfSw/edit#gid=2093776760", "https://docs.google.com/spreadsheets/d/1an08uwOlkPchkGXFJ4IMKPNNs3Z-hZfS5rIU_QgwfSw/edit#gid=2093776760")</f>
        <v>https://docs.google.com/spreadsheets/d/1an08uwOlkPchkGXFJ4IMKPNNs3Z-hZfS5rIU_QgwfSw/edit#gid=2093776760</v>
      </c>
      <c r="H1749" s="35" t="s">
        <v>2002</v>
      </c>
    </row>
    <row r="1750">
      <c r="D1750" s="15"/>
      <c r="E1750" s="32" t="s">
        <v>178</v>
      </c>
      <c r="F1750" s="35" t="s">
        <v>182</v>
      </c>
      <c r="G1750" s="84" t="str">
        <f>HYPERLINK("https://docs.google.com/spreadsheets/d/1an08uwOlkPchkGXFJ4IMKPNNs3Z-hZfS5rIU_QgwfSw/edit#gid=1723175908", "https://docs.google.com/spreadsheets/d/1an08uwOlkPchkGXFJ4IMKPNNs3Z-hZfS5rIU_QgwfSw/edit#gid=1723175908")</f>
        <v>https://docs.google.com/spreadsheets/d/1an08uwOlkPchkGXFJ4IMKPNNs3Z-hZfS5rIU_QgwfSw/edit#gid=1723175908</v>
      </c>
      <c r="H1750" s="35" t="s">
        <v>2003</v>
      </c>
    </row>
    <row r="1751">
      <c r="D1751" s="15"/>
      <c r="E1751" s="32" t="s">
        <v>178</v>
      </c>
      <c r="F1751" s="35" t="s">
        <v>180</v>
      </c>
      <c r="G1751" s="84" t="str">
        <f>HYPERLINK("https://docs.google.com/spreadsheets/d/1an08uwOlkPchkGXFJ4IMKPNNs3Z-hZfS5rIU_QgwfSw/edit#gid=1621440393", "https://docs.google.com/spreadsheets/d/1an08uwOlkPchkGXFJ4IMKPNNs3Z-hZfS5rIU_QgwfSw/edit#gid=1621440393")</f>
        <v>https://docs.google.com/spreadsheets/d/1an08uwOlkPchkGXFJ4IMKPNNs3Z-hZfS5rIU_QgwfSw/edit#gid=1621440393</v>
      </c>
      <c r="H1751" s="35" t="s">
        <v>2009</v>
      </c>
    </row>
    <row r="1752">
      <c r="D1752" s="15"/>
      <c r="E1752" s="32" t="s">
        <v>178</v>
      </c>
      <c r="F1752" s="35" t="s">
        <v>209</v>
      </c>
      <c r="G1752" s="84" t="str">
        <f>HYPERLINK("https://docs.google.com/spreadsheets/d/1an08uwOlkPchkGXFJ4IMKPNNs3Z-hZfS5rIU_QgwfSw/edit#gid=1113825417", "https://docs.google.com/spreadsheets/d/1an08uwOlkPchkGXFJ4IMKPNNs3Z-hZfS5rIU_QgwfSw/edit#gid=1113825417")</f>
        <v>https://docs.google.com/spreadsheets/d/1an08uwOlkPchkGXFJ4IMKPNNs3Z-hZfS5rIU_QgwfSw/edit#gid=1113825417</v>
      </c>
      <c r="H1752" s="35" t="s">
        <v>1986</v>
      </c>
    </row>
    <row r="1753">
      <c r="D1753" s="15"/>
      <c r="E1753" s="32" t="s">
        <v>178</v>
      </c>
      <c r="F1753" s="35" t="s">
        <v>210</v>
      </c>
      <c r="G1753" s="84" t="str">
        <f>HYPERLINK("https://docs.google.com/spreadsheets/d/1an08uwOlkPchkGXFJ4IMKPNNs3Z-hZfS5rIU_QgwfSw/edit#gid=953672727", "https://docs.google.com/spreadsheets/d/1an08uwOlkPchkGXFJ4IMKPNNs3Z-hZfS5rIU_QgwfSw/edit#gid=953672727")</f>
        <v>https://docs.google.com/spreadsheets/d/1an08uwOlkPchkGXFJ4IMKPNNs3Z-hZfS5rIU_QgwfSw/edit#gid=953672727</v>
      </c>
      <c r="H1753" s="35" t="s">
        <v>1987</v>
      </c>
    </row>
    <row r="1754">
      <c r="D1754" s="15"/>
      <c r="E1754" s="32" t="s">
        <v>86</v>
      </c>
      <c r="F1754" s="35" t="s">
        <v>90</v>
      </c>
      <c r="G1754" s="84" t="str">
        <f>HYPERLINK("https://docs.google.com/spreadsheets/d/1an08uwOlkPchkGXFJ4IMKPNNs3Z-hZfS5rIU_QgwfSw/edit#gid=1940973387", "https://docs.google.com/spreadsheets/d/1an08uwOlkPchkGXFJ4IMKPNNs3Z-hZfS5rIU_QgwfSw/edit#gid=1940973387")</f>
        <v>https://docs.google.com/spreadsheets/d/1an08uwOlkPchkGXFJ4IMKPNNs3Z-hZfS5rIU_QgwfSw/edit#gid=1940973387</v>
      </c>
      <c r="H1754" s="35" t="s">
        <v>2022</v>
      </c>
    </row>
    <row r="1755">
      <c r="D1755" s="15"/>
      <c r="E1755" s="32" t="s">
        <v>86</v>
      </c>
      <c r="F1755" s="35" t="s">
        <v>91</v>
      </c>
      <c r="G1755" s="84" t="str">
        <f>HYPERLINK("https://docs.google.com/spreadsheets/d/1an08uwOlkPchkGXFJ4IMKPNNs3Z-hZfS5rIU_QgwfSw/edit#gid=342171937", "https://docs.google.com/spreadsheets/d/1an08uwOlkPchkGXFJ4IMKPNNs3Z-hZfS5rIU_QgwfSw/edit#gid=342171937")</f>
        <v>https://docs.google.com/spreadsheets/d/1an08uwOlkPchkGXFJ4IMKPNNs3Z-hZfS5rIU_QgwfSw/edit#gid=342171937</v>
      </c>
      <c r="H1755" s="35" t="s">
        <v>91</v>
      </c>
    </row>
    <row r="1756">
      <c r="D1756" s="15"/>
      <c r="E1756" s="32" t="s">
        <v>88</v>
      </c>
      <c r="F1756" s="35" t="s">
        <v>95</v>
      </c>
      <c r="G1756" s="84" t="str">
        <f>HYPERLINK("https://docs.google.com/spreadsheets/d/1an08uwOlkPchkGXFJ4IMKPNNs3Z-hZfS5rIU_QgwfSw/edit#gid=465954613", "https://docs.google.com/spreadsheets/d/1an08uwOlkPchkGXFJ4IMKPNNs3Z-hZfS5rIU_QgwfSw/edit#gid=465954613")</f>
        <v>https://docs.google.com/spreadsheets/d/1an08uwOlkPchkGXFJ4IMKPNNs3Z-hZfS5rIU_QgwfSw/edit#gid=465954613</v>
      </c>
      <c r="H1756" s="35" t="s">
        <v>95</v>
      </c>
    </row>
    <row r="1757">
      <c r="D1757" s="15"/>
      <c r="E1757" s="32" t="s">
        <v>88</v>
      </c>
      <c r="F1757" s="35" t="s">
        <v>96</v>
      </c>
      <c r="G1757" s="84" t="str">
        <f>HYPERLINK("https://docs.google.com/spreadsheets/d/1an08uwOlkPchkGXFJ4IMKPNNs3Z-hZfS5rIU_QgwfSw/edit#gid=2054664842", "https://docs.google.com/spreadsheets/d/1an08uwOlkPchkGXFJ4IMKPNNs3Z-hZfS5rIU_QgwfSw/edit#gid=2054664842")</f>
        <v>https://docs.google.com/spreadsheets/d/1an08uwOlkPchkGXFJ4IMKPNNs3Z-hZfS5rIU_QgwfSw/edit#gid=2054664842</v>
      </c>
      <c r="H1757" s="35" t="s">
        <v>96</v>
      </c>
    </row>
    <row r="1758">
      <c r="D1758" s="15"/>
      <c r="E1758" s="32"/>
      <c r="F1758" s="35"/>
      <c r="H1758" s="35"/>
    </row>
    <row r="1759">
      <c r="B1759" s="8" t="s">
        <v>2161</v>
      </c>
      <c r="C1759" s="9" t="s">
        <v>2093</v>
      </c>
      <c r="D1759" s="32" t="s">
        <v>20</v>
      </c>
      <c r="E1759" s="32" t="s">
        <v>89</v>
      </c>
      <c r="F1759" s="35" t="s">
        <v>291</v>
      </c>
    </row>
    <row r="1760">
      <c r="B1760" s="35" t="s">
        <v>2162</v>
      </c>
      <c r="C1760" s="210" t="s">
        <v>2163</v>
      </c>
      <c r="D1760" s="32" t="s">
        <v>20</v>
      </c>
      <c r="E1760" s="31" t="s">
        <v>178</v>
      </c>
      <c r="F1760" s="31" t="s">
        <v>201</v>
      </c>
      <c r="G1760" s="84" t="str">
        <f>HYPERLINK("https://docs.google.com/spreadsheets/d/1x-d1JiM5DtLIg1gs4JVMTig5KQ9T2AKCaFJUjeGEarc/edit#gid=835342470", "https://docs.google.com/spreadsheets/d/1x-d1JiM5DtLIg1gs4JVMTig5KQ9T2AKCaFJUjeGEarc/edit#gid=835342470")</f>
        <v>https://docs.google.com/spreadsheets/d/1x-d1JiM5DtLIg1gs4JVMTig5KQ9T2AKCaFJUjeGEarc/edit#gid=835342470</v>
      </c>
      <c r="H1760" s="31" t="s">
        <v>201</v>
      </c>
    </row>
    <row r="1761">
      <c r="D1761" s="15"/>
      <c r="E1761" s="8" t="s">
        <v>178</v>
      </c>
      <c r="F1761" s="31" t="s">
        <v>202</v>
      </c>
      <c r="G1761" s="84" t="str">
        <f>HYPERLINK("https://docs.google.com/spreadsheets/d/1x-d1JiM5DtLIg1gs4JVMTig5KQ9T2AKCaFJUjeGEarc/edit#gid=1071379886", "https://docs.google.com/spreadsheets/d/1x-d1JiM5DtLIg1gs4JVMTig5KQ9T2AKCaFJUjeGEarc/edit#gid=1071379886")</f>
        <v>https://docs.google.com/spreadsheets/d/1x-d1JiM5DtLIg1gs4JVMTig5KQ9T2AKCaFJUjeGEarc/edit#gid=1071379886</v>
      </c>
      <c r="H1761" s="31" t="s">
        <v>202</v>
      </c>
    </row>
    <row r="1762">
      <c r="D1762" s="15"/>
      <c r="E1762" s="8" t="s">
        <v>178</v>
      </c>
      <c r="F1762" s="31" t="s">
        <v>202</v>
      </c>
      <c r="G1762" s="84" t="str">
        <f>HYPERLINK("https://docs.google.com/spreadsheets/d/1x-d1JiM5DtLIg1gs4JVMTig5KQ9T2AKCaFJUjeGEarc/edit#gid=1645148699", "https://docs.google.com/spreadsheets/d/1x-d1JiM5DtLIg1gs4JVMTig5KQ9T2AKCaFJUjeGEarc/edit#gid=1645148699")</f>
        <v>https://docs.google.com/spreadsheets/d/1x-d1JiM5DtLIg1gs4JVMTig5KQ9T2AKCaFJUjeGEarc/edit#gid=1645148699</v>
      </c>
      <c r="H1762" s="8" t="s">
        <v>2025</v>
      </c>
    </row>
    <row r="1763">
      <c r="D1763" s="15"/>
      <c r="E1763" s="8" t="s">
        <v>21</v>
      </c>
      <c r="F1763" s="31" t="s">
        <v>51</v>
      </c>
      <c r="G1763" s="84" t="str">
        <f>HYPERLINK("https://docs.google.com/spreadsheets/d/1x-d1JiM5DtLIg1gs4JVMTig5KQ9T2AKCaFJUjeGEarc/edit#gid=2054204897", "https://docs.google.com/spreadsheets/d/1x-d1JiM5DtLIg1gs4JVMTig5KQ9T2AKCaFJUjeGEarc/edit#gid=2054204897")</f>
        <v>https://docs.google.com/spreadsheets/d/1x-d1JiM5DtLIg1gs4JVMTig5KQ9T2AKCaFJUjeGEarc/edit#gid=2054204897</v>
      </c>
      <c r="H1763" s="8" t="s">
        <v>51</v>
      </c>
    </row>
    <row r="1764">
      <c r="D1764" s="15"/>
      <c r="E1764" s="8" t="s">
        <v>172</v>
      </c>
      <c r="F1764" s="31" t="s">
        <v>173</v>
      </c>
      <c r="G1764" s="84" t="str">
        <f>HYPERLINK("https://docs.google.com/spreadsheets/d/1x-d1JiM5DtLIg1gs4JVMTig5KQ9T2AKCaFJUjeGEarc/edit#gid=1396046178", "https://docs.google.com/spreadsheets/d/1x-d1JiM5DtLIg1gs4JVMTig5KQ9T2AKCaFJUjeGEarc/edit#gid=1396046178")</f>
        <v>https://docs.google.com/spreadsheets/d/1x-d1JiM5DtLIg1gs4JVMTig5KQ9T2AKCaFJUjeGEarc/edit#gid=1396046178</v>
      </c>
      <c r="H1764" s="8" t="s">
        <v>173</v>
      </c>
    </row>
    <row r="1765">
      <c r="D1765" s="15"/>
      <c r="E1765" s="8" t="s">
        <v>172</v>
      </c>
      <c r="F1765" s="31" t="s">
        <v>402</v>
      </c>
      <c r="G1765" s="84" t="str">
        <f>HYPERLINK("https://docs.google.com/spreadsheets/d/1x-d1JiM5DtLIg1gs4JVMTig5KQ9T2AKCaFJUjeGEarc/edit#gid=939364486", "https://docs.google.com/spreadsheets/d/1x-d1JiM5DtLIg1gs4JVMTig5KQ9T2AKCaFJUjeGEarc/edit#gid=939364486")</f>
        <v>https://docs.google.com/spreadsheets/d/1x-d1JiM5DtLIg1gs4JVMTig5KQ9T2AKCaFJUjeGEarc/edit#gid=939364486</v>
      </c>
      <c r="H1765" s="8" t="s">
        <v>402</v>
      </c>
    </row>
    <row r="1766">
      <c r="D1766" s="15"/>
      <c r="E1766" s="8" t="s">
        <v>172</v>
      </c>
      <c r="F1766" s="31" t="s">
        <v>203</v>
      </c>
      <c r="G1766" s="84" t="str">
        <f>HYPERLINK("https://docs.google.com/spreadsheets/d/1x-d1JiM5DtLIg1gs4JVMTig5KQ9T2AKCaFJUjeGEarc/edit#gid=1656902922", "https://docs.google.com/spreadsheets/d/1x-d1JiM5DtLIg1gs4JVMTig5KQ9T2AKCaFJUjeGEarc/edit#gid=1656902922")</f>
        <v>https://docs.google.com/spreadsheets/d/1x-d1JiM5DtLIg1gs4JVMTig5KQ9T2AKCaFJUjeGEarc/edit#gid=1656902922</v>
      </c>
      <c r="H1766" s="8" t="s">
        <v>203</v>
      </c>
    </row>
    <row r="1767">
      <c r="D1767" s="15"/>
      <c r="E1767" s="8" t="s">
        <v>172</v>
      </c>
      <c r="F1767" s="31" t="s">
        <v>204</v>
      </c>
      <c r="G1767" s="84" t="str">
        <f>HYPERLINK("https://docs.google.com/spreadsheets/d/1x-d1JiM5DtLIg1gs4JVMTig5KQ9T2AKCaFJUjeGEarc/edit#gid=1056758840", "https://docs.google.com/spreadsheets/d/1x-d1JiM5DtLIg1gs4JVMTig5KQ9T2AKCaFJUjeGEarc/edit#gid=1056758840")</f>
        <v>https://docs.google.com/spreadsheets/d/1x-d1JiM5DtLIg1gs4JVMTig5KQ9T2AKCaFJUjeGEarc/edit#gid=1056758840</v>
      </c>
      <c r="H1767" s="8" t="s">
        <v>204</v>
      </c>
    </row>
    <row r="1768">
      <c r="D1768" s="15"/>
      <c r="E1768" s="8" t="s">
        <v>178</v>
      </c>
      <c r="F1768" s="31" t="s">
        <v>205</v>
      </c>
      <c r="G1768" s="84" t="str">
        <f>HYPERLINK("https://docs.google.com/spreadsheets/d/1x-d1JiM5DtLIg1gs4JVMTig5KQ9T2AKCaFJUjeGEarc/edit#gid=1916830334", "https://docs.google.com/spreadsheets/d/1x-d1JiM5DtLIg1gs4JVMTig5KQ9T2AKCaFJUjeGEarc/edit#gid=1916830334")</f>
        <v>https://docs.google.com/spreadsheets/d/1x-d1JiM5DtLIg1gs4JVMTig5KQ9T2AKCaFJUjeGEarc/edit#gid=1916830334</v>
      </c>
      <c r="H1768" s="8" t="s">
        <v>205</v>
      </c>
    </row>
    <row r="1769">
      <c r="D1769" s="15"/>
      <c r="E1769" s="8" t="s">
        <v>178</v>
      </c>
      <c r="F1769" s="31" t="s">
        <v>206</v>
      </c>
      <c r="H1769" s="31"/>
    </row>
    <row r="1770">
      <c r="D1770" s="15"/>
      <c r="E1770" s="8" t="s">
        <v>178</v>
      </c>
      <c r="F1770" s="31" t="s">
        <v>207</v>
      </c>
      <c r="G1770" s="84" t="str">
        <f>HYPERLINK("https://docs.google.com/spreadsheets/d/1x-d1JiM5DtLIg1gs4JVMTig5KQ9T2AKCaFJUjeGEarc/edit#gid=1554984307", "https://docs.google.com/spreadsheets/d/1x-d1JiM5DtLIg1gs4JVMTig5KQ9T2AKCaFJUjeGEarc/edit#gid=1554984307")</f>
        <v>https://docs.google.com/spreadsheets/d/1x-d1JiM5DtLIg1gs4JVMTig5KQ9T2AKCaFJUjeGEarc/edit#gid=1554984307</v>
      </c>
      <c r="H1770" s="8" t="s">
        <v>207</v>
      </c>
    </row>
    <row r="1771">
      <c r="D1771" s="15"/>
      <c r="E1771" s="8" t="s">
        <v>21</v>
      </c>
      <c r="F1771" s="31" t="s">
        <v>51</v>
      </c>
      <c r="G1771" s="84" t="str">
        <f>HYPERLINK("https://docs.google.com/spreadsheets/d/1x-d1JiM5DtLIg1gs4JVMTig5KQ9T2AKCaFJUjeGEarc/edit#gid=1842206462", "https://docs.google.com/spreadsheets/d/1x-d1JiM5DtLIg1gs4JVMTig5KQ9T2AKCaFJUjeGEarc/edit#gid=1842206462")</f>
        <v>https://docs.google.com/spreadsheets/d/1x-d1JiM5DtLIg1gs4JVMTig5KQ9T2AKCaFJUjeGEarc/edit#gid=1842206462</v>
      </c>
      <c r="H1771" s="8" t="s">
        <v>1383</v>
      </c>
    </row>
    <row r="1772">
      <c r="D1772" s="15"/>
      <c r="E1772" s="8" t="s">
        <v>86</v>
      </c>
      <c r="F1772" s="31" t="s">
        <v>90</v>
      </c>
      <c r="G1772" s="84" t="str">
        <f>HYPERLINK("https://docs.google.com/spreadsheets/d/1x-d1JiM5DtLIg1gs4JVMTig5KQ9T2AKCaFJUjeGEarc/edit#gid=1233626668", "https://docs.google.com/spreadsheets/d/1x-d1JiM5DtLIg1gs4JVMTig5KQ9T2AKCaFJUjeGEarc/edit#gid=1233626668")</f>
        <v>https://docs.google.com/spreadsheets/d/1x-d1JiM5DtLIg1gs4JVMTig5KQ9T2AKCaFJUjeGEarc/edit#gid=1233626668</v>
      </c>
      <c r="H1772" s="8" t="s">
        <v>90</v>
      </c>
    </row>
    <row r="1773">
      <c r="D1773" s="15"/>
      <c r="E1773" s="8" t="s">
        <v>86</v>
      </c>
      <c r="F1773" s="31" t="s">
        <v>339</v>
      </c>
      <c r="G1773" s="84" t="str">
        <f>HYPERLINK("https://docs.google.com/spreadsheets/d/1x-d1JiM5DtLIg1gs4JVMTig5KQ9T2AKCaFJUjeGEarc/edit#gid=878510870", "https://docs.google.com/spreadsheets/d/1x-d1JiM5DtLIg1gs4JVMTig5KQ9T2AKCaFJUjeGEarc/edit#gid=878510870")</f>
        <v>https://docs.google.com/spreadsheets/d/1x-d1JiM5DtLIg1gs4JVMTig5KQ9T2AKCaFJUjeGEarc/edit#gid=878510870</v>
      </c>
      <c r="H1773" s="8" t="s">
        <v>339</v>
      </c>
    </row>
    <row r="1774">
      <c r="D1774" s="15"/>
      <c r="E1774" s="8" t="s">
        <v>172</v>
      </c>
      <c r="F1774" s="31" t="s">
        <v>173</v>
      </c>
      <c r="G1774" s="84" t="str">
        <f>HYPERLINK("https://docs.google.com/spreadsheets/d/1x-d1JiM5DtLIg1gs4JVMTig5KQ9T2AKCaFJUjeGEarc/edit#gid=2069533400", "https://docs.google.com/spreadsheets/d/1x-d1JiM5DtLIg1gs4JVMTig5KQ9T2AKCaFJUjeGEarc/edit#gid=2069533400")</f>
        <v>https://docs.google.com/spreadsheets/d/1x-d1JiM5DtLIg1gs4JVMTig5KQ9T2AKCaFJUjeGEarc/edit#gid=2069533400</v>
      </c>
      <c r="H1774" s="8" t="s">
        <v>269</v>
      </c>
    </row>
    <row r="1775">
      <c r="D1775" s="15"/>
      <c r="E1775" s="8" t="s">
        <v>172</v>
      </c>
      <c r="F1775" s="31" t="s">
        <v>402</v>
      </c>
      <c r="G1775" s="84" t="str">
        <f>HYPERLINK("https://docs.google.com/spreadsheets/d/1x-d1JiM5DtLIg1gs4JVMTig5KQ9T2AKCaFJUjeGEarc/edit#gid=960824502", "https://docs.google.com/spreadsheets/d/1x-d1JiM5DtLIg1gs4JVMTig5KQ9T2AKCaFJUjeGEarc/edit#gid=960824502")</f>
        <v>https://docs.google.com/spreadsheets/d/1x-d1JiM5DtLIg1gs4JVMTig5KQ9T2AKCaFJUjeGEarc/edit#gid=960824502</v>
      </c>
      <c r="H1775" s="8" t="s">
        <v>2053</v>
      </c>
    </row>
    <row r="1776">
      <c r="D1776" s="15"/>
      <c r="E1776" s="8" t="s">
        <v>172</v>
      </c>
      <c r="F1776" s="31" t="s">
        <v>203</v>
      </c>
      <c r="G1776" s="84" t="str">
        <f>HYPERLINK("https://docs.google.com/spreadsheets/d/1x-d1JiM5DtLIg1gs4JVMTig5KQ9T2AKCaFJUjeGEarc/edit#gid=1745945791", "https://docs.google.com/spreadsheets/d/1x-d1JiM5DtLIg1gs4JVMTig5KQ9T2AKCaFJUjeGEarc/edit#gid=1745945791")</f>
        <v>https://docs.google.com/spreadsheets/d/1x-d1JiM5DtLIg1gs4JVMTig5KQ9T2AKCaFJUjeGEarc/edit#gid=1745945791</v>
      </c>
      <c r="H1776" s="8" t="s">
        <v>1995</v>
      </c>
    </row>
    <row r="1777">
      <c r="D1777" s="15"/>
      <c r="E1777" s="8" t="s">
        <v>172</v>
      </c>
      <c r="F1777" s="31" t="s">
        <v>204</v>
      </c>
      <c r="G1777" s="84" t="str">
        <f>HYPERLINK("https://docs.google.com/spreadsheets/d/1x-d1JiM5DtLIg1gs4JVMTig5KQ9T2AKCaFJUjeGEarc/edit#gid=1801843322", "https://docs.google.com/spreadsheets/d/1x-d1JiM5DtLIg1gs4JVMTig5KQ9T2AKCaFJUjeGEarc/edit#gid=1801843322")</f>
        <v>https://docs.google.com/spreadsheets/d/1x-d1JiM5DtLIg1gs4JVMTig5KQ9T2AKCaFJUjeGEarc/edit#gid=1801843322</v>
      </c>
      <c r="H1777" s="8" t="s">
        <v>1996</v>
      </c>
    </row>
    <row r="1778">
      <c r="D1778" s="15"/>
      <c r="E1778" s="8" t="s">
        <v>178</v>
      </c>
      <c r="F1778" s="31" t="s">
        <v>205</v>
      </c>
      <c r="G1778" s="84" t="str">
        <f>HYPERLINK("https://docs.google.com/spreadsheets/d/1x-d1JiM5DtLIg1gs4JVMTig5KQ9T2AKCaFJUjeGEarc/edit#gid=1654516804", "https://docs.google.com/spreadsheets/d/1x-d1JiM5DtLIg1gs4JVMTig5KQ9T2AKCaFJUjeGEarc/edit#gid=1654516804")</f>
        <v>https://docs.google.com/spreadsheets/d/1x-d1JiM5DtLIg1gs4JVMTig5KQ9T2AKCaFJUjeGEarc/edit#gid=1654516804</v>
      </c>
      <c r="H1778" s="8" t="s">
        <v>1997</v>
      </c>
    </row>
    <row r="1779">
      <c r="D1779" s="15"/>
      <c r="E1779" s="8" t="s">
        <v>178</v>
      </c>
      <c r="F1779" s="31" t="s">
        <v>206</v>
      </c>
      <c r="H1779" s="31"/>
    </row>
    <row r="1780">
      <c r="D1780" s="15"/>
      <c r="E1780" s="8" t="s">
        <v>178</v>
      </c>
      <c r="F1780" s="31" t="s">
        <v>207</v>
      </c>
      <c r="G1780" s="84" t="str">
        <f>HYPERLINK("https://docs.google.com/spreadsheets/d/1x-d1JiM5DtLIg1gs4JVMTig5KQ9T2AKCaFJUjeGEarc/edit#gid=587052244", "https://docs.google.com/spreadsheets/d/1x-d1JiM5DtLIg1gs4JVMTig5KQ9T2AKCaFJUjeGEarc/edit#gid=587052244")</f>
        <v>https://docs.google.com/spreadsheets/d/1x-d1JiM5DtLIg1gs4JVMTig5KQ9T2AKCaFJUjeGEarc/edit#gid=587052244</v>
      </c>
      <c r="H1780" s="8" t="s">
        <v>1998</v>
      </c>
    </row>
    <row r="1781">
      <c r="D1781" s="15"/>
      <c r="E1781" s="8" t="s">
        <v>178</v>
      </c>
      <c r="F1781" s="31" t="s">
        <v>208</v>
      </c>
      <c r="G1781" s="84" t="str">
        <f>HYPERLINK("https://docs.google.com/spreadsheets/d/1x-d1JiM5DtLIg1gs4JVMTig5KQ9T2AKCaFJUjeGEarc/edit#gid=36625490", "https://docs.google.com/spreadsheets/d/1x-d1JiM5DtLIg1gs4JVMTig5KQ9T2AKCaFJUjeGEarc/edit#gid=36625490")</f>
        <v>https://docs.google.com/spreadsheets/d/1x-d1JiM5DtLIg1gs4JVMTig5KQ9T2AKCaFJUjeGEarc/edit#gid=36625490</v>
      </c>
      <c r="H1781" s="8" t="s">
        <v>208</v>
      </c>
    </row>
    <row r="1782">
      <c r="D1782" s="15"/>
      <c r="E1782" s="8" t="s">
        <v>178</v>
      </c>
      <c r="F1782" s="31" t="s">
        <v>182</v>
      </c>
      <c r="G1782" s="84" t="str">
        <f>HYPERLINK("https://docs.google.com/spreadsheets/d/1x-d1JiM5DtLIg1gs4JVMTig5KQ9T2AKCaFJUjeGEarc/edit#gid=628794733", "https://docs.google.com/spreadsheets/d/1x-d1JiM5DtLIg1gs4JVMTig5KQ9T2AKCaFJUjeGEarc/edit#gid=628794733")</f>
        <v>https://docs.google.com/spreadsheets/d/1x-d1JiM5DtLIg1gs4JVMTig5KQ9T2AKCaFJUjeGEarc/edit#gid=628794733</v>
      </c>
      <c r="H1782" s="8" t="s">
        <v>182</v>
      </c>
    </row>
    <row r="1783">
      <c r="D1783" s="15"/>
      <c r="E1783" s="8" t="s">
        <v>178</v>
      </c>
      <c r="F1783" s="31" t="s">
        <v>180</v>
      </c>
      <c r="G1783" s="84" t="str">
        <f>HYPERLINK("https://docs.google.com/spreadsheets/d/1x-d1JiM5DtLIg1gs4JVMTig5KQ9T2AKCaFJUjeGEarc/edit#gid=1514154946", "https://docs.google.com/spreadsheets/d/1x-d1JiM5DtLIg1gs4JVMTig5KQ9T2AKCaFJUjeGEarc/edit#gid=1514154946")</f>
        <v>https://docs.google.com/spreadsheets/d/1x-d1JiM5DtLIg1gs4JVMTig5KQ9T2AKCaFJUjeGEarc/edit#gid=1514154946</v>
      </c>
      <c r="H1783" s="8" t="s">
        <v>180</v>
      </c>
    </row>
    <row r="1784">
      <c r="D1784" s="15"/>
      <c r="E1784" s="8" t="s">
        <v>178</v>
      </c>
      <c r="F1784" s="31" t="s">
        <v>209</v>
      </c>
      <c r="G1784" s="84" t="str">
        <f>HYPERLINK("https://docs.google.com/spreadsheets/d/1x-d1JiM5DtLIg1gs4JVMTig5KQ9T2AKCaFJUjeGEarc/edit#gid=1261585990", "https://docs.google.com/spreadsheets/d/1x-d1JiM5DtLIg1gs4JVMTig5KQ9T2AKCaFJUjeGEarc/edit#gid=1261585990")</f>
        <v>https://docs.google.com/spreadsheets/d/1x-d1JiM5DtLIg1gs4JVMTig5KQ9T2AKCaFJUjeGEarc/edit#gid=1261585990</v>
      </c>
      <c r="H1784" s="8" t="s">
        <v>209</v>
      </c>
    </row>
    <row r="1785">
      <c r="D1785" s="15"/>
      <c r="E1785" s="8" t="s">
        <v>178</v>
      </c>
      <c r="F1785" s="31" t="s">
        <v>210</v>
      </c>
      <c r="G1785" s="84" t="str">
        <f>HYPERLINK("https://docs.google.com/spreadsheets/d/1x-d1JiM5DtLIg1gs4JVMTig5KQ9T2AKCaFJUjeGEarc/edit#gid=1421850918", "https://docs.google.com/spreadsheets/d/1x-d1JiM5DtLIg1gs4JVMTig5KQ9T2AKCaFJUjeGEarc/edit#gid=1421850918")</f>
        <v>https://docs.google.com/spreadsheets/d/1x-d1JiM5DtLIg1gs4JVMTig5KQ9T2AKCaFJUjeGEarc/edit#gid=1421850918</v>
      </c>
      <c r="H1785" s="8" t="s">
        <v>210</v>
      </c>
    </row>
    <row r="1786">
      <c r="D1786" s="15"/>
      <c r="E1786" s="8" t="s">
        <v>157</v>
      </c>
      <c r="F1786" s="31" t="s">
        <v>161</v>
      </c>
      <c r="G1786" s="84" t="str">
        <f>HYPERLINK("https://docs.google.com/spreadsheets/d/1x-d1JiM5DtLIg1gs4JVMTig5KQ9T2AKCaFJUjeGEarc/edit#gid=1206027697", "https://docs.google.com/spreadsheets/d/1x-d1JiM5DtLIg1gs4JVMTig5KQ9T2AKCaFJUjeGEarc/edit#gid=1206027697")</f>
        <v>https://docs.google.com/spreadsheets/d/1x-d1JiM5DtLIg1gs4JVMTig5KQ9T2AKCaFJUjeGEarc/edit#gid=1206027697</v>
      </c>
      <c r="H1786" s="8" t="s">
        <v>161</v>
      </c>
    </row>
    <row r="1787">
      <c r="D1787" s="15"/>
      <c r="E1787" s="8" t="s">
        <v>157</v>
      </c>
      <c r="F1787" s="31" t="s">
        <v>158</v>
      </c>
      <c r="G1787" s="84" t="str">
        <f>HYPERLINK("https://docs.google.com/spreadsheets/d/1x-d1JiM5DtLIg1gs4JVMTig5KQ9T2AKCaFJUjeGEarc/edit#gid=1952074841", "https://docs.google.com/spreadsheets/d/1x-d1JiM5DtLIg1gs4JVMTig5KQ9T2AKCaFJUjeGEarc/edit#gid=1952074841")</f>
        <v>https://docs.google.com/spreadsheets/d/1x-d1JiM5DtLIg1gs4JVMTig5KQ9T2AKCaFJUjeGEarc/edit#gid=1952074841</v>
      </c>
      <c r="H1787" s="8" t="s">
        <v>158</v>
      </c>
    </row>
    <row r="1788">
      <c r="D1788" s="15"/>
      <c r="E1788" s="8" t="s">
        <v>157</v>
      </c>
      <c r="F1788" s="31" t="s">
        <v>196</v>
      </c>
      <c r="G1788" s="84" t="str">
        <f>HYPERLINK("https://docs.google.com/spreadsheets/d/1x-d1JiM5DtLIg1gs4JVMTig5KQ9T2AKCaFJUjeGEarc/edit#gid=1198042546", "https://docs.google.com/spreadsheets/d/1x-d1JiM5DtLIg1gs4JVMTig5KQ9T2AKCaFJUjeGEarc/edit#gid=1198042546")</f>
        <v>https://docs.google.com/spreadsheets/d/1x-d1JiM5DtLIg1gs4JVMTig5KQ9T2AKCaFJUjeGEarc/edit#gid=1198042546</v>
      </c>
      <c r="H1788" s="8" t="s">
        <v>196</v>
      </c>
    </row>
    <row r="1789">
      <c r="D1789" s="15"/>
      <c r="E1789" s="8" t="s">
        <v>172</v>
      </c>
      <c r="F1789" s="31" t="s">
        <v>173</v>
      </c>
      <c r="G1789" s="84" t="str">
        <f>HYPERLINK("https://docs.google.com/spreadsheets/d/1x-d1JiM5DtLIg1gs4JVMTig5KQ9T2AKCaFJUjeGEarc/edit#gid=190606609", "https://docs.google.com/spreadsheets/d/1x-d1JiM5DtLIg1gs4JVMTig5KQ9T2AKCaFJUjeGEarc/edit#gid=190606609")</f>
        <v>https://docs.google.com/spreadsheets/d/1x-d1JiM5DtLIg1gs4JVMTig5KQ9T2AKCaFJUjeGEarc/edit#gid=190606609</v>
      </c>
      <c r="H1789" s="8" t="s">
        <v>2054</v>
      </c>
    </row>
    <row r="1790">
      <c r="D1790" s="15"/>
      <c r="E1790" s="8" t="s">
        <v>172</v>
      </c>
      <c r="F1790" s="31" t="s">
        <v>402</v>
      </c>
      <c r="G1790" s="84" t="str">
        <f>HYPERLINK("https://docs.google.com/spreadsheets/d/1x-d1JiM5DtLIg1gs4JVMTig5KQ9T2AKCaFJUjeGEarc/edit#gid=1827528580", "https://docs.google.com/spreadsheets/d/1x-d1JiM5DtLIg1gs4JVMTig5KQ9T2AKCaFJUjeGEarc/edit#gid=1827528580")</f>
        <v>https://docs.google.com/spreadsheets/d/1x-d1JiM5DtLIg1gs4JVMTig5KQ9T2AKCaFJUjeGEarc/edit#gid=1827528580</v>
      </c>
      <c r="H1790" s="8" t="s">
        <v>2055</v>
      </c>
    </row>
    <row r="1791">
      <c r="D1791" s="15"/>
      <c r="E1791" s="8" t="s">
        <v>172</v>
      </c>
      <c r="F1791" s="31" t="s">
        <v>203</v>
      </c>
      <c r="G1791" s="84" t="str">
        <f>HYPERLINK("https://docs.google.com/spreadsheets/d/1x-d1JiM5DtLIg1gs4JVMTig5KQ9T2AKCaFJUjeGEarc/edit#gid=1270839197", "https://docs.google.com/spreadsheets/d/1x-d1JiM5DtLIg1gs4JVMTig5KQ9T2AKCaFJUjeGEarc/edit#gid=1270839197")</f>
        <v>https://docs.google.com/spreadsheets/d/1x-d1JiM5DtLIg1gs4JVMTig5KQ9T2AKCaFJUjeGEarc/edit#gid=1270839197</v>
      </c>
      <c r="H1791" s="8" t="s">
        <v>1999</v>
      </c>
    </row>
    <row r="1792">
      <c r="D1792" s="15"/>
      <c r="E1792" s="8" t="s">
        <v>172</v>
      </c>
      <c r="F1792" s="31" t="s">
        <v>204</v>
      </c>
      <c r="G1792" s="84" t="str">
        <f>HYPERLINK("https://docs.google.com/spreadsheets/d/1x-d1JiM5DtLIg1gs4JVMTig5KQ9T2AKCaFJUjeGEarc/edit#gid=1504186798", "https://docs.google.com/spreadsheets/d/1x-d1JiM5DtLIg1gs4JVMTig5KQ9T2AKCaFJUjeGEarc/edit#gid=1504186798")</f>
        <v>https://docs.google.com/spreadsheets/d/1x-d1JiM5DtLIg1gs4JVMTig5KQ9T2AKCaFJUjeGEarc/edit#gid=1504186798</v>
      </c>
      <c r="H1792" s="8" t="s">
        <v>2000</v>
      </c>
    </row>
    <row r="1793">
      <c r="D1793" s="15"/>
      <c r="E1793" s="8" t="s">
        <v>178</v>
      </c>
      <c r="F1793" s="31" t="s">
        <v>207</v>
      </c>
      <c r="G1793" s="84" t="str">
        <f>HYPERLINK("https://docs.google.com/spreadsheets/d/1x-d1JiM5DtLIg1gs4JVMTig5KQ9T2AKCaFJUjeGEarc/edit#gid=2047818026", "https://docs.google.com/spreadsheets/d/1x-d1JiM5DtLIg1gs4JVMTig5KQ9T2AKCaFJUjeGEarc/edit#gid=2047818026")</f>
        <v>https://docs.google.com/spreadsheets/d/1x-d1JiM5DtLIg1gs4JVMTig5KQ9T2AKCaFJUjeGEarc/edit#gid=2047818026</v>
      </c>
      <c r="H1793" s="8" t="s">
        <v>2001</v>
      </c>
    </row>
    <row r="1794">
      <c r="D1794" s="15"/>
      <c r="E1794" s="8" t="s">
        <v>178</v>
      </c>
      <c r="F1794" s="31" t="s">
        <v>208</v>
      </c>
      <c r="G1794" s="84" t="str">
        <f>HYPERLINK("https://docs.google.com/spreadsheets/d/1x-d1JiM5DtLIg1gs4JVMTig5KQ9T2AKCaFJUjeGEarc/edit#gid=955488247", "https://docs.google.com/spreadsheets/d/1x-d1JiM5DtLIg1gs4JVMTig5KQ9T2AKCaFJUjeGEarc/edit#gid=955488247")</f>
        <v>https://docs.google.com/spreadsheets/d/1x-d1JiM5DtLIg1gs4JVMTig5KQ9T2AKCaFJUjeGEarc/edit#gid=955488247</v>
      </c>
      <c r="H1794" s="8" t="s">
        <v>2002</v>
      </c>
    </row>
    <row r="1795">
      <c r="D1795" s="15"/>
      <c r="E1795" s="8" t="s">
        <v>178</v>
      </c>
      <c r="F1795" s="31" t="s">
        <v>182</v>
      </c>
      <c r="G1795" s="84" t="str">
        <f>HYPERLINK("https://docs.google.com/spreadsheets/d/1x-d1JiM5DtLIg1gs4JVMTig5KQ9T2AKCaFJUjeGEarc/edit#gid=44255", "https://docs.google.com/spreadsheets/d/1x-d1JiM5DtLIg1gs4JVMTig5KQ9T2AKCaFJUjeGEarc/edit#gid=44255")</f>
        <v>https://docs.google.com/spreadsheets/d/1x-d1JiM5DtLIg1gs4JVMTig5KQ9T2AKCaFJUjeGEarc/edit#gid=44255</v>
      </c>
      <c r="H1795" s="8" t="s">
        <v>2003</v>
      </c>
    </row>
    <row r="1796">
      <c r="D1796" s="15"/>
      <c r="E1796" s="8" t="s">
        <v>178</v>
      </c>
      <c r="F1796" s="31" t="s">
        <v>180</v>
      </c>
      <c r="G1796" s="84" t="str">
        <f>HYPERLINK("https://docs.google.com/spreadsheets/d/1x-d1JiM5DtLIg1gs4JVMTig5KQ9T2AKCaFJUjeGEarc/edit#gid=643735767", "https://docs.google.com/spreadsheets/d/1x-d1JiM5DtLIg1gs4JVMTig5KQ9T2AKCaFJUjeGEarc/edit#gid=643735767")</f>
        <v>https://docs.google.com/spreadsheets/d/1x-d1JiM5DtLIg1gs4JVMTig5KQ9T2AKCaFJUjeGEarc/edit#gid=643735767</v>
      </c>
      <c r="H1796" s="8" t="s">
        <v>2009</v>
      </c>
    </row>
    <row r="1797">
      <c r="D1797" s="15"/>
      <c r="E1797" s="8" t="s">
        <v>178</v>
      </c>
      <c r="F1797" s="31" t="s">
        <v>209</v>
      </c>
      <c r="G1797" s="84" t="str">
        <f>HYPERLINK("https://docs.google.com/spreadsheets/d/1x-d1JiM5DtLIg1gs4JVMTig5KQ9T2AKCaFJUjeGEarc/edit#gid=451660085", "https://docs.google.com/spreadsheets/d/1x-d1JiM5DtLIg1gs4JVMTig5KQ9T2AKCaFJUjeGEarc/edit#gid=451660085")</f>
        <v>https://docs.google.com/spreadsheets/d/1x-d1JiM5DtLIg1gs4JVMTig5KQ9T2AKCaFJUjeGEarc/edit#gid=451660085</v>
      </c>
      <c r="H1797" s="8" t="s">
        <v>1986</v>
      </c>
    </row>
    <row r="1798">
      <c r="D1798" s="15"/>
      <c r="E1798" s="8" t="s">
        <v>178</v>
      </c>
      <c r="F1798" s="31" t="s">
        <v>210</v>
      </c>
      <c r="G1798" s="84" t="str">
        <f>HYPERLINK("https://docs.google.com/spreadsheets/d/1x-d1JiM5DtLIg1gs4JVMTig5KQ9T2AKCaFJUjeGEarc/edit#gid=853521049", "https://docs.google.com/spreadsheets/d/1x-d1JiM5DtLIg1gs4JVMTig5KQ9T2AKCaFJUjeGEarc/edit#gid=853521049")</f>
        <v>https://docs.google.com/spreadsheets/d/1x-d1JiM5DtLIg1gs4JVMTig5KQ9T2AKCaFJUjeGEarc/edit#gid=853521049</v>
      </c>
      <c r="H1798" s="8" t="s">
        <v>1987</v>
      </c>
    </row>
    <row r="1799">
      <c r="D1799" s="15"/>
      <c r="E1799" s="8" t="s">
        <v>86</v>
      </c>
      <c r="F1799" s="31" t="s">
        <v>90</v>
      </c>
      <c r="G1799" s="84" t="str">
        <f>HYPERLINK("https://docs.google.com/spreadsheets/d/1x-d1JiM5DtLIg1gs4JVMTig5KQ9T2AKCaFJUjeGEarc/edit#gid=1097879036", "https://docs.google.com/spreadsheets/d/1x-d1JiM5DtLIg1gs4JVMTig5KQ9T2AKCaFJUjeGEarc/edit#gid=1097879036")</f>
        <v>https://docs.google.com/spreadsheets/d/1x-d1JiM5DtLIg1gs4JVMTig5KQ9T2AKCaFJUjeGEarc/edit#gid=1097879036</v>
      </c>
      <c r="H1799" s="8" t="s">
        <v>2022</v>
      </c>
    </row>
    <row r="1800">
      <c r="D1800" s="15"/>
      <c r="E1800" s="8" t="s">
        <v>86</v>
      </c>
      <c r="F1800" s="31" t="s">
        <v>338</v>
      </c>
      <c r="G1800" s="84" t="str">
        <f>HYPERLINK("https://docs.google.com/spreadsheets/d/1x-d1JiM5DtLIg1gs4JVMTig5KQ9T2AKCaFJUjeGEarc/edit#gid=491673509", "https://docs.google.com/spreadsheets/d/1x-d1JiM5DtLIg1gs4JVMTig5KQ9T2AKCaFJUjeGEarc/edit#gid=491673509")</f>
        <v>https://docs.google.com/spreadsheets/d/1x-d1JiM5DtLIg1gs4JVMTig5KQ9T2AKCaFJUjeGEarc/edit#gid=491673509</v>
      </c>
      <c r="H1800" s="8" t="s">
        <v>338</v>
      </c>
    </row>
    <row r="1801">
      <c r="D1801" s="15"/>
      <c r="E1801" s="31" t="s">
        <v>88</v>
      </c>
      <c r="F1801" s="31" t="s">
        <v>95</v>
      </c>
      <c r="G1801" s="84" t="str">
        <f>HYPERLINK("https://docs.google.com/spreadsheets/d/1x-d1JiM5DtLIg1gs4JVMTig5KQ9T2AKCaFJUjeGEarc/edit#gid=630794489", "https://docs.google.com/spreadsheets/d/1x-d1JiM5DtLIg1gs4JVMTig5KQ9T2AKCaFJUjeGEarc/edit#gid=630794489")</f>
        <v>https://docs.google.com/spreadsheets/d/1x-d1JiM5DtLIg1gs4JVMTig5KQ9T2AKCaFJUjeGEarc/edit#gid=630794489</v>
      </c>
      <c r="H1801" s="8" t="s">
        <v>95</v>
      </c>
    </row>
    <row r="1802">
      <c r="D1802" s="15"/>
      <c r="E1802" s="31" t="s">
        <v>88</v>
      </c>
      <c r="F1802" s="31" t="s">
        <v>96</v>
      </c>
      <c r="G1802" s="84" t="str">
        <f>HYPERLINK("https://docs.google.com/spreadsheets/d/1x-d1JiM5DtLIg1gs4JVMTig5KQ9T2AKCaFJUjeGEarc/edit#gid=1481778646", "https://docs.google.com/spreadsheets/d/1x-d1JiM5DtLIg1gs4JVMTig5KQ9T2AKCaFJUjeGEarc/edit#gid=1481778646")</f>
        <v>https://docs.google.com/spreadsheets/d/1x-d1JiM5DtLIg1gs4JVMTig5KQ9T2AKCaFJUjeGEarc/edit#gid=1481778646</v>
      </c>
      <c r="H1802" s="8" t="s">
        <v>96</v>
      </c>
    </row>
    <row r="1803">
      <c r="D1803" s="15"/>
      <c r="E1803" s="32"/>
      <c r="F1803" s="35"/>
      <c r="H1803" s="35"/>
    </row>
    <row r="1804">
      <c r="B1804" s="35" t="s">
        <v>2164</v>
      </c>
      <c r="C1804" s="9" t="s">
        <v>2093</v>
      </c>
      <c r="D1804" s="32" t="s">
        <v>20</v>
      </c>
      <c r="E1804" s="32" t="s">
        <v>89</v>
      </c>
      <c r="F1804" s="35" t="s">
        <v>291</v>
      </c>
    </row>
    <row r="1805">
      <c r="B1805" s="35" t="s">
        <v>2165</v>
      </c>
      <c r="C1805" s="210" t="s">
        <v>2166</v>
      </c>
      <c r="D1805" s="32" t="s">
        <v>20</v>
      </c>
      <c r="E1805" s="31" t="s">
        <v>178</v>
      </c>
      <c r="F1805" s="31" t="s">
        <v>201</v>
      </c>
      <c r="G1805" s="84" t="str">
        <f>HYPERLINK("https://docs.google.com/spreadsheets/d/1Hid0Ei5gG0KLxYgR5-mMhq8TrP5S1JzKWwXX9Hxnmgg/edit#gid=233254498", "https://docs.google.com/spreadsheets/d/1Hid0Ei5gG0KLxYgR5-mMhq8TrP5S1JzKWwXX9Hxnmgg/edit#gid=233254498")</f>
        <v>https://docs.google.com/spreadsheets/d/1Hid0Ei5gG0KLxYgR5-mMhq8TrP5S1JzKWwXX9Hxnmgg/edit#gid=233254498</v>
      </c>
      <c r="H1805" s="31" t="s">
        <v>201</v>
      </c>
    </row>
    <row r="1806">
      <c r="D1806" s="15"/>
      <c r="E1806" s="8" t="s">
        <v>178</v>
      </c>
      <c r="F1806" s="31" t="s">
        <v>202</v>
      </c>
      <c r="G1806" s="84" t="str">
        <f>HYPERLINK("https://docs.google.com/spreadsheets/d/1Hid0Ei5gG0KLxYgR5-mMhq8TrP5S1JzKWwXX9Hxnmgg/edit#gid=2145334146", "https://docs.google.com/spreadsheets/d/1Hid0Ei5gG0KLxYgR5-mMhq8TrP5S1JzKWwXX9Hxnmgg/edit#gid=2145334146")</f>
        <v>https://docs.google.com/spreadsheets/d/1Hid0Ei5gG0KLxYgR5-mMhq8TrP5S1JzKWwXX9Hxnmgg/edit#gid=2145334146</v>
      </c>
      <c r="H1806" s="8" t="s">
        <v>202</v>
      </c>
    </row>
    <row r="1807">
      <c r="D1807" s="15"/>
      <c r="E1807" s="8" t="s">
        <v>178</v>
      </c>
      <c r="F1807" s="31" t="s">
        <v>202</v>
      </c>
      <c r="G1807" s="84" t="str">
        <f>HYPERLINK("https://docs.google.com/spreadsheets/d/1Hid0Ei5gG0KLxYgR5-mMhq8TrP5S1JzKWwXX9Hxnmgg/edit#gid=1070892797", "https://docs.google.com/spreadsheets/d/1Hid0Ei5gG0KLxYgR5-mMhq8TrP5S1JzKWwXX9Hxnmgg/edit#gid=1070892797")</f>
        <v>https://docs.google.com/spreadsheets/d/1Hid0Ei5gG0KLxYgR5-mMhq8TrP5S1JzKWwXX9Hxnmgg/edit#gid=1070892797</v>
      </c>
      <c r="H1807" s="8" t="s">
        <v>2025</v>
      </c>
    </row>
    <row r="1808">
      <c r="D1808" s="15"/>
      <c r="E1808" s="8" t="s">
        <v>21</v>
      </c>
      <c r="F1808" s="31" t="s">
        <v>51</v>
      </c>
      <c r="G1808" s="84" t="str">
        <f>HYPERLINK("https://docs.google.com/spreadsheets/d/1Hid0Ei5gG0KLxYgR5-mMhq8TrP5S1JzKWwXX9Hxnmgg/edit#gid=936364664", "https://docs.google.com/spreadsheets/d/1Hid0Ei5gG0KLxYgR5-mMhq8TrP5S1JzKWwXX9Hxnmgg/edit#gid=936364664")</f>
        <v>https://docs.google.com/spreadsheets/d/1Hid0Ei5gG0KLxYgR5-mMhq8TrP5S1JzKWwXX9Hxnmgg/edit#gid=936364664</v>
      </c>
      <c r="H1808" s="8" t="s">
        <v>51</v>
      </c>
    </row>
    <row r="1809">
      <c r="D1809" s="15"/>
      <c r="E1809" s="8" t="s">
        <v>172</v>
      </c>
      <c r="F1809" s="31" t="s">
        <v>173</v>
      </c>
      <c r="G1809" s="84" t="str">
        <f>HYPERLINK("https://docs.google.com/spreadsheets/d/1Hid0Ei5gG0KLxYgR5-mMhq8TrP5S1JzKWwXX9Hxnmgg/edit#gid=603042020", "https://docs.google.com/spreadsheets/d/1Hid0Ei5gG0KLxYgR5-mMhq8TrP5S1JzKWwXX9Hxnmgg/edit#gid=603042020")</f>
        <v>https://docs.google.com/spreadsheets/d/1Hid0Ei5gG0KLxYgR5-mMhq8TrP5S1JzKWwXX9Hxnmgg/edit#gid=603042020</v>
      </c>
      <c r="H1809" s="8" t="s">
        <v>173</v>
      </c>
    </row>
    <row r="1810">
      <c r="D1810" s="15"/>
      <c r="E1810" s="8" t="s">
        <v>172</v>
      </c>
      <c r="F1810" s="31" t="s">
        <v>402</v>
      </c>
      <c r="G1810" s="84" t="str">
        <f>HYPERLINK("https://docs.google.com/spreadsheets/d/1Hid0Ei5gG0KLxYgR5-mMhq8TrP5S1JzKWwXX9Hxnmgg/edit#gid=1588351719", "https://docs.google.com/spreadsheets/d/1Hid0Ei5gG0KLxYgR5-mMhq8TrP5S1JzKWwXX9Hxnmgg/edit#gid=1588351719")</f>
        <v>https://docs.google.com/spreadsheets/d/1Hid0Ei5gG0KLxYgR5-mMhq8TrP5S1JzKWwXX9Hxnmgg/edit#gid=1588351719</v>
      </c>
      <c r="H1810" s="8" t="s">
        <v>402</v>
      </c>
    </row>
    <row r="1811">
      <c r="D1811" s="15"/>
      <c r="E1811" s="8" t="s">
        <v>172</v>
      </c>
      <c r="F1811" s="31" t="s">
        <v>203</v>
      </c>
      <c r="G1811" s="84" t="str">
        <f>HYPERLINK("https://docs.google.com/spreadsheets/d/1Hid0Ei5gG0KLxYgR5-mMhq8TrP5S1JzKWwXX9Hxnmgg/edit#gid=1724642763", "https://docs.google.com/spreadsheets/d/1Hid0Ei5gG0KLxYgR5-mMhq8TrP5S1JzKWwXX9Hxnmgg/edit#gid=1724642763")</f>
        <v>https://docs.google.com/spreadsheets/d/1Hid0Ei5gG0KLxYgR5-mMhq8TrP5S1JzKWwXX9Hxnmgg/edit#gid=1724642763</v>
      </c>
      <c r="H1811" s="8" t="s">
        <v>203</v>
      </c>
    </row>
    <row r="1812">
      <c r="D1812" s="15"/>
      <c r="E1812" s="8" t="s">
        <v>172</v>
      </c>
      <c r="F1812" s="31" t="s">
        <v>204</v>
      </c>
      <c r="G1812" s="84" t="str">
        <f>HYPERLINK("https://docs.google.com/spreadsheets/d/1Hid0Ei5gG0KLxYgR5-mMhq8TrP5S1JzKWwXX9Hxnmgg/edit#gid=784861328", "https://docs.google.com/spreadsheets/d/1Hid0Ei5gG0KLxYgR5-mMhq8TrP5S1JzKWwXX9Hxnmgg/edit#gid=784861328")</f>
        <v>https://docs.google.com/spreadsheets/d/1Hid0Ei5gG0KLxYgR5-mMhq8TrP5S1JzKWwXX9Hxnmgg/edit#gid=784861328</v>
      </c>
      <c r="H1812" s="8" t="s">
        <v>204</v>
      </c>
    </row>
    <row r="1813">
      <c r="D1813" s="15"/>
      <c r="E1813" s="8" t="s">
        <v>178</v>
      </c>
      <c r="F1813" s="31" t="s">
        <v>205</v>
      </c>
      <c r="G1813" s="84" t="str">
        <f>HYPERLINK("https://docs.google.com/spreadsheets/d/1Hid0Ei5gG0KLxYgR5-mMhq8TrP5S1JzKWwXX9Hxnmgg/edit#gid=376226190", "https://docs.google.com/spreadsheets/d/1Hid0Ei5gG0KLxYgR5-mMhq8TrP5S1JzKWwXX9Hxnmgg/edit#gid=376226190")</f>
        <v>https://docs.google.com/spreadsheets/d/1Hid0Ei5gG0KLxYgR5-mMhq8TrP5S1JzKWwXX9Hxnmgg/edit#gid=376226190</v>
      </c>
      <c r="H1813" s="8" t="s">
        <v>205</v>
      </c>
    </row>
    <row r="1814">
      <c r="D1814" s="15"/>
      <c r="E1814" s="8" t="s">
        <v>178</v>
      </c>
      <c r="F1814" s="31" t="s">
        <v>206</v>
      </c>
      <c r="H1814" s="31"/>
    </row>
    <row r="1815">
      <c r="D1815" s="15"/>
      <c r="E1815" s="8" t="s">
        <v>178</v>
      </c>
      <c r="F1815" s="31" t="s">
        <v>207</v>
      </c>
      <c r="G1815" s="84" t="str">
        <f>HYPERLINK("https://docs.google.com/spreadsheets/d/1Hid0Ei5gG0KLxYgR5-mMhq8TrP5S1JzKWwXX9Hxnmgg/edit#gid=617503563", "https://docs.google.com/spreadsheets/d/1Hid0Ei5gG0KLxYgR5-mMhq8TrP5S1JzKWwXX9Hxnmgg/edit#gid=617503563")</f>
        <v>https://docs.google.com/spreadsheets/d/1Hid0Ei5gG0KLxYgR5-mMhq8TrP5S1JzKWwXX9Hxnmgg/edit#gid=617503563</v>
      </c>
      <c r="H1815" s="8" t="s">
        <v>207</v>
      </c>
    </row>
    <row r="1816">
      <c r="D1816" s="15"/>
      <c r="E1816" s="8" t="s">
        <v>21</v>
      </c>
      <c r="F1816" s="31" t="s">
        <v>51</v>
      </c>
      <c r="G1816" s="84" t="str">
        <f>HYPERLINK("https://docs.google.com/spreadsheets/d/1Hid0Ei5gG0KLxYgR5-mMhq8TrP5S1JzKWwXX9Hxnmgg/edit#gid=1923996457", "https://docs.google.com/spreadsheets/d/1Hid0Ei5gG0KLxYgR5-mMhq8TrP5S1JzKWwXX9Hxnmgg/edit#gid=1923996457")</f>
        <v>https://docs.google.com/spreadsheets/d/1Hid0Ei5gG0KLxYgR5-mMhq8TrP5S1JzKWwXX9Hxnmgg/edit#gid=1923996457</v>
      </c>
      <c r="H1816" s="8" t="s">
        <v>1383</v>
      </c>
    </row>
    <row r="1817">
      <c r="D1817" s="15"/>
      <c r="E1817" s="8" t="s">
        <v>86</v>
      </c>
      <c r="F1817" s="31" t="s">
        <v>90</v>
      </c>
      <c r="G1817" s="84" t="str">
        <f>HYPERLINK("https://docs.google.com/spreadsheets/d/1Hid0Ei5gG0KLxYgR5-mMhq8TrP5S1JzKWwXX9Hxnmgg/edit#gid=1139822535", "https://docs.google.com/spreadsheets/d/1Hid0Ei5gG0KLxYgR5-mMhq8TrP5S1JzKWwXX9Hxnmgg/edit#gid=1139822535")</f>
        <v>https://docs.google.com/spreadsheets/d/1Hid0Ei5gG0KLxYgR5-mMhq8TrP5S1JzKWwXX9Hxnmgg/edit#gid=1139822535</v>
      </c>
      <c r="H1817" s="8" t="s">
        <v>90</v>
      </c>
    </row>
    <row r="1818">
      <c r="D1818" s="15"/>
      <c r="E1818" s="8" t="s">
        <v>86</v>
      </c>
      <c r="F1818" s="31" t="s">
        <v>339</v>
      </c>
      <c r="G1818" s="84" t="str">
        <f>HYPERLINK("https://docs.google.com/spreadsheets/d/1Hid0Ei5gG0KLxYgR5-mMhq8TrP5S1JzKWwXX9Hxnmgg/edit#gid=1961388406", "https://docs.google.com/spreadsheets/d/1Hid0Ei5gG0KLxYgR5-mMhq8TrP5S1JzKWwXX9Hxnmgg/edit#gid=1961388406")</f>
        <v>https://docs.google.com/spreadsheets/d/1Hid0Ei5gG0KLxYgR5-mMhq8TrP5S1JzKWwXX9Hxnmgg/edit#gid=1961388406</v>
      </c>
      <c r="H1818" s="8" t="s">
        <v>339</v>
      </c>
    </row>
    <row r="1819">
      <c r="D1819" s="15"/>
      <c r="E1819" s="8" t="s">
        <v>172</v>
      </c>
      <c r="F1819" s="31" t="s">
        <v>173</v>
      </c>
      <c r="G1819" s="84" t="str">
        <f>HYPERLINK("https://docs.google.com/spreadsheets/d/1Hid0Ei5gG0KLxYgR5-mMhq8TrP5S1JzKWwXX9Hxnmgg/edit#gid=524990263", "https://docs.google.com/spreadsheets/d/1Hid0Ei5gG0KLxYgR5-mMhq8TrP5S1JzKWwXX9Hxnmgg/edit#gid=524990263")</f>
        <v>https://docs.google.com/spreadsheets/d/1Hid0Ei5gG0KLxYgR5-mMhq8TrP5S1JzKWwXX9Hxnmgg/edit#gid=524990263</v>
      </c>
      <c r="H1819" s="8" t="s">
        <v>269</v>
      </c>
    </row>
    <row r="1820">
      <c r="D1820" s="15"/>
      <c r="E1820" s="8" t="s">
        <v>172</v>
      </c>
      <c r="F1820" s="31" t="s">
        <v>402</v>
      </c>
      <c r="G1820" s="84" t="str">
        <f>HYPERLINK("https://docs.google.com/spreadsheets/d/1Hid0Ei5gG0KLxYgR5-mMhq8TrP5S1JzKWwXX9Hxnmgg/edit#gid=393331789", "https://docs.google.com/spreadsheets/d/1Hid0Ei5gG0KLxYgR5-mMhq8TrP5S1JzKWwXX9Hxnmgg/edit#gid=393331789")</f>
        <v>https://docs.google.com/spreadsheets/d/1Hid0Ei5gG0KLxYgR5-mMhq8TrP5S1JzKWwXX9Hxnmgg/edit#gid=393331789</v>
      </c>
      <c r="H1820" s="8" t="s">
        <v>2053</v>
      </c>
    </row>
    <row r="1821">
      <c r="D1821" s="15"/>
      <c r="E1821" s="8" t="s">
        <v>172</v>
      </c>
      <c r="F1821" s="31" t="s">
        <v>203</v>
      </c>
      <c r="G1821" s="84" t="str">
        <f>HYPERLINK("https://docs.google.com/spreadsheets/d/1Hid0Ei5gG0KLxYgR5-mMhq8TrP5S1JzKWwXX9Hxnmgg/edit#gid=1373118065", "https://docs.google.com/spreadsheets/d/1Hid0Ei5gG0KLxYgR5-mMhq8TrP5S1JzKWwXX9Hxnmgg/edit#gid=1373118065")</f>
        <v>https://docs.google.com/spreadsheets/d/1Hid0Ei5gG0KLxYgR5-mMhq8TrP5S1JzKWwXX9Hxnmgg/edit#gid=1373118065</v>
      </c>
      <c r="H1821" s="8" t="s">
        <v>1995</v>
      </c>
    </row>
    <row r="1822">
      <c r="D1822" s="15"/>
      <c r="E1822" s="8" t="s">
        <v>172</v>
      </c>
      <c r="F1822" s="31" t="s">
        <v>204</v>
      </c>
      <c r="G1822" s="84" t="str">
        <f>HYPERLINK("https://docs.google.com/spreadsheets/d/1Hid0Ei5gG0KLxYgR5-mMhq8TrP5S1JzKWwXX9Hxnmgg/edit#gid=1537642604", "https://docs.google.com/spreadsheets/d/1Hid0Ei5gG0KLxYgR5-mMhq8TrP5S1JzKWwXX9Hxnmgg/edit#gid=1537642604")</f>
        <v>https://docs.google.com/spreadsheets/d/1Hid0Ei5gG0KLxYgR5-mMhq8TrP5S1JzKWwXX9Hxnmgg/edit#gid=1537642604</v>
      </c>
      <c r="H1822" s="8" t="s">
        <v>1996</v>
      </c>
    </row>
    <row r="1823">
      <c r="D1823" s="15"/>
      <c r="E1823" s="8" t="s">
        <v>178</v>
      </c>
      <c r="F1823" s="31" t="s">
        <v>205</v>
      </c>
      <c r="G1823" s="84" t="str">
        <f>HYPERLINK("https://docs.google.com/spreadsheets/d/1Hid0Ei5gG0KLxYgR5-mMhq8TrP5S1JzKWwXX9Hxnmgg/edit#gid=1111758404", "https://docs.google.com/spreadsheets/d/1Hid0Ei5gG0KLxYgR5-mMhq8TrP5S1JzKWwXX9Hxnmgg/edit#gid=1111758404")</f>
        <v>https://docs.google.com/spreadsheets/d/1Hid0Ei5gG0KLxYgR5-mMhq8TrP5S1JzKWwXX9Hxnmgg/edit#gid=1111758404</v>
      </c>
      <c r="H1823" s="8" t="s">
        <v>1997</v>
      </c>
    </row>
    <row r="1824">
      <c r="D1824" s="15"/>
      <c r="E1824" s="8" t="s">
        <v>178</v>
      </c>
      <c r="F1824" s="31" t="s">
        <v>206</v>
      </c>
      <c r="H1824" s="31"/>
    </row>
    <row r="1825">
      <c r="D1825" s="15"/>
      <c r="E1825" s="8" t="s">
        <v>178</v>
      </c>
      <c r="F1825" s="31" t="s">
        <v>207</v>
      </c>
      <c r="G1825" s="84" t="str">
        <f>HYPERLINK("https://docs.google.com/spreadsheets/d/1Hid0Ei5gG0KLxYgR5-mMhq8TrP5S1JzKWwXX9Hxnmgg/edit#gid=1808890270", "https://docs.google.com/spreadsheets/d/1Hid0Ei5gG0KLxYgR5-mMhq8TrP5S1JzKWwXX9Hxnmgg/edit#gid=1808890270")</f>
        <v>https://docs.google.com/spreadsheets/d/1Hid0Ei5gG0KLxYgR5-mMhq8TrP5S1JzKWwXX9Hxnmgg/edit#gid=1808890270</v>
      </c>
      <c r="H1825" s="8" t="s">
        <v>1998</v>
      </c>
    </row>
    <row r="1826">
      <c r="D1826" s="15"/>
      <c r="E1826" s="8" t="s">
        <v>178</v>
      </c>
      <c r="F1826" s="31" t="s">
        <v>208</v>
      </c>
      <c r="G1826" s="84" t="str">
        <f>HYPERLINK("https://docs.google.com/spreadsheets/d/1Hid0Ei5gG0KLxYgR5-mMhq8TrP5S1JzKWwXX9Hxnmgg/edit#gid=1859734255", "https://docs.google.com/spreadsheets/d/1Hid0Ei5gG0KLxYgR5-mMhq8TrP5S1JzKWwXX9Hxnmgg/edit#gid=1859734255")</f>
        <v>https://docs.google.com/spreadsheets/d/1Hid0Ei5gG0KLxYgR5-mMhq8TrP5S1JzKWwXX9Hxnmgg/edit#gid=1859734255</v>
      </c>
      <c r="H1826" s="8" t="s">
        <v>208</v>
      </c>
    </row>
    <row r="1827">
      <c r="D1827" s="15"/>
      <c r="E1827" s="8" t="s">
        <v>178</v>
      </c>
      <c r="F1827" s="31" t="s">
        <v>182</v>
      </c>
      <c r="G1827" s="84" t="str">
        <f>HYPERLINK("https://docs.google.com/spreadsheets/d/1Hid0Ei5gG0KLxYgR5-mMhq8TrP5S1JzKWwXX9Hxnmgg/edit#gid=1448993475", "https://docs.google.com/spreadsheets/d/1Hid0Ei5gG0KLxYgR5-mMhq8TrP5S1JzKWwXX9Hxnmgg/edit#gid=1448993475")</f>
        <v>https://docs.google.com/spreadsheets/d/1Hid0Ei5gG0KLxYgR5-mMhq8TrP5S1JzKWwXX9Hxnmgg/edit#gid=1448993475</v>
      </c>
      <c r="H1827" s="8" t="s">
        <v>182</v>
      </c>
    </row>
    <row r="1828">
      <c r="D1828" s="15"/>
      <c r="E1828" s="8" t="s">
        <v>178</v>
      </c>
      <c r="F1828" s="31" t="s">
        <v>180</v>
      </c>
      <c r="G1828" s="84" t="str">
        <f>HYPERLINK("https://docs.google.com/spreadsheets/d/1Hid0Ei5gG0KLxYgR5-mMhq8TrP5S1JzKWwXX9Hxnmgg/edit#gid=1067339583", "https://docs.google.com/spreadsheets/d/1Hid0Ei5gG0KLxYgR5-mMhq8TrP5S1JzKWwXX9Hxnmgg/edit#gid=1067339583")</f>
        <v>https://docs.google.com/spreadsheets/d/1Hid0Ei5gG0KLxYgR5-mMhq8TrP5S1JzKWwXX9Hxnmgg/edit#gid=1067339583</v>
      </c>
      <c r="H1828" s="8" t="s">
        <v>180</v>
      </c>
    </row>
    <row r="1829">
      <c r="D1829" s="15"/>
      <c r="E1829" s="8" t="s">
        <v>178</v>
      </c>
      <c r="F1829" s="31" t="s">
        <v>209</v>
      </c>
      <c r="G1829" s="84" t="str">
        <f>HYPERLINK("https://docs.google.com/spreadsheets/d/1Hid0Ei5gG0KLxYgR5-mMhq8TrP5S1JzKWwXX9Hxnmgg/edit#gid=1354714481", "https://docs.google.com/spreadsheets/d/1Hid0Ei5gG0KLxYgR5-mMhq8TrP5S1JzKWwXX9Hxnmgg/edit#gid=1354714481")</f>
        <v>https://docs.google.com/spreadsheets/d/1Hid0Ei5gG0KLxYgR5-mMhq8TrP5S1JzKWwXX9Hxnmgg/edit#gid=1354714481</v>
      </c>
      <c r="H1829" s="8" t="s">
        <v>209</v>
      </c>
    </row>
    <row r="1830">
      <c r="D1830" s="15"/>
      <c r="E1830" s="8" t="s">
        <v>178</v>
      </c>
      <c r="F1830" s="31" t="s">
        <v>210</v>
      </c>
      <c r="G1830" s="84" t="str">
        <f>HYPERLINK("https://docs.google.com/spreadsheets/d/1Hid0Ei5gG0KLxYgR5-mMhq8TrP5S1JzKWwXX9Hxnmgg/edit#gid=1555700784", "https://docs.google.com/spreadsheets/d/1Hid0Ei5gG0KLxYgR5-mMhq8TrP5S1JzKWwXX9Hxnmgg/edit#gid=1555700784")</f>
        <v>https://docs.google.com/spreadsheets/d/1Hid0Ei5gG0KLxYgR5-mMhq8TrP5S1JzKWwXX9Hxnmgg/edit#gid=1555700784</v>
      </c>
      <c r="H1830" s="8" t="s">
        <v>210</v>
      </c>
    </row>
    <row r="1831">
      <c r="D1831" s="15"/>
      <c r="E1831" s="8" t="s">
        <v>157</v>
      </c>
      <c r="F1831" s="31" t="s">
        <v>161</v>
      </c>
      <c r="G1831" s="84" t="str">
        <f>HYPERLINK("https://docs.google.com/spreadsheets/d/1Hid0Ei5gG0KLxYgR5-mMhq8TrP5S1JzKWwXX9Hxnmgg/edit#gid=343990911", "https://docs.google.com/spreadsheets/d/1Hid0Ei5gG0KLxYgR5-mMhq8TrP5S1JzKWwXX9Hxnmgg/edit#gid=343990911")</f>
        <v>https://docs.google.com/spreadsheets/d/1Hid0Ei5gG0KLxYgR5-mMhq8TrP5S1JzKWwXX9Hxnmgg/edit#gid=343990911</v>
      </c>
      <c r="H1831" s="8" t="s">
        <v>161</v>
      </c>
    </row>
    <row r="1832">
      <c r="D1832" s="15"/>
      <c r="E1832" s="8" t="s">
        <v>157</v>
      </c>
      <c r="F1832" s="31" t="s">
        <v>158</v>
      </c>
      <c r="G1832" s="84" t="str">
        <f>HYPERLINK("https://docs.google.com/spreadsheets/d/1Hid0Ei5gG0KLxYgR5-mMhq8TrP5S1JzKWwXX9Hxnmgg/edit#gid=119776679", "https://docs.google.com/spreadsheets/d/1Hid0Ei5gG0KLxYgR5-mMhq8TrP5S1JzKWwXX9Hxnmgg/edit#gid=119776679")</f>
        <v>https://docs.google.com/spreadsheets/d/1Hid0Ei5gG0KLxYgR5-mMhq8TrP5S1JzKWwXX9Hxnmgg/edit#gid=119776679</v>
      </c>
      <c r="H1832" s="8" t="s">
        <v>158</v>
      </c>
    </row>
    <row r="1833">
      <c r="D1833" s="15"/>
      <c r="E1833" s="8" t="s">
        <v>157</v>
      </c>
      <c r="F1833" s="31" t="s">
        <v>196</v>
      </c>
      <c r="G1833" s="84" t="str">
        <f>HYPERLINK("https://docs.google.com/spreadsheets/d/1Hid0Ei5gG0KLxYgR5-mMhq8TrP5S1JzKWwXX9Hxnmgg/edit#gid=1340758725", "https://docs.google.com/spreadsheets/d/1Hid0Ei5gG0KLxYgR5-mMhq8TrP5S1JzKWwXX9Hxnmgg/edit#gid=1340758725")</f>
        <v>https://docs.google.com/spreadsheets/d/1Hid0Ei5gG0KLxYgR5-mMhq8TrP5S1JzKWwXX9Hxnmgg/edit#gid=1340758725</v>
      </c>
      <c r="H1833" s="8" t="s">
        <v>196</v>
      </c>
    </row>
    <row r="1834">
      <c r="D1834" s="15"/>
      <c r="E1834" s="8" t="s">
        <v>172</v>
      </c>
      <c r="F1834" s="31" t="s">
        <v>173</v>
      </c>
      <c r="G1834" s="84" t="str">
        <f>HYPERLINK("https://docs.google.com/spreadsheets/d/1Hid0Ei5gG0KLxYgR5-mMhq8TrP5S1JzKWwXX9Hxnmgg/edit#gid=571406933", "https://docs.google.com/spreadsheets/d/1Hid0Ei5gG0KLxYgR5-mMhq8TrP5S1JzKWwXX9Hxnmgg/edit#gid=571406933")</f>
        <v>https://docs.google.com/spreadsheets/d/1Hid0Ei5gG0KLxYgR5-mMhq8TrP5S1JzKWwXX9Hxnmgg/edit#gid=571406933</v>
      </c>
      <c r="H1834" s="8" t="s">
        <v>2054</v>
      </c>
    </row>
    <row r="1835">
      <c r="D1835" s="15"/>
      <c r="E1835" s="8" t="s">
        <v>172</v>
      </c>
      <c r="F1835" s="31" t="s">
        <v>402</v>
      </c>
      <c r="G1835" s="84" t="str">
        <f>HYPERLINK("https://docs.google.com/spreadsheets/d/1Hid0Ei5gG0KLxYgR5-mMhq8TrP5S1JzKWwXX9Hxnmgg/edit#gid=1114376347", "https://docs.google.com/spreadsheets/d/1Hid0Ei5gG0KLxYgR5-mMhq8TrP5S1JzKWwXX9Hxnmgg/edit#gid=1114376347")</f>
        <v>https://docs.google.com/spreadsheets/d/1Hid0Ei5gG0KLxYgR5-mMhq8TrP5S1JzKWwXX9Hxnmgg/edit#gid=1114376347</v>
      </c>
      <c r="H1835" s="8" t="s">
        <v>2055</v>
      </c>
    </row>
    <row r="1836">
      <c r="D1836" s="15"/>
      <c r="E1836" s="8" t="s">
        <v>172</v>
      </c>
      <c r="F1836" s="31" t="s">
        <v>203</v>
      </c>
      <c r="G1836" s="84" t="str">
        <f>HYPERLINK("https://docs.google.com/spreadsheets/d/1Hid0Ei5gG0KLxYgR5-mMhq8TrP5S1JzKWwXX9Hxnmgg/edit#gid=1767096136", "https://docs.google.com/spreadsheets/d/1Hid0Ei5gG0KLxYgR5-mMhq8TrP5S1JzKWwXX9Hxnmgg/edit#gid=1767096136")</f>
        <v>https://docs.google.com/spreadsheets/d/1Hid0Ei5gG0KLxYgR5-mMhq8TrP5S1JzKWwXX9Hxnmgg/edit#gid=1767096136</v>
      </c>
      <c r="H1836" s="8" t="s">
        <v>1999</v>
      </c>
    </row>
    <row r="1837">
      <c r="D1837" s="15"/>
      <c r="E1837" s="8" t="s">
        <v>172</v>
      </c>
      <c r="F1837" s="31" t="s">
        <v>204</v>
      </c>
      <c r="G1837" s="84" t="str">
        <f>HYPERLINK("https://docs.google.com/spreadsheets/d/1Hid0Ei5gG0KLxYgR5-mMhq8TrP5S1JzKWwXX9Hxnmgg/edit#gid=1247824004", "https://docs.google.com/spreadsheets/d/1Hid0Ei5gG0KLxYgR5-mMhq8TrP5S1JzKWwXX9Hxnmgg/edit#gid=1247824004")</f>
        <v>https://docs.google.com/spreadsheets/d/1Hid0Ei5gG0KLxYgR5-mMhq8TrP5S1JzKWwXX9Hxnmgg/edit#gid=1247824004</v>
      </c>
      <c r="H1837" s="8" t="s">
        <v>2000</v>
      </c>
    </row>
    <row r="1838">
      <c r="D1838" s="15"/>
      <c r="E1838" s="8" t="s">
        <v>178</v>
      </c>
      <c r="F1838" s="31" t="s">
        <v>207</v>
      </c>
      <c r="G1838" s="84" t="str">
        <f>HYPERLINK("https://docs.google.com/spreadsheets/d/1Hid0Ei5gG0KLxYgR5-mMhq8TrP5S1JzKWwXX9Hxnmgg/edit#gid=1357170539", "https://docs.google.com/spreadsheets/d/1Hid0Ei5gG0KLxYgR5-mMhq8TrP5S1JzKWwXX9Hxnmgg/edit#gid=1357170539")</f>
        <v>https://docs.google.com/spreadsheets/d/1Hid0Ei5gG0KLxYgR5-mMhq8TrP5S1JzKWwXX9Hxnmgg/edit#gid=1357170539</v>
      </c>
      <c r="H1838" s="8" t="s">
        <v>2001</v>
      </c>
    </row>
    <row r="1839">
      <c r="D1839" s="15"/>
      <c r="E1839" s="8" t="s">
        <v>178</v>
      </c>
      <c r="F1839" s="31" t="s">
        <v>208</v>
      </c>
      <c r="G1839" s="84" t="str">
        <f>HYPERLINK("https://docs.google.com/spreadsheets/d/1Hid0Ei5gG0KLxYgR5-mMhq8TrP5S1JzKWwXX9Hxnmgg/edit#gid=246633355", "https://docs.google.com/spreadsheets/d/1Hid0Ei5gG0KLxYgR5-mMhq8TrP5S1JzKWwXX9Hxnmgg/edit#gid=246633355")</f>
        <v>https://docs.google.com/spreadsheets/d/1Hid0Ei5gG0KLxYgR5-mMhq8TrP5S1JzKWwXX9Hxnmgg/edit#gid=246633355</v>
      </c>
      <c r="H1839" s="8" t="s">
        <v>2002</v>
      </c>
    </row>
    <row r="1840">
      <c r="D1840" s="15"/>
      <c r="E1840" s="8" t="s">
        <v>178</v>
      </c>
      <c r="F1840" s="31" t="s">
        <v>182</v>
      </c>
      <c r="G1840" s="84" t="str">
        <f>HYPERLINK("https://docs.google.com/spreadsheets/d/1Hid0Ei5gG0KLxYgR5-mMhq8TrP5S1JzKWwXX9Hxnmgg/edit#gid=1834813008", "https://docs.google.com/spreadsheets/d/1Hid0Ei5gG0KLxYgR5-mMhq8TrP5S1JzKWwXX9Hxnmgg/edit#gid=1834813008")</f>
        <v>https://docs.google.com/spreadsheets/d/1Hid0Ei5gG0KLxYgR5-mMhq8TrP5S1JzKWwXX9Hxnmgg/edit#gid=1834813008</v>
      </c>
      <c r="H1840" s="8" t="s">
        <v>2003</v>
      </c>
    </row>
    <row r="1841">
      <c r="D1841" s="15"/>
      <c r="E1841" s="8" t="s">
        <v>178</v>
      </c>
      <c r="F1841" s="31" t="s">
        <v>180</v>
      </c>
      <c r="G1841" s="84" t="str">
        <f>HYPERLINK("https://docs.google.com/spreadsheets/d/1Hid0Ei5gG0KLxYgR5-mMhq8TrP5S1JzKWwXX9Hxnmgg/edit#gid=2106531150", "https://docs.google.com/spreadsheets/d/1Hid0Ei5gG0KLxYgR5-mMhq8TrP5S1JzKWwXX9Hxnmgg/edit#gid=2106531150")</f>
        <v>https://docs.google.com/spreadsheets/d/1Hid0Ei5gG0KLxYgR5-mMhq8TrP5S1JzKWwXX9Hxnmgg/edit#gid=2106531150</v>
      </c>
      <c r="H1841" s="8" t="s">
        <v>2009</v>
      </c>
    </row>
    <row r="1842">
      <c r="D1842" s="15"/>
      <c r="E1842" s="8" t="s">
        <v>178</v>
      </c>
      <c r="F1842" s="31" t="s">
        <v>209</v>
      </c>
      <c r="G1842" s="84" t="str">
        <f>HYPERLINK("https://docs.google.com/spreadsheets/d/1Hid0Ei5gG0KLxYgR5-mMhq8TrP5S1JzKWwXX9Hxnmgg/edit#gid=39509193", "https://docs.google.com/spreadsheets/d/1Hid0Ei5gG0KLxYgR5-mMhq8TrP5S1JzKWwXX9Hxnmgg/edit#gid=39509193")</f>
        <v>https://docs.google.com/spreadsheets/d/1Hid0Ei5gG0KLxYgR5-mMhq8TrP5S1JzKWwXX9Hxnmgg/edit#gid=39509193</v>
      </c>
      <c r="H1842" s="8" t="s">
        <v>1986</v>
      </c>
    </row>
    <row r="1843">
      <c r="D1843" s="15"/>
      <c r="E1843" s="8" t="s">
        <v>178</v>
      </c>
      <c r="F1843" s="31" t="s">
        <v>210</v>
      </c>
      <c r="G1843" s="84" t="str">
        <f>HYPERLINK("https://docs.google.com/spreadsheets/d/1Hid0Ei5gG0KLxYgR5-mMhq8TrP5S1JzKWwXX9Hxnmgg/edit#gid=1153127121", "https://docs.google.com/spreadsheets/d/1Hid0Ei5gG0KLxYgR5-mMhq8TrP5S1JzKWwXX9Hxnmgg/edit#gid=1153127121")</f>
        <v>https://docs.google.com/spreadsheets/d/1Hid0Ei5gG0KLxYgR5-mMhq8TrP5S1JzKWwXX9Hxnmgg/edit#gid=1153127121</v>
      </c>
      <c r="H1843" s="8" t="s">
        <v>1987</v>
      </c>
    </row>
    <row r="1844">
      <c r="D1844" s="15"/>
      <c r="E1844" s="8" t="s">
        <v>86</v>
      </c>
      <c r="F1844" s="31" t="s">
        <v>90</v>
      </c>
      <c r="G1844" s="84" t="str">
        <f>HYPERLINK("https://docs.google.com/spreadsheets/d/1Hid0Ei5gG0KLxYgR5-mMhq8TrP5S1JzKWwXX9Hxnmgg/edit#gid=213505305", "https://docs.google.com/spreadsheets/d/1Hid0Ei5gG0KLxYgR5-mMhq8TrP5S1JzKWwXX9Hxnmgg/edit#gid=213505305")</f>
        <v>https://docs.google.com/spreadsheets/d/1Hid0Ei5gG0KLxYgR5-mMhq8TrP5S1JzKWwXX9Hxnmgg/edit#gid=213505305</v>
      </c>
      <c r="H1844" s="8" t="s">
        <v>2022</v>
      </c>
    </row>
    <row r="1845">
      <c r="D1845" s="15"/>
      <c r="E1845" s="8" t="s">
        <v>86</v>
      </c>
      <c r="F1845" s="8" t="s">
        <v>91</v>
      </c>
      <c r="G1845" s="84" t="str">
        <f>HYPERLINK("https://docs.google.com/spreadsheets/d/1Hid0Ei5gG0KLxYgR5-mMhq8TrP5S1JzKWwXX9Hxnmgg/edit#gid=406507514", "https://docs.google.com/spreadsheets/d/1Hid0Ei5gG0KLxYgR5-mMhq8TrP5S1JzKWwXX9Hxnmgg/edit#gid=406507514")</f>
        <v>https://docs.google.com/spreadsheets/d/1Hid0Ei5gG0KLxYgR5-mMhq8TrP5S1JzKWwXX9Hxnmgg/edit#gid=406507514</v>
      </c>
      <c r="H1845" s="8" t="s">
        <v>91</v>
      </c>
    </row>
    <row r="1846">
      <c r="D1846" s="15"/>
      <c r="E1846" s="31" t="s">
        <v>88</v>
      </c>
      <c r="F1846" s="31" t="s">
        <v>95</v>
      </c>
      <c r="G1846" s="84" t="str">
        <f>HYPERLINK("https://docs.google.com/spreadsheets/d/1Hid0Ei5gG0KLxYgR5-mMhq8TrP5S1JzKWwXX9Hxnmgg/edit#gid=564129467", "https://docs.google.com/spreadsheets/d/1Hid0Ei5gG0KLxYgR5-mMhq8TrP5S1JzKWwXX9Hxnmgg/edit#gid=564129467")</f>
        <v>https://docs.google.com/spreadsheets/d/1Hid0Ei5gG0KLxYgR5-mMhq8TrP5S1JzKWwXX9Hxnmgg/edit#gid=564129467</v>
      </c>
      <c r="H1846" s="8" t="s">
        <v>95</v>
      </c>
    </row>
    <row r="1847">
      <c r="D1847" s="15"/>
      <c r="E1847" s="31" t="s">
        <v>88</v>
      </c>
      <c r="F1847" s="31" t="s">
        <v>96</v>
      </c>
      <c r="G1847" s="84" t="str">
        <f>HYPERLINK("https://docs.google.com/spreadsheets/d/1Hid0Ei5gG0KLxYgR5-mMhq8TrP5S1JzKWwXX9Hxnmgg/edit#gid=1300703159", "https://docs.google.com/spreadsheets/d/1Hid0Ei5gG0KLxYgR5-mMhq8TrP5S1JzKWwXX9Hxnmgg/edit#gid=1300703159")</f>
        <v>https://docs.google.com/spreadsheets/d/1Hid0Ei5gG0KLxYgR5-mMhq8TrP5S1JzKWwXX9Hxnmgg/edit#gid=1300703159</v>
      </c>
      <c r="H1847" s="8" t="s">
        <v>96</v>
      </c>
    </row>
    <row r="1848">
      <c r="D1848" s="15"/>
      <c r="E1848" s="32"/>
      <c r="F1848" s="35"/>
      <c r="H1848" s="35"/>
    </row>
    <row r="1849">
      <c r="B1849" s="35" t="s">
        <v>2167</v>
      </c>
      <c r="C1849" s="9" t="s">
        <v>2093</v>
      </c>
      <c r="D1849" s="32" t="s">
        <v>20</v>
      </c>
      <c r="E1849" s="32" t="s">
        <v>89</v>
      </c>
      <c r="F1849" s="35" t="s">
        <v>291</v>
      </c>
    </row>
    <row r="1850">
      <c r="B1850" s="35" t="s">
        <v>2168</v>
      </c>
      <c r="C1850" s="210" t="s">
        <v>2169</v>
      </c>
      <c r="D1850" s="32" t="s">
        <v>20</v>
      </c>
      <c r="E1850" s="31" t="s">
        <v>178</v>
      </c>
      <c r="F1850" s="31" t="s">
        <v>201</v>
      </c>
      <c r="G1850" s="84" t="str">
        <f>HYPERLINK("https://docs.google.com/spreadsheets/d/1kLVZopV_e-v2RBC_T0ArdZLnHAVHbKdgIijbBETc3ok/edit#gid=1738632273", "https://docs.google.com/spreadsheets/d/1kLVZopV_e-v2RBC_T0ArdZLnHAVHbKdgIijbBETc3ok/edit#gid=1738632273")</f>
        <v>https://docs.google.com/spreadsheets/d/1kLVZopV_e-v2RBC_T0ArdZLnHAVHbKdgIijbBETc3ok/edit#gid=1738632273</v>
      </c>
      <c r="H1850" s="31" t="s">
        <v>201</v>
      </c>
    </row>
    <row r="1851">
      <c r="D1851" s="15"/>
      <c r="E1851" s="8" t="s">
        <v>178</v>
      </c>
      <c r="F1851" s="31" t="s">
        <v>202</v>
      </c>
      <c r="G1851" s="84" t="str">
        <f>HYPERLINK("https://docs.google.com/spreadsheets/d/1kLVZopV_e-v2RBC_T0ArdZLnHAVHbKdgIijbBETc3ok/edit#gid=1667389558", "https://docs.google.com/spreadsheets/d/1kLVZopV_e-v2RBC_T0ArdZLnHAVHbKdgIijbBETc3ok/edit#gid=1667389558")</f>
        <v>https://docs.google.com/spreadsheets/d/1kLVZopV_e-v2RBC_T0ArdZLnHAVHbKdgIijbBETc3ok/edit#gid=1667389558</v>
      </c>
      <c r="H1851" s="8" t="s">
        <v>202</v>
      </c>
    </row>
    <row r="1852">
      <c r="D1852" s="15"/>
      <c r="E1852" s="8" t="s">
        <v>178</v>
      </c>
      <c r="F1852" s="31" t="s">
        <v>202</v>
      </c>
      <c r="G1852" s="84" t="str">
        <f>HYPERLINK("https://docs.google.com/spreadsheets/d/1kLVZopV_e-v2RBC_T0ArdZLnHAVHbKdgIijbBETc3ok/edit#gid=1842319814", "https://docs.google.com/spreadsheets/d/1kLVZopV_e-v2RBC_T0ArdZLnHAVHbKdgIijbBETc3ok/edit#gid=1842319814")</f>
        <v>https://docs.google.com/spreadsheets/d/1kLVZopV_e-v2RBC_T0ArdZLnHAVHbKdgIijbBETc3ok/edit#gid=1842319814</v>
      </c>
      <c r="H1852" s="8" t="s">
        <v>2025</v>
      </c>
    </row>
    <row r="1853">
      <c r="D1853" s="15"/>
      <c r="E1853" s="8" t="s">
        <v>21</v>
      </c>
      <c r="F1853" s="31" t="s">
        <v>51</v>
      </c>
      <c r="G1853" s="84" t="str">
        <f>HYPERLINK("https://docs.google.com/spreadsheets/d/1kLVZopV_e-v2RBC_T0ArdZLnHAVHbKdgIijbBETc3ok/edit#gid=294731183", "https://docs.google.com/spreadsheets/d/1kLVZopV_e-v2RBC_T0ArdZLnHAVHbKdgIijbBETc3ok/edit#gid=294731183")</f>
        <v>https://docs.google.com/spreadsheets/d/1kLVZopV_e-v2RBC_T0ArdZLnHAVHbKdgIijbBETc3ok/edit#gid=294731183</v>
      </c>
      <c r="H1853" s="8" t="s">
        <v>51</v>
      </c>
    </row>
    <row r="1854">
      <c r="D1854" s="15"/>
      <c r="E1854" s="8" t="s">
        <v>172</v>
      </c>
      <c r="F1854" s="31" t="s">
        <v>173</v>
      </c>
      <c r="G1854" s="84" t="str">
        <f>HYPERLINK("https://docs.google.com/spreadsheets/d/1kLVZopV_e-v2RBC_T0ArdZLnHAVHbKdgIijbBETc3ok/edit#gid=2104569149", "https://docs.google.com/spreadsheets/d/1kLVZopV_e-v2RBC_T0ArdZLnHAVHbKdgIijbBETc3ok/edit#gid=2104569149")</f>
        <v>https://docs.google.com/spreadsheets/d/1kLVZopV_e-v2RBC_T0ArdZLnHAVHbKdgIijbBETc3ok/edit#gid=2104569149</v>
      </c>
      <c r="H1854" s="8" t="s">
        <v>173</v>
      </c>
    </row>
    <row r="1855">
      <c r="D1855" s="15"/>
      <c r="E1855" s="8" t="s">
        <v>172</v>
      </c>
      <c r="F1855" s="31" t="s">
        <v>402</v>
      </c>
      <c r="G1855" s="84" t="str">
        <f>HYPERLINK("https://docs.google.com/spreadsheets/d/1kLVZopV_e-v2RBC_T0ArdZLnHAVHbKdgIijbBETc3ok/edit#gid=146055596", "https://docs.google.com/spreadsheets/d/1kLVZopV_e-v2RBC_T0ArdZLnHAVHbKdgIijbBETc3ok/edit#gid=146055596")</f>
        <v>https://docs.google.com/spreadsheets/d/1kLVZopV_e-v2RBC_T0ArdZLnHAVHbKdgIijbBETc3ok/edit#gid=146055596</v>
      </c>
      <c r="H1855" s="8" t="s">
        <v>402</v>
      </c>
    </row>
    <row r="1856">
      <c r="D1856" s="15"/>
      <c r="E1856" s="8" t="s">
        <v>172</v>
      </c>
      <c r="F1856" s="31" t="s">
        <v>203</v>
      </c>
      <c r="G1856" s="84" t="str">
        <f>HYPERLINK("https://docs.google.com/spreadsheets/d/1kLVZopV_e-v2RBC_T0ArdZLnHAVHbKdgIijbBETc3ok/edit#gid=1731108579", "https://docs.google.com/spreadsheets/d/1kLVZopV_e-v2RBC_T0ArdZLnHAVHbKdgIijbBETc3ok/edit#gid=1731108579")</f>
        <v>https://docs.google.com/spreadsheets/d/1kLVZopV_e-v2RBC_T0ArdZLnHAVHbKdgIijbBETc3ok/edit#gid=1731108579</v>
      </c>
      <c r="H1856" s="8" t="s">
        <v>203</v>
      </c>
    </row>
    <row r="1857">
      <c r="D1857" s="15"/>
      <c r="E1857" s="8" t="s">
        <v>172</v>
      </c>
      <c r="F1857" s="31" t="s">
        <v>204</v>
      </c>
      <c r="G1857" s="84" t="str">
        <f>HYPERLINK("https://docs.google.com/spreadsheets/d/1kLVZopV_e-v2RBC_T0ArdZLnHAVHbKdgIijbBETc3ok/edit#gid=1875823332", "https://docs.google.com/spreadsheets/d/1kLVZopV_e-v2RBC_T0ArdZLnHAVHbKdgIijbBETc3ok/edit#gid=1875823332")</f>
        <v>https://docs.google.com/spreadsheets/d/1kLVZopV_e-v2RBC_T0ArdZLnHAVHbKdgIijbBETc3ok/edit#gid=1875823332</v>
      </c>
      <c r="H1857" s="8" t="s">
        <v>204</v>
      </c>
    </row>
    <row r="1858">
      <c r="D1858" s="15"/>
      <c r="E1858" s="8" t="s">
        <v>178</v>
      </c>
      <c r="F1858" s="31" t="s">
        <v>205</v>
      </c>
      <c r="G1858" s="84" t="str">
        <f>HYPERLINK("https://docs.google.com/spreadsheets/d/1kLVZopV_e-v2RBC_T0ArdZLnHAVHbKdgIijbBETc3ok/edit#gid=1743172346", "https://docs.google.com/spreadsheets/d/1kLVZopV_e-v2RBC_T0ArdZLnHAVHbKdgIijbBETc3ok/edit#gid=1743172346")</f>
        <v>https://docs.google.com/spreadsheets/d/1kLVZopV_e-v2RBC_T0ArdZLnHAVHbKdgIijbBETc3ok/edit#gid=1743172346</v>
      </c>
      <c r="H1858" s="8" t="s">
        <v>205</v>
      </c>
    </row>
    <row r="1859">
      <c r="D1859" s="15"/>
      <c r="E1859" s="8" t="s">
        <v>178</v>
      </c>
      <c r="F1859" s="31" t="s">
        <v>206</v>
      </c>
      <c r="H1859" s="31"/>
    </row>
    <row r="1860">
      <c r="D1860" s="15"/>
      <c r="E1860" s="8" t="s">
        <v>178</v>
      </c>
      <c r="F1860" s="31" t="s">
        <v>207</v>
      </c>
      <c r="G1860" s="84" t="str">
        <f>HYPERLINK("https://docs.google.com/spreadsheets/d/1kLVZopV_e-v2RBC_T0ArdZLnHAVHbKdgIijbBETc3ok/edit#gid=140556247", "https://docs.google.com/spreadsheets/d/1kLVZopV_e-v2RBC_T0ArdZLnHAVHbKdgIijbBETc3ok/edit#gid=140556247")</f>
        <v>https://docs.google.com/spreadsheets/d/1kLVZopV_e-v2RBC_T0ArdZLnHAVHbKdgIijbBETc3ok/edit#gid=140556247</v>
      </c>
      <c r="H1860" s="8" t="s">
        <v>207</v>
      </c>
    </row>
    <row r="1861">
      <c r="D1861" s="15"/>
      <c r="E1861" s="8" t="s">
        <v>21</v>
      </c>
      <c r="F1861" s="31" t="s">
        <v>51</v>
      </c>
      <c r="G1861" s="84" t="str">
        <f>HYPERLINK("https://docs.google.com/spreadsheets/d/1kLVZopV_e-v2RBC_T0ArdZLnHAVHbKdgIijbBETc3ok/edit#gid=1634805182", "https://docs.google.com/spreadsheets/d/1kLVZopV_e-v2RBC_T0ArdZLnHAVHbKdgIijbBETc3ok/edit#gid=1634805182")</f>
        <v>https://docs.google.com/spreadsheets/d/1kLVZopV_e-v2RBC_T0ArdZLnHAVHbKdgIijbBETc3ok/edit#gid=1634805182</v>
      </c>
      <c r="H1861" s="8" t="s">
        <v>1383</v>
      </c>
    </row>
    <row r="1862">
      <c r="D1862" s="15"/>
      <c r="E1862" s="8" t="s">
        <v>86</v>
      </c>
      <c r="F1862" s="31" t="s">
        <v>90</v>
      </c>
      <c r="G1862" s="84" t="str">
        <f>HYPERLINK("https://docs.google.com/spreadsheets/d/1kLVZopV_e-v2RBC_T0ArdZLnHAVHbKdgIijbBETc3ok/edit#gid=1055123549", "https://docs.google.com/spreadsheets/d/1kLVZopV_e-v2RBC_T0ArdZLnHAVHbKdgIijbBETc3ok/edit#gid=1055123549")</f>
        <v>https://docs.google.com/spreadsheets/d/1kLVZopV_e-v2RBC_T0ArdZLnHAVHbKdgIijbBETc3ok/edit#gid=1055123549</v>
      </c>
      <c r="H1862" s="8" t="s">
        <v>90</v>
      </c>
    </row>
    <row r="1863">
      <c r="D1863" s="15"/>
      <c r="E1863" s="8" t="s">
        <v>86</v>
      </c>
      <c r="F1863" s="31" t="s">
        <v>339</v>
      </c>
      <c r="G1863" s="84" t="str">
        <f>HYPERLINK("https://docs.google.com/spreadsheets/d/1kLVZopV_e-v2RBC_T0ArdZLnHAVHbKdgIijbBETc3ok/edit#gid=282333950", "https://docs.google.com/spreadsheets/d/1kLVZopV_e-v2RBC_T0ArdZLnHAVHbKdgIijbBETc3ok/edit#gid=282333950")</f>
        <v>https://docs.google.com/spreadsheets/d/1kLVZopV_e-v2RBC_T0ArdZLnHAVHbKdgIijbBETc3ok/edit#gid=282333950</v>
      </c>
      <c r="H1863" s="8" t="s">
        <v>339</v>
      </c>
    </row>
    <row r="1864">
      <c r="D1864" s="15"/>
      <c r="E1864" s="8" t="s">
        <v>172</v>
      </c>
      <c r="F1864" s="31" t="s">
        <v>173</v>
      </c>
      <c r="G1864" s="84" t="str">
        <f>HYPERLINK("https://docs.google.com/spreadsheets/d/1kLVZopV_e-v2RBC_T0ArdZLnHAVHbKdgIijbBETc3ok/edit#gid=819316141", "https://docs.google.com/spreadsheets/d/1kLVZopV_e-v2RBC_T0ArdZLnHAVHbKdgIijbBETc3ok/edit#gid=819316141")</f>
        <v>https://docs.google.com/spreadsheets/d/1kLVZopV_e-v2RBC_T0ArdZLnHAVHbKdgIijbBETc3ok/edit#gid=819316141</v>
      </c>
      <c r="H1864" s="8" t="s">
        <v>269</v>
      </c>
    </row>
    <row r="1865">
      <c r="D1865" s="15"/>
      <c r="E1865" s="8" t="s">
        <v>172</v>
      </c>
      <c r="F1865" s="31" t="s">
        <v>402</v>
      </c>
      <c r="G1865" s="84" t="str">
        <f>HYPERLINK("https://docs.google.com/spreadsheets/d/1kLVZopV_e-v2RBC_T0ArdZLnHAVHbKdgIijbBETc3ok/edit#gid=1006369478", "https://docs.google.com/spreadsheets/d/1kLVZopV_e-v2RBC_T0ArdZLnHAVHbKdgIijbBETc3ok/edit#gid=1006369478")</f>
        <v>https://docs.google.com/spreadsheets/d/1kLVZopV_e-v2RBC_T0ArdZLnHAVHbKdgIijbBETc3ok/edit#gid=1006369478</v>
      </c>
      <c r="H1865" s="8" t="s">
        <v>2053</v>
      </c>
    </row>
    <row r="1866">
      <c r="D1866" s="15"/>
      <c r="E1866" s="8" t="s">
        <v>172</v>
      </c>
      <c r="F1866" s="31" t="s">
        <v>203</v>
      </c>
      <c r="G1866" s="84" t="str">
        <f>HYPERLINK("https://docs.google.com/spreadsheets/d/1kLVZopV_e-v2RBC_T0ArdZLnHAVHbKdgIijbBETc3ok/edit#gid=1373449879", "https://docs.google.com/spreadsheets/d/1kLVZopV_e-v2RBC_T0ArdZLnHAVHbKdgIijbBETc3ok/edit#gid=1373449879")</f>
        <v>https://docs.google.com/spreadsheets/d/1kLVZopV_e-v2RBC_T0ArdZLnHAVHbKdgIijbBETc3ok/edit#gid=1373449879</v>
      </c>
      <c r="H1866" s="8" t="s">
        <v>1995</v>
      </c>
    </row>
    <row r="1867">
      <c r="D1867" s="15"/>
      <c r="E1867" s="8" t="s">
        <v>172</v>
      </c>
      <c r="F1867" s="31" t="s">
        <v>204</v>
      </c>
      <c r="G1867" s="84" t="str">
        <f>HYPERLINK("https://docs.google.com/spreadsheets/d/1kLVZopV_e-v2RBC_T0ArdZLnHAVHbKdgIijbBETc3ok/edit#gid=758156041", "https://docs.google.com/spreadsheets/d/1kLVZopV_e-v2RBC_T0ArdZLnHAVHbKdgIijbBETc3ok/edit#gid=758156041")</f>
        <v>https://docs.google.com/spreadsheets/d/1kLVZopV_e-v2RBC_T0ArdZLnHAVHbKdgIijbBETc3ok/edit#gid=758156041</v>
      </c>
      <c r="H1867" s="8" t="s">
        <v>1996</v>
      </c>
    </row>
    <row r="1868">
      <c r="D1868" s="15"/>
      <c r="E1868" s="8" t="s">
        <v>178</v>
      </c>
      <c r="F1868" s="31" t="s">
        <v>205</v>
      </c>
      <c r="G1868" s="84" t="str">
        <f>HYPERLINK("https://docs.google.com/spreadsheets/d/1kLVZopV_e-v2RBC_T0ArdZLnHAVHbKdgIijbBETc3ok/edit#gid=749113768", "https://docs.google.com/spreadsheets/d/1kLVZopV_e-v2RBC_T0ArdZLnHAVHbKdgIijbBETc3ok/edit#gid=749113768")</f>
        <v>https://docs.google.com/spreadsheets/d/1kLVZopV_e-v2RBC_T0ArdZLnHAVHbKdgIijbBETc3ok/edit#gid=749113768</v>
      </c>
      <c r="H1868" s="8" t="s">
        <v>1997</v>
      </c>
    </row>
    <row r="1869">
      <c r="D1869" s="15"/>
      <c r="E1869" s="8" t="s">
        <v>178</v>
      </c>
      <c r="F1869" s="31" t="s">
        <v>206</v>
      </c>
      <c r="H1869" s="31"/>
    </row>
    <row r="1870">
      <c r="D1870" s="15"/>
      <c r="E1870" s="8" t="s">
        <v>178</v>
      </c>
      <c r="F1870" s="31" t="s">
        <v>207</v>
      </c>
      <c r="G1870" s="84" t="str">
        <f>HYPERLINK("https://docs.google.com/spreadsheets/d/1kLVZopV_e-v2RBC_T0ArdZLnHAVHbKdgIijbBETc3ok/edit#gid=1813748483", "https://docs.google.com/spreadsheets/d/1kLVZopV_e-v2RBC_T0ArdZLnHAVHbKdgIijbBETc3ok/edit#gid=1813748483")</f>
        <v>https://docs.google.com/spreadsheets/d/1kLVZopV_e-v2RBC_T0ArdZLnHAVHbKdgIijbBETc3ok/edit#gid=1813748483</v>
      </c>
      <c r="H1870" s="8" t="s">
        <v>1998</v>
      </c>
    </row>
    <row r="1871">
      <c r="D1871" s="15"/>
      <c r="E1871" s="8" t="s">
        <v>178</v>
      </c>
      <c r="F1871" s="31" t="s">
        <v>208</v>
      </c>
      <c r="G1871" s="84" t="str">
        <f>HYPERLINK("https://docs.google.com/spreadsheets/d/1kLVZopV_e-v2RBC_T0ArdZLnHAVHbKdgIijbBETc3ok/edit#gid=896347391", "https://docs.google.com/spreadsheets/d/1kLVZopV_e-v2RBC_T0ArdZLnHAVHbKdgIijbBETc3ok/edit#gid=896347391")</f>
        <v>https://docs.google.com/spreadsheets/d/1kLVZopV_e-v2RBC_T0ArdZLnHAVHbKdgIijbBETc3ok/edit#gid=896347391</v>
      </c>
      <c r="H1871" s="8" t="s">
        <v>208</v>
      </c>
    </row>
    <row r="1872">
      <c r="D1872" s="15"/>
      <c r="E1872" s="8" t="s">
        <v>178</v>
      </c>
      <c r="F1872" s="31" t="s">
        <v>182</v>
      </c>
      <c r="G1872" s="84" t="str">
        <f>HYPERLINK("https://docs.google.com/spreadsheets/d/1kLVZopV_e-v2RBC_T0ArdZLnHAVHbKdgIijbBETc3ok/edit#gid=194148916", "https://docs.google.com/spreadsheets/d/1kLVZopV_e-v2RBC_T0ArdZLnHAVHbKdgIijbBETc3ok/edit#gid=194148916")</f>
        <v>https://docs.google.com/spreadsheets/d/1kLVZopV_e-v2RBC_T0ArdZLnHAVHbKdgIijbBETc3ok/edit#gid=194148916</v>
      </c>
      <c r="H1872" s="8" t="s">
        <v>182</v>
      </c>
    </row>
    <row r="1873">
      <c r="D1873" s="15"/>
      <c r="E1873" s="8" t="s">
        <v>178</v>
      </c>
      <c r="F1873" s="31" t="s">
        <v>180</v>
      </c>
      <c r="G1873" s="84" t="str">
        <f>HYPERLINK("https://docs.google.com/spreadsheets/d/1kLVZopV_e-v2RBC_T0ArdZLnHAVHbKdgIijbBETc3ok/edit#gid=773545611", "https://docs.google.com/spreadsheets/d/1kLVZopV_e-v2RBC_T0ArdZLnHAVHbKdgIijbBETc3ok/edit#gid=773545611")</f>
        <v>https://docs.google.com/spreadsheets/d/1kLVZopV_e-v2RBC_T0ArdZLnHAVHbKdgIijbBETc3ok/edit#gid=773545611</v>
      </c>
      <c r="H1873" s="8" t="s">
        <v>180</v>
      </c>
    </row>
    <row r="1874">
      <c r="D1874" s="15"/>
      <c r="E1874" s="8" t="s">
        <v>178</v>
      </c>
      <c r="F1874" s="31" t="s">
        <v>209</v>
      </c>
      <c r="G1874" s="84" t="str">
        <f>HYPERLINK("https://docs.google.com/spreadsheets/d/1kLVZopV_e-v2RBC_T0ArdZLnHAVHbKdgIijbBETc3ok/edit#gid=788512119", "https://docs.google.com/spreadsheets/d/1kLVZopV_e-v2RBC_T0ArdZLnHAVHbKdgIijbBETc3ok/edit#gid=788512119")</f>
        <v>https://docs.google.com/spreadsheets/d/1kLVZopV_e-v2RBC_T0ArdZLnHAVHbKdgIijbBETc3ok/edit#gid=788512119</v>
      </c>
      <c r="H1874" s="8" t="s">
        <v>209</v>
      </c>
    </row>
    <row r="1875">
      <c r="D1875" s="15"/>
      <c r="E1875" s="8" t="s">
        <v>178</v>
      </c>
      <c r="F1875" s="31" t="s">
        <v>210</v>
      </c>
      <c r="G1875" s="84" t="str">
        <f>HYPERLINK("https://docs.google.com/spreadsheets/d/1kLVZopV_e-v2RBC_T0ArdZLnHAVHbKdgIijbBETc3ok/edit#gid=648858749", "https://docs.google.com/spreadsheets/d/1kLVZopV_e-v2RBC_T0ArdZLnHAVHbKdgIijbBETc3ok/edit#gid=648858749")</f>
        <v>https://docs.google.com/spreadsheets/d/1kLVZopV_e-v2RBC_T0ArdZLnHAVHbKdgIijbBETc3ok/edit#gid=648858749</v>
      </c>
      <c r="H1875" s="8" t="s">
        <v>210</v>
      </c>
    </row>
    <row r="1876">
      <c r="D1876" s="15"/>
      <c r="E1876" s="8" t="s">
        <v>157</v>
      </c>
      <c r="F1876" s="31" t="s">
        <v>161</v>
      </c>
      <c r="G1876" s="84" t="str">
        <f>HYPERLINK("https://docs.google.com/spreadsheets/d/1kLVZopV_e-v2RBC_T0ArdZLnHAVHbKdgIijbBETc3ok/edit#gid=1508905777", "https://docs.google.com/spreadsheets/d/1kLVZopV_e-v2RBC_T0ArdZLnHAVHbKdgIijbBETc3ok/edit#gid=1508905777")</f>
        <v>https://docs.google.com/spreadsheets/d/1kLVZopV_e-v2RBC_T0ArdZLnHAVHbKdgIijbBETc3ok/edit#gid=1508905777</v>
      </c>
      <c r="H1876" s="8" t="s">
        <v>161</v>
      </c>
    </row>
    <row r="1877">
      <c r="D1877" s="15"/>
      <c r="E1877" s="8" t="s">
        <v>157</v>
      </c>
      <c r="F1877" s="31" t="s">
        <v>158</v>
      </c>
      <c r="G1877" s="84" t="str">
        <f>HYPERLINK("https://docs.google.com/spreadsheets/d/1kLVZopV_e-v2RBC_T0ArdZLnHAVHbKdgIijbBETc3ok/edit#gid=555193083", "https://docs.google.com/spreadsheets/d/1kLVZopV_e-v2RBC_T0ArdZLnHAVHbKdgIijbBETc3ok/edit#gid=555193083")</f>
        <v>https://docs.google.com/spreadsheets/d/1kLVZopV_e-v2RBC_T0ArdZLnHAVHbKdgIijbBETc3ok/edit#gid=555193083</v>
      </c>
      <c r="H1877" s="8" t="s">
        <v>158</v>
      </c>
    </row>
    <row r="1878">
      <c r="D1878" s="15"/>
      <c r="E1878" s="8" t="s">
        <v>157</v>
      </c>
      <c r="F1878" s="31" t="s">
        <v>196</v>
      </c>
      <c r="G1878" s="84" t="str">
        <f>HYPERLINK("https://docs.google.com/spreadsheets/d/1kLVZopV_e-v2RBC_T0ArdZLnHAVHbKdgIijbBETc3ok/edit#gid=1096112921", "https://docs.google.com/spreadsheets/d/1kLVZopV_e-v2RBC_T0ArdZLnHAVHbKdgIijbBETc3ok/edit#gid=1096112921")</f>
        <v>https://docs.google.com/spreadsheets/d/1kLVZopV_e-v2RBC_T0ArdZLnHAVHbKdgIijbBETc3ok/edit#gid=1096112921</v>
      </c>
      <c r="H1878" s="8" t="s">
        <v>196</v>
      </c>
    </row>
    <row r="1879">
      <c r="D1879" s="15"/>
      <c r="E1879" s="8" t="s">
        <v>172</v>
      </c>
      <c r="F1879" s="31" t="s">
        <v>173</v>
      </c>
      <c r="G1879" s="84" t="str">
        <f>HYPERLINK("https://docs.google.com/spreadsheets/d/1kLVZopV_e-v2RBC_T0ArdZLnHAVHbKdgIijbBETc3ok/edit#gid=1907550981", "https://docs.google.com/spreadsheets/d/1kLVZopV_e-v2RBC_T0ArdZLnHAVHbKdgIijbBETc3ok/edit#gid=1907550981")</f>
        <v>https://docs.google.com/spreadsheets/d/1kLVZopV_e-v2RBC_T0ArdZLnHAVHbKdgIijbBETc3ok/edit#gid=1907550981</v>
      </c>
      <c r="H1879" s="8" t="s">
        <v>2054</v>
      </c>
    </row>
    <row r="1880">
      <c r="D1880" s="15"/>
      <c r="E1880" s="8" t="s">
        <v>172</v>
      </c>
      <c r="F1880" s="31" t="s">
        <v>402</v>
      </c>
      <c r="G1880" s="84" t="str">
        <f>HYPERLINK("https://docs.google.com/spreadsheets/d/1kLVZopV_e-v2RBC_T0ArdZLnHAVHbKdgIijbBETc3ok/edit#gid=1148278991", "https://docs.google.com/spreadsheets/d/1kLVZopV_e-v2RBC_T0ArdZLnHAVHbKdgIijbBETc3ok/edit#gid=1148278991")</f>
        <v>https://docs.google.com/spreadsheets/d/1kLVZopV_e-v2RBC_T0ArdZLnHAVHbKdgIijbBETc3ok/edit#gid=1148278991</v>
      </c>
      <c r="H1880" s="8" t="s">
        <v>2055</v>
      </c>
    </row>
    <row r="1881">
      <c r="D1881" s="15"/>
      <c r="E1881" s="8" t="s">
        <v>172</v>
      </c>
      <c r="F1881" s="31" t="s">
        <v>203</v>
      </c>
      <c r="G1881" s="84" t="str">
        <f>HYPERLINK("https://docs.google.com/spreadsheets/d/1kLVZopV_e-v2RBC_T0ArdZLnHAVHbKdgIijbBETc3ok/edit#gid=998684882", "https://docs.google.com/spreadsheets/d/1kLVZopV_e-v2RBC_T0ArdZLnHAVHbKdgIijbBETc3ok/edit#gid=998684882")</f>
        <v>https://docs.google.com/spreadsheets/d/1kLVZopV_e-v2RBC_T0ArdZLnHAVHbKdgIijbBETc3ok/edit#gid=998684882</v>
      </c>
      <c r="H1881" s="8" t="s">
        <v>1999</v>
      </c>
    </row>
    <row r="1882">
      <c r="D1882" s="15"/>
      <c r="E1882" s="8" t="s">
        <v>172</v>
      </c>
      <c r="F1882" s="31" t="s">
        <v>204</v>
      </c>
      <c r="G1882" s="84" t="str">
        <f>HYPERLINK("https://docs.google.com/spreadsheets/d/1kLVZopV_e-v2RBC_T0ArdZLnHAVHbKdgIijbBETc3ok/edit#gid=510204944", "https://docs.google.com/spreadsheets/d/1kLVZopV_e-v2RBC_T0ArdZLnHAVHbKdgIijbBETc3ok/edit#gid=510204944")</f>
        <v>https://docs.google.com/spreadsheets/d/1kLVZopV_e-v2RBC_T0ArdZLnHAVHbKdgIijbBETc3ok/edit#gid=510204944</v>
      </c>
      <c r="H1882" s="8" t="s">
        <v>2000</v>
      </c>
    </row>
    <row r="1883">
      <c r="D1883" s="15"/>
      <c r="E1883" s="8" t="s">
        <v>178</v>
      </c>
      <c r="F1883" s="31" t="s">
        <v>207</v>
      </c>
      <c r="G1883" s="84" t="str">
        <f>HYPERLINK("https://docs.google.com/spreadsheets/d/1kLVZopV_e-v2RBC_T0ArdZLnHAVHbKdgIijbBETc3ok/edit#gid=2014935653", "https://docs.google.com/spreadsheets/d/1kLVZopV_e-v2RBC_T0ArdZLnHAVHbKdgIijbBETc3ok/edit#gid=2014935653")</f>
        <v>https://docs.google.com/spreadsheets/d/1kLVZopV_e-v2RBC_T0ArdZLnHAVHbKdgIijbBETc3ok/edit#gid=2014935653</v>
      </c>
      <c r="H1883" s="8" t="s">
        <v>2001</v>
      </c>
    </row>
    <row r="1884">
      <c r="D1884" s="15"/>
      <c r="E1884" s="8" t="s">
        <v>178</v>
      </c>
      <c r="F1884" s="31" t="s">
        <v>208</v>
      </c>
      <c r="G1884" s="84" t="str">
        <f>HYPERLINK("https://docs.google.com/spreadsheets/d/1kLVZopV_e-v2RBC_T0ArdZLnHAVHbKdgIijbBETc3ok/edit#gid=1604332377", "https://docs.google.com/spreadsheets/d/1kLVZopV_e-v2RBC_T0ArdZLnHAVHbKdgIijbBETc3ok/edit#gid=1604332377")</f>
        <v>https://docs.google.com/spreadsheets/d/1kLVZopV_e-v2RBC_T0ArdZLnHAVHbKdgIijbBETc3ok/edit#gid=1604332377</v>
      </c>
      <c r="H1884" s="8" t="s">
        <v>2002</v>
      </c>
    </row>
    <row r="1885">
      <c r="D1885" s="15"/>
      <c r="E1885" s="8" t="s">
        <v>178</v>
      </c>
      <c r="F1885" s="31" t="s">
        <v>182</v>
      </c>
      <c r="G1885" s="84" t="str">
        <f>HYPERLINK("https://docs.google.com/spreadsheets/d/1kLVZopV_e-v2RBC_T0ArdZLnHAVHbKdgIijbBETc3ok/edit#gid=1477903981", "https://docs.google.com/spreadsheets/d/1kLVZopV_e-v2RBC_T0ArdZLnHAVHbKdgIijbBETc3ok/edit#gid=1477903981")</f>
        <v>https://docs.google.com/spreadsheets/d/1kLVZopV_e-v2RBC_T0ArdZLnHAVHbKdgIijbBETc3ok/edit#gid=1477903981</v>
      </c>
      <c r="H1885" s="8" t="s">
        <v>2003</v>
      </c>
    </row>
    <row r="1886">
      <c r="D1886" s="15"/>
      <c r="E1886" s="8" t="s">
        <v>178</v>
      </c>
      <c r="F1886" s="31" t="s">
        <v>180</v>
      </c>
      <c r="G1886" s="84" t="str">
        <f>HYPERLINK("https://docs.google.com/spreadsheets/d/1kLVZopV_e-v2RBC_T0ArdZLnHAVHbKdgIijbBETc3ok/edit#gid=1496753401", "https://docs.google.com/spreadsheets/d/1kLVZopV_e-v2RBC_T0ArdZLnHAVHbKdgIijbBETc3ok/edit#gid=1496753401")</f>
        <v>https://docs.google.com/spreadsheets/d/1kLVZopV_e-v2RBC_T0ArdZLnHAVHbKdgIijbBETc3ok/edit#gid=1496753401</v>
      </c>
      <c r="H1886" s="8" t="s">
        <v>2009</v>
      </c>
    </row>
    <row r="1887">
      <c r="D1887" s="15"/>
      <c r="E1887" s="8" t="s">
        <v>178</v>
      </c>
      <c r="F1887" s="31" t="s">
        <v>209</v>
      </c>
      <c r="G1887" s="84" t="str">
        <f>HYPERLINK("https://docs.google.com/spreadsheets/d/1kLVZopV_e-v2RBC_T0ArdZLnHAVHbKdgIijbBETc3ok/edit#gid=486340590", "https://docs.google.com/spreadsheets/d/1kLVZopV_e-v2RBC_T0ArdZLnHAVHbKdgIijbBETc3ok/edit#gid=486340590")</f>
        <v>https://docs.google.com/spreadsheets/d/1kLVZopV_e-v2RBC_T0ArdZLnHAVHbKdgIijbBETc3ok/edit#gid=486340590</v>
      </c>
      <c r="H1887" s="8" t="s">
        <v>1986</v>
      </c>
    </row>
    <row r="1888">
      <c r="D1888" s="15"/>
      <c r="E1888" s="8" t="s">
        <v>178</v>
      </c>
      <c r="F1888" s="31" t="s">
        <v>210</v>
      </c>
      <c r="G1888" s="84" t="str">
        <f>HYPERLINK("https://docs.google.com/spreadsheets/d/1kLVZopV_e-v2RBC_T0ArdZLnHAVHbKdgIijbBETc3ok/edit#gid=457220329", "https://docs.google.com/spreadsheets/d/1kLVZopV_e-v2RBC_T0ArdZLnHAVHbKdgIijbBETc3ok/edit#gid=457220329")</f>
        <v>https://docs.google.com/spreadsheets/d/1kLVZopV_e-v2RBC_T0ArdZLnHAVHbKdgIijbBETc3ok/edit#gid=457220329</v>
      </c>
      <c r="H1888" s="8" t="s">
        <v>1987</v>
      </c>
    </row>
    <row r="1889">
      <c r="D1889" s="15"/>
      <c r="E1889" s="8" t="s">
        <v>86</v>
      </c>
      <c r="F1889" s="31" t="s">
        <v>90</v>
      </c>
      <c r="G1889" s="84" t="str">
        <f>HYPERLINK("https://docs.google.com/spreadsheets/d/1kLVZopV_e-v2RBC_T0ArdZLnHAVHbKdgIijbBETc3ok/edit#gid=1015950069", "https://docs.google.com/spreadsheets/d/1kLVZopV_e-v2RBC_T0ArdZLnHAVHbKdgIijbBETc3ok/edit#gid=1015950069")</f>
        <v>https://docs.google.com/spreadsheets/d/1kLVZopV_e-v2RBC_T0ArdZLnHAVHbKdgIijbBETc3ok/edit#gid=1015950069</v>
      </c>
      <c r="H1889" s="8" t="s">
        <v>2022</v>
      </c>
    </row>
    <row r="1890">
      <c r="D1890" s="15"/>
      <c r="E1890" s="8" t="s">
        <v>86</v>
      </c>
      <c r="F1890" s="8" t="s">
        <v>91</v>
      </c>
      <c r="G1890" s="84" t="str">
        <f>HYPERLINK("https://docs.google.com/spreadsheets/d/1kLVZopV_e-v2RBC_T0ArdZLnHAVHbKdgIijbBETc3ok/edit#gid=1686485978", "https://docs.google.com/spreadsheets/d/1kLVZopV_e-v2RBC_T0ArdZLnHAVHbKdgIijbBETc3ok/edit#gid=1686485978")</f>
        <v>https://docs.google.com/spreadsheets/d/1kLVZopV_e-v2RBC_T0ArdZLnHAVHbKdgIijbBETc3ok/edit#gid=1686485978</v>
      </c>
      <c r="H1890" s="8" t="s">
        <v>91</v>
      </c>
    </row>
    <row r="1891">
      <c r="D1891" s="15"/>
      <c r="E1891" s="31" t="s">
        <v>88</v>
      </c>
      <c r="F1891" s="31" t="s">
        <v>95</v>
      </c>
      <c r="G1891" s="84" t="str">
        <f>HYPERLINK("https://docs.google.com/spreadsheets/d/1kLVZopV_e-v2RBC_T0ArdZLnHAVHbKdgIijbBETc3ok/edit#gid=516903507", "https://docs.google.com/spreadsheets/d/1kLVZopV_e-v2RBC_T0ArdZLnHAVHbKdgIijbBETc3ok/edit#gid=516903507")</f>
        <v>https://docs.google.com/spreadsheets/d/1kLVZopV_e-v2RBC_T0ArdZLnHAVHbKdgIijbBETc3ok/edit#gid=516903507</v>
      </c>
      <c r="H1891" s="8" t="s">
        <v>95</v>
      </c>
    </row>
    <row r="1892">
      <c r="D1892" s="15"/>
      <c r="E1892" s="31" t="s">
        <v>88</v>
      </c>
      <c r="F1892" s="31" t="s">
        <v>96</v>
      </c>
      <c r="G1892" s="84" t="str">
        <f>HYPERLINK("https://docs.google.com/spreadsheets/d/1kLVZopV_e-v2RBC_T0ArdZLnHAVHbKdgIijbBETc3ok/edit#gid=1676925074", "https://docs.google.com/spreadsheets/d/1kLVZopV_e-v2RBC_T0ArdZLnHAVHbKdgIijbBETc3ok/edit#gid=1676925074")</f>
        <v>https://docs.google.com/spreadsheets/d/1kLVZopV_e-v2RBC_T0ArdZLnHAVHbKdgIijbBETc3ok/edit#gid=1676925074</v>
      </c>
      <c r="H1892" s="8" t="s">
        <v>96</v>
      </c>
    </row>
    <row r="1893">
      <c r="D1893" s="15"/>
      <c r="E1893" s="32"/>
      <c r="F1893" s="35"/>
      <c r="H1893" s="35"/>
    </row>
    <row r="1894">
      <c r="B1894" s="35" t="s">
        <v>2170</v>
      </c>
      <c r="C1894" s="9" t="s">
        <v>2093</v>
      </c>
      <c r="D1894" s="32" t="s">
        <v>20</v>
      </c>
      <c r="E1894" s="32" t="s">
        <v>89</v>
      </c>
      <c r="F1894" s="35" t="s">
        <v>291</v>
      </c>
    </row>
    <row r="1895">
      <c r="B1895" s="35" t="s">
        <v>2171</v>
      </c>
      <c r="C1895" s="210" t="s">
        <v>2172</v>
      </c>
      <c r="D1895" s="32" t="s">
        <v>20</v>
      </c>
      <c r="E1895" s="31" t="s">
        <v>178</v>
      </c>
      <c r="F1895" s="31" t="s">
        <v>201</v>
      </c>
      <c r="G1895" s="84" t="str">
        <f>HYPERLINK("https://docs.google.com/spreadsheets/d/1HGe3dAlsgJRn36cCbxJKtPQ96zDUIKyJ8BAQkQUUwB8/edit#gid=1520435943", "https://docs.google.com/spreadsheets/d/1HGe3dAlsgJRn36cCbxJKtPQ96zDUIKyJ8BAQkQUUwB8/edit#gid=1520435943")</f>
        <v>https://docs.google.com/spreadsheets/d/1HGe3dAlsgJRn36cCbxJKtPQ96zDUIKyJ8BAQkQUUwB8/edit#gid=1520435943</v>
      </c>
      <c r="H1895" s="31" t="s">
        <v>201</v>
      </c>
    </row>
    <row r="1896">
      <c r="D1896" s="15"/>
      <c r="E1896" s="8" t="s">
        <v>178</v>
      </c>
      <c r="F1896" s="31" t="s">
        <v>202</v>
      </c>
      <c r="G1896" s="84" t="str">
        <f>HYPERLINK("https://docs.google.com/spreadsheets/d/1HGe3dAlsgJRn36cCbxJKtPQ96zDUIKyJ8BAQkQUUwB8/edit#gid=1630229710", "https://docs.google.com/spreadsheets/d/1HGe3dAlsgJRn36cCbxJKtPQ96zDUIKyJ8BAQkQUUwB8/edit#gid=1630229710")</f>
        <v>https://docs.google.com/spreadsheets/d/1HGe3dAlsgJRn36cCbxJKtPQ96zDUIKyJ8BAQkQUUwB8/edit#gid=1630229710</v>
      </c>
      <c r="H1896" s="8" t="s">
        <v>202</v>
      </c>
    </row>
    <row r="1897">
      <c r="D1897" s="15"/>
      <c r="E1897" s="8" t="s">
        <v>178</v>
      </c>
      <c r="F1897" s="31" t="s">
        <v>202</v>
      </c>
      <c r="G1897" s="84" t="str">
        <f>HYPERLINK("https://docs.google.com/spreadsheets/d/1HGe3dAlsgJRn36cCbxJKtPQ96zDUIKyJ8BAQkQUUwB8/edit#gid=1538595934", "https://docs.google.com/spreadsheets/d/1HGe3dAlsgJRn36cCbxJKtPQ96zDUIKyJ8BAQkQUUwB8/edit#gid=1538595934")</f>
        <v>https://docs.google.com/spreadsheets/d/1HGe3dAlsgJRn36cCbxJKtPQ96zDUIKyJ8BAQkQUUwB8/edit#gid=1538595934</v>
      </c>
      <c r="H1897" s="8" t="s">
        <v>2025</v>
      </c>
    </row>
    <row r="1898">
      <c r="D1898" s="15"/>
      <c r="E1898" s="8" t="s">
        <v>21</v>
      </c>
      <c r="F1898" s="31" t="s">
        <v>51</v>
      </c>
      <c r="G1898" s="84" t="str">
        <f>HYPERLINK("https://docs.google.com/spreadsheets/d/1HGe3dAlsgJRn36cCbxJKtPQ96zDUIKyJ8BAQkQUUwB8/edit#gid=2035202555", "https://docs.google.com/spreadsheets/d/1HGe3dAlsgJRn36cCbxJKtPQ96zDUIKyJ8BAQkQUUwB8/edit#gid=2035202555")</f>
        <v>https://docs.google.com/spreadsheets/d/1HGe3dAlsgJRn36cCbxJKtPQ96zDUIKyJ8BAQkQUUwB8/edit#gid=2035202555</v>
      </c>
      <c r="H1898" s="8" t="s">
        <v>51</v>
      </c>
    </row>
    <row r="1899">
      <c r="D1899" s="15"/>
      <c r="E1899" s="8" t="s">
        <v>172</v>
      </c>
      <c r="F1899" s="31" t="s">
        <v>173</v>
      </c>
      <c r="G1899" s="84" t="str">
        <f>HYPERLINK("https://docs.google.com/spreadsheets/d/1HGe3dAlsgJRn36cCbxJKtPQ96zDUIKyJ8BAQkQUUwB8/edit#gid=1596387155", "https://docs.google.com/spreadsheets/d/1HGe3dAlsgJRn36cCbxJKtPQ96zDUIKyJ8BAQkQUUwB8/edit#gid=1596387155")</f>
        <v>https://docs.google.com/spreadsheets/d/1HGe3dAlsgJRn36cCbxJKtPQ96zDUIKyJ8BAQkQUUwB8/edit#gid=1596387155</v>
      </c>
      <c r="H1899" s="8" t="s">
        <v>173</v>
      </c>
    </row>
    <row r="1900">
      <c r="D1900" s="15"/>
      <c r="E1900" s="8" t="s">
        <v>172</v>
      </c>
      <c r="F1900" s="31" t="s">
        <v>402</v>
      </c>
      <c r="G1900" s="84" t="str">
        <f>HYPERLINK("https://docs.google.com/spreadsheets/d/1HGe3dAlsgJRn36cCbxJKtPQ96zDUIKyJ8BAQkQUUwB8/edit#gid=978976305", "https://docs.google.com/spreadsheets/d/1HGe3dAlsgJRn36cCbxJKtPQ96zDUIKyJ8BAQkQUUwB8/edit#gid=978976305")</f>
        <v>https://docs.google.com/spreadsheets/d/1HGe3dAlsgJRn36cCbxJKtPQ96zDUIKyJ8BAQkQUUwB8/edit#gid=978976305</v>
      </c>
      <c r="H1900" s="8" t="s">
        <v>402</v>
      </c>
    </row>
    <row r="1901">
      <c r="D1901" s="15"/>
      <c r="E1901" s="8" t="s">
        <v>172</v>
      </c>
      <c r="F1901" s="31" t="s">
        <v>203</v>
      </c>
      <c r="G1901" s="84" t="str">
        <f>HYPERLINK("https://docs.google.com/spreadsheets/d/1HGe3dAlsgJRn36cCbxJKtPQ96zDUIKyJ8BAQkQUUwB8/edit#gid=1936045047", "https://docs.google.com/spreadsheets/d/1HGe3dAlsgJRn36cCbxJKtPQ96zDUIKyJ8BAQkQUUwB8/edit#gid=1936045047")</f>
        <v>https://docs.google.com/spreadsheets/d/1HGe3dAlsgJRn36cCbxJKtPQ96zDUIKyJ8BAQkQUUwB8/edit#gid=1936045047</v>
      </c>
      <c r="H1901" s="8" t="s">
        <v>203</v>
      </c>
    </row>
    <row r="1902">
      <c r="D1902" s="15"/>
      <c r="E1902" s="8" t="s">
        <v>172</v>
      </c>
      <c r="F1902" s="31" t="s">
        <v>204</v>
      </c>
      <c r="G1902" s="84" t="str">
        <f>HYPERLINK("https://docs.google.com/spreadsheets/d/1HGe3dAlsgJRn36cCbxJKtPQ96zDUIKyJ8BAQkQUUwB8/edit#gid=222697399", "https://docs.google.com/spreadsheets/d/1HGe3dAlsgJRn36cCbxJKtPQ96zDUIKyJ8BAQkQUUwB8/edit#gid=222697399")</f>
        <v>https://docs.google.com/spreadsheets/d/1HGe3dAlsgJRn36cCbxJKtPQ96zDUIKyJ8BAQkQUUwB8/edit#gid=222697399</v>
      </c>
      <c r="H1902" s="8" t="s">
        <v>204</v>
      </c>
    </row>
    <row r="1903">
      <c r="D1903" s="15"/>
      <c r="E1903" s="8" t="s">
        <v>178</v>
      </c>
      <c r="F1903" s="31" t="s">
        <v>205</v>
      </c>
      <c r="G1903" s="84" t="str">
        <f>HYPERLINK("https://docs.google.com/spreadsheets/d/1HGe3dAlsgJRn36cCbxJKtPQ96zDUIKyJ8BAQkQUUwB8/edit#gid=471190335", "https://docs.google.com/spreadsheets/d/1HGe3dAlsgJRn36cCbxJKtPQ96zDUIKyJ8BAQkQUUwB8/edit#gid=471190335")</f>
        <v>https://docs.google.com/spreadsheets/d/1HGe3dAlsgJRn36cCbxJKtPQ96zDUIKyJ8BAQkQUUwB8/edit#gid=471190335</v>
      </c>
      <c r="H1903" s="8" t="s">
        <v>205</v>
      </c>
    </row>
    <row r="1904">
      <c r="D1904" s="15"/>
      <c r="E1904" s="8" t="s">
        <v>178</v>
      </c>
      <c r="F1904" s="31" t="s">
        <v>206</v>
      </c>
      <c r="H1904" s="31"/>
    </row>
    <row r="1905">
      <c r="D1905" s="15"/>
      <c r="E1905" s="8" t="s">
        <v>178</v>
      </c>
      <c r="F1905" s="31" t="s">
        <v>207</v>
      </c>
      <c r="G1905" s="84" t="str">
        <f>HYPERLINK("https://docs.google.com/spreadsheets/d/1HGe3dAlsgJRn36cCbxJKtPQ96zDUIKyJ8BAQkQUUwB8/edit#gid=1528514504", "https://docs.google.com/spreadsheets/d/1HGe3dAlsgJRn36cCbxJKtPQ96zDUIKyJ8BAQkQUUwB8/edit#gid=1528514504")</f>
        <v>https://docs.google.com/spreadsheets/d/1HGe3dAlsgJRn36cCbxJKtPQ96zDUIKyJ8BAQkQUUwB8/edit#gid=1528514504</v>
      </c>
      <c r="H1905" s="8" t="s">
        <v>207</v>
      </c>
    </row>
    <row r="1906">
      <c r="D1906" s="15"/>
      <c r="E1906" s="8" t="s">
        <v>21</v>
      </c>
      <c r="F1906" s="31" t="s">
        <v>51</v>
      </c>
      <c r="G1906" s="84" t="str">
        <f>HYPERLINK("https://docs.google.com/spreadsheets/d/1HGe3dAlsgJRn36cCbxJKtPQ96zDUIKyJ8BAQkQUUwB8/edit#gid=1720184184", "https://docs.google.com/spreadsheets/d/1HGe3dAlsgJRn36cCbxJKtPQ96zDUIKyJ8BAQkQUUwB8/edit#gid=1720184184")</f>
        <v>https://docs.google.com/spreadsheets/d/1HGe3dAlsgJRn36cCbxJKtPQ96zDUIKyJ8BAQkQUUwB8/edit#gid=1720184184</v>
      </c>
      <c r="H1906" s="8" t="s">
        <v>1383</v>
      </c>
    </row>
    <row r="1907">
      <c r="D1907" s="15"/>
      <c r="E1907" s="8" t="s">
        <v>86</v>
      </c>
      <c r="F1907" s="31" t="s">
        <v>90</v>
      </c>
      <c r="G1907" s="84" t="str">
        <f>HYPERLINK("https://docs.google.com/spreadsheets/d/1HGe3dAlsgJRn36cCbxJKtPQ96zDUIKyJ8BAQkQUUwB8/edit#gid=1393842687", "https://docs.google.com/spreadsheets/d/1HGe3dAlsgJRn36cCbxJKtPQ96zDUIKyJ8BAQkQUUwB8/edit#gid=1393842687")</f>
        <v>https://docs.google.com/spreadsheets/d/1HGe3dAlsgJRn36cCbxJKtPQ96zDUIKyJ8BAQkQUUwB8/edit#gid=1393842687</v>
      </c>
      <c r="H1907" s="8" t="s">
        <v>90</v>
      </c>
    </row>
    <row r="1908">
      <c r="D1908" s="15"/>
      <c r="E1908" s="8" t="s">
        <v>86</v>
      </c>
      <c r="F1908" s="31" t="s">
        <v>339</v>
      </c>
      <c r="G1908" s="84" t="str">
        <f>HYPERLINK("https://docs.google.com/spreadsheets/d/1HGe3dAlsgJRn36cCbxJKtPQ96zDUIKyJ8BAQkQUUwB8/edit#gid=257117535", "https://docs.google.com/spreadsheets/d/1HGe3dAlsgJRn36cCbxJKtPQ96zDUIKyJ8BAQkQUUwB8/edit#gid=257117535")</f>
        <v>https://docs.google.com/spreadsheets/d/1HGe3dAlsgJRn36cCbxJKtPQ96zDUIKyJ8BAQkQUUwB8/edit#gid=257117535</v>
      </c>
      <c r="H1908" s="8" t="s">
        <v>339</v>
      </c>
    </row>
    <row r="1909">
      <c r="D1909" s="15"/>
      <c r="E1909" s="8" t="s">
        <v>172</v>
      </c>
      <c r="F1909" s="31" t="s">
        <v>173</v>
      </c>
      <c r="G1909" s="84" t="str">
        <f>HYPERLINK("https://docs.google.com/spreadsheets/d/1HGe3dAlsgJRn36cCbxJKtPQ96zDUIKyJ8BAQkQUUwB8/edit#gid=1004287947", "https://docs.google.com/spreadsheets/d/1HGe3dAlsgJRn36cCbxJKtPQ96zDUIKyJ8BAQkQUUwB8/edit#gid=1004287947")</f>
        <v>https://docs.google.com/spreadsheets/d/1HGe3dAlsgJRn36cCbxJKtPQ96zDUIKyJ8BAQkQUUwB8/edit#gid=1004287947</v>
      </c>
      <c r="H1909" s="8" t="s">
        <v>269</v>
      </c>
    </row>
    <row r="1910">
      <c r="D1910" s="15"/>
      <c r="E1910" s="8" t="s">
        <v>172</v>
      </c>
      <c r="F1910" s="31" t="s">
        <v>402</v>
      </c>
      <c r="G1910" s="84" t="str">
        <f>HYPERLINK("https://docs.google.com/spreadsheets/d/1HGe3dAlsgJRn36cCbxJKtPQ96zDUIKyJ8BAQkQUUwB8/edit#gid=625866155", "https://docs.google.com/spreadsheets/d/1HGe3dAlsgJRn36cCbxJKtPQ96zDUIKyJ8BAQkQUUwB8/edit#gid=625866155")</f>
        <v>https://docs.google.com/spreadsheets/d/1HGe3dAlsgJRn36cCbxJKtPQ96zDUIKyJ8BAQkQUUwB8/edit#gid=625866155</v>
      </c>
      <c r="H1910" s="8" t="s">
        <v>2053</v>
      </c>
    </row>
    <row r="1911">
      <c r="D1911" s="15"/>
      <c r="E1911" s="8" t="s">
        <v>172</v>
      </c>
      <c r="F1911" s="31" t="s">
        <v>203</v>
      </c>
      <c r="G1911" s="84" t="str">
        <f>HYPERLINK("https://docs.google.com/spreadsheets/d/1HGe3dAlsgJRn36cCbxJKtPQ96zDUIKyJ8BAQkQUUwB8/edit#gid=395278147", "https://docs.google.com/spreadsheets/d/1HGe3dAlsgJRn36cCbxJKtPQ96zDUIKyJ8BAQkQUUwB8/edit#gid=395278147")</f>
        <v>https://docs.google.com/spreadsheets/d/1HGe3dAlsgJRn36cCbxJKtPQ96zDUIKyJ8BAQkQUUwB8/edit#gid=395278147</v>
      </c>
      <c r="H1911" s="8" t="s">
        <v>1995</v>
      </c>
    </row>
    <row r="1912">
      <c r="D1912" s="15"/>
      <c r="E1912" s="8" t="s">
        <v>172</v>
      </c>
      <c r="F1912" s="31" t="s">
        <v>204</v>
      </c>
      <c r="G1912" s="84" t="str">
        <f>HYPERLINK("https://docs.google.com/spreadsheets/d/1HGe3dAlsgJRn36cCbxJKtPQ96zDUIKyJ8BAQkQUUwB8/edit#gid=805154085", "https://docs.google.com/spreadsheets/d/1HGe3dAlsgJRn36cCbxJKtPQ96zDUIKyJ8BAQkQUUwB8/edit#gid=805154085")</f>
        <v>https://docs.google.com/spreadsheets/d/1HGe3dAlsgJRn36cCbxJKtPQ96zDUIKyJ8BAQkQUUwB8/edit#gid=805154085</v>
      </c>
      <c r="H1912" s="8" t="s">
        <v>1996</v>
      </c>
    </row>
    <row r="1913">
      <c r="D1913" s="15"/>
      <c r="E1913" s="8" t="s">
        <v>178</v>
      </c>
      <c r="F1913" s="31" t="s">
        <v>205</v>
      </c>
      <c r="G1913" s="84" t="str">
        <f>HYPERLINK("https://docs.google.com/spreadsheets/d/1HGe3dAlsgJRn36cCbxJKtPQ96zDUIKyJ8BAQkQUUwB8/edit#gid=1889491595", "https://docs.google.com/spreadsheets/d/1HGe3dAlsgJRn36cCbxJKtPQ96zDUIKyJ8BAQkQUUwB8/edit#gid=1889491595")</f>
        <v>https://docs.google.com/spreadsheets/d/1HGe3dAlsgJRn36cCbxJKtPQ96zDUIKyJ8BAQkQUUwB8/edit#gid=1889491595</v>
      </c>
      <c r="H1913" s="8" t="s">
        <v>1997</v>
      </c>
    </row>
    <row r="1914">
      <c r="D1914" s="15"/>
      <c r="E1914" s="8" t="s">
        <v>178</v>
      </c>
      <c r="F1914" s="31" t="s">
        <v>206</v>
      </c>
      <c r="H1914" s="31"/>
    </row>
    <row r="1915">
      <c r="D1915" s="15"/>
      <c r="E1915" s="8" t="s">
        <v>178</v>
      </c>
      <c r="F1915" s="31" t="s">
        <v>207</v>
      </c>
      <c r="G1915" s="84" t="str">
        <f>HYPERLINK("https://docs.google.com/spreadsheets/d/1HGe3dAlsgJRn36cCbxJKtPQ96zDUIKyJ8BAQkQUUwB8/edit#gid=1742539363", "https://docs.google.com/spreadsheets/d/1HGe3dAlsgJRn36cCbxJKtPQ96zDUIKyJ8BAQkQUUwB8/edit#gid=1742539363")</f>
        <v>https://docs.google.com/spreadsheets/d/1HGe3dAlsgJRn36cCbxJKtPQ96zDUIKyJ8BAQkQUUwB8/edit#gid=1742539363</v>
      </c>
      <c r="H1915" s="8" t="s">
        <v>1998</v>
      </c>
    </row>
    <row r="1916">
      <c r="D1916" s="15"/>
      <c r="E1916" s="8" t="s">
        <v>178</v>
      </c>
      <c r="F1916" s="31" t="s">
        <v>208</v>
      </c>
      <c r="G1916" s="84" t="str">
        <f>HYPERLINK("https://docs.google.com/spreadsheets/d/1HGe3dAlsgJRn36cCbxJKtPQ96zDUIKyJ8BAQkQUUwB8/edit#gid=613752722", "https://docs.google.com/spreadsheets/d/1HGe3dAlsgJRn36cCbxJKtPQ96zDUIKyJ8BAQkQUUwB8/edit#gid=613752722")</f>
        <v>https://docs.google.com/spreadsheets/d/1HGe3dAlsgJRn36cCbxJKtPQ96zDUIKyJ8BAQkQUUwB8/edit#gid=613752722</v>
      </c>
      <c r="H1916" s="8" t="s">
        <v>208</v>
      </c>
    </row>
    <row r="1917">
      <c r="D1917" s="15"/>
      <c r="E1917" s="8" t="s">
        <v>178</v>
      </c>
      <c r="F1917" s="31" t="s">
        <v>182</v>
      </c>
      <c r="G1917" s="84" t="str">
        <f>HYPERLINK("https://docs.google.com/spreadsheets/d/1HGe3dAlsgJRn36cCbxJKtPQ96zDUIKyJ8BAQkQUUwB8/edit#gid=1912700093", "https://docs.google.com/spreadsheets/d/1HGe3dAlsgJRn36cCbxJKtPQ96zDUIKyJ8BAQkQUUwB8/edit#gid=1912700093")</f>
        <v>https://docs.google.com/spreadsheets/d/1HGe3dAlsgJRn36cCbxJKtPQ96zDUIKyJ8BAQkQUUwB8/edit#gid=1912700093</v>
      </c>
      <c r="H1917" s="8" t="s">
        <v>182</v>
      </c>
    </row>
    <row r="1918">
      <c r="D1918" s="15"/>
      <c r="E1918" s="8" t="s">
        <v>178</v>
      </c>
      <c r="F1918" s="31" t="s">
        <v>180</v>
      </c>
      <c r="G1918" s="84" t="str">
        <f>HYPERLINK("https://docs.google.com/spreadsheets/d/1HGe3dAlsgJRn36cCbxJKtPQ96zDUIKyJ8BAQkQUUwB8/edit#gid=1784904034", "https://docs.google.com/spreadsheets/d/1HGe3dAlsgJRn36cCbxJKtPQ96zDUIKyJ8BAQkQUUwB8/edit#gid=1784904034")</f>
        <v>https://docs.google.com/spreadsheets/d/1HGe3dAlsgJRn36cCbxJKtPQ96zDUIKyJ8BAQkQUUwB8/edit#gid=1784904034</v>
      </c>
      <c r="H1918" s="8" t="s">
        <v>180</v>
      </c>
    </row>
    <row r="1919">
      <c r="D1919" s="15"/>
      <c r="E1919" s="8" t="s">
        <v>178</v>
      </c>
      <c r="F1919" s="31" t="s">
        <v>209</v>
      </c>
      <c r="G1919" s="84" t="str">
        <f>HYPERLINK("https://docs.google.com/spreadsheets/d/1HGe3dAlsgJRn36cCbxJKtPQ96zDUIKyJ8BAQkQUUwB8/edit#gid=1288140427", "https://docs.google.com/spreadsheets/d/1HGe3dAlsgJRn36cCbxJKtPQ96zDUIKyJ8BAQkQUUwB8/edit#gid=1288140427")</f>
        <v>https://docs.google.com/spreadsheets/d/1HGe3dAlsgJRn36cCbxJKtPQ96zDUIKyJ8BAQkQUUwB8/edit#gid=1288140427</v>
      </c>
      <c r="H1919" s="8" t="s">
        <v>209</v>
      </c>
    </row>
    <row r="1920">
      <c r="D1920" s="15"/>
      <c r="E1920" s="8" t="s">
        <v>178</v>
      </c>
      <c r="F1920" s="31" t="s">
        <v>210</v>
      </c>
      <c r="G1920" s="84" t="str">
        <f>HYPERLINK("https://docs.google.com/spreadsheets/d/1HGe3dAlsgJRn36cCbxJKtPQ96zDUIKyJ8BAQkQUUwB8/edit#gid=1276444382", "https://docs.google.com/spreadsheets/d/1HGe3dAlsgJRn36cCbxJKtPQ96zDUIKyJ8BAQkQUUwB8/edit#gid=1276444382")</f>
        <v>https://docs.google.com/spreadsheets/d/1HGe3dAlsgJRn36cCbxJKtPQ96zDUIKyJ8BAQkQUUwB8/edit#gid=1276444382</v>
      </c>
      <c r="H1920" s="8" t="s">
        <v>210</v>
      </c>
    </row>
    <row r="1921">
      <c r="D1921" s="15"/>
      <c r="E1921" s="8" t="s">
        <v>157</v>
      </c>
      <c r="F1921" s="31" t="s">
        <v>161</v>
      </c>
      <c r="G1921" s="84" t="str">
        <f>HYPERLINK("https://docs.google.com/spreadsheets/d/1HGe3dAlsgJRn36cCbxJKtPQ96zDUIKyJ8BAQkQUUwB8/edit#gid=1618612033", "https://docs.google.com/spreadsheets/d/1HGe3dAlsgJRn36cCbxJKtPQ96zDUIKyJ8BAQkQUUwB8/edit#gid=1618612033")</f>
        <v>https://docs.google.com/spreadsheets/d/1HGe3dAlsgJRn36cCbxJKtPQ96zDUIKyJ8BAQkQUUwB8/edit#gid=1618612033</v>
      </c>
      <c r="H1921" s="8" t="s">
        <v>161</v>
      </c>
    </row>
    <row r="1922">
      <c r="D1922" s="15"/>
      <c r="E1922" s="8" t="s">
        <v>157</v>
      </c>
      <c r="F1922" s="31" t="s">
        <v>158</v>
      </c>
      <c r="G1922" s="84" t="str">
        <f>HYPERLINK("https://docs.google.com/spreadsheets/d/1HGe3dAlsgJRn36cCbxJKtPQ96zDUIKyJ8BAQkQUUwB8/edit#gid=621541288", "https://docs.google.com/spreadsheets/d/1HGe3dAlsgJRn36cCbxJKtPQ96zDUIKyJ8BAQkQUUwB8/edit#gid=621541288")</f>
        <v>https://docs.google.com/spreadsheets/d/1HGe3dAlsgJRn36cCbxJKtPQ96zDUIKyJ8BAQkQUUwB8/edit#gid=621541288</v>
      </c>
      <c r="H1922" s="8" t="s">
        <v>158</v>
      </c>
    </row>
    <row r="1923">
      <c r="D1923" s="15"/>
      <c r="E1923" s="8" t="s">
        <v>157</v>
      </c>
      <c r="F1923" s="31" t="s">
        <v>196</v>
      </c>
      <c r="G1923" s="84" t="str">
        <f>HYPERLINK("https://docs.google.com/spreadsheets/d/1HGe3dAlsgJRn36cCbxJKtPQ96zDUIKyJ8BAQkQUUwB8/edit#gid=972363494", "https://docs.google.com/spreadsheets/d/1HGe3dAlsgJRn36cCbxJKtPQ96zDUIKyJ8BAQkQUUwB8/edit#gid=972363494")</f>
        <v>https://docs.google.com/spreadsheets/d/1HGe3dAlsgJRn36cCbxJKtPQ96zDUIKyJ8BAQkQUUwB8/edit#gid=972363494</v>
      </c>
      <c r="H1923" s="8" t="s">
        <v>196</v>
      </c>
    </row>
    <row r="1924">
      <c r="D1924" s="15"/>
      <c r="E1924" s="8" t="s">
        <v>172</v>
      </c>
      <c r="F1924" s="31" t="s">
        <v>173</v>
      </c>
      <c r="G1924" s="84" t="str">
        <f>HYPERLINK("https://docs.google.com/spreadsheets/d/1HGe3dAlsgJRn36cCbxJKtPQ96zDUIKyJ8BAQkQUUwB8/edit#gid=901443167", "https://docs.google.com/spreadsheets/d/1HGe3dAlsgJRn36cCbxJKtPQ96zDUIKyJ8BAQkQUUwB8/edit#gid=901443167")</f>
        <v>https://docs.google.com/spreadsheets/d/1HGe3dAlsgJRn36cCbxJKtPQ96zDUIKyJ8BAQkQUUwB8/edit#gid=901443167</v>
      </c>
      <c r="H1924" s="8" t="s">
        <v>2054</v>
      </c>
    </row>
    <row r="1925">
      <c r="D1925" s="15"/>
      <c r="E1925" s="8" t="s">
        <v>172</v>
      </c>
      <c r="F1925" s="31" t="s">
        <v>402</v>
      </c>
      <c r="G1925" s="84" t="str">
        <f>HYPERLINK("https://docs.google.com/spreadsheets/d/1HGe3dAlsgJRn36cCbxJKtPQ96zDUIKyJ8BAQkQUUwB8/edit#gid=278759100", "https://docs.google.com/spreadsheets/d/1HGe3dAlsgJRn36cCbxJKtPQ96zDUIKyJ8BAQkQUUwB8/edit#gid=278759100")</f>
        <v>https://docs.google.com/spreadsheets/d/1HGe3dAlsgJRn36cCbxJKtPQ96zDUIKyJ8BAQkQUUwB8/edit#gid=278759100</v>
      </c>
      <c r="H1925" s="8" t="s">
        <v>2055</v>
      </c>
    </row>
    <row r="1926">
      <c r="D1926" s="15"/>
      <c r="E1926" s="8" t="s">
        <v>172</v>
      </c>
      <c r="F1926" s="31" t="s">
        <v>203</v>
      </c>
      <c r="G1926" s="84" t="str">
        <f>HYPERLINK("https://docs.google.com/spreadsheets/d/1HGe3dAlsgJRn36cCbxJKtPQ96zDUIKyJ8BAQkQUUwB8/edit#gid=1105219675", "https://docs.google.com/spreadsheets/d/1HGe3dAlsgJRn36cCbxJKtPQ96zDUIKyJ8BAQkQUUwB8/edit#gid=1105219675")</f>
        <v>https://docs.google.com/spreadsheets/d/1HGe3dAlsgJRn36cCbxJKtPQ96zDUIKyJ8BAQkQUUwB8/edit#gid=1105219675</v>
      </c>
      <c r="H1926" s="8" t="s">
        <v>1999</v>
      </c>
    </row>
    <row r="1927">
      <c r="D1927" s="15"/>
      <c r="E1927" s="8" t="s">
        <v>172</v>
      </c>
      <c r="F1927" s="31" t="s">
        <v>204</v>
      </c>
      <c r="G1927" s="84" t="str">
        <f>HYPERLINK("https://docs.google.com/spreadsheets/d/1HGe3dAlsgJRn36cCbxJKtPQ96zDUIKyJ8BAQkQUUwB8/edit#gid=1526041660", "https://docs.google.com/spreadsheets/d/1HGe3dAlsgJRn36cCbxJKtPQ96zDUIKyJ8BAQkQUUwB8/edit#gid=1526041660")</f>
        <v>https://docs.google.com/spreadsheets/d/1HGe3dAlsgJRn36cCbxJKtPQ96zDUIKyJ8BAQkQUUwB8/edit#gid=1526041660</v>
      </c>
      <c r="H1927" s="8" t="s">
        <v>2000</v>
      </c>
    </row>
    <row r="1928">
      <c r="D1928" s="15"/>
      <c r="E1928" s="8" t="s">
        <v>178</v>
      </c>
      <c r="F1928" s="31" t="s">
        <v>207</v>
      </c>
      <c r="G1928" s="84" t="str">
        <f>HYPERLINK("https://docs.google.com/spreadsheets/d/1HGe3dAlsgJRn36cCbxJKtPQ96zDUIKyJ8BAQkQUUwB8/edit#gid=2544942", "https://docs.google.com/spreadsheets/d/1HGe3dAlsgJRn36cCbxJKtPQ96zDUIKyJ8BAQkQUUwB8/edit#gid=2544942")</f>
        <v>https://docs.google.com/spreadsheets/d/1HGe3dAlsgJRn36cCbxJKtPQ96zDUIKyJ8BAQkQUUwB8/edit#gid=2544942</v>
      </c>
      <c r="H1928" s="8" t="s">
        <v>2001</v>
      </c>
    </row>
    <row r="1929">
      <c r="D1929" s="15"/>
      <c r="E1929" s="8" t="s">
        <v>178</v>
      </c>
      <c r="F1929" s="31" t="s">
        <v>208</v>
      </c>
      <c r="G1929" s="84" t="str">
        <f>HYPERLINK("https://docs.google.com/spreadsheets/d/1HGe3dAlsgJRn36cCbxJKtPQ96zDUIKyJ8BAQkQUUwB8/edit#gid=403710714", "https://docs.google.com/spreadsheets/d/1HGe3dAlsgJRn36cCbxJKtPQ96zDUIKyJ8BAQkQUUwB8/edit#gid=403710714")</f>
        <v>https://docs.google.com/spreadsheets/d/1HGe3dAlsgJRn36cCbxJKtPQ96zDUIKyJ8BAQkQUUwB8/edit#gid=403710714</v>
      </c>
      <c r="H1929" s="8" t="s">
        <v>2002</v>
      </c>
    </row>
    <row r="1930">
      <c r="D1930" s="15"/>
      <c r="E1930" s="8" t="s">
        <v>178</v>
      </c>
      <c r="F1930" s="31" t="s">
        <v>182</v>
      </c>
      <c r="G1930" s="84" t="str">
        <f>HYPERLINK("https://docs.google.com/spreadsheets/d/1HGe3dAlsgJRn36cCbxJKtPQ96zDUIKyJ8BAQkQUUwB8/edit#gid=593337346", "https://docs.google.com/spreadsheets/d/1HGe3dAlsgJRn36cCbxJKtPQ96zDUIKyJ8BAQkQUUwB8/edit#gid=593337346")</f>
        <v>https://docs.google.com/spreadsheets/d/1HGe3dAlsgJRn36cCbxJKtPQ96zDUIKyJ8BAQkQUUwB8/edit#gid=593337346</v>
      </c>
      <c r="H1930" s="8" t="s">
        <v>2003</v>
      </c>
    </row>
    <row r="1931">
      <c r="D1931" s="15"/>
      <c r="E1931" s="8" t="s">
        <v>178</v>
      </c>
      <c r="F1931" s="31" t="s">
        <v>180</v>
      </c>
      <c r="G1931" s="84" t="str">
        <f>HYPERLINK("https://docs.google.com/spreadsheets/d/1HGe3dAlsgJRn36cCbxJKtPQ96zDUIKyJ8BAQkQUUwB8/edit#gid=308347338", "https://docs.google.com/spreadsheets/d/1HGe3dAlsgJRn36cCbxJKtPQ96zDUIKyJ8BAQkQUUwB8/edit#gid=308347338")</f>
        <v>https://docs.google.com/spreadsheets/d/1HGe3dAlsgJRn36cCbxJKtPQ96zDUIKyJ8BAQkQUUwB8/edit#gid=308347338</v>
      </c>
      <c r="H1931" s="8" t="s">
        <v>2009</v>
      </c>
    </row>
    <row r="1932">
      <c r="D1932" s="15"/>
      <c r="E1932" s="8" t="s">
        <v>178</v>
      </c>
      <c r="F1932" s="31" t="s">
        <v>209</v>
      </c>
      <c r="G1932" s="84" t="str">
        <f>HYPERLINK("https://docs.google.com/spreadsheets/d/1HGe3dAlsgJRn36cCbxJKtPQ96zDUIKyJ8BAQkQUUwB8/edit#gid=1456904366", "https://docs.google.com/spreadsheets/d/1HGe3dAlsgJRn36cCbxJKtPQ96zDUIKyJ8BAQkQUUwB8/edit#gid=1456904366")</f>
        <v>https://docs.google.com/spreadsheets/d/1HGe3dAlsgJRn36cCbxJKtPQ96zDUIKyJ8BAQkQUUwB8/edit#gid=1456904366</v>
      </c>
      <c r="H1932" s="8" t="s">
        <v>1986</v>
      </c>
    </row>
    <row r="1933">
      <c r="D1933" s="15"/>
      <c r="E1933" s="8" t="s">
        <v>178</v>
      </c>
      <c r="F1933" s="31" t="s">
        <v>210</v>
      </c>
      <c r="G1933" s="84" t="str">
        <f>HYPERLINK("https://docs.google.com/spreadsheets/d/1HGe3dAlsgJRn36cCbxJKtPQ96zDUIKyJ8BAQkQUUwB8/edit#gid=1333639814", "https://docs.google.com/spreadsheets/d/1HGe3dAlsgJRn36cCbxJKtPQ96zDUIKyJ8BAQkQUUwB8/edit#gid=1333639814")</f>
        <v>https://docs.google.com/spreadsheets/d/1HGe3dAlsgJRn36cCbxJKtPQ96zDUIKyJ8BAQkQUUwB8/edit#gid=1333639814</v>
      </c>
      <c r="H1933" s="8" t="s">
        <v>1987</v>
      </c>
    </row>
    <row r="1934">
      <c r="D1934" s="15"/>
      <c r="E1934" s="8" t="s">
        <v>86</v>
      </c>
      <c r="F1934" s="31" t="s">
        <v>90</v>
      </c>
      <c r="G1934" s="84" t="str">
        <f>HYPERLINK("https://docs.google.com/spreadsheets/d/1HGe3dAlsgJRn36cCbxJKtPQ96zDUIKyJ8BAQkQUUwB8/edit#gid=363910209", "https://docs.google.com/spreadsheets/d/1HGe3dAlsgJRn36cCbxJKtPQ96zDUIKyJ8BAQkQUUwB8/edit#gid=363910209")</f>
        <v>https://docs.google.com/spreadsheets/d/1HGe3dAlsgJRn36cCbxJKtPQ96zDUIKyJ8BAQkQUUwB8/edit#gid=363910209</v>
      </c>
      <c r="H1934" s="8" t="s">
        <v>2022</v>
      </c>
    </row>
    <row r="1935">
      <c r="D1935" s="15"/>
      <c r="E1935" s="8" t="s">
        <v>86</v>
      </c>
      <c r="F1935" s="31" t="s">
        <v>338</v>
      </c>
      <c r="G1935" s="84" t="str">
        <f>HYPERLINK("https://docs.google.com/spreadsheets/d/1HGe3dAlsgJRn36cCbxJKtPQ96zDUIKyJ8BAQkQUUwB8/edit#gid=1491175074", "https://docs.google.com/spreadsheets/d/1HGe3dAlsgJRn36cCbxJKtPQ96zDUIKyJ8BAQkQUUwB8/edit#gid=1491175074")</f>
        <v>https://docs.google.com/spreadsheets/d/1HGe3dAlsgJRn36cCbxJKtPQ96zDUIKyJ8BAQkQUUwB8/edit#gid=1491175074</v>
      </c>
      <c r="H1935" s="8" t="s">
        <v>338</v>
      </c>
    </row>
    <row r="1936">
      <c r="D1936" s="15"/>
      <c r="E1936" s="31" t="s">
        <v>88</v>
      </c>
      <c r="F1936" s="31" t="s">
        <v>95</v>
      </c>
      <c r="G1936" s="84" t="str">
        <f>HYPERLINK("https://docs.google.com/spreadsheets/d/1HGe3dAlsgJRn36cCbxJKtPQ96zDUIKyJ8BAQkQUUwB8/edit#gid=124467796", "https://docs.google.com/spreadsheets/d/1HGe3dAlsgJRn36cCbxJKtPQ96zDUIKyJ8BAQkQUUwB8/edit#gid=124467796")</f>
        <v>https://docs.google.com/spreadsheets/d/1HGe3dAlsgJRn36cCbxJKtPQ96zDUIKyJ8BAQkQUUwB8/edit#gid=124467796</v>
      </c>
      <c r="H1936" s="8" t="s">
        <v>95</v>
      </c>
    </row>
    <row r="1937">
      <c r="D1937" s="15"/>
      <c r="E1937" s="31" t="s">
        <v>88</v>
      </c>
      <c r="F1937" s="31" t="s">
        <v>96</v>
      </c>
      <c r="G1937" s="84" t="str">
        <f>HYPERLINK("https://docs.google.com/spreadsheets/d/1HGe3dAlsgJRn36cCbxJKtPQ96zDUIKyJ8BAQkQUUwB8/edit#gid=1227224364", "https://docs.google.com/spreadsheets/d/1HGe3dAlsgJRn36cCbxJKtPQ96zDUIKyJ8BAQkQUUwB8/edit#gid=1227224364")</f>
        <v>https://docs.google.com/spreadsheets/d/1HGe3dAlsgJRn36cCbxJKtPQ96zDUIKyJ8BAQkQUUwB8/edit#gid=1227224364</v>
      </c>
      <c r="H1937" s="8" t="s">
        <v>96</v>
      </c>
    </row>
    <row r="1938">
      <c r="D1938" s="15"/>
      <c r="E1938" s="32"/>
      <c r="F1938" s="35"/>
      <c r="H1938" s="35"/>
    </row>
    <row r="1939">
      <c r="B1939" s="35" t="s">
        <v>2173</v>
      </c>
      <c r="C1939" s="35" t="s">
        <v>2082</v>
      </c>
      <c r="D1939" s="32" t="s">
        <v>20</v>
      </c>
      <c r="E1939" s="32" t="s">
        <v>89</v>
      </c>
      <c r="F1939" s="35" t="s">
        <v>291</v>
      </c>
      <c r="H1939" s="36"/>
    </row>
    <row r="1940">
      <c r="B1940" s="35" t="s">
        <v>2174</v>
      </c>
      <c r="C1940" s="210" t="s">
        <v>2175</v>
      </c>
      <c r="D1940" s="32" t="s">
        <v>20</v>
      </c>
      <c r="E1940" s="32" t="s">
        <v>178</v>
      </c>
      <c r="F1940" s="35" t="s">
        <v>201</v>
      </c>
      <c r="G1940" s="84" t="str">
        <f>HYPERLINK("https://docs.google.com/spreadsheets/d/1MsLKrg7PzAoGcV9Xjh7B3o7KPRTrRi_9IcXJNMcwVJ4/edit#gid=370954569", "https://docs.google.com/spreadsheets/d/1MsLKrg7PzAoGcV9Xjh7B3o7KPRTrRi_9IcXJNMcwVJ4/edit#gid=370954569")</f>
        <v>https://docs.google.com/spreadsheets/d/1MsLKrg7PzAoGcV9Xjh7B3o7KPRTrRi_9IcXJNMcwVJ4/edit#gid=370954569</v>
      </c>
      <c r="H1940" s="35" t="s">
        <v>201</v>
      </c>
    </row>
    <row r="1941">
      <c r="D1941" s="15"/>
      <c r="E1941" s="32" t="s">
        <v>178</v>
      </c>
      <c r="F1941" s="35" t="s">
        <v>202</v>
      </c>
      <c r="G1941" s="84" t="str">
        <f>HYPERLINK("https://docs.google.com/spreadsheets/d/1MsLKrg7PzAoGcV9Xjh7B3o7KPRTrRi_9IcXJNMcwVJ4/edit#gid=1568203460", "https://docs.google.com/spreadsheets/d/1MsLKrg7PzAoGcV9Xjh7B3o7KPRTrRi_9IcXJNMcwVJ4/edit#gid=1568203460")</f>
        <v>https://docs.google.com/spreadsheets/d/1MsLKrg7PzAoGcV9Xjh7B3o7KPRTrRi_9IcXJNMcwVJ4/edit#gid=1568203460</v>
      </c>
      <c r="H1941" s="35" t="s">
        <v>202</v>
      </c>
    </row>
    <row r="1942">
      <c r="D1942" s="15"/>
      <c r="E1942" s="32" t="s">
        <v>21</v>
      </c>
      <c r="F1942" s="35" t="s">
        <v>51</v>
      </c>
      <c r="G1942" s="84" t="str">
        <f>HYPERLINK("https://docs.google.com/spreadsheets/d/1MsLKrg7PzAoGcV9Xjh7B3o7KPRTrRi_9IcXJNMcwVJ4/edit#gid=790040042", "https://docs.google.com/spreadsheets/d/1MsLKrg7PzAoGcV9Xjh7B3o7KPRTrRi_9IcXJNMcwVJ4/edit#gid=790040042")</f>
        <v>https://docs.google.com/spreadsheets/d/1MsLKrg7PzAoGcV9Xjh7B3o7KPRTrRi_9IcXJNMcwVJ4/edit#gid=790040042</v>
      </c>
      <c r="H1942" s="35" t="s">
        <v>51</v>
      </c>
    </row>
    <row r="1943">
      <c r="D1943" s="15"/>
      <c r="E1943" s="32" t="s">
        <v>172</v>
      </c>
      <c r="F1943" s="35" t="s">
        <v>173</v>
      </c>
      <c r="G1943" s="84" t="str">
        <f>HYPERLINK("https://docs.google.com/spreadsheets/d/1MsLKrg7PzAoGcV9Xjh7B3o7KPRTrRi_9IcXJNMcwVJ4/edit#gid=755825200", "https://docs.google.com/spreadsheets/d/1MsLKrg7PzAoGcV9Xjh7B3o7KPRTrRi_9IcXJNMcwVJ4/edit#gid=755825200")</f>
        <v>https://docs.google.com/spreadsheets/d/1MsLKrg7PzAoGcV9Xjh7B3o7KPRTrRi_9IcXJNMcwVJ4/edit#gid=755825200</v>
      </c>
      <c r="H1943" s="35" t="s">
        <v>173</v>
      </c>
    </row>
    <row r="1944">
      <c r="D1944" s="15"/>
      <c r="E1944" s="32" t="s">
        <v>172</v>
      </c>
      <c r="F1944" s="35" t="s">
        <v>402</v>
      </c>
      <c r="G1944" s="84" t="str">
        <f>HYPERLINK("https://docs.google.com/spreadsheets/d/1MsLKrg7PzAoGcV9Xjh7B3o7KPRTrRi_9IcXJNMcwVJ4/edit#gid=2086054323", "https://docs.google.com/spreadsheets/d/1MsLKrg7PzAoGcV9Xjh7B3o7KPRTrRi_9IcXJNMcwVJ4/edit#gid=2086054323")</f>
        <v>https://docs.google.com/spreadsheets/d/1MsLKrg7PzAoGcV9Xjh7B3o7KPRTrRi_9IcXJNMcwVJ4/edit#gid=2086054323</v>
      </c>
      <c r="H1944" s="35" t="s">
        <v>402</v>
      </c>
    </row>
    <row r="1945">
      <c r="D1945" s="15"/>
      <c r="E1945" s="32" t="s">
        <v>172</v>
      </c>
      <c r="F1945" s="35" t="s">
        <v>203</v>
      </c>
      <c r="G1945" s="84" t="str">
        <f>HYPERLINK("https://docs.google.com/spreadsheets/d/1MsLKrg7PzAoGcV9Xjh7B3o7KPRTrRi_9IcXJNMcwVJ4/edit#gid=1698549114", "https://docs.google.com/spreadsheets/d/1MsLKrg7PzAoGcV9Xjh7B3o7KPRTrRi_9IcXJNMcwVJ4/edit#gid=1698549114")</f>
        <v>https://docs.google.com/spreadsheets/d/1MsLKrg7PzAoGcV9Xjh7B3o7KPRTrRi_9IcXJNMcwVJ4/edit#gid=1698549114</v>
      </c>
      <c r="H1945" s="35" t="s">
        <v>203</v>
      </c>
    </row>
    <row r="1946">
      <c r="D1946" s="15"/>
      <c r="E1946" s="32" t="s">
        <v>172</v>
      </c>
      <c r="F1946" s="35" t="s">
        <v>204</v>
      </c>
      <c r="G1946" s="84" t="str">
        <f>HYPERLINK("https://docs.google.com/spreadsheets/d/1MsLKrg7PzAoGcV9Xjh7B3o7KPRTrRi_9IcXJNMcwVJ4/edit#gid=2030856192", "https://docs.google.com/spreadsheets/d/1MsLKrg7PzAoGcV9Xjh7B3o7KPRTrRi_9IcXJNMcwVJ4/edit#gid=2030856192")</f>
        <v>https://docs.google.com/spreadsheets/d/1MsLKrg7PzAoGcV9Xjh7B3o7KPRTrRi_9IcXJNMcwVJ4/edit#gid=2030856192</v>
      </c>
      <c r="H1946" s="35" t="s">
        <v>204</v>
      </c>
    </row>
    <row r="1947">
      <c r="D1947" s="15"/>
      <c r="E1947" s="32" t="s">
        <v>178</v>
      </c>
      <c r="F1947" s="35" t="s">
        <v>205</v>
      </c>
      <c r="G1947" s="84" t="str">
        <f>HYPERLINK("https://docs.google.com/spreadsheets/d/1MsLKrg7PzAoGcV9Xjh7B3o7KPRTrRi_9IcXJNMcwVJ4/edit#gid=916393107", "https://docs.google.com/spreadsheets/d/1MsLKrg7PzAoGcV9Xjh7B3o7KPRTrRi_9IcXJNMcwVJ4/edit#gid=916393107")</f>
        <v>https://docs.google.com/spreadsheets/d/1MsLKrg7PzAoGcV9Xjh7B3o7KPRTrRi_9IcXJNMcwVJ4/edit#gid=916393107</v>
      </c>
      <c r="H1947" s="35" t="s">
        <v>205</v>
      </c>
    </row>
    <row r="1948">
      <c r="D1948" s="15"/>
      <c r="E1948" s="32" t="s">
        <v>178</v>
      </c>
      <c r="F1948" s="35" t="s">
        <v>206</v>
      </c>
      <c r="H1948" s="36"/>
    </row>
    <row r="1949">
      <c r="D1949" s="15"/>
      <c r="E1949" s="32" t="s">
        <v>178</v>
      </c>
      <c r="F1949" s="35" t="s">
        <v>207</v>
      </c>
      <c r="G1949" s="84" t="str">
        <f>HYPERLINK("https://docs.google.com/spreadsheets/d/1MsLKrg7PzAoGcV9Xjh7B3o7KPRTrRi_9IcXJNMcwVJ4/edit#gid=459073892", "https://docs.google.com/spreadsheets/d/1MsLKrg7PzAoGcV9Xjh7B3o7KPRTrRi_9IcXJNMcwVJ4/edit#gid=459073892")</f>
        <v>https://docs.google.com/spreadsheets/d/1MsLKrg7PzAoGcV9Xjh7B3o7KPRTrRi_9IcXJNMcwVJ4/edit#gid=459073892</v>
      </c>
      <c r="H1949" s="35" t="s">
        <v>207</v>
      </c>
    </row>
    <row r="1950">
      <c r="D1950" s="15"/>
      <c r="E1950" s="32" t="s">
        <v>172</v>
      </c>
      <c r="F1950" s="35" t="s">
        <v>173</v>
      </c>
      <c r="G1950" s="84" t="str">
        <f>HYPERLINK("https://docs.google.com/spreadsheets/d/1MsLKrg7PzAoGcV9Xjh7B3o7KPRTrRi_9IcXJNMcwVJ4/edit#gid=1760823178", "https://docs.google.com/spreadsheets/d/1MsLKrg7PzAoGcV9Xjh7B3o7KPRTrRi_9IcXJNMcwVJ4/edit#gid=1760823178")</f>
        <v>https://docs.google.com/spreadsheets/d/1MsLKrg7PzAoGcV9Xjh7B3o7KPRTrRi_9IcXJNMcwVJ4/edit#gid=1760823178</v>
      </c>
      <c r="H1950" s="35" t="s">
        <v>269</v>
      </c>
    </row>
    <row r="1951">
      <c r="D1951" s="15"/>
      <c r="E1951" s="32" t="s">
        <v>172</v>
      </c>
      <c r="F1951" s="35" t="s">
        <v>402</v>
      </c>
      <c r="G1951" s="84" t="str">
        <f>HYPERLINK("https://docs.google.com/spreadsheets/d/1MsLKrg7PzAoGcV9Xjh7B3o7KPRTrRi_9IcXJNMcwVJ4/edit#gid=614757177", "https://docs.google.com/spreadsheets/d/1MsLKrg7PzAoGcV9Xjh7B3o7KPRTrRi_9IcXJNMcwVJ4/edit#gid=614757177")</f>
        <v>https://docs.google.com/spreadsheets/d/1MsLKrg7PzAoGcV9Xjh7B3o7KPRTrRi_9IcXJNMcwVJ4/edit#gid=614757177</v>
      </c>
      <c r="H1951" s="35" t="s">
        <v>2053</v>
      </c>
    </row>
    <row r="1952">
      <c r="D1952" s="15"/>
      <c r="E1952" s="32" t="s">
        <v>172</v>
      </c>
      <c r="F1952" s="35" t="s">
        <v>203</v>
      </c>
      <c r="G1952" s="84" t="str">
        <f>HYPERLINK("https://docs.google.com/spreadsheets/d/1MsLKrg7PzAoGcV9Xjh7B3o7KPRTrRi_9IcXJNMcwVJ4/edit#gid=946608884", "https://docs.google.com/spreadsheets/d/1MsLKrg7PzAoGcV9Xjh7B3o7KPRTrRi_9IcXJNMcwVJ4/edit#gid=946608884")</f>
        <v>https://docs.google.com/spreadsheets/d/1MsLKrg7PzAoGcV9Xjh7B3o7KPRTrRi_9IcXJNMcwVJ4/edit#gid=946608884</v>
      </c>
      <c r="H1952" s="35" t="s">
        <v>1995</v>
      </c>
    </row>
    <row r="1953">
      <c r="D1953" s="15"/>
      <c r="E1953" s="32" t="s">
        <v>172</v>
      </c>
      <c r="F1953" s="35" t="s">
        <v>204</v>
      </c>
      <c r="G1953" s="84" t="str">
        <f>HYPERLINK("https://docs.google.com/spreadsheets/d/1MsLKrg7PzAoGcV9Xjh7B3o7KPRTrRi_9IcXJNMcwVJ4/edit#gid=1655098206", "https://docs.google.com/spreadsheets/d/1MsLKrg7PzAoGcV9Xjh7B3o7KPRTrRi_9IcXJNMcwVJ4/edit#gid=1655098206")</f>
        <v>https://docs.google.com/spreadsheets/d/1MsLKrg7PzAoGcV9Xjh7B3o7KPRTrRi_9IcXJNMcwVJ4/edit#gid=1655098206</v>
      </c>
      <c r="H1953" s="35" t="s">
        <v>1996</v>
      </c>
    </row>
    <row r="1954">
      <c r="D1954" s="15"/>
      <c r="E1954" s="32" t="s">
        <v>178</v>
      </c>
      <c r="F1954" s="35" t="s">
        <v>205</v>
      </c>
      <c r="G1954" s="84" t="str">
        <f>HYPERLINK("https://docs.google.com/spreadsheets/d/1MsLKrg7PzAoGcV9Xjh7B3o7KPRTrRi_9IcXJNMcwVJ4/edit#gid=836948895", "https://docs.google.com/spreadsheets/d/1MsLKrg7PzAoGcV9Xjh7B3o7KPRTrRi_9IcXJNMcwVJ4/edit#gid=836948895")</f>
        <v>https://docs.google.com/spreadsheets/d/1MsLKrg7PzAoGcV9Xjh7B3o7KPRTrRi_9IcXJNMcwVJ4/edit#gid=836948895</v>
      </c>
      <c r="H1954" s="35" t="s">
        <v>1997</v>
      </c>
    </row>
    <row r="1955">
      <c r="D1955" s="15"/>
      <c r="E1955" s="32" t="s">
        <v>178</v>
      </c>
      <c r="F1955" s="35" t="s">
        <v>206</v>
      </c>
    </row>
    <row r="1956">
      <c r="D1956" s="15"/>
      <c r="E1956" s="32" t="s">
        <v>178</v>
      </c>
      <c r="F1956" s="35" t="s">
        <v>207</v>
      </c>
      <c r="G1956" s="84" t="str">
        <f>HYPERLINK("https://docs.google.com/spreadsheets/d/1MsLKrg7PzAoGcV9Xjh7B3o7KPRTrRi_9IcXJNMcwVJ4/edit#gid=1250721946", "https://docs.google.com/spreadsheets/d/1MsLKrg7PzAoGcV9Xjh7B3o7KPRTrRi_9IcXJNMcwVJ4/edit#gid=1250721946")</f>
        <v>https://docs.google.com/spreadsheets/d/1MsLKrg7PzAoGcV9Xjh7B3o7KPRTrRi_9IcXJNMcwVJ4/edit#gid=1250721946</v>
      </c>
      <c r="H1956" s="35" t="s">
        <v>1998</v>
      </c>
    </row>
    <row r="1957">
      <c r="D1957" s="15"/>
      <c r="E1957" s="32" t="s">
        <v>178</v>
      </c>
      <c r="F1957" s="35" t="s">
        <v>208</v>
      </c>
      <c r="G1957" s="84" t="str">
        <f>HYPERLINK("https://docs.google.com/spreadsheets/d/1MsLKrg7PzAoGcV9Xjh7B3o7KPRTrRi_9IcXJNMcwVJ4/edit#gid=1346241762", "https://docs.google.com/spreadsheets/d/1MsLKrg7PzAoGcV9Xjh7B3o7KPRTrRi_9IcXJNMcwVJ4/edit#gid=1346241762")</f>
        <v>https://docs.google.com/spreadsheets/d/1MsLKrg7PzAoGcV9Xjh7B3o7KPRTrRi_9IcXJNMcwVJ4/edit#gid=1346241762</v>
      </c>
      <c r="H1957" s="35" t="s">
        <v>208</v>
      </c>
    </row>
    <row r="1958">
      <c r="D1958" s="15"/>
      <c r="E1958" s="32" t="s">
        <v>178</v>
      </c>
      <c r="F1958" s="35" t="s">
        <v>182</v>
      </c>
      <c r="G1958" s="84" t="str">
        <f>HYPERLINK("https://docs.google.com/spreadsheets/d/1MsLKrg7PzAoGcV9Xjh7B3o7KPRTrRi_9IcXJNMcwVJ4/edit#gid=588672226", "https://docs.google.com/spreadsheets/d/1MsLKrg7PzAoGcV9Xjh7B3o7KPRTrRi_9IcXJNMcwVJ4/edit#gid=588672226")</f>
        <v>https://docs.google.com/spreadsheets/d/1MsLKrg7PzAoGcV9Xjh7B3o7KPRTrRi_9IcXJNMcwVJ4/edit#gid=588672226</v>
      </c>
      <c r="H1958" s="35" t="s">
        <v>182</v>
      </c>
    </row>
    <row r="1959">
      <c r="D1959" s="15"/>
      <c r="E1959" s="32" t="s">
        <v>178</v>
      </c>
      <c r="F1959" s="35" t="s">
        <v>180</v>
      </c>
      <c r="G1959" s="84" t="str">
        <f>HYPERLINK("https://docs.google.com/spreadsheets/d/1MsLKrg7PzAoGcV9Xjh7B3o7KPRTrRi_9IcXJNMcwVJ4/edit#gid=362826907", "https://docs.google.com/spreadsheets/d/1MsLKrg7PzAoGcV9Xjh7B3o7KPRTrRi_9IcXJNMcwVJ4/edit#gid=362826907")</f>
        <v>https://docs.google.com/spreadsheets/d/1MsLKrg7PzAoGcV9Xjh7B3o7KPRTrRi_9IcXJNMcwVJ4/edit#gid=362826907</v>
      </c>
      <c r="H1959" s="35" t="s">
        <v>180</v>
      </c>
    </row>
    <row r="1960">
      <c r="D1960" s="15"/>
      <c r="E1960" s="32" t="s">
        <v>178</v>
      </c>
      <c r="F1960" s="35" t="s">
        <v>209</v>
      </c>
      <c r="G1960" s="84" t="str">
        <f>HYPERLINK("https://docs.google.com/spreadsheets/d/1MsLKrg7PzAoGcV9Xjh7B3o7KPRTrRi_9IcXJNMcwVJ4/edit#gid=1358550335", "https://docs.google.com/spreadsheets/d/1MsLKrg7PzAoGcV9Xjh7B3o7KPRTrRi_9IcXJNMcwVJ4/edit#gid=1358550335")</f>
        <v>https://docs.google.com/spreadsheets/d/1MsLKrg7PzAoGcV9Xjh7B3o7KPRTrRi_9IcXJNMcwVJ4/edit#gid=1358550335</v>
      </c>
      <c r="H1960" s="35" t="s">
        <v>209</v>
      </c>
    </row>
    <row r="1961">
      <c r="D1961" s="15"/>
      <c r="E1961" s="32" t="s">
        <v>178</v>
      </c>
      <c r="F1961" s="35" t="s">
        <v>210</v>
      </c>
      <c r="G1961" s="84" t="str">
        <f>HYPERLINK("https://docs.google.com/spreadsheets/d/1MsLKrg7PzAoGcV9Xjh7B3o7KPRTrRi_9IcXJNMcwVJ4/edit#gid=1053929182", "https://docs.google.com/spreadsheets/d/1MsLKrg7PzAoGcV9Xjh7B3o7KPRTrRi_9IcXJNMcwVJ4/edit#gid=1053929182")</f>
        <v>https://docs.google.com/spreadsheets/d/1MsLKrg7PzAoGcV9Xjh7B3o7KPRTrRi_9IcXJNMcwVJ4/edit#gid=1053929182</v>
      </c>
      <c r="H1961" s="35" t="s">
        <v>210</v>
      </c>
    </row>
    <row r="1962">
      <c r="D1962" s="15"/>
      <c r="E1962" s="32" t="s">
        <v>157</v>
      </c>
      <c r="F1962" s="35" t="s">
        <v>161</v>
      </c>
      <c r="G1962" s="84" t="str">
        <f>HYPERLINK("https://docs.google.com/spreadsheets/d/1MsLKrg7PzAoGcV9Xjh7B3o7KPRTrRi_9IcXJNMcwVJ4/edit#gid=1422354813", "https://docs.google.com/spreadsheets/d/1MsLKrg7PzAoGcV9Xjh7B3o7KPRTrRi_9IcXJNMcwVJ4/edit#gid=1422354813")</f>
        <v>https://docs.google.com/spreadsheets/d/1MsLKrg7PzAoGcV9Xjh7B3o7KPRTrRi_9IcXJNMcwVJ4/edit#gid=1422354813</v>
      </c>
      <c r="H1962" s="35" t="s">
        <v>161</v>
      </c>
    </row>
    <row r="1963">
      <c r="D1963" s="15"/>
      <c r="E1963" s="32" t="s">
        <v>157</v>
      </c>
      <c r="F1963" s="35" t="s">
        <v>158</v>
      </c>
      <c r="G1963" s="84" t="str">
        <f>HYPERLINK("https://docs.google.com/spreadsheets/d/1MsLKrg7PzAoGcV9Xjh7B3o7KPRTrRi_9IcXJNMcwVJ4/edit#gid=2050210638", "https://docs.google.com/spreadsheets/d/1MsLKrg7PzAoGcV9Xjh7B3o7KPRTrRi_9IcXJNMcwVJ4/edit#gid=2050210638")</f>
        <v>https://docs.google.com/spreadsheets/d/1MsLKrg7PzAoGcV9Xjh7B3o7KPRTrRi_9IcXJNMcwVJ4/edit#gid=2050210638</v>
      </c>
      <c r="H1963" s="35" t="s">
        <v>158</v>
      </c>
    </row>
    <row r="1964">
      <c r="D1964" s="15"/>
      <c r="E1964" s="32" t="s">
        <v>157</v>
      </c>
      <c r="F1964" s="35" t="s">
        <v>196</v>
      </c>
      <c r="G1964" s="84" t="str">
        <f>HYPERLINK("https://docs.google.com/spreadsheets/d/1MsLKrg7PzAoGcV9Xjh7B3o7KPRTrRi_9IcXJNMcwVJ4/edit#gid=785727681", "https://docs.google.com/spreadsheets/d/1MsLKrg7PzAoGcV9Xjh7B3o7KPRTrRi_9IcXJNMcwVJ4/edit#gid=785727681")</f>
        <v>https://docs.google.com/spreadsheets/d/1MsLKrg7PzAoGcV9Xjh7B3o7KPRTrRi_9IcXJNMcwVJ4/edit#gid=785727681</v>
      </c>
      <c r="H1964" s="35" t="s">
        <v>196</v>
      </c>
    </row>
    <row r="1965">
      <c r="D1965" s="15"/>
      <c r="E1965" s="32" t="s">
        <v>172</v>
      </c>
      <c r="F1965" s="35" t="s">
        <v>173</v>
      </c>
      <c r="G1965" s="84" t="str">
        <f>HYPERLINK("https://docs.google.com/spreadsheets/d/1MsLKrg7PzAoGcV9Xjh7B3o7KPRTrRi_9IcXJNMcwVJ4/edit#gid=862877559", "https://docs.google.com/spreadsheets/d/1MsLKrg7PzAoGcV9Xjh7B3o7KPRTrRi_9IcXJNMcwVJ4/edit#gid=862877559")</f>
        <v>https://docs.google.com/spreadsheets/d/1MsLKrg7PzAoGcV9Xjh7B3o7KPRTrRi_9IcXJNMcwVJ4/edit#gid=862877559</v>
      </c>
      <c r="H1965" s="35" t="s">
        <v>2054</v>
      </c>
    </row>
    <row r="1966">
      <c r="D1966" s="15"/>
      <c r="E1966" s="32" t="s">
        <v>172</v>
      </c>
      <c r="F1966" s="35" t="s">
        <v>402</v>
      </c>
      <c r="G1966" s="84" t="str">
        <f>HYPERLINK("https://docs.google.com/spreadsheets/d/1MsLKrg7PzAoGcV9Xjh7B3o7KPRTrRi_9IcXJNMcwVJ4/edit#gid=1025565697", "https://docs.google.com/spreadsheets/d/1MsLKrg7PzAoGcV9Xjh7B3o7KPRTrRi_9IcXJNMcwVJ4/edit#gid=1025565697")</f>
        <v>https://docs.google.com/spreadsheets/d/1MsLKrg7PzAoGcV9Xjh7B3o7KPRTrRi_9IcXJNMcwVJ4/edit#gid=1025565697</v>
      </c>
      <c r="H1966" s="35" t="s">
        <v>2055</v>
      </c>
    </row>
    <row r="1967">
      <c r="D1967" s="15"/>
      <c r="E1967" s="32" t="s">
        <v>172</v>
      </c>
      <c r="F1967" s="35" t="s">
        <v>203</v>
      </c>
      <c r="G1967" s="84" t="str">
        <f>HYPERLINK("https://docs.google.com/spreadsheets/d/1MsLKrg7PzAoGcV9Xjh7B3o7KPRTrRi_9IcXJNMcwVJ4/edit#gid=2017405666", "https://docs.google.com/spreadsheets/d/1MsLKrg7PzAoGcV9Xjh7B3o7KPRTrRi_9IcXJNMcwVJ4/edit#gid=2017405666")</f>
        <v>https://docs.google.com/spreadsheets/d/1MsLKrg7PzAoGcV9Xjh7B3o7KPRTrRi_9IcXJNMcwVJ4/edit#gid=2017405666</v>
      </c>
      <c r="H1967" s="35" t="s">
        <v>1999</v>
      </c>
    </row>
    <row r="1968">
      <c r="D1968" s="15"/>
      <c r="E1968" s="32" t="s">
        <v>172</v>
      </c>
      <c r="F1968" s="35" t="s">
        <v>204</v>
      </c>
      <c r="G1968" s="84" t="str">
        <f>HYPERLINK("https://docs.google.com/spreadsheets/d/1MsLKrg7PzAoGcV9Xjh7B3o7KPRTrRi_9IcXJNMcwVJ4/edit#gid=1396787828", "https://docs.google.com/spreadsheets/d/1MsLKrg7PzAoGcV9Xjh7B3o7KPRTrRi_9IcXJNMcwVJ4/edit#gid=1396787828")</f>
        <v>https://docs.google.com/spreadsheets/d/1MsLKrg7PzAoGcV9Xjh7B3o7KPRTrRi_9IcXJNMcwVJ4/edit#gid=1396787828</v>
      </c>
      <c r="H1968" s="35" t="s">
        <v>2000</v>
      </c>
    </row>
    <row r="1969">
      <c r="D1969" s="15"/>
      <c r="E1969" s="32" t="s">
        <v>178</v>
      </c>
      <c r="F1969" s="35" t="s">
        <v>207</v>
      </c>
      <c r="G1969" s="84" t="str">
        <f>HYPERLINK("https://docs.google.com/spreadsheets/d/1MsLKrg7PzAoGcV9Xjh7B3o7KPRTrRi_9IcXJNMcwVJ4/edit#gid=1448161835", "https://docs.google.com/spreadsheets/d/1MsLKrg7PzAoGcV9Xjh7B3o7KPRTrRi_9IcXJNMcwVJ4/edit#gid=1448161835")</f>
        <v>https://docs.google.com/spreadsheets/d/1MsLKrg7PzAoGcV9Xjh7B3o7KPRTrRi_9IcXJNMcwVJ4/edit#gid=1448161835</v>
      </c>
      <c r="H1969" s="35" t="s">
        <v>2001</v>
      </c>
    </row>
    <row r="1970">
      <c r="D1970" s="15"/>
      <c r="E1970" s="32" t="s">
        <v>178</v>
      </c>
      <c r="F1970" s="35" t="s">
        <v>208</v>
      </c>
      <c r="G1970" s="84" t="str">
        <f>HYPERLINK("https://docs.google.com/spreadsheets/d/1MsLKrg7PzAoGcV9Xjh7B3o7KPRTrRi_9IcXJNMcwVJ4/edit#gid=336662583", "https://docs.google.com/spreadsheets/d/1MsLKrg7PzAoGcV9Xjh7B3o7KPRTrRi_9IcXJNMcwVJ4/edit#gid=336662583")</f>
        <v>https://docs.google.com/spreadsheets/d/1MsLKrg7PzAoGcV9Xjh7B3o7KPRTrRi_9IcXJNMcwVJ4/edit#gid=336662583</v>
      </c>
      <c r="H1970" s="35" t="s">
        <v>2002</v>
      </c>
    </row>
    <row r="1971">
      <c r="D1971" s="15"/>
      <c r="E1971" s="32" t="s">
        <v>178</v>
      </c>
      <c r="F1971" s="35" t="s">
        <v>182</v>
      </c>
      <c r="G1971" s="84" t="str">
        <f>HYPERLINK("https://docs.google.com/spreadsheets/d/1MsLKrg7PzAoGcV9Xjh7B3o7KPRTrRi_9IcXJNMcwVJ4/edit#gid=668349204", "https://docs.google.com/spreadsheets/d/1MsLKrg7PzAoGcV9Xjh7B3o7KPRTrRi_9IcXJNMcwVJ4/edit#gid=668349204")</f>
        <v>https://docs.google.com/spreadsheets/d/1MsLKrg7PzAoGcV9Xjh7B3o7KPRTrRi_9IcXJNMcwVJ4/edit#gid=668349204</v>
      </c>
      <c r="H1971" s="35" t="s">
        <v>2003</v>
      </c>
    </row>
    <row r="1972">
      <c r="D1972" s="15"/>
      <c r="E1972" s="32" t="s">
        <v>178</v>
      </c>
      <c r="F1972" s="35" t="s">
        <v>180</v>
      </c>
      <c r="G1972" s="84" t="str">
        <f>HYPERLINK("https://docs.google.com/spreadsheets/d/1MsLKrg7PzAoGcV9Xjh7B3o7KPRTrRi_9IcXJNMcwVJ4/edit#gid=1358803358", "https://docs.google.com/spreadsheets/d/1MsLKrg7PzAoGcV9Xjh7B3o7KPRTrRi_9IcXJNMcwVJ4/edit#gid=1358803358")</f>
        <v>https://docs.google.com/spreadsheets/d/1MsLKrg7PzAoGcV9Xjh7B3o7KPRTrRi_9IcXJNMcwVJ4/edit#gid=1358803358</v>
      </c>
      <c r="H1972" s="35" t="s">
        <v>2009</v>
      </c>
    </row>
    <row r="1973">
      <c r="D1973" s="15"/>
      <c r="E1973" s="32" t="s">
        <v>178</v>
      </c>
      <c r="F1973" s="35" t="s">
        <v>209</v>
      </c>
      <c r="G1973" s="84" t="str">
        <f>HYPERLINK("https://docs.google.com/spreadsheets/d/1MsLKrg7PzAoGcV9Xjh7B3o7KPRTrRi_9IcXJNMcwVJ4/edit#gid=1673911953", "https://docs.google.com/spreadsheets/d/1MsLKrg7PzAoGcV9Xjh7B3o7KPRTrRi_9IcXJNMcwVJ4/edit#gid=1673911953")</f>
        <v>https://docs.google.com/spreadsheets/d/1MsLKrg7PzAoGcV9Xjh7B3o7KPRTrRi_9IcXJNMcwVJ4/edit#gid=1673911953</v>
      </c>
      <c r="H1973" s="35" t="s">
        <v>1986</v>
      </c>
    </row>
    <row r="1974">
      <c r="D1974" s="15"/>
      <c r="E1974" s="32" t="s">
        <v>178</v>
      </c>
      <c r="F1974" s="35" t="s">
        <v>210</v>
      </c>
      <c r="G1974" s="84" t="str">
        <f>HYPERLINK("https://docs.google.com/spreadsheets/d/1MsLKrg7PzAoGcV9Xjh7B3o7KPRTrRi_9IcXJNMcwVJ4/edit#gid=323795047", "https://docs.google.com/spreadsheets/d/1MsLKrg7PzAoGcV9Xjh7B3o7KPRTrRi_9IcXJNMcwVJ4/edit#gid=323795047")</f>
        <v>https://docs.google.com/spreadsheets/d/1MsLKrg7PzAoGcV9Xjh7B3o7KPRTrRi_9IcXJNMcwVJ4/edit#gid=323795047</v>
      </c>
      <c r="H1974" s="35" t="s">
        <v>1987</v>
      </c>
    </row>
    <row r="1975">
      <c r="D1975" s="15"/>
      <c r="E1975" s="32" t="s">
        <v>86</v>
      </c>
      <c r="F1975" s="35" t="s">
        <v>90</v>
      </c>
      <c r="G1975" s="84" t="str">
        <f>HYPERLINK("https://docs.google.com/spreadsheets/d/1MsLKrg7PzAoGcV9Xjh7B3o7KPRTrRi_9IcXJNMcwVJ4/edit#gid=1116926638", "https://docs.google.com/spreadsheets/d/1MsLKrg7PzAoGcV9Xjh7B3o7KPRTrRi_9IcXJNMcwVJ4/edit#gid=1116926638")</f>
        <v>https://docs.google.com/spreadsheets/d/1MsLKrg7PzAoGcV9Xjh7B3o7KPRTrRi_9IcXJNMcwVJ4/edit#gid=1116926638</v>
      </c>
      <c r="H1975" s="35" t="s">
        <v>90</v>
      </c>
    </row>
    <row r="1976">
      <c r="D1976" s="15"/>
      <c r="E1976" s="32" t="s">
        <v>86</v>
      </c>
      <c r="F1976" s="35" t="s">
        <v>91</v>
      </c>
      <c r="G1976" s="84" t="str">
        <f>HYPERLINK("https://docs.google.com/spreadsheets/d/1MsLKrg7PzAoGcV9Xjh7B3o7KPRTrRi_9IcXJNMcwVJ4/edit#gid=772961228", "https://docs.google.com/spreadsheets/d/1MsLKrg7PzAoGcV9Xjh7B3o7KPRTrRi_9IcXJNMcwVJ4/edit#gid=772961228")</f>
        <v>https://docs.google.com/spreadsheets/d/1MsLKrg7PzAoGcV9Xjh7B3o7KPRTrRi_9IcXJNMcwVJ4/edit#gid=772961228</v>
      </c>
      <c r="H1976" s="35" t="s">
        <v>91</v>
      </c>
    </row>
    <row r="1977">
      <c r="D1977" s="15"/>
      <c r="E1977" s="32" t="s">
        <v>88</v>
      </c>
      <c r="F1977" s="35" t="s">
        <v>95</v>
      </c>
      <c r="G1977" s="84" t="str">
        <f>HYPERLINK("https://docs.google.com/spreadsheets/d/1MsLKrg7PzAoGcV9Xjh7B3o7KPRTrRi_9IcXJNMcwVJ4/edit#gid=1120796277", "https://docs.google.com/spreadsheets/d/1MsLKrg7PzAoGcV9Xjh7B3o7KPRTrRi_9IcXJNMcwVJ4/edit#gid=1120796277")</f>
        <v>https://docs.google.com/spreadsheets/d/1MsLKrg7PzAoGcV9Xjh7B3o7KPRTrRi_9IcXJNMcwVJ4/edit#gid=1120796277</v>
      </c>
      <c r="H1977" s="35" t="s">
        <v>95</v>
      </c>
    </row>
    <row r="1978">
      <c r="D1978" s="15"/>
      <c r="E1978" s="32" t="s">
        <v>88</v>
      </c>
      <c r="F1978" s="35" t="s">
        <v>96</v>
      </c>
      <c r="G1978" s="84" t="str">
        <f>HYPERLINK("https://docs.google.com/spreadsheets/d/1MsLKrg7PzAoGcV9Xjh7B3o7KPRTrRi_9IcXJNMcwVJ4/edit#gid=94510702", "https://docs.google.com/spreadsheets/d/1MsLKrg7PzAoGcV9Xjh7B3o7KPRTrRi_9IcXJNMcwVJ4/edit#gid=94510702")</f>
        <v>https://docs.google.com/spreadsheets/d/1MsLKrg7PzAoGcV9Xjh7B3o7KPRTrRi_9IcXJNMcwVJ4/edit#gid=94510702</v>
      </c>
      <c r="H1978" s="35" t="s">
        <v>96</v>
      </c>
    </row>
    <row r="1979">
      <c r="D1979" s="15"/>
      <c r="E1979" s="32"/>
      <c r="F1979" s="35"/>
      <c r="H1979" s="35"/>
    </row>
    <row r="1980">
      <c r="B1980" s="35" t="s">
        <v>2176</v>
      </c>
      <c r="C1980" s="71" t="s">
        <v>2082</v>
      </c>
      <c r="D1980" s="32" t="s">
        <v>20</v>
      </c>
      <c r="E1980" s="32" t="s">
        <v>89</v>
      </c>
      <c r="F1980" s="35" t="s">
        <v>291</v>
      </c>
      <c r="H1980" s="36"/>
    </row>
    <row r="1981">
      <c r="B1981" s="35" t="s">
        <v>2177</v>
      </c>
      <c r="C1981" s="210" t="s">
        <v>2178</v>
      </c>
      <c r="D1981" s="32" t="s">
        <v>20</v>
      </c>
      <c r="E1981" s="32" t="s">
        <v>178</v>
      </c>
      <c r="F1981" s="35" t="s">
        <v>201</v>
      </c>
      <c r="G1981" s="84" t="str">
        <f>HYPERLINK("https://docs.google.com/spreadsheets/d/1C4j56YPOHmzufoZVh__xwBrJC2-8vXT4fIP3r7xjocY/edit#gid=1800581929", "https://docs.google.com/spreadsheets/d/1C4j56YPOHmzufoZVh__xwBrJC2-8vXT4fIP3r7xjocY/edit#gid=1800581929")</f>
        <v>https://docs.google.com/spreadsheets/d/1C4j56YPOHmzufoZVh__xwBrJC2-8vXT4fIP3r7xjocY/edit#gid=1800581929</v>
      </c>
      <c r="H1981" s="35" t="s">
        <v>201</v>
      </c>
    </row>
    <row r="1982">
      <c r="D1982" s="15"/>
      <c r="E1982" s="32" t="s">
        <v>178</v>
      </c>
      <c r="F1982" s="35" t="s">
        <v>202</v>
      </c>
      <c r="G1982" s="84" t="str">
        <f>HYPERLINK("https://docs.google.com/spreadsheets/d/1C4j56YPOHmzufoZVh__xwBrJC2-8vXT4fIP3r7xjocY/edit#gid=339517977", "https://docs.google.com/spreadsheets/d/1C4j56YPOHmzufoZVh__xwBrJC2-8vXT4fIP3r7xjocY/edit#gid=339517977")</f>
        <v>https://docs.google.com/spreadsheets/d/1C4j56YPOHmzufoZVh__xwBrJC2-8vXT4fIP3r7xjocY/edit#gid=339517977</v>
      </c>
      <c r="H1982" s="35" t="s">
        <v>202</v>
      </c>
    </row>
    <row r="1983">
      <c r="D1983" s="15"/>
      <c r="E1983" s="32" t="s">
        <v>21</v>
      </c>
      <c r="F1983" s="35" t="s">
        <v>51</v>
      </c>
      <c r="G1983" s="84" t="str">
        <f>HYPERLINK("https://docs.google.com/spreadsheets/d/1C4j56YPOHmzufoZVh__xwBrJC2-8vXT4fIP3r7xjocY/edit#gid=122180719", "https://docs.google.com/spreadsheets/d/1C4j56YPOHmzufoZVh__xwBrJC2-8vXT4fIP3r7xjocY/edit#gid=122180719")</f>
        <v>https://docs.google.com/spreadsheets/d/1C4j56YPOHmzufoZVh__xwBrJC2-8vXT4fIP3r7xjocY/edit#gid=122180719</v>
      </c>
      <c r="H1983" s="35" t="s">
        <v>51</v>
      </c>
    </row>
    <row r="1984">
      <c r="D1984" s="15"/>
      <c r="E1984" s="32" t="s">
        <v>172</v>
      </c>
      <c r="F1984" s="35" t="s">
        <v>173</v>
      </c>
      <c r="G1984" s="84" t="str">
        <f>HYPERLINK("https://docs.google.com/spreadsheets/d/1C4j56YPOHmzufoZVh__xwBrJC2-8vXT4fIP3r7xjocY/edit#gid=417519811", "https://docs.google.com/spreadsheets/d/1C4j56YPOHmzufoZVh__xwBrJC2-8vXT4fIP3r7xjocY/edit#gid=417519811")</f>
        <v>https://docs.google.com/spreadsheets/d/1C4j56YPOHmzufoZVh__xwBrJC2-8vXT4fIP3r7xjocY/edit#gid=417519811</v>
      </c>
      <c r="H1984" s="35" t="s">
        <v>173</v>
      </c>
    </row>
    <row r="1985">
      <c r="D1985" s="15"/>
      <c r="E1985" s="32" t="s">
        <v>172</v>
      </c>
      <c r="F1985" s="35" t="s">
        <v>402</v>
      </c>
      <c r="G1985" s="84" t="str">
        <f>HYPERLINK("https://docs.google.com/spreadsheets/d/1C4j56YPOHmzufoZVh__xwBrJC2-8vXT4fIP3r7xjocY/edit#gid=1963454217", "https://docs.google.com/spreadsheets/d/1C4j56YPOHmzufoZVh__xwBrJC2-8vXT4fIP3r7xjocY/edit#gid=1963454217")</f>
        <v>https://docs.google.com/spreadsheets/d/1C4j56YPOHmzufoZVh__xwBrJC2-8vXT4fIP3r7xjocY/edit#gid=1963454217</v>
      </c>
      <c r="H1985" s="35" t="s">
        <v>402</v>
      </c>
    </row>
    <row r="1986">
      <c r="D1986" s="15"/>
      <c r="E1986" s="32" t="s">
        <v>172</v>
      </c>
      <c r="F1986" s="35" t="s">
        <v>203</v>
      </c>
      <c r="G1986" s="84" t="str">
        <f>HYPERLINK("https://docs.google.com/spreadsheets/d/1C4j56YPOHmzufoZVh__xwBrJC2-8vXT4fIP3r7xjocY/edit#gid=1029367216", "https://docs.google.com/spreadsheets/d/1C4j56YPOHmzufoZVh__xwBrJC2-8vXT4fIP3r7xjocY/edit#gid=1029367216")</f>
        <v>https://docs.google.com/spreadsheets/d/1C4j56YPOHmzufoZVh__xwBrJC2-8vXT4fIP3r7xjocY/edit#gid=1029367216</v>
      </c>
      <c r="H1986" s="35" t="s">
        <v>203</v>
      </c>
    </row>
    <row r="1987">
      <c r="D1987" s="15"/>
      <c r="E1987" s="32" t="s">
        <v>172</v>
      </c>
      <c r="F1987" s="35" t="s">
        <v>204</v>
      </c>
      <c r="G1987" s="84" t="str">
        <f>HYPERLINK("https://docs.google.com/spreadsheets/d/1C4j56YPOHmzufoZVh__xwBrJC2-8vXT4fIP3r7xjocY/edit#gid=561379473", "https://docs.google.com/spreadsheets/d/1C4j56YPOHmzufoZVh__xwBrJC2-8vXT4fIP3r7xjocY/edit#gid=561379473")</f>
        <v>https://docs.google.com/spreadsheets/d/1C4j56YPOHmzufoZVh__xwBrJC2-8vXT4fIP3r7xjocY/edit#gid=561379473</v>
      </c>
      <c r="H1987" s="35" t="s">
        <v>204</v>
      </c>
    </row>
    <row r="1988">
      <c r="D1988" s="15"/>
      <c r="E1988" s="32" t="s">
        <v>178</v>
      </c>
      <c r="F1988" s="35" t="s">
        <v>205</v>
      </c>
      <c r="G1988" s="84" t="str">
        <f>HYPERLINK("https://docs.google.com/spreadsheets/d/1C4j56YPOHmzufoZVh__xwBrJC2-8vXT4fIP3r7xjocY/edit#gid=798768213", "https://docs.google.com/spreadsheets/d/1C4j56YPOHmzufoZVh__xwBrJC2-8vXT4fIP3r7xjocY/edit#gid=798768213")</f>
        <v>https://docs.google.com/spreadsheets/d/1C4j56YPOHmzufoZVh__xwBrJC2-8vXT4fIP3r7xjocY/edit#gid=798768213</v>
      </c>
      <c r="H1988" s="35" t="s">
        <v>205</v>
      </c>
    </row>
    <row r="1989">
      <c r="D1989" s="15"/>
      <c r="E1989" s="32" t="s">
        <v>178</v>
      </c>
      <c r="F1989" s="35" t="s">
        <v>206</v>
      </c>
      <c r="H1989" s="36"/>
    </row>
    <row r="1990">
      <c r="D1990" s="15"/>
      <c r="E1990" s="32" t="s">
        <v>178</v>
      </c>
      <c r="F1990" s="35" t="s">
        <v>207</v>
      </c>
      <c r="G1990" s="84" t="str">
        <f>HYPERLINK("https://docs.google.com/spreadsheets/d/1C4j56YPOHmzufoZVh__xwBrJC2-8vXT4fIP3r7xjocY/edit#gid=845533", "https://docs.google.com/spreadsheets/d/1C4j56YPOHmzufoZVh__xwBrJC2-8vXT4fIP3r7xjocY/edit#gid=845533")</f>
        <v>https://docs.google.com/spreadsheets/d/1C4j56YPOHmzufoZVh__xwBrJC2-8vXT4fIP3r7xjocY/edit#gid=845533</v>
      </c>
      <c r="H1990" s="35" t="s">
        <v>207</v>
      </c>
    </row>
    <row r="1991">
      <c r="D1991" s="15"/>
      <c r="E1991" s="32" t="s">
        <v>21</v>
      </c>
      <c r="F1991" s="35" t="s">
        <v>51</v>
      </c>
      <c r="G1991" s="84" t="str">
        <f>HYPERLINK("https://docs.google.com/spreadsheets/d/1C4j56YPOHmzufoZVh__xwBrJC2-8vXT4fIP3r7xjocY/edit#gid=804393027", "https://docs.google.com/spreadsheets/d/1C4j56YPOHmzufoZVh__xwBrJC2-8vXT4fIP3r7xjocY/edit#gid=804393027")</f>
        <v>https://docs.google.com/spreadsheets/d/1C4j56YPOHmzufoZVh__xwBrJC2-8vXT4fIP3r7xjocY/edit#gid=804393027</v>
      </c>
      <c r="H1991" s="35" t="s">
        <v>1383</v>
      </c>
    </row>
    <row r="1992">
      <c r="D1992" s="15"/>
      <c r="E1992" s="32" t="s">
        <v>86</v>
      </c>
      <c r="F1992" s="35" t="s">
        <v>90</v>
      </c>
      <c r="G1992" s="84" t="str">
        <f>HYPERLINK("https://docs.google.com/spreadsheets/d/1C4j56YPOHmzufoZVh__xwBrJC2-8vXT4fIP3r7xjocY/edit#gid=755978393", "https://docs.google.com/spreadsheets/d/1C4j56YPOHmzufoZVh__xwBrJC2-8vXT4fIP3r7xjocY/edit#gid=755978393")</f>
        <v>https://docs.google.com/spreadsheets/d/1C4j56YPOHmzufoZVh__xwBrJC2-8vXT4fIP3r7xjocY/edit#gid=755978393</v>
      </c>
      <c r="H1992" s="35" t="s">
        <v>90</v>
      </c>
    </row>
    <row r="1993">
      <c r="D1993" s="15"/>
      <c r="E1993" s="32" t="s">
        <v>86</v>
      </c>
      <c r="F1993" s="35" t="s">
        <v>339</v>
      </c>
      <c r="G1993" s="84" t="str">
        <f>HYPERLINK("https://docs.google.com/spreadsheets/d/1C4j56YPOHmzufoZVh__xwBrJC2-8vXT4fIP3r7xjocY/edit#gid=98893488", "https://docs.google.com/spreadsheets/d/1C4j56YPOHmzufoZVh__xwBrJC2-8vXT4fIP3r7xjocY/edit#gid=98893488")</f>
        <v>https://docs.google.com/spreadsheets/d/1C4j56YPOHmzufoZVh__xwBrJC2-8vXT4fIP3r7xjocY/edit#gid=98893488</v>
      </c>
      <c r="H1993" s="35" t="s">
        <v>339</v>
      </c>
    </row>
    <row r="1994">
      <c r="D1994" s="15"/>
      <c r="E1994" s="32" t="s">
        <v>172</v>
      </c>
      <c r="F1994" s="35" t="s">
        <v>173</v>
      </c>
      <c r="G1994" s="84" t="str">
        <f>HYPERLINK("https://docs.google.com/spreadsheets/d/1C4j56YPOHmzufoZVh__xwBrJC2-8vXT4fIP3r7xjocY/edit#gid=286177756", "https://docs.google.com/spreadsheets/d/1C4j56YPOHmzufoZVh__xwBrJC2-8vXT4fIP3r7xjocY/edit#gid=286177756")</f>
        <v>https://docs.google.com/spreadsheets/d/1C4j56YPOHmzufoZVh__xwBrJC2-8vXT4fIP3r7xjocY/edit#gid=286177756</v>
      </c>
      <c r="H1994" s="35" t="s">
        <v>269</v>
      </c>
    </row>
    <row r="1995">
      <c r="D1995" s="15"/>
      <c r="E1995" s="32" t="s">
        <v>172</v>
      </c>
      <c r="F1995" s="35" t="s">
        <v>402</v>
      </c>
      <c r="G1995" s="84" t="str">
        <f>HYPERLINK("https://docs.google.com/spreadsheets/d/1C4j56YPOHmzufoZVh__xwBrJC2-8vXT4fIP3r7xjocY/edit#gid=77487070", "https://docs.google.com/spreadsheets/d/1C4j56YPOHmzufoZVh__xwBrJC2-8vXT4fIP3r7xjocY/edit#gid=77487070")</f>
        <v>https://docs.google.com/spreadsheets/d/1C4j56YPOHmzufoZVh__xwBrJC2-8vXT4fIP3r7xjocY/edit#gid=77487070</v>
      </c>
      <c r="H1995" s="35" t="s">
        <v>2053</v>
      </c>
    </row>
    <row r="1996">
      <c r="D1996" s="15"/>
      <c r="E1996" s="32" t="s">
        <v>172</v>
      </c>
      <c r="F1996" s="35" t="s">
        <v>203</v>
      </c>
      <c r="G1996" s="84" t="str">
        <f>HYPERLINK("https://docs.google.com/spreadsheets/d/1C4j56YPOHmzufoZVh__xwBrJC2-8vXT4fIP3r7xjocY/edit#gid=56985687", "https://docs.google.com/spreadsheets/d/1C4j56YPOHmzufoZVh__xwBrJC2-8vXT4fIP3r7xjocY/edit#gid=56985687")</f>
        <v>https://docs.google.com/spreadsheets/d/1C4j56YPOHmzufoZVh__xwBrJC2-8vXT4fIP3r7xjocY/edit#gid=56985687</v>
      </c>
      <c r="H1996" s="35" t="s">
        <v>1995</v>
      </c>
    </row>
    <row r="1997">
      <c r="D1997" s="15"/>
      <c r="E1997" s="32" t="s">
        <v>172</v>
      </c>
      <c r="F1997" s="35" t="s">
        <v>204</v>
      </c>
      <c r="G1997" s="84" t="str">
        <f>HYPERLINK("https://docs.google.com/spreadsheets/d/1C4j56YPOHmzufoZVh__xwBrJC2-8vXT4fIP3r7xjocY/edit#gid=587241072", "https://docs.google.com/spreadsheets/d/1C4j56YPOHmzufoZVh__xwBrJC2-8vXT4fIP3r7xjocY/edit#gid=587241072")</f>
        <v>https://docs.google.com/spreadsheets/d/1C4j56YPOHmzufoZVh__xwBrJC2-8vXT4fIP3r7xjocY/edit#gid=587241072</v>
      </c>
      <c r="H1997" s="35" t="s">
        <v>1996</v>
      </c>
    </row>
    <row r="1998">
      <c r="D1998" s="15"/>
      <c r="E1998" s="32" t="s">
        <v>178</v>
      </c>
      <c r="F1998" s="35" t="s">
        <v>205</v>
      </c>
      <c r="G1998" s="84" t="str">
        <f>HYPERLINK("https://docs.google.com/spreadsheets/d/1C4j56YPOHmzufoZVh__xwBrJC2-8vXT4fIP3r7xjocY/edit#gid=2119500362", "https://docs.google.com/spreadsheets/d/1C4j56YPOHmzufoZVh__xwBrJC2-8vXT4fIP3r7xjocY/edit#gid=2119500362")</f>
        <v>https://docs.google.com/spreadsheets/d/1C4j56YPOHmzufoZVh__xwBrJC2-8vXT4fIP3r7xjocY/edit#gid=2119500362</v>
      </c>
      <c r="H1998" s="35" t="s">
        <v>1997</v>
      </c>
    </row>
    <row r="1999">
      <c r="D1999" s="15"/>
      <c r="E1999" s="32" t="s">
        <v>178</v>
      </c>
      <c r="F1999" s="35" t="s">
        <v>206</v>
      </c>
      <c r="H1999" s="36"/>
    </row>
    <row r="2000">
      <c r="D2000" s="15"/>
      <c r="E2000" s="32" t="s">
        <v>178</v>
      </c>
      <c r="F2000" s="35" t="s">
        <v>207</v>
      </c>
      <c r="G2000" s="84" t="str">
        <f>HYPERLINK("https://docs.google.com/spreadsheets/d/1C4j56YPOHmzufoZVh__xwBrJC2-8vXT4fIP3r7xjocY/edit#gid=1427073206", "https://docs.google.com/spreadsheets/d/1C4j56YPOHmzufoZVh__xwBrJC2-8vXT4fIP3r7xjocY/edit#gid=1427073206")</f>
        <v>https://docs.google.com/spreadsheets/d/1C4j56YPOHmzufoZVh__xwBrJC2-8vXT4fIP3r7xjocY/edit#gid=1427073206</v>
      </c>
      <c r="H2000" s="35" t="s">
        <v>1998</v>
      </c>
    </row>
    <row r="2001">
      <c r="D2001" s="15"/>
      <c r="E2001" s="32" t="s">
        <v>178</v>
      </c>
      <c r="F2001" s="35" t="s">
        <v>208</v>
      </c>
      <c r="G2001" s="84" t="str">
        <f>HYPERLINK("https://docs.google.com/spreadsheets/d/1C4j56YPOHmzufoZVh__xwBrJC2-8vXT4fIP3r7xjocY/edit#gid=401109433", "https://docs.google.com/spreadsheets/d/1C4j56YPOHmzufoZVh__xwBrJC2-8vXT4fIP3r7xjocY/edit#gid=401109433")</f>
        <v>https://docs.google.com/spreadsheets/d/1C4j56YPOHmzufoZVh__xwBrJC2-8vXT4fIP3r7xjocY/edit#gid=401109433</v>
      </c>
      <c r="H2001" s="35" t="s">
        <v>208</v>
      </c>
    </row>
    <row r="2002">
      <c r="D2002" s="15"/>
      <c r="E2002" s="32" t="s">
        <v>178</v>
      </c>
      <c r="F2002" s="35" t="s">
        <v>182</v>
      </c>
      <c r="G2002" s="84" t="str">
        <f>HYPERLINK("https://docs.google.com/spreadsheets/d/1C4j56YPOHmzufoZVh__xwBrJC2-8vXT4fIP3r7xjocY/edit#gid=845173547", "https://docs.google.com/spreadsheets/d/1C4j56YPOHmzufoZVh__xwBrJC2-8vXT4fIP3r7xjocY/edit#gid=845173547")</f>
        <v>https://docs.google.com/spreadsheets/d/1C4j56YPOHmzufoZVh__xwBrJC2-8vXT4fIP3r7xjocY/edit#gid=845173547</v>
      </c>
      <c r="H2002" s="35" t="s">
        <v>182</v>
      </c>
    </row>
    <row r="2003">
      <c r="D2003" s="15"/>
      <c r="E2003" s="32" t="s">
        <v>178</v>
      </c>
      <c r="F2003" s="35" t="s">
        <v>180</v>
      </c>
      <c r="G2003" s="84" t="str">
        <f>HYPERLINK("https://docs.google.com/spreadsheets/d/1C4j56YPOHmzufoZVh__xwBrJC2-8vXT4fIP3r7xjocY/edit#gid=316282315", "https://docs.google.com/spreadsheets/d/1C4j56YPOHmzufoZVh__xwBrJC2-8vXT4fIP3r7xjocY/edit#gid=316282315")</f>
        <v>https://docs.google.com/spreadsheets/d/1C4j56YPOHmzufoZVh__xwBrJC2-8vXT4fIP3r7xjocY/edit#gid=316282315</v>
      </c>
      <c r="H2003" s="35" t="s">
        <v>180</v>
      </c>
    </row>
    <row r="2004">
      <c r="D2004" s="15"/>
      <c r="E2004" s="32" t="s">
        <v>178</v>
      </c>
      <c r="F2004" s="35" t="s">
        <v>209</v>
      </c>
      <c r="G2004" s="84" t="str">
        <f>HYPERLINK("https://docs.google.com/spreadsheets/d/1C4j56YPOHmzufoZVh__xwBrJC2-8vXT4fIP3r7xjocY/edit#gid=1434119352", "https://docs.google.com/spreadsheets/d/1C4j56YPOHmzufoZVh__xwBrJC2-8vXT4fIP3r7xjocY/edit#gid=1434119352")</f>
        <v>https://docs.google.com/spreadsheets/d/1C4j56YPOHmzufoZVh__xwBrJC2-8vXT4fIP3r7xjocY/edit#gid=1434119352</v>
      </c>
      <c r="H2004" s="35" t="s">
        <v>209</v>
      </c>
    </row>
    <row r="2005">
      <c r="D2005" s="15"/>
      <c r="E2005" s="32" t="s">
        <v>178</v>
      </c>
      <c r="F2005" s="35" t="s">
        <v>210</v>
      </c>
      <c r="G2005" s="84" t="str">
        <f>HYPERLINK("https://docs.google.com/spreadsheets/d/1C4j56YPOHmzufoZVh__xwBrJC2-8vXT4fIP3r7xjocY/edit#gid=1130120009", "https://docs.google.com/spreadsheets/d/1C4j56YPOHmzufoZVh__xwBrJC2-8vXT4fIP3r7xjocY/edit#gid=1130120009")</f>
        <v>https://docs.google.com/spreadsheets/d/1C4j56YPOHmzufoZVh__xwBrJC2-8vXT4fIP3r7xjocY/edit#gid=1130120009</v>
      </c>
      <c r="H2005" s="35" t="s">
        <v>210</v>
      </c>
    </row>
    <row r="2006">
      <c r="D2006" s="15"/>
      <c r="E2006" s="32" t="s">
        <v>157</v>
      </c>
      <c r="F2006" s="35" t="s">
        <v>161</v>
      </c>
      <c r="G2006" s="84" t="str">
        <f>HYPERLINK("https://docs.google.com/spreadsheets/d/1C4j56YPOHmzufoZVh__xwBrJC2-8vXT4fIP3r7xjocY/edit#gid=1503569053", "https://docs.google.com/spreadsheets/d/1C4j56YPOHmzufoZVh__xwBrJC2-8vXT4fIP3r7xjocY/edit#gid=1503569053")</f>
        <v>https://docs.google.com/spreadsheets/d/1C4j56YPOHmzufoZVh__xwBrJC2-8vXT4fIP3r7xjocY/edit#gid=1503569053</v>
      </c>
      <c r="H2006" s="35" t="s">
        <v>161</v>
      </c>
    </row>
    <row r="2007">
      <c r="D2007" s="15"/>
      <c r="E2007" s="32" t="s">
        <v>157</v>
      </c>
      <c r="F2007" s="35" t="s">
        <v>158</v>
      </c>
      <c r="G2007" s="84" t="str">
        <f>HYPERLINK("https://docs.google.com/spreadsheets/d/1C4j56YPOHmzufoZVh__xwBrJC2-8vXT4fIP3r7xjocY/edit#gid=806366832", "https://docs.google.com/spreadsheets/d/1C4j56YPOHmzufoZVh__xwBrJC2-8vXT4fIP3r7xjocY/edit#gid=806366832")</f>
        <v>https://docs.google.com/spreadsheets/d/1C4j56YPOHmzufoZVh__xwBrJC2-8vXT4fIP3r7xjocY/edit#gid=806366832</v>
      </c>
      <c r="H2007" s="35" t="s">
        <v>158</v>
      </c>
    </row>
    <row r="2008">
      <c r="D2008" s="15"/>
      <c r="E2008" s="32" t="s">
        <v>157</v>
      </c>
      <c r="F2008" s="35" t="s">
        <v>196</v>
      </c>
      <c r="G2008" s="84" t="str">
        <f>HYPERLINK("https://docs.google.com/spreadsheets/d/1C4j56YPOHmzufoZVh__xwBrJC2-8vXT4fIP3r7xjocY/edit#gid=192722452", "https://docs.google.com/spreadsheets/d/1C4j56YPOHmzufoZVh__xwBrJC2-8vXT4fIP3r7xjocY/edit#gid=192722452")</f>
        <v>https://docs.google.com/spreadsheets/d/1C4j56YPOHmzufoZVh__xwBrJC2-8vXT4fIP3r7xjocY/edit#gid=192722452</v>
      </c>
      <c r="H2008" s="35" t="s">
        <v>196</v>
      </c>
    </row>
    <row r="2009">
      <c r="D2009" s="15"/>
      <c r="E2009" s="32" t="s">
        <v>172</v>
      </c>
      <c r="F2009" s="35" t="s">
        <v>173</v>
      </c>
      <c r="G2009" s="84" t="str">
        <f>HYPERLINK("https://docs.google.com/spreadsheets/d/1C4j56YPOHmzufoZVh__xwBrJC2-8vXT4fIP3r7xjocY/edit#gid=1496785585", "https://docs.google.com/spreadsheets/d/1C4j56YPOHmzufoZVh__xwBrJC2-8vXT4fIP3r7xjocY/edit#gid=1496785585")</f>
        <v>https://docs.google.com/spreadsheets/d/1C4j56YPOHmzufoZVh__xwBrJC2-8vXT4fIP3r7xjocY/edit#gid=1496785585</v>
      </c>
      <c r="H2009" s="35" t="s">
        <v>2054</v>
      </c>
    </row>
    <row r="2010">
      <c r="D2010" s="15"/>
      <c r="E2010" s="32" t="s">
        <v>172</v>
      </c>
      <c r="F2010" s="35" t="s">
        <v>402</v>
      </c>
      <c r="G2010" s="84" t="str">
        <f>HYPERLINK("https://docs.google.com/spreadsheets/d/1C4j56YPOHmzufoZVh__xwBrJC2-8vXT4fIP3r7xjocY/edit#gid=1853979427", "https://docs.google.com/spreadsheets/d/1C4j56YPOHmzufoZVh__xwBrJC2-8vXT4fIP3r7xjocY/edit#gid=1853979427")</f>
        <v>https://docs.google.com/spreadsheets/d/1C4j56YPOHmzufoZVh__xwBrJC2-8vXT4fIP3r7xjocY/edit#gid=1853979427</v>
      </c>
      <c r="H2010" s="35" t="s">
        <v>2055</v>
      </c>
    </row>
    <row r="2011">
      <c r="D2011" s="15"/>
      <c r="E2011" s="32" t="s">
        <v>172</v>
      </c>
      <c r="F2011" s="35" t="s">
        <v>203</v>
      </c>
      <c r="G2011" s="84" t="str">
        <f>HYPERLINK("https://docs.google.com/spreadsheets/d/1C4j56YPOHmzufoZVh__xwBrJC2-8vXT4fIP3r7xjocY/edit#gid=2145969", "https://docs.google.com/spreadsheets/d/1C4j56YPOHmzufoZVh__xwBrJC2-8vXT4fIP3r7xjocY/edit#gid=2145969")</f>
        <v>https://docs.google.com/spreadsheets/d/1C4j56YPOHmzufoZVh__xwBrJC2-8vXT4fIP3r7xjocY/edit#gid=2145969</v>
      </c>
      <c r="H2011" s="35" t="s">
        <v>1999</v>
      </c>
    </row>
    <row r="2012">
      <c r="D2012" s="15"/>
      <c r="E2012" s="32" t="s">
        <v>172</v>
      </c>
      <c r="F2012" s="35" t="s">
        <v>204</v>
      </c>
      <c r="G2012" s="84" t="str">
        <f>HYPERLINK("https://docs.google.com/spreadsheets/d/1C4j56YPOHmzufoZVh__xwBrJC2-8vXT4fIP3r7xjocY/edit#gid=157496760", "https://docs.google.com/spreadsheets/d/1C4j56YPOHmzufoZVh__xwBrJC2-8vXT4fIP3r7xjocY/edit#gid=157496760")</f>
        <v>https://docs.google.com/spreadsheets/d/1C4j56YPOHmzufoZVh__xwBrJC2-8vXT4fIP3r7xjocY/edit#gid=157496760</v>
      </c>
      <c r="H2012" s="35" t="s">
        <v>2000</v>
      </c>
    </row>
    <row r="2013">
      <c r="D2013" s="15"/>
      <c r="E2013" s="32" t="s">
        <v>178</v>
      </c>
      <c r="F2013" s="35" t="s">
        <v>207</v>
      </c>
      <c r="G2013" s="84" t="str">
        <f>HYPERLINK("https://docs.google.com/spreadsheets/d/1C4j56YPOHmzufoZVh__xwBrJC2-8vXT4fIP3r7xjocY/edit#gid=1680621887", "https://docs.google.com/spreadsheets/d/1C4j56YPOHmzufoZVh__xwBrJC2-8vXT4fIP3r7xjocY/edit#gid=1680621887")</f>
        <v>https://docs.google.com/spreadsheets/d/1C4j56YPOHmzufoZVh__xwBrJC2-8vXT4fIP3r7xjocY/edit#gid=1680621887</v>
      </c>
      <c r="H2013" s="35" t="s">
        <v>2001</v>
      </c>
    </row>
    <row r="2014">
      <c r="D2014" s="15"/>
      <c r="E2014" s="32" t="s">
        <v>178</v>
      </c>
      <c r="F2014" s="35" t="s">
        <v>208</v>
      </c>
      <c r="G2014" s="84" t="str">
        <f>HYPERLINK("https://docs.google.com/spreadsheets/d/1C4j56YPOHmzufoZVh__xwBrJC2-8vXT4fIP3r7xjocY/edit#gid=1298239320", "https://docs.google.com/spreadsheets/d/1C4j56YPOHmzufoZVh__xwBrJC2-8vXT4fIP3r7xjocY/edit#gid=1298239320")</f>
        <v>https://docs.google.com/spreadsheets/d/1C4j56YPOHmzufoZVh__xwBrJC2-8vXT4fIP3r7xjocY/edit#gid=1298239320</v>
      </c>
      <c r="H2014" s="35" t="s">
        <v>2002</v>
      </c>
    </row>
    <row r="2015">
      <c r="D2015" s="15"/>
      <c r="E2015" s="32" t="s">
        <v>178</v>
      </c>
      <c r="F2015" s="35" t="s">
        <v>182</v>
      </c>
      <c r="G2015" s="84" t="str">
        <f>HYPERLINK("https://docs.google.com/spreadsheets/d/1C4j56YPOHmzufoZVh__xwBrJC2-8vXT4fIP3r7xjocY/edit#gid=1615569766", "https://docs.google.com/spreadsheets/d/1C4j56YPOHmzufoZVh__xwBrJC2-8vXT4fIP3r7xjocY/edit#gid=1615569766")</f>
        <v>https://docs.google.com/spreadsheets/d/1C4j56YPOHmzufoZVh__xwBrJC2-8vXT4fIP3r7xjocY/edit#gid=1615569766</v>
      </c>
      <c r="H2015" s="35" t="s">
        <v>2003</v>
      </c>
    </row>
    <row r="2016">
      <c r="D2016" s="15"/>
      <c r="E2016" s="32" t="s">
        <v>178</v>
      </c>
      <c r="F2016" s="35" t="s">
        <v>180</v>
      </c>
      <c r="G2016" s="84" t="str">
        <f>HYPERLINK("https://docs.google.com/spreadsheets/d/1C4j56YPOHmzufoZVh__xwBrJC2-8vXT4fIP3r7xjocY/edit#gid=723994075", "https://docs.google.com/spreadsheets/d/1C4j56YPOHmzufoZVh__xwBrJC2-8vXT4fIP3r7xjocY/edit#gid=723994075")</f>
        <v>https://docs.google.com/spreadsheets/d/1C4j56YPOHmzufoZVh__xwBrJC2-8vXT4fIP3r7xjocY/edit#gid=723994075</v>
      </c>
      <c r="H2016" s="35" t="s">
        <v>2009</v>
      </c>
    </row>
    <row r="2017">
      <c r="D2017" s="15"/>
      <c r="E2017" s="32" t="s">
        <v>178</v>
      </c>
      <c r="F2017" s="35" t="s">
        <v>209</v>
      </c>
      <c r="G2017" s="84" t="str">
        <f>HYPERLINK("https://docs.google.com/spreadsheets/d/1C4j56YPOHmzufoZVh__xwBrJC2-8vXT4fIP3r7xjocY/edit#gid=1429859228", "https://docs.google.com/spreadsheets/d/1C4j56YPOHmzufoZVh__xwBrJC2-8vXT4fIP3r7xjocY/edit#gid=1429859228")</f>
        <v>https://docs.google.com/spreadsheets/d/1C4j56YPOHmzufoZVh__xwBrJC2-8vXT4fIP3r7xjocY/edit#gid=1429859228</v>
      </c>
      <c r="H2017" s="35" t="s">
        <v>1986</v>
      </c>
    </row>
    <row r="2018">
      <c r="D2018" s="15"/>
      <c r="E2018" s="32" t="s">
        <v>178</v>
      </c>
      <c r="F2018" s="35" t="s">
        <v>210</v>
      </c>
      <c r="G2018" s="84" t="str">
        <f>HYPERLINK("https://docs.google.com/spreadsheets/d/1C4j56YPOHmzufoZVh__xwBrJC2-8vXT4fIP3r7xjocY/edit#gid=1677231962", "https://docs.google.com/spreadsheets/d/1C4j56YPOHmzufoZVh__xwBrJC2-8vXT4fIP3r7xjocY/edit#gid=1677231962")</f>
        <v>https://docs.google.com/spreadsheets/d/1C4j56YPOHmzufoZVh__xwBrJC2-8vXT4fIP3r7xjocY/edit#gid=1677231962</v>
      </c>
      <c r="H2018" s="35" t="s">
        <v>1987</v>
      </c>
    </row>
    <row r="2019">
      <c r="D2019" s="15"/>
      <c r="E2019" s="32" t="s">
        <v>86</v>
      </c>
      <c r="F2019" s="35" t="s">
        <v>90</v>
      </c>
      <c r="G2019" s="84" t="str">
        <f>HYPERLINK("https://docs.google.com/spreadsheets/d/1C4j56YPOHmzufoZVh__xwBrJC2-8vXT4fIP3r7xjocY/edit#gid=1757221949", "https://docs.google.com/spreadsheets/d/1C4j56YPOHmzufoZVh__xwBrJC2-8vXT4fIP3r7xjocY/edit#gid=1757221949")</f>
        <v>https://docs.google.com/spreadsheets/d/1C4j56YPOHmzufoZVh__xwBrJC2-8vXT4fIP3r7xjocY/edit#gid=1757221949</v>
      </c>
      <c r="H2019" s="35" t="s">
        <v>2022</v>
      </c>
    </row>
    <row r="2020">
      <c r="D2020" s="15"/>
      <c r="E2020" s="32" t="s">
        <v>86</v>
      </c>
      <c r="F2020" s="35" t="s">
        <v>91</v>
      </c>
      <c r="G2020" s="84" t="str">
        <f>HYPERLINK("https://docs.google.com/spreadsheets/d/1C4j56YPOHmzufoZVh__xwBrJC2-8vXT4fIP3r7xjocY/edit#gid=371688915", "https://docs.google.com/spreadsheets/d/1C4j56YPOHmzufoZVh__xwBrJC2-8vXT4fIP3r7xjocY/edit#gid=371688915")</f>
        <v>https://docs.google.com/spreadsheets/d/1C4j56YPOHmzufoZVh__xwBrJC2-8vXT4fIP3r7xjocY/edit#gid=371688915</v>
      </c>
      <c r="H2020" s="35" t="s">
        <v>91</v>
      </c>
    </row>
    <row r="2021">
      <c r="D2021" s="15"/>
      <c r="E2021" s="32" t="s">
        <v>88</v>
      </c>
      <c r="F2021" s="35" t="s">
        <v>95</v>
      </c>
      <c r="G2021" s="84" t="str">
        <f>HYPERLINK("https://docs.google.com/spreadsheets/d/1C4j56YPOHmzufoZVh__xwBrJC2-8vXT4fIP3r7xjocY/edit#gid=483082768", "https://docs.google.com/spreadsheets/d/1C4j56YPOHmzufoZVh__xwBrJC2-8vXT4fIP3r7xjocY/edit#gid=483082768")</f>
        <v>https://docs.google.com/spreadsheets/d/1C4j56YPOHmzufoZVh__xwBrJC2-8vXT4fIP3r7xjocY/edit#gid=483082768</v>
      </c>
      <c r="H2021" s="35" t="s">
        <v>95</v>
      </c>
    </row>
    <row r="2022">
      <c r="D2022" s="15"/>
      <c r="E2022" s="32" t="s">
        <v>88</v>
      </c>
      <c r="F2022" s="35" t="s">
        <v>96</v>
      </c>
      <c r="G2022" s="84" t="str">
        <f>HYPERLINK("https://docs.google.com/spreadsheets/d/1C4j56YPOHmzufoZVh__xwBrJC2-8vXT4fIP3r7xjocY/edit#gid=6704049", "https://docs.google.com/spreadsheets/d/1C4j56YPOHmzufoZVh__xwBrJC2-8vXT4fIP3r7xjocY/edit#gid=6704049")</f>
        <v>https://docs.google.com/spreadsheets/d/1C4j56YPOHmzufoZVh__xwBrJC2-8vXT4fIP3r7xjocY/edit#gid=6704049</v>
      </c>
      <c r="H2022" s="35" t="s">
        <v>96</v>
      </c>
    </row>
    <row r="2023">
      <c r="D2023" s="15"/>
      <c r="E2023" s="32"/>
      <c r="F2023" s="35"/>
      <c r="H2023" s="35"/>
    </row>
    <row r="2024">
      <c r="D2024" s="15"/>
      <c r="E2024" s="32"/>
      <c r="F2024" s="35"/>
      <c r="H2024" s="35"/>
    </row>
    <row r="2025">
      <c r="D2025" s="15"/>
      <c r="E2025" s="32"/>
      <c r="F2025" s="35"/>
      <c r="H2025" s="35"/>
    </row>
    <row r="2026">
      <c r="D2026" s="15"/>
      <c r="E2026" s="32"/>
      <c r="F2026" s="35"/>
      <c r="H2026" s="35"/>
    </row>
    <row r="2027">
      <c r="D2027" s="15"/>
      <c r="E2027" s="32"/>
      <c r="F2027" s="35"/>
      <c r="H2027" s="35"/>
    </row>
    <row r="2028">
      <c r="D2028" s="15"/>
      <c r="E2028" s="32"/>
      <c r="F2028" s="35"/>
      <c r="H2028" s="35"/>
    </row>
    <row r="2029">
      <c r="D2029" s="15"/>
      <c r="E2029" s="32"/>
      <c r="F2029" s="35"/>
      <c r="H2029" s="35"/>
    </row>
    <row r="2030">
      <c r="D2030" s="15"/>
      <c r="E2030" s="32"/>
      <c r="F2030" s="35"/>
      <c r="H2030" s="35"/>
    </row>
    <row r="2031">
      <c r="D2031" s="15"/>
      <c r="E2031" s="32"/>
      <c r="F2031" s="35"/>
      <c r="H2031" s="35"/>
    </row>
    <row r="2032">
      <c r="D2032" s="15"/>
      <c r="E2032" s="32"/>
      <c r="F2032" s="35"/>
      <c r="H2032" s="35"/>
    </row>
    <row r="2033">
      <c r="D2033" s="15"/>
      <c r="E2033" s="32"/>
      <c r="F2033" s="35"/>
      <c r="H2033" s="35"/>
    </row>
    <row r="2034">
      <c r="D2034" s="15"/>
      <c r="E2034" s="32"/>
      <c r="F2034" s="35"/>
      <c r="H2034" s="35"/>
    </row>
    <row r="2035">
      <c r="D2035" s="15"/>
      <c r="E2035" s="32"/>
      <c r="F2035" s="35"/>
      <c r="H2035" s="35"/>
    </row>
    <row r="2036">
      <c r="D2036" s="15"/>
      <c r="E2036" s="32"/>
      <c r="F2036" s="35"/>
      <c r="H2036" s="35"/>
    </row>
    <row r="2037">
      <c r="D2037" s="15"/>
      <c r="E2037" s="32"/>
      <c r="F2037" s="35"/>
      <c r="H2037" s="35"/>
    </row>
    <row r="2038">
      <c r="D2038" s="15"/>
      <c r="E2038" s="32"/>
      <c r="F2038" s="35"/>
      <c r="H2038" s="35"/>
    </row>
    <row r="2039">
      <c r="D2039" s="15"/>
      <c r="E2039" s="32"/>
      <c r="F2039" s="35"/>
      <c r="H2039" s="35"/>
    </row>
    <row r="2040">
      <c r="D2040" s="15"/>
      <c r="E2040" s="32"/>
      <c r="F2040" s="35"/>
      <c r="H2040" s="35"/>
    </row>
    <row r="2041">
      <c r="D2041" s="15"/>
      <c r="E2041" s="32"/>
      <c r="F2041" s="35"/>
      <c r="H2041" s="35"/>
    </row>
    <row r="2042">
      <c r="D2042" s="15"/>
      <c r="E2042" s="32"/>
      <c r="F2042" s="35"/>
      <c r="H2042" s="35"/>
    </row>
    <row r="2043">
      <c r="D2043" s="15"/>
      <c r="E2043" s="32"/>
      <c r="F2043" s="35"/>
      <c r="H2043" s="35"/>
    </row>
    <row r="2044">
      <c r="D2044" s="15"/>
      <c r="E2044" s="32"/>
      <c r="F2044" s="35"/>
      <c r="H2044" s="35"/>
    </row>
    <row r="2045">
      <c r="D2045" s="15"/>
      <c r="E2045" s="32"/>
      <c r="F2045" s="35"/>
      <c r="H2045" s="35"/>
    </row>
    <row r="2046">
      <c r="D2046" s="15"/>
      <c r="E2046" s="32"/>
      <c r="F2046" s="35"/>
      <c r="H2046" s="35"/>
    </row>
    <row r="2047">
      <c r="D2047" s="15"/>
      <c r="E2047" s="32"/>
      <c r="F2047" s="35"/>
      <c r="H2047" s="35"/>
    </row>
    <row r="2048">
      <c r="D2048" s="15"/>
      <c r="E2048" s="32"/>
      <c r="F2048" s="35"/>
      <c r="H2048" s="35"/>
    </row>
    <row r="2049">
      <c r="D2049" s="15"/>
      <c r="E2049" s="32"/>
      <c r="F2049" s="35"/>
      <c r="H2049" s="35"/>
    </row>
    <row r="2050">
      <c r="D2050" s="15"/>
      <c r="E2050" s="32"/>
      <c r="F2050" s="35"/>
      <c r="H2050" s="35"/>
    </row>
    <row r="2051">
      <c r="D2051" s="15"/>
      <c r="E2051" s="32"/>
      <c r="F2051" s="35"/>
      <c r="H2051" s="35"/>
    </row>
    <row r="2052">
      <c r="D2052" s="15"/>
      <c r="E2052" s="32"/>
      <c r="F2052" s="35"/>
      <c r="H2052" s="35"/>
    </row>
    <row r="2053">
      <c r="D2053" s="15"/>
      <c r="E2053" s="32"/>
      <c r="F2053" s="35"/>
      <c r="H2053" s="35"/>
    </row>
    <row r="2054">
      <c r="D2054" s="15"/>
      <c r="E2054" s="32"/>
      <c r="F2054" s="35"/>
      <c r="H2054" s="35"/>
    </row>
    <row r="2055">
      <c r="D2055" s="15"/>
      <c r="E2055" s="32"/>
      <c r="F2055" s="35"/>
      <c r="H2055" s="35"/>
    </row>
    <row r="2056">
      <c r="D2056" s="15"/>
      <c r="E2056" s="32"/>
      <c r="F2056" s="35"/>
      <c r="H2056" s="35"/>
    </row>
    <row r="2057">
      <c r="D2057" s="15"/>
      <c r="E2057" s="32"/>
      <c r="F2057" s="35"/>
      <c r="H2057" s="35"/>
    </row>
    <row r="2058">
      <c r="D2058" s="15"/>
      <c r="E2058" s="32"/>
      <c r="F2058" s="35"/>
      <c r="H2058" s="35"/>
    </row>
    <row r="2059">
      <c r="D2059" s="15"/>
      <c r="E2059" s="32"/>
      <c r="F2059" s="35"/>
      <c r="H2059" s="35"/>
    </row>
    <row r="2060">
      <c r="D2060" s="15"/>
      <c r="E2060" s="32"/>
      <c r="F2060" s="35"/>
      <c r="H2060" s="35"/>
    </row>
    <row r="2061">
      <c r="D2061" s="15"/>
      <c r="E2061" s="32"/>
      <c r="F2061" s="35"/>
      <c r="H2061" s="35"/>
    </row>
    <row r="2062">
      <c r="D2062" s="15"/>
      <c r="E2062" s="32"/>
      <c r="F2062" s="35"/>
      <c r="H2062" s="35"/>
    </row>
    <row r="2063">
      <c r="D2063" s="15"/>
      <c r="E2063" s="32"/>
      <c r="F2063" s="35"/>
      <c r="H2063" s="35"/>
    </row>
    <row r="2064">
      <c r="D2064" s="15"/>
      <c r="E2064" s="32"/>
      <c r="F2064" s="35"/>
      <c r="H2064" s="35"/>
    </row>
    <row r="2065">
      <c r="D2065" s="15"/>
      <c r="E2065" s="32"/>
      <c r="F2065" s="35"/>
      <c r="H2065" s="35"/>
    </row>
    <row r="2066">
      <c r="D2066" s="15"/>
      <c r="E2066" s="32"/>
      <c r="F2066" s="35"/>
      <c r="H2066" s="35"/>
    </row>
    <row r="2067">
      <c r="D2067" s="15"/>
      <c r="E2067" s="32"/>
      <c r="F2067" s="35"/>
      <c r="H2067" s="35"/>
    </row>
    <row r="2068">
      <c r="D2068" s="15"/>
      <c r="E2068" s="32"/>
      <c r="F2068" s="35"/>
      <c r="H2068" s="35"/>
    </row>
    <row r="2069">
      <c r="D2069" s="15"/>
      <c r="E2069" s="32"/>
      <c r="F2069" s="35"/>
      <c r="H2069" s="35"/>
    </row>
    <row r="2070">
      <c r="D2070" s="15"/>
      <c r="E2070" s="32"/>
      <c r="F2070" s="35"/>
      <c r="H2070" s="35"/>
    </row>
    <row r="2071">
      <c r="D2071" s="15"/>
      <c r="E2071" s="32"/>
      <c r="F2071" s="35"/>
      <c r="H2071" s="35"/>
    </row>
    <row r="2072">
      <c r="D2072" s="15"/>
      <c r="E2072" s="32"/>
      <c r="F2072" s="35"/>
      <c r="H2072" s="35"/>
    </row>
    <row r="2073">
      <c r="D2073" s="15"/>
      <c r="E2073" s="32"/>
      <c r="F2073" s="35"/>
      <c r="H2073" s="35"/>
    </row>
    <row r="2074">
      <c r="D2074" s="15"/>
      <c r="E2074" s="32"/>
      <c r="F2074" s="35"/>
      <c r="H2074" s="35"/>
    </row>
    <row r="2075">
      <c r="D2075" s="15"/>
      <c r="E2075" s="32"/>
      <c r="F2075" s="35"/>
      <c r="H2075" s="35"/>
    </row>
    <row r="2076">
      <c r="D2076" s="15"/>
      <c r="E2076" s="32"/>
      <c r="F2076" s="35"/>
      <c r="H2076" s="35"/>
    </row>
    <row r="2077">
      <c r="D2077" s="15"/>
      <c r="E2077" s="32"/>
      <c r="F2077" s="35"/>
      <c r="H2077" s="35"/>
    </row>
    <row r="2078">
      <c r="D2078" s="15"/>
      <c r="E2078" s="32"/>
      <c r="F2078" s="35"/>
      <c r="H2078" s="35"/>
    </row>
    <row r="2079">
      <c r="D2079" s="15"/>
      <c r="E2079" s="32"/>
      <c r="F2079" s="35"/>
      <c r="H2079" s="35"/>
    </row>
    <row r="2080">
      <c r="D2080" s="15"/>
      <c r="E2080" s="32"/>
      <c r="F2080" s="35"/>
      <c r="H2080" s="35"/>
    </row>
    <row r="2081">
      <c r="D2081" s="15"/>
      <c r="E2081" s="32"/>
      <c r="F2081" s="35"/>
      <c r="H2081" s="35"/>
    </row>
    <row r="2082">
      <c r="D2082" s="15"/>
      <c r="E2082" s="32"/>
      <c r="F2082" s="35"/>
      <c r="H2082" s="35"/>
    </row>
    <row r="2083">
      <c r="D2083" s="15"/>
      <c r="E2083" s="32"/>
      <c r="F2083" s="35"/>
      <c r="H2083" s="35"/>
    </row>
    <row r="2084">
      <c r="D2084" s="15"/>
      <c r="E2084" s="32"/>
      <c r="F2084" s="35"/>
      <c r="H2084" s="35"/>
    </row>
    <row r="2085">
      <c r="D2085" s="15"/>
      <c r="E2085" s="32"/>
      <c r="F2085" s="35"/>
      <c r="H2085" s="35"/>
    </row>
    <row r="2086">
      <c r="D2086" s="15"/>
      <c r="E2086" s="32"/>
      <c r="F2086" s="35"/>
      <c r="H2086" s="35"/>
    </row>
    <row r="2087">
      <c r="D2087" s="15"/>
      <c r="E2087" s="32"/>
      <c r="F2087" s="35"/>
      <c r="H2087" s="35"/>
    </row>
    <row r="2088">
      <c r="D2088" s="15"/>
      <c r="E2088" s="32"/>
      <c r="F2088" s="35"/>
      <c r="H2088" s="35"/>
    </row>
    <row r="2089">
      <c r="D2089" s="15"/>
      <c r="E2089" s="32"/>
      <c r="F2089" s="35"/>
      <c r="H2089" s="35"/>
    </row>
    <row r="2090">
      <c r="D2090" s="15"/>
      <c r="E2090" s="32"/>
      <c r="F2090" s="35"/>
      <c r="H2090" s="35"/>
    </row>
    <row r="2091">
      <c r="D2091" s="15"/>
      <c r="E2091" s="32"/>
      <c r="F2091" s="35"/>
      <c r="H2091" s="35"/>
    </row>
    <row r="2092">
      <c r="D2092" s="15"/>
      <c r="E2092" s="32"/>
      <c r="F2092" s="35"/>
      <c r="H2092" s="35"/>
    </row>
    <row r="2093">
      <c r="D2093" s="15"/>
      <c r="E2093" s="32"/>
      <c r="F2093" s="35"/>
      <c r="H2093" s="35"/>
    </row>
    <row r="2094">
      <c r="D2094" s="15"/>
      <c r="E2094" s="32"/>
      <c r="F2094" s="35"/>
      <c r="H2094" s="35"/>
    </row>
    <row r="2095">
      <c r="D2095" s="15"/>
      <c r="E2095" s="32"/>
      <c r="F2095" s="35"/>
      <c r="H2095" s="35"/>
    </row>
    <row r="2096">
      <c r="D2096" s="15"/>
      <c r="E2096" s="32"/>
      <c r="F2096" s="35"/>
      <c r="H2096" s="35"/>
    </row>
    <row r="2097">
      <c r="D2097" s="15"/>
      <c r="E2097" s="32"/>
      <c r="F2097" s="35"/>
      <c r="H2097" s="35"/>
    </row>
    <row r="2098">
      <c r="D2098" s="15"/>
      <c r="E2098" s="32"/>
      <c r="F2098" s="35"/>
      <c r="H2098" s="35"/>
    </row>
    <row r="2099">
      <c r="D2099" s="15"/>
      <c r="E2099" s="32"/>
      <c r="F2099" s="35"/>
      <c r="H2099" s="35"/>
    </row>
    <row r="2100">
      <c r="D2100" s="15"/>
      <c r="E2100" s="32"/>
      <c r="F2100" s="35"/>
      <c r="H2100" s="35"/>
    </row>
    <row r="2101">
      <c r="D2101" s="15"/>
      <c r="E2101" s="32"/>
      <c r="F2101" s="35"/>
      <c r="H2101" s="35"/>
    </row>
    <row r="2102">
      <c r="D2102" s="15"/>
      <c r="E2102" s="32"/>
      <c r="F2102" s="35"/>
      <c r="H2102" s="35"/>
    </row>
    <row r="2103">
      <c r="D2103" s="15"/>
      <c r="E2103" s="32"/>
      <c r="F2103" s="35"/>
      <c r="H2103" s="35"/>
    </row>
    <row r="2104">
      <c r="D2104" s="15"/>
      <c r="E2104" s="32"/>
      <c r="F2104" s="35"/>
      <c r="H2104" s="35"/>
    </row>
    <row r="2105">
      <c r="D2105" s="15"/>
      <c r="E2105" s="32"/>
      <c r="F2105" s="35"/>
      <c r="H2105" s="35"/>
    </row>
    <row r="2106">
      <c r="D2106" s="15"/>
      <c r="E2106" s="32"/>
      <c r="F2106" s="35"/>
      <c r="H2106" s="35"/>
    </row>
    <row r="2107">
      <c r="D2107" s="15"/>
      <c r="E2107" s="32"/>
      <c r="F2107" s="35"/>
      <c r="H2107" s="35"/>
    </row>
    <row r="2108">
      <c r="D2108" s="15"/>
      <c r="E2108" s="32"/>
      <c r="F2108" s="35"/>
      <c r="H2108" s="35"/>
    </row>
    <row r="2109">
      <c r="D2109" s="15"/>
      <c r="E2109" s="32"/>
      <c r="F2109" s="35"/>
      <c r="H2109" s="35"/>
    </row>
    <row r="2110">
      <c r="D2110" s="15"/>
      <c r="E2110" s="32"/>
      <c r="F2110" s="35"/>
      <c r="H2110" s="35"/>
    </row>
    <row r="2111">
      <c r="D2111" s="15"/>
      <c r="E2111" s="32"/>
      <c r="F2111" s="35"/>
      <c r="H2111" s="35"/>
    </row>
    <row r="2112">
      <c r="D2112" s="15"/>
      <c r="E2112" s="32"/>
      <c r="F2112" s="35"/>
      <c r="H2112" s="35"/>
    </row>
    <row r="2113">
      <c r="D2113" s="15"/>
      <c r="E2113" s="32"/>
      <c r="F2113" s="35"/>
      <c r="H2113" s="35"/>
    </row>
    <row r="2114">
      <c r="D2114" s="15"/>
      <c r="E2114" s="32"/>
      <c r="F2114" s="35"/>
      <c r="H2114" s="35"/>
    </row>
    <row r="2115">
      <c r="D2115" s="15"/>
      <c r="E2115" s="32"/>
      <c r="F2115" s="35"/>
      <c r="H2115" s="35"/>
    </row>
    <row r="2116">
      <c r="D2116" s="15"/>
      <c r="E2116" s="32"/>
      <c r="F2116" s="35"/>
      <c r="H2116" s="35"/>
    </row>
    <row r="2117">
      <c r="D2117" s="15"/>
      <c r="E2117" s="32"/>
      <c r="F2117" s="35"/>
      <c r="H2117" s="35"/>
    </row>
    <row r="2118">
      <c r="D2118" s="15"/>
      <c r="E2118" s="32"/>
      <c r="F2118" s="35"/>
      <c r="H2118" s="35"/>
    </row>
    <row r="2119">
      <c r="D2119" s="15"/>
      <c r="E2119" s="32"/>
      <c r="F2119" s="35"/>
      <c r="H2119" s="35"/>
    </row>
    <row r="2120">
      <c r="D2120" s="15"/>
      <c r="E2120" s="32"/>
      <c r="F2120" s="35"/>
      <c r="H2120" s="35"/>
    </row>
    <row r="2121">
      <c r="D2121" s="15"/>
      <c r="E2121" s="32"/>
      <c r="F2121" s="35"/>
      <c r="H2121" s="35"/>
    </row>
    <row r="2122">
      <c r="D2122" s="15"/>
      <c r="E2122" s="32"/>
      <c r="F2122" s="35"/>
      <c r="H2122" s="35"/>
    </row>
    <row r="2123">
      <c r="D2123" s="15"/>
      <c r="E2123" s="32"/>
      <c r="F2123" s="35"/>
      <c r="H2123" s="35"/>
    </row>
    <row r="2124">
      <c r="D2124" s="15"/>
      <c r="E2124" s="32"/>
      <c r="F2124" s="35"/>
      <c r="H2124" s="35"/>
    </row>
    <row r="2125">
      <c r="D2125" s="15"/>
      <c r="E2125" s="32"/>
      <c r="F2125" s="35"/>
      <c r="H2125" s="35"/>
    </row>
    <row r="2126">
      <c r="D2126" s="15"/>
      <c r="E2126" s="32"/>
      <c r="F2126" s="35"/>
      <c r="H2126" s="35"/>
    </row>
    <row r="2127">
      <c r="D2127" s="15"/>
      <c r="E2127" s="32"/>
      <c r="F2127" s="35"/>
      <c r="H2127" s="35"/>
    </row>
    <row r="2128">
      <c r="D2128" s="15"/>
      <c r="E2128" s="32"/>
      <c r="F2128" s="35"/>
      <c r="H2128" s="35"/>
    </row>
    <row r="2129">
      <c r="D2129" s="15"/>
      <c r="E2129" s="32"/>
      <c r="F2129" s="35"/>
      <c r="H2129" s="35"/>
    </row>
    <row r="2130">
      <c r="D2130" s="15"/>
      <c r="E2130" s="32"/>
      <c r="F2130" s="35"/>
      <c r="H2130" s="35"/>
    </row>
    <row r="2131">
      <c r="D2131" s="15"/>
      <c r="E2131" s="32"/>
      <c r="F2131" s="35"/>
      <c r="H2131" s="35"/>
    </row>
    <row r="2132">
      <c r="D2132" s="15"/>
      <c r="E2132" s="32"/>
      <c r="F2132" s="35"/>
      <c r="H2132" s="35"/>
    </row>
    <row r="2133">
      <c r="D2133" s="15"/>
      <c r="E2133" s="32"/>
      <c r="F2133" s="35"/>
      <c r="H2133" s="35"/>
    </row>
    <row r="2134">
      <c r="D2134" s="15"/>
      <c r="E2134" s="32"/>
      <c r="F2134" s="35"/>
      <c r="H2134" s="35"/>
    </row>
    <row r="2135">
      <c r="D2135" s="15"/>
      <c r="E2135" s="32"/>
      <c r="F2135" s="35"/>
      <c r="H2135" s="35"/>
    </row>
    <row r="2136">
      <c r="D2136" s="15"/>
      <c r="E2136" s="32"/>
      <c r="F2136" s="35"/>
      <c r="H2136" s="35"/>
    </row>
    <row r="2137">
      <c r="D2137" s="15"/>
      <c r="E2137" s="32"/>
      <c r="F2137" s="35"/>
      <c r="H2137" s="35"/>
    </row>
    <row r="2138">
      <c r="D2138" s="15"/>
      <c r="E2138" s="32"/>
      <c r="F2138" s="35"/>
      <c r="H2138" s="35"/>
    </row>
    <row r="2139">
      <c r="D2139" s="15"/>
      <c r="E2139" s="32"/>
      <c r="F2139" s="35"/>
      <c r="H2139" s="35"/>
    </row>
    <row r="2140">
      <c r="D2140" s="15"/>
      <c r="E2140" s="32"/>
      <c r="F2140" s="35"/>
      <c r="H2140" s="35"/>
    </row>
    <row r="2141">
      <c r="D2141" s="15"/>
      <c r="E2141" s="32"/>
      <c r="F2141" s="35"/>
      <c r="H2141" s="35"/>
    </row>
    <row r="2142">
      <c r="D2142" s="15"/>
      <c r="E2142" s="32"/>
      <c r="F2142" s="35"/>
      <c r="H2142" s="35"/>
    </row>
    <row r="2143">
      <c r="D2143" s="15"/>
      <c r="E2143" s="32"/>
      <c r="F2143" s="35"/>
      <c r="H2143" s="35"/>
    </row>
    <row r="2144">
      <c r="D2144" s="15"/>
      <c r="E2144" s="32"/>
      <c r="F2144" s="35"/>
      <c r="H2144" s="35"/>
    </row>
    <row r="2145">
      <c r="D2145" s="15"/>
      <c r="E2145" s="32"/>
      <c r="F2145" s="35"/>
      <c r="H2145" s="35"/>
    </row>
    <row r="2146">
      <c r="D2146" s="15"/>
      <c r="E2146" s="32"/>
      <c r="F2146" s="35"/>
      <c r="H2146" s="35"/>
    </row>
    <row r="2147">
      <c r="D2147" s="15"/>
      <c r="E2147" s="32"/>
      <c r="F2147" s="35"/>
      <c r="H2147" s="35"/>
    </row>
    <row r="2148">
      <c r="D2148" s="15"/>
      <c r="E2148" s="32"/>
      <c r="F2148" s="35"/>
      <c r="H2148" s="35"/>
    </row>
    <row r="2149">
      <c r="D2149" s="15"/>
      <c r="E2149" s="32"/>
      <c r="F2149" s="35"/>
      <c r="H2149" s="35"/>
    </row>
    <row r="2150">
      <c r="D2150" s="15"/>
      <c r="E2150" s="32"/>
      <c r="F2150" s="35"/>
      <c r="H2150" s="35"/>
    </row>
    <row r="2151">
      <c r="D2151" s="15"/>
      <c r="E2151" s="32"/>
      <c r="F2151" s="35"/>
      <c r="H2151" s="35"/>
    </row>
    <row r="2152">
      <c r="D2152" s="15"/>
      <c r="E2152" s="32"/>
      <c r="F2152" s="35"/>
      <c r="H2152" s="35"/>
    </row>
    <row r="2153">
      <c r="D2153" s="15"/>
      <c r="E2153" s="32"/>
      <c r="F2153" s="35"/>
      <c r="H2153" s="35"/>
    </row>
    <row r="2154">
      <c r="D2154" s="15"/>
      <c r="E2154" s="32"/>
      <c r="F2154" s="35"/>
      <c r="H2154" s="35"/>
    </row>
    <row r="2155">
      <c r="D2155" s="15"/>
      <c r="E2155" s="32"/>
      <c r="F2155" s="35"/>
      <c r="H2155" s="35"/>
    </row>
    <row r="2156">
      <c r="D2156" s="15"/>
      <c r="E2156" s="32"/>
      <c r="F2156" s="35"/>
      <c r="H2156" s="35"/>
    </row>
    <row r="2157">
      <c r="D2157" s="15"/>
      <c r="E2157" s="32"/>
      <c r="F2157" s="35"/>
      <c r="H2157" s="35"/>
    </row>
    <row r="2158">
      <c r="D2158" s="15"/>
      <c r="E2158" s="32"/>
      <c r="F2158" s="35"/>
      <c r="H2158" s="35"/>
    </row>
    <row r="2159">
      <c r="D2159" s="15"/>
      <c r="E2159" s="32"/>
      <c r="F2159" s="35"/>
      <c r="H2159" s="35"/>
    </row>
    <row r="2160">
      <c r="D2160" s="15"/>
      <c r="E2160" s="32"/>
      <c r="F2160" s="35"/>
      <c r="H2160" s="35"/>
    </row>
    <row r="2161">
      <c r="D2161" s="15"/>
      <c r="E2161" s="32"/>
      <c r="F2161" s="35"/>
      <c r="H2161" s="35"/>
    </row>
    <row r="2162">
      <c r="D2162" s="15"/>
      <c r="E2162" s="32"/>
      <c r="F2162" s="35"/>
      <c r="H2162" s="35"/>
    </row>
    <row r="2163">
      <c r="D2163" s="15"/>
      <c r="E2163" s="32"/>
      <c r="F2163" s="35"/>
      <c r="H2163" s="35"/>
    </row>
    <row r="2164">
      <c r="D2164" s="15"/>
      <c r="E2164" s="32"/>
      <c r="F2164" s="35"/>
      <c r="H2164" s="35"/>
    </row>
    <row r="2165">
      <c r="D2165" s="15"/>
      <c r="E2165" s="32"/>
      <c r="F2165" s="35"/>
      <c r="H2165" s="35"/>
    </row>
    <row r="2166">
      <c r="D2166" s="15"/>
      <c r="E2166" s="32"/>
      <c r="F2166" s="35"/>
      <c r="H2166" s="35"/>
    </row>
    <row r="2167">
      <c r="D2167" s="15"/>
      <c r="E2167" s="32"/>
      <c r="F2167" s="35"/>
      <c r="H2167" s="35"/>
    </row>
    <row r="2168">
      <c r="D2168" s="15"/>
      <c r="E2168" s="32"/>
      <c r="F2168" s="35"/>
      <c r="H2168" s="35"/>
    </row>
    <row r="2169">
      <c r="D2169" s="15"/>
      <c r="E2169" s="32"/>
      <c r="F2169" s="35"/>
      <c r="H2169" s="35"/>
    </row>
    <row r="2170">
      <c r="D2170" s="15"/>
      <c r="E2170" s="32"/>
      <c r="F2170" s="35"/>
      <c r="H2170" s="35"/>
    </row>
    <row r="2171">
      <c r="D2171" s="15"/>
      <c r="E2171" s="32"/>
      <c r="F2171" s="35"/>
      <c r="H2171" s="35"/>
    </row>
    <row r="2172">
      <c r="D2172" s="15"/>
      <c r="E2172" s="32"/>
      <c r="F2172" s="35"/>
      <c r="H2172" s="35"/>
    </row>
    <row r="2173">
      <c r="D2173" s="15"/>
      <c r="E2173" s="32"/>
      <c r="F2173" s="35"/>
      <c r="H2173" s="35"/>
    </row>
    <row r="2174">
      <c r="D2174" s="15"/>
      <c r="E2174" s="32"/>
      <c r="F2174" s="35"/>
      <c r="H2174" s="35"/>
    </row>
    <row r="2175">
      <c r="D2175" s="15"/>
      <c r="E2175" s="32"/>
      <c r="F2175" s="35"/>
      <c r="H2175" s="35"/>
    </row>
    <row r="2176">
      <c r="D2176" s="15"/>
      <c r="E2176" s="32"/>
      <c r="F2176" s="35"/>
      <c r="H2176" s="35"/>
    </row>
    <row r="2177">
      <c r="D2177" s="15"/>
      <c r="E2177" s="32"/>
      <c r="F2177" s="35"/>
      <c r="H2177" s="35"/>
    </row>
    <row r="2178">
      <c r="D2178" s="15"/>
      <c r="E2178" s="32"/>
      <c r="F2178" s="35"/>
      <c r="H2178" s="35"/>
    </row>
    <row r="2179">
      <c r="D2179" s="15"/>
      <c r="E2179" s="32"/>
      <c r="F2179" s="35"/>
      <c r="H2179" s="35"/>
    </row>
    <row r="2180">
      <c r="D2180" s="15"/>
      <c r="E2180" s="32"/>
      <c r="F2180" s="35"/>
      <c r="H2180" s="35"/>
    </row>
    <row r="2181">
      <c r="D2181" s="15"/>
      <c r="E2181" s="32"/>
      <c r="F2181" s="35"/>
      <c r="H2181" s="35"/>
    </row>
    <row r="2182">
      <c r="D2182" s="15"/>
      <c r="E2182" s="32"/>
      <c r="F2182" s="35"/>
      <c r="H2182" s="35"/>
    </row>
    <row r="2183">
      <c r="D2183" s="15"/>
      <c r="E2183" s="32"/>
      <c r="F2183" s="35"/>
      <c r="H2183" s="35"/>
    </row>
    <row r="2184">
      <c r="D2184" s="15"/>
      <c r="E2184" s="32"/>
      <c r="F2184" s="35"/>
      <c r="H2184" s="35"/>
    </row>
    <row r="2185">
      <c r="D2185" s="15"/>
      <c r="E2185" s="32"/>
      <c r="F2185" s="35"/>
      <c r="H2185" s="35"/>
    </row>
    <row r="2186">
      <c r="D2186" s="15"/>
      <c r="E2186" s="32"/>
      <c r="F2186" s="35"/>
      <c r="H2186" s="35"/>
    </row>
    <row r="2187">
      <c r="D2187" s="15"/>
      <c r="E2187" s="32"/>
      <c r="F2187" s="35"/>
      <c r="H2187" s="35"/>
    </row>
    <row r="2188">
      <c r="D2188" s="15"/>
      <c r="E2188" s="32"/>
      <c r="F2188" s="35"/>
      <c r="H2188" s="35"/>
    </row>
    <row r="2189">
      <c r="D2189" s="15"/>
      <c r="E2189" s="32"/>
      <c r="F2189" s="35"/>
      <c r="H2189" s="35"/>
    </row>
    <row r="2190">
      <c r="D2190" s="15"/>
      <c r="E2190" s="32"/>
      <c r="F2190" s="35"/>
      <c r="H2190" s="35"/>
    </row>
    <row r="2191">
      <c r="D2191" s="15"/>
      <c r="E2191" s="32"/>
      <c r="F2191" s="35"/>
      <c r="H2191" s="35"/>
    </row>
    <row r="2192">
      <c r="D2192" s="15"/>
      <c r="E2192" s="32"/>
      <c r="F2192" s="35"/>
      <c r="H2192" s="35"/>
    </row>
    <row r="2193">
      <c r="D2193" s="15"/>
      <c r="E2193" s="32"/>
      <c r="F2193" s="35"/>
      <c r="H2193" s="35"/>
    </row>
    <row r="2194">
      <c r="D2194" s="15"/>
      <c r="E2194" s="32"/>
      <c r="F2194" s="35"/>
      <c r="H2194" s="35"/>
    </row>
    <row r="2195">
      <c r="D2195" s="15"/>
      <c r="E2195" s="32"/>
      <c r="F2195" s="35"/>
      <c r="H2195" s="35"/>
    </row>
    <row r="2196">
      <c r="D2196" s="15"/>
      <c r="E2196" s="32"/>
      <c r="F2196" s="35"/>
      <c r="H2196" s="35"/>
    </row>
    <row r="2197">
      <c r="D2197" s="15"/>
      <c r="E2197" s="32"/>
      <c r="F2197" s="35"/>
      <c r="H2197" s="35"/>
    </row>
    <row r="2198">
      <c r="D2198" s="15"/>
      <c r="E2198" s="32"/>
      <c r="F2198" s="35"/>
      <c r="H2198" s="35"/>
    </row>
    <row r="2199">
      <c r="D2199" s="15"/>
      <c r="E2199" s="32"/>
      <c r="F2199" s="35"/>
      <c r="H2199" s="35"/>
    </row>
    <row r="2200">
      <c r="D2200" s="15"/>
      <c r="E2200" s="32"/>
      <c r="F2200" s="35"/>
      <c r="H2200" s="35"/>
    </row>
    <row r="2201">
      <c r="D2201" s="15"/>
      <c r="E2201" s="32"/>
      <c r="F2201" s="35"/>
      <c r="H2201" s="35"/>
    </row>
    <row r="2202">
      <c r="D2202" s="15"/>
      <c r="E2202" s="32"/>
      <c r="F2202" s="35"/>
      <c r="H2202" s="35"/>
    </row>
    <row r="2203">
      <c r="D2203" s="15"/>
      <c r="E2203" s="32"/>
      <c r="F2203" s="35"/>
      <c r="H2203" s="35"/>
    </row>
    <row r="2204">
      <c r="D2204" s="15"/>
      <c r="E2204" s="32"/>
      <c r="F2204" s="35"/>
      <c r="H2204" s="35"/>
    </row>
    <row r="2205">
      <c r="D2205" s="15"/>
      <c r="E2205" s="32"/>
      <c r="F2205" s="35"/>
      <c r="H2205" s="35"/>
    </row>
    <row r="2206">
      <c r="D2206" s="15"/>
      <c r="E2206" s="32"/>
      <c r="F2206" s="35"/>
      <c r="H2206" s="35"/>
    </row>
    <row r="2207">
      <c r="D2207" s="15"/>
      <c r="E2207" s="32"/>
      <c r="F2207" s="35"/>
      <c r="H2207" s="35"/>
    </row>
    <row r="2208">
      <c r="D2208" s="15"/>
      <c r="E2208" s="32"/>
      <c r="F2208" s="35"/>
      <c r="H2208" s="35"/>
    </row>
    <row r="2209">
      <c r="D2209" s="15"/>
      <c r="E2209" s="32"/>
      <c r="F2209" s="35"/>
      <c r="H2209" s="35"/>
    </row>
    <row r="2210">
      <c r="D2210" s="15"/>
      <c r="E2210" s="32"/>
      <c r="F2210" s="35"/>
      <c r="H2210" s="35"/>
    </row>
    <row r="2211">
      <c r="D2211" s="15"/>
      <c r="E2211" s="32"/>
      <c r="F2211" s="35"/>
      <c r="H2211" s="35"/>
    </row>
    <row r="2212">
      <c r="D2212" s="15"/>
      <c r="E2212" s="32"/>
      <c r="F2212" s="35"/>
      <c r="H2212" s="35"/>
    </row>
    <row r="2213">
      <c r="D2213" s="15"/>
      <c r="E2213" s="32"/>
      <c r="F2213" s="35"/>
      <c r="H2213" s="35"/>
    </row>
    <row r="2214">
      <c r="D2214" s="15"/>
      <c r="E2214" s="32"/>
      <c r="F2214" s="35"/>
      <c r="H2214" s="35"/>
    </row>
    <row r="2215">
      <c r="D2215" s="15"/>
      <c r="E2215" s="32"/>
      <c r="F2215" s="35"/>
      <c r="H2215" s="35"/>
    </row>
    <row r="2216">
      <c r="D2216" s="15"/>
      <c r="E2216" s="32"/>
      <c r="F2216" s="35"/>
      <c r="H2216" s="35"/>
    </row>
    <row r="2217">
      <c r="D2217" s="15"/>
      <c r="E2217" s="32"/>
      <c r="F2217" s="35"/>
      <c r="H2217" s="35"/>
    </row>
    <row r="2218">
      <c r="D2218" s="15"/>
      <c r="E2218" s="32"/>
      <c r="F2218" s="35"/>
      <c r="H2218" s="35"/>
    </row>
    <row r="2219">
      <c r="D2219" s="15"/>
      <c r="E2219" s="32"/>
      <c r="F2219" s="35"/>
      <c r="H2219" s="35"/>
    </row>
    <row r="2220">
      <c r="D2220" s="15"/>
      <c r="E2220" s="32"/>
      <c r="F2220" s="35"/>
      <c r="H2220" s="35"/>
    </row>
    <row r="2221">
      <c r="D2221" s="15"/>
      <c r="E2221" s="32"/>
      <c r="F2221" s="35"/>
      <c r="H2221" s="35"/>
    </row>
    <row r="2222">
      <c r="D2222" s="15"/>
      <c r="E2222" s="32"/>
      <c r="F2222" s="35"/>
      <c r="H2222" s="35"/>
    </row>
    <row r="2223">
      <c r="D2223" s="15"/>
      <c r="E2223" s="32"/>
      <c r="F2223" s="35"/>
      <c r="H2223" s="35"/>
    </row>
    <row r="2224">
      <c r="D2224" s="15"/>
      <c r="E2224" s="32"/>
      <c r="F2224" s="35"/>
      <c r="H2224" s="35"/>
    </row>
    <row r="2225">
      <c r="D2225" s="15"/>
      <c r="E2225" s="32"/>
      <c r="F2225" s="35"/>
      <c r="H2225" s="35"/>
    </row>
    <row r="2226">
      <c r="D2226" s="15"/>
      <c r="E2226" s="32"/>
      <c r="F2226" s="35"/>
      <c r="H2226" s="35"/>
    </row>
    <row r="2227">
      <c r="D2227" s="15"/>
      <c r="E2227" s="32"/>
      <c r="F2227" s="35"/>
      <c r="H2227" s="35"/>
    </row>
    <row r="2228">
      <c r="D2228" s="15"/>
      <c r="E2228" s="32"/>
      <c r="F2228" s="35"/>
      <c r="H2228" s="35"/>
    </row>
    <row r="2229">
      <c r="D2229" s="15"/>
      <c r="E2229" s="32"/>
      <c r="F2229" s="35"/>
      <c r="H2229" s="35"/>
    </row>
    <row r="2230">
      <c r="D2230" s="15"/>
      <c r="E2230" s="32"/>
      <c r="F2230" s="35"/>
      <c r="H2230" s="35"/>
    </row>
    <row r="2231">
      <c r="D2231" s="15"/>
      <c r="E2231" s="32"/>
      <c r="F2231" s="35"/>
      <c r="H2231" s="35"/>
    </row>
    <row r="2232">
      <c r="D2232" s="15"/>
      <c r="E2232" s="32"/>
      <c r="F2232" s="35"/>
      <c r="H2232" s="35"/>
    </row>
    <row r="2233">
      <c r="D2233" s="15"/>
      <c r="E2233" s="32"/>
      <c r="F2233" s="35"/>
      <c r="H2233" s="35"/>
    </row>
    <row r="2234">
      <c r="D2234" s="15"/>
      <c r="E2234" s="32"/>
      <c r="F2234" s="35"/>
      <c r="H2234" s="35"/>
    </row>
    <row r="2235">
      <c r="D2235" s="15"/>
      <c r="E2235" s="32"/>
      <c r="F2235" s="35"/>
      <c r="H2235" s="35"/>
    </row>
    <row r="2236">
      <c r="D2236" s="15"/>
      <c r="E2236" s="32"/>
      <c r="F2236" s="35"/>
      <c r="H2236" s="35"/>
    </row>
    <row r="2237">
      <c r="D2237" s="15"/>
      <c r="E2237" s="32"/>
      <c r="F2237" s="35"/>
      <c r="H2237" s="35"/>
    </row>
    <row r="2238">
      <c r="D2238" s="15"/>
      <c r="E2238" s="32"/>
      <c r="F2238" s="35"/>
      <c r="H2238" s="35"/>
    </row>
    <row r="2239">
      <c r="D2239" s="15"/>
      <c r="E2239" s="32"/>
      <c r="F2239" s="35"/>
      <c r="H2239" s="35"/>
    </row>
    <row r="2240">
      <c r="D2240" s="15"/>
      <c r="E2240" s="32"/>
      <c r="F2240" s="35"/>
      <c r="H2240" s="35"/>
    </row>
    <row r="2241">
      <c r="D2241" s="15"/>
      <c r="E2241" s="32"/>
      <c r="F2241" s="35"/>
      <c r="H2241" s="35"/>
    </row>
    <row r="2242">
      <c r="D2242" s="15"/>
      <c r="E2242" s="32"/>
      <c r="F2242" s="35"/>
      <c r="H2242" s="35"/>
    </row>
    <row r="2243">
      <c r="D2243" s="15"/>
      <c r="E2243" s="32"/>
      <c r="F2243" s="35"/>
      <c r="H2243" s="35"/>
    </row>
    <row r="2244">
      <c r="D2244" s="15"/>
      <c r="E2244" s="32"/>
      <c r="F2244" s="35"/>
      <c r="H2244" s="35"/>
    </row>
    <row r="2245">
      <c r="D2245" s="15"/>
      <c r="E2245" s="32"/>
      <c r="F2245" s="35"/>
      <c r="H2245" s="35"/>
    </row>
    <row r="2246">
      <c r="D2246" s="15"/>
      <c r="E2246" s="32"/>
      <c r="F2246" s="35"/>
      <c r="H2246" s="35"/>
    </row>
    <row r="2247">
      <c r="D2247" s="15"/>
      <c r="E2247" s="32"/>
      <c r="F2247" s="35"/>
      <c r="H2247" s="35"/>
    </row>
    <row r="2248">
      <c r="D2248" s="15"/>
      <c r="E2248" s="32"/>
      <c r="F2248" s="35"/>
      <c r="H2248" s="35"/>
    </row>
    <row r="2249">
      <c r="D2249" s="15"/>
      <c r="E2249" s="32"/>
      <c r="F2249" s="35"/>
      <c r="H2249" s="35"/>
    </row>
    <row r="2250">
      <c r="D2250" s="15"/>
      <c r="E2250" s="32"/>
      <c r="F2250" s="35"/>
      <c r="H2250" s="35"/>
    </row>
    <row r="2251">
      <c r="D2251" s="15"/>
      <c r="E2251" s="32"/>
      <c r="F2251" s="35"/>
      <c r="H2251" s="35"/>
    </row>
    <row r="2252">
      <c r="D2252" s="15"/>
      <c r="E2252" s="32"/>
      <c r="F2252" s="35"/>
      <c r="H2252" s="35"/>
    </row>
    <row r="2253">
      <c r="D2253" s="15"/>
      <c r="E2253" s="32"/>
      <c r="F2253" s="35"/>
      <c r="H2253" s="35"/>
    </row>
    <row r="2254">
      <c r="D2254" s="15"/>
      <c r="E2254" s="32"/>
      <c r="F2254" s="35"/>
      <c r="H2254" s="35"/>
    </row>
    <row r="2255">
      <c r="D2255" s="15"/>
      <c r="E2255" s="32"/>
      <c r="F2255" s="35"/>
      <c r="H2255" s="35"/>
    </row>
    <row r="2256">
      <c r="D2256" s="15"/>
      <c r="E2256" s="32"/>
      <c r="F2256" s="35"/>
      <c r="H2256" s="35"/>
    </row>
    <row r="2257">
      <c r="D2257" s="15"/>
      <c r="E2257" s="32"/>
      <c r="F2257" s="35"/>
      <c r="H2257" s="35"/>
    </row>
    <row r="2258">
      <c r="D2258" s="15"/>
      <c r="E2258" s="32"/>
      <c r="F2258" s="35"/>
      <c r="H2258" s="35"/>
    </row>
    <row r="2259">
      <c r="D2259" s="15"/>
      <c r="E2259" s="32"/>
      <c r="F2259" s="35"/>
      <c r="H2259" s="35"/>
    </row>
    <row r="2260">
      <c r="D2260" s="15"/>
      <c r="E2260" s="32"/>
      <c r="F2260" s="35"/>
      <c r="H2260" s="35"/>
    </row>
    <row r="2261">
      <c r="D2261" s="15"/>
      <c r="E2261" s="32"/>
      <c r="F2261" s="35"/>
      <c r="H2261" s="35"/>
    </row>
    <row r="2262">
      <c r="D2262" s="15"/>
      <c r="E2262" s="32"/>
      <c r="F2262" s="35"/>
      <c r="H2262" s="35"/>
    </row>
    <row r="2263">
      <c r="D2263" s="15"/>
      <c r="E2263" s="32"/>
      <c r="F2263" s="35"/>
      <c r="H2263" s="35"/>
    </row>
    <row r="2264">
      <c r="D2264" s="15"/>
      <c r="E2264" s="32"/>
      <c r="F2264" s="35"/>
      <c r="H2264" s="35"/>
    </row>
    <row r="2265">
      <c r="D2265" s="15"/>
      <c r="E2265" s="32"/>
      <c r="F2265" s="35"/>
      <c r="H2265" s="35"/>
    </row>
    <row r="2266">
      <c r="D2266" s="15"/>
      <c r="E2266" s="32"/>
      <c r="F2266" s="35"/>
      <c r="H2266" s="35"/>
    </row>
    <row r="2267">
      <c r="D2267" s="15"/>
      <c r="E2267" s="32"/>
      <c r="F2267" s="35"/>
      <c r="H2267" s="35"/>
    </row>
    <row r="2268">
      <c r="D2268" s="15"/>
      <c r="E2268" s="32"/>
      <c r="F2268" s="35"/>
      <c r="H2268" s="35"/>
    </row>
    <row r="2269">
      <c r="D2269" s="15"/>
      <c r="E2269" s="32"/>
      <c r="F2269" s="35"/>
      <c r="H2269" s="35"/>
    </row>
    <row r="2270">
      <c r="D2270" s="15"/>
      <c r="E2270" s="32"/>
      <c r="F2270" s="35"/>
      <c r="H2270" s="35"/>
    </row>
    <row r="2271">
      <c r="D2271" s="15"/>
      <c r="E2271" s="32"/>
      <c r="F2271" s="35"/>
      <c r="H2271" s="35"/>
    </row>
    <row r="2272">
      <c r="D2272" s="15"/>
      <c r="E2272" s="32"/>
      <c r="F2272" s="35"/>
      <c r="H2272" s="35"/>
    </row>
    <row r="2273">
      <c r="D2273" s="15"/>
      <c r="E2273" s="32"/>
      <c r="F2273" s="35"/>
      <c r="H2273" s="35"/>
    </row>
    <row r="2274">
      <c r="D2274" s="15"/>
      <c r="E2274" s="32"/>
      <c r="F2274" s="35"/>
      <c r="H2274" s="35"/>
    </row>
    <row r="2275">
      <c r="D2275" s="15"/>
      <c r="E2275" s="32"/>
      <c r="F2275" s="35"/>
      <c r="H2275" s="35"/>
    </row>
    <row r="2276">
      <c r="D2276" s="15"/>
      <c r="E2276" s="32"/>
      <c r="F2276" s="35"/>
      <c r="H2276" s="35"/>
    </row>
    <row r="2277">
      <c r="D2277" s="15"/>
      <c r="E2277" s="32"/>
      <c r="F2277" s="35"/>
      <c r="H2277" s="35"/>
    </row>
    <row r="2278">
      <c r="D2278" s="15"/>
      <c r="E2278" s="32"/>
      <c r="F2278" s="35"/>
      <c r="H2278" s="35"/>
    </row>
    <row r="2279">
      <c r="D2279" s="15"/>
      <c r="E2279" s="32"/>
      <c r="F2279" s="35"/>
      <c r="H2279" s="35"/>
    </row>
    <row r="2280">
      <c r="D2280" s="15"/>
      <c r="E2280" s="32"/>
      <c r="F2280" s="35"/>
      <c r="H2280" s="35"/>
    </row>
    <row r="2281">
      <c r="D2281" s="15"/>
      <c r="E2281" s="32"/>
      <c r="F2281" s="35"/>
      <c r="H2281" s="35"/>
    </row>
    <row r="2282">
      <c r="D2282" s="15"/>
      <c r="E2282" s="32"/>
      <c r="F2282" s="35"/>
      <c r="H2282" s="35"/>
    </row>
    <row r="2283">
      <c r="D2283" s="15"/>
      <c r="E2283" s="32"/>
      <c r="F2283" s="35"/>
      <c r="H2283" s="35"/>
    </row>
    <row r="2284">
      <c r="D2284" s="15"/>
      <c r="E2284" s="32"/>
      <c r="F2284" s="35"/>
      <c r="H2284" s="35"/>
    </row>
    <row r="2285">
      <c r="D2285" s="15"/>
      <c r="E2285" s="32"/>
      <c r="F2285" s="35"/>
      <c r="H2285" s="35"/>
    </row>
    <row r="2286">
      <c r="D2286" s="15"/>
      <c r="E2286" s="32"/>
      <c r="F2286" s="35"/>
      <c r="H2286" s="35"/>
    </row>
    <row r="2287">
      <c r="D2287" s="15"/>
      <c r="E2287" s="32"/>
      <c r="F2287" s="35"/>
      <c r="H2287" s="35"/>
    </row>
    <row r="2288">
      <c r="D2288" s="15"/>
      <c r="E2288" s="32"/>
      <c r="F2288" s="35"/>
      <c r="H2288" s="35"/>
    </row>
    <row r="2289">
      <c r="D2289" s="15"/>
      <c r="E2289" s="32"/>
      <c r="F2289" s="35"/>
      <c r="H2289" s="35"/>
    </row>
    <row r="2290">
      <c r="D2290" s="15"/>
      <c r="E2290" s="32"/>
      <c r="F2290" s="35"/>
      <c r="H2290" s="35"/>
    </row>
    <row r="2291">
      <c r="D2291" s="15"/>
      <c r="E2291" s="32"/>
      <c r="F2291" s="35"/>
      <c r="H2291" s="35"/>
    </row>
    <row r="2292">
      <c r="D2292" s="15"/>
      <c r="E2292" s="32"/>
      <c r="F2292" s="35"/>
      <c r="H2292" s="35"/>
    </row>
    <row r="2293">
      <c r="D2293" s="15"/>
      <c r="E2293" s="32"/>
      <c r="F2293" s="35"/>
      <c r="H2293" s="35"/>
    </row>
    <row r="2294">
      <c r="D2294" s="15"/>
      <c r="E2294" s="32"/>
      <c r="F2294" s="35"/>
      <c r="H2294" s="35"/>
    </row>
    <row r="2295">
      <c r="D2295" s="15"/>
      <c r="E2295" s="32"/>
      <c r="F2295" s="35"/>
      <c r="H2295" s="35"/>
    </row>
    <row r="2296">
      <c r="D2296" s="15"/>
      <c r="E2296" s="32"/>
      <c r="F2296" s="35"/>
      <c r="H2296" s="35"/>
    </row>
    <row r="2297">
      <c r="D2297" s="15"/>
      <c r="E2297" s="32"/>
      <c r="F2297" s="35"/>
      <c r="H2297" s="35"/>
    </row>
    <row r="2298">
      <c r="D2298" s="15"/>
      <c r="E2298" s="32"/>
      <c r="F2298" s="35"/>
      <c r="H2298" s="35"/>
    </row>
    <row r="2299">
      <c r="D2299" s="15"/>
      <c r="E2299" s="32"/>
      <c r="F2299" s="35"/>
      <c r="H2299" s="35"/>
    </row>
    <row r="2300">
      <c r="D2300" s="15"/>
      <c r="E2300" s="32"/>
      <c r="F2300" s="35"/>
      <c r="H2300" s="35"/>
    </row>
    <row r="2301">
      <c r="D2301" s="15"/>
      <c r="E2301" s="32"/>
      <c r="F2301" s="35"/>
      <c r="H2301" s="35"/>
    </row>
    <row r="2302">
      <c r="D2302" s="15"/>
      <c r="E2302" s="32"/>
      <c r="F2302" s="35"/>
      <c r="H2302" s="35"/>
    </row>
    <row r="2303">
      <c r="D2303" s="15"/>
      <c r="E2303" s="32"/>
      <c r="F2303" s="35"/>
      <c r="H2303" s="35"/>
    </row>
    <row r="2304">
      <c r="D2304" s="15"/>
      <c r="E2304" s="32"/>
      <c r="F2304" s="35"/>
      <c r="H2304" s="35"/>
    </row>
    <row r="2305">
      <c r="D2305" s="15"/>
      <c r="E2305" s="32"/>
      <c r="F2305" s="35"/>
      <c r="H2305" s="35"/>
    </row>
    <row r="2306">
      <c r="D2306" s="15"/>
      <c r="E2306" s="32"/>
      <c r="F2306" s="35"/>
      <c r="H2306" s="35"/>
    </row>
    <row r="2307">
      <c r="D2307" s="15"/>
      <c r="E2307" s="32"/>
      <c r="F2307" s="35"/>
      <c r="H2307" s="35"/>
    </row>
    <row r="2308">
      <c r="D2308" s="15"/>
      <c r="E2308" s="32"/>
      <c r="F2308" s="35"/>
      <c r="H2308" s="35"/>
    </row>
    <row r="2309">
      <c r="D2309" s="15"/>
      <c r="E2309" s="32"/>
      <c r="F2309" s="35"/>
      <c r="H2309" s="35"/>
    </row>
    <row r="2310">
      <c r="D2310" s="15"/>
      <c r="E2310" s="32"/>
      <c r="F2310" s="35"/>
      <c r="H2310" s="35"/>
    </row>
    <row r="2311">
      <c r="D2311" s="15"/>
      <c r="E2311" s="32"/>
      <c r="F2311" s="35"/>
      <c r="H2311" s="35"/>
    </row>
    <row r="2312">
      <c r="D2312" s="15"/>
      <c r="E2312" s="32"/>
      <c r="F2312" s="35"/>
      <c r="H2312" s="35"/>
    </row>
    <row r="2313">
      <c r="D2313" s="15"/>
      <c r="E2313" s="32"/>
      <c r="F2313" s="35"/>
      <c r="H2313" s="35"/>
    </row>
    <row r="2314">
      <c r="D2314" s="15"/>
      <c r="E2314" s="32"/>
      <c r="F2314" s="35"/>
      <c r="H2314" s="35"/>
    </row>
    <row r="2315">
      <c r="D2315" s="15"/>
      <c r="E2315" s="32"/>
      <c r="F2315" s="35"/>
      <c r="H2315" s="35"/>
    </row>
    <row r="2316">
      <c r="D2316" s="15"/>
      <c r="E2316" s="32"/>
      <c r="F2316" s="35"/>
      <c r="H2316" s="35"/>
    </row>
    <row r="2317">
      <c r="D2317" s="15"/>
      <c r="E2317" s="32"/>
      <c r="F2317" s="35"/>
      <c r="H2317" s="35"/>
    </row>
    <row r="2318">
      <c r="D2318" s="15"/>
      <c r="E2318" s="32"/>
      <c r="F2318" s="35"/>
      <c r="H2318" s="35"/>
    </row>
    <row r="2319">
      <c r="D2319" s="15"/>
      <c r="E2319" s="32"/>
      <c r="F2319" s="35"/>
      <c r="H2319" s="35"/>
    </row>
    <row r="2320">
      <c r="D2320" s="15"/>
      <c r="E2320" s="32"/>
      <c r="F2320" s="35"/>
      <c r="H2320" s="35"/>
    </row>
    <row r="2321">
      <c r="D2321" s="15"/>
      <c r="E2321" s="32"/>
      <c r="F2321" s="35"/>
      <c r="H2321" s="35"/>
    </row>
    <row r="2322">
      <c r="D2322" s="15"/>
      <c r="E2322" s="32"/>
      <c r="F2322" s="35"/>
      <c r="H2322" s="35"/>
    </row>
    <row r="2323">
      <c r="D2323" s="15"/>
      <c r="E2323" s="32"/>
      <c r="F2323" s="35"/>
      <c r="H2323" s="35"/>
    </row>
    <row r="2324">
      <c r="D2324" s="15"/>
      <c r="E2324" s="32"/>
      <c r="F2324" s="35"/>
      <c r="H2324" s="35"/>
    </row>
    <row r="2325">
      <c r="D2325" s="15"/>
      <c r="E2325" s="32"/>
      <c r="F2325" s="35"/>
      <c r="H2325" s="35"/>
    </row>
    <row r="2326">
      <c r="D2326" s="15"/>
      <c r="E2326" s="32"/>
      <c r="F2326" s="35"/>
      <c r="H2326" s="35"/>
    </row>
    <row r="2327">
      <c r="D2327" s="15"/>
      <c r="E2327" s="32"/>
      <c r="F2327" s="35"/>
      <c r="H2327" s="35"/>
    </row>
    <row r="2328">
      <c r="D2328" s="15"/>
      <c r="E2328" s="32"/>
      <c r="F2328" s="35"/>
      <c r="H2328" s="35"/>
    </row>
    <row r="2329">
      <c r="D2329" s="15"/>
      <c r="E2329" s="32"/>
      <c r="F2329" s="35"/>
      <c r="H2329" s="35"/>
    </row>
    <row r="2330">
      <c r="D2330" s="15"/>
      <c r="E2330" s="32"/>
      <c r="F2330" s="35"/>
      <c r="H2330" s="35"/>
    </row>
    <row r="2331">
      <c r="D2331" s="15"/>
      <c r="E2331" s="32"/>
      <c r="F2331" s="35"/>
      <c r="H2331" s="35"/>
    </row>
    <row r="2332">
      <c r="D2332" s="15"/>
      <c r="E2332" s="32"/>
      <c r="F2332" s="35"/>
      <c r="H2332" s="35"/>
    </row>
    <row r="2333">
      <c r="D2333" s="15"/>
      <c r="E2333" s="32"/>
      <c r="F2333" s="35"/>
      <c r="H2333" s="35"/>
    </row>
    <row r="2334">
      <c r="D2334" s="15"/>
      <c r="E2334" s="32"/>
      <c r="F2334" s="35"/>
      <c r="H2334" s="35"/>
    </row>
    <row r="2335">
      <c r="D2335" s="15"/>
      <c r="E2335" s="32"/>
      <c r="F2335" s="35"/>
      <c r="H2335" s="35"/>
    </row>
    <row r="2336">
      <c r="D2336" s="15"/>
      <c r="E2336" s="32"/>
      <c r="F2336" s="35"/>
      <c r="H2336" s="35"/>
    </row>
    <row r="2337">
      <c r="D2337" s="15"/>
      <c r="E2337" s="32"/>
      <c r="F2337" s="35"/>
      <c r="H2337" s="35"/>
    </row>
    <row r="2338">
      <c r="D2338" s="15"/>
      <c r="E2338" s="32"/>
      <c r="F2338" s="35"/>
      <c r="H2338" s="35"/>
    </row>
    <row r="2339">
      <c r="D2339" s="15"/>
      <c r="E2339" s="32"/>
      <c r="F2339" s="35"/>
      <c r="H2339" s="35"/>
    </row>
    <row r="2340">
      <c r="D2340" s="15"/>
      <c r="E2340" s="32"/>
      <c r="F2340" s="35"/>
      <c r="H2340" s="35"/>
    </row>
    <row r="2341">
      <c r="D2341" s="15"/>
      <c r="E2341" s="32"/>
      <c r="F2341" s="35"/>
      <c r="H2341" s="35"/>
    </row>
    <row r="2342">
      <c r="D2342" s="15"/>
      <c r="E2342" s="32"/>
      <c r="F2342" s="35"/>
      <c r="H2342" s="35"/>
    </row>
    <row r="2343">
      <c r="D2343" s="15"/>
      <c r="E2343" s="32"/>
      <c r="F2343" s="35"/>
      <c r="H2343" s="35"/>
    </row>
    <row r="2344">
      <c r="D2344" s="15"/>
      <c r="E2344" s="32"/>
      <c r="F2344" s="35"/>
      <c r="H2344" s="35"/>
    </row>
    <row r="2345">
      <c r="D2345" s="15"/>
      <c r="E2345" s="32"/>
      <c r="F2345" s="35"/>
      <c r="H2345" s="35"/>
    </row>
    <row r="2346">
      <c r="D2346" s="15"/>
      <c r="E2346" s="32"/>
      <c r="F2346" s="35"/>
      <c r="H2346" s="35"/>
    </row>
    <row r="2347">
      <c r="D2347" s="15"/>
      <c r="E2347" s="32"/>
      <c r="F2347" s="35"/>
      <c r="H2347" s="35"/>
    </row>
    <row r="2348">
      <c r="D2348" s="15"/>
      <c r="E2348" s="32"/>
      <c r="F2348" s="35"/>
      <c r="H2348" s="35"/>
    </row>
    <row r="2349">
      <c r="D2349" s="15"/>
      <c r="E2349" s="32"/>
      <c r="F2349" s="35"/>
      <c r="H2349" s="35"/>
    </row>
    <row r="2350">
      <c r="D2350" s="15"/>
      <c r="E2350" s="32"/>
      <c r="F2350" s="35"/>
      <c r="H2350" s="35"/>
    </row>
    <row r="2351">
      <c r="D2351" s="15"/>
      <c r="E2351" s="32"/>
      <c r="F2351" s="35"/>
      <c r="H2351" s="35"/>
    </row>
    <row r="2352">
      <c r="D2352" s="15"/>
      <c r="E2352" s="32"/>
      <c r="F2352" s="35"/>
      <c r="H2352" s="35"/>
    </row>
    <row r="2353">
      <c r="D2353" s="15"/>
      <c r="E2353" s="32"/>
      <c r="F2353" s="35"/>
      <c r="H2353" s="35"/>
    </row>
    <row r="2354">
      <c r="D2354" s="15"/>
      <c r="E2354" s="32"/>
      <c r="F2354" s="35"/>
      <c r="H2354" s="35"/>
    </row>
    <row r="2355">
      <c r="D2355" s="15"/>
      <c r="E2355" s="32"/>
      <c r="F2355" s="35"/>
      <c r="H2355" s="35"/>
    </row>
    <row r="2356">
      <c r="D2356" s="15"/>
      <c r="E2356" s="32"/>
      <c r="F2356" s="35"/>
      <c r="H2356" s="35"/>
    </row>
    <row r="2357">
      <c r="D2357" s="15"/>
      <c r="E2357" s="32"/>
      <c r="F2357" s="35"/>
      <c r="H2357" s="35"/>
    </row>
    <row r="2358">
      <c r="D2358" s="15"/>
      <c r="E2358" s="32"/>
      <c r="F2358" s="35"/>
      <c r="H2358" s="35"/>
    </row>
    <row r="2359">
      <c r="D2359" s="15"/>
      <c r="E2359" s="32"/>
      <c r="F2359" s="35"/>
      <c r="H2359" s="35"/>
    </row>
    <row r="2360">
      <c r="D2360" s="15"/>
      <c r="E2360" s="32"/>
      <c r="F2360" s="35"/>
      <c r="H2360" s="35"/>
    </row>
    <row r="2361">
      <c r="D2361" s="15"/>
      <c r="E2361" s="32"/>
      <c r="F2361" s="35"/>
      <c r="H2361" s="35"/>
    </row>
    <row r="2362">
      <c r="D2362" s="15"/>
      <c r="E2362" s="32"/>
      <c r="F2362" s="35"/>
      <c r="H2362" s="35"/>
    </row>
    <row r="2363">
      <c r="D2363" s="15"/>
      <c r="E2363" s="32"/>
      <c r="F2363" s="35"/>
      <c r="H2363" s="35"/>
    </row>
    <row r="2364">
      <c r="D2364" s="15"/>
      <c r="E2364" s="32"/>
      <c r="F2364" s="35"/>
      <c r="H2364" s="35"/>
    </row>
    <row r="2365">
      <c r="D2365" s="15"/>
      <c r="E2365" s="32"/>
      <c r="F2365" s="35"/>
      <c r="H2365" s="35"/>
    </row>
    <row r="2366">
      <c r="D2366" s="15"/>
      <c r="E2366" s="32"/>
      <c r="F2366" s="35"/>
      <c r="H2366" s="35"/>
    </row>
    <row r="2367">
      <c r="D2367" s="15"/>
      <c r="E2367" s="32"/>
      <c r="F2367" s="35"/>
      <c r="H2367" s="35"/>
    </row>
    <row r="2368">
      <c r="D2368" s="15"/>
      <c r="E2368" s="32"/>
      <c r="F2368" s="35"/>
      <c r="H2368" s="35"/>
    </row>
    <row r="2369">
      <c r="D2369" s="15"/>
      <c r="E2369" s="32"/>
      <c r="F2369" s="35"/>
      <c r="H2369" s="35"/>
    </row>
    <row r="2370">
      <c r="D2370" s="15"/>
      <c r="E2370" s="32"/>
      <c r="F2370" s="35"/>
      <c r="H2370" s="35"/>
    </row>
    <row r="2371">
      <c r="D2371" s="15"/>
      <c r="E2371" s="32"/>
      <c r="F2371" s="35"/>
      <c r="H2371" s="35"/>
    </row>
    <row r="2372">
      <c r="D2372" s="15"/>
      <c r="E2372" s="32"/>
      <c r="F2372" s="35"/>
      <c r="H2372" s="35"/>
    </row>
    <row r="2373">
      <c r="D2373" s="15"/>
      <c r="E2373" s="32"/>
      <c r="F2373" s="35"/>
      <c r="H2373" s="35"/>
    </row>
    <row r="2374">
      <c r="D2374" s="15"/>
      <c r="E2374" s="32"/>
      <c r="F2374" s="35"/>
      <c r="H2374" s="35"/>
    </row>
    <row r="2375">
      <c r="D2375" s="15"/>
      <c r="E2375" s="32"/>
      <c r="F2375" s="35"/>
      <c r="H2375" s="35"/>
    </row>
    <row r="2376">
      <c r="D2376" s="15"/>
      <c r="E2376" s="32"/>
      <c r="F2376" s="35"/>
      <c r="H2376" s="35"/>
    </row>
    <row r="2377">
      <c r="D2377" s="15"/>
      <c r="E2377" s="32"/>
      <c r="F2377" s="35"/>
      <c r="H2377" s="35"/>
    </row>
    <row r="2378">
      <c r="D2378" s="15"/>
      <c r="E2378" s="32"/>
      <c r="F2378" s="35"/>
      <c r="H2378" s="35"/>
    </row>
    <row r="2379">
      <c r="D2379" s="15"/>
      <c r="E2379" s="32"/>
      <c r="F2379" s="35"/>
      <c r="H2379" s="35"/>
    </row>
    <row r="2380">
      <c r="D2380" s="15"/>
      <c r="E2380" s="32"/>
      <c r="F2380" s="35"/>
      <c r="H2380" s="35"/>
    </row>
    <row r="2381">
      <c r="D2381" s="15"/>
      <c r="E2381" s="32"/>
      <c r="F2381" s="35"/>
      <c r="H2381" s="35"/>
    </row>
    <row r="2382">
      <c r="D2382" s="15"/>
      <c r="E2382" s="32"/>
      <c r="F2382" s="35"/>
      <c r="H2382" s="35"/>
    </row>
    <row r="2383">
      <c r="D2383" s="15"/>
      <c r="E2383" s="32"/>
      <c r="F2383" s="35"/>
      <c r="H2383" s="35"/>
    </row>
    <row r="2384">
      <c r="D2384" s="15"/>
      <c r="E2384" s="32"/>
      <c r="F2384" s="35"/>
      <c r="H2384" s="35"/>
    </row>
    <row r="2385">
      <c r="D2385" s="15"/>
      <c r="E2385" s="32"/>
      <c r="F2385" s="35"/>
      <c r="H2385" s="35"/>
    </row>
    <row r="2386">
      <c r="D2386" s="15"/>
      <c r="E2386" s="32"/>
      <c r="F2386" s="35"/>
      <c r="H2386" s="35"/>
    </row>
    <row r="2387">
      <c r="D2387" s="15"/>
      <c r="E2387" s="32"/>
      <c r="F2387" s="35"/>
      <c r="H2387" s="35"/>
    </row>
    <row r="2388">
      <c r="D2388" s="15"/>
      <c r="E2388" s="32"/>
      <c r="F2388" s="35"/>
      <c r="H2388" s="35"/>
    </row>
    <row r="2389">
      <c r="D2389" s="15"/>
      <c r="E2389" s="32"/>
      <c r="F2389" s="35"/>
      <c r="H2389" s="35"/>
    </row>
    <row r="2390">
      <c r="D2390" s="15"/>
      <c r="E2390" s="32"/>
      <c r="F2390" s="35"/>
      <c r="H2390" s="35"/>
    </row>
    <row r="2391">
      <c r="D2391" s="15"/>
      <c r="E2391" s="32"/>
      <c r="F2391" s="35"/>
      <c r="H2391" s="35"/>
    </row>
    <row r="2392">
      <c r="D2392" s="15"/>
      <c r="E2392" s="32"/>
      <c r="F2392" s="35"/>
      <c r="H2392" s="35"/>
    </row>
    <row r="2393">
      <c r="D2393" s="15"/>
      <c r="E2393" s="32"/>
      <c r="F2393" s="35"/>
      <c r="H2393" s="35"/>
    </row>
    <row r="2394">
      <c r="D2394" s="15"/>
      <c r="E2394" s="32"/>
      <c r="F2394" s="35"/>
      <c r="H2394" s="35"/>
    </row>
    <row r="2395">
      <c r="D2395" s="15"/>
      <c r="E2395" s="32"/>
      <c r="F2395" s="35"/>
      <c r="H2395" s="35"/>
    </row>
    <row r="2396">
      <c r="D2396" s="15"/>
      <c r="E2396" s="32"/>
      <c r="F2396" s="35"/>
      <c r="H2396" s="35"/>
    </row>
    <row r="2397">
      <c r="D2397" s="15"/>
      <c r="E2397" s="32"/>
      <c r="F2397" s="35"/>
      <c r="H2397" s="35"/>
    </row>
    <row r="2398">
      <c r="D2398" s="15"/>
      <c r="E2398" s="32"/>
      <c r="F2398" s="35"/>
      <c r="H2398" s="35"/>
    </row>
    <row r="2399">
      <c r="D2399" s="15"/>
      <c r="E2399" s="32"/>
      <c r="F2399" s="35"/>
      <c r="H2399" s="35"/>
    </row>
    <row r="2400">
      <c r="D2400" s="15"/>
      <c r="E2400" s="32"/>
      <c r="F2400" s="35"/>
      <c r="H2400" s="35"/>
    </row>
    <row r="2401">
      <c r="D2401" s="15"/>
      <c r="E2401" s="32"/>
      <c r="F2401" s="35"/>
      <c r="H2401" s="35"/>
    </row>
    <row r="2402">
      <c r="D2402" s="15"/>
      <c r="E2402" s="32"/>
      <c r="F2402" s="35"/>
      <c r="H2402" s="35"/>
    </row>
    <row r="2403">
      <c r="D2403" s="15"/>
      <c r="E2403" s="32"/>
      <c r="F2403" s="35"/>
      <c r="H2403" s="35"/>
    </row>
    <row r="2404">
      <c r="D2404" s="15"/>
      <c r="E2404" s="32"/>
      <c r="F2404" s="35"/>
      <c r="H2404" s="35"/>
    </row>
    <row r="2405">
      <c r="D2405" s="15"/>
      <c r="E2405" s="32"/>
      <c r="F2405" s="35"/>
      <c r="H2405" s="35"/>
    </row>
    <row r="2406">
      <c r="D2406" s="15"/>
      <c r="E2406" s="32"/>
      <c r="F2406" s="35"/>
      <c r="H2406" s="35"/>
    </row>
    <row r="2407">
      <c r="D2407" s="15"/>
      <c r="E2407" s="32"/>
      <c r="F2407" s="35"/>
      <c r="H2407" s="35"/>
    </row>
    <row r="2408">
      <c r="D2408" s="15"/>
      <c r="E2408" s="32"/>
      <c r="F2408" s="35"/>
      <c r="H2408" s="35"/>
    </row>
    <row r="2409">
      <c r="D2409" s="15"/>
      <c r="E2409" s="32"/>
      <c r="F2409" s="35"/>
      <c r="H2409" s="35"/>
    </row>
    <row r="2410">
      <c r="D2410" s="15"/>
      <c r="E2410" s="32"/>
      <c r="F2410" s="35"/>
      <c r="H2410" s="35"/>
    </row>
    <row r="2411">
      <c r="D2411" s="15"/>
      <c r="E2411" s="32"/>
      <c r="F2411" s="35"/>
      <c r="H2411" s="35"/>
    </row>
    <row r="2412">
      <c r="D2412" s="15"/>
      <c r="E2412" s="32"/>
      <c r="F2412" s="35"/>
      <c r="H2412" s="35"/>
    </row>
    <row r="2413">
      <c r="D2413" s="15"/>
      <c r="E2413" s="32"/>
      <c r="F2413" s="35"/>
      <c r="H2413" s="35"/>
    </row>
    <row r="2414">
      <c r="D2414" s="15"/>
      <c r="E2414" s="32"/>
      <c r="F2414" s="35"/>
      <c r="H2414" s="35"/>
    </row>
    <row r="2415">
      <c r="D2415" s="15"/>
      <c r="E2415" s="32"/>
      <c r="F2415" s="35"/>
      <c r="H2415" s="35"/>
    </row>
    <row r="2416">
      <c r="D2416" s="15"/>
      <c r="E2416" s="32"/>
      <c r="F2416" s="35"/>
      <c r="H2416" s="35"/>
    </row>
    <row r="2417">
      <c r="D2417" s="15"/>
      <c r="E2417" s="32"/>
      <c r="F2417" s="35"/>
      <c r="H2417" s="35"/>
    </row>
    <row r="2418">
      <c r="D2418" s="15"/>
      <c r="E2418" s="32"/>
      <c r="F2418" s="35"/>
      <c r="H2418" s="35"/>
    </row>
    <row r="2419">
      <c r="D2419" s="15"/>
      <c r="E2419" s="32"/>
      <c r="F2419" s="35"/>
      <c r="H2419" s="35"/>
    </row>
    <row r="2420">
      <c r="D2420" s="15"/>
      <c r="E2420" s="32"/>
      <c r="F2420" s="35"/>
      <c r="H2420" s="35"/>
    </row>
    <row r="2421">
      <c r="D2421" s="15"/>
      <c r="E2421" s="32"/>
      <c r="F2421" s="35"/>
      <c r="H2421" s="35"/>
    </row>
    <row r="2422">
      <c r="D2422" s="15"/>
      <c r="E2422" s="32"/>
      <c r="F2422" s="35"/>
      <c r="H2422" s="35"/>
    </row>
    <row r="2423">
      <c r="D2423" s="15"/>
      <c r="E2423" s="32"/>
      <c r="F2423" s="35"/>
      <c r="H2423" s="35"/>
    </row>
    <row r="2424">
      <c r="D2424" s="15"/>
      <c r="E2424" s="32"/>
      <c r="F2424" s="35"/>
      <c r="H2424" s="35"/>
    </row>
    <row r="2425">
      <c r="D2425" s="15"/>
      <c r="E2425" s="32"/>
      <c r="F2425" s="35"/>
      <c r="H2425" s="35"/>
    </row>
    <row r="2426">
      <c r="D2426" s="15"/>
      <c r="E2426" s="32"/>
      <c r="F2426" s="35"/>
      <c r="H2426" s="35"/>
    </row>
    <row r="2427">
      <c r="D2427" s="15"/>
      <c r="E2427" s="32"/>
      <c r="F2427" s="35"/>
      <c r="H2427" s="35"/>
    </row>
    <row r="2428">
      <c r="D2428" s="15"/>
      <c r="E2428" s="32"/>
      <c r="F2428" s="35"/>
      <c r="H2428" s="35"/>
    </row>
    <row r="2429">
      <c r="D2429" s="15"/>
      <c r="E2429" s="32"/>
      <c r="F2429" s="35"/>
      <c r="H2429" s="35"/>
    </row>
    <row r="2430">
      <c r="D2430" s="15"/>
      <c r="E2430" s="32"/>
      <c r="F2430" s="35"/>
      <c r="H2430" s="35"/>
    </row>
    <row r="2431">
      <c r="D2431" s="15"/>
      <c r="E2431" s="32"/>
      <c r="F2431" s="35"/>
      <c r="H2431" s="35"/>
    </row>
    <row r="2432">
      <c r="D2432" s="15"/>
      <c r="E2432" s="32"/>
      <c r="F2432" s="35"/>
      <c r="H2432" s="35"/>
    </row>
    <row r="2433">
      <c r="D2433" s="15"/>
      <c r="E2433" s="32"/>
      <c r="F2433" s="35"/>
      <c r="H2433" s="35"/>
    </row>
    <row r="2434">
      <c r="D2434" s="15"/>
      <c r="E2434" s="32"/>
      <c r="F2434" s="35"/>
      <c r="H2434" s="35"/>
    </row>
    <row r="2435">
      <c r="D2435" s="15"/>
      <c r="E2435" s="32"/>
      <c r="F2435" s="35"/>
      <c r="H2435" s="35"/>
    </row>
    <row r="2436">
      <c r="D2436" s="15"/>
      <c r="E2436" s="32"/>
      <c r="F2436" s="35"/>
      <c r="H2436" s="35"/>
    </row>
    <row r="2437">
      <c r="D2437" s="15"/>
      <c r="E2437" s="32"/>
      <c r="F2437" s="35"/>
      <c r="H2437" s="35"/>
    </row>
    <row r="2438">
      <c r="D2438" s="15"/>
      <c r="E2438" s="32"/>
      <c r="F2438" s="35"/>
      <c r="H2438" s="35"/>
    </row>
    <row r="2439">
      <c r="D2439" s="15"/>
      <c r="E2439" s="32"/>
      <c r="F2439" s="35"/>
      <c r="H2439" s="35"/>
    </row>
    <row r="2440">
      <c r="D2440" s="15"/>
      <c r="E2440" s="32"/>
      <c r="F2440" s="35"/>
      <c r="H2440" s="35"/>
    </row>
    <row r="2441">
      <c r="D2441" s="15"/>
      <c r="E2441" s="32"/>
      <c r="F2441" s="35"/>
      <c r="H2441" s="35"/>
    </row>
    <row r="2442">
      <c r="D2442" s="15"/>
      <c r="E2442" s="32"/>
      <c r="F2442" s="35"/>
      <c r="H2442" s="35"/>
    </row>
    <row r="2443">
      <c r="D2443" s="15"/>
      <c r="E2443" s="32"/>
      <c r="F2443" s="35"/>
      <c r="H2443" s="35"/>
    </row>
    <row r="2444">
      <c r="D2444" s="15"/>
      <c r="E2444" s="32"/>
      <c r="F2444" s="35"/>
      <c r="H2444" s="35"/>
    </row>
    <row r="2445">
      <c r="D2445" s="15"/>
      <c r="E2445" s="32"/>
      <c r="F2445" s="35"/>
      <c r="H2445" s="35"/>
    </row>
    <row r="2446">
      <c r="D2446" s="15"/>
      <c r="E2446" s="32"/>
      <c r="F2446" s="35"/>
      <c r="H2446" s="35"/>
    </row>
    <row r="2447">
      <c r="D2447" s="15"/>
      <c r="E2447" s="32"/>
      <c r="F2447" s="35"/>
      <c r="H2447" s="35"/>
    </row>
    <row r="2448">
      <c r="D2448" s="15"/>
      <c r="E2448" s="32"/>
      <c r="F2448" s="35"/>
      <c r="H2448" s="35"/>
    </row>
    <row r="2449">
      <c r="D2449" s="15"/>
      <c r="E2449" s="32"/>
      <c r="F2449" s="35"/>
      <c r="H2449" s="35"/>
    </row>
    <row r="2450">
      <c r="D2450" s="15"/>
      <c r="E2450" s="32"/>
      <c r="F2450" s="35"/>
      <c r="H2450" s="35"/>
    </row>
    <row r="2451">
      <c r="D2451" s="15"/>
      <c r="E2451" s="32"/>
      <c r="F2451" s="35"/>
      <c r="H2451" s="35"/>
    </row>
    <row r="2452">
      <c r="D2452" s="15"/>
      <c r="E2452" s="32"/>
      <c r="F2452" s="35"/>
      <c r="H2452" s="35"/>
    </row>
    <row r="2453">
      <c r="D2453" s="15"/>
      <c r="E2453" s="32"/>
      <c r="F2453" s="35"/>
      <c r="H2453" s="35"/>
    </row>
    <row r="2454">
      <c r="D2454" s="15"/>
      <c r="E2454" s="32"/>
      <c r="F2454" s="35"/>
      <c r="H2454" s="35"/>
    </row>
    <row r="2455">
      <c r="D2455" s="15"/>
      <c r="E2455" s="32"/>
      <c r="F2455" s="35"/>
      <c r="H2455" s="35"/>
    </row>
    <row r="2456">
      <c r="D2456" s="15"/>
      <c r="E2456" s="32"/>
      <c r="F2456" s="35"/>
      <c r="H2456" s="35"/>
    </row>
    <row r="2457">
      <c r="D2457" s="15"/>
      <c r="E2457" s="32"/>
      <c r="F2457" s="35"/>
      <c r="H2457" s="35"/>
    </row>
    <row r="2458">
      <c r="D2458" s="15"/>
      <c r="E2458" s="32"/>
      <c r="F2458" s="35"/>
      <c r="H2458" s="35"/>
    </row>
    <row r="2459">
      <c r="D2459" s="15"/>
      <c r="E2459" s="32"/>
      <c r="F2459" s="35"/>
      <c r="H2459" s="35"/>
    </row>
    <row r="2460">
      <c r="D2460" s="15"/>
      <c r="E2460" s="32"/>
      <c r="F2460" s="35"/>
      <c r="H2460" s="35"/>
    </row>
    <row r="2461">
      <c r="D2461" s="15"/>
      <c r="E2461" s="32"/>
      <c r="F2461" s="35"/>
      <c r="H2461" s="35"/>
    </row>
    <row r="2462">
      <c r="D2462" s="15"/>
      <c r="E2462" s="32"/>
      <c r="F2462" s="35"/>
      <c r="H2462" s="35"/>
    </row>
    <row r="2463">
      <c r="D2463" s="15"/>
      <c r="E2463" s="32"/>
      <c r="F2463" s="35"/>
      <c r="H2463" s="35"/>
    </row>
    <row r="2464">
      <c r="D2464" s="15"/>
      <c r="E2464" s="32"/>
      <c r="F2464" s="35"/>
      <c r="H2464" s="35"/>
    </row>
    <row r="2465">
      <c r="D2465" s="15"/>
      <c r="E2465" s="32"/>
      <c r="F2465" s="35"/>
      <c r="H2465" s="35"/>
    </row>
    <row r="2466">
      <c r="D2466" s="15"/>
      <c r="E2466" s="32"/>
      <c r="F2466" s="35"/>
      <c r="H2466" s="35"/>
    </row>
    <row r="2467">
      <c r="D2467" s="15"/>
      <c r="E2467" s="32"/>
      <c r="F2467" s="35"/>
      <c r="H2467" s="35"/>
    </row>
    <row r="2468">
      <c r="D2468" s="15"/>
      <c r="E2468" s="32"/>
      <c r="F2468" s="35"/>
      <c r="H2468" s="35"/>
    </row>
    <row r="2469">
      <c r="D2469" s="15"/>
      <c r="E2469" s="32"/>
      <c r="F2469" s="35"/>
      <c r="H2469" s="35"/>
    </row>
    <row r="2470">
      <c r="D2470" s="15"/>
      <c r="E2470" s="32"/>
      <c r="F2470" s="35"/>
      <c r="H2470" s="35"/>
    </row>
    <row r="2471">
      <c r="D2471" s="15"/>
      <c r="E2471" s="32"/>
      <c r="F2471" s="35"/>
      <c r="H2471" s="35"/>
    </row>
    <row r="2472">
      <c r="D2472" s="15"/>
      <c r="E2472" s="32"/>
      <c r="F2472" s="35"/>
      <c r="H2472" s="35"/>
    </row>
    <row r="2473">
      <c r="D2473" s="15"/>
      <c r="E2473" s="32"/>
      <c r="F2473" s="35"/>
      <c r="H2473" s="35"/>
    </row>
    <row r="2474">
      <c r="D2474" s="15"/>
      <c r="E2474" s="32"/>
      <c r="F2474" s="35"/>
      <c r="H2474" s="35"/>
    </row>
    <row r="2475">
      <c r="D2475" s="15"/>
      <c r="E2475" s="32"/>
      <c r="F2475" s="35"/>
      <c r="H2475" s="35"/>
    </row>
    <row r="2476">
      <c r="D2476" s="15"/>
      <c r="E2476" s="32"/>
      <c r="F2476" s="35"/>
      <c r="H2476" s="35"/>
    </row>
    <row r="2477">
      <c r="D2477" s="15"/>
      <c r="E2477" s="32"/>
      <c r="F2477" s="35"/>
      <c r="H2477" s="35"/>
    </row>
    <row r="2478">
      <c r="D2478" s="15"/>
      <c r="E2478" s="32"/>
      <c r="F2478" s="35"/>
      <c r="H2478" s="35"/>
    </row>
    <row r="2479">
      <c r="D2479" s="15"/>
      <c r="E2479" s="32"/>
      <c r="F2479" s="35"/>
      <c r="H2479" s="35"/>
    </row>
    <row r="2480">
      <c r="D2480" s="15"/>
      <c r="E2480" s="32"/>
      <c r="F2480" s="35"/>
      <c r="H2480" s="35"/>
    </row>
    <row r="2481">
      <c r="D2481" s="15"/>
      <c r="E2481" s="32"/>
      <c r="F2481" s="35"/>
      <c r="H2481" s="35"/>
    </row>
    <row r="2482">
      <c r="D2482" s="15"/>
      <c r="E2482" s="32"/>
      <c r="F2482" s="35"/>
      <c r="H2482" s="35"/>
    </row>
    <row r="2483">
      <c r="D2483" s="15"/>
      <c r="E2483" s="32"/>
      <c r="F2483" s="35"/>
      <c r="H2483" s="35"/>
    </row>
    <row r="2484">
      <c r="D2484" s="15"/>
      <c r="E2484" s="32"/>
      <c r="F2484" s="35"/>
      <c r="H2484" s="35"/>
    </row>
    <row r="2485">
      <c r="D2485" s="15"/>
      <c r="E2485" s="32"/>
      <c r="F2485" s="35"/>
      <c r="H2485" s="35"/>
    </row>
    <row r="2486">
      <c r="D2486" s="15"/>
      <c r="E2486" s="32"/>
      <c r="F2486" s="35"/>
      <c r="H2486" s="35"/>
    </row>
    <row r="2487">
      <c r="D2487" s="15"/>
      <c r="E2487" s="32"/>
      <c r="F2487" s="35"/>
      <c r="H2487" s="35"/>
    </row>
    <row r="2488">
      <c r="D2488" s="15"/>
      <c r="E2488" s="32"/>
      <c r="F2488" s="35"/>
      <c r="H2488" s="35"/>
    </row>
    <row r="2489">
      <c r="D2489" s="15"/>
      <c r="E2489" s="32"/>
      <c r="F2489" s="35"/>
      <c r="H2489" s="35"/>
    </row>
    <row r="2490">
      <c r="D2490" s="15"/>
      <c r="E2490" s="32"/>
      <c r="F2490" s="35"/>
      <c r="H2490" s="35"/>
    </row>
    <row r="2491">
      <c r="D2491" s="15"/>
      <c r="E2491" s="32"/>
      <c r="F2491" s="35"/>
      <c r="H2491" s="35"/>
    </row>
    <row r="2492">
      <c r="D2492" s="15"/>
      <c r="E2492" s="32"/>
      <c r="F2492" s="35"/>
      <c r="H2492" s="35"/>
    </row>
    <row r="2493">
      <c r="D2493" s="15"/>
      <c r="E2493" s="32"/>
      <c r="F2493" s="35"/>
      <c r="H2493" s="35"/>
    </row>
    <row r="2494">
      <c r="D2494" s="15"/>
      <c r="E2494" s="32"/>
      <c r="F2494" s="35"/>
      <c r="H2494" s="35"/>
    </row>
    <row r="2495">
      <c r="D2495" s="15"/>
      <c r="E2495" s="32"/>
      <c r="F2495" s="35"/>
      <c r="H2495" s="35"/>
    </row>
    <row r="2496">
      <c r="D2496" s="15"/>
      <c r="E2496" s="32"/>
      <c r="F2496" s="35"/>
      <c r="H2496" s="35"/>
    </row>
    <row r="2497">
      <c r="D2497" s="15"/>
      <c r="E2497" s="32"/>
      <c r="F2497" s="35"/>
      <c r="H2497" s="35"/>
    </row>
    <row r="2498">
      <c r="D2498" s="15"/>
      <c r="E2498" s="32"/>
      <c r="F2498" s="35"/>
      <c r="H2498" s="35"/>
    </row>
    <row r="2499">
      <c r="D2499" s="15"/>
      <c r="E2499" s="32"/>
      <c r="F2499" s="35"/>
      <c r="H2499" s="35"/>
    </row>
    <row r="2500">
      <c r="D2500" s="15"/>
      <c r="E2500" s="32"/>
      <c r="F2500" s="35"/>
      <c r="H2500" s="35"/>
    </row>
    <row r="2501">
      <c r="D2501" s="15"/>
      <c r="E2501" s="32"/>
      <c r="F2501" s="35"/>
      <c r="H2501" s="35"/>
    </row>
    <row r="2502">
      <c r="D2502" s="15"/>
      <c r="E2502" s="32"/>
      <c r="F2502" s="35"/>
      <c r="H2502" s="35"/>
    </row>
    <row r="2503">
      <c r="D2503" s="15"/>
      <c r="E2503" s="32"/>
      <c r="F2503" s="35"/>
      <c r="H2503" s="35"/>
    </row>
    <row r="2504">
      <c r="D2504" s="15"/>
      <c r="E2504" s="32"/>
      <c r="F2504" s="35"/>
      <c r="H2504" s="35"/>
    </row>
    <row r="2505">
      <c r="D2505" s="15"/>
      <c r="E2505" s="32"/>
      <c r="F2505" s="35"/>
      <c r="H2505" s="35"/>
    </row>
    <row r="2506">
      <c r="D2506" s="15"/>
      <c r="E2506" s="32"/>
      <c r="F2506" s="35"/>
      <c r="H2506" s="35"/>
    </row>
    <row r="2507">
      <c r="D2507" s="15"/>
      <c r="E2507" s="32"/>
      <c r="F2507" s="35"/>
      <c r="H2507" s="35"/>
    </row>
    <row r="2508">
      <c r="D2508" s="15"/>
      <c r="E2508" s="32"/>
      <c r="F2508" s="35"/>
      <c r="H2508" s="35"/>
    </row>
    <row r="2509">
      <c r="D2509" s="15"/>
      <c r="E2509" s="32"/>
      <c r="F2509" s="35"/>
      <c r="H2509" s="35"/>
    </row>
    <row r="2510">
      <c r="D2510" s="15"/>
      <c r="E2510" s="32"/>
      <c r="F2510" s="35"/>
      <c r="H2510" s="35"/>
    </row>
    <row r="2511">
      <c r="D2511" s="15"/>
      <c r="E2511" s="32"/>
      <c r="F2511" s="35"/>
      <c r="H2511" s="35"/>
    </row>
    <row r="2512">
      <c r="D2512" s="15"/>
      <c r="E2512" s="32"/>
      <c r="F2512" s="35"/>
      <c r="H2512" s="35"/>
    </row>
    <row r="2513">
      <c r="D2513" s="15"/>
      <c r="E2513" s="32"/>
      <c r="F2513" s="35"/>
      <c r="H2513" s="35"/>
    </row>
    <row r="2514">
      <c r="D2514" s="15"/>
      <c r="E2514" s="32"/>
      <c r="F2514" s="35"/>
      <c r="H2514" s="35"/>
    </row>
    <row r="2515">
      <c r="D2515" s="15"/>
      <c r="E2515" s="32"/>
      <c r="F2515" s="35"/>
      <c r="H2515" s="35"/>
    </row>
    <row r="2516">
      <c r="D2516" s="15"/>
      <c r="E2516" s="32"/>
      <c r="F2516" s="35"/>
      <c r="H2516" s="35"/>
    </row>
    <row r="2517">
      <c r="D2517" s="15"/>
      <c r="E2517" s="32"/>
      <c r="F2517" s="35"/>
      <c r="H2517" s="35"/>
    </row>
    <row r="2518">
      <c r="D2518" s="15"/>
      <c r="E2518" s="32"/>
      <c r="F2518" s="35"/>
      <c r="H2518" s="35"/>
    </row>
    <row r="2519">
      <c r="D2519" s="15"/>
      <c r="E2519" s="32"/>
      <c r="F2519" s="35"/>
      <c r="H2519" s="35"/>
    </row>
    <row r="2520">
      <c r="D2520" s="15"/>
      <c r="E2520" s="32"/>
      <c r="F2520" s="35"/>
      <c r="H2520" s="35"/>
    </row>
    <row r="2521">
      <c r="D2521" s="15"/>
      <c r="E2521" s="32"/>
      <c r="F2521" s="35"/>
      <c r="H2521" s="35"/>
    </row>
    <row r="2522">
      <c r="D2522" s="15"/>
      <c r="E2522" s="32"/>
      <c r="F2522" s="35"/>
      <c r="H2522" s="35"/>
    </row>
    <row r="2523">
      <c r="D2523" s="15"/>
      <c r="E2523" s="32"/>
      <c r="F2523" s="35"/>
      <c r="H2523" s="35"/>
    </row>
    <row r="2524">
      <c r="D2524" s="15"/>
      <c r="E2524" s="32"/>
      <c r="F2524" s="35"/>
      <c r="H2524" s="35"/>
    </row>
    <row r="2525">
      <c r="D2525" s="15"/>
      <c r="E2525" s="32"/>
      <c r="F2525" s="35"/>
      <c r="H2525" s="35"/>
    </row>
    <row r="2526">
      <c r="D2526" s="15"/>
      <c r="E2526" s="32"/>
      <c r="F2526" s="35"/>
      <c r="H2526" s="35"/>
    </row>
    <row r="2527">
      <c r="D2527" s="15"/>
      <c r="E2527" s="32"/>
      <c r="F2527" s="35"/>
      <c r="H2527" s="35"/>
    </row>
    <row r="2528">
      <c r="D2528" s="15"/>
      <c r="E2528" s="32"/>
      <c r="F2528" s="35"/>
      <c r="H2528" s="35"/>
    </row>
    <row r="2529">
      <c r="D2529" s="15"/>
      <c r="E2529" s="32"/>
      <c r="F2529" s="35"/>
      <c r="H2529" s="35"/>
    </row>
    <row r="2530">
      <c r="D2530" s="15"/>
      <c r="E2530" s="32"/>
      <c r="F2530" s="35"/>
      <c r="H2530" s="35"/>
    </row>
    <row r="2531">
      <c r="D2531" s="15"/>
      <c r="E2531" s="32"/>
      <c r="F2531" s="35"/>
      <c r="H2531" s="35"/>
    </row>
    <row r="2532">
      <c r="D2532" s="15"/>
      <c r="E2532" s="32"/>
      <c r="F2532" s="35"/>
      <c r="H2532" s="35"/>
    </row>
    <row r="2533">
      <c r="D2533" s="15"/>
      <c r="E2533" s="32"/>
      <c r="F2533" s="35"/>
      <c r="H2533" s="35"/>
    </row>
    <row r="2534">
      <c r="D2534" s="15"/>
      <c r="E2534" s="32"/>
      <c r="F2534" s="35"/>
      <c r="H2534" s="35"/>
    </row>
    <row r="2535">
      <c r="D2535" s="15"/>
      <c r="E2535" s="32"/>
      <c r="F2535" s="35"/>
      <c r="H2535" s="35"/>
    </row>
    <row r="2536">
      <c r="D2536" s="15"/>
      <c r="E2536" s="32"/>
      <c r="F2536" s="35"/>
      <c r="H2536" s="35"/>
    </row>
    <row r="2537">
      <c r="D2537" s="15"/>
      <c r="E2537" s="32"/>
      <c r="F2537" s="35"/>
      <c r="H2537" s="35"/>
    </row>
    <row r="2538">
      <c r="D2538" s="15"/>
      <c r="E2538" s="32"/>
      <c r="F2538" s="35"/>
      <c r="H2538" s="35"/>
    </row>
    <row r="2539">
      <c r="D2539" s="15"/>
      <c r="E2539" s="32"/>
      <c r="F2539" s="35"/>
      <c r="H2539" s="35"/>
    </row>
    <row r="2540">
      <c r="D2540" s="15"/>
      <c r="E2540" s="32"/>
      <c r="F2540" s="35"/>
      <c r="H2540" s="35"/>
    </row>
    <row r="2541">
      <c r="D2541" s="15"/>
      <c r="E2541" s="32"/>
      <c r="F2541" s="35"/>
      <c r="H2541" s="35"/>
    </row>
    <row r="2542">
      <c r="D2542" s="15"/>
      <c r="E2542" s="32"/>
      <c r="F2542" s="35"/>
      <c r="H2542" s="35"/>
    </row>
    <row r="2543">
      <c r="D2543" s="15"/>
      <c r="E2543" s="32"/>
      <c r="F2543" s="35"/>
      <c r="H2543" s="35"/>
    </row>
    <row r="2544">
      <c r="D2544" s="15"/>
      <c r="E2544" s="32"/>
      <c r="F2544" s="35"/>
      <c r="H2544" s="35"/>
    </row>
    <row r="2545">
      <c r="D2545" s="15"/>
      <c r="E2545" s="32"/>
      <c r="F2545" s="35"/>
      <c r="H2545" s="35"/>
    </row>
    <row r="2546">
      <c r="D2546" s="15"/>
      <c r="E2546" s="32"/>
      <c r="F2546" s="35"/>
      <c r="H2546" s="35"/>
    </row>
    <row r="2547">
      <c r="D2547" s="15"/>
      <c r="E2547" s="32"/>
      <c r="F2547" s="35"/>
      <c r="H2547" s="35"/>
    </row>
    <row r="2548">
      <c r="D2548" s="15"/>
      <c r="E2548" s="32"/>
      <c r="F2548" s="35"/>
      <c r="H2548" s="35"/>
    </row>
    <row r="2549">
      <c r="D2549" s="15"/>
      <c r="E2549" s="32"/>
      <c r="F2549" s="35"/>
      <c r="H2549" s="35"/>
    </row>
    <row r="2550">
      <c r="D2550" s="15"/>
      <c r="E2550" s="32"/>
      <c r="F2550" s="35"/>
      <c r="H2550" s="35"/>
    </row>
    <row r="2551">
      <c r="D2551" s="15"/>
      <c r="E2551" s="32"/>
      <c r="F2551" s="35"/>
      <c r="H2551" s="35"/>
    </row>
    <row r="2552">
      <c r="D2552" s="15"/>
      <c r="E2552" s="32"/>
      <c r="F2552" s="35"/>
      <c r="H2552" s="35"/>
    </row>
    <row r="2553">
      <c r="D2553" s="15"/>
      <c r="E2553" s="32"/>
      <c r="F2553" s="35"/>
      <c r="H2553" s="35"/>
    </row>
    <row r="2554">
      <c r="D2554" s="15"/>
      <c r="E2554" s="32"/>
      <c r="F2554" s="35"/>
      <c r="H2554" s="35"/>
    </row>
    <row r="2555">
      <c r="D2555" s="15"/>
      <c r="E2555" s="32"/>
      <c r="F2555" s="35"/>
      <c r="H2555" s="35"/>
    </row>
    <row r="2556">
      <c r="D2556" s="15"/>
      <c r="E2556" s="32"/>
      <c r="F2556" s="35"/>
      <c r="H2556" s="35"/>
    </row>
    <row r="2557">
      <c r="D2557" s="15"/>
      <c r="E2557" s="32"/>
      <c r="F2557" s="35"/>
      <c r="H2557" s="35"/>
    </row>
    <row r="2558">
      <c r="D2558" s="15"/>
      <c r="E2558" s="32"/>
      <c r="F2558" s="35"/>
      <c r="H2558" s="35"/>
    </row>
    <row r="2559">
      <c r="D2559" s="15"/>
      <c r="E2559" s="32"/>
      <c r="F2559" s="35"/>
      <c r="H2559" s="35"/>
    </row>
    <row r="2560">
      <c r="D2560" s="15"/>
      <c r="E2560" s="32"/>
      <c r="F2560" s="35"/>
      <c r="H2560" s="35"/>
    </row>
    <row r="2561">
      <c r="D2561" s="15"/>
      <c r="E2561" s="32"/>
      <c r="F2561" s="35"/>
      <c r="H2561" s="35"/>
    </row>
    <row r="2562">
      <c r="D2562" s="15"/>
      <c r="E2562" s="32"/>
      <c r="F2562" s="35"/>
      <c r="H2562" s="35"/>
    </row>
    <row r="2563">
      <c r="D2563" s="15"/>
      <c r="E2563" s="32"/>
      <c r="F2563" s="35"/>
      <c r="H2563" s="35"/>
    </row>
    <row r="2564">
      <c r="D2564" s="15"/>
      <c r="E2564" s="32"/>
      <c r="F2564" s="35"/>
      <c r="H2564" s="35"/>
    </row>
    <row r="2565">
      <c r="D2565" s="15"/>
      <c r="E2565" s="32"/>
      <c r="F2565" s="35"/>
      <c r="H2565" s="35"/>
    </row>
    <row r="2566">
      <c r="D2566" s="15"/>
      <c r="E2566" s="32"/>
      <c r="F2566" s="35"/>
      <c r="H2566" s="35"/>
    </row>
    <row r="2567">
      <c r="D2567" s="15"/>
      <c r="E2567" s="32"/>
      <c r="F2567" s="35"/>
      <c r="H2567" s="35"/>
    </row>
    <row r="2568">
      <c r="D2568" s="15"/>
      <c r="E2568" s="32"/>
      <c r="F2568" s="35"/>
      <c r="H2568" s="35"/>
    </row>
    <row r="2569">
      <c r="D2569" s="15"/>
      <c r="E2569" s="32"/>
      <c r="F2569" s="35"/>
      <c r="H2569" s="35"/>
    </row>
    <row r="2570">
      <c r="D2570" s="15"/>
      <c r="E2570" s="32"/>
      <c r="F2570" s="35"/>
      <c r="H2570" s="35"/>
    </row>
    <row r="2571">
      <c r="D2571" s="15"/>
      <c r="E2571" s="32"/>
      <c r="F2571" s="35"/>
      <c r="H2571" s="35"/>
    </row>
    <row r="2572">
      <c r="D2572" s="15"/>
      <c r="E2572" s="32"/>
      <c r="F2572" s="35"/>
      <c r="H2572" s="35"/>
    </row>
    <row r="2573">
      <c r="D2573" s="15"/>
      <c r="E2573" s="32"/>
      <c r="F2573" s="35"/>
      <c r="H2573" s="35"/>
    </row>
    <row r="2574">
      <c r="D2574" s="15"/>
      <c r="E2574" s="32"/>
      <c r="F2574" s="35"/>
      <c r="H2574" s="35"/>
    </row>
    <row r="2575">
      <c r="D2575" s="15"/>
      <c r="E2575" s="32"/>
      <c r="F2575" s="35"/>
      <c r="H2575" s="35"/>
    </row>
    <row r="2576">
      <c r="D2576" s="15"/>
      <c r="E2576" s="32"/>
      <c r="F2576" s="35"/>
      <c r="H2576" s="35"/>
    </row>
    <row r="2577">
      <c r="D2577" s="15"/>
      <c r="E2577" s="32"/>
      <c r="F2577" s="35"/>
      <c r="H2577" s="35"/>
    </row>
    <row r="2578">
      <c r="D2578" s="15"/>
      <c r="E2578" s="32"/>
      <c r="F2578" s="35"/>
      <c r="H2578" s="35"/>
    </row>
    <row r="2579">
      <c r="D2579" s="15"/>
      <c r="E2579" s="32"/>
      <c r="F2579" s="35"/>
      <c r="H2579" s="35"/>
    </row>
    <row r="2580">
      <c r="D2580" s="15"/>
      <c r="E2580" s="32"/>
      <c r="F2580" s="35"/>
      <c r="H2580" s="35"/>
    </row>
    <row r="2581">
      <c r="D2581" s="15"/>
      <c r="E2581" s="32"/>
      <c r="F2581" s="35"/>
      <c r="H2581" s="35"/>
    </row>
    <row r="2582">
      <c r="D2582" s="15"/>
      <c r="E2582" s="32"/>
      <c r="F2582" s="35"/>
      <c r="H2582" s="35"/>
    </row>
    <row r="2583">
      <c r="D2583" s="15"/>
      <c r="E2583" s="32"/>
      <c r="F2583" s="35"/>
      <c r="H2583" s="35"/>
    </row>
    <row r="2584">
      <c r="D2584" s="15"/>
      <c r="E2584" s="32"/>
      <c r="F2584" s="35"/>
      <c r="H2584" s="35"/>
    </row>
    <row r="2585">
      <c r="D2585" s="15"/>
      <c r="E2585" s="32"/>
      <c r="F2585" s="35"/>
      <c r="H2585" s="35"/>
    </row>
    <row r="2586">
      <c r="D2586" s="15"/>
      <c r="E2586" s="32"/>
      <c r="F2586" s="35"/>
      <c r="H2586" s="35"/>
    </row>
    <row r="2587">
      <c r="D2587" s="15"/>
      <c r="E2587" s="32"/>
      <c r="F2587" s="35"/>
      <c r="H2587" s="35"/>
    </row>
    <row r="2588">
      <c r="D2588" s="15"/>
      <c r="E2588" s="32"/>
      <c r="F2588" s="35"/>
      <c r="H2588" s="35"/>
    </row>
    <row r="2589">
      <c r="D2589" s="15"/>
      <c r="E2589" s="32"/>
      <c r="F2589" s="35"/>
      <c r="H2589" s="35"/>
    </row>
    <row r="2590">
      <c r="D2590" s="15"/>
      <c r="E2590" s="32"/>
      <c r="F2590" s="35"/>
      <c r="H2590" s="35"/>
    </row>
    <row r="2591">
      <c r="D2591" s="15"/>
      <c r="E2591" s="32"/>
      <c r="F2591" s="35"/>
      <c r="H2591" s="35"/>
    </row>
    <row r="2592">
      <c r="D2592" s="15"/>
      <c r="E2592" s="32"/>
      <c r="F2592" s="35"/>
      <c r="H2592" s="35"/>
    </row>
    <row r="2593">
      <c r="D2593" s="15"/>
      <c r="E2593" s="32"/>
      <c r="F2593" s="35"/>
      <c r="H2593" s="35"/>
    </row>
    <row r="2594">
      <c r="D2594" s="15"/>
      <c r="E2594" s="32"/>
      <c r="F2594" s="35"/>
      <c r="H2594" s="35"/>
    </row>
    <row r="2595">
      <c r="D2595" s="15"/>
      <c r="E2595" s="32"/>
      <c r="F2595" s="35"/>
      <c r="H2595" s="35"/>
    </row>
    <row r="2596">
      <c r="D2596" s="15"/>
      <c r="E2596" s="32"/>
      <c r="F2596" s="35"/>
      <c r="H2596" s="35"/>
    </row>
    <row r="2597">
      <c r="D2597" s="15"/>
      <c r="E2597" s="32"/>
      <c r="F2597" s="35"/>
      <c r="H2597" s="35"/>
    </row>
    <row r="2598">
      <c r="D2598" s="15"/>
      <c r="E2598" s="32"/>
      <c r="F2598" s="35"/>
      <c r="H2598" s="35"/>
    </row>
    <row r="2599">
      <c r="D2599" s="15"/>
      <c r="E2599" s="32"/>
      <c r="F2599" s="35"/>
      <c r="H2599" s="35"/>
    </row>
    <row r="2600">
      <c r="D2600" s="15"/>
      <c r="E2600" s="32"/>
      <c r="F2600" s="35"/>
      <c r="H2600" s="35"/>
    </row>
    <row r="2601">
      <c r="D2601" s="15"/>
      <c r="E2601" s="32"/>
      <c r="F2601" s="35"/>
      <c r="H2601" s="35"/>
    </row>
    <row r="2602">
      <c r="D2602" s="15"/>
      <c r="E2602" s="32"/>
      <c r="F2602" s="35"/>
      <c r="H2602" s="35"/>
    </row>
    <row r="2603">
      <c r="D2603" s="15"/>
      <c r="E2603" s="32"/>
      <c r="F2603" s="35"/>
      <c r="H2603" s="35"/>
    </row>
    <row r="2604">
      <c r="D2604" s="15"/>
      <c r="E2604" s="32"/>
      <c r="F2604" s="35"/>
      <c r="H2604" s="35"/>
    </row>
    <row r="2605">
      <c r="D2605" s="15"/>
      <c r="E2605" s="32"/>
      <c r="F2605" s="35"/>
      <c r="H2605" s="35"/>
    </row>
    <row r="2606">
      <c r="D2606" s="15"/>
      <c r="E2606" s="32"/>
      <c r="F2606" s="35"/>
      <c r="H2606" s="35"/>
    </row>
    <row r="2607">
      <c r="D2607" s="15"/>
      <c r="E2607" s="32"/>
      <c r="F2607" s="35"/>
      <c r="H2607" s="35"/>
    </row>
    <row r="2608">
      <c r="D2608" s="15"/>
      <c r="E2608" s="32"/>
      <c r="F2608" s="35"/>
      <c r="H2608" s="35"/>
    </row>
    <row r="2609">
      <c r="D2609" s="15"/>
      <c r="E2609" s="32"/>
      <c r="F2609" s="35"/>
      <c r="H2609" s="35"/>
    </row>
    <row r="2610">
      <c r="D2610" s="15"/>
      <c r="E2610" s="32"/>
      <c r="F2610" s="35"/>
      <c r="H2610" s="35"/>
    </row>
    <row r="2611">
      <c r="D2611" s="15"/>
      <c r="E2611" s="32"/>
      <c r="F2611" s="35"/>
      <c r="H2611" s="35"/>
    </row>
    <row r="2612">
      <c r="D2612" s="15"/>
      <c r="E2612" s="32"/>
      <c r="F2612" s="35"/>
      <c r="H2612" s="35"/>
    </row>
    <row r="2613">
      <c r="D2613" s="15"/>
      <c r="E2613" s="32"/>
      <c r="F2613" s="35"/>
      <c r="H2613" s="35"/>
    </row>
    <row r="2614">
      <c r="D2614" s="15"/>
      <c r="E2614" s="32"/>
      <c r="F2614" s="35"/>
      <c r="H2614" s="35"/>
    </row>
    <row r="2615">
      <c r="D2615" s="15"/>
      <c r="E2615" s="32"/>
      <c r="F2615" s="35"/>
      <c r="H2615" s="35"/>
    </row>
    <row r="2616">
      <c r="D2616" s="15"/>
      <c r="E2616" s="32"/>
      <c r="F2616" s="35"/>
      <c r="H2616" s="35"/>
    </row>
    <row r="2617">
      <c r="D2617" s="15"/>
      <c r="E2617" s="32"/>
      <c r="F2617" s="35"/>
      <c r="H2617" s="35"/>
    </row>
    <row r="2618">
      <c r="D2618" s="15"/>
      <c r="E2618" s="32"/>
      <c r="F2618" s="35"/>
      <c r="H2618" s="35"/>
    </row>
    <row r="2619">
      <c r="D2619" s="15"/>
      <c r="E2619" s="32"/>
      <c r="F2619" s="35"/>
      <c r="H2619" s="35"/>
    </row>
    <row r="2620">
      <c r="D2620" s="15"/>
      <c r="E2620" s="32"/>
      <c r="F2620" s="35"/>
      <c r="H2620" s="35"/>
    </row>
    <row r="2621">
      <c r="D2621" s="15"/>
      <c r="E2621" s="32"/>
      <c r="F2621" s="35"/>
      <c r="H2621" s="35"/>
    </row>
    <row r="2622">
      <c r="D2622" s="15"/>
      <c r="E2622" s="32"/>
      <c r="F2622" s="35"/>
      <c r="H2622" s="35"/>
    </row>
    <row r="2623">
      <c r="D2623" s="15"/>
      <c r="E2623" s="32"/>
      <c r="F2623" s="35"/>
      <c r="H2623" s="35"/>
    </row>
    <row r="2624">
      <c r="D2624" s="15"/>
      <c r="E2624" s="32"/>
      <c r="F2624" s="35"/>
      <c r="H2624" s="35"/>
    </row>
    <row r="2625">
      <c r="D2625" s="15"/>
      <c r="E2625" s="32"/>
      <c r="F2625" s="35"/>
      <c r="H2625" s="35"/>
    </row>
    <row r="2626">
      <c r="D2626" s="15"/>
      <c r="E2626" s="32"/>
      <c r="F2626" s="35"/>
      <c r="H2626" s="35"/>
    </row>
    <row r="2627">
      <c r="D2627" s="15"/>
      <c r="E2627" s="32"/>
      <c r="F2627" s="35"/>
      <c r="H2627" s="35"/>
    </row>
    <row r="2628">
      <c r="D2628" s="15"/>
      <c r="E2628" s="32"/>
      <c r="F2628" s="35"/>
      <c r="H2628" s="35"/>
    </row>
    <row r="2629">
      <c r="D2629" s="15"/>
      <c r="E2629" s="32"/>
      <c r="F2629" s="35"/>
      <c r="H2629" s="35"/>
    </row>
    <row r="2630">
      <c r="D2630" s="15"/>
      <c r="E2630" s="32"/>
      <c r="F2630" s="35"/>
      <c r="H2630" s="35"/>
    </row>
    <row r="2631">
      <c r="D2631" s="15"/>
      <c r="E2631" s="32"/>
      <c r="F2631" s="35"/>
      <c r="H2631" s="35"/>
    </row>
    <row r="2632">
      <c r="D2632" s="15"/>
      <c r="E2632" s="32"/>
      <c r="F2632" s="35"/>
      <c r="H2632" s="35"/>
    </row>
    <row r="2633">
      <c r="D2633" s="15"/>
      <c r="E2633" s="32"/>
      <c r="F2633" s="35"/>
      <c r="H2633" s="35"/>
    </row>
    <row r="2634">
      <c r="D2634" s="15"/>
      <c r="E2634" s="32"/>
      <c r="F2634" s="35"/>
      <c r="H2634" s="35"/>
    </row>
    <row r="2635">
      <c r="D2635" s="15"/>
      <c r="E2635" s="32"/>
      <c r="F2635" s="35"/>
      <c r="H2635" s="35"/>
    </row>
    <row r="2636">
      <c r="D2636" s="15"/>
      <c r="E2636" s="32"/>
      <c r="F2636" s="35"/>
      <c r="H2636" s="35"/>
    </row>
    <row r="2637">
      <c r="D2637" s="15"/>
      <c r="E2637" s="32"/>
      <c r="F2637" s="35"/>
      <c r="H2637" s="35"/>
    </row>
    <row r="2638">
      <c r="D2638" s="15"/>
      <c r="E2638" s="32"/>
      <c r="F2638" s="35"/>
      <c r="H2638" s="35"/>
    </row>
    <row r="2639">
      <c r="D2639" s="15"/>
      <c r="E2639" s="32"/>
      <c r="F2639" s="35"/>
      <c r="H2639" s="35"/>
    </row>
    <row r="2640">
      <c r="D2640" s="15"/>
      <c r="E2640" s="32"/>
      <c r="F2640" s="35"/>
      <c r="H2640" s="35"/>
    </row>
    <row r="2641">
      <c r="D2641" s="15"/>
      <c r="E2641" s="32"/>
      <c r="F2641" s="35"/>
      <c r="H2641" s="35"/>
    </row>
    <row r="2642">
      <c r="D2642" s="15"/>
      <c r="E2642" s="32"/>
      <c r="F2642" s="35"/>
      <c r="H2642" s="35"/>
    </row>
    <row r="2643">
      <c r="D2643" s="15"/>
      <c r="E2643" s="32"/>
      <c r="F2643" s="35"/>
      <c r="H2643" s="35"/>
    </row>
    <row r="2644">
      <c r="D2644" s="15"/>
      <c r="E2644" s="32"/>
      <c r="F2644" s="35"/>
      <c r="H2644" s="35"/>
    </row>
    <row r="2645">
      <c r="D2645" s="15"/>
      <c r="E2645" s="32"/>
      <c r="F2645" s="35"/>
      <c r="H2645" s="35"/>
    </row>
    <row r="2646">
      <c r="D2646" s="15"/>
      <c r="E2646" s="32"/>
      <c r="F2646" s="35"/>
      <c r="H2646" s="35"/>
    </row>
    <row r="2647">
      <c r="D2647" s="15"/>
      <c r="E2647" s="32"/>
      <c r="F2647" s="35"/>
      <c r="H2647" s="35"/>
    </row>
    <row r="2648">
      <c r="D2648" s="15"/>
      <c r="E2648" s="32"/>
      <c r="F2648" s="35"/>
      <c r="H2648" s="35"/>
    </row>
    <row r="2649">
      <c r="D2649" s="15"/>
      <c r="E2649" s="32"/>
      <c r="F2649" s="35"/>
      <c r="H2649" s="35"/>
    </row>
    <row r="2650">
      <c r="D2650" s="15"/>
      <c r="E2650" s="32"/>
      <c r="F2650" s="35"/>
      <c r="H2650" s="35"/>
    </row>
    <row r="2651">
      <c r="D2651" s="15"/>
      <c r="E2651" s="32"/>
      <c r="F2651" s="35"/>
      <c r="H2651" s="35"/>
    </row>
    <row r="2652">
      <c r="D2652" s="15"/>
      <c r="E2652" s="32"/>
      <c r="F2652" s="35"/>
      <c r="H2652" s="35"/>
    </row>
    <row r="2653">
      <c r="D2653" s="15"/>
      <c r="E2653" s="32"/>
      <c r="F2653" s="35"/>
      <c r="H2653" s="35"/>
    </row>
    <row r="2654">
      <c r="D2654" s="15"/>
      <c r="E2654" s="32"/>
      <c r="F2654" s="35"/>
      <c r="H2654" s="35"/>
    </row>
    <row r="2655">
      <c r="D2655" s="15"/>
      <c r="E2655" s="32"/>
      <c r="F2655" s="35"/>
      <c r="H2655" s="35"/>
    </row>
    <row r="2656">
      <c r="D2656" s="15"/>
      <c r="E2656" s="32"/>
      <c r="F2656" s="35"/>
      <c r="H2656" s="35"/>
    </row>
    <row r="2657">
      <c r="D2657" s="15"/>
      <c r="E2657" s="32"/>
      <c r="F2657" s="35"/>
      <c r="H2657" s="35"/>
    </row>
    <row r="2658">
      <c r="D2658" s="15"/>
      <c r="E2658" s="32"/>
      <c r="F2658" s="35"/>
      <c r="H2658" s="35"/>
    </row>
    <row r="2659">
      <c r="D2659" s="15"/>
      <c r="E2659" s="32"/>
      <c r="F2659" s="35"/>
      <c r="H2659" s="35"/>
    </row>
    <row r="2660">
      <c r="D2660" s="15"/>
      <c r="E2660" s="32"/>
      <c r="F2660" s="35"/>
      <c r="H2660" s="35"/>
    </row>
    <row r="2661">
      <c r="D2661" s="15"/>
      <c r="E2661" s="32"/>
      <c r="F2661" s="35"/>
      <c r="H2661" s="35"/>
    </row>
    <row r="2662">
      <c r="D2662" s="15"/>
      <c r="E2662" s="32"/>
      <c r="F2662" s="35"/>
      <c r="H2662" s="35"/>
    </row>
    <row r="2663">
      <c r="D2663" s="15"/>
      <c r="E2663" s="32"/>
      <c r="F2663" s="35"/>
      <c r="H2663" s="35"/>
    </row>
    <row r="2664">
      <c r="D2664" s="15"/>
      <c r="E2664" s="32"/>
      <c r="F2664" s="35"/>
      <c r="H2664" s="35"/>
    </row>
    <row r="2665">
      <c r="D2665" s="15"/>
      <c r="E2665" s="32"/>
      <c r="F2665" s="35"/>
      <c r="H2665" s="35"/>
    </row>
    <row r="2666">
      <c r="D2666" s="15"/>
      <c r="E2666" s="32"/>
      <c r="F2666" s="35"/>
      <c r="H2666" s="35"/>
    </row>
    <row r="2667">
      <c r="D2667" s="15"/>
      <c r="E2667" s="32"/>
      <c r="F2667" s="35"/>
      <c r="H2667" s="35"/>
    </row>
    <row r="2668">
      <c r="D2668" s="15"/>
      <c r="E2668" s="32"/>
      <c r="F2668" s="35"/>
      <c r="H2668" s="35"/>
    </row>
    <row r="2669">
      <c r="D2669" s="15"/>
      <c r="E2669" s="32"/>
      <c r="F2669" s="35"/>
      <c r="H2669" s="35"/>
    </row>
    <row r="2670">
      <c r="D2670" s="15"/>
      <c r="E2670" s="32"/>
      <c r="F2670" s="35"/>
      <c r="H2670" s="35"/>
    </row>
    <row r="2671">
      <c r="D2671" s="15"/>
      <c r="E2671" s="32"/>
      <c r="F2671" s="35"/>
      <c r="H2671" s="35"/>
    </row>
    <row r="2672">
      <c r="D2672" s="15"/>
      <c r="E2672" s="32"/>
      <c r="F2672" s="35"/>
      <c r="H2672" s="35"/>
    </row>
    <row r="2673">
      <c r="D2673" s="15"/>
      <c r="E2673" s="32"/>
      <c r="F2673" s="35"/>
      <c r="H2673" s="35"/>
    </row>
    <row r="2674">
      <c r="D2674" s="15"/>
      <c r="E2674" s="32"/>
      <c r="F2674" s="35"/>
      <c r="H2674" s="35"/>
    </row>
    <row r="2675">
      <c r="D2675" s="15"/>
      <c r="E2675" s="32"/>
      <c r="F2675" s="35"/>
      <c r="H2675" s="35"/>
    </row>
    <row r="2676">
      <c r="D2676" s="15"/>
      <c r="E2676" s="32"/>
      <c r="F2676" s="35"/>
      <c r="H2676" s="35"/>
    </row>
    <row r="2677">
      <c r="D2677" s="15"/>
      <c r="E2677" s="32"/>
      <c r="F2677" s="35"/>
      <c r="H2677" s="35"/>
    </row>
    <row r="2678">
      <c r="D2678" s="15"/>
      <c r="E2678" s="32"/>
      <c r="F2678" s="35"/>
      <c r="H2678" s="35"/>
    </row>
    <row r="2679">
      <c r="D2679" s="15"/>
      <c r="E2679" s="32"/>
      <c r="F2679" s="35"/>
      <c r="H2679" s="35"/>
    </row>
    <row r="2680">
      <c r="D2680" s="15"/>
      <c r="E2680" s="32"/>
      <c r="F2680" s="35"/>
      <c r="H2680" s="35"/>
    </row>
    <row r="2681">
      <c r="D2681" s="15"/>
      <c r="E2681" s="32"/>
      <c r="F2681" s="35"/>
      <c r="H2681" s="35"/>
    </row>
    <row r="2682">
      <c r="D2682" s="15"/>
      <c r="E2682" s="32"/>
      <c r="F2682" s="35"/>
      <c r="H2682" s="35"/>
    </row>
    <row r="2683">
      <c r="D2683" s="15"/>
      <c r="E2683" s="32"/>
      <c r="F2683" s="35"/>
      <c r="H2683" s="35"/>
    </row>
    <row r="2684">
      <c r="D2684" s="15"/>
      <c r="E2684" s="32"/>
      <c r="F2684" s="35"/>
      <c r="H2684" s="35"/>
    </row>
    <row r="2685">
      <c r="D2685" s="15"/>
      <c r="E2685" s="32"/>
      <c r="F2685" s="35"/>
      <c r="H2685" s="35"/>
    </row>
    <row r="2686">
      <c r="D2686" s="15"/>
      <c r="E2686" s="32"/>
      <c r="F2686" s="35"/>
      <c r="H2686" s="35"/>
    </row>
    <row r="2687">
      <c r="D2687" s="15"/>
      <c r="E2687" s="32"/>
      <c r="F2687" s="35"/>
      <c r="H2687" s="35"/>
    </row>
    <row r="2688">
      <c r="D2688" s="15"/>
      <c r="E2688" s="32"/>
      <c r="F2688" s="35"/>
      <c r="H2688" s="35"/>
    </row>
    <row r="2689">
      <c r="D2689" s="15"/>
      <c r="E2689" s="32"/>
      <c r="F2689" s="35"/>
      <c r="H2689" s="35"/>
    </row>
    <row r="2690">
      <c r="D2690" s="15"/>
      <c r="E2690" s="32"/>
      <c r="F2690" s="35"/>
      <c r="H2690" s="35"/>
    </row>
    <row r="2691">
      <c r="D2691" s="15"/>
      <c r="E2691" s="32"/>
      <c r="F2691" s="35"/>
      <c r="H2691" s="35"/>
    </row>
    <row r="2692">
      <c r="D2692" s="15"/>
      <c r="E2692" s="32"/>
      <c r="F2692" s="35"/>
      <c r="H2692" s="35"/>
    </row>
    <row r="2693">
      <c r="D2693" s="15"/>
      <c r="E2693" s="32"/>
      <c r="F2693" s="35"/>
      <c r="H2693" s="35"/>
    </row>
    <row r="2694">
      <c r="D2694" s="15"/>
      <c r="E2694" s="32"/>
      <c r="F2694" s="35"/>
      <c r="H2694" s="35"/>
    </row>
    <row r="2695">
      <c r="D2695" s="15"/>
      <c r="E2695" s="32"/>
      <c r="F2695" s="35"/>
      <c r="H2695" s="35"/>
    </row>
    <row r="2696">
      <c r="D2696" s="15"/>
      <c r="E2696" s="32"/>
      <c r="F2696" s="35"/>
      <c r="H2696" s="35"/>
    </row>
    <row r="2697">
      <c r="D2697" s="15"/>
      <c r="E2697" s="32"/>
      <c r="F2697" s="35"/>
      <c r="H2697" s="35"/>
    </row>
    <row r="2698">
      <c r="D2698" s="15"/>
      <c r="E2698" s="32"/>
      <c r="F2698" s="35"/>
      <c r="H2698" s="35"/>
    </row>
    <row r="2699">
      <c r="D2699" s="15"/>
      <c r="E2699" s="32"/>
      <c r="F2699" s="35"/>
      <c r="H2699" s="35"/>
    </row>
    <row r="2700">
      <c r="D2700" s="15"/>
      <c r="E2700" s="32"/>
      <c r="F2700" s="35"/>
      <c r="H2700" s="35"/>
    </row>
    <row r="2701">
      <c r="D2701" s="15"/>
      <c r="E2701" s="32"/>
      <c r="F2701" s="35"/>
      <c r="H2701" s="35"/>
    </row>
    <row r="2702">
      <c r="D2702" s="15"/>
      <c r="E2702" s="32"/>
      <c r="F2702" s="35"/>
      <c r="H2702" s="35"/>
    </row>
    <row r="2703">
      <c r="D2703" s="15"/>
      <c r="E2703" s="32"/>
      <c r="F2703" s="35"/>
      <c r="H2703" s="35"/>
    </row>
    <row r="2704">
      <c r="D2704" s="15"/>
      <c r="E2704" s="32"/>
      <c r="F2704" s="35"/>
      <c r="H2704" s="35"/>
    </row>
    <row r="2705">
      <c r="D2705" s="15"/>
      <c r="E2705" s="32"/>
      <c r="F2705" s="35"/>
      <c r="H2705" s="35"/>
    </row>
    <row r="2706">
      <c r="D2706" s="15"/>
      <c r="E2706" s="32"/>
      <c r="F2706" s="35"/>
      <c r="H2706" s="35"/>
    </row>
    <row r="2707">
      <c r="D2707" s="15"/>
      <c r="E2707" s="32"/>
      <c r="F2707" s="35"/>
      <c r="H2707" s="35"/>
    </row>
    <row r="2708">
      <c r="D2708" s="15"/>
      <c r="E2708" s="32"/>
      <c r="F2708" s="35"/>
      <c r="H2708" s="35"/>
    </row>
    <row r="2709">
      <c r="D2709" s="15"/>
      <c r="E2709" s="32"/>
      <c r="F2709" s="35"/>
      <c r="H2709" s="35"/>
    </row>
    <row r="2710">
      <c r="D2710" s="15"/>
      <c r="E2710" s="32"/>
      <c r="F2710" s="35"/>
      <c r="H2710" s="35"/>
    </row>
    <row r="2711">
      <c r="D2711" s="15"/>
      <c r="E2711" s="32"/>
      <c r="F2711" s="35"/>
      <c r="H2711" s="35"/>
    </row>
    <row r="2712">
      <c r="D2712" s="15"/>
      <c r="E2712" s="32"/>
      <c r="F2712" s="35"/>
      <c r="H2712" s="35"/>
    </row>
    <row r="2713">
      <c r="D2713" s="15"/>
      <c r="E2713" s="32"/>
      <c r="F2713" s="35"/>
      <c r="H2713" s="35"/>
    </row>
    <row r="2714">
      <c r="D2714" s="15"/>
      <c r="E2714" s="32"/>
      <c r="F2714" s="35"/>
      <c r="H2714" s="35"/>
    </row>
    <row r="2715">
      <c r="D2715" s="15"/>
      <c r="E2715" s="32"/>
      <c r="F2715" s="35"/>
      <c r="H2715" s="35"/>
    </row>
    <row r="2716">
      <c r="D2716" s="15"/>
      <c r="E2716" s="32"/>
      <c r="F2716" s="35"/>
      <c r="H2716" s="35"/>
    </row>
    <row r="2717">
      <c r="D2717" s="15"/>
      <c r="E2717" s="32"/>
      <c r="F2717" s="35"/>
      <c r="H2717" s="35"/>
    </row>
    <row r="2718">
      <c r="D2718" s="15"/>
      <c r="E2718" s="32"/>
      <c r="F2718" s="35"/>
      <c r="H2718" s="35"/>
    </row>
    <row r="2719">
      <c r="D2719" s="15"/>
      <c r="E2719" s="32"/>
      <c r="F2719" s="35"/>
      <c r="H2719" s="35"/>
    </row>
    <row r="2720">
      <c r="D2720" s="15"/>
      <c r="E2720" s="32"/>
      <c r="F2720" s="35"/>
      <c r="H2720" s="35"/>
    </row>
    <row r="2721">
      <c r="D2721" s="15"/>
      <c r="E2721" s="32"/>
      <c r="F2721" s="35"/>
      <c r="H2721" s="35"/>
    </row>
    <row r="2722">
      <c r="D2722" s="15"/>
      <c r="E2722" s="32"/>
      <c r="F2722" s="35"/>
      <c r="H2722" s="35"/>
    </row>
    <row r="2723">
      <c r="D2723" s="15"/>
      <c r="E2723" s="32"/>
      <c r="F2723" s="35"/>
      <c r="H2723" s="35"/>
    </row>
    <row r="2724">
      <c r="D2724" s="15"/>
      <c r="E2724" s="32"/>
      <c r="F2724" s="35"/>
      <c r="H2724" s="35"/>
    </row>
    <row r="2725">
      <c r="D2725" s="15"/>
      <c r="E2725" s="32"/>
      <c r="F2725" s="35"/>
      <c r="H2725" s="35"/>
    </row>
    <row r="2726">
      <c r="D2726" s="15"/>
      <c r="E2726" s="32"/>
      <c r="F2726" s="35"/>
      <c r="H2726" s="35"/>
    </row>
    <row r="2727">
      <c r="D2727" s="15"/>
      <c r="E2727" s="32"/>
      <c r="F2727" s="35"/>
      <c r="H2727" s="35"/>
    </row>
    <row r="2728">
      <c r="D2728" s="15"/>
      <c r="E2728" s="32"/>
      <c r="F2728" s="35"/>
      <c r="H2728" s="35"/>
    </row>
    <row r="2729">
      <c r="D2729" s="15"/>
      <c r="E2729" s="32"/>
      <c r="F2729" s="35"/>
      <c r="H2729" s="35"/>
    </row>
    <row r="2730">
      <c r="D2730" s="15"/>
      <c r="E2730" s="32"/>
      <c r="F2730" s="35"/>
      <c r="H2730" s="35"/>
    </row>
    <row r="2731">
      <c r="D2731" s="15"/>
      <c r="E2731" s="32"/>
      <c r="F2731" s="35"/>
      <c r="H2731" s="35"/>
    </row>
    <row r="2732">
      <c r="D2732" s="15"/>
      <c r="E2732" s="32"/>
      <c r="F2732" s="35"/>
      <c r="H2732" s="35"/>
    </row>
    <row r="2733">
      <c r="D2733" s="15"/>
      <c r="E2733" s="32"/>
      <c r="F2733" s="35"/>
      <c r="H2733" s="35"/>
    </row>
    <row r="2734">
      <c r="D2734" s="15"/>
      <c r="E2734" s="32"/>
      <c r="F2734" s="35"/>
      <c r="H2734" s="35"/>
    </row>
    <row r="2735">
      <c r="D2735" s="15"/>
      <c r="E2735" s="32"/>
      <c r="F2735" s="35"/>
      <c r="H2735" s="35"/>
    </row>
    <row r="2736">
      <c r="D2736" s="15"/>
      <c r="E2736" s="32"/>
      <c r="F2736" s="35"/>
      <c r="H2736" s="35"/>
    </row>
    <row r="2737">
      <c r="D2737" s="15"/>
      <c r="E2737" s="32"/>
      <c r="F2737" s="35"/>
      <c r="H2737" s="35"/>
    </row>
    <row r="2738">
      <c r="D2738" s="15"/>
      <c r="E2738" s="32"/>
      <c r="F2738" s="35"/>
      <c r="H2738" s="35"/>
    </row>
    <row r="2739">
      <c r="D2739" s="15"/>
      <c r="E2739" s="32"/>
      <c r="F2739" s="35"/>
      <c r="H2739" s="35"/>
    </row>
    <row r="2740">
      <c r="D2740" s="15"/>
      <c r="E2740" s="32"/>
      <c r="F2740" s="35"/>
      <c r="H2740" s="35"/>
    </row>
    <row r="2741">
      <c r="D2741" s="15"/>
      <c r="E2741" s="32"/>
      <c r="F2741" s="35"/>
      <c r="H2741" s="35"/>
    </row>
    <row r="2742">
      <c r="D2742" s="15"/>
      <c r="E2742" s="32"/>
      <c r="F2742" s="35"/>
      <c r="H2742" s="35"/>
    </row>
    <row r="2743">
      <c r="D2743" s="15"/>
      <c r="E2743" s="32"/>
      <c r="F2743" s="35"/>
      <c r="H2743" s="35"/>
    </row>
    <row r="2744">
      <c r="D2744" s="15"/>
      <c r="E2744" s="32"/>
      <c r="F2744" s="35"/>
      <c r="H2744" s="35"/>
    </row>
    <row r="2745">
      <c r="D2745" s="15"/>
      <c r="E2745" s="32"/>
      <c r="F2745" s="35"/>
      <c r="H2745" s="35"/>
    </row>
    <row r="2746">
      <c r="D2746" s="15"/>
      <c r="E2746" s="32"/>
      <c r="F2746" s="35"/>
      <c r="H2746" s="35"/>
    </row>
    <row r="2747">
      <c r="D2747" s="15"/>
      <c r="E2747" s="32"/>
      <c r="F2747" s="35"/>
      <c r="H2747" s="35"/>
    </row>
    <row r="2748">
      <c r="D2748" s="15"/>
      <c r="E2748" s="32"/>
      <c r="F2748" s="35"/>
      <c r="H2748" s="35"/>
    </row>
    <row r="2749">
      <c r="D2749" s="15"/>
      <c r="E2749" s="32"/>
      <c r="F2749" s="35"/>
      <c r="H2749" s="35"/>
    </row>
    <row r="2750">
      <c r="D2750" s="15"/>
      <c r="E2750" s="32"/>
      <c r="F2750" s="35"/>
      <c r="H2750" s="35"/>
    </row>
    <row r="2751">
      <c r="D2751" s="15"/>
      <c r="E2751" s="32"/>
      <c r="F2751" s="35"/>
      <c r="H2751" s="35"/>
    </row>
    <row r="2752">
      <c r="D2752" s="15"/>
      <c r="E2752" s="32"/>
      <c r="F2752" s="35"/>
      <c r="H2752" s="35"/>
    </row>
    <row r="2753">
      <c r="D2753" s="15"/>
      <c r="E2753" s="32"/>
      <c r="F2753" s="35"/>
      <c r="H2753" s="35"/>
    </row>
    <row r="2754">
      <c r="D2754" s="15"/>
      <c r="E2754" s="32"/>
      <c r="F2754" s="35"/>
      <c r="H2754" s="35"/>
    </row>
    <row r="2755">
      <c r="D2755" s="15"/>
      <c r="E2755" s="32"/>
      <c r="F2755" s="35"/>
      <c r="H2755" s="35"/>
    </row>
    <row r="2756">
      <c r="D2756" s="15"/>
      <c r="E2756" s="32"/>
      <c r="F2756" s="35"/>
      <c r="H2756" s="35"/>
    </row>
    <row r="2757">
      <c r="D2757" s="15"/>
      <c r="E2757" s="32"/>
      <c r="F2757" s="35"/>
      <c r="H2757" s="35"/>
    </row>
  </sheetData>
  <mergeCells count="49">
    <mergeCell ref="C3:I3"/>
    <mergeCell ref="B7:B39"/>
    <mergeCell ref="C7:C39"/>
    <mergeCell ref="D7:D39"/>
    <mergeCell ref="D43:D75"/>
    <mergeCell ref="C267:C303"/>
    <mergeCell ref="D267:D303"/>
    <mergeCell ref="B267:B303"/>
    <mergeCell ref="B306:B342"/>
    <mergeCell ref="C306:C342"/>
    <mergeCell ref="D306:D342"/>
    <mergeCell ref="B345:B381"/>
    <mergeCell ref="C345:C381"/>
    <mergeCell ref="D345:D381"/>
    <mergeCell ref="B642:B680"/>
    <mergeCell ref="C642:C680"/>
    <mergeCell ref="C683:C721"/>
    <mergeCell ref="B724:B762"/>
    <mergeCell ref="C724:C762"/>
    <mergeCell ref="B765:B803"/>
    <mergeCell ref="C765:C803"/>
    <mergeCell ref="C806:C848"/>
    <mergeCell ref="C851:C893"/>
    <mergeCell ref="C896:C935"/>
    <mergeCell ref="C938:C977"/>
    <mergeCell ref="C980:C1019"/>
    <mergeCell ref="C1022:C1064"/>
    <mergeCell ref="C1067:C1109"/>
    <mergeCell ref="C1112:C1150"/>
    <mergeCell ref="C1153:C1191"/>
    <mergeCell ref="C1194:C1233"/>
    <mergeCell ref="C1236:C1278"/>
    <mergeCell ref="C1281:C1323"/>
    <mergeCell ref="C1326:C1365"/>
    <mergeCell ref="C1368:C1407"/>
    <mergeCell ref="C1716:C1757"/>
    <mergeCell ref="C1760:C1802"/>
    <mergeCell ref="C1805:C1847"/>
    <mergeCell ref="C1850:C1892"/>
    <mergeCell ref="C1895:C1937"/>
    <mergeCell ref="C1940:C1978"/>
    <mergeCell ref="C1981:C2022"/>
    <mergeCell ref="C1410:C1449"/>
    <mergeCell ref="C1453:C1494"/>
    <mergeCell ref="C1498:C1525"/>
    <mergeCell ref="C1542:C1581"/>
    <mergeCell ref="C1584:C1625"/>
    <mergeCell ref="C1628:C1669"/>
    <mergeCell ref="C1672:C1713"/>
  </mergeCells>
  <dataValidations>
    <dataValidation type="list" allowBlank="1" sqref="H1114:K1114">
      <formula1>"GetNonTradingTransaction,AddNonTradingTransaction,c,CreateDoneAwayOrder"</formula1>
    </dataValidation>
    <dataValidation type="list" allowBlank="1" sqref="H800:K800">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VerifyAndApplyCorpAction,GetForexConversion2,UpdateForexConversion2,GetMarkPriceD"&amp;"ata2,UpdateMarkPrice2,GetAccountBalance2,VerifyRevaluationData1,GetRevaluationData1,VerifyTradingTransaction1,VerifyActivity1,GetActivityData1,GetDataClosing"</formula1>
    </dataValidation>
    <dataValidation type="list" allowBlank="1" sqref="H95:K95">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formula1>
    </dataValidation>
    <dataValidation type="list" allowBlank="1" sqref="H742:K742">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formula1>
    </dataValidation>
    <dataValidation type="list" allowBlank="1" sqref="H916:K916">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formula1>
    </dataValidation>
    <dataValidation type="list" allowBlank="1" sqref="H1984:K1984">
      <formula1>"GetNonTradingTransaction,AddNonTradingTransaction,CreateDoneAwayOrder,GetFo,GetForexConversion"</formula1>
    </dataValidation>
    <dataValidation type="list" allowBlank="1" sqref="H301:K301">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VerifyTradingTransaction1,GetActivityData1,VerifyActivity1,GetDataClosing1,VerifyLongPositionsGrid"</formula1>
    </dataValidation>
    <dataValidation type="list" allowBlank="1" sqref="H1003:K1003">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formula1>
    </dataValidation>
    <dataValidation type="list" allowBlank="1" sqref="H2001:K2001">
      <formula1>"GetNonTradingTransaction,AddNonTradingTransaction,CreateDoneAwayOrder,GetFo,GetForexConversion,U,UpdateForexConversion,GetMarkPriceData,UpdateMarkPrice,GetDayEndCash,CalculateDayEndCash,GetAccountBalance,C,GetDataClosing,AutomaticClosing,G,GetRevaluationD"&amp;"ata"</formula1>
    </dataValidation>
    <dataValidation type="list" allowBlank="1" sqref="H211:K211">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OpenSpinOff,SpinOff"</formula1>
    </dataValidation>
    <dataValidation type="list" allowBlank="1" sqref="H264:K264">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Verif"&amp;"yRevaluationData1,VerifyTradingTransaction1,GetActivityData1,VerifyActivity1,VerifyLongPositionsGrid,GetDataClosing1,GetDataAllocation,CheckAllocatedGroups"</formula1>
    </dataValidation>
    <dataValidation type="list" allowBlank="1" sqref="H1990:K1990">
      <formula1>"GetNonTradingTransaction,AddNonTradingTransaction,CreateDoneAwayOrder,GetFo,GetForexConversion,U,UpdateForexConversion,GetMarkPriceData,UpdateMarkPrice,GetDayEndCash,CalculateDayEndCash,GetAccountBalance"</formula1>
    </dataValidation>
    <dataValidation type="list" allowBlank="1" sqref="H1072:K1072">
      <formula1>"GetNonTradingTransaction,AddNonTradingTransaction,crea,CreateDoneAwayOrder,GetForexConversion,upda,UpdateForexConversion,GetMarkPriceData"</formula1>
    </dataValidation>
    <dataValidation type="list" allowBlank="1" sqref="H489:K489">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GetDataClosing,VerifyLongPositionsGrid,Copy of Data 1,GetDataAllocation,CheckAllocatedGroups"</formula1>
    </dataValidation>
    <dataValidation type="list" allowBlank="1" sqref="H984:K984 H1285:K1285">
      <formula1>"GetNonTradingTransaction,AddNonTradingTransaction,AddNonTradingTransaction1,CreateDoneAwayOrder,GetForexConversion"</formula1>
    </dataValidation>
    <dataValidation type="list" allowBlank="1" sqref="H2002:K2002">
      <formula1>"GetNonTradingTransaction,AddNonTradingTransaction,CreateDoneAwayOrder,GetFo,GetForexConversion,U,UpdateForexConversion,GetMarkPriceData,UpdateMarkPrice,GetDayEndCash,CalculateDayEndCash,GetAccountBalance,C,GetDataClosing,AutomaticClosing,G,GetRevaluationD"&amp;"ata,V,VerifyRevaluationData"</formula1>
    </dataValidation>
    <dataValidation type="list" allowBlank="1" sqref="H413:K414">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UpdateMarkPrice2,GetAccountBalance2,GetRevaluationDat"&amp;"a2"</formula1>
    </dataValidation>
    <dataValidation type="list" allowBlank="1" sqref="H891:K891">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GetForexConversion2,UpdateForexConversion2,GetMarkPriceData2,UpdateMarkPrice2,GetAccountBalance2,GetRevaluationData1,VerifyRevaluationData1,VerifyTradingTransaction1,GetActivityData1,VerifyActivity1,VerifyLongPositionsGrid"</formula1>
    </dataValidation>
    <dataValidation type="list" allowBlank="1" sqref="H337:K338">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UpdateMarkPrice2,GetAccountBalance2,GetRevaluationData2,VerifyRevaluationD"&amp;"ata1"</formula1>
    </dataValidation>
    <dataValidation type="list" allowBlank="1" sqref="H1625:K1625">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SpinOff,VerifyAndApplyCorpAction,GetForex,VerifyLongPositionsGrid,GetDataAllocation,CheckAllocatedGroups"</formula1>
    </dataValidation>
    <dataValidation type="list" allowBlank="1" sqref="H408:K408">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formula1>
    </dataValidation>
    <dataValidation type="list" allowBlank="1" sqref="H546:K546">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formula1>
    </dataValidation>
    <dataValidation type="list" allowBlank="1" sqref="H830:K830">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formula1>
    </dataValidation>
    <dataValidation type="list" allowBlank="1" sqref="H93:K93">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formula1>
    </dataValidation>
    <dataValidation type="list" allowBlank="1" sqref="H1091:K1091">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formula1>
    </dataValidation>
    <dataValidation type="list" allowBlank="1" sqref="H1614:K161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GetAcco"&amp;"untBalance2,GetRevaluationData1,VerifyRevaluationData1,VerifyTradingTransaction1,VerifyActivity1,GetDataClosing1,VerifyLongPositionsGrid,GetDataAllocation,CheckAllocatedGroups,Copy of Data,Copy of Data 1,UpdateForexConversion2,Copy of Data 2"</formula1>
    </dataValidation>
    <dataValidation type="list" allowBlank="1" sqref="H903:K903">
      <formula1>"GetNonTradingTransaction,AddNonTradingTransaction,CreateDoneAwayOrder,GetForexConversion,UpdateDailyCash,UpdateForexConversion,GetMarkPriceData,UpdateMarkPrice"</formula1>
    </dataValidation>
    <dataValidation type="list" allowBlank="1" sqref="H1086:K1086">
      <formula1>"GetNonTradingTransaction,AddNonTradingTransaction,crea,CreateDoneAwayOrder,GetForexConversion,upda,UpdateForexConversion,GetMarkPriceData,UpdateMarkPrice,GetDayEndCash,CalculateDayEndCash,GetAccountBalance,upd,GetForexConversion1,GetMarkPriceData1,UpdateM"&amp;"arkPrice1,GetDayEndCash1"</formula1>
    </dataValidation>
    <dataValidation type="list" allowBlank="1" sqref="H1605:K1605">
      <formula1>"GetNonTradingTransaction,AddNonTradingTransaction,CreateDoneAwayOrder,GetForexConversion,UpdateForexConversion,GetMarkPriceData,UpdateMarkPrice,GetDayEndCash,CalculateDayEndCash,GetAccountBalance,GetDataClosing,AutomaticClosing,GetRevaluationData,VerifyRe"&amp;"valuationData"</formula1>
    </dataValidation>
    <dataValidation type="list" allowBlank="1" sqref="H1233:K1233">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3_conflict2145686302,VerifyAndApplyCorpAction,GetForexConversion2,UpdateForexConversion2,GetMarkPriceData2,UpdateMarkPrice2,GetDataClosing,GetAccountBalance2,VerifyShortPositionsGrid,GetRevaluationData1,CheckAl"&amp;"locatedGroups"</formula1>
    </dataValidation>
    <dataValidation type="list" allowBlank="1" sqref="H2008:K2015 H2017:K2019">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OpenSpinOff,SpinOff,VerifyAndApplyCorpAction"</formula1>
    </dataValidation>
    <dataValidation type="list" allowBlank="1" sqref="H447:K447">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Copy of Data"</formula1>
    </dataValidation>
    <dataValidation type="list" allowBlank="1" sqref="H79:K79 H188:K188">
      <formula1>"Copy of Data,GetNonTradingTransaction,AddNonTradingTransaction"</formula1>
    </dataValidation>
    <dataValidation type="list" allowBlank="1" sqref="H843:K843">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SpinOff,VerifyAndApplyCorpAction,G"&amp;"etForexConversion2,UpdateForexConversion2,GetMarkPriceData2,UpdateMarkPrice2,GetAccountBalance2,GetRevaluationData1,VerifyRevaluationData1,VerifyTradingTransaction1,VerifyActivity1,GetDataClosing1,VerifyLongPositionsGrid,GetDataAllocation,CheckAllocatedGr"&amp;"oups,Copy of Data"</formula1>
    </dataValidation>
    <dataValidation type="list" allowBlank="1" sqref="H985:K985 H1286:K1286">
      <formula1>"GetNonTradingTransaction,AddNonTradingTransaction,AddNonTradingTransaction1,CreateDoneAwayOrder,GetForexConversion,UpdateForexConversion"</formula1>
    </dataValidation>
    <dataValidation type="list" allowBlank="1" sqref="H783:K783">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formula1>
    </dataValidation>
    <dataValidation type="list" allowBlank="1" sqref="H932:K932">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GetAccountBalance2,GetRevaluationData1,VerifyRevaluationData1,VerifyTradingTransaction1,GetActivityData1,VerifyActivity1,GetDataClosing"</formula1>
    </dataValidation>
    <dataValidation type="list" allowBlank="1" sqref="H1069:K1069">
      <formula1>"GetNonTradingTransaction,AddNonTradingTransaction,crea,CreateDoneAwayOrder"</formula1>
    </dataValidation>
    <dataValidation type="list" allowBlank="1" sqref="H1216:K1216">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formula1>
    </dataValidation>
    <dataValidation type="list" allowBlank="1" sqref="H1249:K1253">
      <formula1>"GetNonTradingTransaction,AddNonTradingTransaction,CreateDoneAwayOrder,AddNonTradingTransaction1,GetForexConversion,UpdateForexConversion,GetMarkPriceData,UpdateMarkPrice,GetDayEndCash,GetAccountBalance,CreateDoneAwayOrder1,GetDataClosing,AutomaticClosing"</formula1>
    </dataValidation>
    <dataValidation type="list" allowBlank="1" sqref="H555:K555">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formula1>
    </dataValidation>
    <dataValidation type="list" allowBlank="1" sqref="H1022:K1022 H1050:K1050">
      <formula1>"GetNonTradingTransaction,AddNonTradingTransaction,CreateDoneAwayOrder,GetForexConversion,UpdateForexConversion,GetMarkPriceData,UpdateMarkPrice,GetDayEndCash,GetAccountBalance,CreateDoneAwayOrder1,GetDataClosing,AutomaticClosing,UpdateForexConversion1,Get"&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GetDataClosing1,VerifyLongPositionsGrid,GetDataAllocation,CheckAllocatedGroups"</formula1>
    </dataValidation>
    <dataValidation type="list" allowBlank="1" sqref="H415:K416">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UpdateMarkPrice2,GetAccountBalance2,GetRevaluationDat"&amp;"a2,VerifyRevaluationData1,VerifyTradingTransaction1"</formula1>
    </dataValidation>
    <dataValidation type="list" allowBlank="1" sqref="H1434:K1434 H1566">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SpinOff,OpenSpinOff"</formula1>
    </dataValidation>
    <dataValidation type="list" allowBlank="1" sqref="H702:K702">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formula1>
    </dataValidation>
    <dataValidation type="list" allowBlank="1" sqref="H974:K974">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formula1>
    </dataValidation>
    <dataValidation type="list" allowBlank="1" sqref="H12:K12">
      <formula1>"GetNonTradingTransaction,AddNonTradingTransaction,GetMarkPriceData,UpdateMarkPrice,GetDayEndCash"</formula1>
    </dataValidation>
    <dataValidation type="list" allowBlank="1" sqref="H1100:K1100">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formula1>
    </dataValidation>
    <dataValidation type="list" allowBlank="1" sqref="H141:K141">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VerifyTradingTransaction1,GetActivityData"&amp;"1"</formula1>
    </dataValidation>
    <dataValidation type="list" allowBlank="1" sqref="H624:K624">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formula1>
    </dataValidation>
    <dataValidation type="list" allowBlank="1" sqref="H100:K100">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formula1>
    </dataValidation>
    <dataValidation type="list" allowBlank="1" sqref="H716:K716">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formula1>
    </dataValidation>
    <dataValidation type="list" allowBlank="1" sqref="H36:K36">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VerifyTradingTransaction2,GetActivityData1,VerifyActivity1,GetDataClosing"</formula1>
    </dataValidation>
    <dataValidation type="list" allowBlank="1" sqref="H107:K107">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VerifyTradingTransaction1,GetActiv"&amp;"ityData1,VerifyActivity1,GetDataClosing"</formula1>
    </dataValidation>
    <dataValidation type="list" allowBlank="1" sqref="H59:K59">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formula1>
    </dataValidation>
    <dataValidation type="list" allowBlank="1" sqref="H245:K245">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formula1>
    </dataValidation>
    <dataValidation type="list" allowBlank="1" sqref="H1034:K1034">
      <formula1>"GetNonTradingTransaction,AddNonTradingTransaction,CreateDoneAwayOrder,GetForexConversion,UpdateForexConversion,GetMarkPriceData,UpdateMarkPrice,GetDayEndCash,GetAccountBalance,CreateDoneAwayOrder1,GetForexConversion1,UpdateForexConversion1,GetMarkPriceDat"&amp;"a1,UpdateMarkPrice1,GetDayEndCash1,GetAccountBalance1,GetRevaluationData,VerifyRevaluationData,VerifyTradingTransaction,GetActivityData,VerifyActivity,OpenSpinOff,SpinOff,VerifyAndApplyCorpAction,GetForexConversion2,UpdateForexConversion2,GetMarkPriceData"&amp;"2,UpdateMarkPrice2,GetAccountBalance2,GetRevaluationData1,VerifyRevaluationData1,VerifyTradingTransaction1,GetActivityData1,VerifyActivity1,GetDataClosing,VerifyLongPositionsGrid,GetDataAllocation,CheckAllocatedGroups,GetDataClosing1,AutomaticClosing"</formula1>
    </dataValidation>
    <dataValidation type="list" allowBlank="1" sqref="H1634:K1634 H1678 H1722">
      <formula1>"GetNonTradingTransaction,AddNonTradingTransaction,CreateDoneAwayOrder,GetForexConversion,UpdateForwardPoints,UpdateForexConversion,GetMarkPriceData,UpdateMarkPrice"</formula1>
    </dataValidation>
    <dataValidation type="list" allowBlank="1" sqref="H758:K758">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GetForexConversion2,GetMarkPriceData2,UpdateForexConversion2,UpdateMarkPric"&amp;"e2,GetAccountBalance2,GetRevaluationData1,VerifyRevaluationData1,VerifyTradingTransaction1,GetActivityData1"</formula1>
    </dataValidation>
    <dataValidation type="list" allowBlank="1" sqref="H1125:K1125">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formula1>
    </dataValidation>
    <dataValidation type="list" allowBlank="1" sqref="H892:K892">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GetForexConversion2,UpdateForexConversion2,GetMarkPriceData2,UpdateMarkPrice2,GetAccountBalance2,GetRevaluationData1,VerifyRevaluationData1,VerifyTradingTransaction1,GetActivityData1,VerifyActivity1,VerifyLongPositionsGrid,GetDataClosin"&amp;"g1,GetDataAllocation"</formula1>
    </dataValidation>
    <dataValidation type="list" allowBlank="1" sqref="H445:K446 H590:K590">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formula1>
    </dataValidation>
    <dataValidation type="list" allowBlank="1" sqref="H1538:K1538">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VerifyTradingTransaction1,GetActivityData1,VerifyActivity1,GetDataClosing1,VerifyShortPositionsGrid,GetDataAllocation"</formula1>
    </dataValidation>
    <dataValidation type="list" allowBlank="1" sqref="H1214:K1215">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formula1>
    </dataValidation>
    <dataValidation type="list" allowBlank="1" sqref="H1212:K1212">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VerifyShortPositionsGrid,GetDataAllocation,CheckAllocatedGroups,Sheet10"</formula1>
    </dataValidation>
    <dataValidation type="list" allowBlank="1" sqref="H1147:K1147">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GetRevaluationData1,VerifyRevaluationData1,VerifyTradingTransaction1,GetActivityData1,VerifyActivity1,GetDataClosing"</formula1>
    </dataValidation>
    <dataValidation type="list" allowBlank="1" sqref="H248:K248">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formula1>
    </dataValidation>
    <dataValidation type="list" allowBlank="1" sqref="H1116:K1116">
      <formula1>"GetNonTradingTransaction,AddNonTradingTransaction,c,CreateDoneAwayOrder,get,GetForexConversion,Copy of Data,Copy of Data_conflict1608974838,UpdateForexConversion"</formula1>
    </dataValidation>
    <dataValidation type="list" allowBlank="1" sqref="H1365:K1365 H1407">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VerifyShortPositionsGrid,CheckAllocatedGroups"</formula1>
    </dataValidation>
    <dataValidation type="list" allowBlank="1" sqref="H290:K290">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formula1>
    </dataValidation>
    <dataValidation type="list" allowBlank="1" sqref="H1487:K1487">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formula1>
    </dataValidation>
    <dataValidation type="list" allowBlank="1" sqref="H131:K131">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formula1>
    </dataValidation>
    <dataValidation type="list" allowBlank="1" sqref="H1102:K1102">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Data,SpinOff,VerifyAndApplyCorpAction,GetForexConversion2,UpdateForexConversion2,GetMarkPriceD"&amp;"ata2,UpdateMarkPrice2,GetAccountBalance2,GetRevaluationData1,VerifyRevaluationData1"</formula1>
    </dataValidation>
    <dataValidation type="list" allowBlank="1" sqref="H648:K648 H689:K689 H730:K730 H945:K945 H1375 H1417:K1417 H1459:K1459 H1504:K1504 H1549 H1590:K1590 H1946:K1946">
      <formula1>"GetNonTradingTransaction,AddNonTradingTransaction,CreateDoneAwayOrder,GetForexConversion,UpdateForexConversion,GetMarkPriceData,UpdateMarkPrice"</formula1>
    </dataValidation>
    <dataValidation type="list" allowBlank="1" sqref="H1098:K1098">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formula1>
    </dataValidation>
    <dataValidation type="list" allowBlank="1" sqref="H1448:K1448 H1580">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SpinOff,OpenSpinOff,VerifyAndApplyCorpAction,GetDataClosing,VerifyShortPositionsGrid,GetDataAllocation"</formula1>
    </dataValidation>
    <dataValidation type="list" allowBlank="1" sqref="H826:K826">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formula1>
    </dataValidation>
    <dataValidation type="list" allowBlank="1" sqref="H274:K274">
      <formula1>"get,GetNonTradingTransaction,AddNonTradingTransaction,CreateDoneAwayOrder,GetMarkPriceData,UpdateMarkPrice,GetDayEndCash,CalculateDayEndCash,GetAccountBalance"</formula1>
    </dataValidation>
    <dataValidation type="list" allowBlank="1" sqref="H1229:K1229">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3_conflict2145686302,VerifyAndApplyCorpAction,GetForexConversion2,UpdateForexConversion2,GetMarkPriceData2,UpdateMarkPrice2"</formula1>
    </dataValidation>
    <dataValidation type="list" allowBlank="1" sqref="H956:K956">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formula1>
    </dataValidation>
    <dataValidation type="list" allowBlank="1" sqref="H999:K999">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formula1>
    </dataValidation>
    <dataValidation type="list" allowBlank="1" sqref="H326:K326">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Copy of Data 1"</formula1>
    </dataValidation>
    <dataValidation type="list" allowBlank="1" sqref="H378:K378">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VerifyRevaluationData1,VerifyTradingTransaction1,GetActivityData1"</formula1>
    </dataValidation>
    <dataValidation type="list" allowBlank="1" sqref="H747:K747">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formula1>
    </dataValidation>
    <dataValidation type="list" allowBlank="1" sqref="H1171:K1171">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formula1>
    </dataValidation>
    <dataValidation type="list" allowBlank="1" sqref="H24:K24 H60:K60">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formula1>
    </dataValidation>
    <dataValidation type="list" allowBlank="1" sqref="H296:K296">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formula1>
    </dataValidation>
    <dataValidation type="list" allowBlank="1" sqref="H1467:K1467 H1512:K1512">
      <formula1>"GetNonTradingTransaction,AddNonTradingTransaction,CreateDoneAwayOrder,GetForexConversion,UpdateForexConversion,GetMarkPriceData,UpdateMarkPrice,GetDayEndCash,GetAccountBalance,CreateDoneAwayOrder1,GetDataClosing,AutomaticClosing,GetForexConversion1"</formula1>
    </dataValidation>
    <dataValidation type="list" allowBlank="1" sqref="H1469:K1469 H1514:K151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formula1>
    </dataValidation>
    <dataValidation type="list" allowBlank="1" sqref="H1429:K1429 H1561">
      <formula1>"GetNonTradingTransaction,AddNonTradingTransaction,CreateDoneAwayOrder,GetForexConversion,UpdateForexConversion,GetMarkPriceData,UpdateMarkPrice,GetDayEndCash,CalculateDayEndCash,GetAccountBalance,GetRevaluationData,VerifyRevaluationData"</formula1>
    </dataValidation>
    <dataValidation type="list" allowBlank="1" sqref="H1963:K1963">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formula1>
    </dataValidation>
    <dataValidation type="list" allowBlank="1" sqref="H847:K847">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GetForexConversion2,UpdateForexConversion2,GetMarkPriceData2,UpdateMarkPrice2,GetAccountBalance2,GetRevaluationData1,VerifyRevaluationData1,Copy of Data_conflict1714295428,VerifyActivity1,GetDataClosing1,VerifyLongPositionsGrid,GetDataA"&amp;"llocation"</formula1>
    </dataValidation>
    <dataValidation type="list" allowBlank="1" sqref="H1431:K1431 H1563">
      <formula1>"GetNonTradingTransaction,AddNonTradingTransaction,CreateDoneAwayOrder,GetForexConversion,UpdateForexConversion,GetMarkPriceData,UpdateMarkPrice,GetDayEndCash,CalculateDayEndCash,GetAccountBalance,GetRevaluationData,VerifyRevaluationData,VerifyTradingTrans"&amp;"action,GetActivityData"</formula1>
    </dataValidation>
    <dataValidation type="list" allowBlank="1" sqref="H327:K327">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formula1>
    </dataValidation>
    <dataValidation type="list" allowBlank="1" sqref="H1295:K1298">
      <formula1>"GetNonTradingTransaction,AddNonTradingTransaction,AddNonTradingTransaction1,CreateDoneAwayOrder,GetForexConversion,UpdateForexConversion,GetMarkPriceData,UpdateMarkPrice,GetDayEndCash,CalculateDayEndCash,GetAccountBalance,GetDataClosing,AutomaticClosing,C"&amp;"reateDoneAwayOrder1"</formula1>
    </dataValidation>
    <dataValidation type="list" allowBlank="1" sqref="H2004:K2004">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formula1>
    </dataValidation>
    <dataValidation type="list" allowBlank="1" sqref="H706:K706">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formula1>
    </dataValidation>
    <dataValidation type="list" allowBlank="1" sqref="H1054:K1054">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formula1>
    </dataValidation>
    <dataValidation type="list" allowBlank="1" sqref="H551:K551 H554:K554">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formula1>
    </dataValidation>
    <dataValidation type="list" allowBlank="1" sqref="H1606:K1606">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formula1>
    </dataValidation>
    <dataValidation type="list" allowBlank="1" sqref="H1962:K1962">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formula1>
    </dataValidation>
    <dataValidation type="list" allowBlank="1" sqref="H557:K557">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formula1>
    </dataValidation>
    <dataValidation type="list" allowBlank="1" sqref="H1468:K1468 H1513:K1513">
      <formula1>"GetNonTradingTransaction,AddNonTradingTransaction,CreateDoneAwayOrder,GetForexConversion,UpdateForexConversion,GetMarkPriceData,UpdateMarkPrice,GetDayEndCash,GetAccountBalance,CreateDoneAwayOrder1,GetDataClosing,AutomaticClosing,GetForexConversion1,Update"&amp;"ForexConversion1"</formula1>
    </dataValidation>
    <dataValidation type="list" allowBlank="1" sqref="H145:K145">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VerifyTradingTransaction1,GetActivityData"&amp;"1,VerifyActivity1,GetDataClosing,VerifyShortPositionsGrid,GetDataAllocation,CheckAllocatedGroups"</formula1>
    </dataValidation>
    <dataValidation type="list" allowBlank="1" sqref="H96:K96">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formula1>
    </dataValidation>
    <dataValidation type="list" allowBlank="1" sqref="H1228:K1228">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VerifyActivity1,GetDataClosing,VerifyShortPositionsGrid,GetDataAllocation,CheckAllocatedGroups,Copy of Data"</formula1>
    </dataValidation>
    <dataValidation type="list" allowBlank="1" sqref="H183:K183">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OpenSpinOff,SpinOff,VerifyAndApplyCorpAction,VerifyLongPositionsGrid,VerifyShortPositionsGrid,GetDataAllocation"</formula1>
    </dataValidation>
    <dataValidation type="list" allowBlank="1" sqref="H660:K660">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formula1>
    </dataValidation>
    <dataValidation type="list" allowBlank="1" sqref="H169:K169">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formula1>
    </dataValidation>
    <dataValidation type="list" allowBlank="1" sqref="H1067:K1067 H1499:K1499 H1630:K1630">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GetDataClosing1,VerifyShortPositionsGrid,GetDataAllocation,CheckAllocatedGroups"</formula1>
    </dataValidation>
    <dataValidation type="list" allowBlank="1" sqref="H1489:K1489">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formula1>
    </dataValidation>
    <dataValidation type="list" allowBlank="1" sqref="H139:K139">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formula1>
    </dataValidation>
    <dataValidation type="list" allowBlank="1" sqref="H1604:K1604">
      <formula1>"GetNonTradingTransaction,AddNonTradingTransaction,CreateDoneAwayOrder,GetForexConversion,UpdateForexConversion,GetMarkPriceData,UpdateMarkPrice,GetDayEndCash,CalculateDayEndCash,GetAccountBalance,GetDataClosing,AutomaticClosing,GetRevaluationData"</formula1>
    </dataValidation>
    <dataValidation type="list" allowBlank="1" sqref="H1648:K1648 H1692 H173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RevaluationData"</formula1>
    </dataValidation>
    <dataValidation type="list" allowBlank="1" sqref="H26:K26 H62:K62">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formula1>
    </dataValidation>
    <dataValidation type="list" allowBlank="1" sqref="H198:K198">
      <formula1>"Copy of Data,GetNonTradingTransaction,AddNonTradingTransaction,CreateDoneAwayOrder,GetMarkPriceData,UpdateMarkPrice,GetDayEndCash,CalculateDayEndCash,GetAccountBalance,GetRevaluationData,GetDataClosing"</formula1>
    </dataValidation>
    <dataValidation type="list" allowBlank="1" sqref="H236:K237 H314:K314 H353:K354 H392:K393">
      <formula1>"GetNonTradingTransaction,AddNonTradingTransaction,CreateDoneAwayOrder,GetMarkPriceData,UpdateMarkPrice,GetDayEndCash,CalculateDayEndCash,GetAccountBalance,GetRevaluationData"</formula1>
    </dataValidation>
    <dataValidation type="list" allowBlank="1" sqref="H269:K269">
      <formula1>"get,GetNonTradingTransaction,AddNonTradingTransaction,CreateDoneAwayOrder"</formula1>
    </dataValidation>
    <dataValidation type="list" allowBlank="1" sqref="F1062:F1063 F1107:F1108 F1149:F1150 F1190:F1191 F1232:F1233 F1277:F1278">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mp;",,,,,,,,,,,,,,,,,,,,,,,,,,,,,,,,,,,,,,,,,,,,,,,,,,,,,,,,,,,,,,,,,,,,,,,,,,,,,,,,,,,,,,,,,,,,,,,,,,,,,,,,,,,,,,,,,,,,,,,,,,,,,,,,,,,,,,,,,,,,,,,,,,,,,,,,,,,,,,,,,,,,,,,,,,,,,,,,,,,,,,,,,,,,,,,,,,,,,,,,,,,,,,,,,,,,,,,,,,,,,,,,,,,,,,,,,,,,,,,,,,,,,,,,,,,,,,,"&amp;",,,,,,,,,,,,,,,,,,,,,,,,,,,,,,,,,,,,,,,,,,,,,,,,,,,,,,,,,,,,,,"</formula1>
    </dataValidation>
    <dataValidation type="list" allowBlank="1" sqref="H1143:K1143">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GetRevaluationData1"</formula1>
    </dataValidation>
    <dataValidation type="list" allowBlank="1" sqref="H473:K473">
      <formula1>"GetNonTradingTransaction,AddNonTradingTransaction,CreateDoneAwayOrder,GetMarkPriceData,UpdateMarkPrice,GetDayEndCash,CalculateDayEndCash,GetAccountBalance,GetAccountDetails,GetRevaluationData,VerifyRevaluationData,VerifyTradingTransaction,GetActivityData"</formula1>
    </dataValidation>
    <dataValidation type="list" allowBlank="1" sqref="H615:K615">
      <formula1>"GetDataClosing,AutomaticClosing,GetMarkPriceData"</formula1>
    </dataValidation>
    <dataValidation type="list" allowBlank="1" sqref="H519:K519">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2"</formula1>
    </dataValidation>
    <dataValidation type="list" allowBlank="1" sqref="H158:K158">
      <formula1>"GetNonTradingTransaction,AddNonTradingTransaction,CreateDoneAwayOrder,GetMarkPriceData,UpdateMarkPrice,GetDayEndCash,CalculateDayEndCash,GetAccountBalance,GetDataClosing"</formula1>
    </dataValidation>
    <dataValidation type="list" allowBlank="1" sqref="H167:K167">
      <formula1>"GetNonTradingTransaction,AddNonTradingTransaction,CreateDoneAwayOrder,GetMarkPriceData,UpdateMarkPrice,GetDayEndCash,CalculateDayEndCash,GetAccountBalance,GetDataClosing,AutomaticClosing,GetRevaluationData,VerifyRevaluationData,VerifyTradingTransaction"</formula1>
    </dataValidation>
    <dataValidation type="list" allowBlank="1" sqref="H1045:K1045">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formula1>
    </dataValidation>
    <dataValidation type="list" allowBlank="1" sqref="H611:K612">
      <formula1>"GetNonTradingTransaction,AddNonTradingTranItem,CreateDoneAwayOrder,GetMarkPriceData,UpdateMarkPrice,GetDayEndCash,CalculateDayEndCash,GetAccountBalance,GetRevaluationData"</formula1>
    </dataValidation>
    <dataValidation type="list" allowBlank="1" sqref="H620:K620">
      <formula1>"GetDataClosing,AutomaticClosing,GetMarkPriceData,GetMarkPriceData1,UpdateMarkPrice,UpdateMarkPrice1,GetDayEndCash,GetDayEndCash1,CalculateDayEndCash,GetAccountBalance,GetAccountBalance1,GetRevaluationData"</formula1>
    </dataValidation>
    <dataValidation type="list" allowBlank="1" sqref="H1519:K1519">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formula1>
    </dataValidation>
    <dataValidation type="list" allowBlank="1" sqref="H604:K604">
      <formula1>"GetNonTradingTransaction,AddNonTradingTranItem,CreateDoneAwayOrder,GetMarkPriceData,UpdateMarkPrice,GetDayEndCash,GetAccountBalance,GetRevaluationData,CreateDoneAwayOrder1,GetDataClosing1,AutomaticClosing1,GetMarkPriceData2,UpdateMarkPrice2,GetDayEndCash2"&amp;",GetAccountBalance2,GetRevaluationData2,VerifyRevaluationData1,VerifyTradingTransaction1,GetActivityData1,VerifyActivity,OpenSpinOff1,SpinOff1,VerifyAndApplyCorpAction1,GetMarkPriceData4,UpdateMarkPrice3,GetAccountBalance3,GetRevaluationData3,VerifyRevalu"&amp;"ationData2,VerifyTradingTransaction2,GetActivityData2,VerifyActivity2,GetDataClosing2,VerifyLongPositionsGrid,GetDataAllocation1,CheckAllocatedGroups1,Copy of Data 1_conflict1385895076,AddNonTradingTransaction"</formula1>
    </dataValidation>
    <dataValidation type="list" allowBlank="1" sqref="H75:K75">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1,GetActivityData1,VerifyActivity1,GetDataC"&amp;"losing,VerifyLongPositionsGrid,GetDataAllocation,CheckAllocatedGroups"</formula1>
    </dataValidation>
    <dataValidation type="list" allowBlank="1" sqref="H1525:K152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formula1>
    </dataValidation>
    <dataValidation type="list" allowBlank="1" sqref="H1257:K1257">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formula1>
    </dataValidation>
    <dataValidation type="list" allowBlank="1" sqref="F10:F11 F15:F16 F28:F29 F46:F47 F51:F52 F64:F65 F81:F82 F86:F87 F99:F100 F116:F117 F121:F122 F134:F135 F151:F152 F160:F161 F173:F174 F191:F192 F200:F201 F213:F214 F231:F232 F240:F241 F253:F254 F270:F271 F279:F280 F292:F293 F309:F310 F318:F319 F331:F332 F348:F349 F357:F358 F370:F371 F387:F388 F396:F397 F409:F410 F425:F426 F430:F431 F443:F444 F460:F461 F465:F466 F478:F479 F495:F496 F500:F501 F513:F514 F530:F533 F537:F540 F552:F555 F571:F572 F576:F577 F589:F590 F606:F607 F615:F616 F628:F629 F645:F648 F652:F655 F667:F670 F686:F689 F693:F696 F708:F711 F727:F730 F734:F737 F749:F752 F768:F771 F775:F778 F790:F793 F810:F813 F820:F823 F835:F838 F855:F858 F865:F868 F880:F883 F900:F903 F907:F910 F922:F925 F942:F945 F949:F952 F964:F967 F984:F987 F991:F994 F1006:F1009 F1025:F1028 F1035:F1038 F1050:F1053 F1070:F1073 F1080:F1083 F1095:F1098 F1115:F1118 F1122:F1125 F1137:F1140 F1156:F1159 F1163:F1166 F1178:F1181 F1198:F1201 F1205:F1208 F1220:F1223 F1240:F1243 F1250:F1253 F1265:F1268 F1285:F1288 F1295:F1298 F1310:F1313 F1330:F1333 H1333 F1337:F1340 F1352:F1355 F1372:F1375 F1379:F1382 F1394:F1397 F1414:F1417 F1421:F1424 F1436:F1439 F1456:F1459 F1466:F1469 F1481:F1484 F1501:F1504 F1511:F1514 F1526:F1529 F1546:F1549 F1553:F1556 F1568:F1571 F1587:F1590 F1597:F1600 F1612:F1615 F1631:F1634 F1641:F1644 F1656:F1659 F1675:F1678 F1685:F1688 F1700:F1703 F1719:F1722 F1729:F1732 F1744:F1747 F1764:F1767 F1774:F1777 F1789:F1792 F1809:F1812 F1819:F1822 F1834:F1837 F1854:F1857 F1864:F1867 F1879:F1882 F1899:F1902 F1909:F1912 F1924:F1927 F1943:F1946 F1950:F1953 F1965:F1968 F1984:F1987 F1994:F1997 F2009:F2012">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VerifyDailyCash,,,,,,,,,,,,,,,,,,,,,,,,,,,,,,,,,,,,,,,,,,,,,,,,,,,,,,,,,,,,,,,,,,,,,,,,,,,,,,,,,,,,,,,,,,,,,,,,,,,,,,,,,,,,,,,,,,,,,,,,,,,,,,,,,,,,,,,,,,,,,,,,,,,,,,,,,,,,,,,,,,,,,,,,,,,,,,,,,,,,,,,,,,,,,,,,,,,,,,,,,,,,,,,"&amp;",,,,,,,,,,,,,,,,,,,,,,,,,,,,,,,,,,,,,,,,,,,,,,,,,,,,,,,,,,,,,,,,,,,,,,,,,,,,,,,,,,,,,,,,,,,,,,,,,,,,,,,,,,,,,,,,,,,,,,,,,,,,,,,,,,,,,,,,,,,,,,,,,,,,,,,,,,,,,,,,,,,,,,,,,,,,,,,,,,,,,,,,,,,,,,,,,,,,,,,,,,,,,,,,,,,,,,,,,,,,,,,,,,,,,,,,,,,,,,,,,,,,,,,,,,,,,,,"&amp;",,,"</formula1>
    </dataValidation>
    <dataValidation type="list" allowBlank="1" sqref="H9:K9 H17:K17">
      <formula1>"GetNonTradingTransaction,AddNonTradingTransaction,CreateDoneAwayOrder,GetMarkPriceData,UpdateMarkPrice,GetDayEndCash,GetRevaluationData,GetMarkPriceData1,UpdateMarkPrice1"</formula1>
    </dataValidation>
    <dataValidation type="list" allowBlank="1" sqref="H224:K224">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OpenSpinOff,SpinOff,VerifyAndApplyCorpAction,VerifyLongPositionsGrid,VerifyShortPositionsGrid,GetDataAllocation,CheckAllocatedGroups"</formula1>
    </dataValidation>
    <dataValidation type="list" allowBlank="1" sqref="H1130:K1130">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formula1>
    </dataValidation>
    <dataValidation type="list" allowBlank="1" sqref="H1430:K1430 H1562">
      <formula1>"GetNonTradingTransaction,AddNonTradingTransaction,CreateDoneAwayOrder,GetForexConversion,UpdateForexConversion,GetMarkPriceData,UpdateMarkPrice,GetDayEndCash,CalculateDayEndCash,GetAccountBalance,GetRevaluationData,VerifyRevaluationData,VerifyTradingTrans"&amp;"action"</formula1>
    </dataValidation>
    <dataValidation type="list" allowBlank="1" sqref="H355:K355 H394:K394">
      <formula1>"GetNonTradingTransaction,AddNonTradingTransaction,CreateDoneAwayOrder,GetMarkPriceData,UpdateMarkPrice,GetDayEndCash,CalculateDayEndCash,GetAccountBalance,GetRevaluationData,CreateDoneAwayOrder1,GetDataClosing"</formula1>
    </dataValidation>
    <dataValidation type="list" allowBlank="1" sqref="H744:K744">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formula1>
    </dataValidation>
    <dataValidation type="list" allowBlank="1" sqref="H1958:K1958">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formula1>
    </dataValidation>
    <dataValidation type="list" allowBlank="1" sqref="H2003:K2003">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formula1>
    </dataValidation>
    <dataValidation type="list" allowBlank="1" sqref="H1293:K1293">
      <formula1>"GetNonTradingTransaction,AddNonTradingTransaction,AddNonTradingTransaction1,CreateDoneAwayOrder,GetForexConversion,UpdateForexConversion,GetMarkPriceData,UpdateMarkPrice,GetDayEndCash,CalculateDayEndCash,GetAccountBalance,GetDataClosing"</formula1>
    </dataValidation>
    <dataValidation type="list" allowBlank="1" sqref="H1536:K153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VerifyTradingTransaction1,GetActivityData1,VerifyActivity1"</formula1>
    </dataValidation>
    <dataValidation type="list" allowBlank="1" sqref="H480:K485">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formula1>
    </dataValidation>
    <dataValidation type="list" allowBlank="1" sqref="H1258:K1258">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formula1>
    </dataValidation>
    <dataValidation type="list" allowBlank="1" sqref="H666:K668">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formula1>
    </dataValidation>
    <dataValidation type="list" allowBlank="1" sqref="H1308:K1308 H1315:K1316">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VerifyAndApplyCorpAction,GetForexC"&amp;"onversion2,UpdateForexConversion2,GetMarkPriceData2,UpdateMarkPrice2,GetAccountBalance2,GetRevaluationData1,VerifyRevaluationData1,VerifyTradingTransaction1,GetActivityData1,VerifyActivity1,VerifyShortPositionsGrid,GetDataAllocation,GetDataClosing1,SpinOf"&amp;"f"</formula1>
    </dataValidation>
    <dataValidation type="list" allowBlank="1" sqref="H1477:K1477 H1652:K1652 H1696 H1740">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formula1>
    </dataValidation>
    <dataValidation type="list" allowBlank="1" sqref="H819:K823 H864:K869 H871:K871">
      <formula1>"GetNonTradingTransaction,AddNonTradingTransaction,CreateDoneAwayOrder,AddNonTradingTransaction1,GetForexConversion,UpdateForexConversion,GetMarkPriceData,UpdateMarkPrice,GetDayEndCash,CalculateDayEndCash,GetAccountBalance,CreateDoneAwayOrder1,GetDataClosi"&amp;"ng,AutomaticClosing"</formula1>
    </dataValidation>
    <dataValidation type="list" allowBlank="1" sqref="H1350:K1350 H1392">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SpinOff"</formula1>
    </dataValidation>
    <dataValidation type="list" allowBlank="1" sqref="H717:K717">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formula1>
    </dataValidation>
    <dataValidation type="list" allowBlank="1" sqref="D6:D7 D40:D43 D76:D267 D304:D306 D343:D345 D382:D2757">
      <formula1>'_Categories'!$A$4:$A2757</formula1>
    </dataValidation>
    <dataValidation type="list" allowBlank="1" sqref="H977:K977">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VerifyLongPositionsGrid,GetDataAllocation,CheckAllocatedGroups"</formula1>
    </dataValidation>
    <dataValidation type="list" allowBlank="1" sqref="H48:K48 H118:K118 H153:K153 H233:K233 H311:K311 H350:K350 H389:K389 H462:K462 H497:K497 H573:K573">
      <formula1>"GetNonTradingTransaction,AddNonTradingTransaction,CreateDoneAwayOrder,GetMarkPriceData,UpdateMarkPrice,GetDayEndCash"</formula1>
    </dataValidation>
    <dataValidation type="list" allowBlank="1" sqref="H246:K246">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formula1>
    </dataValidation>
    <dataValidation type="list" allowBlank="1" sqref="H695:K695">
      <formula1>"GetNonTradingTransaction,AddNonTradingTransaction,CreateDoneAwayOrder,GetForexConversion,UpdateForexConversion,GetMarkPriceData,UpdateMarkPrice,GetDayEndCash,CalculateDayEndCash,GetAccountBalance,UpdateForexConversion1,GetForexConversion1"</formula1>
    </dataValidation>
    <dataValidation type="list" allowBlank="1" sqref="H1166:K1166">
      <formula1>"GetNonTradingTransaction,AddNonTradingTransaction,Copy of Data,CreateDoneAwayOrder,GetForexConversion,UpdateForexConversion,GetMarkPriceData,UpdateMarkPrice,GetDayEndCash,CalculateDayEndCash,GetAccountBalance,GetForexConversion1,UpdateForexConversion1,Get"&amp;"MarkPriceData1"</formula1>
    </dataValidation>
    <dataValidation type="list" allowBlank="1" sqref="H1062:K1062">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1,GetForexConversion2"&amp;",UpdateForexConversion2,GetMarkPriceData2,UpdateMarkPrice2,GetAccountBalance2,GetRevaluationData1,VerifyRevaluationData1,VerifyTradingTransaction1,GetActivityData1,VerifyActivity1,GetDataClosing,VerifyLongPositionsGrid,GetDataAllocation"</formula1>
    </dataValidation>
    <dataValidation type="list" allowBlank="1" sqref="H417:K417">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UpdateMarkPrice2,GetAccountBalance2,GetRevaluationDat"&amp;"a2,VerifyRevaluationData1,VerifyTradingTransaction1,GetActivityData1,VerifyActivity1"</formula1>
    </dataValidation>
    <dataValidation type="list" allowBlank="1" sqref="H1230:K1230">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3_conflict2145686302,VerifyAndApplyCorpAction,GetForexConversion2,UpdateForexConversion2,GetMarkPriceData2,UpdateMarkPrice2,GetDataClosing"</formula1>
    </dataValidation>
    <dataValidation type="list" allowBlank="1" sqref="H1070:K1070">
      <formula1>"GetNonTradingTransaction,AddNonTradingTransaction,crea,CreateDoneAwayOrder,GetForexConversion"</formula1>
    </dataValidation>
    <dataValidation type="list" allowBlank="1" sqref="H1349:K1349 H1391">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SpinOff,Exchange,OpenSpinOff"</formula1>
    </dataValidation>
    <dataValidation type="list" allowBlank="1" sqref="H356:K358 H395:K396">
      <formula1>"GetNonTradingTransaction,AddNonTradingTransaction,CreateDoneAwayOrder,GetMarkPriceData,UpdateMarkPrice,GetDayEndCash,CalculateDayEndCash,GetAccountBalance,GetRevaluationData,CreateDoneAwayOrder1,GetDataClosing,AutomaticClosing"</formula1>
    </dataValidation>
    <dataValidation type="list" allowBlank="1" sqref="H1669:K1669 H1713 H1757:H1758 H1760:H1803 H1805:H1844 H1846:H1848 H1850:H1889 H1891:H1893 H1895:H1938 H1979 H2023:H2757">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VerifyShortPositionsGrid,GetDataAllocation,CheckAllocatedGroups"</formula1>
    </dataValidation>
    <dataValidation type="list" allowBlank="1" sqref="H330:K332">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formula1>
    </dataValidation>
    <dataValidation type="list" allowBlank="1" sqref="H1527:K1527">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formula1>
    </dataValidation>
    <dataValidation type="list" allowBlank="1" sqref="H957:K957">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formula1>
    </dataValidation>
    <dataValidation type="list" allowBlank="1" sqref="H649:K649 H690:K690 H731:K731 H946:K946 H1334:K1334 H1376 H1383 H1418:K1418 H1460:K1460 H1505:K1505 H1550 H1591:K1591 H1635:K1635 H1679 H1723 H1947:K1947">
      <formula1>"GetNonTradingTransaction,AddNonTradingTransaction,CreateDoneAwayOrder,GetForexConversion,UpdateForexConversion,GetMarkPriceData,UpdateMarkPrice,GetDayEndCash"</formula1>
    </dataValidation>
    <dataValidation type="list" allowBlank="1" sqref="H638:K638">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GetRevaluationData2,VerifyRevaluationData1,VerifyTradingTransaction1,GetActivityData1,VerifyActivity1,Verify"&amp;"ShortPositionsGrid,GetDataAllocation"</formula1>
    </dataValidation>
    <dataValidation type="list" allowBlank="1" sqref="H1188:K1188">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3,GetForexConversio"&amp;"n2,UpdateForexConversion2,GetMarkPriceData2,UpdateMarkPrice2,GetAccountBalance2,GetRevaluationData1,VerifyRevaluationData1,VerifyTradingTransaction1,GetActivityData1,VerifyActivity1,GetDataClosing"</formula1>
    </dataValidation>
    <dataValidation type="list" allowBlank="1" sqref="H249:K249">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formula1>
    </dataValidation>
    <dataValidation type="list" allowBlank="1" sqref="H626:K626">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formula1>
    </dataValidation>
    <dataValidation type="list" allowBlank="1" sqref="H1103:K1103">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Data,SpinOff,VerifyAndApplyCorpAction,GetForexConversion2,UpdateForexConversion2,GetMarkPriceD"&amp;"ata2,UpdateMarkPrice2,GetAccountBalance2,GetRevaluationData1,VerifyRevaluationData1,VerifyTradingTransaction1"</formula1>
    </dataValidation>
    <dataValidation type="list" allowBlank="1" sqref="H1278:K1278">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GetForexConversion2,UpdateForexConversion2,GetMarkPriceData2,UpdateMarkPrice2,GetAccountBalance2,GetRevaluationData1,VerifyRevaluationData1,VerifyTradingTransaction1,GetActivityData1,VerifyActivity1,VerifyShortPositionsGrid,GetDataClosi"&amp;"ng1,GetDataAllocation,CheckAllocatedGroups"</formula1>
    </dataValidation>
    <dataValidation type="list" allowBlank="1" sqref="H1432:K1432 H1564">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formula1>
    </dataValidation>
    <dataValidation type="list" allowBlank="1" sqref="H452:K452">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Veri"&amp;"fyActivity1,GetDataClosing,CheckAllocatedGroups,GetDataAllocation,VerifyLongPositionsGrid"</formula1>
    </dataValidation>
    <dataValidation type="list" allowBlank="1" sqref="H2000:K2000">
      <formula1>"GetNonTradingTransaction,AddNonTradingTransaction,CreateDoneAwayOrder,GetFo,GetForexConversion,U,UpdateForexConversion,GetMarkPriceData,UpdateMarkPrice,GetDayEndCash,CalculateDayEndCash,GetAccountBalance,C,GetDataClosing,AutomaticClosing,G"</formula1>
    </dataValidation>
    <dataValidation type="list" allowBlank="1" sqref="H1039:K1039">
      <formula1>"GetNonTradingTransaction,AddNonTradingTransaction,CreateDoneAwayOrder,GetForexConversion,upda,UpdateForexConversion,GetMarkPriceData,UpdateMarkPrice,GetDayEndCash,CalculateDayEndCash,GetAccountBalance,GetForexConversion1,UpdateForexConversion1,GetMarkPric"&amp;"eData1,UpdateMarkPrice1"</formula1>
    </dataValidation>
    <dataValidation type="list" allowBlank="1" sqref="H320:K320">
      <formula1>"GetNonTradingTransaction,AddNonTradingTransaction,CreateDoneAwayOrder,GetMarkPriceData,UpdateMarkPrice,GetDayEndCash,CalculateDayEndCash,GetAccountBalance,GetRevaluationData,GetDataClosing,AutomaticClosing,GetMarkPriceData1,UpdateMarkPrice1"</formula1>
    </dataValidation>
    <dataValidation type="list" allowBlank="1" sqref="H1131:K1131">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formula1>
    </dataValidation>
    <dataValidation type="list" allowBlank="1" sqref="H607:K607">
      <formula1>"GetNonTradingTransaction,AddNonTradingTranItem,CreateDoneAwayOrder,GetMarkPriceData,UpdateMarkPrice"</formula1>
    </dataValidation>
    <dataValidation type="list" allowBlank="1" sqref="H890:K890">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GetForexConversion2,UpdateForexConversion2,GetMarkPriceData2,UpdateMarkPrice2,GetAccountBalance2,GetRevaluationData1,VerifyRevaluationData1,VerifyTradingTransaction1,GetActivityData1,VerifyActivity1"</formula1>
    </dataValidation>
    <dataValidation type="list" allowBlank="1" sqref="H644:K644 H724:K724 H726:K726 H765:K765 H1148:K1148">
      <formula1>"GetNonTradingTransaction,AddNonTradingTransaction,CreateDoneAwayOrder,GetForexConversion,UpdateForexConversion,GetMarkPriceData,UpdateMarkPrice,GetDayEndCash,GetAccountBalance,GetForexConversion1,UpdateForexConversion1,GetMarkPriceData1,UpdateMarkPrice1,G"&amp;"etDayEndCash1,GetAccountBalance1,GetRevaluationData,VerifyRevaluationData,VerifyTradingTransaction,GetActivityData,VerifyActivity,OpenSpinOff,SpinOff,VerifyAndApplyCorpAction,GetForexConversion2,UpdateForexConversion2,GetMarkPriceData2,UpdateMarkPrice2,Ge"&amp;"tAccountBalance2,GetRevaluationData1,VerifyRevaluationData1,VerifyTradingTransaction1,GetActivityData1,VerifyActivity1,GetDataClosing,VerifyShortPositionsGrid,GetDataAllocation,CheckAllocatedGroups"</formula1>
    </dataValidation>
    <dataValidation type="list" allowBlank="1" sqref="H980:K980 H990:K991 I1333:K1333 I1383:K1383">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VerifyShortPositionsGrid,GetDataAllocation,CheckAllocatedGroups"</formula1>
    </dataValidation>
    <dataValidation type="list" allowBlank="1" sqref="H1231:K1231">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3_conflict2145686302,VerifyAndApplyCorpAction,GetForexConversion2,UpdateForexConversion2,GetMarkPriceData2,UpdateMarkPrice2,GetDataClosing,GetAccountBalance2,VerifyShortPositionsGrid"</formula1>
    </dataValidation>
    <dataValidation type="list" allowBlank="1" sqref="H1023:K1024 H1026:K1026 H1043:K1043 H1453:K1453 H1455:K1455 H1473:K1475 H1493:K149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GetDataClosing1,VerifyLongPositionsGrid,GetDataAllocation,CheckAllocatedGroups"</formula1>
    </dataValidation>
    <dataValidation type="list" allowBlank="1" sqref="H608:K608">
      <formula1>"GetNonTradingTransaction,AddNonTradingTranItem,CreateDoneAwayOrder,GetMarkPriceData,UpdateMarkPrice,GetDayEndCash"</formula1>
    </dataValidation>
    <dataValidation type="list" allowBlank="1" sqref="H788:K788">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formula1>
    </dataValidation>
    <dataValidation type="list" allowBlank="1" sqref="H427:K427">
      <formula1>"GetNonTradingTransaction,AddNonTradingTransaction,CreateDoneAwayOrder,GetMarkPriceData,UpdateMarkPrice,GetDayEndCash,CalculateDayEndCash"</formula1>
    </dataValidation>
    <dataValidation type="list" allowBlank="1" sqref="H1317:K1319">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Data_conflict1608299007,VerifyTradingTransaction,GetActivityData,VerifyActivity,OpenSpinOff,C"&amp;"opy of Data 1_conflict1707829659,VerifyAndApplyCorpAction,GetForexConversion2,UpdateForexConversion2,GetMarkPriceData2,UpdateMarkPrice2,GetAccountBalance2,GetRevaluationData"</formula1>
    </dataValidation>
    <dataValidation type="list" allowBlank="1" sqref="H960:K960">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formula1>
    </dataValidation>
    <dataValidation type="list" allowBlank="1" sqref="H1177:K1177">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formula1>
    </dataValidation>
    <dataValidation type="list" allowBlank="1" sqref="H97:K97">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formula1>
    </dataValidation>
    <dataValidation type="list" allowBlank="1" sqref="H696:K696">
      <formula1>"GetNonTradingTransaction,AddNonTradingTransaction,CreateDoneAwayOrder,GetForexConversion,UpdateForexConversion,GetMarkPriceData,UpdateMarkPrice,GetDayEndCash,CalculateDayEndCash,GetAccountBalance,UpdateForexConversion1,GetForexConversion1,GetMarkPriceData"&amp;"1"</formula1>
    </dataValidation>
    <dataValidation type="list" allowBlank="1" sqref="H1142:K1142">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formula1>
    </dataValidation>
    <dataValidation type="list" allowBlank="1" sqref="H1845:K1845 H1890">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SpinOff,VerifyAndApplyCorpAction,G"&amp;"etForexConversion2,UpdateForexConversion2,GetMarkPriceData2,UpdateMarkPrice2,GetAccountBalance2,GetRevaluationData1,Copy of Data,VerifyRevaluationData1,VerifyTradingTransaction1,GetActivityData1,GetDataClosing1,VerifyActivity1,VerifyLongPositionsGrid"</formula1>
    </dataValidation>
    <dataValidation type="list" allowBlank="1" sqref="H1482:K1482">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formula1>
    </dataValidation>
    <dataValidation type="list" allowBlank="1" sqref="H104:K104">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formula1>
    </dataValidation>
    <dataValidation type="list" allowBlank="1" sqref="H1615:K1615">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GetAcco"&amp;"untBalance2,GetRevaluationData1,VerifyRevaluationData1,VerifyTradingTransaction1,VerifyActivity1,GetDataClosing1,VerifyLongPositionsGrid,GetDataAllocation,CheckAllocatedGroups,Copy of Data,Copy of Data 1,UpdateForexConversion2,Copy of Data 2,Copy of Data "&amp;"3"</formula1>
    </dataValidation>
    <dataValidation type="list" allowBlank="1" sqref="H1633:K1633 H1677 H1721">
      <formula1>"GetNonTradingTransaction,AddNonTradingTransaction,CreateDoneAwayOrder,GetForexConversion,UpdateForwardPoints,UpdateForexConversion,GetMarkPriceData"</formula1>
    </dataValidation>
    <dataValidation type="list" allowBlank="1" sqref="H762:K762">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GetForexConversion2,GetMarkPriceData2,UpdateForexConversion2,UpdateMarkPric"&amp;"e2,GetAccountBalance2,GetRevaluationData1,VerifyRevaluationData1,VerifyTradingTransaction1,GetActivityData1,VerifyActivity1,GetDataClosing,VerifyShortPositionsGrid,GetDataAllocation,CheckAllocatedGroups"</formula1>
    </dataValidation>
    <dataValidation type="list" allowBlank="1" sqref="H920:K920 H922:K922">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formula1>
    </dataValidation>
    <dataValidation type="list" allowBlank="1" sqref="H436:K436 H506:K506 H582:K582">
      <formula1>"GetNonTradingTransaction,AddNonTradingTransaction,CreateDoneAwayOrder,GetMarkPriceData,UpdateMarkPrice,GetDayEndCash,CalculateDayEndCash,GetAccountBalance,GetMarkPriceData1,UpdateMarkPrice1,GetDayEndCash1,GetAccountBalance1,GetRevaluationData,VerifyRevalu"&amp;"ationData"</formula1>
    </dataValidation>
    <dataValidation type="list" allowBlank="1" sqref="H658:K658 H955:K955">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formula1>
    </dataValidation>
    <dataValidation type="list" allowBlank="1" sqref="H1299:K1299 H1301:K1301">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formula1>
    </dataValidation>
    <dataValidation type="list" allowBlank="1" sqref="H1076:K1076 H1080:K1080">
      <formula1>"GetNonTradingTransaction,AddNonTradingTransaction,crea,CreateDoneAwayOrder,GetForexConversion,upda,UpdateForexConversion,GetMarkPriceData,UpdateMarkPrice,GetDayEndCash,CalculateDayEndCash,GetAccountBalance"</formula1>
    </dataValidation>
    <dataValidation type="list" allowBlank="1" sqref="H336:K336">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UpdateMarkPrice2,GetAccountBalance2,GetRevaluationData2"</formula1>
    </dataValidation>
    <dataValidation type="list" allowBlank="1" sqref="H619:K619">
      <formula1>"GetDataClosing,AutomaticClosing,GetMarkPriceData,GetMarkPriceData1,UpdateMarkPrice,UpdateMarkPrice1,GetDayEndCash,GetDayEndCash1,CalculateDayEndCash,GetAccountBalance"</formula1>
    </dataValidation>
    <dataValidation type="list" allowBlank="1" sqref="H1115:K1115">
      <formula1>"GetNonTradingTransaction,AddNonTradingTransaction,c,CreateDoneAwayOrder,get,GetForexConversion"</formula1>
    </dataValidation>
    <dataValidation type="list" allowBlank="1" sqref="H811:K811 H856:K856 H1241:K1241">
      <formula1>"GetNonTradingTransaction,AddNonTradingTransaction,CreateDoneAwayOrder,AddNonTradingTransaction1,GetForexConversion,UpdateForexConversion"</formula1>
    </dataValidation>
    <dataValidation type="list" allowBlank="1" sqref="H92:K92">
      <formula1>"Copy of Data,GetNonTradingTransaction,AddNonTradingTransaction,CreateDoneAwayOrder,GetMarkPriceData,UpdateMarkPrice,GetDayEndCash,CalculateDayEndCash,GetAccountBalance,GetMarkPriceData1,UpdateMarkPrice1,GetDayEndCash1,GetAccountBalance1,GetRevaluationData"&amp;",VerifyRevaluationData"</formula1>
    </dataValidation>
    <dataValidation type="list" allowBlank="1" sqref="H1096:K1096">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formula1>
    </dataValidation>
    <dataValidation type="list" allowBlank="1" sqref="H550:K550">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formula1>
    </dataValidation>
    <dataValidation type="list" allowBlank="1" sqref="H1135:K1135">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formula1>
    </dataValidation>
    <dataValidation type="list" allowBlank="1" sqref="H403:K403">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formula1>
    </dataValidation>
    <dataValidation type="list" allowBlank="1" sqref="H645:K645 H686:K686 H727:K727 H900:K900 H942:K942 H1025:K1025 H1330:K1330 H1372 H1414:K1414 H1456:K1456 H1501:K1501 H1546 H1587:K1587 H1631:K1631 H1675 H1719 H1943:K1943">
      <formula1>"GetNonTradingTransaction,AddNonTradingTransaction,CreateDoneAwayOrder,GetForexConversion"</formula1>
    </dataValidation>
    <dataValidation type="list" allowBlank="1" sqref="H534:K534">
      <formula1>"GetNonTradingTransaction,AddNonTradingTransaction,CreateDoneAwayOrder,GetMarkPriceData,UpdateMarkPrice,GetForexConversion,UpdateForexConversion,GetDayEndCash"</formula1>
    </dataValidation>
    <dataValidation type="list" allowBlank="1" sqref="H921:K921 H923:K925">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formula1>
    </dataValidation>
    <dataValidation type="list" allowBlank="1" sqref="H1209:K1209">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2_conflict174752477,GetForexConversion,UpdateForexConversion,AddNonTradingTransaction1,GetMarkPriceData,UpdateMarkPrice,GetDayEnd"&amp;"Cash,CalculateDayEndCash,GetAccountBalance,GetForexConversion1,UpdateForexConversion1,GetMarkPriceData1,Copy of Data 3"</formula1>
    </dataValidation>
    <dataValidation type="list" allowBlank="1" sqref="H659:K659">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formula1>
    </dataValidation>
    <dataValidation type="list" allowBlank="1" sqref="H38:K38">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VerifyTradingTransaction2,GetActivityData1,VerifyActivity1,GetDataClosing,VerifyShortPo"&amp;"sitionsGrid,Copy of Data_conflict1242865907,GetDataAllocation"</formula1>
    </dataValidation>
    <dataValidation type="list" allowBlank="1" sqref="H133:K134">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formula1>
    </dataValidation>
    <dataValidation type="list" allowBlank="1" sqref="H782:K782">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formula1>
    </dataValidation>
    <dataValidation type="list" allowBlank="1" sqref="H538:K538">
      <formula1>"GetNonTradingTransaction,AddNonTradingTransaction,CreateDoneAwayOrder,GetMarkPriceData,UpdateMarkPrice,GetForexConversion,UpdateForexConversion,GetDayEndCash,CalculateDayEndCash,GetAccountDetails,GetAccountBalance,GetMarkPriceData1,UpdateMarkPrice1,GetFor"&amp;"exConversion1"</formula1>
    </dataValidation>
    <dataValidation type="list" allowBlank="1" sqref="H824:K824">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formula1>
    </dataValidation>
    <dataValidation type="list" allowBlank="1" sqref="H1004:K1004">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formula1>
    </dataValidation>
    <dataValidation type="list" allowBlank="1" sqref="H1097:K1097">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formula1>
    </dataValidation>
    <dataValidation type="list" allowBlank="1" sqref="H564:K564">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VerifyRevaluationData1,VerifyTradingTransaction1,GetActivityData1,VerifyActivity1,GetDataClosing,VerifyLongPositionsGrid,GetDataAllocation"</formula1>
    </dataValidation>
    <dataValidation type="list" allowBlank="1" sqref="H129:K129">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formula1>
    </dataValidation>
    <dataValidation type="list" allowBlank="1" sqref="H1033:K1033">
      <formula1>"GetNonTradingTransaction,AddNonTradingTransaction,CreateDoneAwayOrder,GetForexConversion,UpdateForexConversion,GetMarkPriceData,UpdateMarkPrice,GetDayEndCash,GetAccountBalance,CreateDoneAwayOrder1,GetForexConversion1,UpdateForexConversion1,GetMarkPriceDat"&amp;"a1,UpdateMarkPrice1,GetDayEndCash1,GetAccountBalance1,GetRevaluationData,VerifyRevaluationData,VerifyTradingTransaction,GetActivityData,VerifyActivity,OpenSpinOff,SpinOff,VerifyAndApplyCorpAction,GetForexConversion2,UpdateForexConversion2,GetMarkPriceData"&amp;"2,UpdateMarkPrice2,GetAccountBalance2,GetRevaluationData1,VerifyRevaluationData1,VerifyTradingTransaction1,GetActivityData1,VerifyActivity1,GetDataClosing,VerifyLongPositionsGrid,GetDataAllocation,CheckAllocatedGroups"</formula1>
    </dataValidation>
    <dataValidation type="list" allowBlank="1" sqref="H171:K171">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OpenSpinOff,SpinOff"</formula1>
    </dataValidation>
    <dataValidation type="list" allowBlank="1" sqref="H983:K983 H1284:K1284">
      <formula1>"GetNonTradingTransaction,AddNonTradingTransaction,AddNonTradingTransaction1,CreateDoneAwayOrder"</formula1>
    </dataValidation>
    <dataValidation type="list" allowBlank="1" sqref="H359:K359 H398:K398">
      <formula1>"GetNonTradingTransaction,AddNonTradingTransaction,CreateDoneAwayOrder,GetMarkPriceData,UpdateMarkPrice,GetDayEndCash,CalculateDayEndCash,GetAccountBalance,GetRevaluationData,CreateDoneAwayOrder1,GetDataClosing,AutomaticClosing,GetMarkPriceData1,UpdateMark"&amp;"Price1"</formula1>
    </dataValidation>
    <dataValidation type="list" allowBlank="1" sqref="H261:K261">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Verif"&amp;"yRevaluationData1,VerifyTradingTransaction1,GetActivityData1,VerifyActivity1"</formula1>
    </dataValidation>
    <dataValidation type="list" allowBlank="1" sqref="H1264:K1268">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formula1>
    </dataValidation>
    <dataValidation type="list" allowBlank="1" sqref="H1322:K1322">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Data_conflict1608299007,VerifyTradingTransaction,GetActivityData,VerifyActivity,OpenSpinOff,C"&amp;"opy of Data 1_conflict1707829659,VerifyAndApplyCorpAction,GetForexConversion2,UpdateForexConversion2,GetMarkPriceData2,UpdateMarkPrice2,GetAccountBalance2,GetRevaluationData,GetRevaluationData1,VerifyRevaluationData1,VerifyTradingTransaction1,GetActivityD"&amp;"ata1,VerifyActivity1,VerifyShortPositionsGrid,GetDataAllocation,Copy of Data 1_conflict1580681979"</formula1>
    </dataValidation>
    <dataValidation type="list" allowBlank="1" sqref="H196:K197">
      <formula1>"Copy of Data,GetNonTradingTransaction,AddNonTradingTransaction,CreateDoneAwayOrder,GetMarkPriceData,UpdateMarkPrice,GetDayEndCash,CalculateDayEndCash,GetAccountBalance,GetRevaluationData"</formula1>
    </dataValidation>
    <dataValidation type="list" allowBlank="1" sqref="H1201:K1201">
      <formula1>"GetNonTradingTransaction,AddNonTradingTransaction,CreateDoneAwayOrder,Copy of Data,Copy of Data 1,Copy of Data 2,Copy of Data 2_conflict174752477,GetForexConversion,UpdateForexConversion,AddNonTradingTransaction1,GetMarkPriceData,UpdateMarkPrice"</formula1>
    </dataValidation>
    <dataValidation type="list" allowBlank="1" sqref="H769:K769">
      <formula1>"GetNonTradingTransaction,AddNonTradingTransaction,CreateDoneAwayOrder,get,GetForexConversion,UpdateForexConversion"</formula1>
    </dataValidation>
    <dataValidation type="list" allowBlank="1" sqref="H915:K915">
      <formula1>"GetNonTradingTransaction,AddNonTradingTransaction,CreateDoneAwayOrder,GetForexConversion,UpdateDailyCash,UpdateForexConversion,GetMarkPriceData,UpdateMarkPrice,GetDayEndCash,CalculateDayEndCash,GetAccountBalance,GetRevaluationData,VerifyRevaluationData"</formula1>
    </dataValidation>
    <dataValidation type="list" allowBlank="1" sqref="H878:K878">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formula1>
    </dataValidation>
    <dataValidation type="list" allowBlank="1" sqref="F1077 F1500 F1508 F1586 F1594 F1630 F1638 F1674 F1682 F1718 F1726 F1763 F1771 F1808 F1816 F1853 F1861 F1898 F1906 F1942 F1983 F1991">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UpdateMasterFundOnTT,,,,,,,,,,,,,,,,,,,,,,,,,,,,,,,,,,,,,,,,,,,,,,,,,,,,,,,,,,,,,,,,,,,,,,,,,,,,,,,,,,,,,,,,,,,,,,,,,,,,,,,,,,,,,,,,,,,,,,,,,,,,,,,,,,,,,,,,,,,,,,,,,,,,,,,,,,,,,,,,,,,,,,,,,,,,,,,,,,,,,,,,,,,,,,,,,,,,,,,"&amp;",,,,,,,,,,,,,,,,,,,,,,,,,,,,,,,,,,,,,,,,,,,,,,,,,,,,,,,,,,,,,,,,,,,,,,,,,,,,,,,,,,,,,,,,,,,,,,,,,,,,,,,,,,,,,,,,,,,,,,,,,,,,,,,,,,,,,,,,,,,,,,,,,,,,,,,,,,,,,,,,,,,,,,,,,,,,,,,,,,,,,,,,,,,,,,,,,,,,,,,,,,,,,,,,,,,,,,,,,,,,,,,,,,,,,,,,,,,,,,,,,,,,,,,,,,,,,,,"&amp;",,,,,,,,,,,,,,,,,,,,,,,,,"</formula1>
    </dataValidation>
    <dataValidation type="list" allowBlank="1" sqref="H1480:K1481 H1656:K1659 H1700:H1703 H1744:H1747">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formula1>
    </dataValidation>
    <dataValidation type="list" allowBlank="1" sqref="H1189:K1189">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3,GetForexConversio"&amp;"n2,UpdateForexConversion2,GetMarkPriceData2,UpdateMarkPrice2,GetAccountBalance2,GetRevaluationData1,VerifyRevaluationData1,VerifyTradingTransaction1,GetActivityData1,VerifyActivity1,GetDataClosing,VerifyLongPositionsGrid"</formula1>
    </dataValidation>
    <dataValidation type="list" allowBlank="1" sqref="H342:K342">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UpdateMarkPrice2,GetAccountBalance2,GetRevaluationData2,VerifyRevaluationD"&amp;"ata1,VerifyTradingTransaction1,GetActivityData1,VerifyActivity1,VerifyLongPositionsGrid,GetDataClosing1,GetDataAllocation,CheckAllocatedGroups"</formula1>
    </dataValidation>
    <dataValidation type="list" allowBlank="1" sqref="H222:K222">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OpenSpinOff,SpinOff,VerifyAndApplyCorpAction,VerifyLongPositionsGrid"</formula1>
    </dataValidation>
    <dataValidation type="list" allowBlank="1" sqref="H362:K362 H401:K401">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formula1>
    </dataValidation>
    <dataValidation type="list" allowBlank="1" sqref="H715:K715">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formula1>
    </dataValidation>
    <dataValidation type="list" allowBlank="1" sqref="H1218:K1218">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formula1>
    </dataValidation>
    <dataValidation type="list" allowBlank="1" sqref="H251:K251">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formula1>
    </dataValidation>
    <dataValidation type="list" allowBlank="1" sqref="H143:K143">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VerifyTradingTransaction1,GetActivityData"&amp;"1,VerifyActivity1,GetDataClosing,VerifyShortPositionsGrid"</formula1>
    </dataValidation>
    <dataValidation type="list" allowBlank="1" sqref="H123:K123">
      <formula1>"GetNonTradingTransaction,AddNonTradingTransaction,CreateDoneAwayOrder,GetMarkPriceData,UpdateMarkPrice,GetDayEndCash,CalculateDayEndCash,GetAccountBalance,GetMarkPriceData1,UpdateMarkPrice1,get"</formula1>
    </dataValidation>
    <dataValidation type="list" allowBlank="1" sqref="H833:K833">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formula1>
    </dataValidation>
    <dataValidation type="list" allowBlank="1" sqref="H8:K8 H44:K44 H114:K114 H149:K149 H228:K229 H307:K307 H346:K346 H385:K385 H423:K423 H458:K458 H493:K493 H528:K528 H569:K569 H643:K643 H684:K684 H725:K725 H766:K766 H807:K807 H852:K853 H897:K898 H939:K940 H981:K982 H1068:K1068 H1113:K1113 H1154:K1154 H1195:K1196 H1237:K1238 H1282:K1283 H1327:K1327 H1411:K1412 H1454:K1454 H1585:K1585 H1629:K1629 H1673 H1717 H1941:K1941 H1982:K1982">
      <formula1>"GetNonTradingTransaction,AddNonTradingTransaction"</formula1>
    </dataValidation>
    <dataValidation type="list" allowBlank="1" sqref="H536:K536 H539:K539">
      <formula1>"GetNonTradingTransaction,AddNonTradingTransaction,CreateDoneAwayOrder,GetMarkPriceData,UpdateMarkPrice,GetForexConversion,UpdateForexConversion,GetDayEndCash,CalculateDayEndCash,GetAccountDetails,GetAccountBalance"</formula1>
    </dataValidation>
    <dataValidation type="list" allowBlank="1" sqref="H22:K22 H58:K58">
      <formula1>"GetNonTradingTransaction,AddNonTradingTransaction,CreateDoneAwayOrder,GetMarkPriceData,UpdateMarkPrice,GetDayEndCash,GetAccountBalance,GetMarkPriceData1,UpdateMarkPrice1,GetDayEndCash1,GetAccountBalance1,GetRevaluationData,VerifyRevaluationData,VerifyTrad"&amp;"ingTransaction"</formula1>
    </dataValidation>
    <dataValidation type="list" allowBlank="1" sqref="H475:K475">
      <formula1>"GetNonTradingTransaction,AddNonTradingTransaction,CreateDoneAwayOrder,GetMarkPriceData,UpdateMarkPrice,GetDayEndCash,CalculateDayEndCash,GetAccountBalance,GetAccountDetails,GetRevaluationData,VerifyRevaluationData,VerifyTradingTransaction,GetActivityData,"&amp;"VerifyActivity,OpenSpinOff"</formula1>
    </dataValidation>
    <dataValidation type="list" allowBlank="1" sqref="H839:K839">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GetForexConversion2,UpdateForexConversion2,GetMarkPriceData2,UpdateMarkPrice2"</formula1>
    </dataValidation>
    <dataValidation type="list" allowBlank="1" sqref="E6:E2757">
      <formula1>'_Modules'!$A$4:$A2757</formula1>
    </dataValidation>
    <dataValidation type="list" allowBlank="1" sqref="H365:K365">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formula1>
    </dataValidation>
    <dataValidation type="list" allowBlank="1" sqref="H410:K411">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formula1>
    </dataValidation>
    <dataValidation type="list" allowBlank="1" sqref="I1447:K1447">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VerifyShortPositionsGrid,GetDataAllocation,CheckAllocatedGroups,VerifyLongPositionsGrid"</formula1>
    </dataValidation>
    <dataValidation type="list" allowBlank="1" sqref="H260:K260">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Verif"&amp;"yRevaluationData1,VerifyTradingTransaction1"</formula1>
    </dataValidation>
    <dataValidation type="list" allowBlank="1" sqref="H1961:K1961">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formula1>
    </dataValidation>
    <dataValidation type="list" allowBlank="1" sqref="H81:K81 H191:K191">
      <formula1>"Copy of Data,GetNonTradingTransaction,AddNonTradingTransaction,CreateDoneAwayOrder,GetMarkPriceData"</formula1>
    </dataValidation>
    <dataValidation type="list" allowBlank="1" sqref="H376:K377">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VerifyRevaluationData1,VerifyTradingTransaction1"</formula1>
    </dataValidation>
    <dataValidation type="list" allowBlank="1" sqref="H367:K367">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formula1>
    </dataValidation>
    <dataValidation type="list" allowBlank="1" sqref="H664:K664">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formula1>
    </dataValidation>
    <dataValidation type="list" allowBlank="1" sqref="H986:K986 H1287:K1287">
      <formula1>"GetNonTradingTransaction,AddNonTradingTransaction,AddNonTradingTransaction1,CreateDoneAwayOrder,GetForexConversion,UpdateForexConversion,GetMarkPriceData"</formula1>
    </dataValidation>
    <dataValidation type="list" allowBlank="1" sqref="H1001:K1001">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GetMarkPriceData2,UpdateMarkPrice2"&amp;",GetAccountBalance2,GetRevaluationData1,VerifyRevaluationData1,VerifyTradingTransaction1,GetDataClosing,GetActivityData1,VerifyActivity1,VerifyShortPositionsGrid,GetDataAllocation,CheckAllocatedGroups"</formula1>
    </dataValidation>
    <dataValidation type="list" allowBlank="1" sqref="H439:K439 H509:K509 H585:K585">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formula1>
    </dataValidation>
    <dataValidation type="list" allowBlank="1" sqref="H1060:K1060">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1,GetForexConversion2"&amp;",UpdateForexConversion2,GetMarkPriceData2,UpdateMarkPrice2,GetAccountBalance2,GetRevaluationData1,VerifyRevaluationData1,VerifyTradingTransaction1,GetActivityData1,VerifyActivity1,GetDataClosing"</formula1>
    </dataValidation>
    <dataValidation type="list" allowBlank="1" sqref="H25:K25 H61:K61">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formula1>
    </dataValidation>
    <dataValidation type="list" allowBlank="1" sqref="H46:K46 H116:K116 H151:K151 H231:K231 H309:K309 H348:K348 H387:K387 H425:K425 H460:K460 H495:K495 H532:K532 H571:K571">
      <formula1>"GetNonTradingTransaction,AddNonTradingTransaction,CreateDoneAwayOrder,GetMarkPriceData"</formula1>
    </dataValidation>
    <dataValidation type="list" allowBlank="1" sqref="H1363:K1363 H1405">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VerifyShortPositionsGrid"</formula1>
    </dataValidation>
    <dataValidation type="list" allowBlank="1" sqref="H918:K918">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formula1>
    </dataValidation>
    <dataValidation type="list" allowBlank="1" sqref="H1146:K1146">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GetRevaluationData1,VerifyRevaluationData1,VerifyTradingTransaction1,GetActivityData1"</formula1>
    </dataValidation>
    <dataValidation type="list" allowBlank="1" sqref="H1336:K1338 H1378:H1380 H1462:K1463 H1507:K1508 H1638:K1638 H1682 H1726">
      <formula1>"GetNonTradingTransaction,AddNonTradingTransaction,CreateDoneAwayOrder,GetForexConversion,UpdateForexConversion,GetMarkPriceData,UpdateMarkPrice,GetDayEndCash,GetAccountBalance"</formula1>
    </dataValidation>
    <dataValidation type="list" allowBlank="1" sqref="H547:K547">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formula1>
    </dataValidation>
    <dataValidation type="list" allowBlank="1" sqref="H130:K130">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formula1>
    </dataValidation>
    <dataValidation type="list" allowBlank="1" sqref="H1446:K1446 H1578">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SpinOff,OpenSpinOff,VerifyAndApplyCorpAction,GetDataClosing"</formula1>
    </dataValidation>
    <dataValidation type="list" allowBlank="1" sqref="H998:K998">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formula1>
    </dataValidation>
    <dataValidation type="list" allowBlank="1" sqref="H270:K270">
      <formula1>"get,GetNonTradingTransaction,AddNonTradingTransaction,CreateDoneAwayOrder,GetMarkPriceData"</formula1>
    </dataValidation>
    <dataValidation type="list" allowBlank="1" sqref="H1089:K1089">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formula1>
    </dataValidation>
    <dataValidation type="list" allowBlank="1" sqref="H845:K845">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GetForexConversion2,UpdateForexConversion2,GetMarkPriceData2,UpdateMarkPrice2,GetAccountBalance2,GetRevaluationData1,VerifyRevaluationData1,Copy of Data_conflict1714295428,VerifyActivity1"</formula1>
    </dataValidation>
    <dataValidation type="list" allowBlank="1" sqref="H23:K23">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2,GetActivityData1,VerifyActivity1,GetDataC"&amp;"losing,VerifyShortPositionsGrid,GetDataAllocation,CheckAllocatedGroups"</formula1>
    </dataValidation>
    <dataValidation type="list" allowBlank="1" sqref="H902:K902">
      <formula1>"GetNonTradingTransaction,AddNonTradingTransaction,CreateDoneAwayOrder,GetForexConversion,UpdateDailyCash,UpdateForexConversion,GetMarkPriceData"</formula1>
    </dataValidation>
    <dataValidation type="list" allowBlank="1" sqref="H1362:K1362 H1404">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formula1>
    </dataValidation>
    <dataValidation type="list" allowBlank="1" sqref="H1174:K1174">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formula1>
    </dataValidation>
    <dataValidation type="list" allowBlank="1" sqref="H380:K380">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VerifyRevaluationData1,VerifyTradingTransaction1,GetActivityData1,GetDataClosing1,VerifyShortPositionsGrid,GetDataAllocation"</formula1>
    </dataValidation>
    <dataValidation type="list" allowBlank="1" sqref="H759:K759">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GetForexConversion2,GetMarkPriceData2,UpdateForexConversion2,UpdateMarkPric"&amp;"e2,GetAccountBalance2,GetRevaluationData1,VerifyRevaluationData1,VerifyTradingTransaction1,GetActivityData1,VerifyActivity1,GetDataClosing"</formula1>
    </dataValidation>
    <dataValidation type="list" allowBlank="1" sqref="H80:K80 H190:K190">
      <formula1>"Copy of Data,GetNonTradingTransaction,AddNonTradingTransaction,CreateDoneAwayOrder"</formula1>
    </dataValidation>
    <dataValidation type="list" allowBlank="1" sqref="H324:K324">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formula1>
    </dataValidation>
    <dataValidation type="list" allowBlank="1" sqref="H537:K537">
      <formula1>"GetNonTradingTransaction,AddNonTradingTransaction,CreateDoneAwayOrder,GetMarkPriceData,UpdateMarkPrice,GetForexConversion,UpdateForexConversion,GetDayEndCash,CalculateDayEndCash,GetAccountDetails,GetAccountBalance,GetMarkPriceData1,UpdateMarkPrice1"</formula1>
    </dataValidation>
    <dataValidation type="list" allowBlank="1" sqref="H711:K711">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formula1>
    </dataValidation>
    <dataValidation type="list" allowBlank="1" sqref="H184:K185">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OpenSpinOff,SpinOff,VerifyAndApplyCorpAction,VerifyLongPositionsGrid,VerifyShortPositionsGrid,GetDataAllocation,CheckAllocatedGroups"</formula1>
    </dataValidation>
    <dataValidation type="list" allowBlank="1" sqref="H1261:K1261">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formula1>
    </dataValidation>
    <dataValidation type="list" allowBlank="1" sqref="H440:K440 H510:K510 H586:K586">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formula1>
    </dataValidation>
    <dataValidation type="list" allowBlank="1" sqref="H1133:K1133">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formula1>
    </dataValidation>
    <dataValidation type="list" allowBlank="1" sqref="H818:K818 H863:K863">
      <formula1>"GetNonTradingTransaction,AddNonTradingTransaction,CreateDoneAwayOrder,AddNonTradingTransaction1,GetForexConversion,UpdateForexConversion,GetMarkPriceData,UpdateMarkPrice,GetDayEndCash,CalculateDayEndCash,GetAccountBalance,CreateDoneAwayOrder1,GetDataClosi"&amp;"ng"</formula1>
    </dataValidation>
    <dataValidation type="list" allowBlank="1" sqref="H1531:K1531">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formula1>
    </dataValidation>
    <dataValidation type="list" allowBlank="1" sqref="H1986:K1986">
      <formula1>"GetNonTradingTransaction,AddNonTradingTransaction,CreateDoneAwayOrder,GetFo,GetForexConversion,U,UpdateForexConversion,GetMarkPriceData"</formula1>
    </dataValidation>
    <dataValidation type="list" allowBlank="1" sqref="H1263:K1263">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formula1>
    </dataValidation>
    <dataValidation type="list" allowBlank="1" sqref="H1302:K1302">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VerifyRevaluationData,VerifyTradingTransaction,GetActivityData,VerifyActivity,OpenSpinOff,VerifyAndApplyCorpAction,GetForexConversion2,UpdateFo"&amp;"rexConversion2,GetMarkPriceData2,UpdateMarkPrice2,GetAccountBalance2,GetRevaluationData,GetRevaluationData1,VerifyRevaluationData1,VerifyTradingTransaction1,GetActivityData1,VerifyActivity1,VerifyShortPositionsGrid,GetDataAllocation,Copy of Data 1_conflic"&amp;"t1580681979,GetDataClosing1"</formula1>
    </dataValidation>
    <dataValidation type="list" allowBlank="1" sqref="H969:K972">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formula1>
    </dataValidation>
    <dataValidation type="list" allowBlank="1" sqref="H794:K799">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VerifyAndApplyCorpAction,GetForexConversion2,UpdateForexConversion2,GetMarkPriceD"&amp;"ata2,UpdateMarkPrice2"</formula1>
    </dataValidation>
    <dataValidation type="list" allowBlank="1" sqref="H917:K917">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formula1>
    </dataValidation>
    <dataValidation type="list" allowBlank="1" sqref="H209:K209">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formula1>
    </dataValidation>
    <dataValidation type="list" allowBlank="1" sqref="H1172:K1172">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formula1>
    </dataValidation>
    <dataValidation type="list" allowBlank="1" sqref="H1112:K1112 H1150:K1150">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GetRevaluationData1,VerifyRevaluationData1,VerifyTradingTransaction1,GetActivityData1,VerifyActivity1,GetDataClosing,VerifyLongPositionsGrid,GetDataAllocation,CheckAll"&amp;"ocatedGroups"</formula1>
    </dataValidation>
    <dataValidation type="list" allowBlank="1" sqref="H1532:K1532">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formula1>
    </dataValidation>
    <dataValidation type="list" allowBlank="1" sqref="H1611:K1611">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SpinOff,VerifyAndApplyCorpAction"</formula1>
    </dataValidation>
    <dataValidation type="list" allowBlank="1" sqref="H267:K267">
      <formula1>"get,GetNonTradingTransaction"</formula1>
    </dataValidation>
    <dataValidation type="list" allowBlank="1" sqref="H1354:K1355 H1396:H1397">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formula1>
    </dataValidation>
    <dataValidation type="list" allowBlank="1" sqref="H11:K11">
      <formula1>"GetNonTradingTransaction,AddNonTradingTransaction,GetMarkPriceData,UpdateMarkPrice"</formula1>
    </dataValidation>
    <dataValidation type="list" allowBlank="1" sqref="H1057:K1059">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1,GetForexConversion2"&amp;",UpdateForexConversion2,GetMarkPriceData2,UpdateMarkPrice2,GetAccountBalance2,GetRevaluationData1,VerifyRevaluationData1"</formula1>
    </dataValidation>
    <dataValidation type="list" allowBlank="1" sqref="H1307:K1307 H1310:K1310">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Data_conflict1608299007,VerifyTradingTransaction,GetActivityData,VerifyActivity,OpenSpinOff,C"&amp;"opy of Data 1_conflict1707829659"</formula1>
    </dataValidation>
    <dataValidation type="list" allowBlank="1" sqref="H1347:K1347 H1389">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formula1>
    </dataValidation>
    <dataValidation type="list" allowBlank="1" sqref="H293:K293">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formula1>
    </dataValidation>
    <dataValidation type="list" allowBlank="1" sqref="H914:K914">
      <formula1>"GetNonTradingTransaction,AddNonTradingTransaction,CreateDoneAwayOrder,GetForexConversion,UpdateDailyCash,UpdateForexConversion,GetMarkPriceData,UpdateMarkPrice,GetDayEndCash,CalculateDayEndCash,GetAccountBalance,GetRevaluationData"</formula1>
    </dataValidation>
    <dataValidation type="list" allowBlank="1" sqref="H277:K277">
      <formula1>"get,GetNonTradingTransaction,AddNonTradingTransaction,CreateDoneAwayOrder,GetMarkPriceData,UpdateMarkPrice,GetDayEndCash,CalculateDayEndCash,GetAccountBalance,GetRevaluationData,CreateDoneAwayOrder1,GetDataClosing"</formula1>
    </dataValidation>
    <dataValidation type="list" allowBlank="1" sqref="H595:K595">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formula1>
    </dataValidation>
    <dataValidation type="list" allowBlank="1" sqref="H1653:K1653 H1697 H1741">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SpinOff,VerifyAndApplyCorpAction,OpenSpinOff"</formula1>
    </dataValidation>
    <dataValidation type="list" allowBlank="1" sqref="H1269:K1269">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GetForexConversion2,UpdateForexConversion2,GetMarkPriceData2,UpdateMarkPrice2"</formula1>
    </dataValidation>
    <dataValidation type="list" allowBlank="1" sqref="H523:K523">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2,GetActivityData1,Veri"&amp;"fyActivity1,GetDataClosing,VerifyShortPositionsGrid,GetDataAllocation"</formula1>
    </dataValidation>
    <dataValidation type="list" allowBlank="1" sqref="H1088:K1088">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formula1>
    </dataValidation>
    <dataValidation type="list" allowBlank="1" sqref="H379:K379">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VerifyRevaluationData1,VerifyTradingTransaction1,GetActivityData1,GetDataClosing1,VerifyShortPositionsGrid"</formula1>
    </dataValidation>
    <dataValidation type="list" allowBlank="1" sqref="H781:K781">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formula1>
    </dataValidation>
    <dataValidation type="list" allowBlank="1" sqref="H1993:K1998">
      <formula1>"GetNonTradingTransaction,AddNonTradingTransaction,CreateDoneAwayOrder,GetFo,GetForexConversion,U,UpdateForexConversion,GetMarkPriceData,UpdateMarkPrice,GetDayEndCash,CalculateDayEndCash,GetAccountBalance,C,GetDataClosing,AutomaticClosing"</formula1>
    </dataValidation>
    <dataValidation type="list" allowBlank="1" sqref="H33:K33 H67:K67">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formula1>
    </dataValidation>
    <dataValidation type="list" allowBlank="1" sqref="H1306:K1306">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formula1>
    </dataValidation>
    <dataValidation type="list" allowBlank="1" sqref="F7:F8 F12:F14 F17:F24 F43:F44 F48:F50 F53:F56">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CalculateDayEndCash,CalculateDayEndCash,,,,,,,,,,,,,,,,,,,,,,,,,,,,,,,,,,,,,,,,,,,,,,,,,,,,,,,,,,,,,,,,,,,,,,,,,,,,,,,,,,,,,,,,,,,,,,,,,,,,,,,,,,,,,,,,,,,,,,,,"&amp;",,,,,,,,,,,,,,,,,,,,,,,,,,,,,,,,,,,,,,,,,,,,,,,,,,,,,,,,,,,,,,,,,,,,,,,,,,,,,,,,,,,,,,,,,,,,,,,,,,,,,,,,,,,,,,,,,,,,,,,,,,,,,,,,,,,,,,,,,,,,,,,,,,,,,,,,,,,,,,,,,,,,,,,,,,,,,,,,,,,,,,,,,,,,,,,,,,,,,,,,,,,,,,,,,,,,,,,,,,,,,,,,,,,,,,,,,,,,,,,,,,,,,,,,,,,,,,,"&amp;",,,,,,,,,,,,,,,,,,,,,,,,,,,,,,,,,,,,,,,,,,,,,,,,,,,,,,,,,,,,,,,,,,,,,,"</formula1>
    </dataValidation>
    <dataValidation type="list" allowBlank="1" sqref="H713:K713">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formula1>
    </dataValidation>
    <dataValidation type="list" allowBlank="1" sqref="H1369:K1369">
      <formula1>"GetNonTradingTransaction,EnterNonTradingTransaction,AddNonTradingTransaction"</formula1>
    </dataValidation>
    <dataValidation type="list" allowBlank="1" sqref="H961:K961">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formula1>
    </dataValidation>
    <dataValidation type="list" allowBlank="1" sqref="H625:K625">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formula1>
    </dataValidation>
    <dataValidation type="list" allowBlank="1" sqref="H252:K253">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formula1>
    </dataValidation>
    <dataValidation type="list" allowBlank="1" sqref="H1186:K1186">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3,GetForexConversio"&amp;"n2,UpdateForexConversion2,GetMarkPriceData2,UpdateMarkPrice2,GetAccountBalance2,GetRevaluationData1,VerifyRevaluationData1,VerifyTradingTransaction1"</formula1>
    </dataValidation>
    <dataValidation type="list" allowBlank="1" sqref="H1170:K1170">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formula1>
    </dataValidation>
    <dataValidation type="list" allowBlank="1" sqref="H556:K556">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formula1>
    </dataValidation>
    <dataValidation type="list" allowBlank="1" sqref="H712:K712">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formula1>
    </dataValidation>
    <dataValidation type="list" allowBlank="1" sqref="H768:K768">
      <formula1>"GetNonTradingTransaction,AddNonTradingTransaction,CreateDoneAwayOrder,get,GetForexConversion"</formula1>
    </dataValidation>
    <dataValidation type="list" allowBlank="1" sqref="H254:K254">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formula1>
    </dataValidation>
    <dataValidation type="list" allowBlank="1" sqref="H295:K295">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formula1>
    </dataValidation>
    <dataValidation type="list" allowBlank="1" sqref="H82:K82 H192:K192">
      <formula1>"Copy of Data,GetNonTradingTransaction,AddNonTradingTransaction,CreateDoneAwayOrder,GetMarkPriceData,UpdateMarkPrice"</formula1>
    </dataValidation>
    <dataValidation type="list" allowBlank="1" sqref="H806:K806">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SpinOff,VerifyAndApplyCorpAction,G"&amp;"etForexConversion2,UpdateForexConversion2,GetMarkPriceData2,UpdateMarkPrice2,GetAccountBalance2,GetRevaluationData1,VerifyRevaluationData1,VerifyTradingTransaction1,GetActivityData1,VerifyActivity1,GetDataClosing1,VerifyLongPositionsGrid,GetDataAllocation"&amp;",CheckAllocatedGroups"</formula1>
    </dataValidation>
    <dataValidation type="list" allowBlank="1" sqref="H1084:K1084">
      <formula1>"GetNonTradingTransaction,AddNonTradingTransaction,crea,CreateDoneAwayOrder,GetForexConversion,upda,UpdateForexConversion,GetMarkPriceData,UpdateMarkPrice,GetDayEndCash,CalculateDayEndCash,GetAccountBalance,upd,GetForexConversion1,GetMarkPriceData1,UpdateM"&amp;"arkPrice1"</formula1>
    </dataValidation>
    <dataValidation type="list" allowBlank="1" sqref="H635:K635">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GetRevaluationData2,VerifyRevaluationData1,VerifyTradingTransaction1,GetActivityData1"</formula1>
    </dataValidation>
    <dataValidation type="list" allowBlank="1" sqref="H988:K988 H1289:K1289">
      <formula1>"GetNonTradingTransaction,AddNonTradingTransaction,AddNonTradingTransaction1,CreateDoneAwayOrder,GetForexConversion,UpdateForexConversion,GetMarkPriceData,UpdateMarkPrice,GetDayEndCash"</formula1>
    </dataValidation>
    <dataValidation type="list" allowBlank="1" sqref="H1121:K1122">
      <formula1>"GetNonTradingTransaction,AddNonTradingTransaction,c,CreateDoneAwayOrder,get,GetForexConversion,Copy of Data,Copy of Data_conflict1608974838,UpdateForexConversion,GetMarkPriceData,UpdateMarkPrice,GetDayEndCash,CalculateDayEndCash,GetAccountBalance"</formula1>
    </dataValidation>
    <dataValidation type="list" allowBlank="1" sqref="H268:K268">
      <formula1>"get,GetNonTradingTransaction,AddNonTradingTransaction"</formula1>
    </dataValidation>
    <dataValidation type="list" allowBlank="1" sqref="H223:K223">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OpenSpinOff,SpinOff,VerifyAndApplyCorpAction,VerifyLongPositionsGrid,VerifyShortPositionsGrid,GetDataAllocation"</formula1>
    </dataValidation>
    <dataValidation type="list" allowBlank="1" sqref="H1328:K1328 H1370">
      <formula1>"GetNonTradingTransaction,AddNonTradingTransaction,CreateDoneAwayOrder,GetForexConversion,UpdateForexConversion,GetMarkPriceData,UpdateMarkPrice,GetDayEndCash,GetAccountBalance,GetForexConversion1,UpdateForexConversion1,GetMarkPriceData1,UpdateMarkPrice1,G"&amp;"etDayEndCash1,GetAccountBalance1,GetRevaluationData,VerifyRevaluationData"</formula1>
    </dataValidation>
    <dataValidation type="list" allowBlank="1" sqref="H488:K488">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GetDataClosing,VerifyLongPositionsGrid,Copy of Data 1,GetDataAllocation"</formula1>
    </dataValidation>
    <dataValidation type="list" allowBlank="1" sqref="H10:K10">
      <formula1>"GetNonTradingTransaction,AddNonTradingTransaction,GetMarkPriceData"</formula1>
    </dataValidation>
    <dataValidation type="list" allowBlank="1" sqref="H1092:K1092">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formula1>
    </dataValidation>
    <dataValidation type="list" allowBlank="1" sqref="H397:K397">
      <formula1>"GetNonTradingTransaction,AddNonTradingTransaction,CreateDoneAwayOrder,GetMarkPriceData,UpdateMarkPrice,GetDayEndCash,CalculateDayEndCash,GetAccountBalance,GetRevaluationData,CreateDoneAwayOrder1,GetDataClosing,AutomaticClosing,GetMarkPriceData1"</formula1>
    </dataValidation>
    <dataValidation type="list" allowBlank="1" sqref="H1343:K1343 H1385">
      <formula1>"GetNonTradingTransaction,AddNonTradingTransaction,CreateDoneAwayOrder,GetForexConversion,UpdateForexConversion,GetMarkPriceData,UpdateMarkPrice,GetDayEndCash,GetAccountBalance,GetForexConversion1,UpdateForexConversion1,GetMarkPriceData1,UpdateMarkPrice1,G"&amp;"etDayEndCash1"</formula1>
    </dataValidation>
    <dataValidation type="list" allowBlank="1" sqref="H27:K28 H63:K64">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formula1>
    </dataValidation>
    <dataValidation type="list" allowBlank="1" sqref="H1248:K1248">
      <formula1>"GetNonTradingTransaction,AddNonTradingTransaction,CreateDoneAwayOrder,AddNonTradingTransaction1,GetForexConversion,UpdateForexConversion,GetMarkPriceData,UpdateMarkPrice,GetDayEndCash,GetAccountBalance,CreateDoneAwayOrder1,GetDataClosing"</formula1>
    </dataValidation>
    <dataValidation type="list" allowBlank="1" sqref="F1495">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250:K250">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formula1>
    </dataValidation>
    <dataValidation type="list" allowBlank="1" sqref="H1037:K1037">
      <formula1>"GetNonTradingTransaction,AddNonTradingTransaction,CreateDoneAwayOrder,GetForexConversion,upda,UpdateForexConversion,GetMarkPriceData,UpdateMarkPrice,GetDayEndCash,CalculateDayEndCash,GetAccountBalance,GetForexConversion1,UpdateForexConversion1"</formula1>
    </dataValidation>
    <dataValidation type="list" allowBlank="1" sqref="H1755:K1755">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CheckAllocatedGroups,GetAccountBalance2,GetRevaluationData1,VerifyTradingTransaction1,VerifyRevaluationData1,VerifyActivity1,GetDataClosing1,GetActivityData1,VerifyLongPositionsGrid"</formula1>
    </dataValidation>
    <dataValidation type="list" allowBlank="1" sqref="H1309:K1309 H1311:K1314">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Data_conflict1608299007,VerifyTradingTransaction,GetActivityData,VerifyActivity,OpenSpinOff,C"&amp;"opy of Data 1_conflict1707829659,VerifyAndApplyCorpAction"</formula1>
    </dataValidation>
    <dataValidation type="list" allowBlank="1" sqref="H929:K929">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GetAccountBalance2"</formula1>
    </dataValidation>
    <dataValidation type="list" allowBlank="1" sqref="H1134:K1134">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formula1>
    </dataValidation>
    <dataValidation type="list" allowBlank="1" sqref="H182:K182">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OpenSpinOff,SpinOff,VerifyAndApplyCorpAction,VerifyLongPositionsGrid"</formula1>
    </dataValidation>
    <dataValidation type="list" allowBlank="1" sqref="H375:K375">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VerifyRevaluationData1"</formula1>
    </dataValidation>
    <dataValidation type="list" allowBlank="1" sqref="H963:K963 H965:K967">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formula1>
    </dataValidation>
    <dataValidation type="list" allowBlank="1" sqref="H87:K87">
      <formula1>"Copy of Data,GetNonTradingTransaction,AddNonTradingTransaction,CreateDoneAwayOrder,GetMarkPriceData,UpdateMarkPrice,GetDayEndCash,CalculateDayEndCash,GetAccountBalance,GetMarkPriceData1"</formula1>
    </dataValidation>
    <dataValidation type="list" allowBlank="1" sqref="H1048:K1048">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formula1>
    </dataValidation>
    <dataValidation type="list" allowBlank="1" sqref="H1105:K1105">
      <formula1>"GetNonTradingTransaction,AddNonTradingTransaction,CreateDoneAwayOrder,GetForexConversion,UpdateForexConversion,GetMarkPriceData,UpdateMarkPrice,GetDayEndCash,GetAccountBalance,CreateDoneAwayOrder1,GetForexConversion1,UpdateForexConversion1,GetMarkPriceDat"&amp;"a1,UpdateMarkPrice1,GetDayEndCash1,GetAccountBalance1,GetRevaluationData,VerifyRevaluationData,VerifyTradingTransaction,GetActivityData,VerifyActivity,OpenSpinOff,SpinOff,VerifyAndApplyCorpAction,GetForexConversion2,UpdateForexConversion2,GetMarkPriceData"&amp;"2,UpdateMarkPrice2,GetAccountBalance2,GetRevaluationData1,VerifyRevaluationData1,VerifyTradingTransaction1,GetActivityData1,VerifyActivity1,GetDataClosing,VerifyLongPositionsGrid,GetDataAllocation,CheckAllocatedGroups,AutomaticClosing,Copy of Data,Copy of"&amp;" Data 1,Copy of Data 1_conflict1164018384,Copy of Data 2"</formula1>
    </dataValidation>
    <dataValidation type="list" allowBlank="1" sqref="H30:K30 H66:K66">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formula1>
    </dataValidation>
    <dataValidation type="list" allowBlank="1" sqref="H39:K39">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VerifyTradingTransaction2,GetActivityData1,VerifyActivity1,GetDataClosing,VerifyShortPo"&amp;"sitionsGrid,Copy of Data_conflict1242865907,GetDataAllocation,CheckAllocatedGroups"</formula1>
    </dataValidation>
    <dataValidation type="list" allowBlank="1" sqref="H662:K662">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formula1>
    </dataValidation>
    <dataValidation type="list" allowBlank="1" sqref="H1668:K1668 H1712 H175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VerifyShortPositionsGrid,GetDataAllocation"</formula1>
    </dataValidation>
    <dataValidation type="list" allowBlank="1" sqref="H1000:K1000">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formula1>
    </dataValidation>
    <dataValidation type="list" allowBlank="1" sqref="H1159:K1159">
      <formula1>"GetNonTradingTransaction,AddNonTradingTransaction,Copy of Data,CreateDoneAwayOrder,GetForexConversion,UpdateForexConversion,GetMarkPriceData,UpdateMarkPrice"</formula1>
    </dataValidation>
    <dataValidation type="list" allowBlank="1" sqref="H319:K319">
      <formula1>"GetNonTradingTransaction,AddNonTradingTransaction,CreateDoneAwayOrder,GetMarkPriceData,UpdateMarkPrice,GetDayEndCash,CalculateDayEndCash,GetAccountBalance,GetRevaluationData,GetDataClosing,AutomaticClosing,GetMarkPriceData1"</formula1>
    </dataValidation>
    <dataValidation type="list" allowBlank="1" sqref="H1305:K1305">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formula1>
    </dataValidation>
    <dataValidation type="list" allowBlank="1" sqref="H680:K680">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GetDataClosing,VerifyShortPositionsGrid,VerifyActivity1,GetDataAllocation,Copy of Data,CheckAllocatedGroups"</formula1>
    </dataValidation>
    <dataValidation type="list" allowBlank="1" sqref="H1244:K1244">
      <formula1>"GetNonTradingTransaction,AddNonTradingTransaction,CreateDoneAwayOrder,AddNonTradingTransaction1,GetForexConversion,UpdateForexConversion,GetMarkPriceData,Copy of Data,GetDayEndCash"</formula1>
    </dataValidation>
    <dataValidation type="list" allowBlank="1" sqref="H105:K105">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VerifyTradingTransaction1"</formula1>
    </dataValidation>
    <dataValidation type="list" allowBlank="1" sqref="H1294:K1294">
      <formula1>"GetNonTradingTransaction,AddNonTradingTransaction,AddNonTradingTransaction1,CreateDoneAwayOrder,GetForexConversion,UpdateForexConversion,GetMarkPriceData,UpdateMarkPrice,GetDayEndCash,CalculateDayEndCash,GetAccountBalance,GetDataClosing,AutomaticClosing"</formula1>
    </dataValidation>
    <dataValidation type="list" allowBlank="1" sqref="H703:K703">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formula1>
    </dataValidation>
    <dataValidation type="list" allowBlank="1" sqref="H1428:K1428 H1560">
      <formula1>"GetNonTradingTransaction,AddNonTradingTransaction,CreateDoneAwayOrder,GetForexConversion,UpdateForexConversion,GetMarkPriceData,UpdateMarkPrice,GetDayEndCash,CalculateDayEndCash,GetAccountBalance,GetRevaluationData"</formula1>
    </dataValidation>
    <dataValidation type="list" allowBlank="1" sqref="H470:K470">
      <formula1>"GetNonTradingTransaction,AddNonTradingTransaction,CreateDoneAwayOrder,GetMarkPriceData,UpdateMarkPrice,GetDayEndCash,CalculateDayEndCash,GetAccountBalance,GetAccountDetails,GetRevaluationData"</formula1>
    </dataValidation>
    <dataValidation type="list" allowBlank="1" sqref="H257:K257">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formula1>
    </dataValidation>
    <dataValidation type="list" allowBlank="1" sqref="H1632:K1632 H1676 H1720">
      <formula1>"GetNonTradingTransaction,AddNonTradingTransaction,CreateDoneAwayOrder,GetForexConversion,UpdateForwardPoints,UpdateForexConversion"</formula1>
    </dataValidation>
    <dataValidation type="list" allowBlank="1" sqref="H258:K259">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Data,GetAccountBalance1,GetRevaluationData1,VerifyRevaluationData,VerifyTradingTransaction,GetActivityData,VerifyActivity,OpenSpinOff,SpinOff,VerifyAndApplyCorpAction,GetMarkPriceData2,UpdateMarkPrice2,GetAccountBalance2,GetRevaluationData2,Verif"&amp;"yRevaluationData1"</formula1>
    </dataValidation>
    <dataValidation type="list" allowBlank="1" sqref="H560:K561">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VerifyRevaluationData1,VerifyTradingTransaction1"</formula1>
    </dataValidation>
    <dataValidation type="list" allowBlank="1" sqref="H364:K364">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formula1>
    </dataValidation>
    <dataValidation type="list" allowBlank="1" sqref="H872:K872">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formula1>
    </dataValidation>
    <dataValidation type="list" allowBlank="1" sqref="H810:K810">
      <formula1>"GetNonTradingTransaction,AddNonTradingTransaction,AddNonTradingTransaction1,UpdateForexConversion,CreateDoneAwayOrder,Get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SpinOff,VerifyAndApplyCorpAction,G"&amp;"etForexConversion2,UpdateForexConversion2,GetMarkPriceData2,UpdateMarkPrice2,GetAccountBalance2,GetRevaluationData1,VerifyRevaluationData1,VerifyTradingTransaction1,GetActivityData1,VerifyActivity1,GetDataClosing1,VerifyLongPositionsGrid,GetDataAllocation"&amp;",CheckAllocatedGroups"</formula1>
    </dataValidation>
    <dataValidation type="list" allowBlank="1" sqref="H721:K721">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VerifyLongPositionsGrid,GetDataAllocation,CheckAllocatedGroups"</formula1>
    </dataValidation>
    <dataValidation type="list" allowBlank="1" sqref="H1036:K1036">
      <formula1>"GetNonTradingTransaction,AddNonTradingTransaction,CreateDoneAwayOrder,GetForexConversion,upda,UpdateForexConversion,GetMarkPriceData,UpdateMarkPrice,GetDayEndCash,CalculateDayEndCash,GetAccountBalance,GetForexConversion1"</formula1>
    </dataValidation>
    <dataValidation type="list" allowBlank="1" sqref="H1321:K1321">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Data_conflict1608299007,VerifyTradingTransaction,GetActivityData,VerifyActivity,OpenSpinOff,C"&amp;"opy of Data 1_conflict1707829659,VerifyAndApplyCorpAction,GetForexConversion2,UpdateForexConversion2,GetMarkPriceData2,UpdateMarkPrice2,GetAccountBalance2,GetRevaluationData,GetRevaluationData1,VerifyRevaluationData1,VerifyTradingTransaction1,GetActivityD"&amp;"ata1,VerifyActivity1,VerifyShortPositionsGrid"</formula1>
    </dataValidation>
    <dataValidation type="list" allowBlank="1" sqref="H669:K670">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formula1>
    </dataValidation>
    <dataValidation type="list" allowBlank="1" sqref="H1007:K1007">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GetMarkPriceData2,UpdateMarkPrice2"&amp;",GetAccountBalance2,GetRevaluationData1,VerifyRevaluationData1,VerifyTradingTransaction1,GetDataClosing,GetActivityData1,VerifyActivity1,VerifyShortPositionsGrid,GetDataAllocation,CheckAllocatedGroups,Copy of Data,Copy of Data 1"</formula1>
    </dataValidation>
    <dataValidation type="list" allowBlank="1" sqref="H271:K271">
      <formula1>"get,GetNonTradingTransaction,AddNonTradingTransaction,CreateDoneAwayOrder,GetMarkPriceData,UpdateMarkPrice"</formula1>
    </dataValidation>
    <dataValidation type="list" allowBlank="1" sqref="H1341:K1341">
      <formula1>"GetNonTradingTransaction,AddNonTradingTransaction,CreateDoneAwayOrder,GetForexConversion,UpdateForexConversion,GetMarkPriceData,UpdateMarkPrice,GetDayEndCash,GetAccountBalance,GetForexConversion1,UpdateForexConversion1,GetMarkPriceData1,UpdateMarkPrice1"</formula1>
    </dataValidation>
    <dataValidation type="list" allowBlank="1" sqref="H287:K287">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formula1>
    </dataValidation>
    <dataValidation type="list" allowBlank="1" sqref="H548:K548">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formula1>
    </dataValidation>
    <dataValidation type="list" allowBlank="1" sqref="H959:K959">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formula1>
    </dataValidation>
    <dataValidation type="list" allowBlank="1" sqref="H334:K334">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Copy of Data"</formula1>
    </dataValidation>
    <dataValidation type="list" allowBlank="1" sqref="H1991:K1991">
      <formula1>"GetNonTradingTransaction,AddNonTradingTransaction,CreateDoneAwayOrder,GetFo,GetForexConversion,U,UpdateForexConversion,GetMarkPriceData,UpdateMarkPrice,GetDayEndCash,CalculateDayEndCash,GetAccountBalance,C"</formula1>
    </dataValidation>
    <dataValidation type="list" allowBlank="1" sqref="H70:K70">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1"</formula1>
    </dataValidation>
    <dataValidation type="list" allowBlank="1" sqref="H1126:K1126">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formula1>
    </dataValidation>
    <dataValidation type="list" allowBlank="1" sqref="H933:K933">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GetAccountBalance2,GetRevaluationData1,VerifyRevaluationData1,VerifyTradingTransaction1,GetActivityData1,VerifyActivity1,GetDataClosing,VerifyLongPositionsGrid"</formula1>
    </dataValidation>
    <dataValidation type="list" allowBlank="1" sqref="H1019:K1019">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VerifyAndApplyCorpAction,GetForexConversion2,GetMarkPriceDa"&amp;"ta2,Copy of Data_conflict1102868185,UpdateMarkPrice2,GetAccountBalance2,GetRevaluationData1,VerifyRevaluationData1,VerifyTradingTransaction1,GetDataClosing,GetActivityData1,VerifyActivity1,VerifyShortPositionsGrid,GetDataAllocation,CheckAllocatedGroups"</formula1>
    </dataValidation>
    <dataValidation type="list" allowBlank="1" sqref="H159:K162 H164:K164">
      <formula1>"GetNonTradingTransaction,AddNonTradingTransaction,CreateDoneAwayOrder,GetMarkPriceData,UpdateMarkPrice,GetDayEndCash,CalculateDayEndCash,GetAccountBalance,GetDataClosing,AutomaticClosing"</formula1>
    </dataValidation>
    <dataValidation type="list" allowBlank="1" sqref="H109:K109">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VerifyTradingTransaction1,GetActiv"&amp;"ityData1,VerifyActivity1,GetDataClosing,VerifyLongPositionsGrid,GetDataAllocation"</formula1>
    </dataValidation>
    <dataValidation type="list" allowBlank="1" sqref="H1029:K1029">
      <formula1>"GetNonTradingTransaction,AddNonTradingTransaction,CreateDoneAwayOrder,GetForexConversion,upda,UpdateForexConversion,GetMarkPriceData,UpdateMarkPrice,GetDayEndCash"</formula1>
    </dataValidation>
    <dataValidation type="list" allowBlank="1" sqref="H418:K418">
      <formula1>"GetNonTradingTransaction,AddNonTradingTransaction,CreateDoneAwayOrder,GetMarkPriceData,UpdateMarkPrice,GetDayEndCash,GetAccountBalance,GetRevaluationData,CreateDoneAwayOrder1,GetDataClosing,AutomaticClosing,GetMarkPriceData1,UpdateMarkPrice1,GetDayEndCash"&amp;"1,GetAccountBalance1,GetRevaluationData1,VerifyRevaluationData,VerifyTradingTransaction,GetActivityData,VerifyActivity,OpenSpinOff,SpinOff,VerifyAndApplyCorpAction,GetMarkPriceData2,UpdateMarkPrice2,GetAccountBalance2,GetRevaluationData2,VerifyRevaluation"&amp;"Data1,VerifyTradingTransaction1,GetActivityData1,VerifyActivity1,GetDataClosing1,GetDataAllocation,CheckAllocatedGroups,VerifyLongPositionsGrid"</formula1>
    </dataValidation>
    <dataValidation type="list" allowBlank="1" sqref="H132:K132">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formula1>
    </dataValidation>
    <dataValidation type="list" allowBlank="1" sqref="H540:K540">
      <formula1>"GetNonTradingTransaction,AddNonTradingTransaction,CreateDoneAwayOrder,GetMarkPriceData,UpdateMarkPrice,GetForexConversion,UpdateForexConversion,GetDayEndCash,CalculateDayEndCash,GetAccountDetails,GetAccountBalance,GetMarkPriceData1"</formula1>
    </dataValidation>
    <dataValidation type="list" allowBlank="1" sqref="H677:K677">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GetDataClosing"</formula1>
    </dataValidation>
    <dataValidation type="list" allowBlank="1" sqref="H208:K208">
      <formula1>"Copy of Data,GetNonTradingTransaction,AddNonTradingTransaction,CreateDoneAwayOrder,GetMarkPriceData,UpdateMarkPrice,GetDayEndCash,CalculateDayEndCash,GetAccountBalance,GetRevaluationData,GetDataClosing,AutomaticClosing,VerifyRevaluationData,VerifyTradingT"&amp;"ransaction,GetActivityData"</formula1>
    </dataValidation>
    <dataValidation type="list" allowBlank="1" sqref="F38:F39">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amp;",,,,,,,,,,,,,,,,,,,,,,,,,,,,,,,,,,,,,,,,,,,,,,,,,,,,,,,,,,,,,,,,,,,,,,,,,,,,,,,,,,,,,,,,,,,,,,,,,,,,,,,,,,,,,,,,,,,,,,,,,,,,,,,,,,,,,,,,,,,,,,,,,,,,,,,,,,,,,,,,,,,,,,,,,,,,,,,,,,,,,,,,,,,,,,,,,,,,,,,,,,,,,,,,,,"</formula1>
    </dataValidation>
    <dataValidation type="list" allowBlank="1" sqref="H553:K553">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formula1>
    </dataValidation>
    <dataValidation type="list" allowBlank="1" sqref="H1213:K1213">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formula1>
    </dataValidation>
    <dataValidation type="list" allowBlank="1" sqref="H1581:K1581">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CheckAllocatedGroups"</formula1>
    </dataValidation>
    <dataValidation type="list" allowBlank="1" sqref="H199:K202 H204:K205">
      <formula1>"Copy of Data,GetNonTradingTransaction,AddNonTradingTransaction,CreateDoneAwayOrder,GetMarkPriceData,UpdateMarkPrice,GetDayEndCash,CalculateDayEndCash,GetAccountBalance,GetRevaluationData,GetDataClosing,AutomaticClosing"</formula1>
    </dataValidation>
    <dataValidation type="list" allowBlank="1" sqref="H1960:K1960">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formula1>
    </dataValidation>
    <dataValidation type="list" allowBlank="1" sqref="H1185:K1185">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formula1>
    </dataValidation>
    <dataValidation type="list" allowBlank="1" sqref="H55:K55">
      <formula1>"GetNonTradingTransaction,AddNonTradingTransaction,CreateDoneAwayOrder,GetMarkPriceData,UpdateMarkPrice,GetDayEndCash,GetAccountBalance,GetMarkPriceData1,UpdateMarkPrice1,GetDayEndCash1"</formula1>
    </dataValidation>
    <dataValidation type="list" allowBlank="1" sqref="H704:K704">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formula1>
    </dataValidation>
    <dataValidation type="list" allowBlank="1" sqref="H785:K785">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formula1>
    </dataValidation>
    <dataValidation type="list" allowBlank="1" sqref="H697:K697">
      <formula1>"GetNonTradingTransaction,AddNonTradingTransaction,CreateDoneAwayOrder,GetForexConversion,UpdateForexConversion,GetMarkPriceData,UpdateMarkPrice,GetDayEndCash,CalculateDayEndCash,GetAccountBalance,UpdateForexConversion1,GetForexConversion1,GetMarkPriceData"&amp;"1,UpdateMarkPrice1"</formula1>
    </dataValidation>
    <dataValidation type="list" allowBlank="1" sqref="H361:K361 H400:K400">
      <formula1>"GetNonTradingTransaction,AddNonTradingTransaction,CreateDoneAwayOrder,GetMarkPriceData,UpdateMarkPrice,GetDayEndCash,CalculateDayEndCash,GetAccountBalance,GetRevaluationData,CreateDoneAwayOrder1,GetDataClosing,AutomaticClosing,GetMarkPriceData1,UpdateMark"&amp;"Price1,GetDayEndCash1"</formula1>
    </dataValidation>
    <dataValidation type="list" allowBlank="1" sqref="H372:K373">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formula1>
    </dataValidation>
    <dataValidation type="list" allowBlank="1" sqref="H596:K596">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formula1>
    </dataValidation>
    <dataValidation type="list" allowBlank="1" sqref="H1200:K1200">
      <formula1>"GetNonTradingTransaction,AddNonTradingTransaction,CreateDoneAwayOrder,Copy of Data,Copy of Data 1,Copy of Data 2,Copy of Data 2_conflict174752477,GetForexConversion,UpdateForexConversion,AddNonTradingTransaction1,GetMarkPriceData"</formula1>
    </dataValidation>
    <dataValidation type="list" allowBlank="1" sqref="H828:K828">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formula1>
    </dataValidation>
    <dataValidation type="list" allowBlank="1" sqref="H53:K53">
      <formula1>"GetNonTradingTransaction,AddNonTradingTransaction,CreateDoneAwayOrder,GetMarkPriceData,UpdateMarkPrice,GetDayEndCash,GetAccountBalance,GetMarkPriceData1,UpdateMarkPrice1"</formula1>
    </dataValidation>
    <dataValidation type="list" allowBlank="1" sqref="H56:K56">
      <formula1>"GetNonTradingTransaction,AddNonTradingTransaction,CreateDoneAwayOrder,GetMarkPriceData,UpdateMarkPrice,GetDayEndCash,GetAccountBalance,GetMarkPriceData1,UpdateMarkPrice1,GetDayEndCash1,GetAccountBalance1,GetRevaluationData"</formula1>
    </dataValidation>
    <dataValidation type="list" allowBlank="1" sqref="H772:K772">
      <formula1>"GetNonTradingTransaction,AddNonTradingTransaction,CreateDoneAwayOrder,get,GetForexConversion,UpdateForexConversion,GetMarkPriceData,UpdateMarkPrice,GetDayEndCash"</formula1>
    </dataValidation>
    <dataValidation type="list" allowBlank="1" sqref="H476:K476 H478:K479">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formula1>
    </dataValidation>
    <dataValidation type="list" allowBlank="1" sqref="H531:K531">
      <formula1>"GetNonTradingTransaction,AddNonTradingTransaction,CreateDoneAwayOrder,GetMarkPriceData,UpdateMarkPrice,GetForexConversion,UpdateForexConversion"</formula1>
    </dataValidation>
    <dataValidation type="list" allowBlank="1" sqref="H1985:K1985">
      <formula1>"GetNonTradingTransaction,AddNonTradingTransaction,CreateDoneAwayOrder,GetFo,GetForexConversion,U,UpdateForexConversion"</formula1>
    </dataValidation>
    <dataValidation type="list" allowBlank="1" sqref="H339:K339">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UpdateMarkPrice2,GetAccountBalance2,GetRevaluationData2,VerifyRevaluationD"&amp;"ata1,VerifyTradingTransaction1,GetActivityData1"</formula1>
    </dataValidation>
    <dataValidation type="list" allowBlank="1" sqref="H172:K181">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OpenSpinOff,SpinOff,VerifyAndApplyCorpAction"</formula1>
    </dataValidation>
    <dataValidation type="list" allowBlank="1" sqref="H370:K370">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Copy of Data"</formula1>
    </dataValidation>
    <dataValidation type="list" allowBlank="1" sqref="H402:K402">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formula1>
    </dataValidation>
    <dataValidation type="list" allowBlank="1" sqref="H7:K7">
      <formula1>"CleanUp,DeleteClientData,Copy of Data,Copy of Data 1,Copy of Data 2,Copy of Data 3,Copy of Data 4,GetNonTradingTransaction"</formula1>
    </dataValidation>
    <dataValidation type="list" allowBlank="1" sqref="H1032:K1032 H1077:K1077">
      <formula1>"GetNonTradingTransaction,AddNonTradingTransaction,CreateDoneAwayOrder,GetForexConversion,UpdateForexConversion,GetMarkPriceData,UpdateMarkPrice,GetDayEndCash,GetAccountBalance,GetForexConversion1,UpdateForexConversion1,GetMarkPriceData1,UpdateMarkPrice1,G"&amp;"etDayEndCash1,GetAccountBalance1,GetRevaluationData,VerifyRevaluationData,VerifyTradingTransaction,GetActivityData,VerifyActivity,OpenSpinOff,SpinOff,VerifyAndApplyCorpAction,GetForexConversion2,UpdateForexConversion2,GetMarkPriceData2,UpdateMarkPrice2,Ge"&amp;"tAccountBalance2,GetRevaluationData1,VerifyRevaluationData1,VerifyTradingTransaction1,GetActivityData1,VerifyActivity1,GetDataClosing,VerifyLongPositionsGrid,GetDataAllocation,CheckAllocatedGroups"</formula1>
    </dataValidation>
    <dataValidation type="list" allowBlank="1" sqref="H374:K374">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formula1>
    </dataValidation>
    <dataValidation type="list" allowBlank="1" sqref="H1492:K1492">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GetDataClosing1,VerifyLongPositionsGrid"</formula1>
    </dataValidation>
    <dataValidation type="list" allowBlank="1" sqref="H108:K108">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VerifyTradingTransaction1,GetActiv"&amp;"ityData1,VerifyActivity1,GetDataClosing,VerifyLongPositionsGrid"</formula1>
    </dataValidation>
    <dataValidation type="list" allowBlank="1" sqref="H412:K412">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UpdateMarkPrice2,GetAccountBalance2"</formula1>
    </dataValidation>
    <dataValidation type="list" allowBlank="1" sqref="H285:K285">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formula1>
    </dataValidation>
    <dataValidation type="list" allowBlank="1" sqref="H300:K300">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VerifyTradingTransaction1,GetActivityData1,VerifyActivity1"</formula1>
    </dataValidation>
    <dataValidation type="list" allowBlank="1" sqref="H605:K605">
      <formula1>"GetNonTradingTransaction,AddNonTradingTranItem,CreateDoneAwayOrder"</formula1>
    </dataValidation>
    <dataValidation type="list" allowBlank="1" sqref="H168:K168">
      <formula1>"GetNonTradingTransaction,AddNonTradingTransaction,CreateDoneAwayOrder,GetMarkPriceData,UpdateMarkPrice,GetDayEndCash,CalculateDayEndCash,GetAccountBalance,GetDataClosing,AutomaticClosing,GetRevaluationData,VerifyRevaluationData,VerifyTradingTransaction,Ge"&amp;"tActivityData"</formula1>
    </dataValidation>
    <dataValidation type="list" allowBlank="1" sqref="H774:K779">
      <formula1>"GetNonTradingTransaction,AddNonTradingTransaction,CreateDoneAwayOrder,get,GetForexConversion,UpdateForexConversion,GetMarkPriceData,UpdateMarkPrice,GetDayEndCash,CalculateDayEndCash,GetAccountBalance"</formula1>
    </dataValidation>
    <dataValidation type="list" allowBlank="1" sqref="H530:K530">
      <formula1>"GetNonTradingTransaction,AddNonTradingTransaction,CreateDoneAwayOrder,GetMarkPriceData,UpdateMarkPrice,GetForexConversion"</formula1>
    </dataValidation>
    <dataValidation type="list" allowBlank="1" sqref="H855:K855 H1240:K1240">
      <formula1>"GetNonTradingTransaction,AddNonTradingTransaction,CreateDoneAwayOrder,AddNonTradingTransaction1,GetForexConversion"</formula1>
    </dataValidation>
    <dataValidation type="list" allowBlank="1" sqref="H57:K57">
      <formula1>"GetNonTradingTransaction,AddNonTradingTransaction,CreateDoneAwayOrder,GetMarkPriceData,UpdateMarkPrice,GetDayEndCash,GetAccountBalance,GetMarkPriceData1,UpdateMarkPrice1,GetDayEndCash1,GetAccountBalance1,GetRevaluationData,VerifyRevaluationData"</formula1>
    </dataValidation>
    <dataValidation type="list" allowBlank="1" sqref="H1063:K1063">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1,GetForexConversion2"&amp;",UpdateForexConversion2,GetMarkPriceData2,UpdateMarkPrice2,GetAccountBalance2,GetRevaluationData1,VerifyRevaluationData1,VerifyTradingTransaction1,GetActivityData1,VerifyActivity1,GetDataClosing,VerifyLongPositionsGrid,GetDataAllocation,Copy of Data 2,Che"&amp;"ckAllocatedGroups"</formula1>
    </dataValidation>
    <dataValidation type="list" allowBlank="1" sqref="H543:K543">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formula1>
    </dataValidation>
    <dataValidation type="list" allowBlank="1" sqref="H840:K841 H844:K844">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GetForexConversion2,UpdateForexConversion2,GetMarkPriceData2,UpdateMarkPrice2,GetAccountBalance2"</formula1>
    </dataValidation>
    <dataValidation type="list" allowBlank="1" sqref="H886:K889">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GetForexConversion2,UpdateForexConversion2,GetMarkPriceData2,UpdateMarkPrice2,GetAccountBalance2"</formula1>
    </dataValidation>
    <dataValidation type="list" allowBlank="1" sqref="H599:K599">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Veri"&amp;"fyActivity1,GetDataClosing,VerifyShortPositionsGrid,GetDataAllocation"</formula1>
    </dataValidation>
    <dataValidation type="list" allowBlank="1" sqref="H610:K610">
      <formula1>"GetNonTradingTransaction,AddNonTradingTranItem,CreateDoneAwayOrder,GetMarkPriceData,UpdateMarkPrice,GetDayEndCash,CalculateDayEndCash,GetAccountBalance"</formula1>
    </dataValidation>
    <dataValidation type="list" allowBlank="1" sqref="H674:K676">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UpdateForexConversion2,GetMarkPriceData2"&amp;",UpdateMarkPrice2,GetAccountBalance2,GetRevaluationData1"</formula1>
    </dataValidation>
    <dataValidation type="list" allowBlank="1" sqref="H407:K407 H409:K409">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formula1>
    </dataValidation>
    <dataValidation type="list" allowBlank="1" sqref="H1260:K1260">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formula1>
    </dataValidation>
    <dataValidation type="list" allowBlank="1" sqref="H1964:K1968">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Data_conflict2120706847,GetAccountBalance1,VerifyRevaluationData,VerifyTradingTransaction,GetActivityData,VerifyActivity,OpenSpinOff,SpinOff,VerifyAndApplyCorpAction"</formula1>
    </dataValidation>
    <dataValidation type="list" allowBlank="1" sqref="H1094:K1095">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formula1>
    </dataValidation>
    <dataValidation type="list" allowBlank="1" sqref="H705:K705">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formula1>
    </dataValidation>
    <dataValidation type="list" allowBlank="1" sqref="H291:K292">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formula1>
    </dataValidation>
    <dataValidation type="list" allowBlank="1" sqref="H1073:K1073">
      <formula1>"GetNonTradingTransaction,AddNonTradingTransaction,crea,CreateDoneAwayOrder,GetForexConversion,upda,UpdateForexConversion,GetMarkPriceData,UpdateMarkPrice"</formula1>
    </dataValidation>
    <dataValidation type="list" allowBlank="1" sqref="H189:K189">
      <formula1>"GetNonTradingTransaction,AddNonTradingTransaction,CreateDoneAwayOrder,GetMarkPriceData,UpdateMarkPrice,GetDayEndCash,GetAccountBalance,GetRevaluationData,CreateDoneAwayOrder1,GetDataClosing,AutomaticClosing,GetMarkPriceData1,UpdateMarkPrice1,GetDayEndCash"&amp;"1,GetAccountBalance1,GetRevaluationData1,VerifyRevaluationData,VerifyTradingTransaction,GetActivityData,VerifyActivity,OpenSpinOff,SpinOff,VerifyAndApplyCorpAction,GetMarkPriceData2,UpdateMarkPrice2,GetAccountBalance2,GetRevaluationData2,VerifyRevaluation"&amp;"Data1,VerifyTradingTransaction1,GetActivityData1,VerifyActivity1,GetDataClosing1,VerifyLongPositionsGrid,VerifyShortPositionsGrid,GetDataAllocation,CheckAllocatedGroups"</formula1>
    </dataValidation>
    <dataValidation type="list" allowBlank="1" sqref="H1018:K1018 H1364:K1364 H1406">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VerifyTradingTransaction1,GetActivityData1,VerifyActivity1,GetDataClosing,VerifyShortPositionsGrid,CheckAllocatedGroups,GetDataAllocation"</formula1>
    </dataValidation>
    <dataValidation type="list" allowBlank="1" sqref="H1523:K1523">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formula1>
    </dataValidation>
    <dataValidation type="list" allowBlank="1" sqref="H1359:K1361 H1401:H1403">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GetAccountBalance2,GetRevaluationData1,VerifyRevaluationData1"</formula1>
    </dataValidation>
    <dataValidation type="list" allowBlank="1" sqref="H541:K541">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formula1>
    </dataValidation>
    <dataValidation type="list" allowBlank="1" sqref="H434:K434 H504:K504 H580:K580">
      <formula1>"GetNonTradingTransaction,AddNonTradingTransaction,CreateDoneAwayOrder,GetMarkPriceData,UpdateMarkPrice,GetDayEndCash,CalculateDayEndCash,GetAccountBalance,GetMarkPriceData1,UpdateMarkPrice1,GetDayEndCash1"</formula1>
    </dataValidation>
    <dataValidation type="list" allowBlank="1" sqref="H1149:K1149">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GetRevaluationData1,VerifyRevaluationData1,VerifyTradingTransaction1,GetActivityData1,VerifyActivity1,GetDataClosing,VerifyLongPositionsGrid,GetDataAllocation"</formula1>
    </dataValidation>
    <dataValidation type="list" allowBlank="1" sqref="H212:K221">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OpenSpinOff,SpinOff,VerifyAndApplyCorpAction"</formula1>
    </dataValidation>
    <dataValidation type="list" allowBlank="1" sqref="H1246:K1247">
      <formula1>"GetNonTradingTransaction,AddNonTradingTransaction,CreateDoneAwayOrder,AddNonTradingTransaction1,GetForexConversion,UpdateForexConversion,GetMarkPriceData,UpdateMarkPrice,GetDayEndCash,GetAccountBalance"</formula1>
    </dataValidation>
    <dataValidation type="list" allowBlank="1" sqref="H1254:K1254 H1256:K1256">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formula1>
    </dataValidation>
    <dataValidation type="list" allowBlank="1" sqref="H1667:K1667 H1711">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VerifyShortPositionsGrid"</formula1>
    </dataValidation>
    <dataValidation type="list" allowBlank="1" sqref="H1106:K110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GetDataClosing1,VerifyLongPositionsGrid,GetDataAllocation,CheckAllocatedGroups,Copy"&amp;" of Data,Copy of Data 1,VerifyShortPositionsGrid"</formula1>
    </dataValidation>
    <dataValidation type="list" allowBlank="1" sqref="H1518:K1518">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formula1>
    </dataValidation>
    <dataValidation type="list" allowBlank="1" sqref="H406:K406">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formula1>
    </dataValidation>
    <dataValidation type="list" allowBlank="1" sqref="H1108:K1108">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GetRevaluationData1,VerifyRevaluationData1,VerifyTradingTransaction1,GetActivityData1,VerifyActivity1,GetDataClosing,VerifyLongPositionsGrid,CheckAllocatedGroups,Copy of Data 1_conflict1294605157"</formula1>
    </dataValidation>
    <dataValidation type="list" allowBlank="1" sqref="H926:K928">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formula1>
    </dataValidation>
    <dataValidation type="list" allowBlank="1" sqref="H1320:K1320">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Data_conflict1608299007,VerifyTradingTransaction,GetActivityData,VerifyActivity,OpenSpinOff,C"&amp;"opy of Data 1_conflict1707829659,VerifyAndApplyCorpAction,GetForexConversion2,UpdateForexConversion2,GetMarkPriceData2,UpdateMarkPrice2,GetAccountBalance2,GetRevaluationData,GetRevaluationData1,VerifyRevaluationData1,VerifyTradingTransaction1,GetActivityD"&amp;"ata1,VerifyActivity1"</formula1>
    </dataValidation>
    <dataValidation type="list" allowBlank="1" sqref="H1613:K1613">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GetAcco"&amp;"untBalance2,GetRevaluationData1,VerifyRevaluationData1,VerifyTradingTransaction1,VerifyActivity1,GetDataClosing1,VerifyLongPositionsGrid,GetDataAllocation,CheckAllocatedGroups,Copy of Data,Copy of Data 1"</formula1>
    </dataValidation>
    <dataValidation type="list" allowBlank="1" sqref="H879:K883">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formula1>
    </dataValidation>
    <dataValidation type="list" allowBlank="1" sqref="H1178:K1178">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formula1>
    </dataValidation>
    <dataValidation type="list" allowBlank="1" sqref="H335:K335">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UpdateMarkPrice2"</formula1>
    </dataValidation>
    <dataValidation type="list" allowBlank="1" sqref="H1187:K1187">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3,GetForexConversio"&amp;"n2,UpdateForexConversion2,GetMarkPriceData2,UpdateMarkPrice2,GetAccountBalance2,GetRevaluationData1,VerifyRevaluationData1,VerifyTradingTransaction1,GetActivityData1"</formula1>
    </dataValidation>
    <dataValidation type="list" allowBlank="1" sqref="H606:K606">
      <formula1>"GetNonTradingTransaction,AddNonTradingTranItem,CreateDoneAwayOrder,GetMarkPriceData"</formula1>
    </dataValidation>
    <dataValidation type="list" allowBlank="1" sqref="H263:K263">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Verif"&amp;"yRevaluationData1,VerifyTradingTransaction1,GetActivityData1,VerifyActivity1,VerifyLongPositionsGrid,GetDataClosing1,GetDataAllocation"</formula1>
    </dataValidation>
    <dataValidation type="list" allowBlank="1" sqref="H934:K934">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GetAccountBalance2,GetRevaluationData1,VerifyRevaluationData1,VerifyTradingTransaction1,GetActivityData1,VerifyActivity1,GetDataClosing,VerifyLongPositionsGrid,CheckAllocatedGroups,GetDataAllocation"</formula1>
    </dataValidation>
    <dataValidation type="list" allowBlank="1" sqref="H1478:K1478">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formula1>
    </dataValidation>
    <dataValidation type="list" allowBlank="1" sqref="H552:K552">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formula1>
    </dataValidation>
    <dataValidation type="list" allowBlank="1" sqref="H32:K32 H68:K68">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formula1>
    </dataValidation>
    <dataValidation type="list" allowBlank="1" sqref="H1202:K1202">
      <formula1>"GetNonTradingTransaction,AddNonTradingTransaction,CreateDoneAwayOrder,Copy of Data,Copy of Data 1,Copy of Data 2,Copy of Data 2_conflict174752477,GetForexConversion,UpdateForexConversion,AddNonTradingTransaction1,GetMarkPriceData,UpdateMarkPrice,GetDayEnd"&amp;"Cash"</formula1>
    </dataValidation>
    <dataValidation type="list" allowBlank="1" sqref="H1101:K1101">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Data,SpinOff,VerifyAndApplyCorpAction,GetForexConversion2,UpdateForexConversion2,GetMarkPriceD"&amp;"ata2,UpdateMarkPrice2,GetAccountBalance2,GetRevaluationData1"</formula1>
    </dataValidation>
    <dataValidation type="list" allowBlank="1" sqref="H1351:K1353 H1393:H1395">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formula1>
    </dataValidation>
    <dataValidation type="list" allowBlank="1" sqref="H85:K86 H195:K195">
      <formula1>"Copy of Data,GetNonTradingTransaction,AddNonTradingTransaction,CreateDoneAwayOrder,GetMarkPriceData,UpdateMarkPrice,GetDayEndCash,CalculateDayEndCash,GetAccountBalance"</formula1>
    </dataValidation>
    <dataValidation type="list" allowBlank="1" sqref="H340:K340">
      <formula1>"GetNonTradingTransaction,AddNonTradingTransaction,CreateDoneAwayOrder,GetMarkPriceData,UpdateMarkPrice,GetDayEndCash,GetAccountBalance,GetRevaluationData,CreateDoneAwayOrder1,GetDataClosing,AutomaticClosing,GetMarkPriceData1,UpdateMarkPrice1,GetDayEndCash"&amp;"1,GetAccountBalance1,GetRevaluationData1,VerifyRevaluationData,VerifyTradingTransaction,GetActivityData,VerifyActivity,OpenSpinOff,SpinOff,VerifyAndApplyCorpAction,GetMarkPriceData2,UpdateMarkPrice2,GetAccountBalance2,GetRevaluationData2,VerifyRevaluation"&amp;"Data1,VerifyTradingTransaction1,GetActivityData1,VerifyActivity1,GetDataClosing1,VerifyLongPositionsGrid,GetDataAllocation,CheckAllocatedGroups,VerifyShortPositionsGrid"</formula1>
    </dataValidation>
    <dataValidation type="list" allowBlank="1" sqref="H363:K363">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formula1>
    </dataValidation>
    <dataValidation type="list" allowBlank="1" sqref="H975:K975">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VerifyLongPositionsGrid"</formula1>
    </dataValidation>
    <dataValidation type="list" allowBlank="1" sqref="H1654:K1654 H1698 H1742">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SpinOff,Copy of Data_conflict28307905"</formula1>
    </dataValidation>
    <dataValidation type="list" allowBlank="1" sqref="H1087:K1087">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formula1>
    </dataValidation>
    <dataValidation type="list" allowBlank="1" sqref="H1528:K1528">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formula1>
    </dataValidation>
    <dataValidation type="list" allowBlank="1" sqref="H1016:K1016">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VerifyAndApplyCorpAction,GetForexConversion2,GetMarkPriceDa"&amp;"ta2,Copy of Data_conflict1102868185,UpdateMarkPrice2,GetAccountBalance2,GetRevaluationData1,VerifyRevaluationData1,VerifyTradingTransaction1,GetDataClosing"</formula1>
    </dataValidation>
    <dataValidation type="list" allowBlank="1" sqref="H1348:K1348 H1390">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formula1>
    </dataValidation>
    <dataValidation type="list" allowBlank="1" sqref="H1975:K1975">
      <formula1>"GetNonTradingTransaction,AddNonTradingTransaction,CreateDoneAwayOrder,GetForexConversion,UpdateForexConversion,GetMarkPriceData,UpdateMarkPrice,GetDayEndCash,GetAccountBalance,GetForexConversion1,UpdateForexConversion1,GetMarkPriceData1,UpdateMarkPrice1,G"&amp;"etDayEndCash1,GetAccountBalance1,GetRevaluationData,VerifyRevaluationData,VerifyTradingTransaction,GetActivityData,VerifyActivity,OpenSpinOff,SpinOff,VerifyAndApplyCorpAction,GetForexConversion2,UpdateForexConversion2,GetMarkPriceData2,UpdateMarkPrice2,Ge"&amp;"tAccountBalance2,GetRevaluationData1,VerifyRevaluationData1,VerifyTradingTransaction1,GetActivityData1,VerifyActivity1,VerifyLongPositionsGrid,GetDataAllocation,CheckAllocatedGroups,Copy of Data,GetDataClosing"</formula1>
    </dataValidation>
    <dataValidation type="list" allowBlank="1" sqref="H280:K280">
      <formula1>"get,GetNonTradingTransaction,AddNonTradingTransaction,CreateDoneAwayOrder,GetMarkPriceData,UpdateMarkPrice,GetDayEndCash,CalculateDayEndCash,GetAccountBalance,GetRevaluationData,CreateDoneAwayOrder1,GetDataClosing,AutomaticClosing,GetMarkPriceData1"</formula1>
    </dataValidation>
    <dataValidation type="list" allowBlank="1" sqref="H1522:K1522">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Copy of Data,VerifyActivity"</formula1>
    </dataValidation>
    <dataValidation type="list" allowBlank="1" sqref="H1167:K1167 H1169:K1169">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formula1>
    </dataValidation>
    <dataValidation type="list" allowBlank="1" sqref="H275:K276">
      <formula1>"get,GetNonTradingTransaction,AddNonTradingTransaction,CreateDoneAwayOrder,GetMarkPriceData,UpdateMarkPrice,GetDayEndCash,CalculateDayEndCash,GetAccountBalance,GetRevaluationData"</formula1>
    </dataValidation>
    <dataValidation type="list" allowBlank="1" sqref="H210:K210">
      <formula1>"Copy of Data,GetNonTradingTransaction,AddNonTradingTransaction,CreateDoneAwayOrder,GetMarkPriceData,UpdateMarkPrice,GetDayEndCash,CalculateDayEndCash,GetAccountBalance,GetRevaluationData,GetDataClosing,AutomaticClosing,VerifyRevaluationData,VerifyTradingT"&amp;"ransaction,GetActivityData,VerifyActivity,OpenSpinOff"</formula1>
    </dataValidation>
    <dataValidation type="list" allowBlank="1" sqref="H2020:K2020">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OpenSpinOff,SpinOff,VerifyAndApplyCorpAction,VerifyLongPositionsGrid"</formula1>
    </dataValidation>
    <dataValidation type="list" allowBlank="1" sqref="H69:K69">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formula1>
    </dataValidation>
    <dataValidation type="list" allowBlank="1" sqref="H1435:K1442 H1444:K1445 H1567:H1574 H1576:H1577">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SpinOff,OpenSpinOff,VerifyAndApplyCorpAction"</formula1>
    </dataValidation>
    <dataValidation type="list" allowBlank="1" sqref="H1038:K1038">
      <formula1>"GetNonTradingTransaction,AddNonTradingTransaction,CreateDoneAwayOrder,GetForexConversion,upda,UpdateForexConversion,GetMarkPriceData,UpdateMarkPrice,GetDayEndCash,CalculateDayEndCash,GetAccountBalance,GetForexConversion1,UpdateForexConversion1,GetMarkPric"&amp;"eData1"</formula1>
    </dataValidation>
    <dataValidation type="list" allowBlank="1" sqref="H812:K812 H857:K857 H1242:K1242">
      <formula1>"GetNonTradingTransaction,AddNonTradingTransaction,CreateDoneAwayOrder,AddNonTradingTransaction1,GetForexConversion,UpdateForexConversion,GetMarkPriceData"</formula1>
    </dataValidation>
    <dataValidation type="list" allowBlank="1" sqref="H1093:K1093">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formula1>
    </dataValidation>
    <dataValidation type="list" allowBlank="1" sqref="H1609:K1609">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formula1>
    </dataValidation>
    <dataValidation type="list" allowBlank="1" sqref="H639:K639">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GetRevaluationData2,VerifyRevaluationData1,VerifyTradingTransaction1,GetActivityData1,VerifyActivity1,Verify"&amp;"ShortPositionsGrid,GetDataAllocation,CheckAllocatedGroups"</formula1>
    </dataValidation>
    <dataValidation type="list" allowBlank="1" sqref="H1031:K1031 H1035:K1035">
      <formula1>"GetNonTradingTransaction,AddNonTradingTransaction,CreateDoneAwayOrder,GetForexConversion,upda,UpdateForexConversion,GetMarkPriceData,UpdateMarkPrice,GetDayEndCash,CalculateDayEndCash,GetAccountBalance"</formula1>
    </dataValidation>
    <dataValidation type="list" allowBlank="1" sqref="H238:K238 H316:K316">
      <formula1>"GetNonTradingTransaction,AddNonTradingTransaction,CreateDoneAwayOrder,GetMarkPriceData,UpdateMarkPrice,GetDayEndCash,CalculateDayEndCash,GetAccountBalance,GetRevaluationData,GetDataClosing"</formula1>
    </dataValidation>
    <dataValidation type="list" allowBlank="1" sqref="H1117:K1117">
      <formula1>"GetNonTradingTransaction,AddNonTradingTransaction,c,CreateDoneAwayOrder,get,GetForexConversion,Copy of Data,Copy of Data_conflict1608974838,UpdateForexConversion,GetMarkPriceData"</formula1>
    </dataValidation>
    <dataValidation type="list" allowBlank="1" sqref="H1204:K1208">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formula1>
    </dataValidation>
    <dataValidation type="list" allowBlank="1" sqref="H102:K102">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formula1>
    </dataValidation>
    <dataValidation type="list" allowBlank="1" sqref="H973:K973">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formula1>
    </dataValidation>
    <dataValidation type="list" allowBlank="1" sqref="H1957:K1957">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formula1>
    </dataValidation>
    <dataValidation type="list" allowBlank="1" sqref="H1624:K1624">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SpinOff,VerifyAndApplyCorpAction,GetForex,VerifyLongPositionsGrid,GetDataAllocation"</formula1>
    </dataValidation>
    <dataValidation type="list" allowBlank="1" sqref="H281:K281">
      <formula1>"get,GetNonTradingTransaction,AddNonTradingTransaction,CreateDoneAwayOrder,GetMarkPriceData,UpdateMarkPrice,GetDayEndCash,CalculateDayEndCash,GetAccountBalance,GetRevaluationData,CreateDoneAwayOrder1,GetDataClosing,AutomaticClosing,GetMarkPriceData1,Update"&amp;"MarkPrice1"</formula1>
    </dataValidation>
    <dataValidation type="list" allowBlank="1" sqref="H1303:K1303">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formula1>
    </dataValidation>
    <dataValidation type="list" allowBlank="1" sqref="H637:K637">
      <formula1>"GetNonTradingTransaction,AddNonTradingTranItem,CreateDoneAwayOrder,GetMarkPriceData,UpdateMarkPrice,GetDayEndCash,GetAccountBalance,GetRevaluationData,CreateDoneAwayOrder1,GetDataClosing1,AutomaticClosing1,GetMarkPriceData2,UpdateMarkPrice2,GetDayEndCash2"&amp;",GetAccountBalance2,GetRevaluationData2,VerifyRevaluationData1,VerifyTradingTransaction1,GetActivityData1,VerifyActivity,OpenSpinOff1,SpinOff1,VerifyAndApplyCorpAction1,GetMarkPriceData4,UpdateMarkPrice3,GetAccountBalance3,GetRevaluationData3,VerifyRevalu"&amp;"ationData2,VerifyTradingTransaction2,GetActivityData2,VerifyActivity2,GetDataClosing2,VerifyShortPositionsGrid1,GetDataAllocation1,CheckAllocatedGroups1,Copy of Data 1_conflict1385895076,VerifyLongPositionsGrid"</formula1>
    </dataValidation>
    <dataValidation type="list" allowBlank="1" sqref="H1136:K1140">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formula1>
    </dataValidation>
    <dataValidation type="list" allowBlank="1" sqref="H1443:K1443 H1575">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SpinOff,OpenSpinOff,VerifyAndApplyCorpAction,GetForexConversion2,UpdateForexConversion2,GetMarkPric"&amp;"eData2,UpdateMarkPrice2,GetAccountBalance2,GetRevaluationData1,VerifyRevaluationData1,VerifyTradingTransaction1,GetActivityData1,GetDataClosing,VerifyShortPositionsGrid,GetDataAllocation,CheckAllocatedGroups"</formula1>
    </dataValidation>
    <dataValidation type="list" allowBlank="1" sqref="H278:K279">
      <formula1>"get,GetNonTradingTransaction,AddNonTradingTransaction,CreateDoneAwayOrder,GetMarkPriceData,UpdateMarkPrice,GetDayEndCash,CalculateDayEndCash,GetAccountBalance,GetRevaluationData,CreateDoneAwayOrder1,GetDataClosing,AutomaticClosing"</formula1>
    </dataValidation>
    <dataValidation type="list" allowBlank="1" sqref="H297:K297">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formula1>
    </dataValidation>
    <dataValidation type="list" allowBlank="1" sqref="H1053:K1053">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formula1>
    </dataValidation>
    <dataValidation type="list" allowBlank="1" sqref="H486:K486">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GetDataClosing"</formula1>
    </dataValidation>
    <dataValidation type="list" allowBlank="1" sqref="H787:K787">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formula1>
    </dataValidation>
    <dataValidation type="list" allowBlank="1" sqref="H103:K103">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formula1>
    </dataValidation>
    <dataValidation type="list" allowBlank="1" sqref="H1082:K1083">
      <formula1>"GetNonTradingTransaction,AddNonTradingTransaction,crea,CreateDoneAwayOrder,GetForexConversion,upda,UpdateForexConversion,GetMarkPriceData,UpdateMarkPrice,GetDayEndCash,CalculateDayEndCash,GetAccountBalance,upd,GetForexConversion1"</formula1>
    </dataValidation>
    <dataValidation type="list" allowBlank="1" sqref="H1173:K1173">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formula1>
    </dataValidation>
    <dataValidation type="list" allowBlank="1" sqref="H122:K122 H501:K501 H577:K577">
      <formula1>"GetNonTradingTransaction,AddNonTradingTransaction,CreateDoneAwayOrder,GetMarkPriceData,UpdateMarkPrice,GetDayEndCash,CalculateDayEndCash,GetAccountBalance,GetMarkPriceData1"</formula1>
    </dataValidation>
    <dataValidation type="list" allowBlank="1" sqref="H52:K52">
      <formula1>"GetNonTradingTransaction,AddNonTradingTransaction,CreateDoneAwayOrder,GetMarkPriceData,UpdateMarkPrice,GetDayEndCash,GetAccountBalance,GetMarkPriceData1"</formula1>
    </dataValidation>
    <dataValidation type="list" allowBlank="1" sqref="H600:K600">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Veri"&amp;"fyActivity1,GetDataClosing,VerifyShortPositionsGrid,GetDataAllocation,CheckAllocatedGroups"</formula1>
    </dataValidation>
    <dataValidation type="list" allowBlank="1" sqref="H1262:K1262">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formula1>
    </dataValidation>
    <dataValidation type="list" allowBlank="1" sqref="H120:K121 H155:K155 H157:K157 H235:K235 H313:K313 H352:K352 H391:K391 H429:K432 H464:K467 H499:K500 H575:K576">
      <formula1>"GetNonTradingTransaction,AddNonTradingTransaction,CreateDoneAwayOrder,GetMarkPriceData,UpdateMarkPrice,GetDayEndCash,CalculateDayEndCash,GetAccountBalance"</formula1>
    </dataValidation>
    <dataValidation type="list" allowBlank="1" sqref="H656:K656 H738:K738 H740:K740 H953:K953 H1954:K1954 H1956:K1956">
      <formula1>"GetNonTradingTransaction,AddNonTradingTransaction,CreateDoneAwayOrder,GetForexConversion,UpdateForexConversion,GetMarkPriceData,UpdateMarkPrice,GetDayEndCash,CalculateDayEndCash,GetAccountBalance,GetForexConversion1,UpdateForexConversion1,GetMarkPriceData"&amp;"1,UpdateMarkPrice1"</formula1>
    </dataValidation>
    <dataValidation type="list" allowBlank="1" sqref="H842:K842">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SpinOff,VerifyAndApplyCorpAction,G"&amp;"etForexConversion2,UpdateForexConversion2,GetMarkPriceData2,UpdateMarkPrice2,GetAccountBalance2,GetRevaluationData1,VerifyRevaluationData1,VerifyActivity1,GetDataClosing1,VerifyLongPositionsGrid,GetDataAllocation,CheckAllocatedGroups,Copy of Data"</formula1>
    </dataValidation>
    <dataValidation type="list" allowBlank="1" sqref="H904:K904">
      <formula1>"GetNonTradingTransaction,AddNonTradingTransaction,CreateDoneAwayOrder,GetForexConversion,UpdateDailyCash,UpdateForexConversion,GetMarkPriceData,UpdateMarkPrice,GetDayEndCash"</formula1>
    </dataValidation>
    <dataValidation type="list" allowBlank="1" sqref="H962:K962">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formula1>
    </dataValidation>
    <dataValidation type="list" allowBlank="1" sqref="H1529:K1529">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formula1>
    </dataValidation>
    <dataValidation type="list" allowBlank="1" sqref="H29:K29 H65:K65">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formula1>
    </dataValidation>
    <dataValidation type="list" allowBlank="1" sqref="H968:K968">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formula1>
    </dataValidation>
    <dataValidation type="list" allowBlank="1" sqref="H294:K294">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formula1>
    </dataValidation>
    <dataValidation type="list" allowBlank="1" sqref="H1232:K1232">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3_conflict2145686302,VerifyAndApplyCorpAction,GetForexConversion2,UpdateForexConversion2,GetMarkPriceData2,UpdateMarkPrice2,GetDataClosing,GetAccountBalance2,VerifyShortPositionsGrid,GetRevaluationData1,CheckAl"&amp;"locatedGroups,GetDataAllocation"</formula1>
    </dataValidation>
    <dataValidation type="list" allowBlank="1" sqref="H19:K19">
      <formula1>"GetNonTradingTransaction,AddNonTradingTransaction,CreateDoneAwayOrder,GetMarkPriceData,UpdateMarkPrice,GetDayEndCash,GetAccountBalance,GetMarkPriceData1,UpdateMarkPrice1,GetDayEndCash1,GetRevaluationData1,Copy of Data"</formula1>
    </dataValidation>
    <dataValidation type="list" allowBlank="1" sqref="H748:K752">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formula1>
    </dataValidation>
    <dataValidation type="list" allowBlank="1" sqref="H598:K598">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Veri"&amp;"fyActivity1,GetDataClosing,VerifyShortPositionsGrid"</formula1>
    </dataValidation>
    <dataValidation type="list" allowBlank="1" sqref="H125:K125">
      <formula1>"GetNonTradingTransaction,AddNonTradingTransaction,CreateDoneAwayOrder,GetMarkPriceData,UpdateMarkPrice,GetDayEndCash,CalculateDayEndCash,GetAccountBalance,GetMarkPriceData1,UpdateMarkPrice1,get,GetDayEndCash1,CalculateDayEndCash1"</formula1>
    </dataValidation>
    <dataValidation type="list" allowBlank="1" sqref="H1191:K1191">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VerifyTradingTransaction1,GetActivityData1,VerifyActivity1,GetDataClosing,VerifyLongPositionsGrid,GetDataAllocation,CheckAllocatedGr"&amp;"oups"</formula1>
    </dataValidation>
    <dataValidation type="list" allowBlank="1" sqref="H720:K720">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VerifyLongPositionsGrid,GetDataAllocation"</formula1>
    </dataValidation>
    <dataValidation type="list" allowBlank="1" sqref="H299:K299">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VerifyTradingTransaction1,GetActivityData1"</formula1>
    </dataValidation>
    <dataValidation type="list" allowBlank="1" sqref="H1483:K148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formula1>
    </dataValidation>
    <dataValidation type="list" allowBlank="1" sqref="H1002:K1002">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formula1>
    </dataValidation>
    <dataValidation type="list" allowBlank="1" sqref="H545:K545">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formula1>
    </dataValidation>
    <dataValidation type="list" allowBlank="1" sqref="H987:K987 H1288:K1288">
      <formula1>"GetNonTradingTransaction,AddNonTradingTransaction,AddNonTradingTransaction1,CreateDoneAwayOrder,GetForexConversion,UpdateForexConversion,GetMarkPriceData,UpdateMarkPrice"</formula1>
    </dataValidation>
    <dataValidation type="list" allowBlank="1" sqref="H47:K47 H117:K117 H152:K152 H232:K232 H310:K310 H349:K349 H388:K388 H426:K426 H461:K461 H496:K496 H533:K533 H572:K572">
      <formula1>"GetNonTradingTransaction,AddNonTradingTransaction,CreateDoneAwayOrder,GetMarkPriceData,UpdateMarkPrice"</formula1>
    </dataValidation>
    <dataValidation type="list" allowBlank="1" sqref="H893:K893">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GetForexConversion2,UpdateForexConversion2,GetMarkPriceData2,UpdateMarkPrice2,GetAccountBalance2,GetRevaluationData1,VerifyRevaluationData1,VerifyTradingTransaction1,GetActivityData1,VerifyActivity1,VerifyLongPositionsGrid,GetDataClosin"&amp;"g1,GetDataAllocation,CheckAllocatedGroups"</formula1>
    </dataValidation>
    <dataValidation type="list" allowBlank="1" sqref="H78:K78 H187:K187">
      <formula1>"Copy of Data,GetNonTradingTransaction"</formula1>
    </dataValidation>
    <dataValidation type="list" allowBlank="1" sqref="H651:K653 H692:K694 H733:K737 H948:K952 H1420:K1425 H1427:K1427 H1552:H1557 H1559 H1593:K1594 H1637:K1637 H1681 H1725 H1949:K1953">
      <formula1>"GetNonTradingTransaction,AddNonTradingTransaction,CreateDoneAwayOrder,GetForexConversion,UpdateForexConversion,GetMarkPriceData,UpdateMarkPrice,GetDayEndCash,CalculateDayEndCash,GetAccountBalance"</formula1>
    </dataValidation>
    <dataValidation type="list" allowBlank="1" sqref="H521:K521">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2,GetActivityData1,Veri"&amp;"fyActivity1,GetDataClosing"</formula1>
    </dataValidation>
    <dataValidation type="list" allowBlank="1" sqref="H622:K622">
      <formula1>"GetDataClosing,AutomaticClosing,GetMarkPriceData,GetMarkPriceData1,UpdateMarkPrice,UpdateMarkPrice1,GetDayEndCash,GetDayEndCash1,CalculateDayEndCash,GetAccountBalance,GetAccountBalance1,GetRevaluationData,GetRevaluationData1,VerifyRevaluationData,VerifyTr"&amp;"adingTransaction"</formula1>
    </dataValidation>
    <dataValidation type="list" allowBlank="1" sqref="H549:K549">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formula1>
    </dataValidation>
    <dataValidation type="list" allowBlank="1" sqref="H1044:K1044">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formula1>
    </dataValidation>
    <dataValidation type="list" allowBlank="1" sqref="H303:K303">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VerifyTradingTransaction1,GetActivityData1,VerifyActivity1,GetDataClosing1,VerifyLongPositionsGrid,GetDataAllocation,CheckAllocatedGroups"</formula1>
    </dataValidation>
    <dataValidation type="list" allowBlank="1" sqref="H1010:K1014">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VerifyAndApplyCorpAction,GetForexConversion2,GetMarkPriceDa"&amp;"ta2,Copy of Data_conflict1102868185,UpdateMarkPrice2"</formula1>
    </dataValidation>
    <dataValidation type="list" allowBlank="1" sqref="H746:K746">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formula1>
    </dataValidation>
    <dataValidation type="list" allowBlank="1" sqref="F1322:F1323">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amp;",,,,,,,,,,,,,,,,,,,,,,,,,,,,,,,,,,,,,,,,,,,,,,,,,,,,,,,,,,,,,,,,,,,,,,,,,,,,,,,,,,,,,,,,,,,,,,,,,,,,,,,,,,,,,,,,,,,,,,,,,,,,,,,,,,,,,,,,,,,,,,,,,,,,,,,,,,,,,,,,,,,,,,,,,,,,,,,,,,,,,,,,,,,,,,,,,,,,,,,,,,,,,,,,,,,,,,,,,,,,,,,,,,,,,,,,,,,,,,,,,,,,,,,,,,,,,,,"&amp;",,,,,,,,,,,,,,,,,,,,,,,,,,,,,,,,,,,,,,,,,,,,,,,,,,,,,,,,,,,,,,,,,,,,,,,,,,,,,,,,,,,"</formula1>
    </dataValidation>
    <dataValidation type="list" allowBlank="1" sqref="H784:K784">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formula1>
    </dataValidation>
    <dataValidation type="list" allowBlank="1" sqref="H1970:K1974">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Data_conflict2120706847,GetAccountBalance1,VerifyRevaluationData,VerifyTradingTransaction,GetActivityData,VerifyActivity,OpenSpinOff,SpinOff,VerifyAndApplyCorpAction,GetForexConversion2,UpdateFo"&amp;"rexConversion2,GetMarkPriceData2,UpdateMarkPrice2,GetAccountBalance2"</formula1>
    </dataValidation>
    <dataValidation type="list" allowBlank="1" sqref="H875:K875">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formula1>
    </dataValidation>
    <dataValidation type="list" allowBlank="1" sqref="H1449:K1449">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SpinOff,OpenSpinOff,VerifyAndApplyCorpAction,GetDataClosing,VerifyShortPositionsGrid,GetDataAllocation,CheckAllocatedGroups"</formula1>
    </dataValidation>
    <dataValidation type="list" allowBlank="1" sqref="H654:K655">
      <formula1>"GetNonTradingTransaction,AddNonTradingTransaction,CreateDoneAwayOrder,GetForexConversion,UpdateForexConversion,GetMarkPriceData,UpdateMarkPrice,GetDayEndCash,CalculateDayEndCash,GetAccountBalance,GetForexConversion1,UpdateForexConversion1"</formula1>
    </dataValidation>
    <dataValidation type="list" allowBlank="1" sqref="H1041:K1041">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formula1>
    </dataValidation>
    <dataValidation type="list" allowBlank="1" sqref="H743:K743">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formula1>
    </dataValidation>
    <dataValidation type="list" allowBlank="1" sqref="H814:K814 H859:K859 H1243:K1243">
      <formula1>"GetNonTradingTransaction,AddNonTradingTransaction,CreateDoneAwayOrder,AddNonTradingTransaction1,GetForexConversion,UpdateForexConversion,GetMarkPriceData,UpdateMarkPrice,GetDayEndCash"</formula1>
    </dataValidation>
    <dataValidation type="list" allowBlank="1" sqref="H700:K700">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formula1>
    </dataValidation>
    <dataValidation type="list" allowBlank="1" sqref="F30:F35 F57:F60 F66:F71 F78:F79 F83:F85 F88:F95 F101:F106 F113:F114 F118:F120 F123:F130 F136:F141 F148:F149 F153:F156 F162:F169 F175:F180 F187:F189 F193:F196 F202:F209 F215:F220 F227:F229 F233:F236 F242:F249 F255:F260 F267:F268 F272:F275 F281:F288 F294:F299 F306:F307 F311:F314 F320:F327 F333:F338 F345:F346 F350:F353 F359:F366 F372:F377 F384:F385 F389:F392 F398:F405 F411:F416 F422:F423 F427:F429 F432:F439 F445:F450 F457:F458 F462:F464 F467:F474 F480:F485 F492:F493 F497:F499 F502:F509 F515:F520 F527:F528 F534:F536 F541:F548 F556:F561 F568:F569 F573:F575 F578:F585 F591:F596 F603:F604 F608:F611 F617:F624 F630:F635 F642:F643 F649:F651 F656:F663 F671:F676 F683:F684 F690:F692 F697:F704 F712:F717 F724:F725 F731:F733 F738:F745 F753:F758 F763 F765:F766 F772:F774 F779:F786 F794:F799 F804 F806:F808 F814:F816 F824:F831 F839:F844 F849 F851:F853 F859:F861 F869:F876 F884:F889 F894 F896:F898 F904:F906 F911:F918 F926:F931 F936 F938:F940 F946:F948 F953:F960 F968:F973 F978 F980:F982 F988:F990 F995:F1002 F1010:F1015 F1020 F1022:F1023 F1029:F1031 F1039:F1046 F1054:F1059 F1064:F1065 F1067:F1068 F1074:F1076 F1084:F1091 F1099:F1104 F1109:F1110 F1112:F1113 F1119:F1121 F1126:F1133 F1141:F1146 F1151 F1153:F1154 F1160:F1162 F1167:F1174 F1182:F1187 F1192 F1194:F1196 F1202:F1204 F1209:F1216 F1224:F1229 F1234 F1236:F1238 F1244:F1246 F1254:F1261 F1269:F1274 F1279 F1281:F1283 F1289:F1291 F1299:F1306 F1314:F1319 F1324 F1326:F1328 F1334:F1336 F1341:F1348 F1356:F1361 F1366 F1368:F1370 F1376:F1378 F1383:F1390 F1398:F1403 F1408 F1410:F1412 F1418:F1420 F1425:F1432 F1440:F1445 F1450:F1451 F1453:F1454 F1460:F1462 F1470:F1477 F1485:F1490 F1496 F1498:F1499 F1505:F1507 F1515:F1522 F1530:F1535 F1540 H1543 F1542:F1544 F1550:F1552 F1557:F1564 F1572:F1577 F1582 F1584:F1585 F1591:F1593 F1601:F1608 F1616:F1621 F1626 F1628:F1629 F1635:F1637 F1645:F1652 F1660:F1665 F1670 F1672:F1673 F1679:F1681 F1689:F1696 F1704:F1709 F1714 H1716 F1716:F1717 F1723:F1725 F1733:F1740 F1748:F1753 F1760:F1762 F1768:F1770 F1778:F1785 F1793:F1798 F1805:F1807 F1813:F1815 F1823:F1830 F1838:F1843 F1850:F1852 F1858:F1860 F1868:F1875 F1883:F1888 F1895:F1897 F1903:F1905 F1913:F1920 F1928:F1933 F1940:F1941 F1947:F1949 F1954:F1961 F1969:F1974 F1981:F1982 F1988:F1990 F1998:F2005 F2013:F2018">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CalculateDayEndCash,CalculateDayEndCash,VerifyOpeningBalanceData,,,,,,,,,,,,,,,,,,,,,,,,,,,,,,,,,,,,,,,,,,,,,,,,,,,,,,,,,,,,,,,,,,,,,,,,,,,,,,,,,,,,,,,,,,,,,,,"&amp;",,,,,,,,,,,,,,,,,,,,,,,,,,,,,,,,,,,,,,,,,,,,,,,,,,,,,,,,,,,,,,,,,,,,,,,,,,,,,,,,,,,,,,,,,,,,,,,,,,,,,,,,,,,,,,,,,,,,,,,,,,,,,,,,,,,,,,,,,,,,,,,,,,,,,,,,,,,,,,,,,,,,,,,,,,,,,,,,,,,,,,,,,,,,,,,,,,,,,,,,,,,,,,,,,,,,,,,,,,,,,,,,,,,,,,,,,,,,,,,,,,,,,,,,,,,,,,,"&amp;",,,,,,,,,,,,,,,,,,,,,,,,,,,,,,,,,,,,,,,,,,,,,,,,,,,,,,,,,,,,,,,,,,,,,,,,,,,,,,,,,,,,,,,,,,,,,,"</formula1>
    </dataValidation>
    <dataValidation type="list" allowBlank="1" sqref="H1304:K1304">
      <formula1>"GetNonTradingTransaction,AddNonTradingTransaction,AddNonTradingTransaction1,CreateDoneAwayOrder,GetForexConversion,UpdateForexConversion,GetMarkPriceData,UpdateMarkPrice,GetDayEndCash,CalculateDayEndCash,GetAccountBalance,GetDataClosing,AutomaticClosing,C"&amp;"reateDoneAwayOrder1,GetForexConversion1,UpdateForexConversion1,GetMarkPriceData1,UpdateMarkPrice1,GetDayEndCash1,GetAccountBalance1,VerifyRevaluationData,Copy of Data_conflict1608299007,VerifyTradingTransaction"</formula1>
    </dataValidation>
    <dataValidation type="list" allowBlank="1" sqref="H1620:K1620">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VerifyActivity1,GetDataClosing1,VerifyLongPositionsGrid,GetDataAllocation,CheckAllocatedGroups,Copy of Data,Copy of "&amp;"Data 1"</formula1>
    </dataValidation>
    <dataValidation type="list" allowBlank="1" sqref="H404:K404">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formula1>
    </dataValidation>
    <dataValidation type="list" allowBlank="1" sqref="H1047:K1047">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formula1>
    </dataValidation>
    <dataValidation type="list" allowBlank="1" sqref="H283:K283">
      <formula1>"get,GetNonTradingTransaction,AddNonTradingTransaction,CreateDoneAwayOrder,GetMarkPriceData,UpdateMarkPrice,GetDayEndCash,CalculateDayEndCash,GetAccountBalance,GetRevaluationData,CreateDoneAwayOrder1,GetDataClosing,AutomaticClosing,GetMarkPriceData1,Update"&amp;"MarkPrice1,GetDayEndCash1"</formula1>
    </dataValidation>
    <dataValidation type="list" allowBlank="1" sqref="H366:K366">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formula1>
    </dataValidation>
    <dataValidation type="list" allowBlank="1" sqref="H325:K325">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Copy of Data"</formula1>
    </dataValidation>
    <dataValidation type="list" allowBlank="1" sqref="H663:K663">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formula1>
    </dataValidation>
    <dataValidation type="list" allowBlank="1" sqref="H1346:K1346 H1388">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formula1>
    </dataValidation>
    <dataValidation type="list" allowBlank="1" sqref="H286:K286">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formula1>
    </dataValidation>
    <dataValidation type="list" allowBlank="1" sqref="H247:K247">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formula1>
    </dataValidation>
    <dataValidation type="list" allowBlank="1" sqref="H771:K771">
      <formula1>"GetNonTradingTransaction,AddNonTradingTransaction,CreateDoneAwayOrder,get,GetForexConversion,UpdateForexConversion,GetMarkPriceData,UpdateMarkPrice"</formula1>
    </dataValidation>
    <dataValidation type="list" allowBlank="1" sqref="H328:K329">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formula1>
    </dataValidation>
    <dataValidation type="list" allowBlank="1" sqref="H289:K289">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formula1>
    </dataValidation>
    <dataValidation type="list" allowBlank="1" sqref="H1595:K1595">
      <formula1>"GetNonTradingTransaction,AddNonTradingTransaction,CreateDoneAwayOrder,GetForexConversion,UpdateForexConversion,GetMarkPriceData,UpdateMarkPrice,GetDayEndCash,CalculateDayEndCash,GetAccountBalance,GetDataClosing"</formula1>
    </dataValidation>
    <dataValidation type="list" allowBlank="1" sqref="F1364:F1365 F1406:F140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amp;",,,,,,,,,,,,,,,,,,,,,,,,,,,,,,,,,,,,,,,,,,,,,,,,,,,,,,,,,,,,,,,,,,,,,,,,,,,,,,,,,,,,,,,,,,,,,,,,,,,,,,,,,,,,,,,,,,,,,,,,,,,,,,,,,,,,,,,,,,,,,,,,,,,,,,,,,,,,,,,,,,,,,,,,,,,,,,,,,,,,,,,,,,,,,,,,,,,,,,,,,,,,,,,,,,,,,,,,,,,,,,,,,,,,,,,,,,,,,,,,,,,,,,,,,,,,,,,"&amp;",,,,,,,,,,,,,,,,,,,,,,,,,,,,,,,,,,,,,,,,,,,,,,,,,,,,,,,,,,,,,,,,,,,,,,,,,,,,,,,,,,,,,,,,,,,,,,,,,,,,,,,,,,,,,,,,,,,,,,,,,,,"</formula1>
    </dataValidation>
    <dataValidation type="list" allowBlank="1" sqref="H272:K272">
      <formula1>"get,GetNonTradingTransaction,AddNonTradingTransaction,CreateDoneAwayOrder,GetMarkPriceData,UpdateMarkPrice,GetDayEndCash"</formula1>
    </dataValidation>
    <dataValidation type="list" allowBlank="1" sqref="H964:K964">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Copy of Data"</formula1>
    </dataValidation>
    <dataValidation type="list" allowBlank="1" sqref="H714:K714">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formula1>
    </dataValidation>
    <dataValidation type="list" allowBlank="1" sqref="H1042:K1042">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formula1>
    </dataValidation>
    <dataValidation type="list" allowBlank="1" sqref="H43:K43 H113:K113 H148:K148 H227:K227 H306:K306 H345:K345 H384:K384 H422:K422 H457:K457 H492:K492 H527:K527 H568:K568 H603:K603 H642:K642 H683:K683 H851:K851 H896:K896 H938:K938 H1153:K1153 H1194:K1194 H1236:K1236 H1281:K1281 H1326:K1326 H1368 H1410:K1410 H1542:K1542 H1584:K1584 H1628:K1628 H1672 H1940:K1940 H1981:K1981">
      <formula1>"GetNonTradingTransaction"</formula1>
    </dataValidation>
    <dataValidation type="list" allowBlank="1" sqref="H1099:K1099">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formula1>
    </dataValidation>
    <dataValidation type="list" allowBlank="1" sqref="H1074:K1074">
      <formula1>"GetNonTradingTransaction,AddNonTradingTransaction,crea,CreateDoneAwayOrder,GetForexConversion,upda,UpdateForexConversion,GetMarkPriceData,UpdateMarkPrice,GetDayEndCash"</formula1>
    </dataValidation>
    <dataValidation type="list" allowBlank="1" sqref="H1490:K1490">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formula1>
    </dataValidation>
    <dataValidation type="list" allowBlank="1" sqref="H474:K474">
      <formula1>"GetNonTradingTransaction,AddNonTradingTransaction,CreateDoneAwayOrder,GetMarkPriceData,UpdateMarkPrice,GetDayEndCash,CalculateDayEndCash,GetAccountBalance,GetAccountDetails,GetRevaluationData,VerifyRevaluationData,VerifyTradingTransaction,GetActivityData,"&amp;"VerifyActivity"</formula1>
    </dataValidation>
    <dataValidation type="list" allowBlank="1" sqref="H629:K629">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formula1>
    </dataValidation>
    <dataValidation type="list" allowBlank="1" sqref="H761:K761">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GetForexConversion2,GetMarkPriceData2,UpdateForexConversion2,UpdateMarkPric"&amp;"e2,GetAccountBalance2,GetRevaluationData1,VerifyRevaluationData1,VerifyTradingTransaction1,GetActivityData1,VerifyActivity1,GetDataClosing,VerifyShortPositionsGrid,GetDataAllocation"</formula1>
    </dataValidation>
    <dataValidation type="list" allowBlank="1" sqref="H73:K73">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1,GetActivityData1,VerifyActivity1,GetDataC"&amp;"losing,VerifyLongPositionsGrid"</formula1>
    </dataValidation>
    <dataValidation type="list" allowBlank="1" sqref="H128:K128">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formula1>
    </dataValidation>
    <dataValidation type="list" allowBlank="1" sqref="H1226:K1227">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3_conflict2145686302,VerifyAndApplyCorpAction,GetForexConversion2,Copy of Data 4"</formula1>
    </dataValidation>
    <dataValidation type="list" allowBlank="1" sqref="H1160:K1160">
      <formula1>"GetNonTradingTransaction,AddNonTradingTransaction,Copy of Data,CreateDoneAwayOrder,GetForexConversion,UpdateForexConversion,GetMarkPriceData,UpdateMarkPrice,GetDayEndCash"</formula1>
    </dataValidation>
    <dataValidation type="list" allowBlank="1" sqref="H135:K135">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formula1>
    </dataValidation>
    <dataValidation type="list" allowBlank="1" sqref="H441:K441 H511:K511 H587:K587">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formula1>
    </dataValidation>
    <dataValidation type="list" allowBlank="1" sqref="H1180:K1180">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formula1>
    </dataValidation>
    <dataValidation type="list" allowBlank="1" sqref="H74:K74">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1,GetActivityData1,VerifyActivity1,GetDataC"&amp;"losing,VerifyLongPositionsGrid,GetDataAllocation"</formula1>
    </dataValidation>
    <dataValidation type="list" allowBlank="1" sqref="H1090:K1090">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formula1>
    </dataValidation>
    <dataValidation type="list" allowBlank="1" sqref="H699:K699">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formula1>
    </dataValidation>
    <dataValidation type="list" allowBlank="1" sqref="H1276:K1276">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GetForexConversion2,UpdateForexConversion2,GetMarkPriceData2,UpdateMarkPrice2,GetAccountBalance2,GetRevaluationData1,VerifyRevaluationData1,VerifyTradingTransaction1,GetActivityData1,VerifyActivity1,VerifyShortPositionsGrid"</formula1>
    </dataValidation>
    <dataValidation type="list" allowBlank="1" sqref="H144:K144">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VerifyTradingTransaction1,GetActivityData"&amp;"1,VerifyActivity1,GetDataClosing,VerifyShortPositionsGrid,GetDataAllocation"</formula1>
    </dataValidation>
    <dataValidation type="list" allowBlank="1" sqref="H1119:K1119">
      <formula1>"GetNonTradingTransaction,AddNonTradingTransaction,c,CreateDoneAwayOrder,get,GetForexConversion,Copy of Data,Copy of Data_conflict1608974838,UpdateForexConversion,GetMarkPriceData,UpdateMarkPrice,GetDayEndCash"</formula1>
    </dataValidation>
    <dataValidation type="list" allowBlank="1" sqref="H995:K995 H997:K997">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formula1>
    </dataValidation>
    <dataValidation type="list" allowBlank="1" sqref="H1051:K1051">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formula1>
    </dataValidation>
    <dataValidation type="list" allowBlank="1" sqref="H106:K106">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VerifyTradingTransaction1,GetActiv"&amp;"ityData1"</formula1>
    </dataValidation>
    <dataValidation type="list" allowBlank="1" sqref="H1612:K1612 H1616:K1619 H1621:K1622">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SpinOff,VerifyAndApplyCorpAction,GetForex"</formula1>
    </dataValidation>
    <dataValidation type="list" allowBlank="1" sqref="H140:K140">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VerifyTradingTransaction1"</formula1>
    </dataValidation>
    <dataValidation type="list" allowBlank="1" sqref="H244:K244">
      <formula1>"GetNonTradingTransaction,AddNonTradingTransaction,CreateDoneAwayOrder,GetMarkPriceData,UpdateMarkPrice,GetDayEndCash,CalculateDayEndCash,GetAccountBalance,GetRevaluationData,GetDataClosing,AutomaticClosing,GetMarkPriceData1,UpdateMarkPrice1,GetDayEndCash1"&amp;",Copy of Data"</formula1>
    </dataValidation>
    <dataValidation type="list" allowBlank="1" sqref="H37:K37">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VerifyTradingTransaction2,GetActivityData1,VerifyActivity1,GetDataClosing,VerifyShortPo"&amp;"sitionsGrid,Copy of Data_conflict1242865907"</formula1>
    </dataValidation>
    <dataValidation type="list" allowBlank="1" sqref="H435:K435 H505:K505 H581:K581">
      <formula1>"GetNonTradingTransaction,AddNonTradingTransaction,CreateDoneAwayOrder,GetMarkPriceData,UpdateMarkPrice,GetDayEndCash,CalculateDayEndCash,GetAccountBalance,GetMarkPriceData1,UpdateMarkPrice1,GetDayEndCash1,GetAccountBalance1,GetRevaluationData"</formula1>
    </dataValidation>
    <dataValidation type="list" allowBlank="1" sqref="H1211:K1211">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formula1>
    </dataValidation>
    <dataValidation type="list" allowBlank="1" sqref="H1640:K1640 H1684 H1728">
      <formula1>"GetNonTradingTransaction,AddNonTradingTransaction,CreateDoneAwayOrder,GetForexConversion,UpdateForexConversion,GetMarkPriceData,UpdateMarkPrice,GetDayEndCash,GetAccountBalance,AutomaticClosing,GetDataClosing"</formula1>
    </dataValidation>
    <dataValidation type="list" allowBlank="1" sqref="H20:K20">
      <formula1>"GetNonTradingTransaction,AddNonTradingTransaction,CreateDoneAwayOrder,GetMarkPriceData,UpdateMarkPrice,GetDayEndCash,GetAccountBalance,GetMarkPriceData1,UpdateMarkPrice1,GetDayEndCash1,GetAccountBalance1,verifyre,Copy of Data,GetRevaluationData"</formula1>
    </dataValidation>
    <dataValidation type="list" allowBlank="1" sqref="H719:K719">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VerifyLongPositionsGrid"</formula1>
    </dataValidation>
    <dataValidation type="list" allowBlank="1" sqref="H1144:K1145">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GetAccountBalance2,GetRevaluationData1,VerifyRevaluationData1"</formula1>
    </dataValidation>
    <dataValidation type="list" allowBlank="1" sqref="H630:K630">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formula1>
    </dataValidation>
    <dataValidation type="list" allowBlank="1" sqref="H935:K935">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GetAccountBalance2,GetRevaluationData1,VerifyRevaluationData1,VerifyTradingTransaction1,GetActivityData1,VerifyActivity1,GetDataClosing,VerifyLongPositionsGrid,CheckAllocatedGroups"</formula1>
    </dataValidation>
    <dataValidation type="list" allowBlank="1" sqref="H206:K206">
      <formula1>"Copy of Data,GetNonTradingTransaction,AddNonTradingTransaction,CreateDoneAwayOrder,GetMarkPriceData,UpdateMarkPrice,GetDayEndCash,CalculateDayEndCash,GetAccountBalance,GetRevaluationData,GetDataClosing,AutomaticClosing,VerifyRevaluationData"</formula1>
    </dataValidation>
    <dataValidation type="list" allowBlank="1" sqref="H524:K524">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2,GetActivityData1,Veri"&amp;"fyActivity1,GetDataClosing,VerifyShortPositionsGrid,GetDataAllocation,CheckAllocatedGroups"</formula1>
    </dataValidation>
    <dataValidation type="list" allowBlank="1" sqref="H1104:K1104">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Data,SpinOff,VerifyAndApplyCorpAction,GetForexConversion2,UpdateForexConversion2,GetMarkPriceD"&amp;"ata2,UpdateMarkPrice2,GetAccountBalance2,GetRevaluationData1,VerifyRevaluationData1,VerifyTradingTransaction1,GetActivityData1"</formula1>
    </dataValidation>
    <dataValidation type="list" allowBlank="1" sqref="H1118:K1118">
      <formula1>"GetNonTradingTransaction,AddNonTradingTransaction,c,CreateDoneAwayOrder,get,GetForexConversion,Copy of Data,Copy of Data_conflict1608974838,UpdateForexConversion,GetMarkPriceData,UpdateMarkPrice"</formula1>
    </dataValidation>
    <dataValidation type="list" allowBlank="1" sqref="H1181:K1181">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formula1>
    </dataValidation>
    <dataValidation type="list" allowBlank="1" sqref="H801:K801">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VerifyAndApplyCorpAction,GetForexConversion2,UpdateForexConversion2,GetMarkPriceD"&amp;"ata2,UpdateMarkPrice2,GetAccountBalance2,VerifyRevaluationData1,GetRevaluationData1,VerifyTradingTransaction1,VerifyActivity1,GetActivityData1,GetDataClosing,VerifyShortPositionsGrid"</formula1>
    </dataValidation>
    <dataValidation type="list" allowBlank="1" sqref="H2006:K2006">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OpenSpinOff"</formula1>
    </dataValidation>
    <dataValidation type="list" allowBlank="1" sqref="H873:K874">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formula1>
    </dataValidation>
    <dataValidation type="list" allowBlank="1" sqref="H1165:K1165">
      <formula1>"GetNonTradingTransaction,AddNonTradingTransaction,Copy of Data,CreateDoneAwayOrder,GetForexConversion,UpdateForexConversion,GetMarkPriceData,UpdateMarkPrice,GetDayEndCash,CalculateDayEndCash,GetAccountBalance,GetForexConversion1,UpdateForexConversion1"</formula1>
    </dataValidation>
    <dataValidation type="list" allowBlank="1" sqref="H405:K405">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formula1>
    </dataValidation>
    <dataValidation type="list" allowBlank="1" sqref="H813:K813 H858:K858">
      <formula1>"GetNonTradingTransaction,AddNonTradingTransaction,CreateDoneAwayOrder,AddNonTradingTransaction1,GetForexConversion,UpdateForexConversion,GetMarkPriceData,UpdateMarkPrice"</formula1>
    </dataValidation>
    <dataValidation type="list" allowBlank="1" sqref="H522:K522">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2,GetActivityData1,Veri"&amp;"fyActivity1,GetDataClosing,VerifyShortPositionsGrid"</formula1>
    </dataValidation>
    <dataValidation type="list" allowBlank="1" sqref="H21:K21">
      <formula1>"GetNonTradingTransaction,AddNonTradingTransaction,CreateDoneAwayOrder,GetMarkPriceData,UpdateMarkPrice,GetDayEndCash,GetAccountBalance,GetMarkPriceData1,UpdateMarkPrice1,GetDayEndCash1,GetAccountBalance1,verifyre,Copy of Data,GetRevaluationData,VerifyReva"&amp;"luationData"</formula1>
    </dataValidation>
    <dataValidation type="list" allowBlank="1" sqref="H1344:K1344 H1386">
      <formula1>"GetNonTradingTransaction,AddNonTradingTransaction,CreateDoneAwayOrder,GetForexConversion,UpdateForexConversion,GetMarkPriceData,UpdateMarkPrice,GetDayEndCash,GetAccountBalance,GetForexConversion1,UpdateForexConversion1,GetMarkPriceData1,UpdateMarkPrice1,G"&amp;"etDayEndCash1,GetRevaluationData"</formula1>
    </dataValidation>
    <dataValidation type="list" allowBlank="1" sqref="H516:K516 H592:K592">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formula1>
    </dataValidation>
    <dataValidation type="list" allowBlank="1" sqref="H333:K333">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Copy of Data"</formula1>
    </dataValidation>
    <dataValidation type="list" allowBlank="1" sqref="H930:K931">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SpinOff,VerifyAndApplyCorpAction,GetForexConversion2,UpdateForexConversion2,G"&amp;"etMarkPriceData2,UpdateMarkPrice2,GetAccountBalance2,GetRevaluationData1,VerifyRevaluationData1,VerifyTradingTransaction1"</formula1>
    </dataValidation>
    <dataValidation type="list" allowBlank="1" sqref="H90:K90">
      <formula1>"Copy of Data,GetNonTradingTransaction,AddNonTradingTransaction,CreateDoneAwayOrder,GetMarkPriceData,UpdateMarkPrice,GetDayEndCash,CalculateDayEndCash,GetAccountBalance,GetMarkPriceData1,UpdateMarkPrice1,GetDayEndCash1"</formula1>
    </dataValidation>
    <dataValidation type="list" allowBlank="1" sqref="H707:K708">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formula1>
    </dataValidation>
    <dataValidation type="list" allowBlank="1" sqref="H701:K701">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formula1>
    </dataValidation>
    <dataValidation type="list" allowBlank="1" sqref="H832:K832">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formula1>
    </dataValidation>
    <dataValidation type="list" allowBlank="1" sqref="H302:K302">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VerifyTradingTransaction1,GetActivityData1,VerifyActivity1,GetDataClosing1,VerifyLongPositionsGrid,GetDataAllocation"</formula1>
    </dataValidation>
    <dataValidation type="list" allowBlank="1" sqref="H1479:K1479">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formula1>
    </dataValidation>
    <dataValidation type="list" allowBlank="1" sqref="H647:K647 H688:K688 H729:K729 H944:K944 H1332:K1332 H1374 H1416:K1416 H1458:K1458 H1503:K1503 H1548 H1589:K1589 H1945:K1945">
      <formula1>"GetNonTradingTransaction,AddNonTradingTransaction,CreateDoneAwayOrder,GetForexConversion,UpdateForexConversion,GetMarkPriceData"</formula1>
    </dataValidation>
    <dataValidation type="list" allowBlank="1" sqref="H709:K709">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formula1>
    </dataValidation>
    <dataValidation type="list" allowBlank="1" sqref="H1015:K1015">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VerifyAndApplyCorpAction,GetForexConversion2,GetMarkPriceDa"&amp;"ta2,Copy of Data_conflict1102868185,UpdateMarkPrice2,GetAccountBalance2,GetRevaluationData1,VerifyRevaluationData1,VerifyTradingTransaction1"</formula1>
    </dataValidation>
    <dataValidation type="list" allowBlank="1" sqref="H16:K16">
      <formula1>"GetNonTradingTransaction,AddNonTradingTransaction,GetMarkPriceData,UpdateMarkPrice,GetDayEndCash,GetRevaluationData,GetMarkPriceData1"</formula1>
    </dataValidation>
    <dataValidation type="list" allowBlank="1" sqref="H477:K477">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GetDataClosing,VerifyLongPositionsGrid,Copy of Data 1,GetDataAllocation,CheckAllocatedGroups,GetMarkPriceData1,UpdateMarkPrice1,GetDayEndCash1,GetAccountBalance1,GetMarkPriceData2,UpdateMarkPrice2,GetAccountBalance"&amp;"2,GetRevaluationData1,VerifyRevaluationData1,VerifyTradingTransaction1,GetActivityData1,VerifyActivity1,VerifyAndSaveCorpAction,VerifyAndApplyCorpAction"</formula1>
    </dataValidation>
    <dataValidation type="list" allowBlank="1" sqref="F74:F75 F109:F110 F144:F145 F183:F185 F223:F224 F263:F264 F302:F303 F341:F342 F380:F381 F419:F420 F453:F454 F488:F489 F523:F524 F564:F565 F599:F600 F638:F639 F679:F680 F720:F721 F761:F762 F802:F803 F847:F848 F892:F893 F934:F935 F976:F977 F1018:F1019">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amp;",,,,,,,,,,,,,,,,,,,,,,,,,,,,,,,,,,,,,,,,,,,,,,,,,,,,,,,,,,,,,,,,,,,,,,,,,,,,,,,,,,,,,,,,,,,,,,,,,,,,,,,,,,,,,,,,,,,,,,,,,,,,,,,,,,,,,,,,,,,,,,,,,,,,,,,,,,,,,,,,,,,,,,,,,,,,,,,,,,,,,,,,,,,,,,,,,,,,,,,,,,,,,,,,,,,,,,,,,,,,"</formula1>
    </dataValidation>
    <dataValidation type="list" allowBlank="1" sqref="H1182:K1182">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formula1>
    </dataValidation>
    <dataValidation type="list" allowBlank="1" sqref="H515:K515 H591:K591">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formula1>
    </dataValidation>
    <dataValidation type="list" allowBlank="1" sqref="H1520:K1520">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formula1>
    </dataValidation>
    <dataValidation type="list" allowBlank="1" sqref="H1323:K1323">
      <formula1>"GetNonTradingTransaction,AddNonTradingTransaction,AddNonTradingTransaction1,CreateDoneAwayOrder,GetForexConversion,UpdateForexConversion,GetMarkPriceData,UpdateMarkPrice,GetDayEndCash,GetAccountBalance,CreateDoneAwayOrder1,GetDataClosing,AutomaticClosing,"&amp;"GetForexConversion1,UpdateForexConversion1,GetMarkPriceData1,UpdateMarkPrice1,GetDayEndCash1,GetAccountBalance1,GetRevaluationData,VerifyRevaluationData,VerifyTradingTransaction,GetActivityData,VerifyActivity,OpenSpinOff,SpinOff,VerifyAndApplyCorpAction,G"&amp;"etForexConversion2,UpdateForexConversion2,GetMarkPriceData2,UpdateMarkPrice2,GetAccountBalance2,GetRevaluationData1,VerifyRevaluationData1,VerifyTradingTransaction1,GetActivityData1,VerifyActivity1,GetDataClosing1,VerifyShortPositionsGrid,GetDataAllocatio"&amp;"n,CheckAllocatedGroups"</formula1>
    </dataValidation>
    <dataValidation type="list" allowBlank="1" sqref="H1472:K1472 H1647:K1647 H1691 H1735">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formula1>
    </dataValidation>
    <dataValidation type="list" allowBlank="1" sqref="H101:K101">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formula1>
    </dataValidation>
    <dataValidation type="list" allowBlank="1" sqref="H621:K621">
      <formula1>"GetDataClosing,AutomaticClosing,GetMarkPriceData,GetMarkPriceData1,UpdateMarkPrice,UpdateMarkPrice1,GetDayEndCash,GetDayEndCash1,CalculateDayEndCash,GetAccountBalance,GetAccountBalance1,GetRevaluationData,GetRevaluationData1,VerifyRevaluationData"</formula1>
    </dataValidation>
    <dataValidation type="list" allowBlank="1" sqref="H239:K242 H317:K318">
      <formula1>"GetNonTradingTransaction,AddNonTradingTransaction,CreateDoneAwayOrder,GetMarkPriceData,UpdateMarkPrice,GetDayEndCash,CalculateDayEndCash,GetAccountBalance,GetRevaluationData,GetDataClosing,AutomaticClosing"</formula1>
    </dataValidation>
    <dataValidation type="list" allowBlank="1" sqref="H288:K288">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formula1>
    </dataValidation>
    <dataValidation type="list" allowBlank="1" sqref="H834:K838">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formula1>
    </dataValidation>
    <dataValidation type="list" allowBlank="1" sqref="H1988:K1988">
      <formula1>"GetNonTradingTransaction,AddNonTradingTransaction,CreateDoneAwayOrder,GetFo,GetForexConversion,U,UpdateForexConversion,GetMarkPriceData,UpdateMarkPrice,GetDayEndCash"</formula1>
    </dataValidation>
    <dataValidation type="list" allowBlank="1" sqref="H1175:K1175">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formula1>
    </dataValidation>
    <dataValidation type="list" allowBlank="1" sqref="H617:K617">
      <formula1>"GetDataClosing,AutomaticClosing,GetMarkPriceData,GetMarkPriceData1,UpdateMarkPrice,UpdateMarkPrice1,GetDayEndCash"</formula1>
    </dataValidation>
    <dataValidation type="list" allowBlank="1" sqref="F25:F27 F61:F63 F96:F98 F131:F133 F170:F172 F210:F212 F250:F252 F289:F291 F328:F330 F367:F369 F406:F408 F440:F442 F475:F477 F510:F512 F549:F551 F586:F588 F625:F627 F664:F666 F705:F707 F746:F748 F787:F789 F832:F834 F877:F879 F919:F921 F961:F963 F1003:F1005 F1047:F1049 F1092:F1094 F1134:F1136 F1175:F1177 F1217:F1219 F1262:F1264 F1307:F1309 F1349:F1351 F1391:F1393 F1433:F1435 F1478:F1480 F1523:F1525 F1565:F1567 F1609:F1611 F1653:F1655 F1697:F1699 F1741:F1743 F1786:F1788 F1831:F1833 F1876:F1878 F1921:F1923 F1962:F1964 F2006:F2008">
      <formula1>"CorporateAction,CleanUp,CashDividend,Exchange,Merger,NameChange,SpinOff,Split,StockDividend,OpenSpinOff,SpinOff,VerifySpinOffGrid,SaveCorporateAction,VerifyAndSaveCorpAction,VerifyAndApplyCorpAction,CorporateAction,,,,,,,,,,,,,,,,,,,,,,,,,,,,,,,,,,,,,,,,,"&amp;",,,,,,,,,,,,,,,,,,,,,,,,,,,,,,,,,,,,,,,,,,,,,,,,,,,,,,,,,,,,,,,,,,,,,,,,,,,,,,,,,,,,,,,,,,,,,,,,,,,,,,,,,,,,,,,,,,,,,,,,,,,,,,,,,,,,,,,,,,,,,,,,,,,,,,,,,,,,,,,,,,,,,,,,,,,,,,,,,,,,,,,,,,,,,,,,,,,,,,,,,,,,,,,,,,,,,,,,,,,,,,,,,,,,,,,,,,,,,,,,,,,,,,,,,,,,,,,"&amp;",,,,,,,,,,,,,,,,,,,,,,,,,,,,,,,,,,,,,,,,,,,,,,,,,,,,,,,,,,,,,,,,,,,,,,,,,,,,,,,,,,,,,,,,,,,,,,,,,,,,,,,,,,,,,,,,,,,,,,,,,,,,,,,,,,,,,,,,,,,,,,,,,,,,,,,,,,,,,,,,,,,,,,,,,,,,,,,,,,,,,,,,,"</formula1>
    </dataValidation>
    <dataValidation type="list" allowBlank="1" sqref="F1448:F1449 F1493:F1494 F1538:F1539 F1580:F1581 F1624:F1625 F1668:F1669 F1712:F1713 F1756:F1758 F1801:F1803 F1846:F1848 F1891:F1893 F1936:F1938 F1977:F1979 F2021:F275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amp;",,,,,,,,,,,,,,,,,,,,,,,,,,,,,,,,,,,,,,,,,,,,,,,,,,,,,,,,,,,,,,,,,,,,,,,,,,,,,,,,,,,,,,,,,,,,,,,,,,,,,,,,,,,,,,,,,,,,,,,,,,,,,,,,,,,,,,,,,,,,,,,,,,"</formula1>
    </dataValidation>
    <dataValidation type="list" allowBlank="1" sqref="H563:K563">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VerifyRevaluationData1,VerifyTradingTransaction1,GetActivityData1,VerifyActivity1,GetDataClosing,VerifyLongPositionsGrid"</formula1>
    </dataValidation>
    <dataValidation type="list" allowBlank="1" sqref="H901:K901">
      <formula1>"GetNonTradingTransaction,AddNonTradingTransaction,CreateDoneAwayOrder,GetForexConversion,UpdateDailyCash,UpdateForexConversion"</formula1>
    </dataValidation>
    <dataValidation type="list" allowBlank="1" sqref="H665:K665">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formula1>
    </dataValidation>
    <dataValidation type="list" allowBlank="1" sqref="H678:K678">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GetDataClosing,VerifyShortPositionsGrid"</formula1>
    </dataValidation>
    <dataValidation type="list" allowBlank="1" sqref="H770:K770">
      <formula1>"GetNonTradingTransaction,AddNonTradingTransaction,CreateDoneAwayOrder,get,GetForexConversion,UpdateForexConversion,GetMarkPriceData"</formula1>
    </dataValidation>
    <dataValidation type="list" allowBlank="1" sqref="H958:K958">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formula1>
    </dataValidation>
    <dataValidation type="list" allowBlank="1" sqref="H1470:K1470 H1515:K1515 H1517:K1517 H1645:K1645 H1689 H1733">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formula1>
    </dataValidation>
    <dataValidation type="list" allowBlank="1" sqref="H1639:K1639 H1683 H1727">
      <formula1>"GetNonTradingTransaction,AddNonTradingTransaction,CreateDoneAwayOrder,GetForexConversion,UpdateForexConversion,GetMarkPriceData,UpdateMarkPrice,GetDayEndCash,GetAccountBalance,Copy of Data,GetDataClosing"</formula1>
    </dataValidation>
    <dataValidation type="list" allowBlank="1" sqref="H1969:K1969">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Data_conflict2120706847,GetAccountBalance1,VerifyRevaluationData,VerifyTradingTransaction,GetActivityData,VerifyActivity,OpenSpinOff,SpinOff,VerifyAndApplyCorpAction,GetForexConversion2,UpdateFo"&amp;"rexConversion2,GetMarkPriceData2,UpdateMarkPrice2"</formula1>
    </dataValidation>
    <dataValidation type="list" allowBlank="1" sqref="H1219:K1223">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formula1>
    </dataValidation>
    <dataValidation type="list" allowBlank="1" sqref="H1530:K1530">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formula1>
    </dataValidation>
    <dataValidation type="list" allowBlank="1" sqref="H14:K14">
      <formula1>"GetNonTradingTransaction,AddNonTradingTransaction,CreateDoneAwayOrder,GetMarkPriceData,UpdateMarkPrice,GetDayEndCash,GetRevaluationData,GetMarkPriceData1,UpdateMarkPrice1,GetDayEndCash1,GetRevaluationData1,Copy of Data,Copy of Data 1,Copy of Data 2,getac,"&amp;"Copy of Data 3,Copy of Data 4,GetAccountBalance"</formula1>
    </dataValidation>
    <dataValidation type="list" allowBlank="1" sqref="H1486:K148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formula1>
    </dataValidation>
    <dataValidation type="list" allowBlank="1" sqref="H1596:K1601 H1603:K1603">
      <formula1>"GetNonTradingTransaction,AddNonTradingTransaction,CreateDoneAwayOrder,GetForexConversion,UpdateForexConversion,GetMarkPriceData,UpdateMarkPrice,GetDayEndCash,CalculateDayEndCash,GetAccountBalance,GetDataClosing,AutomaticClosing"</formula1>
    </dataValidation>
    <dataValidation type="list" allowBlank="1" sqref="H110:K110">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GetMarkPriceData2,UpdateMarkPrice2,GetAccountBalance2,GetRevaluationData1,VerifyRevaluationData1,VerifyTradingTransaction1,GetActiv"&amp;"ityData1,VerifyActivity1,GetDataClosing,VerifyLongPositionsGrid,GetDataAllocation,CheckAllocatedGroups"</formula1>
    </dataValidation>
    <dataValidation type="list" allowBlank="1" sqref="H1158:K1158">
      <formula1>"GetNonTradingTransaction,AddNonTradingTransaction,Copy of Data,CreateDoneAwayOrder,GetForexConversion,UpdateForexConversion,GetMarkPriceData"</formula1>
    </dataValidation>
    <dataValidation type="list" allowBlank="1" sqref="H437:K437 H507:K507 H583:K583">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formula1>
    </dataValidation>
    <dataValidation type="list" allowBlank="1" sqref="H2021:K2021">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OpenSpinOff,SpinOff,VerifyAndApplyCorpAction,VerifyLongPositionsGrid,GetDataAllocation"</formula1>
    </dataValidation>
    <dataValidation type="list" allowBlank="1" sqref="H1533:K1533">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formula1>
    </dataValidation>
    <dataValidation type="list" allowBlank="1" sqref="H88:K88">
      <formula1>"Copy of Data,GetNonTradingTransaction,AddNonTradingTransaction,CreateDoneAwayOrder,GetMarkPriceData,UpdateMarkPrice,GetDayEndCash,CalculateDayEndCash,GetAccountBalance,GetMarkPriceData1,UpdateMarkPrice1"</formula1>
    </dataValidation>
    <dataValidation type="list" allowBlank="1" sqref="H442:K444 H512:K514 H588:K589">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formula1>
    </dataValidation>
    <dataValidation type="list" allowBlank="1" sqref="H976:K976">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VerifyLongPositionsGrid,GetDataAllocation"</formula1>
    </dataValidation>
    <dataValidation type="list" allowBlank="1" sqref="H2016:K2016">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GetActivityData1,VerifyActivity1,GetDataClosing1,VerifyLongPositionsGrid,GetDataAllocation,CheckAllocatedGroups,Copy of Data,Copy of Data 1,Co"&amp;"py of Data 2"</formula1>
    </dataValidation>
    <dataValidation type="list" allowBlank="1" sqref="H71:K71">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1,GetActivityData1"</formula1>
    </dataValidation>
    <dataValidation type="list" allowBlank="1" sqref="H137:K137">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formula1>
    </dataValidation>
    <dataValidation type="list" allowBlank="1" sqref="H170:K170">
      <formula1>"GetNonTradingTransaction,AddNonTradingTransaction,CreateDoneAwayOrder,GetMarkPriceData,UpdateMarkPrice,GetDayEndCash,CalculateDayEndCash,GetAccountBalance,GetDataClosing,AutomaticClosing,GetRevaluationData,VerifyRevaluationData,VerifyTradingTransaction,Ge"&amp;"tActivityData,VerifyActivity,OpenSpinOff"</formula1>
    </dataValidation>
    <dataValidation type="list" allowBlank="1" sqref="H1277:K1277">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GetForexConversion2,UpdateForexConversion2,GetMarkPriceData2,UpdateMarkPrice2,GetAccountBalance2,GetRevaluationData1,VerifyRevaluationData1,VerifyTradingTransaction1,GetActivityData1,VerifyActivity1,VerifyShortPositionsGrid,GetDataClosi"&amp;"ng1,GetDataAllocation"</formula1>
    </dataValidation>
    <dataValidation type="list" allowBlank="1" sqref="H1339:K1340 H1381:H1382">
      <formula1>"GetNonTradingTransaction,AddNonTradingTransaction,CreateDoneAwayOrder,GetForexConversion,UpdateForexConversion,GetMarkPriceData,UpdateMarkPrice,GetDayEndCash,GetAccountBalance,GetForexConversion1,UpdateForexConversion1"</formula1>
    </dataValidation>
    <dataValidation type="list" allowBlank="1" sqref="H1356:K1358 H1398:H1400">
      <formula1>"GetNonTradingTransaction,AddNonTradingTransaction,AddNonTradingTransaction1,CreateDoneAwayOrder,GetForexConversion,UpdateForexConversion,GetMarkPriceData,UpdateMarkPrice,GetDayEndCash,GetAccountBalance,GetForexConversion1,UpdateForexConversion1,GetMarkPri"&amp;"ceData1,UpdateMarkPrice1,GetDayEndCash1,GetAccountBalance1,GetRevaluationData,VerifyRevaluationData,VerifyTradingTransaction,GetActivityData,VerifyActivity,OpenSpinOff,SpinOff,VerifyAndApplyCorpAction,GetForexConversion2,UpdateForexConversion2,GetMarkPric"&amp;"eData2,UpdateMarkPrice2"</formula1>
    </dataValidation>
    <dataValidation type="list" allowBlank="1" sqref="H1485:K1485 H1660:K1665 H1704:H1709 H1748:H1753">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formula1>
    </dataValidation>
    <dataValidation type="list" allowBlank="1" sqref="H1488:K1488">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formula1>
    </dataValidation>
    <dataValidation type="list" allowBlank="1" sqref="H614:K614">
      <formula1>"GetDataClosing,AutomaticClosing"</formula1>
    </dataValidation>
    <dataValidation type="list" allowBlank="1" sqref="H1650:K1650 H1694 H1738">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VerifyRevaluationData,Copy of Data_conflict1206993108,VerifyTradingTransaction"</formula1>
    </dataValidation>
    <dataValidation type="list" allowBlank="1" sqref="H136:K136">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RevaluationData1,VerifyRevaluationData1,VerifyTradingTransaction1,GetActivityData1,VerifyActivity1,GetDataClosing,VerifyShortP"&amp;"ositionsGrid,GetDataAllocation,CheckAllocatedGroups,Copy of Data"</formula1>
    </dataValidation>
    <dataValidation type="list" allowBlank="1" sqref="F1032 F1329 F1371 F1413 F1455 F1463 F1545">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ShowMasterFund,,,,,,,,,,,,,,,,,,,,,,,,,,,,,,,,,,,,,,,,,,,,,,,,,,,,,,,,,,,,,,,,,,,,,,,,,,,,,,,,,,,,,,,,,,,,,,,,,,,,,,,,,,,,,,,,,,,,,,,,,,,,,,,,,,,,,,,,,,,,,,,,,,,,,,,,,,,,,,,,,,,,,,,,,,,,,,,,,,,,,,,,,,,,,,,,,,,,,,,,,,,,,"&amp;",,,,,,,,,,,,,,,,,,,,,,,,,,,,,,,,,,,,,,,,,,,,,,,,,,,,,,,,,,,,,,,,,,,,,,,,,,,,,,,,,,,,,,,,,,,,,,,,,,,,,,,,,,,,,,,,,,,,,,,,,,,,,,,,,,,,,,,,,,,,,,,,,,,,,,,,,,,,,,,,,,,,,,,,,,,,,,,,,,,,,,,,,,,,,,,,,,,,,,,,,,,,,,,,,,,,,,,,,,,,,,,,,,,,,,,,,,,,,,,,,,,,,,,,,,,,,,,"&amp;",,,,,,,,,,,,,,,,,,,"</formula1>
    </dataValidation>
    <dataValidation type="list" allowBlank="1" sqref="H786:K786">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formula1>
    </dataValidation>
    <dataValidation type="list" allowBlank="1" sqref="H1164:K1164">
      <formula1>"GetNonTradingTransaction,AddNonTradingTransaction,Copy of Data,CreateDoneAwayOrder,GetForexConversion,UpdateForexConversion,GetMarkPriceData,UpdateMarkPrice,GetDayEndCash,CalculateDayEndCash,GetAccountBalance,GetForexConversion1"</formula1>
    </dataValidation>
    <dataValidation type="list" allowBlank="1" sqref="H1141:K1141">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VerifyActivity,OpenSpinOff,SpinOff,VerifyAndApplyCorpAction,GetForexC"&amp;"onversion2,UpdateForexConversion2,GetMarkPriceData2,UpdateMarkPrice2"</formula1>
    </dataValidation>
    <dataValidation type="list" allowBlank="1" sqref="H1498:K1498 H1539:K1539">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VerifyTradingTransaction1,GetActivityData1,VerifyActivity1,GetDataClosing1,VerifyShortPositionsGrid,GetDataAllocation,CheckAllocatedGroups"</formula1>
    </dataValidation>
    <dataValidation type="list" allowBlank="1" sqref="H1270:K1274">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GetForexConversion2,UpdateForexConversion2,GetMarkPriceData2,UpdateMarkPrice2,GetAccountBalance2"</formula1>
    </dataValidation>
    <dataValidation type="list" allowBlank="1" sqref="H623:K623">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formula1>
    </dataValidation>
    <dataValidation type="list" allowBlank="1" sqref="H1623:K1623">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SpinOff,VerifyAndApplyCorpAction,GetForex,VerifyLongPositionsGrid"</formula1>
    </dataValidation>
    <dataValidation type="list" allowBlank="1" sqref="H613:K613">
      <formula1>"GetDataClosing"</formula1>
    </dataValidation>
    <dataValidation type="list" allowBlank="1" sqref="H1959:K1959">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formula1>
    </dataValidation>
    <dataValidation type="list" allowBlank="1" sqref="H127:K127">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formula1>
    </dataValidation>
    <dataValidation type="list" allowBlank="1" sqref="H1128:K1128">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formula1>
    </dataValidation>
    <dataValidation type="list" allowBlank="1" sqref="H1976:K1976">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VerifyAndApplyCorpAction,GetForexConversion2,UpdateFo"&amp;"rexConversion2,GetMarkPriceData2,UpdateMarkPrice2,GetAccountBalance2,GetRevaluationData1,VerifyRevaluationData1,GetActivityData1,VerifyTradingTransaction1,VerifyActivity1,GetDataClosing,VerifyLongPositionsGrid"</formula1>
    </dataValidation>
    <dataValidation type="list" allowBlank="1" sqref="H876:K876">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formula1>
    </dataValidation>
    <dataValidation type="list" allowBlank="1" sqref="H1055:K1055">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formula1>
    </dataValidation>
    <dataValidation type="list" allowBlank="1" sqref="H1992:K1992">
      <formula1>"GetNonTradingTransaction,AddNonTradingTransaction,CreateDoneAwayOrder,GetFo,GetForexConversion,U,UpdateForexConversion,GetMarkPriceData,UpdateMarkPrice,GetDayEndCash,CalculateDayEndCash,GetAccountBalance,C,GetDataClosing"</formula1>
    </dataValidation>
    <dataValidation type="list" allowBlank="1" sqref="H438:K438 H508:K508 H584:K584">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formula1>
    </dataValidation>
    <dataValidation type="list" allowBlank="1" sqref="H1491:K1491 H1666:K1666 H1710 H175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OpenSpinOff,SpinOff,VerifyAndApplyCorpAction,GetForexConversion2,UpdateF"&amp;"orexConversion2,GetMarkPriceData2,UpdateMarkPrice2,GetAccountBalance2,GetRevaluationData1,VerifyRevaluationData1,VerifyTradingTransaction1,GetActivityData1,VerifyActivity1"</formula1>
    </dataValidation>
    <dataValidation type="list" allowBlank="1" sqref="H1610:K1610">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OpenSpinOff,SpinOff"</formula1>
    </dataValidation>
    <dataValidation type="list" allowBlank="1" sqref="H1129:K1129">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formula1>
    </dataValidation>
    <dataValidation type="list" allowBlank="1" sqref="H453:K454">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Veri"&amp;"fyActivity1,GetDataClosing,CheckAllocatedGroups,GetDataAllocation"</formula1>
    </dataValidation>
    <dataValidation type="list" allowBlank="1" sqref="H255:K255">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formula1>
    </dataValidation>
    <dataValidation type="list" allowBlank="1" sqref="H1027:K1027">
      <formula1>"GetNonTradingTransaction,AddNonTradingTransaction,CreateDoneAwayOrder,GetForexConversion,upda,UpdateForexConversion,GetMarkPriceData"</formula1>
    </dataValidation>
    <dataValidation type="list" allowBlank="1" sqref="H919:K919">
      <formula1>"GetNonTradingTransaction,AddNonTradingTransaction,CreateDoneAwayOrder,GetForexConversion,UpdateDailyCash,UpdateForexConversion,GetMarkPriceData,UpdateMarkPrice,GetDayEndCash,CalculateDayEndCash,GetAccountBalance,GetRevaluationData,VerifyRevaluationData,Ge"&amp;"tForexConversion1,UpdateForexConversion1,UpdateMarkPrice1,GetMarkPriceData1,GetDayEndCash1,VerifyTradingTransaction,GetAccountBalance1,GetActivityData,VerifyActivity,OpenSpinOff"</formula1>
    </dataValidation>
    <dataValidation type="list" allowBlank="1" sqref="H1183:K1183">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formula1>
    </dataValidation>
    <dataValidation type="list" allowBlank="1" sqref="H831:K831">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formula1>
    </dataValidation>
    <dataValidation type="list" allowBlank="1" sqref="H718:K718">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VerifyActivity1,GetDataClosing"</formula1>
    </dataValidation>
    <dataValidation type="list" allowBlank="1" sqref="H1465:K1465 H1510:K1511 H1641:K1644 H1685:H1688 H1729:H1732">
      <formula1>"GetNonTradingTransaction,AddNonTradingTransaction,CreateDoneAwayOrder,GetForexConversion,UpdateForexConversion,GetMarkPriceData,UpdateMarkPrice,GetDayEndCash,GetAccountBalance,CreateDoneAwayOrder1,GetDataClosing,AutomaticClosing"</formula1>
    </dataValidation>
    <dataValidation type="list" allowBlank="1" sqref="H1107:K1107">
      <formula1>"GetNonTradingTransaction,AddNonTradingTransaction,crea,CreateDoneAwayOrder,GetForexConversion,upda,UpdateForexConversion,GetMarkPriceData,UpdateMarkPrice,GetDayEndCash,CalculateDayEndCash,GetAccountBalance,upd,GetForexConversion1,GetMarkPriceData1,UpdateM"&amp;"arkPrice1,GetDayEndCash1,GetAccountBalance1,GetRevaluationData,VerifyRevaluationData,VerifyTradingTransaction,GetActivityData,VerifyActivity,OpenSpinOff,Copy of Data,SpinOff,VerifyAndApplyCorpAction,GetForexConversion2,UpdateForexConversion2,GetMarkPriceD"&amp;"ata2,UpdateMarkPrice2,GetAccountBalance2,GetRevaluationData1,VerifyRevaluationData1,VerifyTradingTransaction1,GetActivityData1,VerifyActivity1,GetDataClosing,VerifyLongPositionsGrid,CheckAllocatedGroups,Copy of Data 1_conflict1294605157,GetDataAllocation"</formula1>
    </dataValidation>
    <dataValidation type="list" allowBlank="1" sqref="H138:K138">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formula1>
    </dataValidation>
    <dataValidation type="list" allowBlank="1" sqref="H789:K793">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VerifyAndApplyCorpAction"</formula1>
    </dataValidation>
    <dataValidation type="list" allowBlank="1" sqref="H1534:K153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VerifyTradingTransaction1"</formula1>
    </dataValidation>
    <dataValidation type="list" allowBlank="1" sqref="H1056:K1056">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1,GetForexConversion2"&amp;",UpdateForexConversion2,GetMarkPriceData2,UpdateMarkPrice2,GetAccountBalance2,Copy of Data 2"</formula1>
    </dataValidation>
    <dataValidation type="list" allowBlank="1" sqref="H741:K741 H763:K763 H804:K804 H849:K849 H870:K870 H894:K894 H936:K936 H978:K978 H1020:K1020 H1064:K1065 H1109:K1110 H1151:K1151 H1192:K1192 H1234:K1234 H1245:K1245 H1279:K1279 H1324:K1324 H1366:K1366 I1368:K1368 I1370:K1382 I1385:K1407 H1408:K1408 H1450:K1451 H1496:K1496 H1540:K1540 I1543:K1543 H1544:K1544 I1545:K1580 H1582:K1582 H1626:K1627 H1670:K1671 I1672:K1713 H1714:K1714 I1716:K1754 I1756:K1758 I1760:K1803 I1805:K1844 I1846:K1848 I1850:K1893 I1895:K1938 I1979:K1979 I2023:K2757">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formula1>
    </dataValidation>
    <dataValidation type="list" allowBlank="1" sqref="H1535:K1535">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VerifyTradingTransaction1,GetActivityData1,Copy of Data"</formula1>
    </dataValidation>
    <dataValidation type="list" allowBlank="1" sqref="H846:K846">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GetForexConversion2,UpdateForexConversion2,GetMarkPriceData2,UpdateMarkPrice2,GetAccountBalance2,GetRevaluationData1,VerifyRevaluationData1,Copy of Data_conflict1714295428,VerifyActivity1,GetDataClosing1,VerifyLongPositionsGrid"</formula1>
    </dataValidation>
    <dataValidation type="list" allowBlank="1" sqref="H371:K371">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formula1>
    </dataValidation>
    <dataValidation type="list" allowBlank="1" sqref="H166:K166">
      <formula1>"GetNonTradingTransaction,AddNonTradingTransaction,CreateDoneAwayOrder,GetMarkPriceData,UpdateMarkPrice,GetDayEndCash,CalculateDayEndCash,GetAccountBalance,GetDataClosing,AutomaticClosing,GetRevaluationData,VerifyRevaluationData"</formula1>
    </dataValidation>
    <dataValidation type="list" allowBlank="1" sqref="H1079:K1079">
      <formula1>"GetNonTradingTransaction,AddNonTradingTransaction,CreateDoneAwayOrder,GetForexConversion,UpdateForexConversion,GetMarkPriceData,UpdateMarkPrice,GetDayEndCash,GetAccountBalance,GetForexConversion1,UpdateForexConversion1,GetMarkPriceData1,UpdateMarkPrice1,G"&amp;"etDayEndCash1,GetAccountBalance1,GetRevaluationData,VerifyRevaluationData,VerifyTradingTransaction,GetActivityData,VerifyActivity,OpenSpinOff,SpinOff,VerifyAndApplyCorpAction,GetForexConversion2,UpdateForexConversion2,GetMarkPriceData2,UpdateMarkPrice2,Ge"&amp;"tAccountBalance2,GetRevaluationData1,VerifyRevaluationData1,VerifyTradingTransaction1,GetActivityData1,VerifyActivity1,GetDataClosing,VerifyLongPositionsGrid,GetDataAllocation,CheckAllocatedGroups,CreateDoneAwayOrder1,G,Copy of Data,AutomaticClosing"</formula1>
    </dataValidation>
    <dataValidation type="list" allowBlank="1" sqref="H91:K91">
      <formula1>"Copy of Data,GetNonTradingTransaction,AddNonTradingTransaction,CreateDoneAwayOrder,GetMarkPriceData,UpdateMarkPrice,GetDayEndCash,CalculateDayEndCash,GetAccountBalance,GetMarkPriceData1,UpdateMarkPrice1,GetDayEndCash1,GetAccountBalance1,GetRevaluationData"</formula1>
    </dataValidation>
    <dataValidation type="list" allowBlank="1" sqref="H816:K817 H861:K862">
      <formula1>"GetNonTradingTransaction,AddNonTradingTransaction,CreateDoneAwayOrder,AddNonTradingTransaction1,GetForexConversion,UpdateForexConversion,GetMarkPriceData,UpdateMarkPrice,GetDayEndCash,CalculateDayEndCash,GetAccountBalance"</formula1>
    </dataValidation>
    <dataValidation type="list" allowBlank="1" sqref="H420:K420">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UpdateMarkPrice2,GetAccountBalance2,GetRevaluationDat"&amp;"a2,VerifyRevaluationData1,VerifyTradingTransaction1,GetActivityData1,VerifyActivity1,GetDataClosing1,VerifyShortPositionsGrid,GetDataAllocation,CheckAllocatedGroups"</formula1>
    </dataValidation>
    <dataValidation type="list" allowBlank="1" sqref="H671:K673">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UpdateForexConversion2,GetMarkPriceData2"&amp;",UpdateMarkPrice2"</formula1>
    </dataValidation>
    <dataValidation type="list" allowBlank="1" sqref="H502:K502 H578:K578">
      <formula1>"GetNonTradingTransaction,AddNonTradingTransaction,CreateDoneAwayOrder,GetMarkPriceData,UpdateMarkPrice,GetDayEndCash,CalculateDayEndCash,GetAccountBalance,GetMarkPriceData1,UpdateMarkPrice1"</formula1>
    </dataValidation>
    <dataValidation type="list" allowBlank="1" sqref="H256:K256">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formula1>
    </dataValidation>
    <dataValidation type="list" allowBlank="1" sqref="H487:K487">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GetDataClosing,VerifyLongPositionsGrid"</formula1>
    </dataValidation>
    <dataValidation type="list" allowBlank="1" sqref="H142:K142">
      <formula1>"GetNonTradingTransaction,AddNonTradingTransaction,CreateDoneAwayOrder,GetMarkPriceData,UpdateMarkPrice,GetDayEndCash,CalculateDayEndCash,GetAccountBalance,GetMarkPriceData1,UpdateMarkPrice1,get,GetDayEndCash1,CalculateDayEndCash1,GetAccountBalance1,GetRev"&amp;"aluationData,VerifyRevaluationData,VerifyTradingTransaction,GetActivityData,VerifyActivity,OpenSpinOff,SpinOff,VerifyAndApplyCorpAction,GetMarkPriceData2,UpdateMarkPrice2,GetRevaluationData1,VerifyRevaluationData1,VerifyTradingTransaction1,GetActivityData"&amp;"1,VerifyActivity1,GetDataClosing"</formula1>
    </dataValidation>
    <dataValidation type="list" allowBlank="1" sqref="H1052:K1052">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formula1>
    </dataValidation>
    <dataValidation type="list" allowBlank="1" sqref="H803:K803">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VerifyAndApplyCorpAction,GetForexConversion2,UpdateForexConversion2,GetMarkPriceD"&amp;"ata2,UpdateMarkPrice2,GetAccountBalance2,VerifyRevaluationData1,GetRevaluationData1,VerifyTradingTransaction1,VerifyActivity1,GetActivityData1,GetDataClosing,VerifyShortPositionsGrid,GetDataAllocation,CheckAllocatedGroups"</formula1>
    </dataValidation>
    <dataValidation type="list" allowBlank="1" sqref="H98:K99">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VerifyActivity,OpenSpinOff,SpinOff,VerifyAndApplyCorpAction"</formula1>
    </dataValidation>
    <dataValidation type="list" allowBlank="1" sqref="H877:K877">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formula1>
    </dataValidation>
    <dataValidation type="list" allowBlank="1" sqref="H2022:K2022">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OpenSpinOff,SpinOff,VerifyAndApplyCorpAction,VerifyLongPositionsGrid,GetDataAllocation,CheckAllocatedGroups"</formula1>
    </dataValidation>
    <dataValidation type="list" allowBlank="1" sqref="H156:K156 H165:K165">
      <formula1>"GetNonTradingTransaction,AddNonTradingTransaction,CreateDoneAwayOrder,GetMarkPriceData,UpdateMarkPrice,GetDayEndCash,CalculateDayEndCash,GetAccountBalance,GetDataClosing,AutomaticClosing,GetRevaluationData"</formula1>
    </dataValidation>
    <dataValidation type="list" allowBlank="1" sqref="H1224:K1225">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SpinOff,Copy of Data 3,Copy of Data 3_conflict2145686302,VerifyAndApplyCorpAction,GetForexConversion2"</formula1>
    </dataValidation>
    <dataValidation type="list" allowBlank="1" sqref="F6 F42 F77 F112 F147 F186 F226 F456 F491 F526 F567 F602 F641 F682 F723 F764 F805 F850 F895 F937 F979 F1021 F1066 F1111 F1152 F1193 F1235 F1280 F1325 F1367 F1409 F1452 F1497 F1541 F1583 F1627 F1671 F1715 F1759 F1804 F1849 F1894 F1939 F1980">
      <formula1>"DeleteClientData,,,,,,,,,,,,,,,,,,,,,,,,,,,,,,,,,,,,,,,,,,,,,,,,,,,,,,,,,,,,,,,,,,,,,,,,,,,,,,,,,,,,,,,,,,,,,,,,,,,,,,,,,,,,,,,,,,,,,,,,,,,,,,,,,,,,,,,,,,,,,,,,,,,,,,,,,,,,,,,,,,,,,,,,,,,,,,,,,,,,,,,,,,,,,,,,,,,,,,,,,,,,,,,,,,,,,,,,,,,,,,,,,,,,,,,,,,,,,,,"&amp;",,,,,,,,,,,,,,,,,,,,,,,,,,,,,,,,,,,,,,,,,,,,,,,,,,,,,,,,,,,,,,,,,,,,,,,,,,,,,,,,,,,,,,,,,,,,,,,,,,,,,,,,,,,,,,,,,,,,,,,,,,,,,,,,,,,,,,,,,,,,,,,,,,,,,,,,,,,,,,,,,,,,,,,,,,,,,,,,,,,,,,,,,,,,,,,,,,,,,,,,,,,,,,,,,,,,,,,,,,,,,,,,,,,,,,,,,,,,,,,,,,,,,,,,,,,,,,,"&amp;",,"</formula1>
    </dataValidation>
    <dataValidation type="list" allowBlank="1" sqref="H1649:K1649 H1693 H1737">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VerifyRevaluationData,Copy of Data_conflict1206993108"</formula1>
    </dataValidation>
    <dataValidation type="list" allowBlank="1" sqref="H633:K633">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GetRevaluationData2,VerifyRevaluationData1"</formula1>
    </dataValidation>
    <dataValidation type="list" allowBlank="1" sqref="H661:K661">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formula1>
    </dataValidation>
    <dataValidation type="list" allowBlank="1" sqref="H1123:K1123">
      <formula1>"GetNonTradingTransaction,AddNonTradingTransaction,c,CreateDoneAwayOrder,get,GetForexConversion,Copy of Data,Copy of Data_conflict1608974838,UpdateForexConversion,GetMarkPriceData,UpdateMarkPrice,GetDayEndCash,CalculateDayEndCash,GetAccountBalance,GetForex"&amp;"Conversion1"</formula1>
    </dataValidation>
    <dataValidation type="list" allowBlank="1" sqref="H616:K616">
      <formula1>"GetDataClosing,AutomaticClosing,GetMarkPriceData,GetMarkPriceData1,UpdateMarkPrice"</formula1>
    </dataValidation>
    <dataValidation type="list" allowBlank="1" sqref="H381:K381">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GetMarkPriceData2,UpdateMarkPrice2,GetAccountBalance2,GetRevaluationDat"&amp;"a2,VerifyRevaluationData1,VerifyTradingTransaction1,GetActivityData1,GetDataClosing1,VerifyShortPositionsGrid,GetDataAllocation,CheckAllocatedGroups"</formula1>
    </dataValidation>
    <dataValidation type="list" allowBlank="1" sqref="H1521:K1521">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Copy of Data,VerifyActivity,GetActivityData"</formula1>
    </dataValidation>
    <dataValidation type="list" allowBlank="1" sqref="H451:K451 H597:K597">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1,GetActivityData1,Veri"&amp;"fyActivity1,GetDataClosing"</formula1>
    </dataValidation>
    <dataValidation type="list" allowBlank="1" sqref="H315:K315">
      <formula1>"GetNonTradingTransaction,AddNonTradingTransaction,CreateDoneAwayOrder,GetMarkPriceData,UpdateMarkPrice,GetDayEndCash,CalculateDayEndCash,GetAccountBalance,Copy of Data"</formula1>
    </dataValidation>
    <dataValidation type="list" allowBlank="1" sqref="H520:K520">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VerifyTradingTransaction2,GetActivityData1"</formula1>
    </dataValidation>
    <dataValidation type="list" allowBlank="1" sqref="H1179:K1179">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formula1>
    </dataValidation>
    <dataValidation type="list" allowBlank="1" sqref="H1132:K1132">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GetMarkPriceData1,UpdateMarkPrice1,GetDayEndCash1,GetAccountBalance1,GetRevaluationData,VerifyRevaluationData,VerifyTradingTransaction,GetActivityData"</formula1>
    </dataValidation>
    <dataValidation type="list" allowBlank="1" sqref="H627:K628">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formula1>
    </dataValidation>
    <dataValidation type="list" allowBlank="1" sqref="H34:K35">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VerifyTradingTransaction2"</formula1>
    </dataValidation>
    <dataValidation type="list" allowBlank="1" sqref="H322:K323">
      <formula1>"GetNonTradingTransaction,AddNonTradingTransaction,CreateDoneAwayOrder,GetMarkPriceData,UpdateMarkPrice,GetDayEndCash,CalculateDayEndCash,GetAccountBalance,GetRevaluationData,GetDataClosing,AutomaticClosing,GetMarkPriceData1,UpdateMarkPrice1,GetDayEndCash1"</formula1>
    </dataValidation>
    <dataValidation type="list" allowBlank="1" sqref="H1157:K1157">
      <formula1>"GetNonTradingTransaction,AddNonTradingTransaction,Copy of Data,CreateDoneAwayOrder,GetForexConversion,UpdateForexConversion"</formula1>
    </dataValidation>
    <dataValidation type="list" allowBlank="1" sqref="H1049:K1049">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formula1>
    </dataValidation>
    <dataValidation type="list" allowBlank="1" sqref="H1217:K1217">
      <formula1>"GetNonTradingTransaction,AddNonTradingTransaction,CreateDoneAwayOrder,Copy of Data,Copy of Data 1,Copy of Data 2,Copy of Data 2_conflict174752477,GetForexConversion,UpdateForexConversion,AddNonTradingTransaction1,GetMarkPriceData,UpdateMarkPrice,GetDayEnd"&amp;"Cash,CalculateDayEndCash,GetAccountBalance,GetForexConversion1,UpdateForexConversion1,GetMarkPriceData1,UpdateMarkPrice1,GetDayEndCash1,GetAccountBalance1,GetRevaluationData,VerifyRevaluationData,GetActivityData,VerifyTradingTransaction,VerifyActivity,Ope"&amp;"nSpinOff"</formula1>
    </dataValidation>
    <dataValidation type="list" allowBlank="1" sqref="H341:K341">
      <formula1>"GetNonTradingTransaction,AddNonTradingTransaction,CreateDoneAwayOrder,GetMarkPriceData,UpdateMarkPrice,GetDayEndCash,CalculateDayEndCash,GetAccountBalance,GetRevaluationData,GetDataClosing,AutomaticClosing,GetMarkPriceData1,UpdateMarkPrice1,GetDayEndCash1"&amp;",GetAccountBalance1,GetRevaluationData1,VerifyRevaluationData,VerifyTradingTransaction,GetActivityData,VerifyActivity,OpenSpinOff,SpinOff,VerifyAndApplyCorpAction,GetMarkPriceData2,UpdateMarkPrice2,GetAccountBalance2,GetRevaluationData2,VerifyRevaluationD"&amp;"ata1,VerifyTradingTransaction1,GetActivityData1,VerifyActivity1,VerifyLongPositionsGrid,GetDataClosing1,GetDataAllocation"</formula1>
    </dataValidation>
    <dataValidation type="list" allowBlank="1" sqref="H1345:K1345 H1387">
      <formula1>"GetNonTradingTransaction,AddNonTradingTransaction,CreateDoneAwayOrder,GetForexConversion,UpdateForexConversion,GetMarkPriceData,UpdateMarkPrice,GetDayEndCash,GetAccountBalance,GetForexConversion1,UpdateForexConversion1,GetMarkPriceData1,UpdateMarkPrice1,G"&amp;"etDayEndCash1,GetRevaluationData,VerifyRevaluationData"</formula1>
    </dataValidation>
    <dataValidation type="list" allowBlank="1" sqref="H448:K450 H517:K517 H593:K593">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formula1>
    </dataValidation>
    <dataValidation type="list" allowBlank="1" sqref="H562:K562">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VerifyRevaluationData1,VerifyTradingTransaction1,GetActivityData1,VerifyActivity1,GetDataClosing"</formula1>
    </dataValidation>
    <dataValidation type="list" allowBlank="1" sqref="H1608:K1608">
      <formula1>"GetNonTradingTransaction,AddNonTradingTransaction,CreateDoneAwayOrder,GetForexConversion,UpdateForexConversion,GetMarkPriceData,UpdateMarkPrice,GetDayEndCash,CalculateDayEndCash,GetAccountBalance,GetDataClosing,AutomaticClosing,GetRevaluationData,VerifyRe"&amp;"valuationData,VerifyTradingTransaction,GetActivityData,VerifyActivity"</formula1>
    </dataValidation>
    <dataValidation type="list" allowBlank="1" sqref="H419:K419">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VerifyRevaluationData,GetRevaluationData1,VerifyTradingTransaction,GetActivityData,VerifyActivity,OpenSpinOff,SpinOff,VerifyAndApplyCorpAction,GetMarkPriceData2,UpdateMarkPrice2,GetAccountBalance2,GetRevaluationDat"&amp;"a2,VerifyRevaluationData1,VerifyTradingTransaction1,GetActivityData1,VerifyActivity1,GetDataClosing1,VerifyShortPositionsGrid,GetDataAllocation"</formula1>
    </dataValidation>
    <dataValidation type="list" allowBlank="1" sqref="H518:K518 H594:K594">
      <formula1>"GetNonTradingTransaction,AddNonTradingTransaction,CreateDoneAwayOrder,GetMarkPriceData,UpdateMarkPrice,GetDayEndCash,CalculateDayEndCash,GetAccountBalance,GetMarkPriceData1,UpdateMarkPrice1,GetDayEndCash1,GetAccountBalance1,GetRevaluationData,VerifyRevalu"&amp;"ationData,VerifyTradingTransaction,GetActivityData,VerifyActivity,OpenSpinOff,SpinOff,VerifyAndApplyCorpAction,GetMarkPriceData2,UpdateMarkPrice2,GetAccountBalance2,GetRevaluationData1,VerifyRevaluationData1"</formula1>
    </dataValidation>
    <dataValidation type="list" allowBlank="1" sqref="H207:K207">
      <formula1>"Copy of Data,GetNonTradingTransaction,AddNonTradingTransaction,CreateDoneAwayOrder,GetMarkPriceData,UpdateMarkPrice,GetDayEndCash,CalculateDayEndCash,GetAccountBalance,GetRevaluationData,GetDataClosing,AutomaticClosing,VerifyRevaluationData,VerifyTradingT"&amp;"ransaction"</formula1>
    </dataValidation>
    <dataValidation type="list" allowBlank="1" sqref="H559:K559">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VerifyRevaluationData1"</formula1>
    </dataValidation>
    <dataValidation type="list" allowBlank="1" sqref="H1124:K1124">
      <formula1>"GetNonTradingTransaction,AddNonTradingTransaction,c,CreateDoneAwayOrder,get,GetForexConversion,Copy of Data,Copy of Data_conflict1608974838,UpdateForexConversion,GetMarkPriceData,UpdateMarkPrice,GetDayEndCash,CalculateDayEndCash,GetAccountBalance,GetForex"&amp;"Conversion1,UpdateForexConversion1"</formula1>
    </dataValidation>
    <dataValidation type="list" allowBlank="1" sqref="H469:K469">
      <formula1>"GetNonTradingTransaction,AddNonTradingTransaction,CreateDoneAwayOrder,GetMarkPriceData,UpdateMarkPrice,GetDayEndCash,CalculateDayEndCash,GetAccountBalance,GetAccountDetails,GetRevaluationData,VerifyRevaluationData,VerifyTradingTransaction,GetActivityData,"&amp;"VerifyActivity,OpenSpinOff,s,SpinOff,get,GetDataClosing,VerifyLongPositionsGrid,Copy of Data 1,GetDataAllocation,CheckAllocatedGroups,GetMarkPriceData1,UpdateMarkPrice1,GetDayEndCash1"</formula1>
    </dataValidation>
    <dataValidation type="list" allowBlank="1" sqref="H1071:K1071">
      <formula1>"GetNonTradingTransaction,AddNonTradingTransaction,crea,CreateDoneAwayOrder,GetForexConversion,upda,UpdateForexConversion"</formula1>
    </dataValidation>
    <dataValidation type="list" allowBlank="1" sqref="H72:K72">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GetRevaluationData1,VerifyRevaluationData1,VerifyTradingTransaction1,GetActivityData1,VerifyActivity1,GetDataC"&amp;"losing"</formula1>
    </dataValidation>
    <dataValidation type="list" allowBlank="1" sqref="H262:K262">
      <formula1>"GetNonTradingTransaction,AddNonTradingTransaction,CreateDoneAwayOrder,GetMarkPriceData,UpdateMarkPrice,GetDayEndCash,CalculateDayEndCash,GetAccountBalance,GetRevaluationData,GetDataClosing,AutomaticClosing,GetMarkPriceData1,UpdateMarkPrice1,GetDayEndCash1"&amp;",Copy of Data,GetAccountBalance1,GetRevaluationData1,VerifyRevaluationData,VerifyTradingTransaction,GetActivityData,VerifyActivity,OpenSpinOff,SpinOff,VerifyAndApplyCorpAction,GetMarkPriceData2,UpdateMarkPrice2,GetAccountBalance2,GetRevaluationData2,Verif"&amp;"yRevaluationData1,VerifyTradingTransaction1,GetActivityData1,VerifyActivity1,VerifyLongPositionsGrid"</formula1>
    </dataValidation>
    <dataValidation type="list" allowBlank="1" sqref="H884:K885">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UpdateMarkPrice1,GetMarkPriceData1,GetDayEndCash1,GetAccountBalance1,GetRevaluationData,VerifyTradingTransaction,VerifyRevaluationData,GetActivityData,VerifyActivity,OpenSpinOff,SpinOff,Verify"&amp;"AndApplyCorpAction,GetForexConversion2,UpdateForexConversion2,GetMarkPriceData2,UpdateMarkPrice2"</formula1>
    </dataValidation>
    <dataValidation type="list" allowBlank="1" sqref="H646:K646 H687:K687 H728:K728 H943:K943 H1331:K1331 H1373 H1415:K1415 H1457:K1457 H1502:K1502 H1547 H1588:K1588 H1944:K1944">
      <formula1>"GetNonTradingTransaction,AddNonTradingTransaction,CreateDoneAwayOrder,GetForexConversion,UpdateForexConversion"</formula1>
    </dataValidation>
    <dataValidation type="list" allowBlank="1" sqref="H1524:K1524">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formula1>
    </dataValidation>
    <dataValidation type="list" allowBlank="1" sqref="H1977:K1977">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VerifyAndApplyCorpAction,GetForexConversion2,UpdateFo"&amp;"rexConversion2,GetMarkPriceData2,UpdateMarkPrice2,GetAccountBalance2,GetRevaluationData1,VerifyRevaluationData1,GetActivityData1,VerifyTradingTransaction1,VerifyActivity1,GetDataClosing,VerifyLongPositionsGrid,GetDataAllocation"</formula1>
    </dataValidation>
    <dataValidation type="list" allowBlank="1" sqref="H298:K298">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GetRevaluationData1,VerifyRevaluationData,VerifyTradingTransaction,GetActivityData,VerifyActivity,OpenSpinOff,SpinOff,VerifyAndApplyCorpAction,GetMarkPriceData2,UpdateMarkPrice2,GetAccountBalance2,GetRevaluatio"&amp;"nData2,VerifyRevaluationData1,VerifyTradingTransaction1"</formula1>
    </dataValidation>
    <dataValidation type="list" allowBlank="1" sqref="H472:K472">
      <formula1>"GetNonTradingTransaction,AddNonTradingTransaction,CreateDoneAwayOrder,GetMarkPriceData,UpdateMarkPrice,GetDayEndCash,CalculateDayEndCash,GetAccountBalance,GetAccountDetails,GetRevaluationData,VerifyRevaluationData,VerifyTradingTransaction"</formula1>
    </dataValidation>
    <dataValidation type="list" allowBlank="1" sqref="H1476:K1476 H1651:K1651 H1695 H1739">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formula1>
    </dataValidation>
    <dataValidation type="list" allowBlank="1" sqref="H368:K368">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formula1>
    </dataValidation>
    <dataValidation type="list" allowBlank="1" sqref="H126:K126">
      <formula1>"GetNonTradingTransaction,AddNonTradingTransaction,CreateDoneAwayOrder,GetMarkPriceData,UpdateMarkPrice,GetDayEndCash,CalculateDayEndCash,GetAccountBalance,GetMarkPriceData1,UpdateMarkPrice1,get,GetDayEndCash1,CalculateDayEndCash1,GetAccountBalance1,GetRev"&amp;"aluationData"</formula1>
    </dataValidation>
    <dataValidation type="list" allowBlank="1" sqref="H31:K31">
      <formula1>"GetNonTradingTransaction,AddNonTradingTransaction,CreateDoneAwayOrder,GetMarkPriceData,UpdateMarkPrice,GetDayEndCash,GetAccountBalance,GetMarkPriceData1,UpdateMarkPrice1,GetDayEndCash1,GetAccountBalance1,GetRevaluationData,VerifyRevaluationData,VerifyTrad"&amp;"ingTransaction,GetActivityData,VerifyActivity,OpenSpinOff,SpinOff,VerifyAndApplyCorpAction,GetMarkPriceData2,UpdateMarkPrice2,GetAccountBalance2,VerifyRevaluationData1,VerifyTradingTransaction2,GetActivityData1,VerifyActivity1,GetDataClosing,VerifyShortPo"&amp;"sitionsGrid,GetDataAllocation,CheckAllocatedGroups"</formula1>
    </dataValidation>
    <dataValidation type="list" allowBlank="1" sqref="H544:K544">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formula1>
    </dataValidation>
    <dataValidation type="list" allowBlank="1" sqref="H1078:K1078">
      <formula1>"GetNonTradingTransaction,AddNonTradingTransaction,CreateDoneAwayOrder,GetForexConversion,UpdateForexConversion,GetMarkPriceData,UpdateMarkPrice,GetDayEndCash,GetAccountBalance,CreateDoneAwayOrder1,GetForexConversion1,UpdateForexConversion1,GetMarkPriceDat"&amp;"a1,UpdateMarkPrice1,GetDayEndCash1,GetAccountBalance1,GetRevaluationData,VerifyRevaluationData,VerifyTradingTransaction,GetActivityData,VerifyActivity,OpenSpinOff,SpinOff,VerifyAndApplyCorpAction,GetForexConversion2,UpdateForexConversion2,GetMarkPriceData"&amp;"2,UpdateMarkPrice2,GetAccountBalance2,GetRevaluationData1,VerifyRevaluationData1,VerifyTradingTransaction1,GetActivityData1,VerifyActivity1,GetDataClosing,VerifyLongPositionsGrid,GetDataAllocation,CheckAllocatedGroups,AutomaticClosing,Copy of Data,Copy of"&amp;" Data 1,Copy of Data 1_conflict1164018384,Copy of Data 2,GetDataClosing1"</formula1>
    </dataValidation>
    <dataValidation type="list" allowBlank="1" sqref="H1162:K1163">
      <formula1>"GetNonTradingTransaction,AddNonTradingTransaction,Copy of Data,CreateDoneAwayOrder,GetForexConversion,UpdateForexConversion,GetMarkPriceData,UpdateMarkPrice,GetDayEndCash,CalculateDayEndCash,GetAccountBalance"</formula1>
    </dataValidation>
    <dataValidation type="list" allowBlank="1" sqref="H1464:K1464 H1509:K1509">
      <formula1>"GetNonTradingTransaction,AddNonTradingTransaction,CreateDoneAwayOrder,GetForexConversion,UpdateForexConversion,GetMarkPriceData,UpdateMarkPrice,GetDayEndCash,GetAccountBalance,CreateDoneAwayOrder1,GetDataClosing"</formula1>
    </dataValidation>
    <dataValidation type="list" allowBlank="1" sqref="H1155:K1155">
      <formula1>"GetNonTradingTransaction,AddNonTradingTransaction,Copy of Data,CreateDoneAwayOrder"</formula1>
    </dataValidation>
    <dataValidation type="list" allowBlank="1" sqref="H1275:K1275">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GetActivityData,VerifyActivity,OpenSpinOff,SpinOff,Verify"&amp;"AndApplyCorpAction,GetForexConversion2,UpdateForexConversion2,GetMarkPriceData2,UpdateMarkPrice2,GetAccountBalance2,GetRevaluationData1,VerifyRevaluationData1,VerifyTradingTransaction1,GetActivityData1,VerifyActivity1"</formula1>
    </dataValidation>
    <dataValidation type="list" allowBlank="1" sqref="H83:K83 H193:K193">
      <formula1>"Copy of Data,GetNonTradingTransaction,AddNonTradingTransaction,CreateDoneAwayOrder,GetMarkPriceData,UpdateMarkPrice,GetDayEndCash"</formula1>
    </dataValidation>
    <dataValidation type="list" allowBlank="1" sqref="H2007:K2007">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OpenSpinOff,SpinOff"</formula1>
    </dataValidation>
    <dataValidation type="list" allowBlank="1" sqref="H753:K757">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GetForexConversion2,GetMarkPriceData2,UpdateForexConversion2,UpdateMarkPric"&amp;"e2"</formula1>
    </dataValidation>
    <dataValidation type="list" allowBlank="1" sqref="H1433:K1433 H1565">
      <formula1>"GetNonTradingTransaction,AddNonTradingTransaction,CreateDoneAwayOrder,GetForexConversion,UpdateForexConversion,GetMarkPriceData,UpdateMarkPrice,GetDayEndCash,CalculateDayEndCash,GetAccountBalance,GetRevaluationData,VerifyRevaluationData,VerifyTradingTrans"&amp;"action,GetActivityData,VerifyActivity,Copy of Data,OpenSpinOff"</formula1>
    </dataValidation>
    <dataValidation type="list" allowBlank="1" sqref="H1017:K1017">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VerifyAndApplyCorpAction,GetForexConversion2,GetMarkPriceDa"&amp;"ta2,Copy of Data_conflict1102868185,UpdateMarkPrice2,GetAccountBalance2,GetRevaluationData1,VerifyRevaluationData1,VerifyTradingTransaction1,GetDataClosing,GetActivityData1,VerifyActivity1,VerifyShortPositionsGrid"</formula1>
    </dataValidation>
    <dataValidation type="list" allowBlank="1" sqref="H1081:K1081">
      <formula1>"GetNonTradingTransaction,AddNonTradingTransaction,crea,CreateDoneAwayOrder,GetForexConversion,upda,UpdateForexConversion,GetMarkPriceData,UpdateMarkPrice,GetDayEndCash,CalculateDayEndCash,GetAccountBalance,upd"</formula1>
    </dataValidation>
    <dataValidation type="list" allowBlank="1" sqref="H1046:K1046">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formula1>
    </dataValidation>
    <dataValidation type="list" allowBlank="1" sqref="H45:K45 H115:K115 H150:K150 H230:K230 H308:K308 H347:K347 H386:K386 H424:K424 H459:K459 H494:K494 H529:K529 H570:K570 H685:K685 H767:K767 H808:K809 H854:K854 H899:K899 H941:K941 H1197:K1197 H1239:K1239 H1329:K1329 H1371 H1413:K1413 H1545 H1586:K1586 H1674 H1718 H1942:K1942 H1983:K1983">
      <formula1>"GetNonTradingTransaction,AddNonTradingTransaction,CreateDoneAwayOrder"</formula1>
    </dataValidation>
    <dataValidation type="list" allowBlank="1" sqref="H1190:K1190">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3,GetForexConversio"&amp;"n2,UpdateForexConversion2,GetMarkPriceData2,UpdateMarkPrice2,GetAccountBalance2,GetRevaluationData1,VerifyRevaluationData1,VerifyTradingTransaction1,GetActivityData1,VerifyActivity1,GetDataClosing,VerifyLongPositionsGrid,GetDataAllocation"</formula1>
    </dataValidation>
    <dataValidation type="list" allowBlank="1" sqref="H760:K760">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OpenSpinOff,SpinOff,VerifyAndApplyCorpAction,GetForexConversion2,GetMarkPriceData2,UpdateForexConversion2,UpdateMarkPric"&amp;"e2,GetAccountBalance2,GetRevaluationData1,VerifyRevaluationData1,VerifyTradingTransaction1,GetActivityData1,VerifyActivity1,GetDataClosing,VerifyShortPositionsGrid"</formula1>
    </dataValidation>
    <dataValidation type="list" allowBlank="1" sqref="H1537:K1537">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AccountBalance1,GetRevaluationData,VerifyRevaluationData,VerifyTradingTransaction,GetActivityData,VerifyActivity,OpenSpinOff,SpinOff,VerifyAndApplyCorpAction,GetForexConversion2,UpdateForexConversion2"&amp;",GetMarkPriceData2,UpdateMarkPrice2,GetAccountBalance2,GetRevaluationData1,VerifyRevaluationData1,VerifyTradingTransaction1,GetActivityData1,VerifyActivity1,GetDataClosing1,VerifyShortPositionsGrid"</formula1>
    </dataValidation>
    <dataValidation type="list" allowBlank="1" sqref="H710:K710">
      <formula1>"GetNonTradingTransaction,AddNonTradingTransaction,CreateDoneAwayOrder,GetForexConversion,UpdateForexConversion,GetMarkPriceData,UpdateMarkPrice,GetDayEndCash,CalculateDayEndCash,GetAccountBalance,UpdateForexConversion1,GetForexConversion1,GetMarkPriceData"&amp;"1,UpdateMarkPrice1,GetDayEndCash1,GetAccountBalance1,GetRevaluationData,VerifyRevaluationData,VerifyTradingTransaction,GetActivityData,VerifyActivity,OpenSpinOff,SpinOff,VerifyAndApplyCorpAction,GetForexConversion2,UpdateForexConversion2"</formula1>
    </dataValidation>
    <dataValidation type="list" allowBlank="1" sqref="H631:K632">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formula1>
    </dataValidation>
    <dataValidation type="list" allowBlank="1" sqref="H745:K745">
      <formula1>"GetNonTradingTransaction,AddNonTradingTransaction,CreateDoneAwayOrder,GetForexConversion,UpdateForexConversion,GetMarkPriceData,UpdateMarkPrice,GetDayEndCash,CalculateDayEndCash,GetAccountBalance,GetForexConversion1,UpdateForexConversion1,GetMarkPriceData"&amp;"1,UpdateMarkPrice1,GetAccountBalance1,GetRevaluationData,VerifyRevaluationData,VerifyTradingTransaction,GetActivityData,VerifyActivity"</formula1>
    </dataValidation>
    <dataValidation type="list" allowBlank="1" sqref="H1176:K1176">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formula1>
    </dataValidation>
    <dataValidation type="list" allowBlank="1" sqref="H15:K15">
      <formula1>"GetNonTradingTransaction,AddNonTradingTransaction,GetMarkPriceData,UpdateMarkPrice,GetDayEndCash,GetRevaluationData"</formula1>
    </dataValidation>
    <dataValidation type="list" allowBlank="1" sqref="H94:K94">
      <formula1>"Copy of Data,GetNonTradingTransaction,AddNonTradingTransaction,CreateDoneAwayOrder,GetMarkPriceData,UpdateMarkPrice,GetDayEndCash,CalculateDayEndCash,GetAccountBalance,GetMarkPriceData1,UpdateMarkPrice1,GetDayEndCash1,GetAccountBalance1,GetRevaluationData"&amp;",VerifyRevaluationData,VerifyTradingTransaction,GetActivityData"</formula1>
    </dataValidation>
    <dataValidation type="list" allowBlank="1" sqref="H827:K827">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formula1>
    </dataValidation>
    <dataValidation type="list" allowBlank="1" sqref="H558:K558">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formula1>
    </dataValidation>
    <dataValidation type="list" allowBlank="1" sqref="H906:K911 H913:K913">
      <formula1>"GetNonTradingTransaction,AddNonTradingTransaction,CreateDoneAwayOrder,GetForexConversion,UpdateDailyCash,UpdateForexConversion,GetMarkPriceData,UpdateMarkPrice,GetDayEndCash,CalculateDayEndCash,GetAccountBalance"</formula1>
    </dataValidation>
    <dataValidation type="list" allowBlank="1" sqref="H1005:K1006 H1008:K1009">
      <formula1>"GetNonTradingTransaction,AddNonTradingTransaction,AddNonTradingTransaction1,CreateDoneAwayOrder,GetForexConversion,UpdateForexConversion,GetMarkPriceData,UpdateMarkPrice,GetDayEndCash,CalculateDayEndCash,GetAccountBalance,GetForexConversion1,GetMarkPriceD"&amp;"ata1,UpdateForexConversion1,UpdateMarkPrice1,GetDayEndCash1,GetAccountBalance1,GetRevaluationData,VerifyRevaluationData,VerifyTradingTransaction,GetActivityData,VerifyActivity,OpenSpinOff,SpinOff,VerifyAndApplyCorpAction"</formula1>
    </dataValidation>
    <dataValidation type="list" allowBlank="1" sqref="F9 F45 F80 F115 F150 F157 F190 F197 F230 F237 F269 F276 F308 F315 F347 F354 F386 F393 F424 F459 F494 F529 F570 F605 F612 F644 F685 F726 F767 F809 F817 F854 F862 F899 F941 F983 F1024 F1069 F1114 F1155 F1197 F1239 F1247 F1284 F1292">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636:K636">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GetRevaluationData2,VerifyRevaluationData1,VerifyTradingTransaction1,GetActivityData1,VerifyActivity1"</formula1>
    </dataValidation>
    <dataValidation type="list" allowBlank="1" sqref="H829:K829">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formula1>
    </dataValidation>
    <dataValidation type="list" allowBlank="1" sqref="H1061:K1061">
      <formula1>"GetNonTradingTransaction,AddNonTradingTransaction,CreateDoneAwayOrder,GetForexConversion,upda,UpdateForexConversion,GetMarkPriceData,UpdateMarkPrice,GetDayEndCash,CalculateDayEndCash,GetAccountBalance,GetForexConversion1,UpdateForexConversion1,GetMarkPric"&amp;"eData1,UpdateMarkPrice1,GetDayEndCash1,CalculateDayEndCash1,GetAccountBalance1,GetRevaluationData,VerifyRevaluationData,VerifyTradingTransaction,GetActivityData,VerifyActivity,OpenSpinOff,SpinOff,VerifyAndApplyCorpAction,Copy of Data 1,GetForexConversion2"&amp;",UpdateForexConversion2,GetMarkPriceData2,UpdateMarkPrice2,GetAccountBalance2,GetRevaluationData1,VerifyRevaluationData1,VerifyTradingTransaction1,GetActivityData1,VerifyActivity1,GetDataClosing,VerifyLongPositionsGrid"</formula1>
    </dataValidation>
    <dataValidation type="list" allowBlank="1" sqref="H634:K634">
      <formula1>"GetDataClosing,AutomaticClosing,GetMarkPriceData,GetMarkPriceData1,UpdateMarkPrice,UpdateMarkPrice1,GetDayEndCash,GetDayEndCash1,CalculateDayEndCash,GetAccountBalance,GetAccountBalance1,GetRevaluationData,GetRevaluationData1,VerifyRevaluationData,VerifyTr"&amp;"adingTransaction,VerifyActivity,GetActivityData,OpenSpinOff,SpinOff,VerifyAndApplyCorpAction,GetMarkPriceData2,UpdateMarkPrice2,GetAccountBalance2,GetRevaluationData2,VerifyRevaluationData1,VerifyTradingTransaction1"</formula1>
    </dataValidation>
    <dataValidation type="list" allowBlank="1" sqref="F36:F37 F72:F73 F107:F108 F142:F143 F158:F159 F181:F182 F198:F199 F221:F222 F238:F239 F261:F262 F277:F278 F300:F301 F316:F317 F339:F340 F355:F356 F378:F379 F394:F395 F417:F418 F451:F452 F486:F487 F521:F522 F562:F563 F597:F598 F613:F614 F636:F637 F677:F678 F718:F719 F759:F760 F800:F801 F818:F819 F845:F846 F863:F864 F890:F891 F932:F933 F974:F975 F1016:F1017 F1033:F1034 F1060:F1061 F1078:F1079 F1105:F1106 F1147:F1148 F1188:F1189 F1230:F1231 F1248:F1249 F1275:F1276 F1293:F1294 F1320:F1321 F1362:F1363 F1404:F1405 F1446:F1447 H1447 F1464:F1465 F1491:F1492 F1509:F1510 F1536:F1537 F1578:F1579 H1579 F1595:F1596 F1622:F1623 F1639:F1640 F1666:F1667 F1683:F1684 F1710:F1711 F1727:F1728 F1754:F1755 F1772:F1773 F1799:F1800 F1817:F1818 F1844:F1845 F1862:F1863 F1889:F1890 F1907:F1908 F1934:F1935 F1975:F1976 F1992:F1993 F2019:F2020">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992:K994 H1291:K1292">
      <formula1>"GetNonTradingTransaction,AddNonTradingTransaction,AddNonTradingTransaction1,CreateDoneAwayOrder,GetForexConversion,UpdateForexConversion,GetMarkPriceData,UpdateMarkPrice,GetDayEndCash,CalculateDayEndCash,GetAccountBalance"</formula1>
    </dataValidation>
    <dataValidation type="list" allowBlank="1" sqref="H1156:K1156">
      <formula1>"GetNonTradingTransaction,AddNonTradingTransaction,Copy of Data,CreateDoneAwayOrder,GetForexConversion"</formula1>
    </dataValidation>
    <dataValidation type="list" allowBlank="1" sqref="H1978:K1978">
      <formula1>"GetNonTradingTransaction,AddNonTradingTransaction,CreateDoneAwayOrder,GetForexConversion,UpdateForexConversion,GetMarkPriceData,UpdateMarkPrice,GetDayEndCash,CalculateDayEndCash,GetAccountBalance,GetForexConversion1,UpdateForexConversion1,GetMarkPriceData"&amp;"1,UpdateMarkPrice1,GetRevaluationData,GetDayEndCash1,Copy of Data_conflict2120706847,GetAccountBalance1,VerifyRevaluationData,VerifyTradingTransaction,GetActivityData,VerifyActivity,OpenSpinOff,SpinOff,VerifyAndApplyCorpAction,GetForexConversion2,UpdateFo"&amp;"rexConversion2,GetMarkPriceData2,UpdateMarkPrice2,GetAccountBalance2,GetRevaluationData1,VerifyRevaluationData1,GetActivityData1,VerifyTradingTransaction1,VerifyActivity1,GetDataClosing,VerifyLongPositionsGrid,GetDataAllocation,CheckAllocatedGroups"</formula1>
    </dataValidation>
    <dataValidation type="list" allowBlank="1" sqref="H369:K369">
      <formula1>"GetNonTradingTransaction,AddNonTradingTransaction,CreateDoneAwayOrder,GetMarkPriceData,UpdateMarkPrice,GetDayEndCash,CalculateDayEndCash,GetAccountBalance,GetRevaluationData,CreateDoneAwayOrder1,GetDataClosing,AutomaticClosing,GetMarkPriceData1,UpdateMark"&amp;"Price1,GetDayEndCash1,GetAccountBalance1,GetRevaluationData1,VerifyRevaluationData,VerifyTradingTransaction,GetActivityData,VerifyActivity,OpenSpinOff,SpinOff,VerifyAndApplyCorpAction"</formula1>
    </dataValidation>
    <dataValidation type="list" allowBlank="1" sqref="H1987:K1987">
      <formula1>"GetNonTradingTransaction,AddNonTradingTransaction,CreateDoneAwayOrder,GetFo,GetForexConversion,U,UpdateForexConversion,GetMarkPriceData,UpdateMarkPrice"</formula1>
    </dataValidation>
    <dataValidation type="list" allowBlank="1" sqref="H848:K848">
      <formula1>"GetNonTradingTransaction,AddNonTradingTransaction,CreateDoneAwayOrder,AddNonTradingTransaction1,GetForexConversion,UpdateForexConversion,GetMarkPriceData,UpdateMarkPrice,GetDayEndCash,CalculateDayEndCash,GetAccountBalance,CreateDoneAwayOrder1,GetDataClosi"&amp;"ng,AutomaticClosing,GetForexConversion1,UpdateForexConversion1,GetMarkPriceData1,UpdateMarkPrice1,GetDayEndCash1,GetRevaluationData,VerifyRevaluationData,VerifyTradingTransaction,GetActivityData,VerifyActivity,GetAccountBalance1,OpenSpinOff,SpinOff,Verify"&amp;"AndApplyCorpAction,GetForexConversion2,UpdateForexConversion2,GetMarkPriceData2,UpdateMarkPrice2,GetAccountBalance2,GetRevaluationData1,VerifyRevaluationData1,Copy of Data_conflict1714295428,VerifyActivity1,GetDataClosing1,VerifyLongPositionsGrid,GetDataA"&amp;"llocation,CheckAllocatedGroups"</formula1>
    </dataValidation>
    <dataValidation type="list" allowBlank="1" sqref="H802:K802">
      <formula1>"GetNonTradingTransaction,AddNonTradingTransaction,CreateDoneAwayOrder,get,GetForexConversion,UpdateForexConversion,GetMarkPriceData,UpdateMarkPrice,GetDayEndCash,CalculateDayEndCash,GetAccountBalance,GetForexConversion1,UpdateForexConversion1,GetMarkPrice"&amp;"Data1,UpdateMarkPrice1,GetDayEndCash1,GetRevaluationData,VerifyRevaluationData,VerifyTradingTransaction,GetAccountBalance1,GetActivityData,VerifyActivity,OpenSpinOff,SpinOff,VerifyAndApplyCorpAction,GetForexConversion2,UpdateForexConversion2,GetMarkPriceD"&amp;"ata2,UpdateMarkPrice2,GetAccountBalance2,VerifyRevaluationData1,GetRevaluationData1,VerifyTradingTransaction1,VerifyActivity1,GetActivityData1,GetDataClosing,VerifyShortPositionsGrid,GetDataAllocation"</formula1>
    </dataValidation>
    <dataValidation type="list" allowBlank="1" sqref="H1259:K1259">
      <formula1>"GetNonTradingTransaction,AddNonTradingTransaction,CreateDoneAwayOrder,AddNonTradingTransaction1,GetForexConversion,UpdateForexConversion,GetMarkPriceData,UpdateMarkPrice,GetDayEndCash,GetAccountBalance,CreateDoneAwayOrder1,GetDataClosing,AutomaticClosing,"&amp;"GetForexConversion1,UpdateForexConversion1,GetMarkPriceData1,UpdateMarkPrice1,CalculateDayEndCash,GetDayEndCash1,GetAccountBalance1,GetRevaluationData,VerifyRevaluationData,VerifyTradingTransaction"</formula1>
    </dataValidation>
    <dataValidation type="list" allowBlank="1" sqref="H50:K51">
      <formula1>"GetNonTradingTransaction,AddNonTradingTransaction,CreateDoneAwayOrder,GetMarkPriceData,UpdateMarkPrice,GetDayEndCash,GetAccountBalance"</formula1>
    </dataValidation>
    <dataValidation type="list" allowBlank="1" sqref="H1028:K1028">
      <formula1>"GetNonTradingTransaction,AddNonTradingTransaction,CreateDoneAwayOrder,GetForexConversion,upda,UpdateForexConversion,GetMarkPriceData,UpdateMarkPrice"</formula1>
    </dataValidation>
    <dataValidation type="list" allowBlank="1" sqref="H565:K565">
      <formula1>"GetNonTradingTransaction,AddNonTradingTransaction,CreateDoneAwayOrder,GetMarkPriceData,UpdateMarkPrice,GetForexConversion,UpdateForexConversion,GetDayEndCash,CalculateDayEndCash,GetAccountDetails,GetAccountBalance,GetMarkPriceData1,UpdateMarkPrice1,GetFor"&amp;"exConversion1,UpdateForexConversion1,GetDayEndCash1,GetAccountBalance1,GetRevaluationData,VerifyRevaluationData,VerifyTradingTransaction,GetActivityData,VerifyActivity,OpenSpinOff,SpinOff,VerifyAndApplyCorpAction,GetMarkPriceData2,UpdateMarkPrice2,GetFore"&amp;"xConversion2,UpdateForexConversion2,GetAccountBalance2,GetRevaluationData1,VerifyRevaluationData1,VerifyTradingTransaction1,GetActivityData1,VerifyActivity1,GetDataClosing,VerifyLongPositionsGrid,GetDataAllocation,CheckAllocatedGroups"</formula1>
    </dataValidation>
    <dataValidation type="list" allowBlank="1" sqref="H1198:K1198">
      <formula1>"GetNonTradingTransaction,AddNonTradingTransaction,CreateDoneAwayOrder,Copy of Data,Copy of Data 1,Copy of Data 2,Copy of Data 2_conflict174752477,GetForexConversion"</formula1>
    </dataValidation>
    <dataValidation type="list" allowBlank="1" sqref="H1655:K1655 H1699 H1743">
      <formula1>"GetNonTradingTransaction,AddNonTradingTransaction,CreateDoneAwayOrder,GetForexConversion,UpdateForexConversion,GetMarkPriceData,UpdateMarkPrice,GetDayEndCash,GetAccountBalance,CreateDoneAwayOrder1,GetDataClosing,AutomaticClosing,GetForexConversion1,Update"&amp;"ForexConversion1,GetMarkPriceData1,UpdateMarkPrice1,GetDayEndCash1,GetAccountBalance1,GetRevaluationData,VerifyRevaluationData,VerifyTradingTransaction,GetActivityData,VerifyActivity,SpinOff,Copy of Data_conflict28307905,VerifyAndApplyCorpAction"</formula1>
    </dataValidation>
    <dataValidation type="list" allowBlank="1" sqref="H2005:K2005">
      <formula1>"GetNonTradingTransaction,AddNonTradingTransaction,CreateDoneAwayOrder,GetFo,GetForexConversion,U,UpdateForexConversion,GetMarkPriceData,UpdateMarkPrice,GetDayEndCash,CalculateDayEndCash,GetAccountBalance,C,GetDataClosing,AutomaticClosing,G,GetRevaluationD"&amp;"ata,V,VerifyRevaluationData,VerifyTradingTransaction,GetActivityData,VerifyActivity"</formula1>
    </dataValidation>
    <dataValidation type="list" allowBlank="1" sqref="H1500:K1500">
      <formula1>"Get,G,Copy of Data,Copy of Data 1,GetNonTradingTransaction,AddNonTradingTransaction,CreateDoneAwayOrder"</formula1>
    </dataValidation>
    <dataValidation type="list" allowBlank="1" sqref="H284:K284">
      <formula1>"get,GetNonTradingTransaction,AddNonTradingTransaction,CreateDoneAwayOrder,GetMarkPriceData,UpdateMarkPrice,GetDayEndCash,CalculateDayEndCash,GetAccountBalance,GetRevaluationData,CreateDoneAwayOrder1,GetDataClosing,AutomaticClosing,GetMarkPriceData1,Update"&amp;"MarkPrice1,GetDayEndCash1,GetAccountBalance1"</formula1>
    </dataValidation>
    <dataValidation type="list" allowBlank="1" sqref="H1199:K1199">
      <formula1>"GetNonTradingTransaction,AddNonTradingTransaction,CreateDoneAwayOrder,Copy of Data,Copy of Data 1,Copy of Data 2,Copy of Data 2_conflict174752477,GetForexConversion,UpdateForexConversion"</formula1>
    </dataValidation>
    <dataValidation type="list" allowBlank="1" sqref="H1184:K1184">
      <formula1>"GetNonTradingTransaction,AddNonTradingTransaction,Copy of Data,CreateDoneAwayOrder,GetForexConversion,UpdateForexConversion,GetMarkPriceData,UpdateMarkPrice,GetDayEndCash,CalculateDayEndCash,GetAccountBalance,GetForexConversion1,UpdateForexConversion1,Get"&amp;"MarkPriceData1,UpdateMarkPrice1,Copy of Data 1,GetAccountBalance1,Copy of Data 2,GetRevaluationData,VerifyRevaluationData,VerifyTradingTransaction,GetActivityData,VerifyActivity,OpenSpinOff,SpinOff,VerifyAndApplyCorpAction,Copy of Data 3,GetForexConversio"&amp;"n2,UpdateForexConversion2,GetMarkPriceData2,UpdateMarkPrice2,GetAccountBalance2,GetRevaluationData1"</formula1>
    </dataValidation>
    <dataValidation type="list" allowBlank="1" sqref="H679:K679">
      <formula1>"GetNonTradingTransaction,AddNonTradingTransaction,CreateDoneAwayOrder,GetForexConversion,UpdateForexConversion,GetMarkPriceData,UpdateMarkPrice,GetDayEndCash,CalculateDayEndCash,GetAccountBalance,GetForexConversion1,UpdateForexConversion1,GetMarkPriceData"&amp;"1,UpdateMarkPrice1,GetDayEndCash1,GetRevaluationData,GetAccountBalance1,VerifyRevaluationData,VerifyTradingTransaction,GetActivityData,VerifyActivity,OpenSpinOff,SpinOff,VerifyAndApplyCorpAction,GetForexConversion2,UpdateForexConversion2,GetMarkPriceData2"&amp;",UpdateMarkPrice2,GetAccountBalance2,GetRevaluationData1,VerifyRevaluationData1,VerifyTradingTransaction1,GetActivityData1,GetDataClosing,VerifyShortPositionsGrid,VerifyActivity1,GetDataAllocation"</formula1>
    </dataValidation>
    <dataValidation type="list" allowBlank="1" sqref="H471:K471">
      <formula1>"GetNonTradingTransaction,AddNonTradingTransaction,CreateDoneAwayOrder,GetMarkPriceData,UpdateMarkPrice,GetDayEndCash,CalculateDayEndCash,GetAccountBalance,GetAccountDetails,GetRevaluationData,VerifyRevaluationData"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3.86"/>
    <col customWidth="1" min="3" max="3" width="20.86"/>
    <col customWidth="1" min="4" max="4" width="13.43"/>
    <col customWidth="1" min="5" max="5" width="18.57"/>
    <col customWidth="1" min="6" max="6" width="37.43"/>
    <col customWidth="1" min="7" max="7" width="80.86"/>
    <col customWidth="1" min="8" max="8" width="26.29"/>
    <col customWidth="1" min="9" max="11" width="18.0"/>
    <col customWidth="1" min="12" max="12" width="23.71"/>
    <col customWidth="1" min="13" max="32" width="14.43"/>
  </cols>
  <sheetData>
    <row r="1" ht="1.5" customHeight="1">
      <c r="A1" s="14" t="s">
        <v>2179</v>
      </c>
      <c r="B1" s="12"/>
      <c r="C1" s="13"/>
      <c r="D1" s="14"/>
      <c r="E1" s="14"/>
      <c r="F1" s="14"/>
      <c r="G1" s="14"/>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6"/>
      <c r="B2" s="16"/>
      <c r="C2" s="17"/>
      <c r="D2" s="17"/>
      <c r="E2" s="17"/>
      <c r="F2" s="17"/>
      <c r="G2" s="17"/>
      <c r="H2" s="17"/>
      <c r="I2" s="17"/>
      <c r="J2" s="16"/>
      <c r="K2" s="16"/>
      <c r="L2" s="16"/>
      <c r="M2" s="18"/>
      <c r="N2" s="18"/>
      <c r="O2" s="18"/>
      <c r="P2" s="18"/>
      <c r="Q2" s="18"/>
      <c r="R2" s="18"/>
      <c r="S2" s="18"/>
      <c r="T2" s="18"/>
      <c r="U2" s="18"/>
      <c r="V2" s="18"/>
      <c r="W2" s="18"/>
      <c r="X2" s="18"/>
      <c r="Y2" s="18"/>
      <c r="Z2" s="18"/>
      <c r="AA2" s="18"/>
      <c r="AB2" s="18"/>
      <c r="AC2" s="18"/>
      <c r="AD2" s="18"/>
      <c r="AE2" s="18"/>
      <c r="AF2" s="18"/>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0"/>
      <c r="C4" s="21"/>
      <c r="D4" s="20"/>
      <c r="E4" s="20"/>
      <c r="F4" s="20"/>
      <c r="G4" s="20"/>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3" t="s">
        <v>8</v>
      </c>
      <c r="D5" s="24" t="s">
        <v>9</v>
      </c>
      <c r="E5" s="24" t="s">
        <v>10</v>
      </c>
      <c r="F5" s="24" t="s">
        <v>11</v>
      </c>
      <c r="G5" s="24" t="s">
        <v>12</v>
      </c>
      <c r="H5" s="24" t="s">
        <v>13</v>
      </c>
      <c r="I5" s="25" t="s">
        <v>14</v>
      </c>
      <c r="J5" s="25" t="s">
        <v>15</v>
      </c>
      <c r="K5" s="25" t="s">
        <v>16</v>
      </c>
      <c r="L5" s="22" t="s">
        <v>17</v>
      </c>
      <c r="M5" s="15"/>
      <c r="N5" s="15"/>
      <c r="O5" s="15"/>
      <c r="P5" s="15"/>
      <c r="Q5" s="15"/>
      <c r="R5" s="15"/>
      <c r="S5" s="15"/>
      <c r="T5" s="15"/>
      <c r="U5" s="15"/>
      <c r="V5" s="15"/>
      <c r="W5" s="15"/>
      <c r="X5" s="15"/>
      <c r="Y5" s="15"/>
      <c r="Z5" s="15"/>
      <c r="AA5" s="15"/>
      <c r="AB5" s="15"/>
      <c r="AC5" s="15"/>
      <c r="AD5" s="15"/>
      <c r="AE5" s="15"/>
      <c r="AF5" s="15"/>
    </row>
    <row r="6" ht="15.75" customHeight="1">
      <c r="A6" s="28" t="s">
        <v>5</v>
      </c>
      <c r="B6" s="214" t="s">
        <v>2180</v>
      </c>
      <c r="C6" s="33" t="s">
        <v>2181</v>
      </c>
      <c r="D6" s="28" t="s">
        <v>20</v>
      </c>
      <c r="E6" s="28" t="s">
        <v>21</v>
      </c>
      <c r="F6" s="65" t="s">
        <v>22</v>
      </c>
      <c r="G6" s="168" t="s">
        <v>2182</v>
      </c>
      <c r="H6" s="36"/>
      <c r="L6" s="11"/>
      <c r="M6" s="15"/>
      <c r="N6" s="15"/>
      <c r="O6" s="15"/>
      <c r="P6" s="15"/>
      <c r="Q6" s="15"/>
      <c r="R6" s="15"/>
      <c r="S6" s="15"/>
      <c r="T6" s="15"/>
      <c r="U6" s="15"/>
      <c r="V6" s="15"/>
      <c r="W6" s="15"/>
      <c r="X6" s="15"/>
      <c r="Y6" s="15"/>
      <c r="Z6" s="15"/>
      <c r="AA6" s="15"/>
      <c r="AB6" s="15"/>
      <c r="AC6" s="15"/>
      <c r="AD6" s="15"/>
      <c r="AE6" s="15"/>
      <c r="AF6" s="15"/>
    </row>
    <row r="7" ht="15.75" customHeight="1">
      <c r="A7" s="28" t="s">
        <v>5</v>
      </c>
      <c r="E7" s="28" t="s">
        <v>43</v>
      </c>
      <c r="F7" s="65" t="s">
        <v>109</v>
      </c>
      <c r="G7" s="166" t="s">
        <v>2183</v>
      </c>
      <c r="H7" s="35" t="s">
        <v>109</v>
      </c>
      <c r="L7" s="11"/>
      <c r="M7" s="15"/>
      <c r="N7" s="15"/>
      <c r="O7" s="15"/>
      <c r="P7" s="15"/>
      <c r="Q7" s="15"/>
      <c r="R7" s="15"/>
      <c r="S7" s="15"/>
      <c r="T7" s="15"/>
      <c r="U7" s="15"/>
      <c r="V7" s="15"/>
      <c r="W7" s="15"/>
      <c r="X7" s="15"/>
      <c r="Y7" s="15"/>
      <c r="Z7" s="15"/>
      <c r="AA7" s="15"/>
      <c r="AB7" s="15"/>
      <c r="AC7" s="15"/>
      <c r="AD7" s="15"/>
      <c r="AE7" s="15"/>
      <c r="AF7" s="15"/>
    </row>
    <row r="8" ht="15.75" customHeight="1">
      <c r="A8" s="28" t="s">
        <v>5</v>
      </c>
      <c r="E8" s="28" t="s">
        <v>21</v>
      </c>
      <c r="F8" s="65" t="s">
        <v>110</v>
      </c>
      <c r="G8" s="166" t="s">
        <v>2184</v>
      </c>
      <c r="H8" s="35" t="s">
        <v>110</v>
      </c>
      <c r="L8" s="11"/>
      <c r="M8" s="15"/>
      <c r="N8" s="15"/>
      <c r="O8" s="15"/>
      <c r="P8" s="15"/>
      <c r="Q8" s="15"/>
      <c r="R8" s="15"/>
      <c r="S8" s="15"/>
      <c r="T8" s="15"/>
      <c r="U8" s="15"/>
      <c r="V8" s="15"/>
      <c r="W8" s="15"/>
      <c r="X8" s="15"/>
      <c r="Y8" s="15"/>
      <c r="Z8" s="15"/>
      <c r="AA8" s="15"/>
      <c r="AB8" s="15"/>
      <c r="AC8" s="15"/>
      <c r="AD8" s="15"/>
      <c r="AE8" s="15"/>
      <c r="AF8" s="15"/>
    </row>
    <row r="9" ht="15.75" customHeight="1">
      <c r="A9" s="28" t="s">
        <v>5</v>
      </c>
      <c r="E9" s="28" t="s">
        <v>43</v>
      </c>
      <c r="F9" s="32" t="s">
        <v>716</v>
      </c>
      <c r="G9" s="166" t="s">
        <v>2185</v>
      </c>
      <c r="H9" s="35" t="s">
        <v>716</v>
      </c>
      <c r="I9" s="36"/>
      <c r="J9" s="36"/>
      <c r="L9" s="11"/>
      <c r="M9" s="15"/>
      <c r="N9" s="15"/>
      <c r="O9" s="15"/>
      <c r="P9" s="15"/>
      <c r="Q9" s="15"/>
      <c r="R9" s="15"/>
      <c r="S9" s="15"/>
      <c r="T9" s="15"/>
      <c r="U9" s="15"/>
      <c r="V9" s="15"/>
      <c r="W9" s="15"/>
      <c r="X9" s="15"/>
      <c r="Y9" s="15"/>
      <c r="Z9" s="15"/>
      <c r="AA9" s="15"/>
      <c r="AB9" s="15"/>
      <c r="AC9" s="15"/>
      <c r="AD9" s="15"/>
      <c r="AE9" s="15"/>
      <c r="AF9" s="15"/>
    </row>
    <row r="10" ht="15.75" customHeight="1">
      <c r="A10" s="28" t="s">
        <v>5</v>
      </c>
      <c r="E10" s="28" t="s">
        <v>21</v>
      </c>
      <c r="F10" s="32" t="s">
        <v>249</v>
      </c>
      <c r="G10" s="166" t="s">
        <v>2186</v>
      </c>
      <c r="H10" s="35" t="s">
        <v>249</v>
      </c>
      <c r="L10" s="11"/>
      <c r="M10" s="15"/>
      <c r="N10" s="15"/>
      <c r="O10" s="15"/>
      <c r="P10" s="15"/>
      <c r="Q10" s="15"/>
      <c r="R10" s="15"/>
      <c r="S10" s="15"/>
      <c r="T10" s="15"/>
      <c r="U10" s="15"/>
      <c r="V10" s="15"/>
      <c r="W10" s="15"/>
      <c r="X10" s="15"/>
      <c r="Y10" s="15"/>
      <c r="Z10" s="15"/>
      <c r="AA10" s="15"/>
      <c r="AB10" s="15"/>
      <c r="AC10" s="15"/>
      <c r="AD10" s="15"/>
      <c r="AE10" s="15"/>
      <c r="AF10" s="15"/>
    </row>
    <row r="11" ht="15.75" customHeight="1">
      <c r="A11" s="28" t="s">
        <v>5</v>
      </c>
      <c r="E11" s="28" t="s">
        <v>43</v>
      </c>
      <c r="F11" s="32" t="s">
        <v>79</v>
      </c>
      <c r="G11" s="166" t="s">
        <v>2187</v>
      </c>
      <c r="H11" s="35" t="s">
        <v>79</v>
      </c>
      <c r="L11" s="11"/>
      <c r="M11" s="15"/>
      <c r="N11" s="15"/>
      <c r="O11" s="15"/>
      <c r="P11" s="15"/>
      <c r="Q11" s="15"/>
      <c r="R11" s="15"/>
      <c r="S11" s="15"/>
      <c r="T11" s="15"/>
      <c r="U11" s="15"/>
      <c r="V11" s="15"/>
      <c r="W11" s="15"/>
      <c r="X11" s="15"/>
      <c r="Y11" s="15"/>
      <c r="Z11" s="15"/>
      <c r="AA11" s="15"/>
      <c r="AB11" s="15"/>
      <c r="AC11" s="15"/>
      <c r="AD11" s="15"/>
      <c r="AE11" s="15"/>
      <c r="AF11" s="15"/>
    </row>
    <row r="12" ht="15.75" customHeight="1">
      <c r="A12" s="28" t="s">
        <v>5</v>
      </c>
      <c r="E12" s="28" t="s">
        <v>43</v>
      </c>
      <c r="F12" s="32" t="s">
        <v>132</v>
      </c>
      <c r="G12" s="166" t="s">
        <v>2188</v>
      </c>
      <c r="H12" s="35" t="s">
        <v>132</v>
      </c>
      <c r="L12" s="11"/>
      <c r="M12" s="15"/>
      <c r="N12" s="15"/>
      <c r="O12" s="15"/>
      <c r="P12" s="15"/>
      <c r="Q12" s="15"/>
      <c r="R12" s="15"/>
      <c r="S12" s="15"/>
      <c r="T12" s="15"/>
      <c r="U12" s="15"/>
      <c r="V12" s="15"/>
      <c r="W12" s="15"/>
      <c r="X12" s="15"/>
      <c r="Y12" s="15"/>
      <c r="Z12" s="15"/>
      <c r="AA12" s="15"/>
      <c r="AB12" s="15"/>
      <c r="AC12" s="15"/>
      <c r="AD12" s="15"/>
      <c r="AE12" s="15"/>
      <c r="AF12" s="15"/>
    </row>
    <row r="13" ht="15.75" customHeight="1">
      <c r="A13" s="28" t="s">
        <v>5</v>
      </c>
      <c r="E13" s="28" t="s">
        <v>43</v>
      </c>
      <c r="F13" s="32" t="s">
        <v>77</v>
      </c>
      <c r="G13" s="166" t="s">
        <v>2189</v>
      </c>
      <c r="H13" s="35" t="s">
        <v>77</v>
      </c>
      <c r="L13" s="11"/>
      <c r="M13" s="15"/>
      <c r="N13" s="15"/>
      <c r="O13" s="15"/>
      <c r="P13" s="15"/>
      <c r="Q13" s="15"/>
      <c r="R13" s="15"/>
      <c r="S13" s="15"/>
      <c r="T13" s="15"/>
      <c r="U13" s="15"/>
      <c r="V13" s="15"/>
      <c r="W13" s="15"/>
      <c r="X13" s="15"/>
      <c r="Y13" s="15"/>
      <c r="Z13" s="15"/>
      <c r="AA13" s="15"/>
      <c r="AB13" s="15"/>
      <c r="AC13" s="15"/>
      <c r="AD13" s="15"/>
      <c r="AE13" s="15"/>
      <c r="AF13" s="15"/>
    </row>
    <row r="14" ht="15.75" customHeight="1">
      <c r="A14" s="28" t="s">
        <v>5</v>
      </c>
      <c r="E14" s="28" t="s">
        <v>43</v>
      </c>
      <c r="F14" s="32" t="s">
        <v>53</v>
      </c>
      <c r="G14" s="168" t="s">
        <v>2190</v>
      </c>
      <c r="H14" s="36"/>
      <c r="L14" s="11"/>
      <c r="M14" s="15"/>
      <c r="N14" s="15"/>
      <c r="O14" s="15"/>
      <c r="P14" s="15"/>
      <c r="Q14" s="15"/>
      <c r="R14" s="15"/>
      <c r="S14" s="15"/>
      <c r="T14" s="15"/>
      <c r="U14" s="15"/>
      <c r="V14" s="15"/>
      <c r="W14" s="15"/>
      <c r="X14" s="15"/>
      <c r="Y14" s="15"/>
      <c r="Z14" s="15"/>
      <c r="AA14" s="15"/>
      <c r="AB14" s="15"/>
      <c r="AC14" s="15"/>
      <c r="AD14" s="15"/>
      <c r="AE14" s="15"/>
      <c r="AF14" s="15"/>
    </row>
    <row r="15" ht="15.75" customHeight="1">
      <c r="A15" s="28" t="s">
        <v>5</v>
      </c>
      <c r="B15" s="214" t="s">
        <v>2191</v>
      </c>
      <c r="C15" s="33" t="s">
        <v>2192</v>
      </c>
      <c r="D15" s="28" t="s">
        <v>20</v>
      </c>
      <c r="E15" s="28" t="s">
        <v>21</v>
      </c>
      <c r="F15" s="32" t="s">
        <v>22</v>
      </c>
      <c r="G15" s="166" t="s">
        <v>2193</v>
      </c>
      <c r="H15" s="32" t="s">
        <v>22</v>
      </c>
      <c r="L15" s="11"/>
      <c r="M15" s="15"/>
      <c r="N15" s="15"/>
      <c r="O15" s="15"/>
      <c r="P15" s="15"/>
      <c r="Q15" s="15"/>
      <c r="R15" s="15"/>
      <c r="S15" s="15"/>
      <c r="T15" s="15"/>
      <c r="U15" s="15"/>
      <c r="V15" s="15"/>
      <c r="W15" s="15"/>
      <c r="X15" s="15"/>
      <c r="Y15" s="15"/>
      <c r="Z15" s="15"/>
      <c r="AA15" s="15"/>
      <c r="AB15" s="15"/>
      <c r="AC15" s="15"/>
      <c r="AD15" s="15"/>
      <c r="AE15" s="15"/>
      <c r="AF15" s="15"/>
    </row>
    <row r="16" ht="15.75" customHeight="1">
      <c r="A16" s="28" t="s">
        <v>5</v>
      </c>
      <c r="E16" s="28" t="s">
        <v>43</v>
      </c>
      <c r="F16" s="32" t="s">
        <v>109</v>
      </c>
      <c r="G16" s="166" t="s">
        <v>2194</v>
      </c>
      <c r="H16" s="35" t="s">
        <v>109</v>
      </c>
      <c r="L16" s="11"/>
      <c r="M16" s="15"/>
      <c r="N16" s="15"/>
      <c r="O16" s="15"/>
      <c r="P16" s="15"/>
      <c r="Q16" s="15"/>
      <c r="R16" s="15"/>
      <c r="S16" s="15"/>
      <c r="T16" s="15"/>
      <c r="U16" s="15"/>
      <c r="V16" s="15"/>
      <c r="W16" s="15"/>
      <c r="X16" s="15"/>
      <c r="Y16" s="15"/>
      <c r="Z16" s="15"/>
      <c r="AA16" s="15"/>
      <c r="AB16" s="15"/>
      <c r="AC16" s="15"/>
      <c r="AD16" s="15"/>
      <c r="AE16" s="15"/>
      <c r="AF16" s="15"/>
    </row>
    <row r="17" ht="15.75" customHeight="1">
      <c r="A17" s="28" t="s">
        <v>5</v>
      </c>
      <c r="E17" s="28" t="s">
        <v>21</v>
      </c>
      <c r="F17" s="65" t="s">
        <v>110</v>
      </c>
      <c r="G17" s="166" t="s">
        <v>2195</v>
      </c>
      <c r="H17" s="35" t="s">
        <v>110</v>
      </c>
      <c r="I17" s="36"/>
      <c r="L17" s="11"/>
      <c r="M17" s="15"/>
      <c r="N17" s="15"/>
      <c r="O17" s="15"/>
      <c r="P17" s="15"/>
      <c r="Q17" s="15"/>
      <c r="R17" s="15"/>
      <c r="S17" s="15"/>
      <c r="T17" s="15"/>
      <c r="U17" s="15"/>
      <c r="V17" s="15"/>
      <c r="W17" s="15"/>
      <c r="X17" s="15"/>
      <c r="Y17" s="15"/>
      <c r="Z17" s="15"/>
      <c r="AA17" s="15"/>
      <c r="AB17" s="15"/>
      <c r="AC17" s="15"/>
      <c r="AD17" s="15"/>
      <c r="AE17" s="15"/>
      <c r="AF17" s="15"/>
    </row>
    <row r="18" ht="15.75" customHeight="1">
      <c r="A18" s="28" t="s">
        <v>5</v>
      </c>
      <c r="E18" s="28" t="s">
        <v>43</v>
      </c>
      <c r="F18" s="32" t="s">
        <v>716</v>
      </c>
      <c r="G18" s="166" t="s">
        <v>2196</v>
      </c>
      <c r="H18" s="35" t="s">
        <v>716</v>
      </c>
      <c r="I18" s="36"/>
      <c r="L18" s="11"/>
      <c r="M18" s="15"/>
      <c r="N18" s="15"/>
      <c r="O18" s="15"/>
      <c r="P18" s="15"/>
      <c r="Q18" s="15"/>
      <c r="R18" s="15"/>
      <c r="S18" s="15"/>
      <c r="T18" s="15"/>
      <c r="U18" s="15"/>
      <c r="V18" s="15"/>
      <c r="W18" s="15"/>
      <c r="X18" s="15"/>
      <c r="Y18" s="15"/>
      <c r="Z18" s="15"/>
      <c r="AA18" s="15"/>
      <c r="AB18" s="15"/>
      <c r="AC18" s="15"/>
      <c r="AD18" s="15"/>
      <c r="AE18" s="15"/>
      <c r="AF18" s="15"/>
    </row>
    <row r="19" ht="15.75" customHeight="1">
      <c r="A19" s="28" t="s">
        <v>5</v>
      </c>
      <c r="E19" s="28" t="s">
        <v>21</v>
      </c>
      <c r="F19" s="32" t="s">
        <v>249</v>
      </c>
      <c r="G19" s="166" t="s">
        <v>2197</v>
      </c>
      <c r="H19" s="35" t="s">
        <v>249</v>
      </c>
      <c r="L19" s="11"/>
      <c r="M19" s="15"/>
      <c r="N19" s="15"/>
      <c r="O19" s="15"/>
      <c r="P19" s="15"/>
      <c r="Q19" s="15"/>
      <c r="R19" s="15"/>
      <c r="S19" s="15"/>
      <c r="T19" s="15"/>
      <c r="U19" s="15"/>
      <c r="V19" s="15"/>
      <c r="W19" s="15"/>
      <c r="X19" s="15"/>
      <c r="Y19" s="15"/>
      <c r="Z19" s="15"/>
      <c r="AA19" s="15"/>
      <c r="AB19" s="15"/>
      <c r="AC19" s="15"/>
      <c r="AD19" s="15"/>
      <c r="AE19" s="15"/>
      <c r="AF19" s="15"/>
    </row>
    <row r="20" ht="15.75" customHeight="1">
      <c r="A20" s="28" t="s">
        <v>5</v>
      </c>
      <c r="E20" s="28" t="s">
        <v>43</v>
      </c>
      <c r="F20" s="32" t="s">
        <v>53</v>
      </c>
      <c r="G20" s="166" t="s">
        <v>2198</v>
      </c>
      <c r="H20" s="35" t="s">
        <v>53</v>
      </c>
      <c r="L20" s="11"/>
      <c r="M20" s="15"/>
      <c r="N20" s="15"/>
      <c r="O20" s="15"/>
      <c r="P20" s="15"/>
      <c r="Q20" s="15"/>
      <c r="R20" s="15"/>
      <c r="S20" s="15"/>
      <c r="T20" s="15"/>
      <c r="U20" s="15"/>
      <c r="V20" s="15"/>
      <c r="W20" s="15"/>
      <c r="X20" s="15"/>
      <c r="Y20" s="15"/>
      <c r="Z20" s="15"/>
      <c r="AA20" s="15"/>
      <c r="AB20" s="15"/>
      <c r="AC20" s="15"/>
      <c r="AD20" s="15"/>
      <c r="AE20" s="15"/>
      <c r="AF20" s="15"/>
    </row>
    <row r="21" ht="15.75" customHeight="1">
      <c r="A21" s="28" t="s">
        <v>5</v>
      </c>
      <c r="E21" s="28" t="s">
        <v>43</v>
      </c>
      <c r="F21" s="32" t="s">
        <v>132</v>
      </c>
      <c r="G21" s="166" t="s">
        <v>2199</v>
      </c>
      <c r="H21" s="35" t="s">
        <v>132</v>
      </c>
      <c r="L21" s="11"/>
      <c r="M21" s="15"/>
      <c r="N21" s="15"/>
      <c r="O21" s="15"/>
      <c r="P21" s="15"/>
      <c r="Q21" s="15"/>
      <c r="R21" s="15"/>
      <c r="S21" s="15"/>
      <c r="T21" s="15"/>
      <c r="U21" s="15"/>
      <c r="V21" s="15"/>
      <c r="W21" s="15"/>
      <c r="X21" s="15"/>
      <c r="Y21" s="15"/>
      <c r="Z21" s="15"/>
      <c r="AA21" s="15"/>
      <c r="AB21" s="15"/>
      <c r="AC21" s="15"/>
      <c r="AD21" s="15"/>
      <c r="AE21" s="15"/>
      <c r="AF21" s="15"/>
    </row>
    <row r="22" ht="15.75" customHeight="1">
      <c r="A22" s="28" t="s">
        <v>5</v>
      </c>
      <c r="E22" s="28" t="s">
        <v>43</v>
      </c>
      <c r="F22" s="32" t="s">
        <v>77</v>
      </c>
      <c r="G22" s="166" t="s">
        <v>2200</v>
      </c>
      <c r="H22" s="35" t="s">
        <v>77</v>
      </c>
      <c r="L22" s="11"/>
      <c r="M22" s="15"/>
      <c r="N22" s="15"/>
      <c r="O22" s="15"/>
      <c r="P22" s="15"/>
      <c r="Q22" s="15"/>
      <c r="R22" s="15"/>
      <c r="S22" s="15"/>
      <c r="T22" s="15"/>
      <c r="U22" s="15"/>
      <c r="V22" s="15"/>
      <c r="W22" s="15"/>
      <c r="X22" s="15"/>
      <c r="Y22" s="15"/>
      <c r="Z22" s="15"/>
      <c r="AA22" s="15"/>
      <c r="AB22" s="15"/>
      <c r="AC22" s="15"/>
      <c r="AD22" s="15"/>
      <c r="AE22" s="15"/>
      <c r="AF22" s="15"/>
    </row>
    <row r="23" ht="15.75" customHeight="1">
      <c r="A23" s="28" t="s">
        <v>5</v>
      </c>
      <c r="E23" s="28" t="s">
        <v>43</v>
      </c>
      <c r="F23" s="32" t="s">
        <v>79</v>
      </c>
      <c r="G23" s="166" t="s">
        <v>2201</v>
      </c>
      <c r="H23" s="35" t="s">
        <v>79</v>
      </c>
      <c r="L23" s="11"/>
      <c r="M23" s="15"/>
      <c r="N23" s="15"/>
      <c r="O23" s="15"/>
      <c r="P23" s="15"/>
      <c r="Q23" s="15"/>
      <c r="R23" s="15"/>
      <c r="S23" s="15"/>
      <c r="T23" s="15"/>
      <c r="U23" s="15"/>
      <c r="V23" s="15"/>
      <c r="W23" s="15"/>
      <c r="X23" s="15"/>
      <c r="Y23" s="15"/>
      <c r="Z23" s="15"/>
      <c r="AA23" s="15"/>
      <c r="AB23" s="15"/>
      <c r="AC23" s="15"/>
      <c r="AD23" s="15"/>
      <c r="AE23" s="15"/>
      <c r="AF23" s="15"/>
    </row>
    <row r="24" ht="15.75" customHeight="1">
      <c r="A24" s="28" t="s">
        <v>5</v>
      </c>
      <c r="B24" s="214" t="s">
        <v>2202</v>
      </c>
      <c r="C24" s="33" t="s">
        <v>2203</v>
      </c>
      <c r="D24" s="28" t="s">
        <v>20</v>
      </c>
      <c r="E24" s="28" t="s">
        <v>21</v>
      </c>
      <c r="F24" s="32" t="s">
        <v>22</v>
      </c>
      <c r="G24" s="166" t="s">
        <v>2204</v>
      </c>
      <c r="H24" s="35" t="s">
        <v>22</v>
      </c>
      <c r="L24" s="11"/>
      <c r="M24" s="15"/>
      <c r="N24" s="15"/>
      <c r="O24" s="15"/>
      <c r="P24" s="15"/>
      <c r="Q24" s="15"/>
      <c r="R24" s="15"/>
      <c r="S24" s="15"/>
      <c r="T24" s="15"/>
      <c r="U24" s="15"/>
      <c r="V24" s="15"/>
      <c r="W24" s="15"/>
      <c r="X24" s="15"/>
      <c r="Y24" s="15"/>
      <c r="Z24" s="15"/>
      <c r="AA24" s="15"/>
      <c r="AB24" s="15"/>
      <c r="AC24" s="15"/>
      <c r="AD24" s="15"/>
      <c r="AE24" s="15"/>
      <c r="AF24" s="15"/>
    </row>
    <row r="25" ht="15.75" customHeight="1">
      <c r="A25" s="28" t="s">
        <v>5</v>
      </c>
      <c r="E25" s="28" t="s">
        <v>43</v>
      </c>
      <c r="F25" s="32" t="s">
        <v>109</v>
      </c>
      <c r="G25" s="166" t="s">
        <v>2205</v>
      </c>
      <c r="H25" s="35" t="s">
        <v>109</v>
      </c>
      <c r="L25" s="11"/>
      <c r="M25" s="15"/>
      <c r="N25" s="15"/>
      <c r="O25" s="15"/>
      <c r="P25" s="15"/>
      <c r="Q25" s="15"/>
      <c r="R25" s="15"/>
      <c r="S25" s="15"/>
      <c r="T25" s="15"/>
      <c r="U25" s="15"/>
      <c r="V25" s="15"/>
      <c r="W25" s="15"/>
      <c r="X25" s="15"/>
      <c r="Y25" s="15"/>
      <c r="Z25" s="15"/>
      <c r="AA25" s="15"/>
      <c r="AB25" s="15"/>
      <c r="AC25" s="15"/>
      <c r="AD25" s="15"/>
      <c r="AE25" s="15"/>
      <c r="AF25" s="15"/>
    </row>
    <row r="26" ht="15.75" customHeight="1">
      <c r="A26" s="28" t="s">
        <v>5</v>
      </c>
      <c r="E26" s="28" t="s">
        <v>21</v>
      </c>
      <c r="F26" s="65" t="s">
        <v>110</v>
      </c>
      <c r="G26" s="166" t="s">
        <v>2206</v>
      </c>
      <c r="H26" s="35" t="s">
        <v>110</v>
      </c>
      <c r="L26" s="11"/>
      <c r="M26" s="15"/>
      <c r="N26" s="15"/>
      <c r="O26" s="15"/>
      <c r="P26" s="15"/>
      <c r="Q26" s="15"/>
      <c r="R26" s="15"/>
      <c r="S26" s="15"/>
      <c r="T26" s="15"/>
      <c r="U26" s="15"/>
      <c r="V26" s="15"/>
      <c r="W26" s="15"/>
      <c r="X26" s="15"/>
      <c r="Y26" s="15"/>
      <c r="Z26" s="15"/>
      <c r="AA26" s="15"/>
      <c r="AB26" s="15"/>
      <c r="AC26" s="15"/>
      <c r="AD26" s="15"/>
      <c r="AE26" s="15"/>
      <c r="AF26" s="15"/>
    </row>
    <row r="27" ht="15.75" customHeight="1">
      <c r="A27" s="28" t="s">
        <v>5</v>
      </c>
      <c r="E27" s="28" t="s">
        <v>43</v>
      </c>
      <c r="F27" s="32" t="s">
        <v>109</v>
      </c>
      <c r="G27" s="166" t="s">
        <v>2207</v>
      </c>
      <c r="H27" s="35" t="s">
        <v>2208</v>
      </c>
      <c r="L27" s="11"/>
      <c r="M27" s="15"/>
      <c r="N27" s="15"/>
      <c r="O27" s="15"/>
      <c r="P27" s="15"/>
      <c r="Q27" s="15"/>
      <c r="R27" s="15"/>
      <c r="S27" s="15"/>
      <c r="T27" s="15"/>
      <c r="U27" s="15"/>
      <c r="V27" s="15"/>
      <c r="W27" s="15"/>
      <c r="X27" s="15"/>
      <c r="Y27" s="15"/>
      <c r="Z27" s="15"/>
      <c r="AA27" s="15"/>
      <c r="AB27" s="15"/>
      <c r="AC27" s="15"/>
      <c r="AD27" s="15"/>
      <c r="AE27" s="15"/>
      <c r="AF27" s="15"/>
    </row>
    <row r="28" ht="15.75" customHeight="1">
      <c r="A28" s="28" t="s">
        <v>5</v>
      </c>
      <c r="E28" s="28" t="s">
        <v>21</v>
      </c>
      <c r="F28" s="65" t="s">
        <v>110</v>
      </c>
      <c r="G28" s="166" t="s">
        <v>2209</v>
      </c>
      <c r="H28" s="35" t="s">
        <v>2210</v>
      </c>
      <c r="L28" s="11"/>
      <c r="M28" s="15"/>
      <c r="N28" s="15"/>
      <c r="O28" s="15"/>
      <c r="P28" s="15"/>
      <c r="Q28" s="15"/>
      <c r="R28" s="15"/>
      <c r="S28" s="15"/>
      <c r="T28" s="15"/>
      <c r="U28" s="15"/>
      <c r="V28" s="15"/>
      <c r="W28" s="15"/>
      <c r="X28" s="15"/>
      <c r="Y28" s="15"/>
      <c r="Z28" s="15"/>
      <c r="AA28" s="15"/>
      <c r="AB28" s="15"/>
      <c r="AC28" s="15"/>
      <c r="AD28" s="15"/>
      <c r="AE28" s="15"/>
      <c r="AF28" s="15"/>
    </row>
    <row r="29" ht="15.75" customHeight="1">
      <c r="A29" s="28" t="s">
        <v>5</v>
      </c>
      <c r="E29" s="28" t="s">
        <v>43</v>
      </c>
      <c r="F29" s="32" t="s">
        <v>712</v>
      </c>
      <c r="G29" s="166" t="s">
        <v>2211</v>
      </c>
      <c r="H29" s="35" t="s">
        <v>712</v>
      </c>
      <c r="L29" s="11"/>
      <c r="M29" s="15"/>
      <c r="N29" s="15"/>
      <c r="O29" s="15"/>
      <c r="P29" s="15"/>
      <c r="Q29" s="15"/>
      <c r="R29" s="15"/>
      <c r="S29" s="15"/>
      <c r="T29" s="15"/>
      <c r="U29" s="15"/>
      <c r="V29" s="15"/>
      <c r="W29" s="15"/>
      <c r="X29" s="15"/>
      <c r="Y29" s="15"/>
      <c r="Z29" s="15"/>
      <c r="AA29" s="15"/>
      <c r="AB29" s="15"/>
      <c r="AC29" s="15"/>
      <c r="AD29" s="15"/>
      <c r="AE29" s="15"/>
      <c r="AF29" s="15"/>
    </row>
    <row r="30" ht="15.75" customHeight="1">
      <c r="A30" s="28" t="s">
        <v>5</v>
      </c>
      <c r="E30" s="28" t="s">
        <v>43</v>
      </c>
      <c r="F30" s="32" t="s">
        <v>53</v>
      </c>
      <c r="G30" s="166" t="s">
        <v>2212</v>
      </c>
      <c r="H30" s="35" t="s">
        <v>53</v>
      </c>
      <c r="M30" s="15"/>
      <c r="N30" s="15"/>
      <c r="O30" s="15"/>
      <c r="P30" s="15"/>
      <c r="Q30" s="15"/>
      <c r="R30" s="15"/>
      <c r="S30" s="15"/>
      <c r="T30" s="15"/>
      <c r="U30" s="15"/>
      <c r="V30" s="15"/>
      <c r="W30" s="15"/>
      <c r="X30" s="15"/>
      <c r="Y30" s="15"/>
      <c r="Z30" s="15"/>
      <c r="AA30" s="15"/>
      <c r="AB30" s="15"/>
      <c r="AC30" s="15"/>
      <c r="AD30" s="15"/>
      <c r="AE30" s="15"/>
      <c r="AF30" s="15"/>
    </row>
    <row r="31" ht="15.75" customHeight="1">
      <c r="A31" s="28" t="s">
        <v>5</v>
      </c>
      <c r="E31" s="28" t="s">
        <v>43</v>
      </c>
      <c r="F31" s="32" t="s">
        <v>79</v>
      </c>
      <c r="G31" s="166" t="s">
        <v>2213</v>
      </c>
      <c r="H31" s="35" t="s">
        <v>79</v>
      </c>
      <c r="M31" s="15"/>
      <c r="N31" s="15"/>
      <c r="O31" s="15"/>
      <c r="P31" s="15"/>
      <c r="Q31" s="15"/>
      <c r="R31" s="15"/>
      <c r="S31" s="15"/>
      <c r="T31" s="15"/>
      <c r="U31" s="15"/>
      <c r="V31" s="15"/>
      <c r="W31" s="15"/>
      <c r="X31" s="15"/>
      <c r="Y31" s="15"/>
      <c r="Z31" s="15"/>
      <c r="AA31" s="15"/>
      <c r="AB31" s="15"/>
      <c r="AC31" s="15"/>
      <c r="AD31" s="15"/>
      <c r="AE31" s="15"/>
      <c r="AF31" s="15"/>
    </row>
    <row r="32" ht="15.75" customHeight="1">
      <c r="A32" s="28" t="s">
        <v>5</v>
      </c>
      <c r="E32" s="28" t="s">
        <v>43</v>
      </c>
      <c r="F32" s="32" t="s">
        <v>132</v>
      </c>
      <c r="G32" s="166" t="s">
        <v>2214</v>
      </c>
      <c r="H32" s="35" t="s">
        <v>132</v>
      </c>
      <c r="L32" s="11"/>
      <c r="M32" s="15"/>
      <c r="N32" s="15"/>
      <c r="O32" s="15"/>
      <c r="P32" s="15"/>
      <c r="Q32" s="15"/>
      <c r="R32" s="15"/>
      <c r="S32" s="15"/>
      <c r="T32" s="15"/>
      <c r="U32" s="15"/>
      <c r="V32" s="15"/>
      <c r="W32" s="15"/>
      <c r="X32" s="15"/>
      <c r="Y32" s="15"/>
      <c r="Z32" s="15"/>
      <c r="AA32" s="15"/>
      <c r="AB32" s="15"/>
      <c r="AC32" s="15"/>
      <c r="AD32" s="15"/>
      <c r="AE32" s="15"/>
      <c r="AF32" s="15"/>
    </row>
    <row r="33" ht="15.75" customHeight="1">
      <c r="A33" s="28" t="s">
        <v>5</v>
      </c>
      <c r="E33" s="28" t="s">
        <v>43</v>
      </c>
      <c r="F33" s="32" t="s">
        <v>77</v>
      </c>
      <c r="G33" s="166" t="s">
        <v>2215</v>
      </c>
      <c r="H33" s="35" t="s">
        <v>77</v>
      </c>
      <c r="L33" s="11"/>
      <c r="M33" s="15"/>
      <c r="N33" s="15"/>
      <c r="O33" s="15"/>
      <c r="P33" s="15"/>
      <c r="Q33" s="15"/>
      <c r="R33" s="15"/>
      <c r="S33" s="15"/>
      <c r="T33" s="15"/>
      <c r="U33" s="15"/>
      <c r="V33" s="15"/>
      <c r="W33" s="15"/>
      <c r="X33" s="15"/>
      <c r="Y33" s="15"/>
      <c r="Z33" s="15"/>
      <c r="AA33" s="15"/>
      <c r="AB33" s="15"/>
      <c r="AC33" s="15"/>
      <c r="AD33" s="15"/>
      <c r="AE33" s="15"/>
      <c r="AF33" s="15"/>
    </row>
    <row r="34" ht="15.75" customHeight="1">
      <c r="A34" s="28" t="s">
        <v>5</v>
      </c>
      <c r="B34" s="214" t="s">
        <v>2216</v>
      </c>
      <c r="C34" s="33" t="s">
        <v>2217</v>
      </c>
      <c r="D34" s="28" t="s">
        <v>20</v>
      </c>
      <c r="E34" s="28" t="s">
        <v>21</v>
      </c>
      <c r="F34" s="32" t="s">
        <v>22</v>
      </c>
      <c r="G34" s="168" t="s">
        <v>2218</v>
      </c>
      <c r="H34" s="36"/>
      <c r="L34" s="11"/>
      <c r="M34" s="15"/>
      <c r="N34" s="15"/>
      <c r="O34" s="15"/>
      <c r="P34" s="15"/>
      <c r="Q34" s="15"/>
      <c r="R34" s="15"/>
      <c r="S34" s="15"/>
      <c r="T34" s="15"/>
      <c r="U34" s="15"/>
      <c r="V34" s="15"/>
      <c r="W34" s="15"/>
      <c r="X34" s="15"/>
      <c r="Y34" s="15"/>
      <c r="Z34" s="15"/>
      <c r="AA34" s="15"/>
      <c r="AB34" s="15"/>
      <c r="AC34" s="15"/>
      <c r="AD34" s="15"/>
      <c r="AE34" s="15"/>
      <c r="AF34" s="15"/>
    </row>
    <row r="35" ht="15.75" customHeight="1">
      <c r="A35" s="28" t="s">
        <v>5</v>
      </c>
      <c r="E35" s="28" t="s">
        <v>43</v>
      </c>
      <c r="F35" s="32" t="s">
        <v>109</v>
      </c>
      <c r="G35" s="166" t="s">
        <v>2219</v>
      </c>
      <c r="H35" s="35" t="s">
        <v>109</v>
      </c>
      <c r="L35" s="11"/>
      <c r="M35" s="15"/>
      <c r="N35" s="15"/>
      <c r="O35" s="15"/>
      <c r="P35" s="15"/>
      <c r="Q35" s="15"/>
      <c r="R35" s="15"/>
      <c r="S35" s="15"/>
      <c r="T35" s="15"/>
      <c r="U35" s="15"/>
      <c r="V35" s="15"/>
      <c r="W35" s="15"/>
      <c r="X35" s="15"/>
      <c r="Y35" s="15"/>
      <c r="Z35" s="15"/>
      <c r="AA35" s="15"/>
      <c r="AB35" s="15"/>
      <c r="AC35" s="15"/>
      <c r="AD35" s="15"/>
      <c r="AE35" s="15"/>
      <c r="AF35" s="15"/>
    </row>
    <row r="36" ht="15.75" customHeight="1">
      <c r="A36" s="28" t="s">
        <v>5</v>
      </c>
      <c r="E36" s="28" t="s">
        <v>21</v>
      </c>
      <c r="F36" s="65" t="s">
        <v>110</v>
      </c>
      <c r="G36" s="166" t="s">
        <v>2220</v>
      </c>
      <c r="H36" s="35" t="s">
        <v>110</v>
      </c>
      <c r="I36" s="36"/>
      <c r="L36" s="11"/>
      <c r="M36" s="15"/>
      <c r="N36" s="15"/>
      <c r="O36" s="15"/>
      <c r="P36" s="15"/>
      <c r="Q36" s="15"/>
      <c r="R36" s="15"/>
      <c r="S36" s="15"/>
      <c r="T36" s="15"/>
      <c r="U36" s="15"/>
      <c r="V36" s="15"/>
      <c r="W36" s="15"/>
      <c r="X36" s="15"/>
      <c r="Y36" s="15"/>
      <c r="Z36" s="15"/>
      <c r="AA36" s="15"/>
      <c r="AB36" s="15"/>
      <c r="AC36" s="15"/>
      <c r="AD36" s="15"/>
      <c r="AE36" s="15"/>
      <c r="AF36" s="15"/>
    </row>
    <row r="37" ht="15.75" customHeight="1">
      <c r="A37" s="28" t="s">
        <v>5</v>
      </c>
      <c r="E37" s="28" t="s">
        <v>43</v>
      </c>
      <c r="F37" s="32" t="s">
        <v>712</v>
      </c>
      <c r="G37" s="166" t="s">
        <v>2221</v>
      </c>
      <c r="H37" s="35" t="s">
        <v>712</v>
      </c>
      <c r="L37" s="11"/>
      <c r="M37" s="15"/>
      <c r="N37" s="15"/>
      <c r="O37" s="15"/>
      <c r="P37" s="15"/>
      <c r="Q37" s="15"/>
      <c r="R37" s="15"/>
      <c r="S37" s="15"/>
      <c r="T37" s="15"/>
      <c r="U37" s="15"/>
      <c r="V37" s="15"/>
      <c r="W37" s="15"/>
      <c r="X37" s="15"/>
      <c r="Y37" s="15"/>
      <c r="Z37" s="15"/>
      <c r="AA37" s="15"/>
      <c r="AB37" s="15"/>
      <c r="AC37" s="15"/>
      <c r="AD37" s="15"/>
      <c r="AE37" s="15"/>
      <c r="AF37" s="15"/>
    </row>
    <row r="38" ht="15.75" customHeight="1">
      <c r="A38" s="28" t="s">
        <v>5</v>
      </c>
      <c r="E38" s="28" t="s">
        <v>43</v>
      </c>
      <c r="F38" s="32" t="s">
        <v>53</v>
      </c>
      <c r="G38" s="166" t="s">
        <v>2222</v>
      </c>
      <c r="H38" s="35" t="s">
        <v>53</v>
      </c>
      <c r="L38" s="11"/>
      <c r="M38" s="15"/>
      <c r="N38" s="15"/>
      <c r="O38" s="15"/>
      <c r="P38" s="15"/>
      <c r="Q38" s="15"/>
      <c r="R38" s="15"/>
      <c r="S38" s="15"/>
      <c r="T38" s="15"/>
      <c r="U38" s="15"/>
      <c r="V38" s="15"/>
      <c r="W38" s="15"/>
      <c r="X38" s="15"/>
      <c r="Y38" s="15"/>
      <c r="Z38" s="15"/>
      <c r="AA38" s="15"/>
      <c r="AB38" s="15"/>
      <c r="AC38" s="15"/>
      <c r="AD38" s="15"/>
      <c r="AE38" s="15"/>
      <c r="AF38" s="15"/>
    </row>
    <row r="39" ht="15.75" customHeight="1">
      <c r="A39" s="28" t="s">
        <v>5</v>
      </c>
      <c r="E39" s="28" t="s">
        <v>43</v>
      </c>
      <c r="F39" s="32" t="s">
        <v>79</v>
      </c>
      <c r="G39" s="166" t="s">
        <v>2223</v>
      </c>
      <c r="H39" s="35" t="s">
        <v>79</v>
      </c>
      <c r="L39" s="11"/>
      <c r="M39" s="15"/>
      <c r="N39" s="15"/>
      <c r="O39" s="15"/>
      <c r="P39" s="15"/>
      <c r="Q39" s="15"/>
      <c r="R39" s="15"/>
      <c r="S39" s="15"/>
      <c r="T39" s="15"/>
      <c r="U39" s="15"/>
      <c r="V39" s="15"/>
      <c r="W39" s="15"/>
      <c r="X39" s="15"/>
      <c r="Y39" s="15"/>
      <c r="Z39" s="15"/>
      <c r="AA39" s="15"/>
      <c r="AB39" s="15"/>
      <c r="AC39" s="15"/>
      <c r="AD39" s="15"/>
      <c r="AE39" s="15"/>
      <c r="AF39" s="15"/>
    </row>
    <row r="40" ht="15.75" customHeight="1">
      <c r="A40" s="28" t="s">
        <v>5</v>
      </c>
      <c r="E40" s="28" t="s">
        <v>43</v>
      </c>
      <c r="F40" s="32" t="s">
        <v>132</v>
      </c>
      <c r="G40" s="166" t="s">
        <v>2224</v>
      </c>
      <c r="H40" s="35" t="s">
        <v>132</v>
      </c>
      <c r="L40" s="11"/>
      <c r="M40" s="15"/>
      <c r="N40" s="15"/>
      <c r="O40" s="15"/>
      <c r="P40" s="15"/>
      <c r="Q40" s="15"/>
      <c r="R40" s="15"/>
      <c r="S40" s="15"/>
      <c r="T40" s="15"/>
      <c r="U40" s="15"/>
      <c r="V40" s="15"/>
      <c r="W40" s="15"/>
      <c r="X40" s="15"/>
      <c r="Y40" s="15"/>
      <c r="Z40" s="15"/>
      <c r="AA40" s="15"/>
      <c r="AB40" s="15"/>
      <c r="AC40" s="15"/>
      <c r="AD40" s="15"/>
      <c r="AE40" s="15"/>
      <c r="AF40" s="15"/>
    </row>
    <row r="41" ht="15.75" customHeight="1">
      <c r="A41" s="28" t="s">
        <v>5</v>
      </c>
      <c r="E41" s="28" t="s">
        <v>43</v>
      </c>
      <c r="F41" s="32" t="s">
        <v>77</v>
      </c>
      <c r="G41" s="168" t="s">
        <v>2225</v>
      </c>
      <c r="H41" s="36"/>
      <c r="L41" s="11"/>
      <c r="M41" s="15"/>
      <c r="N41" s="15"/>
      <c r="O41" s="15"/>
      <c r="P41" s="15"/>
      <c r="Q41" s="15"/>
      <c r="R41" s="15"/>
      <c r="S41" s="15"/>
      <c r="T41" s="15"/>
      <c r="U41" s="15"/>
      <c r="V41" s="15"/>
      <c r="W41" s="15"/>
      <c r="X41" s="15"/>
      <c r="Y41" s="15"/>
      <c r="Z41" s="15"/>
      <c r="AA41" s="15"/>
      <c r="AB41" s="15"/>
      <c r="AC41" s="15"/>
      <c r="AD41" s="15"/>
      <c r="AE41" s="15"/>
      <c r="AF41" s="15"/>
    </row>
    <row r="42" ht="15.75" customHeight="1">
      <c r="A42" s="28" t="s">
        <v>5</v>
      </c>
      <c r="B42" s="214" t="s">
        <v>2226</v>
      </c>
      <c r="C42" s="33" t="s">
        <v>2203</v>
      </c>
      <c r="D42" s="28" t="s">
        <v>20</v>
      </c>
      <c r="E42" s="28" t="s">
        <v>21</v>
      </c>
      <c r="F42" s="32" t="s">
        <v>22</v>
      </c>
      <c r="G42" s="166" t="s">
        <v>2227</v>
      </c>
      <c r="H42" s="35" t="s">
        <v>22</v>
      </c>
      <c r="I42" s="35"/>
      <c r="L42" s="11"/>
      <c r="M42" s="15"/>
      <c r="N42" s="15"/>
      <c r="O42" s="15"/>
      <c r="P42" s="15"/>
      <c r="Q42" s="15"/>
      <c r="R42" s="15"/>
      <c r="S42" s="15"/>
      <c r="T42" s="15"/>
      <c r="U42" s="15"/>
      <c r="V42" s="15"/>
      <c r="W42" s="15"/>
      <c r="X42" s="15"/>
      <c r="Y42" s="15"/>
      <c r="Z42" s="15"/>
      <c r="AA42" s="15"/>
      <c r="AB42" s="15"/>
      <c r="AC42" s="15"/>
      <c r="AD42" s="15"/>
      <c r="AE42" s="15"/>
      <c r="AF42" s="15"/>
    </row>
    <row r="43" ht="15.75" customHeight="1">
      <c r="A43" s="28" t="s">
        <v>5</v>
      </c>
      <c r="E43" s="28" t="s">
        <v>43</v>
      </c>
      <c r="F43" s="32" t="s">
        <v>109</v>
      </c>
      <c r="G43" s="166" t="s">
        <v>2228</v>
      </c>
      <c r="H43" s="35" t="s">
        <v>109</v>
      </c>
      <c r="L43" s="11"/>
      <c r="M43" s="15"/>
      <c r="N43" s="15"/>
      <c r="O43" s="15"/>
      <c r="P43" s="15"/>
      <c r="Q43" s="15"/>
      <c r="R43" s="15"/>
      <c r="S43" s="15"/>
      <c r="T43" s="15"/>
      <c r="U43" s="15"/>
      <c r="V43" s="15"/>
      <c r="W43" s="15"/>
      <c r="X43" s="15"/>
      <c r="Y43" s="15"/>
      <c r="Z43" s="15"/>
      <c r="AA43" s="15"/>
      <c r="AB43" s="15"/>
      <c r="AC43" s="15"/>
      <c r="AD43" s="15"/>
      <c r="AE43" s="15"/>
      <c r="AF43" s="15"/>
    </row>
    <row r="44" ht="15.75" customHeight="1">
      <c r="A44" s="28" t="s">
        <v>5</v>
      </c>
      <c r="E44" s="28" t="s">
        <v>21</v>
      </c>
      <c r="F44" s="65" t="s">
        <v>110</v>
      </c>
      <c r="G44" s="166" t="s">
        <v>2229</v>
      </c>
      <c r="H44" s="35" t="s">
        <v>110</v>
      </c>
      <c r="I44" s="36"/>
      <c r="L44" s="11"/>
      <c r="M44" s="15"/>
      <c r="N44" s="15"/>
      <c r="O44" s="15"/>
      <c r="P44" s="15"/>
      <c r="Q44" s="15"/>
      <c r="R44" s="15"/>
      <c r="S44" s="15"/>
      <c r="T44" s="15"/>
      <c r="U44" s="15"/>
      <c r="V44" s="15"/>
      <c r="W44" s="15"/>
      <c r="X44" s="15"/>
      <c r="Y44" s="15"/>
      <c r="Z44" s="15"/>
      <c r="AA44" s="15"/>
      <c r="AB44" s="15"/>
      <c r="AC44" s="15"/>
      <c r="AD44" s="15"/>
      <c r="AE44" s="15"/>
      <c r="AF44" s="15"/>
    </row>
    <row r="45" ht="15.75" customHeight="1">
      <c r="A45" s="28" t="s">
        <v>5</v>
      </c>
      <c r="E45" s="28" t="s">
        <v>43</v>
      </c>
      <c r="F45" s="65" t="s">
        <v>109</v>
      </c>
      <c r="G45" s="166" t="s">
        <v>2230</v>
      </c>
      <c r="H45" s="35" t="s">
        <v>2208</v>
      </c>
      <c r="L45" s="11"/>
      <c r="M45" s="15"/>
      <c r="N45" s="15"/>
      <c r="O45" s="15"/>
      <c r="P45" s="15"/>
      <c r="Q45" s="15"/>
      <c r="R45" s="15"/>
      <c r="S45" s="15"/>
      <c r="T45" s="15"/>
      <c r="U45" s="15"/>
      <c r="V45" s="15"/>
      <c r="W45" s="15"/>
      <c r="X45" s="15"/>
      <c r="Y45" s="15"/>
      <c r="Z45" s="15"/>
      <c r="AA45" s="15"/>
      <c r="AB45" s="15"/>
      <c r="AC45" s="15"/>
      <c r="AD45" s="15"/>
      <c r="AE45" s="15"/>
      <c r="AF45" s="15"/>
    </row>
    <row r="46" ht="15.75" customHeight="1">
      <c r="A46" s="28" t="s">
        <v>5</v>
      </c>
      <c r="E46" s="28" t="s">
        <v>21</v>
      </c>
      <c r="F46" s="65" t="s">
        <v>110</v>
      </c>
      <c r="G46" s="166" t="s">
        <v>2231</v>
      </c>
      <c r="H46" s="35" t="s">
        <v>2210</v>
      </c>
      <c r="L46" s="11"/>
      <c r="M46" s="15"/>
      <c r="N46" s="15"/>
      <c r="O46" s="15"/>
      <c r="P46" s="15"/>
      <c r="Q46" s="15"/>
      <c r="R46" s="15"/>
      <c r="S46" s="15"/>
      <c r="T46" s="15"/>
      <c r="U46" s="15"/>
      <c r="V46" s="15"/>
      <c r="W46" s="15"/>
      <c r="X46" s="15"/>
      <c r="Y46" s="15"/>
      <c r="Z46" s="15"/>
      <c r="AA46" s="15"/>
      <c r="AB46" s="15"/>
      <c r="AC46" s="15"/>
      <c r="AD46" s="15"/>
      <c r="AE46" s="15"/>
      <c r="AF46" s="15"/>
    </row>
    <row r="47" ht="15.75" customHeight="1">
      <c r="A47" s="28" t="s">
        <v>5</v>
      </c>
      <c r="E47" s="28" t="s">
        <v>43</v>
      </c>
      <c r="F47" s="65" t="s">
        <v>712</v>
      </c>
      <c r="G47" s="166" t="s">
        <v>2232</v>
      </c>
      <c r="H47" s="35" t="s">
        <v>712</v>
      </c>
      <c r="L47" s="11"/>
      <c r="M47" s="15"/>
      <c r="N47" s="15"/>
      <c r="O47" s="15"/>
      <c r="P47" s="15"/>
      <c r="Q47" s="15"/>
      <c r="R47" s="15"/>
      <c r="S47" s="15"/>
      <c r="T47" s="15"/>
      <c r="U47" s="15"/>
      <c r="V47" s="15"/>
      <c r="W47" s="15"/>
      <c r="X47" s="15"/>
      <c r="Y47" s="15"/>
      <c r="Z47" s="15"/>
      <c r="AA47" s="15"/>
      <c r="AB47" s="15"/>
      <c r="AC47" s="15"/>
      <c r="AD47" s="15"/>
      <c r="AE47" s="15"/>
      <c r="AF47" s="15"/>
    </row>
    <row r="48" ht="15.75" customHeight="1">
      <c r="A48" s="28" t="s">
        <v>5</v>
      </c>
      <c r="E48" s="28" t="s">
        <v>43</v>
      </c>
      <c r="F48" s="65" t="s">
        <v>53</v>
      </c>
      <c r="G48" s="166" t="s">
        <v>2233</v>
      </c>
      <c r="H48" s="35" t="s">
        <v>53</v>
      </c>
      <c r="L48" s="11"/>
      <c r="M48" s="15"/>
      <c r="N48" s="15"/>
      <c r="O48" s="15"/>
      <c r="P48" s="15"/>
      <c r="Q48" s="15"/>
      <c r="R48" s="15"/>
      <c r="S48" s="15"/>
      <c r="T48" s="15"/>
      <c r="U48" s="15"/>
      <c r="V48" s="15"/>
      <c r="W48" s="15"/>
      <c r="X48" s="15"/>
      <c r="Y48" s="15"/>
      <c r="Z48" s="15"/>
      <c r="AA48" s="15"/>
      <c r="AB48" s="15"/>
      <c r="AC48" s="15"/>
      <c r="AD48" s="15"/>
      <c r="AE48" s="15"/>
      <c r="AF48" s="15"/>
    </row>
    <row r="49" ht="15.75" customHeight="1">
      <c r="A49" s="28" t="s">
        <v>5</v>
      </c>
      <c r="E49" s="28" t="s">
        <v>43</v>
      </c>
      <c r="F49" s="65" t="s">
        <v>79</v>
      </c>
      <c r="G49" s="166" t="s">
        <v>2234</v>
      </c>
      <c r="H49" s="35" t="s">
        <v>79</v>
      </c>
      <c r="L49" s="11"/>
      <c r="M49" s="15"/>
      <c r="N49" s="15"/>
      <c r="O49" s="15"/>
      <c r="P49" s="15"/>
      <c r="Q49" s="15"/>
      <c r="R49" s="15"/>
      <c r="S49" s="15"/>
      <c r="T49" s="15"/>
      <c r="U49" s="15"/>
      <c r="V49" s="15"/>
      <c r="W49" s="15"/>
      <c r="X49" s="15"/>
      <c r="Y49" s="15"/>
      <c r="Z49" s="15"/>
      <c r="AA49" s="15"/>
      <c r="AB49" s="15"/>
      <c r="AC49" s="15"/>
      <c r="AD49" s="15"/>
      <c r="AE49" s="15"/>
      <c r="AF49" s="15"/>
    </row>
    <row r="50" ht="15.75" customHeight="1">
      <c r="A50" s="28" t="s">
        <v>5</v>
      </c>
      <c r="E50" s="28" t="s">
        <v>43</v>
      </c>
      <c r="F50" s="65" t="s">
        <v>132</v>
      </c>
      <c r="G50" s="166" t="s">
        <v>2235</v>
      </c>
      <c r="H50" s="35" t="s">
        <v>132</v>
      </c>
      <c r="L50" s="11"/>
      <c r="M50" s="15"/>
      <c r="N50" s="15"/>
      <c r="O50" s="15"/>
      <c r="P50" s="15"/>
      <c r="Q50" s="15"/>
      <c r="R50" s="15"/>
      <c r="S50" s="15"/>
      <c r="T50" s="15"/>
      <c r="U50" s="15"/>
      <c r="V50" s="15"/>
      <c r="W50" s="15"/>
      <c r="X50" s="15"/>
      <c r="Y50" s="15"/>
      <c r="Z50" s="15"/>
      <c r="AA50" s="15"/>
      <c r="AB50" s="15"/>
      <c r="AC50" s="15"/>
      <c r="AD50" s="15"/>
      <c r="AE50" s="15"/>
      <c r="AF50" s="15"/>
    </row>
    <row r="51" ht="15.75" customHeight="1">
      <c r="A51" s="28" t="s">
        <v>5</v>
      </c>
      <c r="E51" s="28" t="s">
        <v>43</v>
      </c>
      <c r="F51" s="65" t="s">
        <v>77</v>
      </c>
      <c r="G51" s="166" t="s">
        <v>2236</v>
      </c>
      <c r="H51" s="35" t="s">
        <v>77</v>
      </c>
      <c r="L51" s="11"/>
      <c r="M51" s="15"/>
      <c r="N51" s="15"/>
      <c r="O51" s="15"/>
      <c r="P51" s="15"/>
      <c r="Q51" s="15"/>
      <c r="R51" s="15"/>
      <c r="S51" s="15"/>
      <c r="T51" s="15"/>
      <c r="U51" s="15"/>
      <c r="V51" s="15"/>
      <c r="W51" s="15"/>
      <c r="X51" s="15"/>
      <c r="Y51" s="15"/>
      <c r="Z51" s="15"/>
      <c r="AA51" s="15"/>
      <c r="AB51" s="15"/>
      <c r="AC51" s="15"/>
      <c r="AD51" s="15"/>
      <c r="AE51" s="15"/>
      <c r="AF51" s="15"/>
    </row>
    <row r="52" ht="15.75" customHeight="1">
      <c r="A52" s="28" t="s">
        <v>5</v>
      </c>
      <c r="B52" s="214" t="s">
        <v>2237</v>
      </c>
      <c r="C52" s="33" t="s">
        <v>2238</v>
      </c>
      <c r="D52" s="28" t="s">
        <v>20</v>
      </c>
      <c r="E52" s="28" t="s">
        <v>21</v>
      </c>
      <c r="F52" s="32" t="s">
        <v>22</v>
      </c>
      <c r="G52" s="166" t="s">
        <v>2239</v>
      </c>
      <c r="H52" s="35" t="s">
        <v>22</v>
      </c>
      <c r="L52" s="11"/>
      <c r="M52" s="15"/>
      <c r="N52" s="15"/>
      <c r="O52" s="15"/>
      <c r="P52" s="15"/>
      <c r="Q52" s="15"/>
      <c r="R52" s="15"/>
      <c r="S52" s="15"/>
      <c r="T52" s="15"/>
      <c r="U52" s="15"/>
      <c r="V52" s="15"/>
      <c r="W52" s="15"/>
      <c r="X52" s="15"/>
      <c r="Y52" s="15"/>
      <c r="Z52" s="15"/>
      <c r="AA52" s="15"/>
      <c r="AB52" s="15"/>
      <c r="AC52" s="15"/>
      <c r="AD52" s="15"/>
      <c r="AE52" s="15"/>
      <c r="AF52" s="15"/>
    </row>
    <row r="53" ht="15.75" customHeight="1">
      <c r="A53" s="28" t="s">
        <v>5</v>
      </c>
      <c r="E53" s="28" t="s">
        <v>43</v>
      </c>
      <c r="F53" s="32" t="s">
        <v>596</v>
      </c>
      <c r="G53" s="166" t="s">
        <v>2240</v>
      </c>
      <c r="H53" s="35" t="s">
        <v>596</v>
      </c>
      <c r="I53" s="35"/>
      <c r="L53" s="11"/>
      <c r="M53" s="15"/>
      <c r="N53" s="15"/>
      <c r="O53" s="15"/>
      <c r="P53" s="15"/>
      <c r="Q53" s="15"/>
      <c r="R53" s="15"/>
      <c r="S53" s="15"/>
      <c r="T53" s="15"/>
      <c r="U53" s="15"/>
      <c r="V53" s="15"/>
      <c r="W53" s="15"/>
      <c r="X53" s="15"/>
      <c r="Y53" s="15"/>
      <c r="Z53" s="15"/>
      <c r="AA53" s="15"/>
      <c r="AB53" s="15"/>
      <c r="AC53" s="15"/>
      <c r="AD53" s="15"/>
      <c r="AE53" s="15"/>
      <c r="AF53" s="15"/>
    </row>
    <row r="54" ht="15.75" customHeight="1">
      <c r="A54" s="28" t="s">
        <v>5</v>
      </c>
      <c r="E54" s="28" t="s">
        <v>43</v>
      </c>
      <c r="F54" s="32" t="s">
        <v>79</v>
      </c>
      <c r="G54" s="166" t="s">
        <v>2241</v>
      </c>
      <c r="H54" s="35" t="s">
        <v>79</v>
      </c>
      <c r="L54" s="11"/>
      <c r="M54" s="15"/>
      <c r="N54" s="15"/>
      <c r="O54" s="15"/>
      <c r="P54" s="15"/>
      <c r="Q54" s="15"/>
      <c r="R54" s="15"/>
      <c r="S54" s="15"/>
      <c r="T54" s="15"/>
      <c r="U54" s="15"/>
      <c r="V54" s="15"/>
      <c r="W54" s="15"/>
      <c r="X54" s="15"/>
      <c r="Y54" s="15"/>
      <c r="Z54" s="15"/>
      <c r="AA54" s="15"/>
      <c r="AB54" s="15"/>
      <c r="AC54" s="15"/>
      <c r="AD54" s="15"/>
      <c r="AE54" s="15"/>
      <c r="AF54" s="15"/>
    </row>
    <row r="55" ht="15.75" customHeight="1">
      <c r="A55" s="28" t="s">
        <v>5</v>
      </c>
      <c r="B55" s="214" t="s">
        <v>2242</v>
      </c>
      <c r="C55" s="33" t="s">
        <v>2243</v>
      </c>
      <c r="D55" s="28" t="s">
        <v>20</v>
      </c>
      <c r="E55" s="28" t="s">
        <v>21</v>
      </c>
      <c r="F55" s="65" t="s">
        <v>22</v>
      </c>
      <c r="G55" s="166" t="s">
        <v>2244</v>
      </c>
      <c r="H55" s="35" t="s">
        <v>22</v>
      </c>
      <c r="L55" s="11"/>
      <c r="M55" s="15"/>
      <c r="N55" s="15"/>
      <c r="O55" s="15"/>
      <c r="P55" s="15"/>
      <c r="Q55" s="15"/>
      <c r="R55" s="15"/>
      <c r="S55" s="15"/>
      <c r="T55" s="15"/>
      <c r="U55" s="15"/>
      <c r="V55" s="15"/>
      <c r="W55" s="15"/>
      <c r="X55" s="15"/>
      <c r="Y55" s="15"/>
      <c r="Z55" s="15"/>
      <c r="AA55" s="15"/>
      <c r="AB55" s="15"/>
      <c r="AC55" s="15"/>
      <c r="AD55" s="15"/>
      <c r="AE55" s="15"/>
      <c r="AF55" s="15"/>
    </row>
    <row r="56" ht="15.75" customHeight="1">
      <c r="A56" s="28" t="s">
        <v>5</v>
      </c>
      <c r="E56" s="28" t="s">
        <v>43</v>
      </c>
      <c r="F56" s="32" t="s">
        <v>716</v>
      </c>
      <c r="G56" s="166" t="s">
        <v>2245</v>
      </c>
      <c r="H56" s="35" t="s">
        <v>716</v>
      </c>
      <c r="L56" s="11"/>
      <c r="M56" s="15"/>
      <c r="N56" s="15"/>
      <c r="O56" s="15"/>
      <c r="P56" s="15"/>
      <c r="Q56" s="15"/>
      <c r="R56" s="15"/>
      <c r="S56" s="15"/>
      <c r="T56" s="15"/>
      <c r="U56" s="15"/>
      <c r="V56" s="15"/>
      <c r="W56" s="15"/>
      <c r="X56" s="15"/>
      <c r="Y56" s="15"/>
      <c r="Z56" s="15"/>
      <c r="AA56" s="15"/>
      <c r="AB56" s="15"/>
      <c r="AC56" s="15"/>
      <c r="AD56" s="15"/>
      <c r="AE56" s="15"/>
      <c r="AF56" s="15"/>
    </row>
    <row r="57" ht="15.75" customHeight="1">
      <c r="A57" s="28" t="s">
        <v>5</v>
      </c>
      <c r="E57" s="28" t="s">
        <v>21</v>
      </c>
      <c r="F57" s="32" t="s">
        <v>249</v>
      </c>
      <c r="G57" s="166" t="s">
        <v>2246</v>
      </c>
      <c r="H57" s="35" t="s">
        <v>249</v>
      </c>
      <c r="L57" s="11"/>
      <c r="M57" s="15"/>
      <c r="N57" s="15"/>
      <c r="O57" s="15"/>
      <c r="P57" s="15"/>
      <c r="Q57" s="15"/>
      <c r="R57" s="15"/>
      <c r="S57" s="15"/>
      <c r="T57" s="15"/>
      <c r="U57" s="15"/>
      <c r="V57" s="15"/>
      <c r="W57" s="15"/>
      <c r="X57" s="15"/>
      <c r="Y57" s="15"/>
      <c r="Z57" s="15"/>
      <c r="AA57" s="15"/>
      <c r="AB57" s="15"/>
      <c r="AC57" s="15"/>
      <c r="AD57" s="15"/>
      <c r="AE57" s="15"/>
      <c r="AF57" s="15"/>
    </row>
    <row r="58" ht="15.75" customHeight="1">
      <c r="A58" s="28" t="s">
        <v>5</v>
      </c>
      <c r="E58" s="28" t="s">
        <v>43</v>
      </c>
      <c r="F58" s="32" t="s">
        <v>109</v>
      </c>
      <c r="G58" s="165" t="s">
        <v>2247</v>
      </c>
      <c r="H58" s="35" t="s">
        <v>109</v>
      </c>
      <c r="I58" s="36"/>
      <c r="J58" s="36"/>
      <c r="K58" s="36"/>
      <c r="L58" s="11"/>
      <c r="M58" s="15"/>
      <c r="N58" s="15"/>
      <c r="O58" s="15"/>
      <c r="P58" s="15"/>
      <c r="Q58" s="15"/>
      <c r="R58" s="15"/>
      <c r="S58" s="15"/>
      <c r="T58" s="15"/>
      <c r="U58" s="15"/>
      <c r="V58" s="15"/>
      <c r="W58" s="15"/>
      <c r="X58" s="15"/>
      <c r="Y58" s="15"/>
      <c r="Z58" s="15"/>
      <c r="AA58" s="15"/>
      <c r="AB58" s="15"/>
      <c r="AC58" s="15"/>
      <c r="AD58" s="15"/>
      <c r="AE58" s="15"/>
      <c r="AF58" s="15"/>
    </row>
    <row r="59" ht="15.75" customHeight="1">
      <c r="A59" s="28" t="s">
        <v>5</v>
      </c>
      <c r="E59" s="28" t="s">
        <v>21</v>
      </c>
      <c r="F59" s="65" t="s">
        <v>110</v>
      </c>
      <c r="G59" s="165" t="s">
        <v>2248</v>
      </c>
      <c r="H59" s="35" t="s">
        <v>110</v>
      </c>
      <c r="I59" s="36"/>
      <c r="J59" s="36"/>
      <c r="K59" s="36"/>
      <c r="L59" s="11"/>
      <c r="M59" s="15"/>
      <c r="N59" s="15"/>
      <c r="O59" s="15"/>
      <c r="P59" s="15"/>
      <c r="Q59" s="15"/>
      <c r="R59" s="15"/>
      <c r="S59" s="15"/>
      <c r="T59" s="15"/>
      <c r="U59" s="15"/>
      <c r="V59" s="15"/>
      <c r="W59" s="15"/>
      <c r="X59" s="15"/>
      <c r="Y59" s="15"/>
      <c r="Z59" s="15"/>
      <c r="AA59" s="15"/>
      <c r="AB59" s="15"/>
      <c r="AC59" s="15"/>
      <c r="AD59" s="15"/>
      <c r="AE59" s="15"/>
      <c r="AF59" s="15"/>
    </row>
    <row r="60" ht="15.75" customHeight="1">
      <c r="A60" s="28" t="s">
        <v>5</v>
      </c>
      <c r="E60" s="28" t="s">
        <v>43</v>
      </c>
      <c r="F60" s="32" t="s">
        <v>79</v>
      </c>
      <c r="G60" s="165" t="s">
        <v>2249</v>
      </c>
      <c r="H60" s="35" t="s">
        <v>79</v>
      </c>
      <c r="I60" s="36"/>
      <c r="J60" s="36"/>
      <c r="K60" s="36"/>
      <c r="L60" s="11"/>
      <c r="M60" s="15"/>
      <c r="N60" s="15"/>
      <c r="O60" s="15"/>
      <c r="P60" s="15"/>
      <c r="Q60" s="15"/>
      <c r="R60" s="15"/>
      <c r="S60" s="15"/>
      <c r="T60" s="15"/>
      <c r="U60" s="15"/>
      <c r="V60" s="15"/>
      <c r="W60" s="15"/>
      <c r="X60" s="15"/>
      <c r="Y60" s="15"/>
      <c r="Z60" s="15"/>
      <c r="AA60" s="15"/>
      <c r="AB60" s="15"/>
      <c r="AC60" s="15"/>
      <c r="AD60" s="15"/>
      <c r="AE60" s="15"/>
      <c r="AF60" s="15"/>
    </row>
    <row r="61" ht="15.75" customHeight="1">
      <c r="A61" s="28" t="s">
        <v>5</v>
      </c>
      <c r="E61" s="28" t="s">
        <v>43</v>
      </c>
      <c r="F61" s="32" t="s">
        <v>132</v>
      </c>
      <c r="G61" s="165" t="s">
        <v>2250</v>
      </c>
      <c r="H61" s="35" t="s">
        <v>132</v>
      </c>
      <c r="I61" s="36"/>
      <c r="J61" s="36"/>
      <c r="K61" s="36"/>
      <c r="L61" s="11"/>
      <c r="M61" s="15"/>
      <c r="N61" s="15"/>
      <c r="O61" s="15"/>
      <c r="P61" s="15"/>
      <c r="Q61" s="15"/>
      <c r="R61" s="15"/>
      <c r="S61" s="15"/>
      <c r="T61" s="15"/>
      <c r="U61" s="15"/>
      <c r="V61" s="15"/>
      <c r="W61" s="15"/>
      <c r="X61" s="15"/>
      <c r="Y61" s="15"/>
      <c r="Z61" s="15"/>
      <c r="AA61" s="15"/>
      <c r="AB61" s="15"/>
      <c r="AC61" s="15"/>
      <c r="AD61" s="15"/>
      <c r="AE61" s="15"/>
      <c r="AF61" s="15"/>
    </row>
    <row r="62" ht="15.75" customHeight="1">
      <c r="A62" s="28" t="s">
        <v>5</v>
      </c>
      <c r="E62" s="28" t="s">
        <v>43</v>
      </c>
      <c r="F62" s="32" t="s">
        <v>77</v>
      </c>
      <c r="G62" s="165" t="s">
        <v>2251</v>
      </c>
      <c r="H62" s="35" t="s">
        <v>77</v>
      </c>
      <c r="I62" s="36"/>
      <c r="J62" s="36"/>
      <c r="K62" s="36"/>
      <c r="L62" s="11"/>
      <c r="M62" s="15"/>
      <c r="N62" s="15"/>
      <c r="O62" s="15"/>
      <c r="P62" s="15"/>
      <c r="Q62" s="15"/>
      <c r="R62" s="15"/>
      <c r="S62" s="15"/>
      <c r="T62" s="15"/>
      <c r="U62" s="15"/>
      <c r="V62" s="15"/>
      <c r="W62" s="15"/>
      <c r="X62" s="15"/>
      <c r="Y62" s="15"/>
      <c r="Z62" s="15"/>
      <c r="AA62" s="15"/>
      <c r="AB62" s="15"/>
      <c r="AC62" s="15"/>
      <c r="AD62" s="15"/>
      <c r="AE62" s="15"/>
      <c r="AF62" s="15"/>
    </row>
    <row r="63" ht="15.75" customHeight="1">
      <c r="A63" s="28" t="s">
        <v>5</v>
      </c>
      <c r="E63" s="28" t="s">
        <v>43</v>
      </c>
      <c r="F63" s="35" t="s">
        <v>53</v>
      </c>
      <c r="G63" s="165" t="s">
        <v>2252</v>
      </c>
      <c r="H63" s="35" t="s">
        <v>53</v>
      </c>
      <c r="I63" s="36"/>
      <c r="J63" s="36"/>
      <c r="K63" s="36"/>
      <c r="L63" s="11"/>
      <c r="M63" s="15"/>
      <c r="N63" s="15"/>
      <c r="O63" s="15"/>
      <c r="P63" s="15"/>
      <c r="Q63" s="15"/>
      <c r="R63" s="15"/>
      <c r="S63" s="15"/>
      <c r="T63" s="15"/>
      <c r="U63" s="15"/>
      <c r="V63" s="15"/>
      <c r="W63" s="15"/>
      <c r="X63" s="15"/>
      <c r="Y63" s="15"/>
      <c r="Z63" s="15"/>
      <c r="AA63" s="15"/>
      <c r="AB63" s="15"/>
      <c r="AC63" s="15"/>
      <c r="AD63" s="15"/>
      <c r="AE63" s="15"/>
      <c r="AF63" s="15"/>
    </row>
    <row r="64" ht="15.75" customHeight="1">
      <c r="A64" s="28" t="s">
        <v>5</v>
      </c>
      <c r="B64" s="214" t="s">
        <v>2253</v>
      </c>
      <c r="C64" s="33" t="s">
        <v>2254</v>
      </c>
      <c r="D64" s="28" t="s">
        <v>20</v>
      </c>
      <c r="E64" s="28" t="s">
        <v>21</v>
      </c>
      <c r="F64" s="32" t="s">
        <v>22</v>
      </c>
      <c r="G64" s="165" t="s">
        <v>2255</v>
      </c>
      <c r="H64" s="35" t="s">
        <v>22</v>
      </c>
      <c r="I64" s="36"/>
      <c r="L64" s="11"/>
      <c r="M64" s="15"/>
      <c r="N64" s="15"/>
      <c r="O64" s="15"/>
      <c r="P64" s="15"/>
      <c r="Q64" s="15"/>
      <c r="R64" s="15"/>
      <c r="S64" s="15"/>
      <c r="T64" s="15"/>
      <c r="U64" s="15"/>
      <c r="V64" s="15"/>
      <c r="W64" s="15"/>
      <c r="X64" s="15"/>
      <c r="Y64" s="15"/>
      <c r="Z64" s="15"/>
      <c r="AA64" s="15"/>
      <c r="AB64" s="15"/>
      <c r="AC64" s="15"/>
      <c r="AD64" s="15"/>
      <c r="AE64" s="15"/>
      <c r="AF64" s="15"/>
    </row>
    <row r="65" ht="15.75" customHeight="1">
      <c r="A65" s="28" t="s">
        <v>5</v>
      </c>
      <c r="E65" s="28" t="s">
        <v>43</v>
      </c>
      <c r="F65" s="32" t="s">
        <v>716</v>
      </c>
      <c r="G65" s="166" t="s">
        <v>2256</v>
      </c>
      <c r="H65" s="35" t="s">
        <v>716</v>
      </c>
      <c r="L65" s="11"/>
      <c r="M65" s="15"/>
      <c r="N65" s="15"/>
      <c r="O65" s="15"/>
      <c r="P65" s="15"/>
      <c r="Q65" s="15"/>
      <c r="R65" s="15"/>
      <c r="S65" s="15"/>
      <c r="T65" s="15"/>
      <c r="U65" s="15"/>
      <c r="V65" s="15"/>
      <c r="W65" s="15"/>
      <c r="X65" s="15"/>
      <c r="Y65" s="15"/>
      <c r="Z65" s="15"/>
      <c r="AA65" s="15"/>
      <c r="AB65" s="15"/>
      <c r="AC65" s="15"/>
      <c r="AD65" s="15"/>
      <c r="AE65" s="15"/>
      <c r="AF65" s="15"/>
    </row>
    <row r="66" ht="15.75" customHeight="1">
      <c r="A66" s="28" t="s">
        <v>5</v>
      </c>
      <c r="E66" s="28" t="s">
        <v>21</v>
      </c>
      <c r="F66" s="32" t="s">
        <v>249</v>
      </c>
      <c r="G66" s="166" t="s">
        <v>2257</v>
      </c>
      <c r="H66" s="35" t="s">
        <v>249</v>
      </c>
      <c r="I66" s="36"/>
      <c r="L66" s="11"/>
      <c r="M66" s="15"/>
      <c r="N66" s="15"/>
      <c r="O66" s="15"/>
      <c r="P66" s="15"/>
      <c r="Q66" s="15"/>
      <c r="R66" s="15"/>
      <c r="S66" s="15"/>
      <c r="T66" s="15"/>
      <c r="U66" s="15"/>
      <c r="V66" s="15"/>
      <c r="W66" s="15"/>
      <c r="X66" s="15"/>
      <c r="Y66" s="15"/>
      <c r="Z66" s="15"/>
      <c r="AA66" s="15"/>
      <c r="AB66" s="15"/>
      <c r="AC66" s="15"/>
      <c r="AD66" s="15"/>
      <c r="AE66" s="15"/>
      <c r="AF66" s="15"/>
    </row>
    <row r="67" ht="15.75" customHeight="1">
      <c r="A67" s="28" t="s">
        <v>5</v>
      </c>
      <c r="E67" s="28" t="s">
        <v>43</v>
      </c>
      <c r="F67" s="32" t="s">
        <v>716</v>
      </c>
      <c r="G67" s="166" t="s">
        <v>2258</v>
      </c>
      <c r="H67" s="35" t="s">
        <v>2259</v>
      </c>
      <c r="I67" s="36"/>
      <c r="L67" s="11"/>
      <c r="M67" s="15"/>
      <c r="N67" s="15"/>
      <c r="O67" s="15"/>
      <c r="P67" s="15"/>
      <c r="Q67" s="15"/>
      <c r="R67" s="15"/>
      <c r="S67" s="15"/>
      <c r="T67" s="15"/>
      <c r="U67" s="15"/>
      <c r="V67" s="15"/>
      <c r="W67" s="15"/>
      <c r="X67" s="15"/>
      <c r="Y67" s="15"/>
      <c r="Z67" s="15"/>
      <c r="AA67" s="15"/>
      <c r="AB67" s="15"/>
      <c r="AC67" s="15"/>
      <c r="AD67" s="15"/>
      <c r="AE67" s="15"/>
      <c r="AF67" s="15"/>
    </row>
    <row r="68" ht="15.75" customHeight="1">
      <c r="A68" s="28" t="s">
        <v>5</v>
      </c>
      <c r="E68" s="28" t="s">
        <v>21</v>
      </c>
      <c r="F68" s="32" t="s">
        <v>249</v>
      </c>
      <c r="G68" s="166" t="s">
        <v>2260</v>
      </c>
      <c r="H68" s="35" t="s">
        <v>2261</v>
      </c>
      <c r="I68" s="36"/>
      <c r="L68" s="11"/>
      <c r="M68" s="15"/>
      <c r="N68" s="15"/>
      <c r="O68" s="15"/>
      <c r="P68" s="15"/>
      <c r="Q68" s="15"/>
      <c r="R68" s="15"/>
      <c r="S68" s="15"/>
      <c r="T68" s="15"/>
      <c r="U68" s="15"/>
      <c r="V68" s="15"/>
      <c r="W68" s="15"/>
      <c r="X68" s="15"/>
      <c r="Y68" s="15"/>
      <c r="Z68" s="15"/>
      <c r="AA68" s="15"/>
      <c r="AB68" s="15"/>
      <c r="AC68" s="15"/>
      <c r="AD68" s="15"/>
      <c r="AE68" s="15"/>
      <c r="AF68" s="15"/>
    </row>
    <row r="69" ht="15.75" customHeight="1">
      <c r="A69" s="28" t="s">
        <v>5</v>
      </c>
      <c r="E69" s="28" t="s">
        <v>43</v>
      </c>
      <c r="F69" s="32" t="s">
        <v>716</v>
      </c>
      <c r="G69" s="166" t="s">
        <v>2262</v>
      </c>
      <c r="H69" s="35" t="s">
        <v>2263</v>
      </c>
      <c r="I69" s="36"/>
      <c r="L69" s="11"/>
      <c r="M69" s="15"/>
      <c r="N69" s="15"/>
      <c r="O69" s="15"/>
      <c r="P69" s="15"/>
      <c r="Q69" s="15"/>
      <c r="R69" s="15"/>
      <c r="S69" s="15"/>
      <c r="T69" s="15"/>
      <c r="U69" s="15"/>
      <c r="V69" s="15"/>
      <c r="W69" s="15"/>
      <c r="X69" s="15"/>
      <c r="Y69" s="15"/>
      <c r="Z69" s="15"/>
      <c r="AA69" s="15"/>
      <c r="AB69" s="15"/>
      <c r="AC69" s="15"/>
      <c r="AD69" s="15"/>
      <c r="AE69" s="15"/>
      <c r="AF69" s="15"/>
    </row>
    <row r="70" ht="15.75" customHeight="1">
      <c r="A70" s="28" t="s">
        <v>5</v>
      </c>
      <c r="E70" s="28" t="s">
        <v>21</v>
      </c>
      <c r="F70" s="32" t="s">
        <v>249</v>
      </c>
      <c r="G70" s="166" t="s">
        <v>2264</v>
      </c>
      <c r="H70" s="35" t="s">
        <v>2265</v>
      </c>
      <c r="I70" s="36"/>
      <c r="L70" s="11"/>
      <c r="M70" s="15"/>
      <c r="N70" s="15"/>
      <c r="O70" s="15"/>
      <c r="P70" s="15"/>
      <c r="Q70" s="15"/>
      <c r="R70" s="15"/>
      <c r="S70" s="15"/>
      <c r="T70" s="15"/>
      <c r="U70" s="15"/>
      <c r="V70" s="15"/>
      <c r="W70" s="15"/>
      <c r="X70" s="15"/>
      <c r="Y70" s="15"/>
      <c r="Z70" s="15"/>
      <c r="AA70" s="15"/>
      <c r="AB70" s="15"/>
      <c r="AC70" s="15"/>
      <c r="AD70" s="15"/>
      <c r="AE70" s="15"/>
      <c r="AF70" s="15"/>
    </row>
    <row r="71" ht="15.75" customHeight="1">
      <c r="A71" s="28" t="s">
        <v>5</v>
      </c>
      <c r="E71" s="28" t="s">
        <v>43</v>
      </c>
      <c r="F71" s="32" t="s">
        <v>79</v>
      </c>
      <c r="G71" s="166" t="s">
        <v>2266</v>
      </c>
      <c r="H71" s="35" t="s">
        <v>79</v>
      </c>
      <c r="I71" s="36"/>
      <c r="L71" s="11"/>
      <c r="M71" s="15"/>
      <c r="N71" s="15"/>
      <c r="O71" s="15"/>
      <c r="P71" s="15"/>
      <c r="Q71" s="15"/>
      <c r="R71" s="15"/>
      <c r="S71" s="15"/>
      <c r="T71" s="15"/>
      <c r="U71" s="15"/>
      <c r="V71" s="15"/>
      <c r="W71" s="15"/>
      <c r="X71" s="15"/>
      <c r="Y71" s="15"/>
      <c r="Z71" s="15"/>
      <c r="AA71" s="15"/>
      <c r="AB71" s="15"/>
      <c r="AC71" s="15"/>
      <c r="AD71" s="15"/>
      <c r="AE71" s="15"/>
      <c r="AF71" s="15"/>
    </row>
    <row r="72" ht="15.75" customHeight="1">
      <c r="A72" s="28" t="s">
        <v>5</v>
      </c>
      <c r="B72" s="214" t="s">
        <v>2267</v>
      </c>
      <c r="C72" s="33" t="s">
        <v>2268</v>
      </c>
      <c r="D72" s="28" t="s">
        <v>20</v>
      </c>
      <c r="E72" s="28" t="s">
        <v>21</v>
      </c>
      <c r="F72" s="32" t="s">
        <v>22</v>
      </c>
      <c r="G72" s="166" t="s">
        <v>2269</v>
      </c>
      <c r="H72" s="35" t="s">
        <v>22</v>
      </c>
      <c r="L72" s="11"/>
      <c r="M72" s="15"/>
      <c r="N72" s="15"/>
      <c r="O72" s="15"/>
      <c r="P72" s="15"/>
      <c r="Q72" s="15"/>
      <c r="R72" s="15"/>
      <c r="S72" s="15"/>
      <c r="T72" s="15"/>
      <c r="U72" s="15"/>
      <c r="V72" s="15"/>
      <c r="W72" s="15"/>
      <c r="X72" s="15"/>
      <c r="Y72" s="15"/>
      <c r="Z72" s="15"/>
      <c r="AA72" s="15"/>
      <c r="AB72" s="15"/>
      <c r="AC72" s="15"/>
      <c r="AD72" s="15"/>
      <c r="AE72" s="15"/>
      <c r="AF72" s="15"/>
    </row>
    <row r="73" ht="15.75" customHeight="1">
      <c r="A73" s="28" t="s">
        <v>5</v>
      </c>
      <c r="E73" s="28" t="s">
        <v>43</v>
      </c>
      <c r="F73" s="32" t="s">
        <v>109</v>
      </c>
      <c r="G73" s="166" t="s">
        <v>2270</v>
      </c>
      <c r="H73" s="35" t="s">
        <v>109</v>
      </c>
      <c r="I73" s="36"/>
      <c r="J73" s="36"/>
      <c r="L73" s="11"/>
      <c r="M73" s="15"/>
      <c r="N73" s="15"/>
      <c r="O73" s="15"/>
      <c r="P73" s="15"/>
      <c r="Q73" s="15"/>
      <c r="R73" s="15"/>
      <c r="S73" s="15"/>
      <c r="T73" s="15"/>
      <c r="U73" s="15"/>
      <c r="V73" s="15"/>
      <c r="W73" s="15"/>
      <c r="X73" s="15"/>
      <c r="Y73" s="15"/>
      <c r="Z73" s="15"/>
      <c r="AA73" s="15"/>
      <c r="AB73" s="15"/>
      <c r="AC73" s="15"/>
      <c r="AD73" s="15"/>
      <c r="AE73" s="15"/>
      <c r="AF73" s="15"/>
    </row>
    <row r="74" ht="15.75" customHeight="1">
      <c r="A74" s="28" t="s">
        <v>5</v>
      </c>
      <c r="E74" s="28" t="s">
        <v>21</v>
      </c>
      <c r="F74" s="32" t="s">
        <v>110</v>
      </c>
      <c r="G74" s="166" t="s">
        <v>2271</v>
      </c>
      <c r="H74" s="35" t="s">
        <v>110</v>
      </c>
      <c r="I74" s="36"/>
      <c r="J74" s="36"/>
      <c r="L74" s="11"/>
      <c r="M74" s="15"/>
      <c r="N74" s="15"/>
      <c r="O74" s="15"/>
      <c r="P74" s="15"/>
      <c r="Q74" s="15"/>
      <c r="R74" s="15"/>
      <c r="S74" s="15"/>
      <c r="T74" s="15"/>
      <c r="U74" s="15"/>
      <c r="V74" s="15"/>
      <c r="W74" s="15"/>
      <c r="X74" s="15"/>
      <c r="Y74" s="15"/>
      <c r="Z74" s="15"/>
      <c r="AA74" s="15"/>
      <c r="AB74" s="15"/>
      <c r="AC74" s="15"/>
      <c r="AD74" s="15"/>
      <c r="AE74" s="15"/>
      <c r="AF74" s="15"/>
    </row>
    <row r="75" ht="15.75" customHeight="1">
      <c r="A75" s="28" t="s">
        <v>5</v>
      </c>
      <c r="E75" s="28" t="s">
        <v>43</v>
      </c>
      <c r="F75" s="32" t="s">
        <v>53</v>
      </c>
      <c r="G75" s="166" t="s">
        <v>2272</v>
      </c>
      <c r="H75" s="35" t="s">
        <v>53</v>
      </c>
      <c r="L75" s="11"/>
      <c r="M75" s="15"/>
      <c r="N75" s="15"/>
      <c r="O75" s="15"/>
      <c r="P75" s="15"/>
      <c r="Q75" s="15"/>
      <c r="R75" s="15"/>
      <c r="S75" s="15"/>
      <c r="T75" s="15"/>
      <c r="U75" s="15"/>
      <c r="V75" s="15"/>
      <c r="W75" s="15"/>
      <c r="X75" s="15"/>
      <c r="Y75" s="15"/>
      <c r="Z75" s="15"/>
      <c r="AA75" s="15"/>
      <c r="AB75" s="15"/>
      <c r="AC75" s="15"/>
      <c r="AD75" s="15"/>
      <c r="AE75" s="15"/>
      <c r="AF75" s="15"/>
    </row>
    <row r="76" ht="15.75" customHeight="1">
      <c r="A76" s="28" t="s">
        <v>5</v>
      </c>
      <c r="E76" s="28" t="s">
        <v>43</v>
      </c>
      <c r="F76" s="32" t="s">
        <v>132</v>
      </c>
      <c r="G76" s="166" t="s">
        <v>2273</v>
      </c>
      <c r="H76" s="35" t="s">
        <v>132</v>
      </c>
      <c r="L76" s="11"/>
      <c r="M76" s="15"/>
      <c r="N76" s="15"/>
      <c r="O76" s="15"/>
      <c r="P76" s="15"/>
      <c r="Q76" s="15"/>
      <c r="R76" s="15"/>
      <c r="S76" s="15"/>
      <c r="T76" s="15"/>
      <c r="U76" s="15"/>
      <c r="V76" s="15"/>
      <c r="W76" s="15"/>
      <c r="X76" s="15"/>
      <c r="Y76" s="15"/>
      <c r="Z76" s="15"/>
      <c r="AA76" s="15"/>
      <c r="AB76" s="15"/>
      <c r="AC76" s="15"/>
      <c r="AD76" s="15"/>
      <c r="AE76" s="15"/>
      <c r="AF76" s="15"/>
    </row>
    <row r="77" ht="15.75" customHeight="1">
      <c r="A77" s="28" t="s">
        <v>5</v>
      </c>
      <c r="E77" s="28" t="s">
        <v>43</v>
      </c>
      <c r="F77" s="32" t="s">
        <v>77</v>
      </c>
      <c r="G77" s="166" t="s">
        <v>2274</v>
      </c>
      <c r="H77" s="35" t="s">
        <v>77</v>
      </c>
      <c r="L77" s="11"/>
      <c r="M77" s="15"/>
      <c r="N77" s="15"/>
      <c r="O77" s="15"/>
      <c r="P77" s="15"/>
      <c r="Q77" s="15"/>
      <c r="R77" s="15"/>
      <c r="S77" s="15"/>
      <c r="T77" s="15"/>
      <c r="U77" s="15"/>
      <c r="V77" s="15"/>
      <c r="W77" s="15"/>
      <c r="X77" s="15"/>
      <c r="Y77" s="15"/>
      <c r="Z77" s="15"/>
      <c r="AA77" s="15"/>
      <c r="AB77" s="15"/>
      <c r="AC77" s="15"/>
      <c r="AD77" s="15"/>
      <c r="AE77" s="15"/>
      <c r="AF77" s="15"/>
    </row>
    <row r="78" ht="15.75" customHeight="1">
      <c r="A78" s="28" t="s">
        <v>5</v>
      </c>
      <c r="E78" s="28" t="s">
        <v>43</v>
      </c>
      <c r="F78" s="32" t="s">
        <v>79</v>
      </c>
      <c r="G78" s="166" t="s">
        <v>2275</v>
      </c>
      <c r="H78" s="35" t="s">
        <v>79</v>
      </c>
      <c r="L78" s="11"/>
      <c r="M78" s="15"/>
      <c r="N78" s="15"/>
      <c r="O78" s="15"/>
      <c r="P78" s="15"/>
      <c r="Q78" s="15"/>
      <c r="R78" s="15"/>
      <c r="S78" s="15"/>
      <c r="T78" s="15"/>
      <c r="U78" s="15"/>
      <c r="V78" s="15"/>
      <c r="W78" s="15"/>
      <c r="X78" s="15"/>
      <c r="Y78" s="15"/>
      <c r="Z78" s="15"/>
      <c r="AA78" s="15"/>
      <c r="AB78" s="15"/>
      <c r="AC78" s="15"/>
      <c r="AD78" s="15"/>
      <c r="AE78" s="15"/>
      <c r="AF78" s="15"/>
    </row>
    <row r="79" ht="15.75" customHeight="1">
      <c r="A79" s="28" t="s">
        <v>5</v>
      </c>
      <c r="B79" s="214" t="s">
        <v>2276</v>
      </c>
      <c r="C79" s="33" t="s">
        <v>2277</v>
      </c>
      <c r="D79" s="28" t="s">
        <v>20</v>
      </c>
      <c r="E79" s="28" t="s">
        <v>21</v>
      </c>
      <c r="F79" s="32" t="s">
        <v>22</v>
      </c>
      <c r="G79" s="166" t="s">
        <v>2278</v>
      </c>
      <c r="H79" s="35" t="s">
        <v>22</v>
      </c>
      <c r="L79" s="11"/>
      <c r="M79" s="15"/>
      <c r="N79" s="15"/>
      <c r="O79" s="15"/>
      <c r="P79" s="15"/>
      <c r="Q79" s="15"/>
      <c r="R79" s="15"/>
      <c r="S79" s="15"/>
      <c r="T79" s="15"/>
      <c r="U79" s="15"/>
      <c r="V79" s="15"/>
      <c r="W79" s="15"/>
      <c r="X79" s="15"/>
      <c r="Y79" s="15"/>
      <c r="Z79" s="15"/>
      <c r="AA79" s="15"/>
      <c r="AB79" s="15"/>
      <c r="AC79" s="15"/>
      <c r="AD79" s="15"/>
      <c r="AE79" s="15"/>
      <c r="AF79" s="15"/>
    </row>
    <row r="80" ht="15.75" customHeight="1">
      <c r="A80" s="28" t="s">
        <v>5</v>
      </c>
      <c r="E80" s="28" t="s">
        <v>43</v>
      </c>
      <c r="F80" s="32" t="s">
        <v>109</v>
      </c>
      <c r="G80" s="166" t="s">
        <v>2279</v>
      </c>
      <c r="H80" s="35" t="s">
        <v>109</v>
      </c>
      <c r="L80" s="11"/>
      <c r="M80" s="15"/>
      <c r="N80" s="15"/>
      <c r="O80" s="15"/>
      <c r="P80" s="15"/>
      <c r="Q80" s="15"/>
      <c r="R80" s="15"/>
      <c r="S80" s="15"/>
      <c r="T80" s="15"/>
      <c r="U80" s="15"/>
      <c r="V80" s="15"/>
      <c r="W80" s="15"/>
      <c r="X80" s="15"/>
      <c r="Y80" s="15"/>
      <c r="Z80" s="15"/>
      <c r="AA80" s="15"/>
      <c r="AB80" s="15"/>
      <c r="AC80" s="15"/>
      <c r="AD80" s="15"/>
      <c r="AE80" s="15"/>
      <c r="AF80" s="15"/>
    </row>
    <row r="81" ht="15.75" customHeight="1">
      <c r="A81" s="28" t="s">
        <v>5</v>
      </c>
      <c r="E81" s="28" t="s">
        <v>21</v>
      </c>
      <c r="F81" s="65" t="s">
        <v>110</v>
      </c>
      <c r="G81" s="166" t="s">
        <v>2280</v>
      </c>
      <c r="H81" s="35" t="s">
        <v>110</v>
      </c>
      <c r="L81" s="11"/>
      <c r="M81" s="15"/>
      <c r="N81" s="15"/>
      <c r="O81" s="15"/>
      <c r="P81" s="15"/>
      <c r="Q81" s="15"/>
      <c r="R81" s="15"/>
      <c r="S81" s="15"/>
      <c r="T81" s="15"/>
      <c r="U81" s="15"/>
      <c r="V81" s="15"/>
      <c r="W81" s="15"/>
      <c r="X81" s="15"/>
      <c r="Y81" s="15"/>
      <c r="Z81" s="15"/>
      <c r="AA81" s="15"/>
      <c r="AB81" s="15"/>
      <c r="AC81" s="15"/>
      <c r="AD81" s="15"/>
      <c r="AE81" s="15"/>
      <c r="AF81" s="15"/>
    </row>
    <row r="82" ht="15.75" customHeight="1">
      <c r="A82" s="28" t="s">
        <v>5</v>
      </c>
      <c r="E82" s="28" t="s">
        <v>43</v>
      </c>
      <c r="F82" s="32" t="s">
        <v>132</v>
      </c>
      <c r="G82" s="166" t="s">
        <v>2281</v>
      </c>
      <c r="H82" s="35" t="s">
        <v>132</v>
      </c>
      <c r="L82" s="11"/>
      <c r="M82" s="15"/>
      <c r="N82" s="15"/>
      <c r="O82" s="15"/>
      <c r="P82" s="15"/>
      <c r="Q82" s="15"/>
      <c r="R82" s="15"/>
      <c r="S82" s="15"/>
      <c r="T82" s="15"/>
      <c r="U82" s="15"/>
      <c r="V82" s="15"/>
      <c r="W82" s="15"/>
      <c r="X82" s="15"/>
      <c r="Y82" s="15"/>
      <c r="Z82" s="15"/>
      <c r="AA82" s="15"/>
      <c r="AB82" s="15"/>
      <c r="AC82" s="15"/>
      <c r="AD82" s="15"/>
      <c r="AE82" s="15"/>
      <c r="AF82" s="15"/>
    </row>
    <row r="83" ht="15.75" customHeight="1">
      <c r="A83" s="28" t="s">
        <v>5</v>
      </c>
      <c r="E83" s="28" t="s">
        <v>43</v>
      </c>
      <c r="F83" s="32" t="s">
        <v>77</v>
      </c>
      <c r="G83" s="166" t="s">
        <v>2282</v>
      </c>
      <c r="H83" s="35" t="s">
        <v>77</v>
      </c>
      <c r="L83" s="11"/>
      <c r="M83" s="15"/>
      <c r="N83" s="15"/>
      <c r="O83" s="15"/>
      <c r="P83" s="15"/>
      <c r="Q83" s="15"/>
      <c r="R83" s="15"/>
      <c r="S83" s="15"/>
      <c r="T83" s="15"/>
      <c r="U83" s="15"/>
      <c r="V83" s="15"/>
      <c r="W83" s="15"/>
      <c r="X83" s="15"/>
      <c r="Y83" s="15"/>
      <c r="Z83" s="15"/>
      <c r="AA83" s="15"/>
      <c r="AB83" s="15"/>
      <c r="AC83" s="15"/>
      <c r="AD83" s="15"/>
      <c r="AE83" s="15"/>
      <c r="AF83" s="15"/>
    </row>
    <row r="84" ht="15.75" customHeight="1">
      <c r="A84" s="28" t="s">
        <v>5</v>
      </c>
      <c r="E84" s="28" t="s">
        <v>43</v>
      </c>
      <c r="F84" s="32" t="s">
        <v>79</v>
      </c>
      <c r="G84" s="166" t="s">
        <v>2283</v>
      </c>
      <c r="H84" s="35" t="s">
        <v>79</v>
      </c>
      <c r="L84" s="11"/>
      <c r="M84" s="15"/>
      <c r="N84" s="15"/>
      <c r="O84" s="15"/>
      <c r="P84" s="15"/>
      <c r="Q84" s="15"/>
      <c r="R84" s="15"/>
      <c r="S84" s="15"/>
      <c r="T84" s="15"/>
      <c r="U84" s="15"/>
      <c r="V84" s="15"/>
      <c r="W84" s="15"/>
      <c r="X84" s="15"/>
      <c r="Y84" s="15"/>
      <c r="Z84" s="15"/>
      <c r="AA84" s="15"/>
      <c r="AB84" s="15"/>
      <c r="AC84" s="15"/>
      <c r="AD84" s="15"/>
      <c r="AE84" s="15"/>
      <c r="AF84" s="15"/>
    </row>
    <row r="85" ht="15.75" customHeight="1">
      <c r="A85" s="28" t="s">
        <v>5</v>
      </c>
      <c r="E85" s="28" t="s">
        <v>43</v>
      </c>
      <c r="F85" s="32" t="s">
        <v>53</v>
      </c>
      <c r="G85" s="165" t="s">
        <v>2284</v>
      </c>
      <c r="H85" s="35" t="s">
        <v>53</v>
      </c>
      <c r="L85" s="11"/>
      <c r="M85" s="15"/>
      <c r="N85" s="15"/>
      <c r="O85" s="15"/>
      <c r="P85" s="15"/>
      <c r="Q85" s="15"/>
      <c r="R85" s="15"/>
      <c r="S85" s="15"/>
      <c r="T85" s="15"/>
      <c r="U85" s="15"/>
      <c r="V85" s="15"/>
      <c r="W85" s="15"/>
      <c r="X85" s="15"/>
      <c r="Y85" s="15"/>
      <c r="Z85" s="15"/>
      <c r="AA85" s="15"/>
      <c r="AB85" s="15"/>
      <c r="AC85" s="15"/>
      <c r="AD85" s="15"/>
      <c r="AE85" s="15"/>
      <c r="AF85" s="15"/>
    </row>
    <row r="86" ht="15.75" customHeight="1">
      <c r="A86" s="28" t="s">
        <v>5</v>
      </c>
      <c r="B86" s="214" t="s">
        <v>2285</v>
      </c>
      <c r="C86" s="33" t="s">
        <v>2286</v>
      </c>
      <c r="D86" s="28" t="s">
        <v>20</v>
      </c>
      <c r="E86" s="28" t="s">
        <v>21</v>
      </c>
      <c r="F86" s="32" t="s">
        <v>22</v>
      </c>
      <c r="G86" s="166" t="s">
        <v>2287</v>
      </c>
      <c r="H86" s="35" t="s">
        <v>22</v>
      </c>
      <c r="I86" s="36"/>
      <c r="J86" s="36"/>
      <c r="K86" s="36"/>
      <c r="L86" s="11"/>
      <c r="M86" s="15"/>
      <c r="N86" s="15"/>
      <c r="O86" s="15"/>
      <c r="P86" s="15"/>
      <c r="Q86" s="15"/>
      <c r="R86" s="15"/>
      <c r="S86" s="15"/>
      <c r="T86" s="15"/>
      <c r="U86" s="15"/>
      <c r="V86" s="15"/>
      <c r="W86" s="15"/>
      <c r="X86" s="15"/>
      <c r="Y86" s="15"/>
      <c r="Z86" s="15"/>
      <c r="AA86" s="15"/>
      <c r="AB86" s="15"/>
      <c r="AC86" s="15"/>
      <c r="AD86" s="15"/>
      <c r="AE86" s="15"/>
      <c r="AF86" s="15"/>
    </row>
    <row r="87" ht="15.75" customHeight="1">
      <c r="A87" s="28" t="s">
        <v>5</v>
      </c>
      <c r="E87" s="28" t="s">
        <v>43</v>
      </c>
      <c r="F87" s="32" t="s">
        <v>716</v>
      </c>
      <c r="G87" s="166" t="s">
        <v>2288</v>
      </c>
      <c r="H87" s="35" t="s">
        <v>716</v>
      </c>
      <c r="I87" s="36"/>
      <c r="J87" s="36"/>
      <c r="K87" s="36"/>
      <c r="L87" s="11"/>
      <c r="M87" s="15"/>
      <c r="N87" s="15"/>
      <c r="O87" s="15"/>
      <c r="P87" s="15"/>
      <c r="Q87" s="15"/>
      <c r="R87" s="15"/>
      <c r="S87" s="15"/>
      <c r="T87" s="15"/>
      <c r="U87" s="15"/>
      <c r="V87" s="15"/>
      <c r="W87" s="15"/>
      <c r="X87" s="15"/>
      <c r="Y87" s="15"/>
      <c r="Z87" s="15"/>
      <c r="AA87" s="15"/>
      <c r="AB87" s="15"/>
      <c r="AC87" s="15"/>
      <c r="AD87" s="15"/>
      <c r="AE87" s="15"/>
      <c r="AF87" s="15"/>
    </row>
    <row r="88" ht="15.75" customHeight="1">
      <c r="A88" s="28" t="s">
        <v>5</v>
      </c>
      <c r="E88" s="28" t="s">
        <v>21</v>
      </c>
      <c r="F88" s="32" t="s">
        <v>249</v>
      </c>
      <c r="G88" s="166" t="s">
        <v>2289</v>
      </c>
      <c r="H88" s="35" t="s">
        <v>249</v>
      </c>
      <c r="I88" s="36"/>
      <c r="J88" s="36"/>
      <c r="K88" s="36"/>
      <c r="L88" s="11"/>
      <c r="M88" s="15"/>
      <c r="N88" s="15"/>
      <c r="O88" s="15"/>
      <c r="P88" s="15"/>
      <c r="Q88" s="15"/>
      <c r="R88" s="15"/>
      <c r="S88" s="15"/>
      <c r="T88" s="15"/>
      <c r="U88" s="15"/>
      <c r="V88" s="15"/>
      <c r="W88" s="15"/>
      <c r="X88" s="15"/>
      <c r="Y88" s="15"/>
      <c r="Z88" s="15"/>
      <c r="AA88" s="15"/>
      <c r="AB88" s="15"/>
      <c r="AC88" s="15"/>
      <c r="AD88" s="15"/>
      <c r="AE88" s="15"/>
      <c r="AF88" s="15"/>
    </row>
    <row r="89" ht="15.75" customHeight="1">
      <c r="A89" s="28" t="s">
        <v>5</v>
      </c>
      <c r="E89" s="28" t="s">
        <v>43</v>
      </c>
      <c r="F89" s="32" t="s">
        <v>109</v>
      </c>
      <c r="G89" s="166" t="s">
        <v>2290</v>
      </c>
      <c r="H89" s="35" t="s">
        <v>109</v>
      </c>
      <c r="L89" s="11"/>
      <c r="M89" s="15"/>
      <c r="N89" s="15"/>
      <c r="O89" s="15"/>
      <c r="P89" s="15"/>
      <c r="Q89" s="15"/>
      <c r="R89" s="15"/>
      <c r="S89" s="15"/>
      <c r="T89" s="15"/>
      <c r="U89" s="15"/>
      <c r="V89" s="15"/>
      <c r="W89" s="15"/>
      <c r="X89" s="15"/>
      <c r="Y89" s="15"/>
      <c r="Z89" s="15"/>
      <c r="AA89" s="15"/>
      <c r="AB89" s="15"/>
      <c r="AC89" s="15"/>
      <c r="AD89" s="15"/>
      <c r="AE89" s="15"/>
      <c r="AF89" s="15"/>
    </row>
    <row r="90" ht="15.75" customHeight="1">
      <c r="A90" s="28" t="s">
        <v>5</v>
      </c>
      <c r="E90" s="28" t="s">
        <v>21</v>
      </c>
      <c r="F90" s="65" t="s">
        <v>110</v>
      </c>
      <c r="G90" s="166" t="s">
        <v>2291</v>
      </c>
      <c r="H90" s="65" t="s">
        <v>110</v>
      </c>
      <c r="L90" s="11"/>
      <c r="M90" s="15"/>
      <c r="N90" s="15"/>
      <c r="O90" s="15"/>
      <c r="P90" s="15"/>
      <c r="Q90" s="15"/>
      <c r="R90" s="15"/>
      <c r="S90" s="15"/>
      <c r="T90" s="15"/>
      <c r="U90" s="15"/>
      <c r="V90" s="15"/>
      <c r="W90" s="15"/>
      <c r="X90" s="15"/>
      <c r="Y90" s="15"/>
      <c r="Z90" s="15"/>
      <c r="AA90" s="15"/>
      <c r="AB90" s="15"/>
      <c r="AC90" s="15"/>
      <c r="AD90" s="15"/>
      <c r="AE90" s="15"/>
      <c r="AF90" s="15"/>
    </row>
    <row r="91" ht="15.75" customHeight="1">
      <c r="A91" s="28" t="s">
        <v>5</v>
      </c>
      <c r="E91" s="28" t="s">
        <v>43</v>
      </c>
      <c r="F91" s="32" t="s">
        <v>109</v>
      </c>
      <c r="G91" s="166" t="s">
        <v>2292</v>
      </c>
      <c r="H91" s="35" t="s">
        <v>109</v>
      </c>
      <c r="I91" s="36"/>
      <c r="L91" s="11"/>
      <c r="M91" s="15"/>
      <c r="N91" s="15"/>
      <c r="O91" s="15"/>
      <c r="P91" s="15"/>
      <c r="Q91" s="15"/>
      <c r="R91" s="15"/>
      <c r="S91" s="15"/>
      <c r="T91" s="15"/>
      <c r="U91" s="15"/>
      <c r="V91" s="15"/>
      <c r="W91" s="15"/>
      <c r="X91" s="15"/>
      <c r="Y91" s="15"/>
      <c r="Z91" s="15"/>
      <c r="AA91" s="15"/>
      <c r="AB91" s="15"/>
      <c r="AC91" s="15"/>
      <c r="AD91" s="15"/>
      <c r="AE91" s="15"/>
      <c r="AF91" s="15"/>
    </row>
    <row r="92" ht="15.75" customHeight="1">
      <c r="A92" s="28" t="s">
        <v>5</v>
      </c>
      <c r="E92" s="28" t="s">
        <v>21</v>
      </c>
      <c r="F92" s="65" t="s">
        <v>110</v>
      </c>
      <c r="G92" s="166" t="s">
        <v>2293</v>
      </c>
      <c r="H92" s="35" t="s">
        <v>2210</v>
      </c>
      <c r="I92" s="36"/>
      <c r="L92" s="11"/>
      <c r="M92" s="15"/>
      <c r="N92" s="15"/>
      <c r="O92" s="15"/>
      <c r="P92" s="15"/>
      <c r="Q92" s="15"/>
      <c r="R92" s="15"/>
      <c r="S92" s="15"/>
      <c r="T92" s="15"/>
      <c r="U92" s="15"/>
      <c r="V92" s="15"/>
      <c r="W92" s="15"/>
      <c r="X92" s="15"/>
      <c r="Y92" s="15"/>
      <c r="Z92" s="15"/>
      <c r="AA92" s="15"/>
      <c r="AB92" s="15"/>
      <c r="AC92" s="15"/>
      <c r="AD92" s="15"/>
      <c r="AE92" s="15"/>
      <c r="AF92" s="15"/>
    </row>
    <row r="93" ht="15.75" customHeight="1">
      <c r="A93" s="28" t="s">
        <v>5</v>
      </c>
      <c r="E93" s="28" t="s">
        <v>43</v>
      </c>
      <c r="F93" s="32" t="s">
        <v>79</v>
      </c>
      <c r="G93" s="166" t="s">
        <v>2294</v>
      </c>
      <c r="H93" s="35" t="s">
        <v>79</v>
      </c>
      <c r="I93" s="36"/>
      <c r="L93" s="11"/>
      <c r="M93" s="15"/>
      <c r="N93" s="15"/>
      <c r="O93" s="15"/>
      <c r="P93" s="15"/>
      <c r="Q93" s="15"/>
      <c r="R93" s="15"/>
      <c r="S93" s="15"/>
      <c r="T93" s="15"/>
      <c r="U93" s="15"/>
      <c r="V93" s="15"/>
      <c r="W93" s="15"/>
      <c r="X93" s="15"/>
      <c r="Y93" s="15"/>
      <c r="Z93" s="15"/>
      <c r="AA93" s="15"/>
      <c r="AB93" s="15"/>
      <c r="AC93" s="15"/>
      <c r="AD93" s="15"/>
      <c r="AE93" s="15"/>
      <c r="AF93" s="15"/>
    </row>
    <row r="94" ht="15.75" customHeight="1">
      <c r="A94" s="28" t="s">
        <v>5</v>
      </c>
      <c r="E94" s="28" t="s">
        <v>43</v>
      </c>
      <c r="F94" s="32" t="s">
        <v>132</v>
      </c>
      <c r="G94" s="166" t="s">
        <v>2295</v>
      </c>
      <c r="H94" s="35" t="s">
        <v>132</v>
      </c>
      <c r="I94" s="36"/>
      <c r="L94" s="11"/>
      <c r="M94" s="15"/>
      <c r="N94" s="15"/>
      <c r="O94" s="15"/>
      <c r="P94" s="15"/>
      <c r="Q94" s="15"/>
      <c r="R94" s="15"/>
      <c r="S94" s="15"/>
      <c r="T94" s="15"/>
      <c r="U94" s="15"/>
      <c r="V94" s="15"/>
      <c r="W94" s="15"/>
      <c r="X94" s="15"/>
      <c r="Y94" s="15"/>
      <c r="Z94" s="15"/>
      <c r="AA94" s="15"/>
      <c r="AB94" s="15"/>
      <c r="AC94" s="15"/>
      <c r="AD94" s="15"/>
      <c r="AE94" s="15"/>
      <c r="AF94" s="15"/>
    </row>
    <row r="95" ht="15.75" customHeight="1">
      <c r="A95" s="28" t="s">
        <v>5</v>
      </c>
      <c r="E95" s="28" t="s">
        <v>43</v>
      </c>
      <c r="F95" s="32" t="s">
        <v>77</v>
      </c>
      <c r="G95" s="166" t="s">
        <v>2296</v>
      </c>
      <c r="H95" s="35" t="s">
        <v>77</v>
      </c>
      <c r="I95" s="36"/>
      <c r="L95" s="11"/>
      <c r="M95" s="15"/>
      <c r="N95" s="15"/>
      <c r="O95" s="15"/>
      <c r="P95" s="15"/>
      <c r="Q95" s="15"/>
      <c r="R95" s="15"/>
      <c r="S95" s="15"/>
      <c r="T95" s="15"/>
      <c r="U95" s="15"/>
      <c r="V95" s="15"/>
      <c r="W95" s="15"/>
      <c r="X95" s="15"/>
      <c r="Y95" s="15"/>
      <c r="Z95" s="15"/>
      <c r="AA95" s="15"/>
      <c r="AB95" s="15"/>
      <c r="AC95" s="15"/>
      <c r="AD95" s="15"/>
      <c r="AE95" s="15"/>
      <c r="AF95" s="15"/>
    </row>
    <row r="96" ht="15.75" customHeight="1">
      <c r="A96" s="28" t="s">
        <v>5</v>
      </c>
      <c r="E96" s="28" t="s">
        <v>43</v>
      </c>
      <c r="F96" s="32" t="s">
        <v>53</v>
      </c>
      <c r="G96" s="166" t="s">
        <v>2297</v>
      </c>
      <c r="H96" s="35" t="s">
        <v>53</v>
      </c>
      <c r="I96" s="35"/>
      <c r="L96" s="11"/>
      <c r="M96" s="15"/>
      <c r="N96" s="15"/>
      <c r="O96" s="15"/>
      <c r="P96" s="15"/>
      <c r="Q96" s="15"/>
      <c r="R96" s="15"/>
      <c r="S96" s="15"/>
      <c r="T96" s="15"/>
      <c r="U96" s="15"/>
      <c r="V96" s="15"/>
      <c r="W96" s="15"/>
      <c r="X96" s="15"/>
      <c r="Y96" s="15"/>
      <c r="Z96" s="15"/>
      <c r="AA96" s="15"/>
      <c r="AB96" s="15"/>
      <c r="AC96" s="15"/>
      <c r="AD96" s="15"/>
      <c r="AE96" s="15"/>
      <c r="AF96" s="15"/>
    </row>
    <row r="97" ht="15.75" customHeight="1">
      <c r="A97" s="28" t="s">
        <v>5</v>
      </c>
      <c r="B97" s="214" t="s">
        <v>2298</v>
      </c>
      <c r="C97" s="33" t="s">
        <v>2299</v>
      </c>
      <c r="D97" s="28" t="s">
        <v>20</v>
      </c>
      <c r="E97" s="28" t="s">
        <v>21</v>
      </c>
      <c r="F97" s="32" t="s">
        <v>22</v>
      </c>
      <c r="G97" s="166" t="s">
        <v>2300</v>
      </c>
      <c r="H97" s="35" t="s">
        <v>22</v>
      </c>
      <c r="I97" s="35"/>
      <c r="L97" s="11"/>
      <c r="M97" s="15"/>
      <c r="N97" s="15"/>
      <c r="O97" s="15"/>
      <c r="P97" s="15"/>
      <c r="Q97" s="15"/>
      <c r="R97" s="15"/>
      <c r="S97" s="15"/>
      <c r="T97" s="15"/>
      <c r="U97" s="15"/>
      <c r="V97" s="15"/>
      <c r="W97" s="15"/>
      <c r="X97" s="15"/>
      <c r="Y97" s="15"/>
      <c r="Z97" s="15"/>
      <c r="AA97" s="15"/>
      <c r="AB97" s="15"/>
      <c r="AC97" s="15"/>
      <c r="AD97" s="15"/>
      <c r="AE97" s="15"/>
      <c r="AF97" s="15"/>
    </row>
    <row r="98" ht="15.75" customHeight="1">
      <c r="A98" s="28" t="s">
        <v>5</v>
      </c>
      <c r="E98" s="28" t="s">
        <v>43</v>
      </c>
      <c r="F98" s="32" t="s">
        <v>716</v>
      </c>
      <c r="G98" s="166" t="s">
        <v>2301</v>
      </c>
      <c r="H98" s="35" t="s">
        <v>716</v>
      </c>
      <c r="I98" s="36"/>
      <c r="L98" s="11"/>
      <c r="M98" s="15"/>
      <c r="N98" s="15"/>
      <c r="O98" s="15"/>
      <c r="P98" s="15"/>
      <c r="Q98" s="15"/>
      <c r="R98" s="15"/>
      <c r="S98" s="15"/>
      <c r="T98" s="15"/>
      <c r="U98" s="15"/>
      <c r="V98" s="15"/>
      <c r="W98" s="15"/>
      <c r="X98" s="15"/>
      <c r="Y98" s="15"/>
      <c r="Z98" s="15"/>
      <c r="AA98" s="15"/>
      <c r="AB98" s="15"/>
      <c r="AC98" s="15"/>
      <c r="AD98" s="15"/>
      <c r="AE98" s="15"/>
      <c r="AF98" s="15"/>
    </row>
    <row r="99" ht="15.75" customHeight="1">
      <c r="A99" s="28" t="s">
        <v>5</v>
      </c>
      <c r="E99" s="28" t="s">
        <v>21</v>
      </c>
      <c r="F99" s="32" t="s">
        <v>249</v>
      </c>
      <c r="G99" s="166" t="s">
        <v>2302</v>
      </c>
      <c r="H99" s="35" t="s">
        <v>249</v>
      </c>
      <c r="I99" s="36"/>
      <c r="L99" s="11"/>
      <c r="M99" s="15"/>
      <c r="N99" s="15"/>
      <c r="O99" s="15"/>
      <c r="P99" s="15"/>
      <c r="Q99" s="15"/>
      <c r="R99" s="15"/>
      <c r="S99" s="15"/>
      <c r="T99" s="15"/>
      <c r="U99" s="15"/>
      <c r="V99" s="15"/>
      <c r="W99" s="15"/>
      <c r="X99" s="15"/>
      <c r="Y99" s="15"/>
      <c r="Z99" s="15"/>
      <c r="AA99" s="15"/>
      <c r="AB99" s="15"/>
      <c r="AC99" s="15"/>
      <c r="AD99" s="15"/>
      <c r="AE99" s="15"/>
      <c r="AF99" s="15"/>
    </row>
    <row r="100" ht="15.75" customHeight="1">
      <c r="A100" s="28" t="s">
        <v>5</v>
      </c>
      <c r="E100" s="28" t="s">
        <v>43</v>
      </c>
      <c r="F100" s="32" t="s">
        <v>109</v>
      </c>
      <c r="G100" s="166" t="s">
        <v>2303</v>
      </c>
      <c r="H100" s="35" t="s">
        <v>109</v>
      </c>
      <c r="I100" s="36"/>
      <c r="J100" s="36"/>
      <c r="L100" s="11"/>
      <c r="M100" s="15"/>
      <c r="N100" s="15"/>
      <c r="O100" s="15"/>
      <c r="P100" s="15"/>
      <c r="Q100" s="15"/>
      <c r="R100" s="15"/>
      <c r="S100" s="15"/>
      <c r="T100" s="15"/>
      <c r="U100" s="15"/>
      <c r="V100" s="15"/>
      <c r="W100" s="15"/>
      <c r="X100" s="15"/>
      <c r="Y100" s="15"/>
      <c r="Z100" s="15"/>
      <c r="AA100" s="15"/>
      <c r="AB100" s="15"/>
      <c r="AC100" s="15"/>
      <c r="AD100" s="15"/>
      <c r="AE100" s="15"/>
      <c r="AF100" s="15"/>
    </row>
    <row r="101" ht="15.75" customHeight="1">
      <c r="A101" s="28" t="s">
        <v>5</v>
      </c>
      <c r="E101" s="28" t="s">
        <v>21</v>
      </c>
      <c r="F101" s="65" t="s">
        <v>110</v>
      </c>
      <c r="G101" s="166" t="s">
        <v>2304</v>
      </c>
      <c r="H101" s="35" t="s">
        <v>110</v>
      </c>
      <c r="L101" s="11"/>
      <c r="M101" s="15"/>
      <c r="N101" s="15"/>
      <c r="O101" s="15"/>
      <c r="P101" s="15"/>
      <c r="Q101" s="15"/>
      <c r="R101" s="15"/>
      <c r="S101" s="15"/>
      <c r="T101" s="15"/>
      <c r="U101" s="15"/>
      <c r="V101" s="15"/>
      <c r="W101" s="15"/>
      <c r="X101" s="15"/>
      <c r="Y101" s="15"/>
      <c r="Z101" s="15"/>
      <c r="AA101" s="15"/>
      <c r="AB101" s="15"/>
      <c r="AC101" s="15"/>
      <c r="AD101" s="15"/>
      <c r="AE101" s="15"/>
      <c r="AF101" s="15"/>
    </row>
    <row r="102" ht="15.75" customHeight="1">
      <c r="A102" s="28" t="s">
        <v>5</v>
      </c>
      <c r="E102" s="28" t="s">
        <v>43</v>
      </c>
      <c r="F102" s="32" t="s">
        <v>109</v>
      </c>
      <c r="G102" s="166" t="s">
        <v>2305</v>
      </c>
      <c r="H102" s="35" t="s">
        <v>2208</v>
      </c>
      <c r="L102" s="11"/>
      <c r="M102" s="15"/>
      <c r="N102" s="15"/>
      <c r="O102" s="15"/>
      <c r="P102" s="15"/>
      <c r="Q102" s="15"/>
      <c r="R102" s="15"/>
      <c r="S102" s="15"/>
      <c r="T102" s="15"/>
      <c r="U102" s="15"/>
      <c r="V102" s="15"/>
      <c r="W102" s="15"/>
      <c r="X102" s="15"/>
      <c r="Y102" s="15"/>
      <c r="Z102" s="15"/>
      <c r="AA102" s="15"/>
      <c r="AB102" s="15"/>
      <c r="AC102" s="15"/>
      <c r="AD102" s="15"/>
      <c r="AE102" s="15"/>
      <c r="AF102" s="15"/>
    </row>
    <row r="103" ht="15.75" customHeight="1">
      <c r="A103" s="28" t="s">
        <v>5</v>
      </c>
      <c r="E103" s="28" t="s">
        <v>21</v>
      </c>
      <c r="F103" s="65" t="s">
        <v>110</v>
      </c>
      <c r="G103" s="166" t="s">
        <v>2306</v>
      </c>
      <c r="H103" s="35" t="s">
        <v>2210</v>
      </c>
      <c r="L103" s="11"/>
      <c r="M103" s="15"/>
      <c r="N103" s="15"/>
      <c r="O103" s="15"/>
      <c r="P103" s="15"/>
      <c r="Q103" s="15"/>
      <c r="R103" s="15"/>
      <c r="S103" s="15"/>
      <c r="T103" s="15"/>
      <c r="U103" s="15"/>
      <c r="V103" s="15"/>
      <c r="W103" s="15"/>
      <c r="X103" s="15"/>
      <c r="Y103" s="15"/>
      <c r="Z103" s="15"/>
      <c r="AA103" s="15"/>
      <c r="AB103" s="15"/>
      <c r="AC103" s="15"/>
      <c r="AD103" s="15"/>
      <c r="AE103" s="15"/>
      <c r="AF103" s="15"/>
    </row>
    <row r="104" ht="15.75" customHeight="1">
      <c r="A104" s="28" t="s">
        <v>5</v>
      </c>
      <c r="E104" s="28" t="s">
        <v>43</v>
      </c>
      <c r="F104" s="28" t="s">
        <v>712</v>
      </c>
      <c r="G104" s="166" t="s">
        <v>2307</v>
      </c>
      <c r="H104" s="35" t="s">
        <v>712</v>
      </c>
      <c r="I104" s="36"/>
      <c r="L104" s="11"/>
      <c r="M104" s="15"/>
      <c r="N104" s="15"/>
      <c r="O104" s="15"/>
      <c r="P104" s="15"/>
      <c r="Q104" s="15"/>
      <c r="R104" s="15"/>
      <c r="S104" s="15"/>
      <c r="T104" s="15"/>
      <c r="U104" s="15"/>
      <c r="V104" s="15"/>
      <c r="W104" s="15"/>
      <c r="X104" s="15"/>
      <c r="Y104" s="15"/>
      <c r="Z104" s="15"/>
      <c r="AA104" s="15"/>
      <c r="AB104" s="15"/>
      <c r="AC104" s="15"/>
      <c r="AD104" s="15"/>
      <c r="AE104" s="15"/>
      <c r="AF104" s="15"/>
    </row>
    <row r="105" ht="15.75" customHeight="1">
      <c r="A105" s="28" t="s">
        <v>5</v>
      </c>
      <c r="E105" s="28" t="s">
        <v>43</v>
      </c>
      <c r="F105" s="28" t="s">
        <v>79</v>
      </c>
      <c r="G105" s="166" t="s">
        <v>2308</v>
      </c>
      <c r="H105" s="35" t="s">
        <v>79</v>
      </c>
      <c r="I105" s="36"/>
      <c r="L105" s="11"/>
      <c r="M105" s="15"/>
      <c r="N105" s="15"/>
      <c r="O105" s="15"/>
      <c r="P105" s="15"/>
      <c r="Q105" s="15"/>
      <c r="R105" s="15"/>
      <c r="S105" s="15"/>
      <c r="T105" s="15"/>
      <c r="U105" s="15"/>
      <c r="V105" s="15"/>
      <c r="W105" s="15"/>
      <c r="X105" s="15"/>
      <c r="Y105" s="15"/>
      <c r="Z105" s="15"/>
      <c r="AA105" s="15"/>
      <c r="AB105" s="15"/>
      <c r="AC105" s="15"/>
      <c r="AD105" s="15"/>
      <c r="AE105" s="15"/>
      <c r="AF105" s="15"/>
    </row>
    <row r="106" ht="15.75" customHeight="1">
      <c r="A106" s="28" t="s">
        <v>5</v>
      </c>
      <c r="E106" s="28" t="s">
        <v>43</v>
      </c>
      <c r="F106" s="28" t="s">
        <v>132</v>
      </c>
      <c r="G106" s="166" t="s">
        <v>2309</v>
      </c>
      <c r="H106" s="35" t="s">
        <v>132</v>
      </c>
      <c r="I106" s="36"/>
      <c r="L106" s="11"/>
      <c r="M106" s="15"/>
      <c r="N106" s="15"/>
      <c r="O106" s="15"/>
      <c r="P106" s="15"/>
      <c r="Q106" s="15"/>
      <c r="R106" s="15"/>
      <c r="S106" s="15"/>
      <c r="T106" s="15"/>
      <c r="U106" s="15"/>
      <c r="V106" s="15"/>
      <c r="W106" s="15"/>
      <c r="X106" s="15"/>
      <c r="Y106" s="15"/>
      <c r="Z106" s="15"/>
      <c r="AA106" s="15"/>
      <c r="AB106" s="15"/>
      <c r="AC106" s="15"/>
      <c r="AD106" s="15"/>
      <c r="AE106" s="15"/>
      <c r="AF106" s="15"/>
    </row>
    <row r="107" ht="15.75" customHeight="1">
      <c r="A107" s="28" t="s">
        <v>5</v>
      </c>
      <c r="E107" s="28" t="s">
        <v>43</v>
      </c>
      <c r="F107" s="28" t="s">
        <v>77</v>
      </c>
      <c r="G107" s="166" t="s">
        <v>2310</v>
      </c>
      <c r="H107" s="35" t="s">
        <v>77</v>
      </c>
      <c r="I107" s="36"/>
      <c r="L107" s="11"/>
      <c r="M107" s="15"/>
      <c r="N107" s="15"/>
      <c r="O107" s="15"/>
      <c r="P107" s="15"/>
      <c r="Q107" s="15"/>
      <c r="R107" s="15"/>
      <c r="S107" s="15"/>
      <c r="T107" s="15"/>
      <c r="U107" s="15"/>
      <c r="V107" s="15"/>
      <c r="W107" s="15"/>
      <c r="X107" s="15"/>
      <c r="Y107" s="15"/>
      <c r="Z107" s="15"/>
      <c r="AA107" s="15"/>
      <c r="AB107" s="15"/>
      <c r="AC107" s="15"/>
      <c r="AD107" s="15"/>
      <c r="AE107" s="15"/>
      <c r="AF107" s="15"/>
    </row>
    <row r="108" ht="15.75" customHeight="1">
      <c r="A108" s="28" t="s">
        <v>5</v>
      </c>
      <c r="E108" s="28" t="s">
        <v>43</v>
      </c>
      <c r="F108" s="35" t="s">
        <v>53</v>
      </c>
      <c r="G108" s="165" t="s">
        <v>2311</v>
      </c>
      <c r="H108" s="35" t="s">
        <v>53</v>
      </c>
      <c r="I108" s="36"/>
      <c r="L108" s="11"/>
      <c r="M108" s="15"/>
      <c r="N108" s="15"/>
      <c r="O108" s="15"/>
      <c r="P108" s="15"/>
      <c r="Q108" s="15"/>
      <c r="R108" s="15"/>
      <c r="S108" s="15"/>
      <c r="T108" s="15"/>
      <c r="U108" s="15"/>
      <c r="V108" s="15"/>
      <c r="W108" s="15"/>
      <c r="X108" s="15"/>
      <c r="Y108" s="15"/>
      <c r="Z108" s="15"/>
      <c r="AA108" s="15"/>
      <c r="AB108" s="15"/>
      <c r="AC108" s="15"/>
      <c r="AD108" s="15"/>
      <c r="AE108" s="15"/>
      <c r="AF108" s="15"/>
    </row>
    <row r="109" ht="15.75" customHeight="1">
      <c r="A109" s="28" t="s">
        <v>5</v>
      </c>
      <c r="B109" s="214" t="s">
        <v>2312</v>
      </c>
      <c r="C109" s="215" t="s">
        <v>2313</v>
      </c>
      <c r="D109" s="28" t="s">
        <v>20</v>
      </c>
      <c r="E109" s="28" t="s">
        <v>21</v>
      </c>
      <c r="F109" s="32" t="s">
        <v>51</v>
      </c>
      <c r="G109" s="166" t="s">
        <v>2314</v>
      </c>
      <c r="H109" s="32" t="s">
        <v>51</v>
      </c>
      <c r="I109" s="36"/>
      <c r="L109" s="11"/>
      <c r="M109" s="15"/>
      <c r="N109" s="15"/>
      <c r="O109" s="15"/>
      <c r="P109" s="15"/>
      <c r="Q109" s="15"/>
      <c r="R109" s="15"/>
      <c r="S109" s="15"/>
      <c r="T109" s="15"/>
      <c r="U109" s="15"/>
      <c r="V109" s="15"/>
      <c r="W109" s="15"/>
      <c r="X109" s="15"/>
      <c r="Y109" s="15"/>
      <c r="Z109" s="15"/>
      <c r="AA109" s="15"/>
      <c r="AB109" s="15"/>
      <c r="AC109" s="15"/>
      <c r="AD109" s="15"/>
      <c r="AE109" s="15"/>
      <c r="AF109" s="15"/>
    </row>
    <row r="110" ht="15.75" customHeight="1">
      <c r="A110" s="28" t="s">
        <v>5</v>
      </c>
      <c r="E110" s="28" t="s">
        <v>43</v>
      </c>
      <c r="F110" s="32" t="s">
        <v>580</v>
      </c>
      <c r="G110" s="166" t="s">
        <v>2315</v>
      </c>
      <c r="H110" s="35" t="s">
        <v>580</v>
      </c>
      <c r="L110" s="11"/>
      <c r="M110" s="15"/>
      <c r="N110" s="15"/>
      <c r="O110" s="15"/>
      <c r="P110" s="15"/>
      <c r="Q110" s="15"/>
      <c r="R110" s="15"/>
      <c r="S110" s="15"/>
      <c r="T110" s="15"/>
      <c r="U110" s="15"/>
      <c r="V110" s="15"/>
      <c r="W110" s="15"/>
      <c r="X110" s="15"/>
      <c r="Y110" s="15"/>
      <c r="Z110" s="15"/>
      <c r="AA110" s="15"/>
      <c r="AB110" s="15"/>
      <c r="AC110" s="15"/>
      <c r="AD110" s="15"/>
      <c r="AE110" s="15"/>
      <c r="AF110" s="15"/>
    </row>
    <row r="111" ht="15.75" customHeight="1">
      <c r="A111" s="28" t="s">
        <v>5</v>
      </c>
      <c r="E111" s="28" t="s">
        <v>21</v>
      </c>
      <c r="F111" s="65" t="s">
        <v>249</v>
      </c>
      <c r="G111" s="170" t="s">
        <v>2316</v>
      </c>
      <c r="H111" s="35" t="s">
        <v>249</v>
      </c>
      <c r="I111" s="36"/>
      <c r="L111" s="11"/>
      <c r="M111" s="15"/>
      <c r="N111" s="15"/>
      <c r="O111" s="15"/>
      <c r="P111" s="15"/>
      <c r="Q111" s="15"/>
      <c r="R111" s="15"/>
      <c r="S111" s="15"/>
      <c r="T111" s="15"/>
      <c r="U111" s="15"/>
      <c r="V111" s="15"/>
      <c r="W111" s="15"/>
      <c r="X111" s="15"/>
      <c r="Y111" s="15"/>
      <c r="Z111" s="15"/>
      <c r="AA111" s="15"/>
      <c r="AB111" s="15"/>
      <c r="AC111" s="15"/>
      <c r="AD111" s="15"/>
      <c r="AE111" s="15"/>
      <c r="AF111" s="15"/>
    </row>
    <row r="112" ht="15.75" customHeight="1">
      <c r="A112" s="28" t="s">
        <v>5</v>
      </c>
      <c r="E112" s="28" t="s">
        <v>43</v>
      </c>
      <c r="F112" s="32" t="s">
        <v>580</v>
      </c>
      <c r="G112" s="166" t="s">
        <v>2317</v>
      </c>
      <c r="H112" s="35" t="s">
        <v>2318</v>
      </c>
      <c r="L112" s="11"/>
      <c r="M112" s="15"/>
      <c r="N112" s="15"/>
      <c r="O112" s="15"/>
      <c r="P112" s="15"/>
      <c r="Q112" s="15"/>
      <c r="R112" s="15"/>
      <c r="S112" s="15"/>
      <c r="T112" s="15"/>
      <c r="U112" s="15"/>
      <c r="V112" s="15"/>
      <c r="W112" s="15"/>
      <c r="X112" s="15"/>
      <c r="Y112" s="15"/>
      <c r="Z112" s="15"/>
      <c r="AA112" s="15"/>
      <c r="AB112" s="15"/>
      <c r="AC112" s="15"/>
      <c r="AD112" s="15"/>
      <c r="AE112" s="15"/>
      <c r="AF112" s="15"/>
    </row>
    <row r="113" ht="15.75" customHeight="1">
      <c r="A113" s="28" t="s">
        <v>5</v>
      </c>
      <c r="E113" s="28" t="s">
        <v>21</v>
      </c>
      <c r="F113" s="65" t="s">
        <v>249</v>
      </c>
      <c r="G113" s="166" t="s">
        <v>2319</v>
      </c>
      <c r="H113" s="35" t="s">
        <v>2261</v>
      </c>
      <c r="L113" s="11"/>
      <c r="M113" s="15"/>
      <c r="N113" s="15"/>
      <c r="O113" s="15"/>
      <c r="P113" s="15"/>
      <c r="Q113" s="15"/>
      <c r="R113" s="15"/>
      <c r="S113" s="15"/>
      <c r="T113" s="15"/>
      <c r="U113" s="15"/>
      <c r="V113" s="15"/>
      <c r="W113" s="15"/>
      <c r="X113" s="15"/>
      <c r="Y113" s="15"/>
      <c r="Z113" s="15"/>
      <c r="AA113" s="15"/>
      <c r="AB113" s="15"/>
      <c r="AC113" s="15"/>
      <c r="AD113" s="15"/>
      <c r="AE113" s="15"/>
      <c r="AF113" s="15"/>
    </row>
    <row r="114" ht="15.75" customHeight="1">
      <c r="A114" s="28" t="s">
        <v>5</v>
      </c>
      <c r="E114" s="28" t="s">
        <v>43</v>
      </c>
      <c r="F114" s="32" t="s">
        <v>53</v>
      </c>
      <c r="G114" s="166" t="s">
        <v>2320</v>
      </c>
      <c r="H114" s="35" t="s">
        <v>53</v>
      </c>
      <c r="L114" s="11"/>
      <c r="M114" s="15"/>
      <c r="N114" s="15"/>
      <c r="O114" s="15"/>
      <c r="P114" s="15"/>
      <c r="Q114" s="15"/>
      <c r="R114" s="15"/>
      <c r="S114" s="15"/>
      <c r="T114" s="15"/>
      <c r="U114" s="15"/>
      <c r="V114" s="15"/>
      <c r="W114" s="15"/>
      <c r="X114" s="15"/>
      <c r="Y114" s="15"/>
      <c r="Z114" s="15"/>
      <c r="AA114" s="15"/>
      <c r="AB114" s="15"/>
      <c r="AC114" s="15"/>
      <c r="AD114" s="15"/>
      <c r="AE114" s="15"/>
      <c r="AF114" s="15"/>
    </row>
    <row r="115" ht="15.75" customHeight="1">
      <c r="A115" s="28" t="s">
        <v>5</v>
      </c>
      <c r="E115" s="28" t="s">
        <v>43</v>
      </c>
      <c r="F115" s="35" t="s">
        <v>132</v>
      </c>
      <c r="G115" s="165" t="s">
        <v>2321</v>
      </c>
      <c r="H115" s="35" t="s">
        <v>132</v>
      </c>
      <c r="L115" s="11"/>
      <c r="M115" s="15"/>
      <c r="N115" s="15"/>
      <c r="O115" s="15"/>
      <c r="P115" s="15"/>
      <c r="Q115" s="15"/>
      <c r="R115" s="15"/>
      <c r="S115" s="15"/>
      <c r="T115" s="15"/>
      <c r="U115" s="15"/>
      <c r="V115" s="15"/>
      <c r="W115" s="15"/>
      <c r="X115" s="15"/>
      <c r="Y115" s="15"/>
      <c r="Z115" s="15"/>
      <c r="AA115" s="15"/>
      <c r="AB115" s="15"/>
      <c r="AC115" s="15"/>
      <c r="AD115" s="15"/>
      <c r="AE115" s="15"/>
      <c r="AF115" s="15"/>
    </row>
    <row r="116" ht="15.75" customHeight="1">
      <c r="A116" s="28" t="s">
        <v>5</v>
      </c>
      <c r="E116" s="28" t="s">
        <v>43</v>
      </c>
      <c r="F116" s="35" t="s">
        <v>77</v>
      </c>
      <c r="G116" s="165" t="s">
        <v>2322</v>
      </c>
      <c r="H116" s="35" t="s">
        <v>77</v>
      </c>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28" t="s">
        <v>5</v>
      </c>
      <c r="E117" s="28" t="s">
        <v>43</v>
      </c>
      <c r="F117" s="35" t="s">
        <v>79</v>
      </c>
      <c r="G117" s="165" t="s">
        <v>2323</v>
      </c>
      <c r="H117" s="35" t="s">
        <v>79</v>
      </c>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32" t="s">
        <v>5</v>
      </c>
      <c r="B118" s="216" t="s">
        <v>2324</v>
      </c>
      <c r="C118" s="215" t="s">
        <v>2325</v>
      </c>
      <c r="D118" s="32" t="s">
        <v>20</v>
      </c>
      <c r="E118" s="32" t="s">
        <v>21</v>
      </c>
      <c r="F118" s="32" t="s">
        <v>22</v>
      </c>
      <c r="G118" s="171" t="s">
        <v>2326</v>
      </c>
      <c r="H118" s="35" t="s">
        <v>22</v>
      </c>
      <c r="L118" s="217"/>
      <c r="M118" s="218"/>
      <c r="N118" s="218"/>
      <c r="O118" s="218"/>
      <c r="P118" s="218"/>
      <c r="Q118" s="218"/>
      <c r="R118" s="218"/>
      <c r="S118" s="218"/>
      <c r="T118" s="218"/>
      <c r="U118" s="218"/>
      <c r="V118" s="218"/>
      <c r="W118" s="218"/>
      <c r="X118" s="218"/>
      <c r="Y118" s="218"/>
      <c r="Z118" s="218"/>
      <c r="AA118" s="218"/>
      <c r="AB118" s="218"/>
      <c r="AC118" s="218"/>
      <c r="AD118" s="218"/>
      <c r="AE118" s="218"/>
      <c r="AF118" s="218"/>
    </row>
    <row r="119" ht="63.0" customHeight="1">
      <c r="A119" s="32" t="s">
        <v>5</v>
      </c>
      <c r="E119" s="32" t="s">
        <v>43</v>
      </c>
      <c r="F119" s="32" t="s">
        <v>79</v>
      </c>
      <c r="G119" s="171" t="s">
        <v>2327</v>
      </c>
      <c r="H119" s="35" t="s">
        <v>79</v>
      </c>
      <c r="L119" s="217"/>
      <c r="M119" s="218"/>
      <c r="N119" s="218"/>
      <c r="O119" s="218"/>
      <c r="P119" s="218"/>
      <c r="Q119" s="218"/>
      <c r="R119" s="218"/>
      <c r="S119" s="218"/>
      <c r="T119" s="218"/>
      <c r="U119" s="218"/>
      <c r="V119" s="218"/>
      <c r="W119" s="218"/>
      <c r="X119" s="218"/>
      <c r="Y119" s="218"/>
      <c r="Z119" s="218"/>
      <c r="AA119" s="218"/>
      <c r="AB119" s="218"/>
      <c r="AC119" s="218"/>
      <c r="AD119" s="218"/>
      <c r="AE119" s="218"/>
      <c r="AF119" s="218"/>
    </row>
    <row r="120" ht="15.75" customHeight="1">
      <c r="A120" s="32" t="s">
        <v>5</v>
      </c>
      <c r="B120" s="32" t="s">
        <v>2328</v>
      </c>
      <c r="C120" s="33" t="s">
        <v>2329</v>
      </c>
      <c r="D120" s="32" t="s">
        <v>20</v>
      </c>
      <c r="E120" s="32" t="s">
        <v>21</v>
      </c>
      <c r="F120" s="32" t="s">
        <v>51</v>
      </c>
      <c r="G120" s="74" t="s">
        <v>2330</v>
      </c>
      <c r="H120" s="35" t="s">
        <v>51</v>
      </c>
      <c r="I120" s="36"/>
      <c r="J120" s="36"/>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32" t="s">
        <v>5</v>
      </c>
      <c r="E121" s="32" t="s">
        <v>43</v>
      </c>
      <c r="F121" s="32" t="s">
        <v>580</v>
      </c>
      <c r="G121" s="74" t="s">
        <v>2331</v>
      </c>
      <c r="H121" s="35" t="s">
        <v>580</v>
      </c>
      <c r="I121" s="36"/>
      <c r="J121" s="36"/>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32" t="s">
        <v>5</v>
      </c>
      <c r="E122" s="35" t="s">
        <v>21</v>
      </c>
      <c r="F122" s="35" t="s">
        <v>249</v>
      </c>
      <c r="G122" s="187" t="s">
        <v>2332</v>
      </c>
      <c r="H122" s="35" t="s">
        <v>249</v>
      </c>
      <c r="I122" s="36"/>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E123" s="35" t="s">
        <v>43</v>
      </c>
      <c r="F123" s="35" t="s">
        <v>132</v>
      </c>
      <c r="G123" s="187" t="s">
        <v>2333</v>
      </c>
      <c r="H123" s="35" t="s">
        <v>132</v>
      </c>
      <c r="I123" s="36"/>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E124" s="35" t="s">
        <v>43</v>
      </c>
      <c r="F124" s="35" t="s">
        <v>77</v>
      </c>
      <c r="G124" s="187" t="s">
        <v>2334</v>
      </c>
      <c r="H124" s="35" t="s">
        <v>77</v>
      </c>
      <c r="I124" s="36"/>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E125" s="32" t="s">
        <v>43</v>
      </c>
      <c r="F125" s="32" t="s">
        <v>53</v>
      </c>
      <c r="G125" s="74" t="s">
        <v>2335</v>
      </c>
      <c r="H125" s="35" t="s">
        <v>53</v>
      </c>
      <c r="I125" s="36"/>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E126" s="32" t="s">
        <v>43</v>
      </c>
      <c r="F126" s="32" t="s">
        <v>79</v>
      </c>
      <c r="G126" s="74" t="s">
        <v>2336</v>
      </c>
      <c r="H126" s="35" t="s">
        <v>79</v>
      </c>
      <c r="I126" s="36"/>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E127" s="32" t="s">
        <v>104</v>
      </c>
      <c r="F127" s="32" t="s">
        <v>250</v>
      </c>
      <c r="G127" s="74" t="s">
        <v>2337</v>
      </c>
      <c r="H127" s="35" t="s">
        <v>250</v>
      </c>
      <c r="I127" s="36"/>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E128" s="32" t="s">
        <v>88</v>
      </c>
      <c r="F128" s="32" t="s">
        <v>96</v>
      </c>
      <c r="G128" s="74" t="s">
        <v>2338</v>
      </c>
      <c r="H128" s="35" t="s">
        <v>96</v>
      </c>
      <c r="I128" s="36"/>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E129" s="32" t="s">
        <v>178</v>
      </c>
      <c r="F129" s="32" t="s">
        <v>210</v>
      </c>
      <c r="G129" s="74" t="s">
        <v>2339</v>
      </c>
      <c r="H129" s="35" t="s">
        <v>210</v>
      </c>
      <c r="I129" s="36"/>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E130" s="32" t="s">
        <v>86</v>
      </c>
      <c r="F130" s="65" t="s">
        <v>90</v>
      </c>
      <c r="G130" s="74" t="s">
        <v>2340</v>
      </c>
      <c r="H130" s="35" t="s">
        <v>90</v>
      </c>
      <c r="I130" s="36"/>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E131" s="32" t="s">
        <v>86</v>
      </c>
      <c r="F131" s="65" t="s">
        <v>91</v>
      </c>
      <c r="G131" s="74" t="s">
        <v>2341</v>
      </c>
      <c r="H131" s="35" t="s">
        <v>91</v>
      </c>
      <c r="I131" s="36"/>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B132" s="32" t="s">
        <v>2342</v>
      </c>
      <c r="C132" s="33" t="s">
        <v>2343</v>
      </c>
      <c r="D132" s="32" t="s">
        <v>20</v>
      </c>
      <c r="E132" s="32" t="s">
        <v>21</v>
      </c>
      <c r="F132" s="32" t="s">
        <v>51</v>
      </c>
      <c r="G132" s="74" t="s">
        <v>2344</v>
      </c>
      <c r="H132" s="35" t="s">
        <v>51</v>
      </c>
      <c r="I132" s="36"/>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32" t="s">
        <v>5</v>
      </c>
      <c r="E133" s="32" t="s">
        <v>43</v>
      </c>
      <c r="F133" s="32" t="s">
        <v>580</v>
      </c>
      <c r="G133" s="171" t="s">
        <v>2345</v>
      </c>
      <c r="H133" s="35" t="s">
        <v>580</v>
      </c>
      <c r="I133" s="36"/>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32" t="s">
        <v>5</v>
      </c>
      <c r="E134" s="35" t="s">
        <v>21</v>
      </c>
      <c r="F134" s="35" t="s">
        <v>249</v>
      </c>
      <c r="G134" s="165" t="s">
        <v>2346</v>
      </c>
      <c r="H134" s="35" t="s">
        <v>249</v>
      </c>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32" t="s">
        <v>5</v>
      </c>
      <c r="E135" s="35" t="s">
        <v>43</v>
      </c>
      <c r="F135" s="35" t="s">
        <v>577</v>
      </c>
      <c r="G135" s="165" t="s">
        <v>2347</v>
      </c>
      <c r="H135" s="35" t="s">
        <v>577</v>
      </c>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32" t="s">
        <v>5</v>
      </c>
      <c r="E136" s="32" t="s">
        <v>43</v>
      </c>
      <c r="F136" s="32" t="s">
        <v>53</v>
      </c>
      <c r="G136" s="171" t="s">
        <v>2348</v>
      </c>
      <c r="H136" s="35" t="s">
        <v>53</v>
      </c>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32" t="s">
        <v>5</v>
      </c>
      <c r="E137" s="32" t="s">
        <v>43</v>
      </c>
      <c r="F137" s="32" t="s">
        <v>132</v>
      </c>
      <c r="G137" s="171" t="s">
        <v>2349</v>
      </c>
      <c r="H137" s="35" t="s">
        <v>132</v>
      </c>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32" t="s">
        <v>5</v>
      </c>
      <c r="E138" s="32" t="s">
        <v>43</v>
      </c>
      <c r="F138" s="32" t="s">
        <v>77</v>
      </c>
      <c r="G138" s="171" t="s">
        <v>2350</v>
      </c>
      <c r="H138" s="35" t="s">
        <v>77</v>
      </c>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32" t="s">
        <v>5</v>
      </c>
      <c r="E139" s="32" t="s">
        <v>43</v>
      </c>
      <c r="F139" s="32" t="s">
        <v>79</v>
      </c>
      <c r="G139" s="171" t="s">
        <v>2351</v>
      </c>
      <c r="H139" s="35" t="s">
        <v>79</v>
      </c>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32" t="s">
        <v>5</v>
      </c>
      <c r="E140" s="32" t="s">
        <v>104</v>
      </c>
      <c r="F140" s="32" t="s">
        <v>250</v>
      </c>
      <c r="G140" s="171" t="s">
        <v>2352</v>
      </c>
      <c r="H140" s="35" t="s">
        <v>250</v>
      </c>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32" t="s">
        <v>5</v>
      </c>
      <c r="E141" s="32" t="s">
        <v>88</v>
      </c>
      <c r="F141" s="32" t="s">
        <v>96</v>
      </c>
      <c r="G141" s="171" t="s">
        <v>2353</v>
      </c>
      <c r="H141" s="35" t="s">
        <v>96</v>
      </c>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32" t="s">
        <v>5</v>
      </c>
      <c r="E142" s="32" t="s">
        <v>178</v>
      </c>
      <c r="F142" s="32" t="s">
        <v>210</v>
      </c>
      <c r="G142" s="171" t="s">
        <v>2354</v>
      </c>
      <c r="H142" s="35" t="s">
        <v>210</v>
      </c>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32" t="s">
        <v>5</v>
      </c>
      <c r="E143" s="32" t="s">
        <v>86</v>
      </c>
      <c r="F143" s="32" t="s">
        <v>90</v>
      </c>
      <c r="G143" s="171" t="s">
        <v>2355</v>
      </c>
      <c r="H143" s="35" t="s">
        <v>90</v>
      </c>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32" t="s">
        <v>5</v>
      </c>
      <c r="E144" s="32" t="s">
        <v>86</v>
      </c>
      <c r="F144" s="32" t="s">
        <v>91</v>
      </c>
      <c r="G144" s="171" t="s">
        <v>2356</v>
      </c>
      <c r="H144" s="35" t="s">
        <v>91</v>
      </c>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32" t="s">
        <v>5</v>
      </c>
      <c r="B145" s="32" t="s">
        <v>2357</v>
      </c>
      <c r="C145" s="33" t="s">
        <v>2358</v>
      </c>
      <c r="D145" s="32" t="s">
        <v>20</v>
      </c>
      <c r="E145" s="32" t="s">
        <v>21</v>
      </c>
      <c r="F145" s="32" t="s">
        <v>51</v>
      </c>
      <c r="G145" s="171" t="s">
        <v>2359</v>
      </c>
      <c r="H145" s="35" t="s">
        <v>51</v>
      </c>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32" t="s">
        <v>5</v>
      </c>
      <c r="E146" s="32" t="s">
        <v>43</v>
      </c>
      <c r="F146" s="32" t="s">
        <v>213</v>
      </c>
      <c r="G146" s="171" t="s">
        <v>2360</v>
      </c>
      <c r="H146" s="35" t="s">
        <v>213</v>
      </c>
      <c r="L146" s="11"/>
      <c r="M146" s="15"/>
      <c r="N146" s="15"/>
      <c r="O146" s="15"/>
      <c r="P146" s="15"/>
      <c r="Q146" s="15"/>
      <c r="R146" s="15"/>
      <c r="S146" s="15"/>
      <c r="T146" s="15"/>
      <c r="U146" s="15"/>
      <c r="V146" s="15"/>
      <c r="W146" s="15"/>
      <c r="X146" s="15"/>
      <c r="Y146" s="15"/>
      <c r="Z146" s="15"/>
      <c r="AA146" s="15"/>
      <c r="AB146" s="15"/>
      <c r="AC146" s="15"/>
      <c r="AD146" s="15"/>
      <c r="AE146" s="15"/>
      <c r="AF146" s="15"/>
    </row>
    <row r="147" ht="42.0" customHeight="1">
      <c r="A147" s="32" t="s">
        <v>5</v>
      </c>
      <c r="E147" s="35" t="s">
        <v>43</v>
      </c>
      <c r="F147" s="35" t="s">
        <v>53</v>
      </c>
      <c r="G147" s="165" t="s">
        <v>2361</v>
      </c>
      <c r="H147" s="35" t="s">
        <v>53</v>
      </c>
      <c r="L147" s="11"/>
      <c r="M147" s="15"/>
      <c r="N147" s="15"/>
      <c r="O147" s="15"/>
      <c r="P147" s="15"/>
      <c r="Q147" s="15"/>
      <c r="R147" s="15"/>
      <c r="S147" s="15"/>
      <c r="T147" s="15"/>
      <c r="U147" s="15"/>
      <c r="V147" s="15"/>
      <c r="W147" s="15"/>
      <c r="X147" s="15"/>
      <c r="Y147" s="15"/>
      <c r="Z147" s="15"/>
      <c r="AA147" s="15"/>
      <c r="AB147" s="15"/>
      <c r="AC147" s="15"/>
      <c r="AD147" s="15"/>
      <c r="AE147" s="15"/>
      <c r="AF147" s="15"/>
    </row>
    <row r="148" ht="18.75" customHeight="1">
      <c r="A148" s="32" t="s">
        <v>5</v>
      </c>
      <c r="B148" s="219" t="s">
        <v>1140</v>
      </c>
      <c r="C148" s="87" t="s">
        <v>5</v>
      </c>
      <c r="D148" s="8" t="s">
        <v>20</v>
      </c>
      <c r="E148" s="28" t="s">
        <v>89</v>
      </c>
      <c r="F148" s="38" t="s">
        <v>291</v>
      </c>
      <c r="G148" s="69"/>
      <c r="H148" s="30"/>
      <c r="I148" s="31"/>
      <c r="J148" s="31"/>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32" t="s">
        <v>5</v>
      </c>
      <c r="B149" s="32" t="s">
        <v>2362</v>
      </c>
      <c r="C149" s="33" t="s">
        <v>2363</v>
      </c>
      <c r="D149" s="32" t="s">
        <v>20</v>
      </c>
      <c r="E149" s="32" t="s">
        <v>21</v>
      </c>
      <c r="F149" s="35" t="s">
        <v>22</v>
      </c>
      <c r="G149" s="165" t="s">
        <v>2364</v>
      </c>
      <c r="H149" s="35" t="s">
        <v>22</v>
      </c>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32" t="s">
        <v>5</v>
      </c>
      <c r="E150" s="35" t="s">
        <v>43</v>
      </c>
      <c r="F150" s="35" t="s">
        <v>109</v>
      </c>
      <c r="G150" s="165" t="s">
        <v>2365</v>
      </c>
      <c r="H150" s="35" t="s">
        <v>109</v>
      </c>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32" t="s">
        <v>5</v>
      </c>
      <c r="E151" s="32" t="s">
        <v>21</v>
      </c>
      <c r="F151" s="35" t="s">
        <v>110</v>
      </c>
      <c r="G151" s="165" t="s">
        <v>2366</v>
      </c>
      <c r="H151" s="35" t="s">
        <v>110</v>
      </c>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32" t="s">
        <v>5</v>
      </c>
      <c r="E152" s="32" t="s">
        <v>43</v>
      </c>
      <c r="F152" s="35" t="s">
        <v>132</v>
      </c>
      <c r="G152" s="165" t="s">
        <v>2367</v>
      </c>
      <c r="H152" s="35" t="s">
        <v>132</v>
      </c>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32" t="s">
        <v>5</v>
      </c>
      <c r="E153" s="32" t="s">
        <v>43</v>
      </c>
      <c r="F153" s="35" t="s">
        <v>248</v>
      </c>
      <c r="G153" s="165" t="s">
        <v>2368</v>
      </c>
      <c r="H153" s="35" t="s">
        <v>248</v>
      </c>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32" t="s">
        <v>5</v>
      </c>
      <c r="E154" s="32" t="s">
        <v>21</v>
      </c>
      <c r="F154" s="35" t="s">
        <v>249</v>
      </c>
      <c r="G154" s="165" t="s">
        <v>2369</v>
      </c>
      <c r="H154" s="35" t="s">
        <v>249</v>
      </c>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32" t="s">
        <v>5</v>
      </c>
      <c r="E155" s="32" t="s">
        <v>43</v>
      </c>
      <c r="F155" s="35" t="s">
        <v>132</v>
      </c>
      <c r="G155" s="165" t="s">
        <v>2367</v>
      </c>
      <c r="H155" s="35" t="s">
        <v>132</v>
      </c>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32" t="s">
        <v>5</v>
      </c>
      <c r="E156" s="32" t="s">
        <v>43</v>
      </c>
      <c r="F156" s="35" t="s">
        <v>77</v>
      </c>
      <c r="G156" s="165" t="s">
        <v>2370</v>
      </c>
      <c r="H156" s="35" t="s">
        <v>77</v>
      </c>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32" t="s">
        <v>5</v>
      </c>
      <c r="E157" s="32" t="s">
        <v>43</v>
      </c>
      <c r="F157" s="35" t="s">
        <v>132</v>
      </c>
      <c r="G157" s="165" t="s">
        <v>2367</v>
      </c>
      <c r="H157" s="35" t="s">
        <v>132</v>
      </c>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32" t="s">
        <v>5</v>
      </c>
      <c r="E158" s="32" t="s">
        <v>43</v>
      </c>
      <c r="F158" s="35" t="s">
        <v>714</v>
      </c>
      <c r="G158" s="165" t="s">
        <v>2371</v>
      </c>
      <c r="H158" s="35" t="s">
        <v>714</v>
      </c>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32" t="s">
        <v>5</v>
      </c>
      <c r="E159" s="32" t="s">
        <v>43</v>
      </c>
      <c r="F159" s="35" t="s">
        <v>132</v>
      </c>
      <c r="G159" s="165" t="s">
        <v>2367</v>
      </c>
      <c r="H159" s="35" t="s">
        <v>132</v>
      </c>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32" t="s">
        <v>5</v>
      </c>
      <c r="E160" s="32" t="s">
        <v>43</v>
      </c>
      <c r="F160" s="35" t="s">
        <v>658</v>
      </c>
      <c r="G160" s="165" t="s">
        <v>2372</v>
      </c>
      <c r="H160" s="35" t="s">
        <v>658</v>
      </c>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32" t="s">
        <v>5</v>
      </c>
      <c r="E161" s="32" t="s">
        <v>43</v>
      </c>
      <c r="F161" s="35" t="s">
        <v>132</v>
      </c>
      <c r="G161" s="165" t="s">
        <v>2367</v>
      </c>
      <c r="H161" s="35" t="s">
        <v>132</v>
      </c>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32" t="s">
        <v>5</v>
      </c>
      <c r="E162" s="32" t="s">
        <v>43</v>
      </c>
      <c r="F162" s="35" t="s">
        <v>77</v>
      </c>
      <c r="G162" s="165" t="s">
        <v>2373</v>
      </c>
      <c r="H162" s="35" t="s">
        <v>82</v>
      </c>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32" t="s">
        <v>5</v>
      </c>
      <c r="B163" s="32" t="s">
        <v>2374</v>
      </c>
      <c r="C163" s="33" t="s">
        <v>2375</v>
      </c>
      <c r="D163" s="32" t="s">
        <v>20</v>
      </c>
      <c r="E163" s="32" t="s">
        <v>21</v>
      </c>
      <c r="F163" s="35" t="s">
        <v>22</v>
      </c>
      <c r="G163" s="165" t="s">
        <v>2376</v>
      </c>
      <c r="H163" s="35" t="s">
        <v>22</v>
      </c>
      <c r="I163" s="11"/>
      <c r="J163" s="11"/>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32" t="s">
        <v>5</v>
      </c>
      <c r="E164" s="28" t="s">
        <v>43</v>
      </c>
      <c r="F164" s="8" t="s">
        <v>109</v>
      </c>
      <c r="G164" s="194" t="s">
        <v>2377</v>
      </c>
      <c r="H164" s="35" t="s">
        <v>109</v>
      </c>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32" t="s">
        <v>5</v>
      </c>
      <c r="E165" s="8" t="s">
        <v>21</v>
      </c>
      <c r="F165" s="8" t="s">
        <v>51</v>
      </c>
      <c r="G165" s="34" t="s">
        <v>2378</v>
      </c>
      <c r="H165" s="35" t="s">
        <v>51</v>
      </c>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32" t="s">
        <v>5</v>
      </c>
      <c r="E166" s="8" t="s">
        <v>43</v>
      </c>
      <c r="F166" s="8" t="s">
        <v>588</v>
      </c>
      <c r="G166" s="34" t="s">
        <v>2379</v>
      </c>
      <c r="H166" s="35" t="s">
        <v>588</v>
      </c>
      <c r="J166" s="36"/>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32" t="s">
        <v>5</v>
      </c>
      <c r="E167" s="8" t="s">
        <v>43</v>
      </c>
      <c r="F167" s="8" t="s">
        <v>343</v>
      </c>
      <c r="G167" s="34" t="s">
        <v>2380</v>
      </c>
      <c r="H167" s="35" t="s">
        <v>343</v>
      </c>
      <c r="I167" s="36"/>
      <c r="J167" s="36"/>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32" t="s">
        <v>5</v>
      </c>
      <c r="E168" s="8" t="s">
        <v>43</v>
      </c>
      <c r="F168" s="8" t="s">
        <v>132</v>
      </c>
      <c r="G168" s="34" t="s">
        <v>2381</v>
      </c>
      <c r="H168" s="35" t="s">
        <v>132</v>
      </c>
      <c r="I168" s="36"/>
      <c r="J168" s="36"/>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32" t="s">
        <v>5</v>
      </c>
      <c r="E169" s="8" t="s">
        <v>43</v>
      </c>
      <c r="F169" s="8" t="s">
        <v>342</v>
      </c>
      <c r="G169" s="34" t="s">
        <v>2382</v>
      </c>
      <c r="H169" s="35" t="s">
        <v>342</v>
      </c>
      <c r="I169" s="36"/>
      <c r="J169" s="36"/>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32" t="s">
        <v>5</v>
      </c>
      <c r="E170" s="8" t="s">
        <v>43</v>
      </c>
      <c r="F170" s="8" t="s">
        <v>343</v>
      </c>
      <c r="G170" s="34" t="s">
        <v>2380</v>
      </c>
      <c r="H170" s="35" t="s">
        <v>343</v>
      </c>
      <c r="I170" s="36"/>
      <c r="J170" s="36"/>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32" t="s">
        <v>5</v>
      </c>
      <c r="E171" s="8" t="s">
        <v>43</v>
      </c>
      <c r="F171" s="8" t="s">
        <v>53</v>
      </c>
      <c r="G171" s="34" t="s">
        <v>2383</v>
      </c>
      <c r="H171" s="35" t="s">
        <v>53</v>
      </c>
      <c r="I171" s="36"/>
      <c r="J171" s="36"/>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32" t="s">
        <v>5</v>
      </c>
      <c r="E172" s="8" t="s">
        <v>43</v>
      </c>
      <c r="F172" s="8" t="s">
        <v>79</v>
      </c>
      <c r="G172" s="34" t="s">
        <v>2384</v>
      </c>
      <c r="H172" s="35" t="s">
        <v>79</v>
      </c>
      <c r="I172" s="36"/>
      <c r="J172" s="36"/>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32" t="s">
        <v>5</v>
      </c>
      <c r="E173" s="8" t="s">
        <v>88</v>
      </c>
      <c r="F173" s="8" t="s">
        <v>95</v>
      </c>
      <c r="G173" s="34" t="s">
        <v>2385</v>
      </c>
      <c r="H173" s="35" t="s">
        <v>95</v>
      </c>
      <c r="I173" s="36"/>
      <c r="J173" s="36"/>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32" t="s">
        <v>5</v>
      </c>
      <c r="E174" s="8" t="s">
        <v>88</v>
      </c>
      <c r="F174" s="8" t="s">
        <v>122</v>
      </c>
      <c r="G174" s="34" t="s">
        <v>2386</v>
      </c>
      <c r="H174" s="35" t="s">
        <v>122</v>
      </c>
      <c r="I174" s="36"/>
      <c r="J174" s="36"/>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32" t="s">
        <v>5</v>
      </c>
      <c r="E175" s="28" t="s">
        <v>104</v>
      </c>
      <c r="F175" s="38" t="s">
        <v>250</v>
      </c>
      <c r="G175" s="34" t="s">
        <v>2387</v>
      </c>
      <c r="H175" s="35" t="s">
        <v>250</v>
      </c>
      <c r="I175" s="36"/>
      <c r="J175" s="36"/>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C176" s="26"/>
      <c r="D176" s="26"/>
      <c r="E176" s="28"/>
      <c r="F176" s="28"/>
      <c r="G176" s="29"/>
      <c r="H176" s="30"/>
      <c r="I176" s="31"/>
      <c r="J176" s="31"/>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32" t="s">
        <v>5</v>
      </c>
      <c r="B177" s="26" t="s">
        <v>2388</v>
      </c>
      <c r="C177" s="220" t="s">
        <v>2389</v>
      </c>
      <c r="D177" s="8" t="s">
        <v>20</v>
      </c>
      <c r="E177" s="8" t="s">
        <v>88</v>
      </c>
      <c r="F177" s="8" t="s">
        <v>89</v>
      </c>
      <c r="G177" s="34"/>
      <c r="H177" s="36"/>
      <c r="I177" s="36"/>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B178" s="26"/>
      <c r="D178" s="8"/>
      <c r="E178" s="28" t="s">
        <v>21</v>
      </c>
      <c r="F178" s="38" t="s">
        <v>74</v>
      </c>
      <c r="G178" s="29" t="str">
        <f>HYPERLINK("https://docs.google.com/spreadsheets/d/1ejTFrTNdaau1qx9SoJso25vXhtdFemsv0gJ15jdBjTs/edit#gid=1129263974", "https://docs.google.com/spreadsheets/d/1ejTFrTNdaau1qx9SoJso25vXhtdFemsv0gJ15jdBjTs/edit#gid=1129263974")</f>
        <v>https://docs.google.com/spreadsheets/d/1ejTFrTNdaau1qx9SoJso25vXhtdFemsv0gJ15jdBjTs/edit#gid=1129263974</v>
      </c>
      <c r="H178" s="38" t="s">
        <v>74</v>
      </c>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32"/>
      <c r="B179" s="26"/>
      <c r="D179" s="8"/>
      <c r="E179" s="28" t="s">
        <v>43</v>
      </c>
      <c r="F179" s="38" t="s">
        <v>716</v>
      </c>
      <c r="G179" s="34" t="str">
        <f>HYPERLINK("https://docs.google.com/spreadsheets/d/1ejTFrTNdaau1qx9SoJso25vXhtdFemsv0gJ15jdBjTs/edit#gid=899955387", "https://docs.google.com/spreadsheets/d/1ejTFrTNdaau1qx9SoJso25vXhtdFemsv0gJ15jdBjTs/edit#gid=899955387")</f>
        <v>https://docs.google.com/spreadsheets/d/1ejTFrTNdaau1qx9SoJso25vXhtdFemsv0gJ15jdBjTs/edit#gid=899955387</v>
      </c>
      <c r="H179" s="38" t="s">
        <v>716</v>
      </c>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32"/>
      <c r="B180" s="26"/>
      <c r="D180" s="8"/>
      <c r="E180" s="28" t="s">
        <v>21</v>
      </c>
      <c r="F180" s="38" t="s">
        <v>249</v>
      </c>
      <c r="G180" s="34" t="str">
        <f>HYPERLINK("https://docs.google.com/spreadsheets/d/1ejTFrTNdaau1qx9SoJso25vXhtdFemsv0gJ15jdBjTs/edit#gid=60734973", "https://docs.google.com/spreadsheets/d/1ejTFrTNdaau1qx9SoJso25vXhtdFemsv0gJ15jdBjTs/edit#gid=60734973")</f>
        <v>https://docs.google.com/spreadsheets/d/1ejTFrTNdaau1qx9SoJso25vXhtdFemsv0gJ15jdBjTs/edit#gid=60734973</v>
      </c>
      <c r="H180" s="38" t="s">
        <v>249</v>
      </c>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32" t="s">
        <v>5</v>
      </c>
      <c r="B181" s="26"/>
      <c r="D181" s="8"/>
      <c r="E181" s="28" t="s">
        <v>43</v>
      </c>
      <c r="F181" s="28" t="s">
        <v>79</v>
      </c>
      <c r="G181" s="34" t="str">
        <f>HYPERLINK("https://docs.google.com/spreadsheets/d/1ejTFrTNdaau1qx9SoJso25vXhtdFemsv0gJ15jdBjTs/edit#gid=192831750", "https://docs.google.com/spreadsheets/d/1ejTFrTNdaau1qx9SoJso25vXhtdFemsv0gJ15jdBjTs/edit#gid=192831750")</f>
        <v>https://docs.google.com/spreadsheets/d/1ejTFrTNdaau1qx9SoJso25vXhtdFemsv0gJ15jdBjTs/edit#gid=192831750</v>
      </c>
      <c r="H181" s="38" t="s">
        <v>79</v>
      </c>
      <c r="I181" s="9"/>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32" t="s">
        <v>5</v>
      </c>
      <c r="B182" s="26"/>
      <c r="D182" s="8"/>
      <c r="E182" s="28" t="s">
        <v>43</v>
      </c>
      <c r="F182" s="38" t="s">
        <v>109</v>
      </c>
      <c r="G182" s="34" t="str">
        <f>HYPERLINK("https://docs.google.com/spreadsheets/d/1ejTFrTNdaau1qx9SoJso25vXhtdFemsv0gJ15jdBjTs/edit#gid=1195567007", "https://docs.google.com/spreadsheets/d/1ejTFrTNdaau1qx9SoJso25vXhtdFemsv0gJ15jdBjTs/edit#gid=1195567007")</f>
        <v>https://docs.google.com/spreadsheets/d/1ejTFrTNdaau1qx9SoJso25vXhtdFemsv0gJ15jdBjTs/edit#gid=1195567007</v>
      </c>
      <c r="H182" s="38" t="s">
        <v>109</v>
      </c>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32" t="s">
        <v>5</v>
      </c>
      <c r="B183" s="26"/>
      <c r="D183" s="8"/>
      <c r="E183" s="28" t="s">
        <v>21</v>
      </c>
      <c r="F183" s="28" t="s">
        <v>74</v>
      </c>
      <c r="G183" s="34" t="str">
        <f>HYPERLINK("https://docs.google.com/spreadsheets/d/1ejTFrTNdaau1qx9SoJso25vXhtdFemsv0gJ15jdBjTs/edit#gid=792070688", "https://docs.google.com/spreadsheets/d/1ejTFrTNdaau1qx9SoJso25vXhtdFemsv0gJ15jdBjTs/edit#gid=792070688")</f>
        <v>https://docs.google.com/spreadsheets/d/1ejTFrTNdaau1qx9SoJso25vXhtdFemsv0gJ15jdBjTs/edit#gid=792070688</v>
      </c>
      <c r="H183" s="38" t="s">
        <v>2390</v>
      </c>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32" t="s">
        <v>5</v>
      </c>
      <c r="B184" s="26"/>
      <c r="D184" s="8"/>
      <c r="E184" s="8" t="s">
        <v>72</v>
      </c>
      <c r="F184" s="8" t="s">
        <v>76</v>
      </c>
      <c r="G184" s="34" t="str">
        <f>HYPERLINK("https://docs.google.com/spreadsheets/d/1ejTFrTNdaau1qx9SoJso25vXhtdFemsv0gJ15jdBjTs/edit#gid=1967003033", "https://docs.google.com/spreadsheets/d/1ejTFrTNdaau1qx9SoJso25vXhtdFemsv0gJ15jdBjTs/edit#gid=1967003033")</f>
        <v>https://docs.google.com/spreadsheets/d/1ejTFrTNdaau1qx9SoJso25vXhtdFemsv0gJ15jdBjTs/edit#gid=1967003033</v>
      </c>
      <c r="H184" s="8" t="s">
        <v>76</v>
      </c>
      <c r="I184" s="9"/>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32" t="s">
        <v>5</v>
      </c>
      <c r="B185" s="26"/>
      <c r="D185" s="8"/>
      <c r="E185" s="28" t="s">
        <v>43</v>
      </c>
      <c r="F185" s="8" t="s">
        <v>712</v>
      </c>
      <c r="G185" s="194" t="str">
        <f>HYPERLINK("https://docs.google.com/spreadsheets/d/1ejTFrTNdaau1qx9SoJso25vXhtdFemsv0gJ15jdBjTs/edit#gid=277108569", "https://docs.google.com/spreadsheets/d/1ejTFrTNdaau1qx9SoJso25vXhtdFemsv0gJ15jdBjTs/edit#gid=277108569")</f>
        <v>https://docs.google.com/spreadsheets/d/1ejTFrTNdaau1qx9SoJso25vXhtdFemsv0gJ15jdBjTs/edit#gid=277108569</v>
      </c>
      <c r="H185" s="8" t="s">
        <v>712</v>
      </c>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32" t="s">
        <v>5</v>
      </c>
      <c r="B186" s="26"/>
      <c r="D186" s="8"/>
      <c r="E186" s="8" t="s">
        <v>72</v>
      </c>
      <c r="F186" s="8" t="s">
        <v>76</v>
      </c>
      <c r="G186" s="34" t="str">
        <f>HYPERLINK("https://docs.google.com/spreadsheets/d/1ejTFrTNdaau1qx9SoJso25vXhtdFemsv0gJ15jdBjTs/edit#gid=602639296", "https://docs.google.com/spreadsheets/d/1ejTFrTNdaau1qx9SoJso25vXhtdFemsv0gJ15jdBjTs/edit#gid=602639296")</f>
        <v>https://docs.google.com/spreadsheets/d/1ejTFrTNdaau1qx9SoJso25vXhtdFemsv0gJ15jdBjTs/edit#gid=602639296</v>
      </c>
      <c r="H186" s="8" t="s">
        <v>2391</v>
      </c>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32"/>
      <c r="B187" s="26"/>
      <c r="C187" s="220"/>
      <c r="D187" s="8"/>
      <c r="E187" s="8" t="s">
        <v>72</v>
      </c>
      <c r="F187" s="8" t="s">
        <v>1046</v>
      </c>
      <c r="G187" s="34"/>
      <c r="H187" s="36"/>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32"/>
      <c r="B188" s="26"/>
      <c r="C188" s="33"/>
      <c r="D188" s="8"/>
      <c r="E188" s="8"/>
      <c r="F188" s="8"/>
      <c r="G188" s="34"/>
      <c r="H188" s="8"/>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32"/>
      <c r="B189" s="221" t="s">
        <v>2392</v>
      </c>
      <c r="C189" s="33" t="s">
        <v>2393</v>
      </c>
      <c r="D189" s="8" t="s">
        <v>20</v>
      </c>
      <c r="E189" s="8" t="s">
        <v>88</v>
      </c>
      <c r="F189" s="8" t="s">
        <v>89</v>
      </c>
      <c r="G189" s="34"/>
      <c r="H189" s="36"/>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32" t="s">
        <v>5</v>
      </c>
      <c r="B190" s="26"/>
      <c r="D190" s="8"/>
      <c r="E190" s="8" t="s">
        <v>21</v>
      </c>
      <c r="F190" s="8" t="s">
        <v>22</v>
      </c>
      <c r="G190" s="34" t="str">
        <f>HYPERLINK("https://docs.google.com/spreadsheets/d/1zC9Yw8n64AbrHw59iwqHNDl3u6H7ECzEx5UJPxOc8Tg/edit#gid=1056845904", "https://docs.google.com/spreadsheets/d/1zC9Yw8n64AbrHw59iwqHNDl3u6H7ECzEx5UJPxOc8Tg/edit#gid=1056845904")</f>
        <v>https://docs.google.com/spreadsheets/d/1zC9Yw8n64AbrHw59iwqHNDl3u6H7ECzEx5UJPxOc8Tg/edit#gid=1056845904</v>
      </c>
      <c r="H190" s="35" t="s">
        <v>22</v>
      </c>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B191" s="26"/>
      <c r="D191" s="8"/>
      <c r="E191" s="28" t="s">
        <v>43</v>
      </c>
      <c r="F191" s="8" t="s">
        <v>109</v>
      </c>
      <c r="G191" s="29" t="str">
        <f>HYPERLINK("https://docs.google.com/spreadsheets/d/1zC9Yw8n64AbrHw59iwqHNDl3u6H7ECzEx5UJPxOc8Tg/edit#gid=56143656", "https://docs.google.com/spreadsheets/d/1zC9Yw8n64AbrHw59iwqHNDl3u6H7ECzEx5UJPxOc8Tg/edit#gid=56143656")</f>
        <v>https://docs.google.com/spreadsheets/d/1zC9Yw8n64AbrHw59iwqHNDl3u6H7ECzEx5UJPxOc8Tg/edit#gid=56143656</v>
      </c>
      <c r="H191" s="8" t="s">
        <v>109</v>
      </c>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B192" s="26"/>
      <c r="D192" s="8"/>
      <c r="E192" s="28" t="s">
        <v>21</v>
      </c>
      <c r="F192" s="8" t="s">
        <v>74</v>
      </c>
      <c r="G192" s="29" t="str">
        <f>HYPERLINK("https://docs.google.com/spreadsheets/d/1zC9Yw8n64AbrHw59iwqHNDl3u6H7ECzEx5UJPxOc8Tg/edit#gid=1299290824", "https://docs.google.com/spreadsheets/d/1zC9Yw8n64AbrHw59iwqHNDl3u6H7ECzEx5UJPxOc8Tg/edit#gid=1299290824")</f>
        <v>https://docs.google.com/spreadsheets/d/1zC9Yw8n64AbrHw59iwqHNDl3u6H7ECzEx5UJPxOc8Tg/edit#gid=1299290824</v>
      </c>
      <c r="H192" s="38" t="s">
        <v>74</v>
      </c>
      <c r="I192" s="31"/>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32" t="s">
        <v>5</v>
      </c>
      <c r="B193" s="26"/>
      <c r="D193" s="8"/>
      <c r="E193" s="28" t="s">
        <v>72</v>
      </c>
      <c r="F193" s="8" t="s">
        <v>76</v>
      </c>
      <c r="G193" s="34" t="str">
        <f>HYPERLINK("https://docs.google.com/spreadsheets/d/1zC9Yw8n64AbrHw59iwqHNDl3u6H7ECzEx5UJPxOc8Tg/edit#gid=29736699", "https://docs.google.com/spreadsheets/d/1zC9Yw8n64AbrHw59iwqHNDl3u6H7ECzEx5UJPxOc8Tg/edit#gid=29736699")</f>
        <v>https://docs.google.com/spreadsheets/d/1zC9Yw8n64AbrHw59iwqHNDl3u6H7ECzEx5UJPxOc8Tg/edit#gid=29736699</v>
      </c>
      <c r="H193" s="35" t="s">
        <v>76</v>
      </c>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32"/>
      <c r="B194" s="26"/>
      <c r="D194" s="8"/>
      <c r="E194" s="8" t="s">
        <v>43</v>
      </c>
      <c r="F194" s="8" t="s">
        <v>132</v>
      </c>
      <c r="G194" s="29" t="str">
        <f>HYPERLINK("https://docs.google.com/spreadsheets/d/1zC9Yw8n64AbrHw59iwqHNDl3u6H7ECzEx5UJPxOc8Tg/edit#gid=1706135883", "https://docs.google.com/spreadsheets/d/1zC9Yw8n64AbrHw59iwqHNDl3u6H7ECzEx5UJPxOc8Tg/edit#gid=1706135883")</f>
        <v>https://docs.google.com/spreadsheets/d/1zC9Yw8n64AbrHw59iwqHNDl3u6H7ECzEx5UJPxOc8Tg/edit#gid=1706135883</v>
      </c>
      <c r="H194" s="35" t="s">
        <v>132</v>
      </c>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32" t="s">
        <v>5</v>
      </c>
      <c r="B195" s="26"/>
      <c r="D195" s="8"/>
      <c r="E195" s="8" t="s">
        <v>43</v>
      </c>
      <c r="F195" s="8" t="s">
        <v>248</v>
      </c>
      <c r="G195" s="29" t="str">
        <f>HYPERLINK("https://docs.google.com/spreadsheets/d/1zC9Yw8n64AbrHw59iwqHNDl3u6H7ECzEx5UJPxOc8Tg/edit#gid=538041643", "https://docs.google.com/spreadsheets/d/1zC9Yw8n64AbrHw59iwqHNDl3u6H7ECzEx5UJPxOc8Tg/edit#gid=538041643")</f>
        <v>https://docs.google.com/spreadsheets/d/1zC9Yw8n64AbrHw59iwqHNDl3u6H7ECzEx5UJPxOc8Tg/edit#gid=538041643</v>
      </c>
      <c r="H195" s="35" t="s">
        <v>248</v>
      </c>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32"/>
      <c r="B196" s="26"/>
      <c r="D196" s="8"/>
      <c r="E196" s="8" t="s">
        <v>21</v>
      </c>
      <c r="F196" s="8" t="s">
        <v>249</v>
      </c>
      <c r="G196" s="29" t="str">
        <f>HYPERLINK("https://docs.google.com/spreadsheets/d/1zC9Yw8n64AbrHw59iwqHNDl3u6H7ECzEx5UJPxOc8Tg/edit#gid=1384456556", "https://docs.google.com/spreadsheets/d/1zC9Yw8n64AbrHw59iwqHNDl3u6H7ECzEx5UJPxOc8Tg/edit#gid=1384456556")</f>
        <v>https://docs.google.com/spreadsheets/d/1zC9Yw8n64AbrHw59iwqHNDl3u6H7ECzEx5UJPxOc8Tg/edit#gid=1384456556</v>
      </c>
      <c r="H196" s="35" t="s">
        <v>249</v>
      </c>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32" t="s">
        <v>5</v>
      </c>
      <c r="B197" s="26"/>
      <c r="D197" s="8"/>
      <c r="E197" s="28" t="s">
        <v>72</v>
      </c>
      <c r="F197" s="8" t="s">
        <v>326</v>
      </c>
      <c r="G197" s="34" t="str">
        <f>HYPERLINK("https://docs.google.com/spreadsheets/d/1zC9Yw8n64AbrHw59iwqHNDl3u6H7ECzEx5UJPxOc8Tg/edit#gid=1266308749", "https://docs.google.com/spreadsheets/d/1zC9Yw8n64AbrHw59iwqHNDl3u6H7ECzEx5UJPxOc8Tg/edit#gid=1266308749")</f>
        <v>https://docs.google.com/spreadsheets/d/1zC9Yw8n64AbrHw59iwqHNDl3u6H7ECzEx5UJPxOc8Tg/edit#gid=1266308749</v>
      </c>
      <c r="H197" s="8" t="s">
        <v>326</v>
      </c>
      <c r="I197" s="9"/>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32"/>
      <c r="B198" s="26"/>
      <c r="C198" s="33"/>
      <c r="D198" s="8"/>
      <c r="E198" s="28" t="s">
        <v>72</v>
      </c>
      <c r="F198" s="8" t="s">
        <v>137</v>
      </c>
      <c r="G198" s="34"/>
      <c r="H198" s="36"/>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32" t="s">
        <v>5</v>
      </c>
      <c r="B199" s="26"/>
      <c r="C199" s="33"/>
      <c r="D199" s="8"/>
      <c r="E199" s="28"/>
      <c r="F199" s="8"/>
      <c r="G199" s="34"/>
      <c r="H199" s="8"/>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32" t="s">
        <v>5</v>
      </c>
      <c r="B200" s="26" t="s">
        <v>2394</v>
      </c>
      <c r="C200" s="33"/>
      <c r="D200" s="8" t="s">
        <v>20</v>
      </c>
      <c r="E200" s="8" t="s">
        <v>88</v>
      </c>
      <c r="F200" s="8" t="s">
        <v>89</v>
      </c>
      <c r="G200" s="34"/>
      <c r="H200" s="36"/>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B201" s="26"/>
      <c r="C201" s="27"/>
      <c r="D201" s="8"/>
      <c r="E201" s="28" t="s">
        <v>21</v>
      </c>
      <c r="F201" s="38" t="s">
        <v>74</v>
      </c>
      <c r="G201" s="29" t="str">
        <f>HYPERLINK("https://docs.google.com/spreadsheets/d/1M8YPuqNbO2yhOPnN2N8DlzgXYq-hY8AZKs9xpJYmNAM/edit#gid=913486586", "https://docs.google.com/spreadsheets/d/1M8YPuqNbO2yhOPnN2N8DlzgXYq-hY8AZKs9xpJYmNAM/edit#gid=913486586")</f>
        <v>https://docs.google.com/spreadsheets/d/1M8YPuqNbO2yhOPnN2N8DlzgXYq-hY8AZKs9xpJYmNAM/edit#gid=913486586</v>
      </c>
      <c r="H201" s="38" t="s">
        <v>74</v>
      </c>
      <c r="I201" s="31"/>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32" t="s">
        <v>5</v>
      </c>
      <c r="B202" s="26"/>
      <c r="C202" s="33"/>
      <c r="D202" s="8"/>
      <c r="E202" s="28" t="s">
        <v>43</v>
      </c>
      <c r="F202" s="28" t="s">
        <v>132</v>
      </c>
      <c r="G202" s="29" t="str">
        <f>HYPERLINK("https://docs.google.com/spreadsheets/d/1M8YPuqNbO2yhOPnN2N8DlzgXYq-hY8AZKs9xpJYmNAM/edit#gid=1240284821", "https://docs.google.com/spreadsheets/d/1M8YPuqNbO2yhOPnN2N8DlzgXYq-hY8AZKs9xpJYmNAM/edit#gid=1240284821")</f>
        <v>https://docs.google.com/spreadsheets/d/1M8YPuqNbO2yhOPnN2N8DlzgXYq-hY8AZKs9xpJYmNAM/edit#gid=1240284821</v>
      </c>
      <c r="H202" s="35" t="s">
        <v>132</v>
      </c>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B203" s="26"/>
      <c r="C203" s="27"/>
      <c r="D203" s="8"/>
      <c r="E203" s="8" t="s">
        <v>43</v>
      </c>
      <c r="F203" s="8" t="s">
        <v>615</v>
      </c>
      <c r="G203" s="29" t="str">
        <f>HYPERLINK("https://docs.google.com/spreadsheets/d/1M8YPuqNbO2yhOPnN2N8DlzgXYq-hY8AZKs9xpJYmNAM/edit#gid=1450797878", "https://docs.google.com/spreadsheets/d/1M8YPuqNbO2yhOPnN2N8DlzgXYq-hY8AZKs9xpJYmNAM/edit#gid=1450797878")</f>
        <v>https://docs.google.com/spreadsheets/d/1M8YPuqNbO2yhOPnN2N8DlzgXYq-hY8AZKs9xpJYmNAM/edit#gid=1450797878</v>
      </c>
      <c r="H203" s="8" t="s">
        <v>615</v>
      </c>
      <c r="I203" s="9"/>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32" t="s">
        <v>5</v>
      </c>
      <c r="B204" s="26"/>
      <c r="C204" s="33"/>
      <c r="D204" s="8"/>
      <c r="E204" s="8" t="s">
        <v>43</v>
      </c>
      <c r="F204" s="8" t="s">
        <v>79</v>
      </c>
      <c r="G204" s="29" t="str">
        <f>HYPERLINK("https://docs.google.com/spreadsheets/d/1M8YPuqNbO2yhOPnN2N8DlzgXYq-hY8AZKs9xpJYmNAM/edit#gid=593900242", "https://docs.google.com/spreadsheets/d/1M8YPuqNbO2yhOPnN2N8DlzgXYq-hY8AZKs9xpJYmNAM/edit#gid=593900242")</f>
        <v>https://docs.google.com/spreadsheets/d/1M8YPuqNbO2yhOPnN2N8DlzgXYq-hY8AZKs9xpJYmNAM/edit#gid=593900242</v>
      </c>
      <c r="H204" s="8" t="s">
        <v>79</v>
      </c>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B205" s="26"/>
      <c r="C205" s="27"/>
      <c r="D205" s="8"/>
      <c r="E205" s="28" t="s">
        <v>72</v>
      </c>
      <c r="F205" s="8" t="s">
        <v>326</v>
      </c>
      <c r="G205" s="60" t="str">
        <f>HYPERLINK("https://docs.google.com/spreadsheets/d/1M8YPuqNbO2yhOPnN2N8DlzgXYq-hY8AZKs9xpJYmNAM/edit#gid=1617149455", "https://docs.google.com/spreadsheets/d/1M8YPuqNbO2yhOPnN2N8DlzgXYq-hY8AZKs9xpJYmNAM/edit#gid=1617149455")</f>
        <v>https://docs.google.com/spreadsheets/d/1M8YPuqNbO2yhOPnN2N8DlzgXYq-hY8AZKs9xpJYmNAM/edit#gid=1617149455</v>
      </c>
      <c r="H205" s="8" t="s">
        <v>326</v>
      </c>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26"/>
      <c r="C206" s="27"/>
      <c r="D206" s="8"/>
      <c r="E206" s="8" t="s">
        <v>21</v>
      </c>
      <c r="F206" s="8" t="s">
        <v>22</v>
      </c>
      <c r="G206" s="29" t="str">
        <f>HYPERLINK("https://docs.google.com/spreadsheets/d/1M8YPuqNbO2yhOPnN2N8DlzgXYq-hY8AZKs9xpJYmNAM/edit#gid=191971197", "https://docs.google.com/spreadsheets/d/1M8YPuqNbO2yhOPnN2N8DlzgXYq-hY8AZKs9xpJYmNAM/edit#gid=191971197")</f>
        <v>https://docs.google.com/spreadsheets/d/1M8YPuqNbO2yhOPnN2N8DlzgXYq-hY8AZKs9xpJYmNAM/edit#gid=191971197</v>
      </c>
      <c r="H206" s="8" t="s">
        <v>22</v>
      </c>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26"/>
      <c r="C207" s="27"/>
      <c r="D207" s="8"/>
      <c r="E207" s="8" t="s">
        <v>43</v>
      </c>
      <c r="F207" s="8" t="s">
        <v>109</v>
      </c>
      <c r="G207" s="29" t="str">
        <f>HYPERLINK("https://docs.google.com/spreadsheets/d/1M8YPuqNbO2yhOPnN2N8DlzgXYq-hY8AZKs9xpJYmNAM/edit#gid=564881271", "https://docs.google.com/spreadsheets/d/1M8YPuqNbO2yhOPnN2N8DlzgXYq-hY8AZKs9xpJYmNAM/edit#gid=564881271")</f>
        <v>https://docs.google.com/spreadsheets/d/1M8YPuqNbO2yhOPnN2N8DlzgXYq-hY8AZKs9xpJYmNAM/edit#gid=564881271</v>
      </c>
      <c r="H207" s="8" t="s">
        <v>109</v>
      </c>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B208" s="26"/>
      <c r="C208" s="27"/>
      <c r="D208" s="8"/>
      <c r="E208" s="8" t="s">
        <v>21</v>
      </c>
      <c r="F208" s="8" t="s">
        <v>74</v>
      </c>
      <c r="G208" s="29" t="str">
        <f>HYPERLINK("https://docs.google.com/spreadsheets/d/1M8YPuqNbO2yhOPnN2N8DlzgXYq-hY8AZKs9xpJYmNAM/edit#gid=839155891", "https://docs.google.com/spreadsheets/d/1M8YPuqNbO2yhOPnN2N8DlzgXYq-hY8AZKs9xpJYmNAM/edit#gid=839155891")</f>
        <v>https://docs.google.com/spreadsheets/d/1M8YPuqNbO2yhOPnN2N8DlzgXYq-hY8AZKs9xpJYmNAM/edit#gid=839155891</v>
      </c>
      <c r="H208" s="8" t="s">
        <v>2390</v>
      </c>
      <c r="I208" s="9"/>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B209" s="26"/>
      <c r="C209" s="27"/>
      <c r="D209" s="8"/>
      <c r="E209" s="28" t="s">
        <v>72</v>
      </c>
      <c r="F209" s="8" t="s">
        <v>76</v>
      </c>
      <c r="G209" s="29" t="str">
        <f>HYPERLINK("https://docs.google.com/spreadsheets/d/1M8YPuqNbO2yhOPnN2N8DlzgXYq-hY8AZKs9xpJYmNAM/edit#gid=1071864751", "https://docs.google.com/spreadsheets/d/1M8YPuqNbO2yhOPnN2N8DlzgXYq-hY8AZKs9xpJYmNAM/edit#gid=1071864751")</f>
        <v>https://docs.google.com/spreadsheets/d/1M8YPuqNbO2yhOPnN2N8DlzgXYq-hY8AZKs9xpJYmNAM/edit#gid=1071864751</v>
      </c>
      <c r="H209" s="8" t="s">
        <v>76</v>
      </c>
      <c r="I209" s="31"/>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B210" s="26"/>
      <c r="C210" s="27"/>
      <c r="D210" s="8"/>
      <c r="E210" s="28" t="s">
        <v>43</v>
      </c>
      <c r="F210" s="38" t="s">
        <v>132</v>
      </c>
      <c r="G210" s="29" t="str">
        <f>HYPERLINK("https://docs.google.com/spreadsheets/d/1M8YPuqNbO2yhOPnN2N8DlzgXYq-hY8AZKs9xpJYmNAM/edit#gid=33507214", "https://docs.google.com/spreadsheets/d/1M8YPuqNbO2yhOPnN2N8DlzgXYq-hY8AZKs9xpJYmNAM/edit#gid=33507214")</f>
        <v>https://docs.google.com/spreadsheets/d/1M8YPuqNbO2yhOPnN2N8DlzgXYq-hY8AZKs9xpJYmNAM/edit#gid=33507214</v>
      </c>
      <c r="H210" s="38" t="s">
        <v>324</v>
      </c>
      <c r="I210" s="31"/>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B211" s="26"/>
      <c r="C211" s="27"/>
      <c r="D211" s="8"/>
      <c r="E211" s="28" t="s">
        <v>43</v>
      </c>
      <c r="F211" s="28" t="s">
        <v>248</v>
      </c>
      <c r="G211" s="29" t="str">
        <f>HYPERLINK("https://docs.google.com/spreadsheets/d/1M8YPuqNbO2yhOPnN2N8DlzgXYq-hY8AZKs9xpJYmNAM/edit#gid=1888803862", "https://docs.google.com/spreadsheets/d/1M8YPuqNbO2yhOPnN2N8DlzgXYq-hY8AZKs9xpJYmNAM/edit#gid=1888803862")</f>
        <v>https://docs.google.com/spreadsheets/d/1M8YPuqNbO2yhOPnN2N8DlzgXYq-hY8AZKs9xpJYmNAM/edit#gid=1888803862</v>
      </c>
      <c r="H211" s="38" t="s">
        <v>248</v>
      </c>
      <c r="I211" s="9"/>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B212" s="40"/>
      <c r="C212" s="41"/>
      <c r="D212" s="31"/>
      <c r="E212" s="8" t="s">
        <v>21</v>
      </c>
      <c r="F212" s="8" t="s">
        <v>249</v>
      </c>
      <c r="G212" s="29" t="str">
        <f>HYPERLINK("https://docs.google.com/spreadsheets/d/1M8YPuqNbO2yhOPnN2N8DlzgXYq-hY8AZKs9xpJYmNAM/edit#gid=26423061", "https://docs.google.com/spreadsheets/d/1M8YPuqNbO2yhOPnN2N8DlzgXYq-hY8AZKs9xpJYmNAM/edit#gid=26423061")</f>
        <v>https://docs.google.com/spreadsheets/d/1M8YPuqNbO2yhOPnN2N8DlzgXYq-hY8AZKs9xpJYmNAM/edit#gid=26423061</v>
      </c>
      <c r="H212" s="8" t="s">
        <v>249</v>
      </c>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B213" s="40"/>
      <c r="C213" s="41"/>
      <c r="D213" s="31"/>
      <c r="E213" s="8" t="s">
        <v>72</v>
      </c>
      <c r="F213" s="8" t="s">
        <v>76</v>
      </c>
      <c r="G213" s="29" t="str">
        <f>HYPERLINK("https://docs.google.com/spreadsheets/d/1M8YPuqNbO2yhOPnN2N8DlzgXYq-hY8AZKs9xpJYmNAM/edit#gid=1851285757", "https://docs.google.com/spreadsheets/d/1M8YPuqNbO2yhOPnN2N8DlzgXYq-hY8AZKs9xpJYmNAM/edit#gid=1851285757")</f>
        <v>https://docs.google.com/spreadsheets/d/1M8YPuqNbO2yhOPnN2N8DlzgXYq-hY8AZKs9xpJYmNAM/edit#gid=1851285757</v>
      </c>
      <c r="H213" s="8" t="s">
        <v>2391</v>
      </c>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B214" s="40"/>
      <c r="C214" s="41"/>
      <c r="D214" s="31"/>
      <c r="E214" s="8" t="s">
        <v>43</v>
      </c>
      <c r="F214" s="8" t="s">
        <v>132</v>
      </c>
      <c r="G214" s="29" t="str">
        <f>HYPERLINK("https://docs.google.com/spreadsheets/d/1M8YPuqNbO2yhOPnN2N8DlzgXYq-hY8AZKs9xpJYmNAM/edit#gid=569802973", "https://docs.google.com/spreadsheets/d/1M8YPuqNbO2yhOPnN2N8DlzgXYq-hY8AZKs9xpJYmNAM/edit#gid=569802973")</f>
        <v>https://docs.google.com/spreadsheets/d/1M8YPuqNbO2yhOPnN2N8DlzgXYq-hY8AZKs9xpJYmNAM/edit#gid=569802973</v>
      </c>
      <c r="H214" s="8" t="s">
        <v>327</v>
      </c>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B215" s="40"/>
      <c r="C215" s="41"/>
      <c r="D215" s="31"/>
      <c r="E215" s="8" t="s">
        <v>43</v>
      </c>
      <c r="F215" s="8" t="s">
        <v>109</v>
      </c>
      <c r="G215" s="29" t="str">
        <f>HYPERLINK("https://docs.google.com/spreadsheets/d/1M8YPuqNbO2yhOPnN2N8DlzgXYq-hY8AZKs9xpJYmNAM/edit#gid=174715984", "https://docs.google.com/spreadsheets/d/1M8YPuqNbO2yhOPnN2N8DlzgXYq-hY8AZKs9xpJYmNAM/edit#gid=174715984")</f>
        <v>https://docs.google.com/spreadsheets/d/1M8YPuqNbO2yhOPnN2N8DlzgXYq-hY8AZKs9xpJYmNAM/edit#gid=174715984</v>
      </c>
      <c r="H215" s="8" t="s">
        <v>2395</v>
      </c>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B216" s="40"/>
      <c r="C216" s="41"/>
      <c r="D216" s="31"/>
      <c r="E216" s="8" t="s">
        <v>21</v>
      </c>
      <c r="F216" s="8" t="s">
        <v>74</v>
      </c>
      <c r="G216" s="29" t="str">
        <f>HYPERLINK("https://docs.google.com/spreadsheets/d/1M8YPuqNbO2yhOPnN2N8DlzgXYq-hY8AZKs9xpJYmNAM/edit#gid=389483081", "https://docs.google.com/spreadsheets/d/1M8YPuqNbO2yhOPnN2N8DlzgXYq-hY8AZKs9xpJYmNAM/edit#gid=389483081")</f>
        <v>https://docs.google.com/spreadsheets/d/1M8YPuqNbO2yhOPnN2N8DlzgXYq-hY8AZKs9xpJYmNAM/edit#gid=389483081</v>
      </c>
      <c r="H216" s="8" t="s">
        <v>2396</v>
      </c>
      <c r="I216" s="9"/>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40"/>
      <c r="C217" s="41"/>
      <c r="D217" s="31"/>
      <c r="E217" s="28" t="s">
        <v>72</v>
      </c>
      <c r="F217" s="8" t="s">
        <v>76</v>
      </c>
      <c r="G217" s="29" t="str">
        <f>HYPERLINK("https://docs.google.com/spreadsheets/d/1M8YPuqNbO2yhOPnN2N8DlzgXYq-hY8AZKs9xpJYmNAM/edit#gid=1147621399", "https://docs.google.com/spreadsheets/d/1M8YPuqNbO2yhOPnN2N8DlzgXYq-hY8AZKs9xpJYmNAM/edit#gid=1147621399")</f>
        <v>https://docs.google.com/spreadsheets/d/1M8YPuqNbO2yhOPnN2N8DlzgXYq-hY8AZKs9xpJYmNAM/edit#gid=1147621399</v>
      </c>
      <c r="H217" s="8" t="s">
        <v>2397</v>
      </c>
      <c r="I217" s="31"/>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40"/>
      <c r="C218" s="41"/>
      <c r="D218" s="31"/>
      <c r="E218" s="28" t="s">
        <v>43</v>
      </c>
      <c r="F218" s="38" t="s">
        <v>132</v>
      </c>
      <c r="G218" s="29" t="str">
        <f>HYPERLINK("https://docs.google.com/spreadsheets/d/1M8YPuqNbO2yhOPnN2N8DlzgXYq-hY8AZKs9xpJYmNAM/edit#gid=2092684756", "https://docs.google.com/spreadsheets/d/1M8YPuqNbO2yhOPnN2N8DlzgXYq-hY8AZKs9xpJYmNAM/edit#gid=2092684756")</f>
        <v>https://docs.google.com/spreadsheets/d/1M8YPuqNbO2yhOPnN2N8DlzgXYq-hY8AZKs9xpJYmNAM/edit#gid=2092684756</v>
      </c>
      <c r="H218" s="38" t="s">
        <v>331</v>
      </c>
      <c r="I218" s="31"/>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40"/>
      <c r="C219" s="41"/>
      <c r="D219" s="31"/>
      <c r="E219" s="28" t="s">
        <v>43</v>
      </c>
      <c r="F219" s="28" t="s">
        <v>602</v>
      </c>
      <c r="G219" s="29" t="str">
        <f>HYPERLINK("https://docs.google.com/spreadsheets/d/1M8YPuqNbO2yhOPnN2N8DlzgXYq-hY8AZKs9xpJYmNAM/edit#gid=1915163535", "https://docs.google.com/spreadsheets/d/1M8YPuqNbO2yhOPnN2N8DlzgXYq-hY8AZKs9xpJYmNAM/edit#gid=1915163535")</f>
        <v>https://docs.google.com/spreadsheets/d/1M8YPuqNbO2yhOPnN2N8DlzgXYq-hY8AZKs9xpJYmNAM/edit#gid=1915163535</v>
      </c>
      <c r="H219" s="38" t="s">
        <v>602</v>
      </c>
      <c r="I219" s="9"/>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B220" s="40"/>
      <c r="C220" s="41"/>
      <c r="D220" s="31"/>
      <c r="E220" s="8" t="s">
        <v>43</v>
      </c>
      <c r="F220" s="8" t="s">
        <v>714</v>
      </c>
      <c r="G220" s="29" t="str">
        <f>HYPERLINK("https://docs.google.com/spreadsheets/d/1M8YPuqNbO2yhOPnN2N8DlzgXYq-hY8AZKs9xpJYmNAM/edit#gid=38206564", "https://docs.google.com/spreadsheets/d/1M8YPuqNbO2yhOPnN2N8DlzgXYq-hY8AZKs9xpJYmNAM/edit#gid=38206564")</f>
        <v>https://docs.google.com/spreadsheets/d/1M8YPuqNbO2yhOPnN2N8DlzgXYq-hY8AZKs9xpJYmNAM/edit#gid=38206564</v>
      </c>
      <c r="H220" s="8" t="s">
        <v>714</v>
      </c>
      <c r="I220" s="9"/>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B221" s="40"/>
      <c r="C221" s="41"/>
      <c r="D221" s="31"/>
      <c r="E221" s="8" t="s">
        <v>72</v>
      </c>
      <c r="F221" s="8" t="s">
        <v>76</v>
      </c>
      <c r="G221" s="29" t="str">
        <f>HYPERLINK("https://docs.google.com/spreadsheets/d/1M8YPuqNbO2yhOPnN2N8DlzgXYq-hY8AZKs9xpJYmNAM/edit#gid=57857114", "https://docs.google.com/spreadsheets/d/1M8YPuqNbO2yhOPnN2N8DlzgXYq-hY8AZKs9xpJYmNAM/edit#gid=57857114")</f>
        <v>https://docs.google.com/spreadsheets/d/1M8YPuqNbO2yhOPnN2N8DlzgXYq-hY8AZKs9xpJYmNAM/edit#gid=57857114</v>
      </c>
      <c r="H221" s="8" t="s">
        <v>2398</v>
      </c>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B222" s="40"/>
      <c r="C222" s="41"/>
      <c r="D222" s="31"/>
      <c r="E222" s="8" t="s">
        <v>43</v>
      </c>
      <c r="F222" s="8" t="s">
        <v>132</v>
      </c>
      <c r="G222" s="29" t="str">
        <f>HYPERLINK("https://docs.google.com/spreadsheets/d/1M8YPuqNbO2yhOPnN2N8DlzgXYq-hY8AZKs9xpJYmNAM/edit#gid=1547787142", "https://docs.google.com/spreadsheets/d/1M8YPuqNbO2yhOPnN2N8DlzgXYq-hY8AZKs9xpJYmNAM/edit#gid=1547787142")</f>
        <v>https://docs.google.com/spreadsheets/d/1M8YPuqNbO2yhOPnN2N8DlzgXYq-hY8AZKs9xpJYmNAM/edit#gid=1547787142</v>
      </c>
      <c r="H222" s="71" t="s">
        <v>2399</v>
      </c>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B223" s="40"/>
      <c r="C223" s="41"/>
      <c r="D223" s="31"/>
      <c r="E223" s="8" t="s">
        <v>43</v>
      </c>
      <c r="F223" s="8" t="s">
        <v>712</v>
      </c>
      <c r="G223" s="29" t="str">
        <f>HYPERLINK("https://docs.google.com/spreadsheets/d/1M8YPuqNbO2yhOPnN2N8DlzgXYq-hY8AZKs9xpJYmNAM/edit#gid=1596303727", "https://docs.google.com/spreadsheets/d/1M8YPuqNbO2yhOPnN2N8DlzgXYq-hY8AZKs9xpJYmNAM/edit#gid=1596303727")</f>
        <v>https://docs.google.com/spreadsheets/d/1M8YPuqNbO2yhOPnN2N8DlzgXYq-hY8AZKs9xpJYmNAM/edit#gid=1596303727</v>
      </c>
      <c r="H223" s="8" t="s">
        <v>712</v>
      </c>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B224" s="40"/>
      <c r="C224" s="41"/>
      <c r="D224" s="31"/>
      <c r="E224" s="37"/>
      <c r="F224" s="31"/>
      <c r="G224" s="29"/>
      <c r="H224" s="31"/>
      <c r="I224" s="31"/>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B225" s="26" t="s">
        <v>2400</v>
      </c>
      <c r="C225" s="164" t="s">
        <v>2401</v>
      </c>
      <c r="D225" s="8" t="s">
        <v>20</v>
      </c>
      <c r="E225" s="28" t="s">
        <v>88</v>
      </c>
      <c r="F225" s="38" t="s">
        <v>89</v>
      </c>
      <c r="G225" s="29"/>
      <c r="H225" s="36"/>
      <c r="I225" s="36"/>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B226" s="40"/>
      <c r="D226" s="31"/>
      <c r="E226" s="28" t="s">
        <v>21</v>
      </c>
      <c r="F226" s="28" t="s">
        <v>22</v>
      </c>
      <c r="G226" s="29" t="str">
        <f>HYPERLINK("https://docs.google.com/spreadsheets/d/1AGyGAf9wzx9HMbIw6bqhlRSLeDQHRrXvl5pO49DGh3g/edit#gid=1543854306", "https://docs.google.com/spreadsheets/d/1AGyGAf9wzx9HMbIw6bqhlRSLeDQHRrXvl5pO49DGh3g/edit#gid=1543854306")</f>
        <v>https://docs.google.com/spreadsheets/d/1AGyGAf9wzx9HMbIw6bqhlRSLeDQHRrXvl5pO49DGh3g/edit#gid=1543854306</v>
      </c>
      <c r="H226" s="38" t="s">
        <v>22</v>
      </c>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B227" s="40"/>
      <c r="D227" s="31"/>
      <c r="E227" s="8" t="s">
        <v>43</v>
      </c>
      <c r="F227" s="8" t="s">
        <v>132</v>
      </c>
      <c r="G227" s="29" t="str">
        <f>HYPERLINK("https://docs.google.com/spreadsheets/d/1AGyGAf9wzx9HMbIw6bqhlRSLeDQHRrXvl5pO49DGh3g/edit#gid=1066589142", "https://docs.google.com/spreadsheets/d/1AGyGAf9wzx9HMbIw6bqhlRSLeDQHRrXvl5pO49DGh3g/edit#gid=1066589142")</f>
        <v>https://docs.google.com/spreadsheets/d/1AGyGAf9wzx9HMbIw6bqhlRSLeDQHRrXvl5pO49DGh3g/edit#gid=1066589142</v>
      </c>
      <c r="H227" s="8" t="s">
        <v>132</v>
      </c>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B228" s="40"/>
      <c r="D228" s="31"/>
      <c r="E228" s="8" t="s">
        <v>43</v>
      </c>
      <c r="F228" s="8" t="s">
        <v>109</v>
      </c>
      <c r="G228" s="29" t="str">
        <f>HYPERLINK("https://docs.google.com/spreadsheets/d/1AGyGAf9wzx9HMbIw6bqhlRSLeDQHRrXvl5pO49DGh3g/edit#gid=1177413991", "https://docs.google.com/spreadsheets/d/1AGyGAf9wzx9HMbIw6bqhlRSLeDQHRrXvl5pO49DGh3g/edit#gid=1177413991")</f>
        <v>https://docs.google.com/spreadsheets/d/1AGyGAf9wzx9HMbIw6bqhlRSLeDQHRrXvl5pO49DGh3g/edit#gid=1177413991</v>
      </c>
      <c r="H228" s="8" t="s">
        <v>109</v>
      </c>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B229" s="40"/>
      <c r="D229" s="31"/>
      <c r="E229" s="8" t="s">
        <v>21</v>
      </c>
      <c r="F229" s="8" t="s">
        <v>74</v>
      </c>
      <c r="G229" s="29" t="str">
        <f>HYPERLINK("https://docs.google.com/spreadsheets/d/1AGyGAf9wzx9HMbIw6bqhlRSLeDQHRrXvl5pO49DGh3g/edit#gid=2025973833", "https://docs.google.com/spreadsheets/d/1AGyGAf9wzx9HMbIw6bqhlRSLeDQHRrXvl5pO49DGh3g/edit#gid=2025973833")</f>
        <v>https://docs.google.com/spreadsheets/d/1AGyGAf9wzx9HMbIw6bqhlRSLeDQHRrXvl5pO49DGh3g/edit#gid=2025973833</v>
      </c>
      <c r="H229" s="8" t="s">
        <v>74</v>
      </c>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40"/>
      <c r="D230" s="31"/>
      <c r="E230" s="8" t="s">
        <v>72</v>
      </c>
      <c r="F230" s="8" t="s">
        <v>76</v>
      </c>
      <c r="G230" s="29" t="str">
        <f>HYPERLINK("https://docs.google.com/spreadsheets/d/1AGyGAf9wzx9HMbIw6bqhlRSLeDQHRrXvl5pO49DGh3g/edit#gid=1500059643", "https://docs.google.com/spreadsheets/d/1AGyGAf9wzx9HMbIw6bqhlRSLeDQHRrXvl5pO49DGh3g/edit#gid=1500059643")</f>
        <v>https://docs.google.com/spreadsheets/d/1AGyGAf9wzx9HMbIw6bqhlRSLeDQHRrXvl5pO49DGh3g/edit#gid=1500059643</v>
      </c>
      <c r="H230" s="8" t="s">
        <v>76</v>
      </c>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40"/>
      <c r="D231" s="31"/>
      <c r="E231" s="28" t="s">
        <v>43</v>
      </c>
      <c r="F231" s="38" t="s">
        <v>132</v>
      </c>
      <c r="G231" s="29" t="str">
        <f>HYPERLINK("https://docs.google.com/spreadsheets/d/1AGyGAf9wzx9HMbIw6bqhlRSLeDQHRrXvl5pO49DGh3g/edit#gid=905540920", "https://docs.google.com/spreadsheets/d/1AGyGAf9wzx9HMbIw6bqhlRSLeDQHRrXvl5pO49DGh3g/edit#gid=905540920")</f>
        <v>https://docs.google.com/spreadsheets/d/1AGyGAf9wzx9HMbIw6bqhlRSLeDQHRrXvl5pO49DGh3g/edit#gid=905540920</v>
      </c>
      <c r="H231" s="38" t="s">
        <v>324</v>
      </c>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B232" s="40"/>
      <c r="D232" s="31"/>
      <c r="E232" s="28" t="s">
        <v>43</v>
      </c>
      <c r="F232" s="38" t="s">
        <v>248</v>
      </c>
      <c r="G232" s="29" t="str">
        <f>HYPERLINK("https://docs.google.com/spreadsheets/d/1AGyGAf9wzx9HMbIw6bqhlRSLeDQHRrXvl5pO49DGh3g/edit#gid=1725800964", "https://docs.google.com/spreadsheets/d/1AGyGAf9wzx9HMbIw6bqhlRSLeDQHRrXvl5pO49DGh3g/edit#gid=1725800964")</f>
        <v>https://docs.google.com/spreadsheets/d/1AGyGAf9wzx9HMbIw6bqhlRSLeDQHRrXvl5pO49DGh3g/edit#gid=1725800964</v>
      </c>
      <c r="H232" s="38" t="s">
        <v>248</v>
      </c>
      <c r="I232" s="9"/>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B233" s="40"/>
      <c r="D233" s="31"/>
      <c r="E233" s="28" t="s">
        <v>21</v>
      </c>
      <c r="F233" s="28" t="s">
        <v>249</v>
      </c>
      <c r="G233" s="29" t="str">
        <f>HYPERLINK("https://docs.google.com/spreadsheets/d/1AGyGAf9wzx9HMbIw6bqhlRSLeDQHRrXvl5pO49DGh3g/edit#gid=1590024123", "https://docs.google.com/spreadsheets/d/1AGyGAf9wzx9HMbIw6bqhlRSLeDQHRrXvl5pO49DGh3g/edit#gid=1590024123")</f>
        <v>https://docs.google.com/spreadsheets/d/1AGyGAf9wzx9HMbIw6bqhlRSLeDQHRrXvl5pO49DGh3g/edit#gid=1590024123</v>
      </c>
      <c r="H233" s="38" t="s">
        <v>249</v>
      </c>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B234" s="40"/>
      <c r="D234" s="31"/>
      <c r="E234" s="8" t="s">
        <v>72</v>
      </c>
      <c r="F234" s="8" t="s">
        <v>76</v>
      </c>
      <c r="G234" s="29" t="str">
        <f>HYPERLINK("https://docs.google.com/spreadsheets/d/1AGyGAf9wzx9HMbIw6bqhlRSLeDQHRrXvl5pO49DGh3g/edit#gid=1172219797", "https://docs.google.com/spreadsheets/d/1AGyGAf9wzx9HMbIw6bqhlRSLeDQHRrXvl5pO49DGh3g/edit#gid=1172219797")</f>
        <v>https://docs.google.com/spreadsheets/d/1AGyGAf9wzx9HMbIw6bqhlRSLeDQHRrXvl5pO49DGh3g/edit#gid=1172219797</v>
      </c>
      <c r="H234" s="8" t="s">
        <v>2391</v>
      </c>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B235" s="40"/>
      <c r="D235" s="31"/>
      <c r="E235" s="8" t="s">
        <v>72</v>
      </c>
      <c r="F235" s="8" t="s">
        <v>75</v>
      </c>
      <c r="G235" s="29" t="str">
        <f>HYPERLINK("https://docs.google.com/spreadsheets/d/1AGyGAf9wzx9HMbIw6bqhlRSLeDQHRrXvl5pO49DGh3g/edit#gid=1495117363", "https://docs.google.com/spreadsheets/d/1AGyGAf9wzx9HMbIw6bqhlRSLeDQHRrXvl5pO49DGh3g/edit#gid=1495117363")</f>
        <v>https://docs.google.com/spreadsheets/d/1AGyGAf9wzx9HMbIw6bqhlRSLeDQHRrXvl5pO49DGh3g/edit#gid=1495117363</v>
      </c>
      <c r="H235" s="8" t="s">
        <v>75</v>
      </c>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B236" s="40"/>
      <c r="D236" s="31"/>
      <c r="E236" s="8" t="s">
        <v>72</v>
      </c>
      <c r="F236" s="8" t="s">
        <v>81</v>
      </c>
      <c r="G236" s="29" t="str">
        <f>HYPERLINK("https://docs.google.com/spreadsheets/d/1AGyGAf9wzx9HMbIw6bqhlRSLeDQHRrXvl5pO49DGh3g/edit#gid=1818564422", "https://docs.google.com/spreadsheets/d/1AGyGAf9wzx9HMbIw6bqhlRSLeDQHRrXvl5pO49DGh3g/edit#gid=1818564422")</f>
        <v>https://docs.google.com/spreadsheets/d/1AGyGAf9wzx9HMbIw6bqhlRSLeDQHRrXvl5pO49DGh3g/edit#gid=1818564422</v>
      </c>
      <c r="H236" s="8" t="s">
        <v>81</v>
      </c>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B237" s="40"/>
      <c r="D237" s="31"/>
      <c r="E237" s="8" t="s">
        <v>72</v>
      </c>
      <c r="F237" s="8" t="s">
        <v>75</v>
      </c>
      <c r="G237" s="29" t="str">
        <f>HYPERLINK("https://docs.google.com/spreadsheets/d/1AGyGAf9wzx9HMbIw6bqhlRSLeDQHRrXvl5pO49DGh3g/edit#gid=41722815", "https://docs.google.com/spreadsheets/d/1AGyGAf9wzx9HMbIw6bqhlRSLeDQHRrXvl5pO49DGh3g/edit#gid=41722815")</f>
        <v>https://docs.google.com/spreadsheets/d/1AGyGAf9wzx9HMbIw6bqhlRSLeDQHRrXvl5pO49DGh3g/edit#gid=41722815</v>
      </c>
      <c r="H237" s="8" t="s">
        <v>329</v>
      </c>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B238" s="40"/>
      <c r="D238" s="31"/>
      <c r="E238" s="28" t="s">
        <v>72</v>
      </c>
      <c r="F238" s="8" t="s">
        <v>81</v>
      </c>
      <c r="G238" s="29" t="str">
        <f>HYPERLINK("https://docs.google.com/spreadsheets/d/1AGyGAf9wzx9HMbIw6bqhlRSLeDQHRrXvl5pO49DGh3g/edit#gid=2002562807", "https://docs.google.com/spreadsheets/d/1AGyGAf9wzx9HMbIw6bqhlRSLeDQHRrXvl5pO49DGh3g/edit#gid=2002562807")</f>
        <v>https://docs.google.com/spreadsheets/d/1AGyGAf9wzx9HMbIw6bqhlRSLeDQHRrXvl5pO49DGh3g/edit#gid=2002562807</v>
      </c>
      <c r="H238" s="8" t="s">
        <v>330</v>
      </c>
      <c r="I238" s="31"/>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B239" s="40"/>
      <c r="D239" s="31"/>
      <c r="E239" s="28" t="s">
        <v>43</v>
      </c>
      <c r="F239" s="38" t="s">
        <v>79</v>
      </c>
      <c r="G239" s="29" t="str">
        <f>HYPERLINK("https://docs.google.com/spreadsheets/d/1AGyGAf9wzx9HMbIw6bqhlRSLeDQHRrXvl5pO49DGh3g/edit#gid=2071889740", "https://docs.google.com/spreadsheets/d/1AGyGAf9wzx9HMbIw6bqhlRSLeDQHRrXvl5pO49DGh3g/edit#gid=2071889740")</f>
        <v>https://docs.google.com/spreadsheets/d/1AGyGAf9wzx9HMbIw6bqhlRSLeDQHRrXvl5pO49DGh3g/edit#gid=2071889740</v>
      </c>
      <c r="H239" s="38" t="s">
        <v>79</v>
      </c>
      <c r="I239" s="31"/>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B240" s="40"/>
      <c r="C240" s="41"/>
      <c r="D240" s="31"/>
      <c r="E240" s="37"/>
      <c r="F240" s="37"/>
      <c r="G240" s="29"/>
      <c r="H240" s="30"/>
      <c r="I240" s="9"/>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B241" s="26" t="s">
        <v>2402</v>
      </c>
      <c r="C241" s="39" t="s">
        <v>2403</v>
      </c>
      <c r="D241" s="8" t="s">
        <v>20</v>
      </c>
      <c r="E241" s="8" t="s">
        <v>88</v>
      </c>
      <c r="F241" s="8" t="s">
        <v>89</v>
      </c>
      <c r="G241" s="29"/>
      <c r="H241" s="36"/>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B242" s="40"/>
      <c r="D242" s="31"/>
      <c r="E242" s="8" t="s">
        <v>21</v>
      </c>
      <c r="F242" s="8" t="s">
        <v>22</v>
      </c>
      <c r="G242" s="29" t="str">
        <f>HYPERLINK("https://docs.google.com/spreadsheets/d/1HC1Lazi3yp9OGfK3Sf_7Z4h3Vlm0U6L9uz-WKIKHFCw/edit#gid=931298787", "https://docs.google.com/spreadsheets/d/1HC1Lazi3yp9OGfK3Sf_7Z4h3Vlm0U6L9uz-WKIKHFCw/edit#gid=931298787")</f>
        <v>https://docs.google.com/spreadsheets/d/1HC1Lazi3yp9OGfK3Sf_7Z4h3Vlm0U6L9uz-WKIKHFCw/edit#gid=931298787</v>
      </c>
      <c r="H242" s="8" t="s">
        <v>22</v>
      </c>
      <c r="I242" s="9"/>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40"/>
      <c r="D243" s="31"/>
      <c r="E243" s="8" t="s">
        <v>43</v>
      </c>
      <c r="F243" s="8" t="s">
        <v>132</v>
      </c>
      <c r="G243" s="29" t="str">
        <f>HYPERLINK("https://docs.google.com/spreadsheets/d/1HC1Lazi3yp9OGfK3Sf_7Z4h3Vlm0U6L9uz-WKIKHFCw/edit#gid=444796751", "https://docs.google.com/spreadsheets/d/1HC1Lazi3yp9OGfK3Sf_7Z4h3Vlm0U6L9uz-WKIKHFCw/edit#gid=444796751")</f>
        <v>https://docs.google.com/spreadsheets/d/1HC1Lazi3yp9OGfK3Sf_7Z4h3Vlm0U6L9uz-WKIKHFCw/edit#gid=444796751</v>
      </c>
      <c r="H243" s="8" t="s">
        <v>132</v>
      </c>
      <c r="I243" s="9"/>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40"/>
      <c r="D244" s="31"/>
      <c r="E244" s="8" t="s">
        <v>43</v>
      </c>
      <c r="F244" s="8" t="s">
        <v>109</v>
      </c>
      <c r="G244" s="29" t="str">
        <f>HYPERLINK("https://docs.google.com/spreadsheets/d/1HC1Lazi3yp9OGfK3Sf_7Z4h3Vlm0U6L9uz-WKIKHFCw/edit#gid=137378230", "https://docs.google.com/spreadsheets/d/1HC1Lazi3yp9OGfK3Sf_7Z4h3Vlm0U6L9uz-WKIKHFCw/edit#gid=137378230")</f>
        <v>https://docs.google.com/spreadsheets/d/1HC1Lazi3yp9OGfK3Sf_7Z4h3Vlm0U6L9uz-WKIKHFCw/edit#gid=137378230</v>
      </c>
      <c r="H244" s="8" t="s">
        <v>109</v>
      </c>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B245" s="40"/>
      <c r="D245" s="31"/>
      <c r="E245" s="8" t="s">
        <v>21</v>
      </c>
      <c r="F245" s="8" t="s">
        <v>74</v>
      </c>
      <c r="G245" s="29" t="str">
        <f>HYPERLINK("https://docs.google.com/spreadsheets/d/1HC1Lazi3yp9OGfK3Sf_7Z4h3Vlm0U6L9uz-WKIKHFCw/edit#gid=1866852195", "https://docs.google.com/spreadsheets/d/1HC1Lazi3yp9OGfK3Sf_7Z4h3Vlm0U6L9uz-WKIKHFCw/edit#gid=1866852195")</f>
        <v>https://docs.google.com/spreadsheets/d/1HC1Lazi3yp9OGfK3Sf_7Z4h3Vlm0U6L9uz-WKIKHFCw/edit#gid=1866852195</v>
      </c>
      <c r="H245" s="8" t="s">
        <v>74</v>
      </c>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B246" s="40"/>
      <c r="D246" s="31"/>
      <c r="E246" s="28" t="s">
        <v>72</v>
      </c>
      <c r="F246" s="8" t="s">
        <v>76</v>
      </c>
      <c r="G246" s="29" t="str">
        <f>HYPERLINK("https://docs.google.com/spreadsheets/d/1HC1Lazi3yp9OGfK3Sf_7Z4h3Vlm0U6L9uz-WKIKHFCw/edit#gid=852904478", "https://docs.google.com/spreadsheets/d/1HC1Lazi3yp9OGfK3Sf_7Z4h3Vlm0U6L9uz-WKIKHFCw/edit#gid=852904478")</f>
        <v>https://docs.google.com/spreadsheets/d/1HC1Lazi3yp9OGfK3Sf_7Z4h3Vlm0U6L9uz-WKIKHFCw/edit#gid=852904478</v>
      </c>
      <c r="H246" s="8" t="s">
        <v>76</v>
      </c>
      <c r="I246" s="31"/>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B247" s="40"/>
      <c r="D247" s="31"/>
      <c r="E247" s="28" t="s">
        <v>43</v>
      </c>
      <c r="F247" s="8" t="s">
        <v>109</v>
      </c>
      <c r="G247" s="29" t="str">
        <f>HYPERLINK("https://docs.google.com/spreadsheets/d/1HC1Lazi3yp9OGfK3Sf_7Z4h3Vlm0U6L9uz-WKIKHFCw/edit#gid=542326101", "https://docs.google.com/spreadsheets/d/1HC1Lazi3yp9OGfK3Sf_7Z4h3Vlm0U6L9uz-WKIKHFCw/edit#gid=542326101")</f>
        <v>https://docs.google.com/spreadsheets/d/1HC1Lazi3yp9OGfK3Sf_7Z4h3Vlm0U6L9uz-WKIKHFCw/edit#gid=542326101</v>
      </c>
      <c r="H247" s="8" t="s">
        <v>2395</v>
      </c>
      <c r="I247" s="31"/>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B248" s="40"/>
      <c r="D248" s="31"/>
      <c r="E248" s="28" t="s">
        <v>21</v>
      </c>
      <c r="F248" s="38" t="s">
        <v>74</v>
      </c>
      <c r="G248" s="29" t="str">
        <f>HYPERLINK("https://docs.google.com/spreadsheets/d/1HC1Lazi3yp9OGfK3Sf_7Z4h3Vlm0U6L9uz-WKIKHFCw/edit#gid=1715757534", "https://docs.google.com/spreadsheets/d/1HC1Lazi3yp9OGfK3Sf_7Z4h3Vlm0U6L9uz-WKIKHFCw/edit#gid=1715757534")</f>
        <v>https://docs.google.com/spreadsheets/d/1HC1Lazi3yp9OGfK3Sf_7Z4h3Vlm0U6L9uz-WKIKHFCw/edit#gid=1715757534</v>
      </c>
      <c r="H248" s="38" t="s">
        <v>2390</v>
      </c>
      <c r="I248" s="31"/>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B249" s="40"/>
      <c r="D249" s="31"/>
      <c r="E249" s="28" t="s">
        <v>72</v>
      </c>
      <c r="F249" s="38" t="s">
        <v>76</v>
      </c>
      <c r="G249" s="29" t="str">
        <f>HYPERLINK("https://docs.google.com/spreadsheets/d/1HC1Lazi3yp9OGfK3Sf_7Z4h3Vlm0U6L9uz-WKIKHFCw/edit#gid=169281615", "https://docs.google.com/spreadsheets/d/1HC1Lazi3yp9OGfK3Sf_7Z4h3Vlm0U6L9uz-WKIKHFCw/edit#gid=169281615")</f>
        <v>https://docs.google.com/spreadsheets/d/1HC1Lazi3yp9OGfK3Sf_7Z4h3Vlm0U6L9uz-WKIKHFCw/edit#gid=169281615</v>
      </c>
      <c r="H249" s="38" t="s">
        <v>2391</v>
      </c>
      <c r="I249" s="31"/>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B250" s="40"/>
      <c r="D250" s="31"/>
      <c r="E250" s="28" t="s">
        <v>72</v>
      </c>
      <c r="F250" s="28" t="s">
        <v>75</v>
      </c>
      <c r="G250" s="29" t="str">
        <f>HYPERLINK("https://docs.google.com/spreadsheets/d/1HC1Lazi3yp9OGfK3Sf_7Z4h3Vlm0U6L9uz-WKIKHFCw/edit#gid=358626270", "https://docs.google.com/spreadsheets/d/1HC1Lazi3yp9OGfK3Sf_7Z4h3Vlm0U6L9uz-WKIKHFCw/edit#gid=358626270")</f>
        <v>https://docs.google.com/spreadsheets/d/1HC1Lazi3yp9OGfK3Sf_7Z4h3Vlm0U6L9uz-WKIKHFCw/edit#gid=358626270</v>
      </c>
      <c r="H250" s="38" t="s">
        <v>75</v>
      </c>
      <c r="I250" s="9"/>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B251" s="40"/>
      <c r="D251" s="31"/>
      <c r="E251" s="8" t="s">
        <v>72</v>
      </c>
      <c r="F251" s="8" t="s">
        <v>81</v>
      </c>
      <c r="G251" s="29" t="str">
        <f>HYPERLINK("https://docs.google.com/spreadsheets/d/1HC1Lazi3yp9OGfK3Sf_7Z4h3Vlm0U6L9uz-WKIKHFCw/edit#gid=134462612", "https://docs.google.com/spreadsheets/d/1HC1Lazi3yp9OGfK3Sf_7Z4h3Vlm0U6L9uz-WKIKHFCw/edit#gid=134462612")</f>
        <v>https://docs.google.com/spreadsheets/d/1HC1Lazi3yp9OGfK3Sf_7Z4h3Vlm0U6L9uz-WKIKHFCw/edit#gid=134462612</v>
      </c>
      <c r="H251" s="8" t="s">
        <v>81</v>
      </c>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B252" s="40"/>
      <c r="D252" s="31"/>
      <c r="E252" s="8" t="s">
        <v>43</v>
      </c>
      <c r="F252" s="8" t="s">
        <v>109</v>
      </c>
      <c r="G252" s="29" t="str">
        <f>HYPERLINK("https://docs.google.com/spreadsheets/d/1HC1Lazi3yp9OGfK3Sf_7Z4h3Vlm0U6L9uz-WKIKHFCw/edit#gid=240935555", "https://docs.google.com/spreadsheets/d/1HC1Lazi3yp9OGfK3Sf_7Z4h3Vlm0U6L9uz-WKIKHFCw/edit#gid=240935555")</f>
        <v>https://docs.google.com/spreadsheets/d/1HC1Lazi3yp9OGfK3Sf_7Z4h3Vlm0U6L9uz-WKIKHFCw/edit#gid=240935555</v>
      </c>
      <c r="H252" s="8" t="s">
        <v>2208</v>
      </c>
      <c r="I252" s="9"/>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B253" s="40"/>
      <c r="D253" s="31"/>
      <c r="E253" s="8" t="s">
        <v>21</v>
      </c>
      <c r="F253" s="8" t="s">
        <v>74</v>
      </c>
      <c r="G253" s="29" t="str">
        <f>HYPERLINK("https://docs.google.com/spreadsheets/d/1HC1Lazi3yp9OGfK3Sf_7Z4h3Vlm0U6L9uz-WKIKHFCw/edit#gid=820080448", "https://docs.google.com/spreadsheets/d/1HC1Lazi3yp9OGfK3Sf_7Z4h3Vlm0U6L9uz-WKIKHFCw/edit#gid=820080448")</f>
        <v>https://docs.google.com/spreadsheets/d/1HC1Lazi3yp9OGfK3Sf_7Z4h3Vlm0U6L9uz-WKIKHFCw/edit#gid=820080448</v>
      </c>
      <c r="H253" s="8" t="s">
        <v>2396</v>
      </c>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B254" s="40"/>
      <c r="D254" s="31"/>
      <c r="E254" s="8" t="s">
        <v>72</v>
      </c>
      <c r="F254" s="8" t="s">
        <v>76</v>
      </c>
      <c r="G254" s="29" t="str">
        <f>HYPERLINK("https://docs.google.com/spreadsheets/d/1HC1Lazi3yp9OGfK3Sf_7Z4h3Vlm0U6L9uz-WKIKHFCw/edit#gid=2108691664", "https://docs.google.com/spreadsheets/d/1HC1Lazi3yp9OGfK3Sf_7Z4h3Vlm0U6L9uz-WKIKHFCw/edit#gid=2108691664")</f>
        <v>https://docs.google.com/spreadsheets/d/1HC1Lazi3yp9OGfK3Sf_7Z4h3Vlm0U6L9uz-WKIKHFCw/edit#gid=2108691664</v>
      </c>
      <c r="H254" s="8" t="s">
        <v>2397</v>
      </c>
      <c r="I254" s="9"/>
      <c r="J254" s="9"/>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B255" s="40"/>
      <c r="D255" s="31"/>
      <c r="E255" s="8" t="s">
        <v>43</v>
      </c>
      <c r="F255" s="8" t="s">
        <v>132</v>
      </c>
      <c r="G255" s="29" t="str">
        <f>HYPERLINK("https://docs.google.com/spreadsheets/d/1HC1Lazi3yp9OGfK3Sf_7Z4h3Vlm0U6L9uz-WKIKHFCw/edit#gid=126688956", "https://docs.google.com/spreadsheets/d/1HC1Lazi3yp9OGfK3Sf_7Z4h3Vlm0U6L9uz-WKIKHFCw/edit#gid=126688956")</f>
        <v>https://docs.google.com/spreadsheets/d/1HC1Lazi3yp9OGfK3Sf_7Z4h3Vlm0U6L9uz-WKIKHFCw/edit#gid=126688956</v>
      </c>
      <c r="H255" s="8" t="s">
        <v>324</v>
      </c>
      <c r="I255" s="9"/>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B256" s="40"/>
      <c r="D256" s="31"/>
      <c r="E256" s="8" t="s">
        <v>43</v>
      </c>
      <c r="F256" s="8" t="s">
        <v>248</v>
      </c>
      <c r="G256" s="29" t="str">
        <f>HYPERLINK("https://docs.google.com/spreadsheets/d/1HC1Lazi3yp9OGfK3Sf_7Z4h3Vlm0U6L9uz-WKIKHFCw/edit#gid=1287823456", "https://docs.google.com/spreadsheets/d/1HC1Lazi3yp9OGfK3Sf_7Z4h3Vlm0U6L9uz-WKIKHFCw/edit#gid=1287823456")</f>
        <v>https://docs.google.com/spreadsheets/d/1HC1Lazi3yp9OGfK3Sf_7Z4h3Vlm0U6L9uz-WKIKHFCw/edit#gid=1287823456</v>
      </c>
      <c r="H256" s="8" t="s">
        <v>248</v>
      </c>
      <c r="I256" s="9"/>
      <c r="J256" s="9"/>
      <c r="K256" s="11"/>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40"/>
      <c r="D257" s="31"/>
      <c r="E257" s="28" t="s">
        <v>21</v>
      </c>
      <c r="F257" s="8" t="s">
        <v>249</v>
      </c>
      <c r="G257" s="29" t="str">
        <f>HYPERLINK("https://docs.google.com/spreadsheets/d/1HC1Lazi3yp9OGfK3Sf_7Z4h3Vlm0U6L9uz-WKIKHFCw/edit#gid=1749532211", "https://docs.google.com/spreadsheets/d/1HC1Lazi3yp9OGfK3Sf_7Z4h3Vlm0U6L9uz-WKIKHFCw/edit#gid=1749532211")</f>
        <v>https://docs.google.com/spreadsheets/d/1HC1Lazi3yp9OGfK3Sf_7Z4h3Vlm0U6L9uz-WKIKHFCw/edit#gid=1749532211</v>
      </c>
      <c r="H257" s="8" t="s">
        <v>249</v>
      </c>
      <c r="I257" s="31"/>
      <c r="J257" s="9"/>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40"/>
      <c r="D258" s="31"/>
      <c r="E258" s="28" t="s">
        <v>72</v>
      </c>
      <c r="F258" s="38" t="s">
        <v>76</v>
      </c>
      <c r="G258" s="29" t="str">
        <f>HYPERLINK("https://docs.google.com/spreadsheets/d/1HC1Lazi3yp9OGfK3Sf_7Z4h3Vlm0U6L9uz-WKIKHFCw/edit#gid=1304243908", "https://docs.google.com/spreadsheets/d/1HC1Lazi3yp9OGfK3Sf_7Z4h3Vlm0U6L9uz-WKIKHFCw/edit#gid=1304243908")</f>
        <v>https://docs.google.com/spreadsheets/d/1HC1Lazi3yp9OGfK3Sf_7Z4h3Vlm0U6L9uz-WKIKHFCw/edit#gid=1304243908</v>
      </c>
      <c r="H258" s="38" t="s">
        <v>2398</v>
      </c>
      <c r="I258" s="31"/>
      <c r="J258" s="9"/>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B259" s="40"/>
      <c r="D259" s="31"/>
      <c r="E259" s="28" t="s">
        <v>43</v>
      </c>
      <c r="F259" s="28" t="s">
        <v>132</v>
      </c>
      <c r="G259" s="29" t="str">
        <f>HYPERLINK("https://docs.google.com/spreadsheets/d/1HC1Lazi3yp9OGfK3Sf_7Z4h3Vlm0U6L9uz-WKIKHFCw/edit#gid=1330224026", "https://docs.google.com/spreadsheets/d/1HC1Lazi3yp9OGfK3Sf_7Z4h3Vlm0U6L9uz-WKIKHFCw/edit#gid=1330224026")</f>
        <v>https://docs.google.com/spreadsheets/d/1HC1Lazi3yp9OGfK3Sf_7Z4h3Vlm0U6L9uz-WKIKHFCw/edit#gid=1330224026</v>
      </c>
      <c r="H259" s="38" t="s">
        <v>327</v>
      </c>
      <c r="I259" s="9"/>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B260" s="40"/>
      <c r="D260" s="31"/>
      <c r="E260" s="8" t="s">
        <v>43</v>
      </c>
      <c r="F260" s="8" t="s">
        <v>714</v>
      </c>
      <c r="G260" s="29" t="str">
        <f>HYPERLINK("https://docs.google.com/spreadsheets/d/1HC1Lazi3yp9OGfK3Sf_7Z4h3Vlm0U6L9uz-WKIKHFCw/edit#gid=1878372859", "https://docs.google.com/spreadsheets/d/1HC1Lazi3yp9OGfK3Sf_7Z4h3Vlm0U6L9uz-WKIKHFCw/edit#gid=1878372859")</f>
        <v>https://docs.google.com/spreadsheets/d/1HC1Lazi3yp9OGfK3Sf_7Z4h3Vlm0U6L9uz-WKIKHFCw/edit#gid=1878372859</v>
      </c>
      <c r="H260" s="8" t="s">
        <v>714</v>
      </c>
      <c r="I260" s="9"/>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B261" s="40"/>
      <c r="D261" s="31"/>
      <c r="E261" s="8" t="s">
        <v>72</v>
      </c>
      <c r="F261" s="8" t="s">
        <v>76</v>
      </c>
      <c r="G261" s="29" t="str">
        <f>HYPERLINK("https://docs.google.com/spreadsheets/d/1HC1Lazi3yp9OGfK3Sf_7Z4h3Vlm0U6L9uz-WKIKHFCw/edit#gid=1861447709", "https://docs.google.com/spreadsheets/d/1HC1Lazi3yp9OGfK3Sf_7Z4h3Vlm0U6L9uz-WKIKHFCw/edit#gid=1861447709")</f>
        <v>https://docs.google.com/spreadsheets/d/1HC1Lazi3yp9OGfK3Sf_7Z4h3Vlm0U6L9uz-WKIKHFCw/edit#gid=1861447709</v>
      </c>
      <c r="H261" s="8" t="s">
        <v>2404</v>
      </c>
      <c r="I261" s="9"/>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B262" s="40"/>
      <c r="D262" s="31"/>
      <c r="E262" s="8" t="s">
        <v>43</v>
      </c>
      <c r="F262" s="8" t="s">
        <v>132</v>
      </c>
      <c r="G262" s="29" t="str">
        <f>HYPERLINK("https://docs.google.com/spreadsheets/d/1HC1Lazi3yp9OGfK3Sf_7Z4h3Vlm0U6L9uz-WKIKHFCw/edit#gid=936238133", "https://docs.google.com/spreadsheets/d/1HC1Lazi3yp9OGfK3Sf_7Z4h3Vlm0U6L9uz-WKIKHFCw/edit#gid=936238133")</f>
        <v>https://docs.google.com/spreadsheets/d/1HC1Lazi3yp9OGfK3Sf_7Z4h3Vlm0U6L9uz-WKIKHFCw/edit#gid=936238133</v>
      </c>
      <c r="H262" s="8" t="s">
        <v>331</v>
      </c>
      <c r="I262" s="9"/>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B263" s="40"/>
      <c r="D263" s="31"/>
      <c r="E263" s="8" t="s">
        <v>43</v>
      </c>
      <c r="F263" s="8" t="s">
        <v>714</v>
      </c>
      <c r="G263" s="29" t="str">
        <f>HYPERLINK("https://docs.google.com/spreadsheets/d/1HC1Lazi3yp9OGfK3Sf_7Z4h3Vlm0U6L9uz-WKIKHFCw/edit#gid=1666808872", "https://docs.google.com/spreadsheets/d/1HC1Lazi3yp9OGfK3Sf_7Z4h3Vlm0U6L9uz-WKIKHFCw/edit#gid=1666808872")</f>
        <v>https://docs.google.com/spreadsheets/d/1HC1Lazi3yp9OGfK3Sf_7Z4h3Vlm0U6L9uz-WKIKHFCw/edit#gid=1666808872</v>
      </c>
      <c r="H263" s="8" t="s">
        <v>2405</v>
      </c>
      <c r="I263" s="9"/>
      <c r="J263" s="9"/>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B264" s="40"/>
      <c r="D264" s="31"/>
      <c r="E264" s="8" t="s">
        <v>72</v>
      </c>
      <c r="F264" s="8" t="s">
        <v>76</v>
      </c>
      <c r="G264" s="29" t="str">
        <f>HYPERLINK("https://docs.google.com/spreadsheets/d/1HC1Lazi3yp9OGfK3Sf_7Z4h3Vlm0U6L9uz-WKIKHFCw/edit#gid=654162683", "https://docs.google.com/spreadsheets/d/1HC1Lazi3yp9OGfK3Sf_7Z4h3Vlm0U6L9uz-WKIKHFCw/edit#gid=654162683")</f>
        <v>https://docs.google.com/spreadsheets/d/1HC1Lazi3yp9OGfK3Sf_7Z4h3Vlm0U6L9uz-WKIKHFCw/edit#gid=654162683</v>
      </c>
      <c r="H264" s="8" t="s">
        <v>2406</v>
      </c>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B265" s="40"/>
      <c r="C265" s="41"/>
      <c r="D265" s="31"/>
      <c r="E265" s="31"/>
      <c r="F265" s="31"/>
      <c r="G265" s="29"/>
      <c r="H265" s="31"/>
      <c r="I265" s="9"/>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B266" s="26" t="s">
        <v>2407</v>
      </c>
      <c r="C266" s="164" t="s">
        <v>2408</v>
      </c>
      <c r="D266" s="8" t="s">
        <v>20</v>
      </c>
      <c r="E266" s="28" t="s">
        <v>88</v>
      </c>
      <c r="F266" s="8" t="s">
        <v>89</v>
      </c>
      <c r="G266" s="29"/>
      <c r="H266" s="36"/>
      <c r="I266" s="36"/>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B267" s="40"/>
      <c r="D267" s="31"/>
      <c r="E267" s="28" t="s">
        <v>21</v>
      </c>
      <c r="F267" s="38" t="s">
        <v>74</v>
      </c>
      <c r="G267" s="29" t="str">
        <f>HYPERLINK("https://docs.google.com/spreadsheets/d/1S3jsy54_JHvGQpLaokjNc-O01wrQ9DSMPSWDQ2Vcb_I/edit#gid=1196759832", "https://docs.google.com/spreadsheets/d/1S3jsy54_JHvGQpLaokjNc-O01wrQ9DSMPSWDQ2Vcb_I/edit#gid=1196759832")</f>
        <v>https://docs.google.com/spreadsheets/d/1S3jsy54_JHvGQpLaokjNc-O01wrQ9DSMPSWDQ2Vcb_I/edit#gid=1196759832</v>
      </c>
      <c r="H267" s="38" t="s">
        <v>74</v>
      </c>
      <c r="I267" s="31"/>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B268" s="40"/>
      <c r="D268" s="31"/>
      <c r="E268" s="28" t="s">
        <v>72</v>
      </c>
      <c r="F268" s="28" t="s">
        <v>76</v>
      </c>
      <c r="G268" s="29" t="str">
        <f>HYPERLINK("https://docs.google.com/spreadsheets/d/1S3jsy54_JHvGQpLaokjNc-O01wrQ9DSMPSWDQ2Vcb_I/edit#gid=970324856", "https://docs.google.com/spreadsheets/d/1S3jsy54_JHvGQpLaokjNc-O01wrQ9DSMPSWDQ2Vcb_I/edit#gid=970324856")</f>
        <v>https://docs.google.com/spreadsheets/d/1S3jsy54_JHvGQpLaokjNc-O01wrQ9DSMPSWDQ2Vcb_I/edit#gid=970324856</v>
      </c>
      <c r="H268" s="38" t="s">
        <v>76</v>
      </c>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B269" s="40"/>
      <c r="D269" s="31"/>
      <c r="E269" s="8" t="s">
        <v>72</v>
      </c>
      <c r="F269" s="8" t="s">
        <v>75</v>
      </c>
      <c r="G269" s="29" t="str">
        <f>HYPERLINK("https://docs.google.com/spreadsheets/d/1S3jsy54_JHvGQpLaokjNc-O01wrQ9DSMPSWDQ2Vcb_I/edit#gid=1708399394", "https://docs.google.com/spreadsheets/d/1S3jsy54_JHvGQpLaokjNc-O01wrQ9DSMPSWDQ2Vcb_I/edit#gid=1708399394")</f>
        <v>https://docs.google.com/spreadsheets/d/1S3jsy54_JHvGQpLaokjNc-O01wrQ9DSMPSWDQ2Vcb_I/edit#gid=1708399394</v>
      </c>
      <c r="H269" s="8" t="s">
        <v>75</v>
      </c>
      <c r="I269" s="9"/>
      <c r="J269" s="9"/>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B270" s="40"/>
      <c r="D270" s="31"/>
      <c r="E270" s="8" t="s">
        <v>72</v>
      </c>
      <c r="F270" s="8" t="s">
        <v>81</v>
      </c>
      <c r="G270" s="29" t="str">
        <f>HYPERLINK("https://docs.google.com/spreadsheets/d/1S3jsy54_JHvGQpLaokjNc-O01wrQ9DSMPSWDQ2Vcb_I/edit#gid=1038897107", "https://docs.google.com/spreadsheets/d/1S3jsy54_JHvGQpLaokjNc-O01wrQ9DSMPSWDQ2Vcb_I/edit#gid=1038897107")</f>
        <v>https://docs.google.com/spreadsheets/d/1S3jsy54_JHvGQpLaokjNc-O01wrQ9DSMPSWDQ2Vcb_I/edit#gid=1038897107</v>
      </c>
      <c r="H270" s="8" t="s">
        <v>81</v>
      </c>
      <c r="I270" s="9"/>
      <c r="J270" s="9"/>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B271" s="40"/>
      <c r="D271" s="31"/>
      <c r="E271" s="28" t="s">
        <v>43</v>
      </c>
      <c r="F271" s="38" t="s">
        <v>132</v>
      </c>
      <c r="G271" s="29" t="str">
        <f>HYPERLINK("https://docs.google.com/spreadsheets/d/1S3jsy54_JHvGQpLaokjNc-O01wrQ9DSMPSWDQ2Vcb_I/edit#gid=1538030242", "https://docs.google.com/spreadsheets/d/1S3jsy54_JHvGQpLaokjNc-O01wrQ9DSMPSWDQ2Vcb_I/edit#gid=1538030242")</f>
        <v>https://docs.google.com/spreadsheets/d/1S3jsy54_JHvGQpLaokjNc-O01wrQ9DSMPSWDQ2Vcb_I/edit#gid=1538030242</v>
      </c>
      <c r="H271" s="38" t="s">
        <v>324</v>
      </c>
      <c r="I271" s="31"/>
      <c r="J271" s="9"/>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40"/>
      <c r="D272" s="31"/>
      <c r="E272" s="28" t="s">
        <v>43</v>
      </c>
      <c r="F272" s="28" t="s">
        <v>714</v>
      </c>
      <c r="G272" s="42" t="str">
        <f>HYPERLINK("https://docs.google.com/spreadsheets/d/1S3jsy54_JHvGQpLaokjNc-O01wrQ9DSMPSWDQ2Vcb_I/edit#gid=1530664558", "https://docs.google.com/spreadsheets/d/1S3jsy54_JHvGQpLaokjNc-O01wrQ9DSMPSWDQ2Vcb_I/edit#gid=1530664558")</f>
        <v>https://docs.google.com/spreadsheets/d/1S3jsy54_JHvGQpLaokjNc-O01wrQ9DSMPSWDQ2Vcb_I/edit#gid=1530664558</v>
      </c>
      <c r="H272" s="38" t="s">
        <v>714</v>
      </c>
      <c r="I272" s="9"/>
      <c r="J272" s="9"/>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40"/>
      <c r="C273" s="41"/>
      <c r="D273" s="31"/>
      <c r="E273" s="9"/>
      <c r="F273" s="9"/>
      <c r="G273" s="42"/>
      <c r="H273" s="9"/>
      <c r="I273" s="9"/>
      <c r="J273" s="9"/>
      <c r="K273" s="11"/>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B274" s="26" t="s">
        <v>2409</v>
      </c>
      <c r="C274" s="39" t="s">
        <v>2410</v>
      </c>
      <c r="D274" s="8" t="s">
        <v>20</v>
      </c>
      <c r="E274" s="8" t="s">
        <v>88</v>
      </c>
      <c r="F274" s="8" t="s">
        <v>89</v>
      </c>
      <c r="G274" s="42"/>
      <c r="H274" s="36"/>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B275" s="43"/>
      <c r="D275" s="9"/>
      <c r="E275" s="28" t="s">
        <v>21</v>
      </c>
      <c r="F275" s="8" t="s">
        <v>74</v>
      </c>
      <c r="G275" s="48" t="str">
        <f>HYPERLINK("https://docs.google.com/spreadsheets/d/19gw4APAx8k37e43uA5No4N83U9GexVc8a8h1qq7M70Y/edit#gid=1366926086", "https://docs.google.com/spreadsheets/d/19gw4APAx8k37e43uA5No4N83U9GexVc8a8h1qq7M70Y/edit#gid=1366926086")</f>
        <v>https://docs.google.com/spreadsheets/d/19gw4APAx8k37e43uA5No4N83U9GexVc8a8h1qq7M70Y/edit#gid=1366926086</v>
      </c>
      <c r="H275" s="8" t="s">
        <v>74</v>
      </c>
      <c r="I275" s="9"/>
      <c r="J275" s="9"/>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B276" s="43"/>
      <c r="D276" s="9"/>
      <c r="E276" s="8" t="s">
        <v>72</v>
      </c>
      <c r="F276" s="8" t="s">
        <v>76</v>
      </c>
      <c r="G276" s="48" t="str">
        <f>HYPERLINK("https://docs.google.com/spreadsheets/d/19gw4APAx8k37e43uA5No4N83U9GexVc8a8h1qq7M70Y/edit#gid=149756176", "https://docs.google.com/spreadsheets/d/19gw4APAx8k37e43uA5No4N83U9GexVc8a8h1qq7M70Y/edit#gid=149756176")</f>
        <v>https://docs.google.com/spreadsheets/d/19gw4APAx8k37e43uA5No4N83U9GexVc8a8h1qq7M70Y/edit#gid=149756176</v>
      </c>
      <c r="H276" s="8" t="s">
        <v>76</v>
      </c>
      <c r="I276" s="9"/>
      <c r="J276" s="9"/>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B277" s="43"/>
      <c r="D277" s="9"/>
      <c r="E277" s="8" t="s">
        <v>72</v>
      </c>
      <c r="F277" s="8" t="s">
        <v>75</v>
      </c>
      <c r="G277" s="48" t="str">
        <f>HYPERLINK("https://docs.google.com/spreadsheets/d/19gw4APAx8k37e43uA5No4N83U9GexVc8a8h1qq7M70Y/edit#gid=2119150182", "https://docs.google.com/spreadsheets/d/19gw4APAx8k37e43uA5No4N83U9GexVc8a8h1qq7M70Y/edit#gid=2119150182")</f>
        <v>https://docs.google.com/spreadsheets/d/19gw4APAx8k37e43uA5No4N83U9GexVc8a8h1qq7M70Y/edit#gid=2119150182</v>
      </c>
      <c r="H277" s="8" t="s">
        <v>75</v>
      </c>
      <c r="I277" s="9"/>
      <c r="J277" s="9"/>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B278" s="43"/>
      <c r="D278" s="9"/>
      <c r="E278" s="28" t="s">
        <v>72</v>
      </c>
      <c r="F278" s="8" t="s">
        <v>81</v>
      </c>
      <c r="G278" s="48" t="str">
        <f>HYPERLINK("https://docs.google.com/spreadsheets/d/19gw4APAx8k37e43uA5No4N83U9GexVc8a8h1qq7M70Y/edit#gid=1519956252", "https://docs.google.com/spreadsheets/d/19gw4APAx8k37e43uA5No4N83U9GexVc8a8h1qq7M70Y/edit#gid=1519956252")</f>
        <v>https://docs.google.com/spreadsheets/d/19gw4APAx8k37e43uA5No4N83U9GexVc8a8h1qq7M70Y/edit#gid=1519956252</v>
      </c>
      <c r="H278" s="8" t="s">
        <v>81</v>
      </c>
      <c r="I278" s="9"/>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B279" s="43"/>
      <c r="D279" s="50"/>
      <c r="E279" s="8" t="s">
        <v>72</v>
      </c>
      <c r="F279" s="8" t="s">
        <v>75</v>
      </c>
      <c r="G279" s="42" t="str">
        <f>HYPERLINK("https://docs.google.com/spreadsheets/d/19gw4APAx8k37e43uA5No4N83U9GexVc8a8h1qq7M70Y/edit#gid=1466892212", "https://docs.google.com/spreadsheets/d/19gw4APAx8k37e43uA5No4N83U9GexVc8a8h1qq7M70Y/edit#gid=1466892212")</f>
        <v>https://docs.google.com/spreadsheets/d/19gw4APAx8k37e43uA5No4N83U9GexVc8a8h1qq7M70Y/edit#gid=1466892212</v>
      </c>
      <c r="H279" s="8" t="s">
        <v>80</v>
      </c>
      <c r="I279" s="9"/>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B280" s="43"/>
      <c r="D280" s="50"/>
      <c r="E280" s="8" t="s">
        <v>72</v>
      </c>
      <c r="F280" s="8" t="s">
        <v>81</v>
      </c>
      <c r="G280" s="42" t="str">
        <f>HYPERLINK("https://docs.google.com/spreadsheets/d/19gw4APAx8k37e43uA5No4N83U9GexVc8a8h1qq7M70Y/edit#gid=188029352", "https://docs.google.com/spreadsheets/d/19gw4APAx8k37e43uA5No4N83U9GexVc8a8h1qq7M70Y/edit#gid=188029352")</f>
        <v>https://docs.google.com/spreadsheets/d/19gw4APAx8k37e43uA5No4N83U9GexVc8a8h1qq7M70Y/edit#gid=188029352</v>
      </c>
      <c r="H280" s="8" t="s">
        <v>2411</v>
      </c>
      <c r="I280" s="9"/>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B281" s="43"/>
      <c r="D281" s="50"/>
      <c r="E281" s="8" t="s">
        <v>43</v>
      </c>
      <c r="F281" s="8" t="s">
        <v>79</v>
      </c>
      <c r="G281" s="42" t="str">
        <f>HYPERLINK("https://docs.google.com/spreadsheets/d/19gw4APAx8k37e43uA5No4N83U9GexVc8a8h1qq7M70Y/edit#gid=1117643652", "https://docs.google.com/spreadsheets/d/19gw4APAx8k37e43uA5No4N83U9GexVc8a8h1qq7M70Y/edit#gid=1117643652")</f>
        <v>https://docs.google.com/spreadsheets/d/19gw4APAx8k37e43uA5No4N83U9GexVc8a8h1qq7M70Y/edit#gid=1117643652</v>
      </c>
      <c r="H281" s="8" t="s">
        <v>79</v>
      </c>
      <c r="I281" s="9"/>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B282" s="43"/>
      <c r="C282" s="49"/>
      <c r="D282" s="50"/>
      <c r="E282" s="45"/>
      <c r="F282" s="9"/>
      <c r="G282" s="42"/>
      <c r="H282" s="9"/>
      <c r="I282" s="9"/>
      <c r="J282" s="9"/>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B283" s="26" t="s">
        <v>2412</v>
      </c>
      <c r="C283" s="49"/>
      <c r="D283" s="53" t="s">
        <v>20</v>
      </c>
      <c r="E283" s="28" t="s">
        <v>88</v>
      </c>
      <c r="F283" s="38" t="s">
        <v>89</v>
      </c>
      <c r="G283" s="42"/>
      <c r="H283" s="36"/>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B284" s="43"/>
      <c r="C284" s="49"/>
      <c r="D284" s="50"/>
      <c r="E284" s="28" t="s">
        <v>21</v>
      </c>
      <c r="F284" s="28" t="s">
        <v>74</v>
      </c>
      <c r="G284" s="42" t="str">
        <f>HYPERLINK("https://docs.google.com/spreadsheets/d/17Iag-blpmPp3IUKCNyMvsv8OiSW-XOkou4lfZxKRmUs/edit#gid=388283845", "https://docs.google.com/spreadsheets/d/17Iag-blpmPp3IUKCNyMvsv8OiSW-XOkou4lfZxKRmUs/edit#gid=388283845")</f>
        <v>https://docs.google.com/spreadsheets/d/17Iag-blpmPp3IUKCNyMvsv8OiSW-XOkou4lfZxKRmUs/edit#gid=388283845</v>
      </c>
      <c r="H284" s="38" t="s">
        <v>74</v>
      </c>
      <c r="I284" s="9"/>
      <c r="J284" s="9"/>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43"/>
      <c r="C285" s="49"/>
      <c r="D285" s="50"/>
      <c r="E285" s="8" t="s">
        <v>72</v>
      </c>
      <c r="F285" s="8" t="s">
        <v>76</v>
      </c>
      <c r="G285" s="42" t="str">
        <f>HYPERLINK("https://docs.google.com/spreadsheets/d/17Iag-blpmPp3IUKCNyMvsv8OiSW-XOkou4lfZxKRmUs/edit#gid=721167592", "https://docs.google.com/spreadsheets/d/17Iag-blpmPp3IUKCNyMvsv8OiSW-XOkou4lfZxKRmUs/edit#gid=721167592")</f>
        <v>https://docs.google.com/spreadsheets/d/17Iag-blpmPp3IUKCNyMvsv8OiSW-XOkou4lfZxKRmUs/edit#gid=721167592</v>
      </c>
      <c r="H285" s="8" t="s">
        <v>76</v>
      </c>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43"/>
      <c r="C286" s="49"/>
      <c r="D286" s="50"/>
      <c r="E286" s="8" t="s">
        <v>43</v>
      </c>
      <c r="F286" s="8" t="s">
        <v>132</v>
      </c>
      <c r="G286" s="42" t="str">
        <f>HYPERLINK("https://docs.google.com/spreadsheets/d/17Iag-blpmPp3IUKCNyMvsv8OiSW-XOkou4lfZxKRmUs/edit#gid=518958745", "https://docs.google.com/spreadsheets/d/17Iag-blpmPp3IUKCNyMvsv8OiSW-XOkou4lfZxKRmUs/edit#gid=518958745")</f>
        <v>https://docs.google.com/spreadsheets/d/17Iag-blpmPp3IUKCNyMvsv8OiSW-XOkou4lfZxKRmUs/edit#gid=518958745</v>
      </c>
      <c r="H286" s="8" t="s">
        <v>132</v>
      </c>
      <c r="I286" s="9"/>
      <c r="J286" s="9"/>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B287" s="43"/>
      <c r="C287" s="49"/>
      <c r="D287" s="50"/>
      <c r="E287" s="8" t="s">
        <v>43</v>
      </c>
      <c r="F287" s="8" t="s">
        <v>248</v>
      </c>
      <c r="G287" s="42" t="str">
        <f>HYPERLINK("https://docs.google.com/spreadsheets/d/17Iag-blpmPp3IUKCNyMvsv8OiSW-XOkou4lfZxKRmUs/edit#gid=634472587", "https://docs.google.com/spreadsheets/d/17Iag-blpmPp3IUKCNyMvsv8OiSW-XOkou4lfZxKRmUs/edit#gid=634472587")</f>
        <v>https://docs.google.com/spreadsheets/d/17Iag-blpmPp3IUKCNyMvsv8OiSW-XOkou4lfZxKRmUs/edit#gid=634472587</v>
      </c>
      <c r="H287" s="8" t="s">
        <v>248</v>
      </c>
      <c r="I287" s="9"/>
      <c r="J287" s="9"/>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B288" s="43"/>
      <c r="C288" s="49"/>
      <c r="D288" s="50"/>
      <c r="E288" s="8" t="s">
        <v>21</v>
      </c>
      <c r="F288" s="8" t="s">
        <v>249</v>
      </c>
      <c r="G288" s="42" t="str">
        <f>HYPERLINK("https://docs.google.com/spreadsheets/d/17Iag-blpmPp3IUKCNyMvsv8OiSW-XOkou4lfZxKRmUs/edit#gid=359180020", "https://docs.google.com/spreadsheets/d/17Iag-blpmPp3IUKCNyMvsv8OiSW-XOkou4lfZxKRmUs/edit#gid=359180020")</f>
        <v>https://docs.google.com/spreadsheets/d/17Iag-blpmPp3IUKCNyMvsv8OiSW-XOkou4lfZxKRmUs/edit#gid=359180020</v>
      </c>
      <c r="H288" s="8" t="s">
        <v>249</v>
      </c>
      <c r="I288" s="9"/>
      <c r="J288" s="9"/>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B289" s="43"/>
      <c r="C289" s="49"/>
      <c r="D289" s="50"/>
      <c r="E289" s="8" t="s">
        <v>43</v>
      </c>
      <c r="F289" s="8" t="s">
        <v>132</v>
      </c>
      <c r="G289" s="42" t="str">
        <f>HYPERLINK("https://docs.google.com/spreadsheets/d/17Iag-blpmPp3IUKCNyMvsv8OiSW-XOkou4lfZxKRmUs/edit#gid=1745375866", "https://docs.google.com/spreadsheets/d/17Iag-blpmPp3IUKCNyMvsv8OiSW-XOkou4lfZxKRmUs/edit#gid=1745375866")</f>
        <v>https://docs.google.com/spreadsheets/d/17Iag-blpmPp3IUKCNyMvsv8OiSW-XOkou4lfZxKRmUs/edit#gid=1745375866</v>
      </c>
      <c r="H289" s="8" t="s">
        <v>324</v>
      </c>
      <c r="I289" s="9"/>
      <c r="J289" s="9"/>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B290" s="43"/>
      <c r="C290" s="49"/>
      <c r="D290" s="50"/>
      <c r="E290" s="28" t="s">
        <v>43</v>
      </c>
      <c r="F290" s="38" t="s">
        <v>248</v>
      </c>
      <c r="G290" s="42" t="str">
        <f>HYPERLINK("https://docs.google.com/spreadsheets/d/17Iag-blpmPp3IUKCNyMvsv8OiSW-XOkou4lfZxKRmUs/edit#gid=557592439", "https://docs.google.com/spreadsheets/d/17Iag-blpmPp3IUKCNyMvsv8OiSW-XOkou4lfZxKRmUs/edit#gid=557592439")</f>
        <v>https://docs.google.com/spreadsheets/d/17Iag-blpmPp3IUKCNyMvsv8OiSW-XOkou4lfZxKRmUs/edit#gid=557592439</v>
      </c>
      <c r="H290" s="38" t="s">
        <v>2413</v>
      </c>
      <c r="I290" s="9"/>
      <c r="J290" s="9"/>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B291" s="43"/>
      <c r="C291" s="49"/>
      <c r="D291" s="50"/>
      <c r="E291" s="28" t="s">
        <v>21</v>
      </c>
      <c r="F291" s="28" t="s">
        <v>249</v>
      </c>
      <c r="G291" s="42" t="str">
        <f>HYPERLINK("https://docs.google.com/spreadsheets/d/17Iag-blpmPp3IUKCNyMvsv8OiSW-XOkou4lfZxKRmUs/edit#gid=764107461", "https://docs.google.com/spreadsheets/d/17Iag-blpmPp3IUKCNyMvsv8OiSW-XOkou4lfZxKRmUs/edit#gid=764107461")</f>
        <v>https://docs.google.com/spreadsheets/d/17Iag-blpmPp3IUKCNyMvsv8OiSW-XOkou4lfZxKRmUs/edit#gid=764107461</v>
      </c>
      <c r="H291" s="38" t="s">
        <v>2414</v>
      </c>
      <c r="I291" s="9"/>
      <c r="J291" s="9"/>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B292" s="43"/>
      <c r="C292" s="49"/>
      <c r="D292" s="50"/>
      <c r="E292" s="9"/>
      <c r="F292" s="9"/>
      <c r="G292" s="42"/>
      <c r="H292" s="9"/>
      <c r="I292" s="9"/>
      <c r="J292" s="9"/>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B293" s="26" t="s">
        <v>2415</v>
      </c>
      <c r="C293" s="49"/>
      <c r="D293" s="53" t="s">
        <v>20</v>
      </c>
      <c r="E293" s="8" t="s">
        <v>88</v>
      </c>
      <c r="F293" s="8" t="s">
        <v>89</v>
      </c>
      <c r="G293" s="42"/>
      <c r="H293" s="36"/>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B294" s="43"/>
      <c r="C294" s="49"/>
      <c r="D294" s="50"/>
      <c r="E294" s="8" t="s">
        <v>21</v>
      </c>
      <c r="F294" s="8" t="s">
        <v>74</v>
      </c>
      <c r="G294" s="42" t="str">
        <f>HYPERLINK("https://docs.google.com/spreadsheets/d/1LKEpckdMsDtzKGkc9We79BU62ANkZg-nYrfGeUIuw1A/edit#gid=1765048259", "https://docs.google.com/spreadsheets/d/1LKEpckdMsDtzKGkc9We79BU62ANkZg-nYrfGeUIuw1A/edit#gid=1765048259")</f>
        <v>https://docs.google.com/spreadsheets/d/1LKEpckdMsDtzKGkc9We79BU62ANkZg-nYrfGeUIuw1A/edit#gid=1765048259</v>
      </c>
      <c r="H294" s="8" t="s">
        <v>74</v>
      </c>
      <c r="I294" s="9"/>
      <c r="J294" s="9"/>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B295" s="43"/>
      <c r="C295" s="49"/>
      <c r="D295" s="50"/>
      <c r="E295" s="8" t="s">
        <v>72</v>
      </c>
      <c r="F295" s="8" t="s">
        <v>76</v>
      </c>
      <c r="G295" s="42" t="str">
        <f>HYPERLINK("https://docs.google.com/spreadsheets/d/1LKEpckdMsDtzKGkc9We79BU62ANkZg-nYrfGeUIuw1A/edit#gid=752203809", "https://docs.google.com/spreadsheets/d/1LKEpckdMsDtzKGkc9We79BU62ANkZg-nYrfGeUIuw1A/edit#gid=752203809")</f>
        <v>https://docs.google.com/spreadsheets/d/1LKEpckdMsDtzKGkc9We79BU62ANkZg-nYrfGeUIuw1A/edit#gid=752203809</v>
      </c>
      <c r="H295" s="8" t="s">
        <v>76</v>
      </c>
      <c r="I295" s="9"/>
      <c r="J295" s="9"/>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B296" s="43"/>
      <c r="C296" s="49"/>
      <c r="D296" s="50"/>
      <c r="E296" s="8" t="s">
        <v>43</v>
      </c>
      <c r="F296" s="8" t="s">
        <v>132</v>
      </c>
      <c r="G296" s="42" t="str">
        <f>HYPERLINK("https://docs.google.com/spreadsheets/d/1LKEpckdMsDtzKGkc9We79BU62ANkZg-nYrfGeUIuw1A/edit#gid=883291665", "https://docs.google.com/spreadsheets/d/1LKEpckdMsDtzKGkc9We79BU62ANkZg-nYrfGeUIuw1A/edit#gid=883291665")</f>
        <v>https://docs.google.com/spreadsheets/d/1LKEpckdMsDtzKGkc9We79BU62ANkZg-nYrfGeUIuw1A/edit#gid=883291665</v>
      </c>
      <c r="H296" s="8" t="s">
        <v>132</v>
      </c>
      <c r="I296" s="9"/>
      <c r="J296" s="9"/>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B297" s="43"/>
      <c r="C297" s="49"/>
      <c r="D297" s="50"/>
      <c r="E297" s="28" t="s">
        <v>43</v>
      </c>
      <c r="F297" s="8" t="s">
        <v>248</v>
      </c>
      <c r="G297" s="42" t="str">
        <f>HYPERLINK("https://docs.google.com/spreadsheets/d/1LKEpckdMsDtzKGkc9We79BU62ANkZg-nYrfGeUIuw1A/edit#gid=1114849487", "https://docs.google.com/spreadsheets/d/1LKEpckdMsDtzKGkc9We79BU62ANkZg-nYrfGeUIuw1A/edit#gid=1114849487")</f>
        <v>https://docs.google.com/spreadsheets/d/1LKEpckdMsDtzKGkc9We79BU62ANkZg-nYrfGeUIuw1A/edit#gid=1114849487</v>
      </c>
      <c r="H297" s="8" t="s">
        <v>248</v>
      </c>
      <c r="I297" s="9"/>
      <c r="J297" s="9"/>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B298" s="43"/>
      <c r="C298" s="49"/>
      <c r="D298" s="50"/>
      <c r="E298" s="28" t="s">
        <v>21</v>
      </c>
      <c r="F298" s="38" t="s">
        <v>249</v>
      </c>
      <c r="G298" s="42" t="str">
        <f>HYPERLINK("https://docs.google.com/spreadsheets/d/1LKEpckdMsDtzKGkc9We79BU62ANkZg-nYrfGeUIuw1A/edit#gid=950153323", "https://docs.google.com/spreadsheets/d/1LKEpckdMsDtzKGkc9We79BU62ANkZg-nYrfGeUIuw1A/edit#gid=950153323")</f>
        <v>https://docs.google.com/spreadsheets/d/1LKEpckdMsDtzKGkc9We79BU62ANkZg-nYrfGeUIuw1A/edit#gid=950153323</v>
      </c>
      <c r="H298" s="38" t="s">
        <v>249</v>
      </c>
      <c r="I298" s="9"/>
      <c r="J298" s="9"/>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43"/>
      <c r="C299" s="49"/>
      <c r="D299" s="50"/>
      <c r="E299" s="28" t="s">
        <v>72</v>
      </c>
      <c r="F299" s="28" t="s">
        <v>76</v>
      </c>
      <c r="G299" s="29" t="str">
        <f>HYPERLINK("https://docs.google.com/spreadsheets/d/1LKEpckdMsDtzKGkc9We79BU62ANkZg-nYrfGeUIuw1A/edit#gid=233753923", "https://docs.google.com/spreadsheets/d/1LKEpckdMsDtzKGkc9We79BU62ANkZg-nYrfGeUIuw1A/edit#gid=233753923")</f>
        <v>https://docs.google.com/spreadsheets/d/1LKEpckdMsDtzKGkc9We79BU62ANkZg-nYrfGeUIuw1A/edit#gid=233753923</v>
      </c>
      <c r="H299" s="38" t="s">
        <v>2391</v>
      </c>
      <c r="I299" s="9"/>
      <c r="J299" s="9"/>
      <c r="K299" s="11"/>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43"/>
      <c r="C300" s="49"/>
      <c r="D300" s="50"/>
      <c r="E300" s="8" t="s">
        <v>72</v>
      </c>
      <c r="F300" s="8" t="s">
        <v>75</v>
      </c>
      <c r="G300" s="29" t="str">
        <f>HYPERLINK("https://docs.google.com/spreadsheets/d/1LKEpckdMsDtzKGkc9We79BU62ANkZg-nYrfGeUIuw1A/edit#gid=1737768879", "https://docs.google.com/spreadsheets/d/1LKEpckdMsDtzKGkc9We79BU62ANkZg-nYrfGeUIuw1A/edit#gid=1737768879")</f>
        <v>https://docs.google.com/spreadsheets/d/1LKEpckdMsDtzKGkc9We79BU62ANkZg-nYrfGeUIuw1A/edit#gid=1737768879</v>
      </c>
      <c r="H300" s="8" t="s">
        <v>75</v>
      </c>
      <c r="I300" s="9"/>
      <c r="J300" s="9"/>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B301" s="43"/>
      <c r="C301" s="49"/>
      <c r="D301" s="50"/>
      <c r="E301" s="8" t="s">
        <v>72</v>
      </c>
      <c r="F301" s="8" t="s">
        <v>81</v>
      </c>
      <c r="G301" s="29" t="str">
        <f>HYPERLINK("https://docs.google.com/spreadsheets/d/1LKEpckdMsDtzKGkc9We79BU62ANkZg-nYrfGeUIuw1A/edit#gid=1429099844", "https://docs.google.com/spreadsheets/d/1LKEpckdMsDtzKGkc9We79BU62ANkZg-nYrfGeUIuw1A/edit#gid=1429099844")</f>
        <v>https://docs.google.com/spreadsheets/d/1LKEpckdMsDtzKGkc9We79BU62ANkZg-nYrfGeUIuw1A/edit#gid=1429099844</v>
      </c>
      <c r="H301" s="8" t="s">
        <v>81</v>
      </c>
      <c r="I301" s="9"/>
      <c r="J301" s="9"/>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B302" s="40"/>
      <c r="C302" s="41"/>
      <c r="D302" s="31"/>
      <c r="E302" s="8" t="s">
        <v>43</v>
      </c>
      <c r="F302" s="8" t="s">
        <v>248</v>
      </c>
      <c r="G302" s="29" t="str">
        <f>HYPERLINK("https://docs.google.com/spreadsheets/d/1LKEpckdMsDtzKGkc9We79BU62ANkZg-nYrfGeUIuw1A/edit#gid=1922612946", "https://docs.google.com/spreadsheets/d/1LKEpckdMsDtzKGkc9We79BU62ANkZg-nYrfGeUIuw1A/edit#gid=1922612946")</f>
        <v>https://docs.google.com/spreadsheets/d/1LKEpckdMsDtzKGkc9We79BU62ANkZg-nYrfGeUIuw1A/edit#gid=1922612946</v>
      </c>
      <c r="H302" s="8" t="s">
        <v>2413</v>
      </c>
      <c r="I302" s="9"/>
      <c r="J302" s="9"/>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B303" s="40"/>
      <c r="C303" s="41"/>
      <c r="D303" s="31"/>
      <c r="E303" s="8" t="s">
        <v>21</v>
      </c>
      <c r="F303" s="8" t="s">
        <v>249</v>
      </c>
      <c r="G303" s="29" t="str">
        <f>HYPERLINK("https://docs.google.com/spreadsheets/d/1LKEpckdMsDtzKGkc9We79BU62ANkZg-nYrfGeUIuw1A/edit#gid=796255675", "https://docs.google.com/spreadsheets/d/1LKEpckdMsDtzKGkc9We79BU62ANkZg-nYrfGeUIuw1A/edit#gid=796255675")</f>
        <v>https://docs.google.com/spreadsheets/d/1LKEpckdMsDtzKGkc9We79BU62ANkZg-nYrfGeUIuw1A/edit#gid=796255675</v>
      </c>
      <c r="H303" s="8" t="s">
        <v>2414</v>
      </c>
      <c r="I303" s="9"/>
      <c r="J303" s="9"/>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B304" s="40"/>
      <c r="C304" s="41"/>
      <c r="D304" s="31"/>
      <c r="E304" s="8" t="s">
        <v>43</v>
      </c>
      <c r="F304" s="8" t="s">
        <v>77</v>
      </c>
      <c r="G304" s="29" t="str">
        <f>HYPERLINK("https://docs.google.com/spreadsheets/d/1LKEpckdMsDtzKGkc9We79BU62ANkZg-nYrfGeUIuw1A/edit#gid=416975834", "https://docs.google.com/spreadsheets/d/1LKEpckdMsDtzKGkc9We79BU62ANkZg-nYrfGeUIuw1A/edit#gid=416975834")</f>
        <v>https://docs.google.com/spreadsheets/d/1LKEpckdMsDtzKGkc9We79BU62ANkZg-nYrfGeUIuw1A/edit#gid=416975834</v>
      </c>
      <c r="H304" s="8" t="s">
        <v>77</v>
      </c>
      <c r="I304" s="9"/>
      <c r="J304" s="9"/>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B305" s="40"/>
      <c r="C305" s="41"/>
      <c r="D305" s="31"/>
      <c r="E305" s="37"/>
      <c r="F305" s="31"/>
      <c r="G305" s="29"/>
      <c r="H305" s="31"/>
      <c r="I305" s="9"/>
      <c r="J305" s="9"/>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B306" s="26" t="s">
        <v>18</v>
      </c>
      <c r="C306" s="39" t="s">
        <v>2416</v>
      </c>
      <c r="D306" s="8" t="s">
        <v>20</v>
      </c>
      <c r="E306" s="28" t="s">
        <v>88</v>
      </c>
      <c r="F306" s="38" t="s">
        <v>89</v>
      </c>
      <c r="G306" s="29"/>
      <c r="H306" s="36"/>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B307" s="40"/>
      <c r="D307" s="31"/>
      <c r="E307" s="28" t="s">
        <v>21</v>
      </c>
      <c r="F307" s="28" t="s">
        <v>74</v>
      </c>
      <c r="G307" s="29" t="str">
        <f>HYPERLINK("https://docs.google.com/spreadsheets/d/11N1xVkd0lxlDmoAqx75wGKk-ZGm406_4GLG-ElpVeI8/edit#gid=1072089553", "https://docs.google.com/spreadsheets/d/11N1xVkd0lxlDmoAqx75wGKk-ZGm406_4GLG-ElpVeI8/edit#gid=1072089553")</f>
        <v>https://docs.google.com/spreadsheets/d/11N1xVkd0lxlDmoAqx75wGKk-ZGm406_4GLG-ElpVeI8/edit#gid=1072089553</v>
      </c>
      <c r="H307" s="38" t="s">
        <v>74</v>
      </c>
      <c r="I307" s="31"/>
      <c r="J307" s="9"/>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B308" s="40"/>
      <c r="D308" s="31"/>
      <c r="E308" s="8" t="s">
        <v>72</v>
      </c>
      <c r="F308" s="8" t="s">
        <v>76</v>
      </c>
      <c r="G308" s="29" t="str">
        <f>HYPERLINK("https://docs.google.com/spreadsheets/d/11N1xVkd0lxlDmoAqx75wGKk-ZGm406_4GLG-ElpVeI8/edit#gid=1142032753", "https://docs.google.com/spreadsheets/d/11N1xVkd0lxlDmoAqx75wGKk-ZGm406_4GLG-ElpVeI8/edit#gid=1142032753")</f>
        <v>https://docs.google.com/spreadsheets/d/11N1xVkd0lxlDmoAqx75wGKk-ZGm406_4GLG-ElpVeI8/edit#gid=1142032753</v>
      </c>
      <c r="H308" s="8" t="s">
        <v>76</v>
      </c>
      <c r="I308" s="31"/>
      <c r="J308" s="9"/>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B309" s="40"/>
      <c r="D309" s="55"/>
      <c r="E309" s="8" t="s">
        <v>43</v>
      </c>
      <c r="F309" s="8" t="s">
        <v>132</v>
      </c>
      <c r="G309" s="29" t="str">
        <f>HYPERLINK("https://docs.google.com/spreadsheets/d/11N1xVkd0lxlDmoAqx75wGKk-ZGm406_4GLG-ElpVeI8/edit#gid=1000414238", "https://docs.google.com/spreadsheets/d/11N1xVkd0lxlDmoAqx75wGKk-ZGm406_4GLG-ElpVeI8/edit#gid=1000414238")</f>
        <v>https://docs.google.com/spreadsheets/d/11N1xVkd0lxlDmoAqx75wGKk-ZGm406_4GLG-ElpVeI8/edit#gid=1000414238</v>
      </c>
      <c r="H309" s="8" t="s">
        <v>132</v>
      </c>
      <c r="I309" s="9"/>
      <c r="J309" s="9"/>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B310" s="40"/>
      <c r="D310" s="55"/>
      <c r="E310" s="28" t="s">
        <v>43</v>
      </c>
      <c r="F310" s="8" t="s">
        <v>113</v>
      </c>
      <c r="G310" s="29" t="str">
        <f>HYPERLINK("https://docs.google.com/spreadsheets/d/11N1xVkd0lxlDmoAqx75wGKk-ZGm406_4GLG-ElpVeI8/edit#gid=1567495361", "https://docs.google.com/spreadsheets/d/11N1xVkd0lxlDmoAqx75wGKk-ZGm406_4GLG-ElpVeI8/edit#gid=1567495361")</f>
        <v>https://docs.google.com/spreadsheets/d/11N1xVkd0lxlDmoAqx75wGKk-ZGm406_4GLG-ElpVeI8/edit#gid=1567495361</v>
      </c>
      <c r="H310" s="8" t="s">
        <v>113</v>
      </c>
      <c r="I310" s="9"/>
      <c r="J310" s="9"/>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B311" s="40"/>
      <c r="C311" s="54"/>
      <c r="D311" s="55"/>
      <c r="E311" s="37"/>
      <c r="F311" s="30"/>
      <c r="G311" s="29"/>
      <c r="H311" s="30"/>
      <c r="I311" s="9"/>
      <c r="J311" s="9"/>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B312" s="26" t="s">
        <v>2417</v>
      </c>
      <c r="C312" s="52" t="s">
        <v>2418</v>
      </c>
      <c r="D312" s="53" t="s">
        <v>20</v>
      </c>
      <c r="E312" s="28" t="s">
        <v>88</v>
      </c>
      <c r="F312" s="28" t="s">
        <v>89</v>
      </c>
      <c r="G312" s="29"/>
      <c r="H312" s="36"/>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15"/>
      <c r="B313" s="40"/>
      <c r="D313" s="55"/>
      <c r="E313" s="8" t="s">
        <v>21</v>
      </c>
      <c r="F313" s="8" t="s">
        <v>74</v>
      </c>
      <c r="G313" s="29" t="str">
        <f>HYPERLINK("https://docs.google.com/spreadsheets/d/1Nccsm0_L8Jn9GXNRQtFUicr7j2lvt1OOeyPxkrByZPU/edit#gid=768325888", "https://docs.google.com/spreadsheets/d/1Nccsm0_L8Jn9GXNRQtFUicr7j2lvt1OOeyPxkrByZPU/edit#gid=768325888")</f>
        <v>https://docs.google.com/spreadsheets/d/1Nccsm0_L8Jn9GXNRQtFUicr7j2lvt1OOeyPxkrByZPU/edit#gid=768325888</v>
      </c>
      <c r="H313" s="8" t="s">
        <v>74</v>
      </c>
      <c r="I313" s="31"/>
      <c r="J313" s="9"/>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40"/>
      <c r="D314" s="55"/>
      <c r="E314" s="8" t="s">
        <v>72</v>
      </c>
      <c r="F314" s="8" t="s">
        <v>76</v>
      </c>
      <c r="G314" s="29" t="str">
        <f>HYPERLINK("https://docs.google.com/spreadsheets/d/1Nccsm0_L8Jn9GXNRQtFUicr7j2lvt1OOeyPxkrByZPU/edit#gid=124070087", "https://docs.google.com/spreadsheets/d/1Nccsm0_L8Jn9GXNRQtFUicr7j2lvt1OOeyPxkrByZPU/edit#gid=124070087")</f>
        <v>https://docs.google.com/spreadsheets/d/1Nccsm0_L8Jn9GXNRQtFUicr7j2lvt1OOeyPxkrByZPU/edit#gid=124070087</v>
      </c>
      <c r="H314" s="8" t="s">
        <v>76</v>
      </c>
      <c r="I314" s="31"/>
      <c r="J314" s="9"/>
      <c r="K314" s="11"/>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40"/>
      <c r="D315" s="55"/>
      <c r="E315" s="8" t="s">
        <v>72</v>
      </c>
      <c r="F315" s="8" t="s">
        <v>75</v>
      </c>
      <c r="G315" s="29" t="str">
        <f>HYPERLINK("https://docs.google.com/spreadsheets/d/1Nccsm0_L8Jn9GXNRQtFUicr7j2lvt1OOeyPxkrByZPU/edit#gid=1516614603", "https://docs.google.com/spreadsheets/d/1Nccsm0_L8Jn9GXNRQtFUicr7j2lvt1OOeyPxkrByZPU/edit#gid=1516614603")</f>
        <v>https://docs.google.com/spreadsheets/d/1Nccsm0_L8Jn9GXNRQtFUicr7j2lvt1OOeyPxkrByZPU/edit#gid=1516614603</v>
      </c>
      <c r="H315" s="8" t="s">
        <v>75</v>
      </c>
      <c r="I315" s="9"/>
      <c r="J315" s="9"/>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B316" s="40"/>
      <c r="D316" s="55"/>
      <c r="E316" s="8" t="s">
        <v>72</v>
      </c>
      <c r="F316" s="8" t="s">
        <v>81</v>
      </c>
      <c r="G316" s="29" t="str">
        <f>HYPERLINK("https://docs.google.com/spreadsheets/d/1Nccsm0_L8Jn9GXNRQtFUicr7j2lvt1OOeyPxkrByZPU/edit#gid=577993396", "https://docs.google.com/spreadsheets/d/1Nccsm0_L8Jn9GXNRQtFUicr7j2lvt1OOeyPxkrByZPU/edit#gid=577993396")</f>
        <v>https://docs.google.com/spreadsheets/d/1Nccsm0_L8Jn9GXNRQtFUicr7j2lvt1OOeyPxkrByZPU/edit#gid=577993396</v>
      </c>
      <c r="H316" s="8" t="s">
        <v>81</v>
      </c>
      <c r="I316" s="9"/>
      <c r="J316" s="9"/>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B317" s="40"/>
      <c r="D317" s="55"/>
      <c r="E317" s="8" t="s">
        <v>43</v>
      </c>
      <c r="F317" s="8" t="s">
        <v>132</v>
      </c>
      <c r="G317" s="29" t="str">
        <f>HYPERLINK("https://docs.google.com/spreadsheets/d/1Nccsm0_L8Jn9GXNRQtFUicr7j2lvt1OOeyPxkrByZPU/edit#gid=287802706", "https://docs.google.com/spreadsheets/d/1Nccsm0_L8Jn9GXNRQtFUicr7j2lvt1OOeyPxkrByZPU/edit#gid=287802706")</f>
        <v>https://docs.google.com/spreadsheets/d/1Nccsm0_L8Jn9GXNRQtFUicr7j2lvt1OOeyPxkrByZPU/edit#gid=287802706</v>
      </c>
      <c r="H317" s="8" t="s">
        <v>132</v>
      </c>
      <c r="I317" s="9"/>
      <c r="J317" s="9"/>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B318" s="40"/>
      <c r="D318" s="55"/>
      <c r="E318" s="28" t="s">
        <v>43</v>
      </c>
      <c r="F318" s="8" t="s">
        <v>248</v>
      </c>
      <c r="G318" s="29" t="str">
        <f>HYPERLINK("https://docs.google.com/spreadsheets/d/1Nccsm0_L8Jn9GXNRQtFUicr7j2lvt1OOeyPxkrByZPU/edit#gid=1880883535", "https://docs.google.com/spreadsheets/d/1Nccsm0_L8Jn9GXNRQtFUicr7j2lvt1OOeyPxkrByZPU/edit#gid=1880883535")</f>
        <v>https://docs.google.com/spreadsheets/d/1Nccsm0_L8Jn9GXNRQtFUicr7j2lvt1OOeyPxkrByZPU/edit#gid=1880883535</v>
      </c>
      <c r="H318" s="8" t="s">
        <v>248</v>
      </c>
      <c r="I318" s="9"/>
      <c r="J318" s="9"/>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B319" s="40"/>
      <c r="D319" s="55"/>
      <c r="E319" s="28" t="s">
        <v>21</v>
      </c>
      <c r="F319" s="38" t="s">
        <v>249</v>
      </c>
      <c r="G319" s="29" t="str">
        <f>HYPERLINK("https://docs.google.com/spreadsheets/d/1Nccsm0_L8Jn9GXNRQtFUicr7j2lvt1OOeyPxkrByZPU/edit#gid=1612502687", "https://docs.google.com/spreadsheets/d/1Nccsm0_L8Jn9GXNRQtFUicr7j2lvt1OOeyPxkrByZPU/edit#gid=1612502687")</f>
        <v>https://docs.google.com/spreadsheets/d/1Nccsm0_L8Jn9GXNRQtFUicr7j2lvt1OOeyPxkrByZPU/edit#gid=1612502687</v>
      </c>
      <c r="H319" s="38" t="s">
        <v>249</v>
      </c>
      <c r="I319" s="9"/>
      <c r="J319" s="9"/>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B320" s="40"/>
      <c r="D320" s="55"/>
      <c r="E320" s="28" t="s">
        <v>72</v>
      </c>
      <c r="F320" s="28" t="s">
        <v>76</v>
      </c>
      <c r="G320" s="29" t="str">
        <f>HYPERLINK("https://docs.google.com/spreadsheets/d/1Nccsm0_L8Jn9GXNRQtFUicr7j2lvt1OOeyPxkrByZPU/edit#gid=312391056", "https://docs.google.com/spreadsheets/d/1Nccsm0_L8Jn9GXNRQtFUicr7j2lvt1OOeyPxkrByZPU/edit#gid=312391056")</f>
        <v>https://docs.google.com/spreadsheets/d/1Nccsm0_L8Jn9GXNRQtFUicr7j2lvt1OOeyPxkrByZPU/edit#gid=312391056</v>
      </c>
      <c r="H320" s="38" t="s">
        <v>2391</v>
      </c>
      <c r="I320" s="9"/>
      <c r="J320" s="9"/>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B321" s="40"/>
      <c r="D321" s="55"/>
      <c r="E321" s="8" t="s">
        <v>43</v>
      </c>
      <c r="F321" s="8" t="s">
        <v>132</v>
      </c>
      <c r="G321" s="29" t="str">
        <f>HYPERLINK("https://docs.google.com/spreadsheets/d/1Nccsm0_L8Jn9GXNRQtFUicr7j2lvt1OOeyPxkrByZPU/edit#gid=543938610", "https://docs.google.com/spreadsheets/d/1Nccsm0_L8Jn9GXNRQtFUicr7j2lvt1OOeyPxkrByZPU/edit#gid=543938610")</f>
        <v>https://docs.google.com/spreadsheets/d/1Nccsm0_L8Jn9GXNRQtFUicr7j2lvt1OOeyPxkrByZPU/edit#gid=543938610</v>
      </c>
      <c r="H321" s="8" t="s">
        <v>324</v>
      </c>
      <c r="I321" s="31"/>
      <c r="J321" s="9"/>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B322" s="40"/>
      <c r="D322" s="55"/>
      <c r="E322" s="8" t="s">
        <v>43</v>
      </c>
      <c r="F322" s="8" t="s">
        <v>213</v>
      </c>
      <c r="G322" s="29" t="str">
        <f>HYPERLINK("https://docs.google.com/spreadsheets/d/1H3jD70uUJ3QTuNtA3hjecYDqj_MEQMnS0Bi2MZnSgmQ/edit#gid=1764802727", "https://docs.google.com/spreadsheets/d/1H3jD70uUJ3QTuNtA3hjecYDqj_MEQMnS0Bi2MZnSgmQ/edit#gid=1764802727")</f>
        <v>https://docs.google.com/spreadsheets/d/1H3jD70uUJ3QTuNtA3hjecYDqj_MEQMnS0Bi2MZnSgmQ/edit#gid=1764802727</v>
      </c>
      <c r="H322" s="8" t="s">
        <v>213</v>
      </c>
      <c r="I322" s="31"/>
      <c r="J322" s="9"/>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B323" s="40"/>
      <c r="D323" s="31"/>
      <c r="E323" s="8" t="s">
        <v>72</v>
      </c>
      <c r="F323" s="8" t="s">
        <v>76</v>
      </c>
      <c r="G323" s="29" t="str">
        <f>HYPERLINK("https://docs.google.com/spreadsheets/d/1Nccsm0_L8Jn9GXNRQtFUicr7j2lvt1OOeyPxkrByZPU/edit#gid=1888998414", "https://docs.google.com/spreadsheets/d/1Nccsm0_L8Jn9GXNRQtFUicr7j2lvt1OOeyPxkrByZPU/edit#gid=1888998414")</f>
        <v>https://docs.google.com/spreadsheets/d/1Nccsm0_L8Jn9GXNRQtFUicr7j2lvt1OOeyPxkrByZPU/edit#gid=1888998414</v>
      </c>
      <c r="H323" s="8" t="s">
        <v>2397</v>
      </c>
      <c r="I323" s="9"/>
      <c r="J323" s="9"/>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B324" s="40"/>
      <c r="C324" s="54"/>
      <c r="D324" s="55"/>
      <c r="E324" s="37"/>
      <c r="F324" s="30"/>
      <c r="G324" s="29"/>
      <c r="H324" s="30"/>
      <c r="I324" s="9"/>
      <c r="J324" s="9"/>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B325" s="26" t="s">
        <v>27</v>
      </c>
      <c r="C325" s="52" t="s">
        <v>2419</v>
      </c>
      <c r="D325" s="53" t="s">
        <v>20</v>
      </c>
      <c r="E325" s="28" t="s">
        <v>88</v>
      </c>
      <c r="F325" s="28" t="s">
        <v>89</v>
      </c>
      <c r="G325" s="29"/>
      <c r="H325" s="36"/>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B326" s="40"/>
      <c r="D326" s="55"/>
      <c r="E326" s="8" t="s">
        <v>21</v>
      </c>
      <c r="F326" s="8" t="s">
        <v>22</v>
      </c>
      <c r="G326" s="29" t="str">
        <f>HYPERLINK("https://docs.google.com/spreadsheets/d/1ffslSxdQ59rVzIO3BKCWUNnvV-VPcHTJ4kWp_KChEKY/edit#gid=1848205069", "https://docs.google.com/spreadsheets/d/1ffslSxdQ59rVzIO3BKCWUNnvV-VPcHTJ4kWp_KChEKY/edit#gid=1848205069")</f>
        <v>https://docs.google.com/spreadsheets/d/1ffslSxdQ59rVzIO3BKCWUNnvV-VPcHTJ4kWp_KChEKY/edit#gid=1848205069</v>
      </c>
      <c r="H326" s="8" t="s">
        <v>22</v>
      </c>
      <c r="I326" s="31"/>
      <c r="J326" s="9"/>
      <c r="K326" s="11"/>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B327" s="40"/>
      <c r="D327" s="55"/>
      <c r="E327" s="8" t="s">
        <v>43</v>
      </c>
      <c r="F327" s="8" t="s">
        <v>132</v>
      </c>
      <c r="G327" s="29" t="str">
        <f>HYPERLINK("https://docs.google.com/spreadsheets/d/1ffslSxdQ59rVzIO3BKCWUNnvV-VPcHTJ4kWp_KChEKY/edit#gid=1885325546", "https://docs.google.com/spreadsheets/d/1ffslSxdQ59rVzIO3BKCWUNnvV-VPcHTJ4kWp_KChEKY/edit#gid=1885325546")</f>
        <v>https://docs.google.com/spreadsheets/d/1ffslSxdQ59rVzIO3BKCWUNnvV-VPcHTJ4kWp_KChEKY/edit#gid=1885325546</v>
      </c>
      <c r="H327" s="8" t="s">
        <v>132</v>
      </c>
      <c r="I327" s="31"/>
      <c r="J327" s="9"/>
      <c r="K327" s="11"/>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B328" s="40"/>
      <c r="D328" s="55"/>
      <c r="E328" s="8" t="s">
        <v>43</v>
      </c>
      <c r="F328" s="8" t="s">
        <v>109</v>
      </c>
      <c r="G328" s="29" t="str">
        <f>HYPERLINK("https://docs.google.com/spreadsheets/d/1ffslSxdQ59rVzIO3BKCWUNnvV-VPcHTJ4kWp_KChEKY/edit#gid=493909938", "https://docs.google.com/spreadsheets/d/1ffslSxdQ59rVzIO3BKCWUNnvV-VPcHTJ4kWp_KChEKY/edit#gid=493909938")</f>
        <v>https://docs.google.com/spreadsheets/d/1ffslSxdQ59rVzIO3BKCWUNnvV-VPcHTJ4kWp_KChEKY/edit#gid=493909938</v>
      </c>
      <c r="H328" s="8" t="s">
        <v>109</v>
      </c>
      <c r="I328" s="9"/>
      <c r="J328" s="9"/>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B329" s="40"/>
      <c r="D329" s="55"/>
      <c r="E329" s="8" t="s">
        <v>21</v>
      </c>
      <c r="F329" s="8" t="s">
        <v>74</v>
      </c>
      <c r="G329" s="29" t="str">
        <f>HYPERLINK("https://docs.google.com/spreadsheets/d/1ffslSxdQ59rVzIO3BKCWUNnvV-VPcHTJ4kWp_KChEKY/edit#gid=1564048151", "https://docs.google.com/spreadsheets/d/1ffslSxdQ59rVzIO3BKCWUNnvV-VPcHTJ4kWp_KChEKY/edit#gid=1564048151")</f>
        <v>https://docs.google.com/spreadsheets/d/1ffslSxdQ59rVzIO3BKCWUNnvV-VPcHTJ4kWp_KChEKY/edit#gid=1564048151</v>
      </c>
      <c r="H329" s="8" t="s">
        <v>74</v>
      </c>
      <c r="I329" s="9"/>
      <c r="J329" s="9"/>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40"/>
      <c r="D330" s="55"/>
      <c r="E330" s="8" t="s">
        <v>72</v>
      </c>
      <c r="F330" s="8" t="s">
        <v>76</v>
      </c>
      <c r="G330" s="29" t="str">
        <f>HYPERLINK("https://docs.google.com/spreadsheets/d/1ffslSxdQ59rVzIO3BKCWUNnvV-VPcHTJ4kWp_KChEKY/edit#gid=250256122", "https://docs.google.com/spreadsheets/d/1ffslSxdQ59rVzIO3BKCWUNnvV-VPcHTJ4kWp_KChEKY/edit#gid=250256122")</f>
        <v>https://docs.google.com/spreadsheets/d/1ffslSxdQ59rVzIO3BKCWUNnvV-VPcHTJ4kWp_KChEKY/edit#gid=250256122</v>
      </c>
      <c r="H330" s="8" t="s">
        <v>76</v>
      </c>
      <c r="I330" s="9"/>
      <c r="J330" s="9"/>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40"/>
      <c r="D331" s="55"/>
      <c r="E331" s="8" t="s">
        <v>72</v>
      </c>
      <c r="F331" s="8" t="s">
        <v>75</v>
      </c>
      <c r="G331" s="29" t="str">
        <f>HYPERLINK("https://docs.google.com/spreadsheets/d/1ffslSxdQ59rVzIO3BKCWUNnvV-VPcHTJ4kWp_KChEKY/edit#gid=883713053", "https://docs.google.com/spreadsheets/d/1ffslSxdQ59rVzIO3BKCWUNnvV-VPcHTJ4kWp_KChEKY/edit#gid=883713053")</f>
        <v>https://docs.google.com/spreadsheets/d/1ffslSxdQ59rVzIO3BKCWUNnvV-VPcHTJ4kWp_KChEKY/edit#gid=883713053</v>
      </c>
      <c r="H331" s="8" t="s">
        <v>75</v>
      </c>
      <c r="I331" s="9"/>
      <c r="J331" s="9"/>
      <c r="K331" s="11"/>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B332" s="40"/>
      <c r="D332" s="55"/>
      <c r="E332" s="8" t="s">
        <v>72</v>
      </c>
      <c r="F332" s="8" t="s">
        <v>81</v>
      </c>
      <c r="G332" s="29" t="str">
        <f>HYPERLINK("https://docs.google.com/spreadsheets/d/1ffslSxdQ59rVzIO3BKCWUNnvV-VPcHTJ4kWp_KChEKY/edit#gid=620803845", "https://docs.google.com/spreadsheets/d/1ffslSxdQ59rVzIO3BKCWUNnvV-VPcHTJ4kWp_KChEKY/edit#gid=620803845")</f>
        <v>https://docs.google.com/spreadsheets/d/1ffslSxdQ59rVzIO3BKCWUNnvV-VPcHTJ4kWp_KChEKY/edit#gid=620803845</v>
      </c>
      <c r="H332" s="8" t="s">
        <v>81</v>
      </c>
      <c r="I332" s="9"/>
      <c r="J332" s="9"/>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B333" s="40"/>
      <c r="D333" s="55"/>
      <c r="E333" s="28" t="s">
        <v>43</v>
      </c>
      <c r="F333" s="38" t="s">
        <v>77</v>
      </c>
      <c r="G333" s="29" t="str">
        <f>HYPERLINK("https://docs.google.com/spreadsheets/d/1ffslSxdQ59rVzIO3BKCWUNnvV-VPcHTJ4kWp_KChEKY/edit#gid=1356144963", "https://docs.google.com/spreadsheets/d/1ffslSxdQ59rVzIO3BKCWUNnvV-VPcHTJ4kWp_KChEKY/edit#gid=1356144963")</f>
        <v>https://docs.google.com/spreadsheets/d/1ffslSxdQ59rVzIO3BKCWUNnvV-VPcHTJ4kWp_KChEKY/edit#gid=1356144963</v>
      </c>
      <c r="H333" s="38" t="s">
        <v>77</v>
      </c>
      <c r="I333" s="9"/>
      <c r="J333" s="9"/>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B334" s="40"/>
      <c r="C334" s="54"/>
      <c r="D334" s="55"/>
      <c r="E334" s="37"/>
      <c r="F334" s="37"/>
      <c r="G334" s="29"/>
      <c r="H334" s="30"/>
      <c r="I334" s="9"/>
      <c r="J334" s="9"/>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B335" s="26" t="s">
        <v>30</v>
      </c>
      <c r="C335" s="52" t="s">
        <v>2420</v>
      </c>
      <c r="D335" s="53" t="s">
        <v>20</v>
      </c>
      <c r="E335" s="8" t="s">
        <v>88</v>
      </c>
      <c r="F335" s="8" t="s">
        <v>89</v>
      </c>
      <c r="G335" s="29"/>
      <c r="H335" s="36"/>
      <c r="I335" s="36"/>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B336" s="40"/>
      <c r="D336" s="55"/>
      <c r="E336" s="8" t="s">
        <v>21</v>
      </c>
      <c r="F336" s="8" t="s">
        <v>74</v>
      </c>
      <c r="G336" s="29" t="str">
        <f>HYPERLINK("https://docs.google.com/spreadsheets/d/17gl1xvTzNlwHNw-rfNOcMHS8VpMfdTEvdyBu-o1UsAM/edit#gid=605007301", "https://docs.google.com/spreadsheets/d/17gl1xvTzNlwHNw-rfNOcMHS8VpMfdTEvdyBu-o1UsAM/edit#gid=605007301")</f>
        <v>https://docs.google.com/spreadsheets/d/17gl1xvTzNlwHNw-rfNOcMHS8VpMfdTEvdyBu-o1UsAM/edit#gid=605007301</v>
      </c>
      <c r="H336" s="8" t="s">
        <v>74</v>
      </c>
      <c r="I336" s="31"/>
      <c r="J336" s="9"/>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B337" s="40"/>
      <c r="D337" s="55"/>
      <c r="E337" s="8" t="s">
        <v>72</v>
      </c>
      <c r="F337" s="8" t="s">
        <v>76</v>
      </c>
      <c r="G337" s="29" t="str">
        <f>HYPERLINK("https://docs.google.com/spreadsheets/d/17gl1xvTzNlwHNw-rfNOcMHS8VpMfdTEvdyBu-o1UsAM/edit#gid=389543910", "https://docs.google.com/spreadsheets/d/17gl1xvTzNlwHNw-rfNOcMHS8VpMfdTEvdyBu-o1UsAM/edit#gid=389543910")</f>
        <v>https://docs.google.com/spreadsheets/d/17gl1xvTzNlwHNw-rfNOcMHS8VpMfdTEvdyBu-o1UsAM/edit#gid=389543910</v>
      </c>
      <c r="H337" s="8" t="s">
        <v>76</v>
      </c>
      <c r="I337" s="9"/>
      <c r="J337" s="9"/>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B338" s="40"/>
      <c r="D338" s="55"/>
      <c r="E338" s="8" t="s">
        <v>43</v>
      </c>
      <c r="F338" s="8" t="s">
        <v>132</v>
      </c>
      <c r="G338" s="29" t="str">
        <f>HYPERLINK("https://docs.google.com/spreadsheets/d/17gl1xvTzNlwHNw-rfNOcMHS8VpMfdTEvdyBu-o1UsAM/edit#gid=1456982001", "https://docs.google.com/spreadsheets/d/17gl1xvTzNlwHNw-rfNOcMHS8VpMfdTEvdyBu-o1UsAM/edit#gid=1456982001")</f>
        <v>https://docs.google.com/spreadsheets/d/17gl1xvTzNlwHNw-rfNOcMHS8VpMfdTEvdyBu-o1UsAM/edit#gid=1456982001</v>
      </c>
      <c r="H338" s="8" t="s">
        <v>132</v>
      </c>
      <c r="I338" s="9"/>
      <c r="J338" s="9"/>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B339" s="40"/>
      <c r="D339" s="55"/>
      <c r="E339" s="8" t="s">
        <v>43</v>
      </c>
      <c r="F339" s="8" t="s">
        <v>133</v>
      </c>
      <c r="G339" s="29" t="str">
        <f>HYPERLINK("https://docs.google.com/spreadsheets/d/17gl1xvTzNlwHNw-rfNOcMHS8VpMfdTEvdyBu-o1UsAM/edit#gid=1697968688", "https://docs.google.com/spreadsheets/d/17gl1xvTzNlwHNw-rfNOcMHS8VpMfdTEvdyBu-o1UsAM/edit#gid=1697968688")</f>
        <v>https://docs.google.com/spreadsheets/d/17gl1xvTzNlwHNw-rfNOcMHS8VpMfdTEvdyBu-o1UsAM/edit#gid=1697968688</v>
      </c>
      <c r="H339" s="8" t="s">
        <v>133</v>
      </c>
      <c r="I339" s="9"/>
      <c r="J339" s="9"/>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B340" s="40"/>
      <c r="C340" s="54"/>
      <c r="D340" s="55"/>
      <c r="E340" s="37"/>
      <c r="F340" s="31"/>
      <c r="G340" s="29"/>
      <c r="H340" s="31"/>
      <c r="I340" s="9"/>
      <c r="J340" s="9"/>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B341" s="26" t="s">
        <v>2421</v>
      </c>
      <c r="C341" s="52" t="s">
        <v>2422</v>
      </c>
      <c r="D341" s="53" t="s">
        <v>20</v>
      </c>
      <c r="E341" s="28" t="s">
        <v>88</v>
      </c>
      <c r="F341" s="38" t="s">
        <v>89</v>
      </c>
      <c r="G341" s="29"/>
      <c r="H341" s="36"/>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B342" s="40"/>
      <c r="D342" s="55"/>
      <c r="E342" s="28" t="s">
        <v>21</v>
      </c>
      <c r="F342" s="28" t="s">
        <v>74</v>
      </c>
      <c r="G342" s="29" t="str">
        <f>HYPERLINK("https://docs.google.com/spreadsheets/d/1fln2uPlSeN1LsxYiiE47WCWEwLSJGi_1g6TST8CCChM/edit#gid=481334437", "https://docs.google.com/spreadsheets/d/1fln2uPlSeN1LsxYiiE47WCWEwLSJGi_1g6TST8CCChM/edit#gid=481334437")</f>
        <v>https://docs.google.com/spreadsheets/d/1fln2uPlSeN1LsxYiiE47WCWEwLSJGi_1g6TST8CCChM/edit#gid=481334437</v>
      </c>
      <c r="H342" s="38" t="s">
        <v>74</v>
      </c>
      <c r="I342" s="9"/>
      <c r="J342" s="9"/>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B343" s="40"/>
      <c r="D343" s="55"/>
      <c r="E343" s="8" t="s">
        <v>72</v>
      </c>
      <c r="F343" s="8" t="s">
        <v>76</v>
      </c>
      <c r="G343" s="29" t="str">
        <f>HYPERLINK("https://docs.google.com/spreadsheets/d/1fln2uPlSeN1LsxYiiE47WCWEwLSJGi_1g6TST8CCChM/edit#gid=266051966", "https://docs.google.com/spreadsheets/d/1fln2uPlSeN1LsxYiiE47WCWEwLSJGi_1g6TST8CCChM/edit#gid=266051966")</f>
        <v>https://docs.google.com/spreadsheets/d/1fln2uPlSeN1LsxYiiE47WCWEwLSJGi_1g6TST8CCChM/edit#gid=266051966</v>
      </c>
      <c r="H343" s="8" t="s">
        <v>76</v>
      </c>
      <c r="I343" s="9"/>
      <c r="J343" s="9"/>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B344" s="40"/>
      <c r="D344" s="55"/>
      <c r="E344" s="8" t="s">
        <v>72</v>
      </c>
      <c r="F344" s="8" t="s">
        <v>75</v>
      </c>
      <c r="G344" s="29" t="str">
        <f>HYPERLINK("https://docs.google.com/spreadsheets/d/1fln2uPlSeN1LsxYiiE47WCWEwLSJGi_1g6TST8CCChM/edit#gid=344080355", "https://docs.google.com/spreadsheets/d/1fln2uPlSeN1LsxYiiE47WCWEwLSJGi_1g6TST8CCChM/edit#gid=344080355")</f>
        <v>https://docs.google.com/spreadsheets/d/1fln2uPlSeN1LsxYiiE47WCWEwLSJGi_1g6TST8CCChM/edit#gid=344080355</v>
      </c>
      <c r="H344" s="8" t="s">
        <v>75</v>
      </c>
      <c r="I344" s="9"/>
      <c r="J344" s="9"/>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B345" s="40"/>
      <c r="D345" s="55"/>
      <c r="E345" s="8" t="s">
        <v>72</v>
      </c>
      <c r="F345" s="8" t="s">
        <v>81</v>
      </c>
      <c r="G345" s="29" t="str">
        <f>HYPERLINK("https://docs.google.com/spreadsheets/d/1fln2uPlSeN1LsxYiiE47WCWEwLSJGi_1g6TST8CCChM/edit#gid=1133750142", "https://docs.google.com/spreadsheets/d/1fln2uPlSeN1LsxYiiE47WCWEwLSJGi_1g6TST8CCChM/edit#gid=1133750142")</f>
        <v>https://docs.google.com/spreadsheets/d/1fln2uPlSeN1LsxYiiE47WCWEwLSJGi_1g6TST8CCChM/edit#gid=1133750142</v>
      </c>
      <c r="H345" s="8" t="s">
        <v>81</v>
      </c>
      <c r="I345" s="9"/>
      <c r="J345" s="9"/>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B346" s="40"/>
      <c r="D346" s="55"/>
      <c r="E346" s="8" t="s">
        <v>43</v>
      </c>
      <c r="F346" s="8" t="s">
        <v>132</v>
      </c>
      <c r="G346" s="29" t="str">
        <f>HYPERLINK("https://docs.google.com/spreadsheets/d/1fln2uPlSeN1LsxYiiE47WCWEwLSJGi_1g6TST8CCChM/edit#gid=749968117", "https://docs.google.com/spreadsheets/d/1fln2uPlSeN1LsxYiiE47WCWEwLSJGi_1g6TST8CCChM/edit#gid=749968117")</f>
        <v>https://docs.google.com/spreadsheets/d/1fln2uPlSeN1LsxYiiE47WCWEwLSJGi_1g6TST8CCChM/edit#gid=749968117</v>
      </c>
      <c r="H346" s="8" t="s">
        <v>132</v>
      </c>
      <c r="I346" s="9"/>
      <c r="J346" s="9"/>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B347" s="40"/>
      <c r="D347" s="55"/>
      <c r="E347" s="8" t="s">
        <v>43</v>
      </c>
      <c r="F347" s="8" t="s">
        <v>248</v>
      </c>
      <c r="G347" s="29" t="str">
        <f>HYPERLINK("https://docs.google.com/spreadsheets/d/1fln2uPlSeN1LsxYiiE47WCWEwLSJGi_1g6TST8CCChM/edit#gid=1939518152", "https://docs.google.com/spreadsheets/d/1fln2uPlSeN1LsxYiiE47WCWEwLSJGi_1g6TST8CCChM/edit#gid=1939518152")</f>
        <v>https://docs.google.com/spreadsheets/d/1fln2uPlSeN1LsxYiiE47WCWEwLSJGi_1g6TST8CCChM/edit#gid=1939518152</v>
      </c>
      <c r="H347" s="8" t="s">
        <v>248</v>
      </c>
      <c r="I347" s="9"/>
      <c r="J347" s="9"/>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B348" s="40"/>
      <c r="D348" s="55"/>
      <c r="E348" s="28" t="s">
        <v>21</v>
      </c>
      <c r="F348" s="8" t="s">
        <v>249</v>
      </c>
      <c r="G348" s="29" t="str">
        <f>HYPERLINK("https://docs.google.com/spreadsheets/d/1fln2uPlSeN1LsxYiiE47WCWEwLSJGi_1g6TST8CCChM/edit#gid=1121551682", "https://docs.google.com/spreadsheets/d/1fln2uPlSeN1LsxYiiE47WCWEwLSJGi_1g6TST8CCChM/edit#gid=1121551682")</f>
        <v>https://docs.google.com/spreadsheets/d/1fln2uPlSeN1LsxYiiE47WCWEwLSJGi_1g6TST8CCChM/edit#gid=1121551682</v>
      </c>
      <c r="H348" s="8" t="s">
        <v>249</v>
      </c>
      <c r="I348" s="9"/>
      <c r="J348" s="9"/>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40"/>
      <c r="D349" s="55"/>
      <c r="E349" s="28" t="s">
        <v>43</v>
      </c>
      <c r="F349" s="38" t="s">
        <v>77</v>
      </c>
      <c r="G349" s="29" t="str">
        <f>HYPERLINK("https://docs.google.com/spreadsheets/d/1fln2uPlSeN1LsxYiiE47WCWEwLSJGi_1g6TST8CCChM/edit#gid=1661127431", "https://docs.google.com/spreadsheets/d/1fln2uPlSeN1LsxYiiE47WCWEwLSJGi_1g6TST8CCChM/edit#gid=1661127431")</f>
        <v>https://docs.google.com/spreadsheets/d/1fln2uPlSeN1LsxYiiE47WCWEwLSJGi_1g6TST8CCChM/edit#gid=1661127431</v>
      </c>
      <c r="H349" s="38" t="s">
        <v>77</v>
      </c>
      <c r="I349" s="9"/>
      <c r="J349" s="9"/>
      <c r="K349" s="11"/>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40"/>
      <c r="D350" s="55"/>
      <c r="E350" s="28" t="s">
        <v>43</v>
      </c>
      <c r="F350" s="28" t="s">
        <v>248</v>
      </c>
      <c r="G350" s="29" t="str">
        <f>HYPERLINK("https://docs.google.com/spreadsheets/d/1fln2uPlSeN1LsxYiiE47WCWEwLSJGi_1g6TST8CCChM/edit#gid=1401450719", "https://docs.google.com/spreadsheets/d/1fln2uPlSeN1LsxYiiE47WCWEwLSJGi_1g6TST8CCChM/edit#gid=1401450719")</f>
        <v>https://docs.google.com/spreadsheets/d/1fln2uPlSeN1LsxYiiE47WCWEwLSJGi_1g6TST8CCChM/edit#gid=1401450719</v>
      </c>
      <c r="H350" s="38" t="s">
        <v>2413</v>
      </c>
      <c r="I350" s="31"/>
      <c r="J350" s="9"/>
      <c r="K350" s="11"/>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B351" s="40"/>
      <c r="D351" s="55"/>
      <c r="E351" s="8" t="s">
        <v>21</v>
      </c>
      <c r="F351" s="8" t="s">
        <v>249</v>
      </c>
      <c r="G351" s="29" t="str">
        <f>HYPERLINK("https://docs.google.com/spreadsheets/d/1fln2uPlSeN1LsxYiiE47WCWEwLSJGi_1g6TST8CCChM/edit#gid=1412503529", "https://docs.google.com/spreadsheets/d/1fln2uPlSeN1LsxYiiE47WCWEwLSJGi_1g6TST8CCChM/edit#gid=1412503529")</f>
        <v>https://docs.google.com/spreadsheets/d/1fln2uPlSeN1LsxYiiE47WCWEwLSJGi_1g6TST8CCChM/edit#gid=1412503529</v>
      </c>
      <c r="H351" s="8" t="s">
        <v>2414</v>
      </c>
      <c r="I351" s="31"/>
      <c r="J351" s="9"/>
      <c r="K351" s="11"/>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B352" s="40"/>
      <c r="D352" s="55"/>
      <c r="E352" s="8" t="s">
        <v>43</v>
      </c>
      <c r="F352" s="8" t="s">
        <v>77</v>
      </c>
      <c r="G352" s="29" t="str">
        <f>HYPERLINK("https://docs.google.com/spreadsheets/d/1fln2uPlSeN1LsxYiiE47WCWEwLSJGi_1g6TST8CCChM/edit#gid=1511262866", "https://docs.google.com/spreadsheets/d/1fln2uPlSeN1LsxYiiE47WCWEwLSJGi_1g6TST8CCChM/edit#gid=1511262866")</f>
        <v>https://docs.google.com/spreadsheets/d/1fln2uPlSeN1LsxYiiE47WCWEwLSJGi_1g6TST8CCChM/edit#gid=1511262866</v>
      </c>
      <c r="H352" s="8" t="s">
        <v>78</v>
      </c>
      <c r="I352" s="9"/>
      <c r="J352" s="9"/>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B353" s="40"/>
      <c r="C353" s="41"/>
      <c r="D353" s="31"/>
      <c r="E353" s="31"/>
      <c r="F353" s="31"/>
      <c r="G353" s="29"/>
      <c r="H353" s="31"/>
      <c r="I353" s="9"/>
      <c r="J353" s="9"/>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B354" s="26" t="s">
        <v>2423</v>
      </c>
      <c r="C354" s="39" t="s">
        <v>2419</v>
      </c>
      <c r="D354" s="8" t="s">
        <v>20</v>
      </c>
      <c r="E354" s="8" t="s">
        <v>88</v>
      </c>
      <c r="F354" s="8" t="s">
        <v>89</v>
      </c>
      <c r="G354" s="29"/>
      <c r="H354" s="36"/>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B355" s="40"/>
      <c r="D355" s="31"/>
      <c r="E355" s="8" t="s">
        <v>21</v>
      </c>
      <c r="F355" s="8" t="s">
        <v>22</v>
      </c>
      <c r="G355" s="29" t="str">
        <f>HYPERLINK("https://docs.google.com/spreadsheets/d/1u5B2dcAeWKq8OYF63-ywzu731zhSiVQtd9fy5wJoHUA/edit#gid=351206843", "https://docs.google.com/spreadsheets/d/1u5B2dcAeWKq8OYF63-ywzu731zhSiVQtd9fy5wJoHUA/edit#gid=351206843")</f>
        <v>https://docs.google.com/spreadsheets/d/1u5B2dcAeWKq8OYF63-ywzu731zhSiVQtd9fy5wJoHUA/edit#gid=351206843</v>
      </c>
      <c r="H355" s="8" t="s">
        <v>22</v>
      </c>
      <c r="I355" s="9"/>
      <c r="J355" s="9"/>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B356" s="40"/>
      <c r="D356" s="31"/>
      <c r="E356" s="28" t="s">
        <v>43</v>
      </c>
      <c r="F356" s="8" t="s">
        <v>132</v>
      </c>
      <c r="G356" s="29" t="str">
        <f>HYPERLINK("https://docs.google.com/spreadsheets/d/1u5B2dcAeWKq8OYF63-ywzu731zhSiVQtd9fy5wJoHUA/edit#gid=963347926", "https://docs.google.com/spreadsheets/d/1u5B2dcAeWKq8OYF63-ywzu731zhSiVQtd9fy5wJoHUA/edit#gid=963347926")</f>
        <v>https://docs.google.com/spreadsheets/d/1u5B2dcAeWKq8OYF63-ywzu731zhSiVQtd9fy5wJoHUA/edit#gid=963347926</v>
      </c>
      <c r="H356" s="8" t="s">
        <v>132</v>
      </c>
      <c r="I356" s="9"/>
      <c r="J356" s="9"/>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B357" s="40"/>
      <c r="D357" s="31"/>
      <c r="E357" s="28" t="s">
        <v>43</v>
      </c>
      <c r="F357" s="38" t="s">
        <v>109</v>
      </c>
      <c r="G357" s="29" t="str">
        <f>HYPERLINK("https://docs.google.com/spreadsheets/d/1u5B2dcAeWKq8OYF63-ywzu731zhSiVQtd9fy5wJoHUA/edit#gid=1315573054", "https://docs.google.com/spreadsheets/d/1u5B2dcAeWKq8OYF63-ywzu731zhSiVQtd9fy5wJoHUA/edit#gid=1315573054")</f>
        <v>https://docs.google.com/spreadsheets/d/1u5B2dcAeWKq8OYF63-ywzu731zhSiVQtd9fy5wJoHUA/edit#gid=1315573054</v>
      </c>
      <c r="H357" s="38" t="s">
        <v>109</v>
      </c>
      <c r="I357" s="9"/>
      <c r="J357" s="9"/>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B358" s="40"/>
      <c r="D358" s="31"/>
      <c r="E358" s="28" t="s">
        <v>21</v>
      </c>
      <c r="F358" s="28" t="s">
        <v>74</v>
      </c>
      <c r="G358" s="29" t="str">
        <f>HYPERLINK("https://docs.google.com/spreadsheets/d/1u5B2dcAeWKq8OYF63-ywzu731zhSiVQtd9fy5wJoHUA/edit#gid=1030673023", "https://docs.google.com/spreadsheets/d/1u5B2dcAeWKq8OYF63-ywzu731zhSiVQtd9fy5wJoHUA/edit#gid=1030673023")</f>
        <v>https://docs.google.com/spreadsheets/d/1u5B2dcAeWKq8OYF63-ywzu731zhSiVQtd9fy5wJoHUA/edit#gid=1030673023</v>
      </c>
      <c r="H358" s="38" t="s">
        <v>74</v>
      </c>
      <c r="I358" s="31"/>
      <c r="J358" s="9"/>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B359" s="40"/>
      <c r="D359" s="31"/>
      <c r="E359" s="8" t="s">
        <v>72</v>
      </c>
      <c r="F359" s="8" t="s">
        <v>76</v>
      </c>
      <c r="G359" s="29" t="str">
        <f>HYPERLINK("https://docs.google.com/spreadsheets/d/1u5B2dcAeWKq8OYF63-ywzu731zhSiVQtd9fy5wJoHUA/edit#gid=1625313926", "https://docs.google.com/spreadsheets/d/1u5B2dcAeWKq8OYF63-ywzu731zhSiVQtd9fy5wJoHUA/edit#gid=1625313926")</f>
        <v>https://docs.google.com/spreadsheets/d/1u5B2dcAeWKq8OYF63-ywzu731zhSiVQtd9fy5wJoHUA/edit#gid=1625313926</v>
      </c>
      <c r="H359" s="8" t="s">
        <v>76</v>
      </c>
      <c r="I359" s="31"/>
      <c r="J359" s="9"/>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B360" s="40"/>
      <c r="D360" s="55"/>
      <c r="E360" s="8" t="s">
        <v>72</v>
      </c>
      <c r="F360" s="8" t="s">
        <v>75</v>
      </c>
      <c r="G360" s="29" t="str">
        <f>HYPERLINK("https://docs.google.com/spreadsheets/d/1u5B2dcAeWKq8OYF63-ywzu731zhSiVQtd9fy5wJoHUA/edit#gid=509337728", "https://docs.google.com/spreadsheets/d/1u5B2dcAeWKq8OYF63-ywzu731zhSiVQtd9fy5wJoHUA/edit#gid=509337728")</f>
        <v>https://docs.google.com/spreadsheets/d/1u5B2dcAeWKq8OYF63-ywzu731zhSiVQtd9fy5wJoHUA/edit#gid=509337728</v>
      </c>
      <c r="H360" s="8" t="s">
        <v>75</v>
      </c>
      <c r="I360" s="9"/>
      <c r="J360" s="9"/>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B361" s="40"/>
      <c r="D361" s="55"/>
      <c r="E361" s="8" t="s">
        <v>72</v>
      </c>
      <c r="F361" s="8" t="s">
        <v>81</v>
      </c>
      <c r="G361" s="29" t="str">
        <f>HYPERLINK("https://docs.google.com/spreadsheets/d/1u5B2dcAeWKq8OYF63-ywzu731zhSiVQtd9fy5wJoHUA/edit#gid=1362940247", "https://docs.google.com/spreadsheets/d/1u5B2dcAeWKq8OYF63-ywzu731zhSiVQtd9fy5wJoHUA/edit#gid=1362940247")</f>
        <v>https://docs.google.com/spreadsheets/d/1u5B2dcAeWKq8OYF63-ywzu731zhSiVQtd9fy5wJoHUA/edit#gid=1362940247</v>
      </c>
      <c r="H361" s="8" t="s">
        <v>81</v>
      </c>
      <c r="I361" s="9"/>
      <c r="J361" s="9"/>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40"/>
      <c r="D362" s="55"/>
      <c r="E362" s="8" t="s">
        <v>43</v>
      </c>
      <c r="F362" s="8" t="s">
        <v>77</v>
      </c>
      <c r="G362" s="29" t="str">
        <f>HYPERLINK("https://docs.google.com/spreadsheets/d/1u5B2dcAeWKq8OYF63-ywzu731zhSiVQtd9fy5wJoHUA/edit#gid=772185053", "https://docs.google.com/spreadsheets/d/1u5B2dcAeWKq8OYF63-ywzu731zhSiVQtd9fy5wJoHUA/edit#gid=772185053")</f>
        <v>https://docs.google.com/spreadsheets/d/1u5B2dcAeWKq8OYF63-ywzu731zhSiVQtd9fy5wJoHUA/edit#gid=772185053</v>
      </c>
      <c r="H362" s="8" t="s">
        <v>77</v>
      </c>
      <c r="I362" s="9"/>
      <c r="J362" s="9"/>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40"/>
      <c r="D363" s="55"/>
      <c r="E363" s="28" t="s">
        <v>43</v>
      </c>
      <c r="F363" s="8" t="s">
        <v>109</v>
      </c>
      <c r="G363" s="29" t="str">
        <f>HYPERLINK("https://docs.google.com/spreadsheets/d/1u5B2dcAeWKq8OYF63-ywzu731zhSiVQtd9fy5wJoHUA/edit#gid=1355919346", "https://docs.google.com/spreadsheets/d/1u5B2dcAeWKq8OYF63-ywzu731zhSiVQtd9fy5wJoHUA/edit#gid=1355919346")</f>
        <v>https://docs.google.com/spreadsheets/d/1u5B2dcAeWKq8OYF63-ywzu731zhSiVQtd9fy5wJoHUA/edit#gid=1355919346</v>
      </c>
      <c r="H363" s="8" t="s">
        <v>2395</v>
      </c>
      <c r="I363" s="9"/>
      <c r="J363" s="9"/>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B364" s="40"/>
      <c r="D364" s="55"/>
      <c r="E364" s="28" t="s">
        <v>43</v>
      </c>
      <c r="F364" s="38" t="s">
        <v>77</v>
      </c>
      <c r="G364" s="29" t="str">
        <f>HYPERLINK("https://docs.google.com/spreadsheets/d/1u5B2dcAeWKq8OYF63-ywzu731zhSiVQtd9fy5wJoHUA/edit#gid=1204078158", "https://docs.google.com/spreadsheets/d/1u5B2dcAeWKq8OYF63-ywzu731zhSiVQtd9fy5wJoHUA/edit#gid=1204078158")</f>
        <v>https://docs.google.com/spreadsheets/d/1u5B2dcAeWKq8OYF63-ywzu731zhSiVQtd9fy5wJoHUA/edit#gid=1204078158</v>
      </c>
      <c r="H364" s="38" t="s">
        <v>78</v>
      </c>
      <c r="I364" s="9"/>
      <c r="J364" s="9"/>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B365" s="40"/>
      <c r="C365" s="54"/>
      <c r="D365" s="55"/>
      <c r="E365" s="31"/>
      <c r="F365" s="31"/>
      <c r="G365" s="29"/>
      <c r="H365" s="31"/>
      <c r="I365" s="31"/>
      <c r="J365" s="9"/>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B366" s="26" t="s">
        <v>2424</v>
      </c>
      <c r="C366" s="52" t="s">
        <v>2425</v>
      </c>
      <c r="D366" s="53" t="s">
        <v>20</v>
      </c>
      <c r="E366" s="8" t="s">
        <v>88</v>
      </c>
      <c r="F366" s="8" t="s">
        <v>89</v>
      </c>
      <c r="G366" s="29"/>
      <c r="H366" s="36"/>
      <c r="I366" s="36"/>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B367" s="26"/>
      <c r="D367" s="53"/>
      <c r="E367" s="8" t="s">
        <v>21</v>
      </c>
      <c r="F367" s="8" t="s">
        <v>74</v>
      </c>
      <c r="G367" s="29" t="str">
        <f>HYPERLINK("https://docs.google.com/spreadsheets/d/1ltisWLWQ22wkAt-GMeiUZRd0k5NsFfiZV9GmxeMRU_8/edit#gid=483190811", "https://docs.google.com/spreadsheets/d/1ltisWLWQ22wkAt-GMeiUZRd0k5NsFfiZV9GmxeMRU_8/edit#gid=483190811")</f>
        <v>https://docs.google.com/spreadsheets/d/1ltisWLWQ22wkAt-GMeiUZRd0k5NsFfiZV9GmxeMRU_8/edit#gid=483190811</v>
      </c>
      <c r="H367" s="35" t="s">
        <v>74</v>
      </c>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B368" s="40"/>
      <c r="D368" s="55"/>
      <c r="E368" s="8" t="s">
        <v>72</v>
      </c>
      <c r="F368" s="8" t="s">
        <v>76</v>
      </c>
      <c r="G368" s="29" t="str">
        <f>HYPERLINK("https://docs.google.com/spreadsheets/d/1ltisWLWQ22wkAt-GMeiUZRd0k5NsFfiZV9GmxeMRU_8/edit#gid=18270392", "https://docs.google.com/spreadsheets/d/1ltisWLWQ22wkAt-GMeiUZRd0k5NsFfiZV9GmxeMRU_8/edit#gid=18270392")</f>
        <v>https://docs.google.com/spreadsheets/d/1ltisWLWQ22wkAt-GMeiUZRd0k5NsFfiZV9GmxeMRU_8/edit#gid=18270392</v>
      </c>
      <c r="H368" s="8" t="s">
        <v>76</v>
      </c>
      <c r="I368" s="9"/>
      <c r="J368" s="9"/>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B369" s="40"/>
      <c r="D369" s="55"/>
      <c r="E369" s="8" t="s">
        <v>72</v>
      </c>
      <c r="F369" s="8" t="s">
        <v>75</v>
      </c>
      <c r="G369" s="29" t="str">
        <f>HYPERLINK("https://docs.google.com/spreadsheets/d/1ltisWLWQ22wkAt-GMeiUZRd0k5NsFfiZV9GmxeMRU_8/edit#gid=524414507", "https://docs.google.com/spreadsheets/d/1ltisWLWQ22wkAt-GMeiUZRd0k5NsFfiZV9GmxeMRU_8/edit#gid=524414507")</f>
        <v>https://docs.google.com/spreadsheets/d/1ltisWLWQ22wkAt-GMeiUZRd0k5NsFfiZV9GmxeMRU_8/edit#gid=524414507</v>
      </c>
      <c r="H369" s="8" t="s">
        <v>75</v>
      </c>
      <c r="I369" s="9"/>
      <c r="J369" s="9"/>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B370" s="40"/>
      <c r="D370" s="55"/>
      <c r="E370" s="28" t="s">
        <v>72</v>
      </c>
      <c r="F370" s="8" t="s">
        <v>81</v>
      </c>
      <c r="G370" s="29" t="str">
        <f>HYPERLINK("https://docs.google.com/spreadsheets/d/1ltisWLWQ22wkAt-GMeiUZRd0k5NsFfiZV9GmxeMRU_8/edit#gid=1020324389", "https://docs.google.com/spreadsheets/d/1ltisWLWQ22wkAt-GMeiUZRd0k5NsFfiZV9GmxeMRU_8/edit#gid=1020324389")</f>
        <v>https://docs.google.com/spreadsheets/d/1ltisWLWQ22wkAt-GMeiUZRd0k5NsFfiZV9GmxeMRU_8/edit#gid=1020324389</v>
      </c>
      <c r="H370" s="8" t="s">
        <v>81</v>
      </c>
      <c r="I370" s="9"/>
      <c r="J370" s="9"/>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B371" s="40"/>
      <c r="D371" s="55"/>
      <c r="E371" s="28" t="s">
        <v>43</v>
      </c>
      <c r="F371" s="38" t="s">
        <v>132</v>
      </c>
      <c r="G371" s="29" t="str">
        <f>HYPERLINK("https://docs.google.com/spreadsheets/d/1ltisWLWQ22wkAt-GMeiUZRd0k5NsFfiZV9GmxeMRU_8/edit#gid=2034448560", "https://docs.google.com/spreadsheets/d/1ltisWLWQ22wkAt-GMeiUZRd0k5NsFfiZV9GmxeMRU_8/edit#gid=2034448560")</f>
        <v>https://docs.google.com/spreadsheets/d/1ltisWLWQ22wkAt-GMeiUZRd0k5NsFfiZV9GmxeMRU_8/edit#gid=2034448560</v>
      </c>
      <c r="H371" s="38" t="s">
        <v>132</v>
      </c>
      <c r="I371" s="9"/>
      <c r="J371" s="9"/>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B372" s="40"/>
      <c r="D372" s="55"/>
      <c r="E372" s="28" t="s">
        <v>43</v>
      </c>
      <c r="F372" s="28" t="s">
        <v>716</v>
      </c>
      <c r="G372" s="29" t="str">
        <f>HYPERLINK("https://docs.google.com/spreadsheets/d/1ltisWLWQ22wkAt-GMeiUZRd0k5NsFfiZV9GmxeMRU_8/edit#gid=1320084099", "https://docs.google.com/spreadsheets/d/1ltisWLWQ22wkAt-GMeiUZRd0k5NsFfiZV9GmxeMRU_8/edit#gid=1320084099")</f>
        <v>https://docs.google.com/spreadsheets/d/1ltisWLWQ22wkAt-GMeiUZRd0k5NsFfiZV9GmxeMRU_8/edit#gid=1320084099</v>
      </c>
      <c r="H372" s="38" t="s">
        <v>716</v>
      </c>
      <c r="I372" s="9"/>
      <c r="J372" s="9"/>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B373" s="40"/>
      <c r="D373" s="55"/>
      <c r="E373" s="8" t="s">
        <v>21</v>
      </c>
      <c r="F373" s="8" t="s">
        <v>249</v>
      </c>
      <c r="G373" s="29" t="str">
        <f>HYPERLINK("https://docs.google.com/spreadsheets/d/1ltisWLWQ22wkAt-GMeiUZRd0k5NsFfiZV9GmxeMRU_8/edit#gid=1800390524", "https://docs.google.com/spreadsheets/d/1ltisWLWQ22wkAt-GMeiUZRd0k5NsFfiZV9GmxeMRU_8/edit#gid=1800390524")</f>
        <v>https://docs.google.com/spreadsheets/d/1ltisWLWQ22wkAt-GMeiUZRd0k5NsFfiZV9GmxeMRU_8/edit#gid=1800390524</v>
      </c>
      <c r="H373" s="8" t="s">
        <v>249</v>
      </c>
      <c r="I373" s="9"/>
      <c r="J373" s="9"/>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B374" s="40"/>
      <c r="D374" s="55"/>
      <c r="E374" s="8" t="s">
        <v>43</v>
      </c>
      <c r="F374" s="8" t="s">
        <v>132</v>
      </c>
      <c r="G374" s="29" t="str">
        <f>HYPERLINK("https://docs.google.com/spreadsheets/d/1ltisWLWQ22wkAt-GMeiUZRd0k5NsFfiZV9GmxeMRU_8/edit#gid=505909199", "https://docs.google.com/spreadsheets/d/1ltisWLWQ22wkAt-GMeiUZRd0k5NsFfiZV9GmxeMRU_8/edit#gid=505909199")</f>
        <v>https://docs.google.com/spreadsheets/d/1ltisWLWQ22wkAt-GMeiUZRd0k5NsFfiZV9GmxeMRU_8/edit#gid=505909199</v>
      </c>
      <c r="H374" s="8" t="s">
        <v>324</v>
      </c>
      <c r="I374" s="9"/>
      <c r="J374" s="9"/>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B375" s="40"/>
      <c r="D375" s="55"/>
      <c r="E375" s="8" t="s">
        <v>43</v>
      </c>
      <c r="F375" s="8" t="s">
        <v>716</v>
      </c>
      <c r="G375" s="29" t="str">
        <f>HYPERLINK("https://docs.google.com/spreadsheets/d/1ltisWLWQ22wkAt-GMeiUZRd0k5NsFfiZV9GmxeMRU_8/edit#gid=1818937179", "https://docs.google.com/spreadsheets/d/1ltisWLWQ22wkAt-GMeiUZRd0k5NsFfiZV9GmxeMRU_8/edit#gid=1818937179")</f>
        <v>https://docs.google.com/spreadsheets/d/1ltisWLWQ22wkAt-GMeiUZRd0k5NsFfiZV9GmxeMRU_8/edit#gid=1818937179</v>
      </c>
      <c r="H375" s="8" t="s">
        <v>2426</v>
      </c>
      <c r="I375" s="9"/>
      <c r="J375" s="9"/>
      <c r="K375" s="11"/>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40"/>
      <c r="D376" s="55"/>
      <c r="E376" s="28" t="s">
        <v>21</v>
      </c>
      <c r="F376" s="8" t="s">
        <v>249</v>
      </c>
      <c r="G376" s="29" t="str">
        <f>HYPERLINK("https://docs.google.com/spreadsheets/d/1ltisWLWQ22wkAt-GMeiUZRd0k5NsFfiZV9GmxeMRU_8/edit#gid=1087152210", "https://docs.google.com/spreadsheets/d/1ltisWLWQ22wkAt-GMeiUZRd0k5NsFfiZV9GmxeMRU_8/edit#gid=1087152210")</f>
        <v>https://docs.google.com/spreadsheets/d/1ltisWLWQ22wkAt-GMeiUZRd0k5NsFfiZV9GmxeMRU_8/edit#gid=1087152210</v>
      </c>
      <c r="H376" s="8" t="s">
        <v>2414</v>
      </c>
      <c r="I376" s="9"/>
      <c r="J376" s="9"/>
      <c r="K376" s="11"/>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40"/>
      <c r="D377" s="55"/>
      <c r="E377" s="28" t="s">
        <v>43</v>
      </c>
      <c r="F377" s="38" t="s">
        <v>132</v>
      </c>
      <c r="G377" s="29" t="str">
        <f>HYPERLINK("https://docs.google.com/spreadsheets/d/1ltisWLWQ22wkAt-GMeiUZRd0k5NsFfiZV9GmxeMRU_8/edit#gid=221416868", "https://docs.google.com/spreadsheets/d/1ltisWLWQ22wkAt-GMeiUZRd0k5NsFfiZV9GmxeMRU_8/edit#gid=221416868")</f>
        <v>https://docs.google.com/spreadsheets/d/1ltisWLWQ22wkAt-GMeiUZRd0k5NsFfiZV9GmxeMRU_8/edit#gid=221416868</v>
      </c>
      <c r="H377" s="38" t="s">
        <v>327</v>
      </c>
      <c r="I377" s="9"/>
      <c r="J377" s="9"/>
      <c r="K377" s="11"/>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B378" s="40"/>
      <c r="D378" s="55"/>
      <c r="E378" s="28" t="s">
        <v>43</v>
      </c>
      <c r="F378" s="28" t="s">
        <v>716</v>
      </c>
      <c r="G378" s="29" t="str">
        <f>HYPERLINK("https://docs.google.com/spreadsheets/d/1ltisWLWQ22wkAt-GMeiUZRd0k5NsFfiZV9GmxeMRU_8/edit#gid=625086508", "https://docs.google.com/spreadsheets/d/1ltisWLWQ22wkAt-GMeiUZRd0k5NsFfiZV9GmxeMRU_8/edit#gid=625086508")</f>
        <v>https://docs.google.com/spreadsheets/d/1ltisWLWQ22wkAt-GMeiUZRd0k5NsFfiZV9GmxeMRU_8/edit#gid=625086508</v>
      </c>
      <c r="H378" s="38" t="s">
        <v>2259</v>
      </c>
      <c r="I378" s="9"/>
      <c r="J378" s="9"/>
      <c r="K378" s="11"/>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B379" s="40"/>
      <c r="D379" s="55"/>
      <c r="E379" s="8" t="s">
        <v>21</v>
      </c>
      <c r="F379" s="8" t="s">
        <v>249</v>
      </c>
      <c r="G379" s="29" t="str">
        <f>HYPERLINK("https://docs.google.com/spreadsheets/d/1ltisWLWQ22wkAt-GMeiUZRd0k5NsFfiZV9GmxeMRU_8/edit#gid=1980911726", "https://docs.google.com/spreadsheets/d/1ltisWLWQ22wkAt-GMeiUZRd0k5NsFfiZV9GmxeMRU_8/edit#gid=1980911726")</f>
        <v>https://docs.google.com/spreadsheets/d/1ltisWLWQ22wkAt-GMeiUZRd0k5NsFfiZV9GmxeMRU_8/edit#gid=1980911726</v>
      </c>
      <c r="H379" s="8" t="s">
        <v>2261</v>
      </c>
      <c r="I379" s="9"/>
      <c r="J379" s="9"/>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B380" s="40"/>
      <c r="D380" s="55"/>
      <c r="E380" s="8" t="s">
        <v>43</v>
      </c>
      <c r="F380" s="8" t="s">
        <v>606</v>
      </c>
      <c r="G380" s="29" t="str">
        <f>HYPERLINK("https://docs.google.com/spreadsheets/d/1ltisWLWQ22wkAt-GMeiUZRd0k5NsFfiZV9GmxeMRU_8/edit#gid=453424766", "https://docs.google.com/spreadsheets/d/1ltisWLWQ22wkAt-GMeiUZRd0k5NsFfiZV9GmxeMRU_8/edit#gid=453424766")</f>
        <v>https://docs.google.com/spreadsheets/d/1ltisWLWQ22wkAt-GMeiUZRd0k5NsFfiZV9GmxeMRU_8/edit#gid=453424766</v>
      </c>
      <c r="H380" s="8" t="s">
        <v>606</v>
      </c>
      <c r="I380" s="9"/>
      <c r="J380" s="9"/>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B381" s="40"/>
      <c r="C381" s="54"/>
      <c r="D381" s="55"/>
      <c r="E381" s="31"/>
      <c r="F381" s="31"/>
      <c r="G381" s="29"/>
      <c r="H381" s="31"/>
      <c r="I381" s="9"/>
      <c r="J381" s="9"/>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B382" s="26" t="s">
        <v>2427</v>
      </c>
      <c r="C382" s="52" t="s">
        <v>2428</v>
      </c>
      <c r="D382" s="53" t="s">
        <v>20</v>
      </c>
      <c r="E382" s="8" t="s">
        <v>88</v>
      </c>
      <c r="F382" s="8" t="s">
        <v>89</v>
      </c>
      <c r="G382" s="29"/>
      <c r="H382" s="31"/>
      <c r="I382" s="9"/>
      <c r="J382" s="9"/>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B383" s="40"/>
      <c r="D383" s="55"/>
      <c r="E383" s="8" t="s">
        <v>21</v>
      </c>
      <c r="F383" s="8" t="s">
        <v>74</v>
      </c>
      <c r="G383" s="29" t="str">
        <f>HYPERLINK("https://docs.google.com/spreadsheets/d/1KUsdpkYfcJDuL3GiWbRPhx2sYrciuyCvFPL1A4nCcn8/edit#gid=1197989807", "https://docs.google.com/spreadsheets/d/1KUsdpkYfcJDuL3GiWbRPhx2sYrciuyCvFPL1A4nCcn8/edit#gid=1197989807")</f>
        <v>https://docs.google.com/spreadsheets/d/1KUsdpkYfcJDuL3GiWbRPhx2sYrciuyCvFPL1A4nCcn8/edit#gid=1197989807</v>
      </c>
      <c r="H383" s="8" t="s">
        <v>74</v>
      </c>
      <c r="I383" s="9"/>
      <c r="J383" s="9"/>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B384" s="40"/>
      <c r="D384" s="55"/>
      <c r="E384" s="8" t="s">
        <v>72</v>
      </c>
      <c r="F384" s="8" t="s">
        <v>76</v>
      </c>
      <c r="G384" s="29" t="str">
        <f>HYPERLINK("https://docs.google.com/spreadsheets/d/1KUsdpkYfcJDuL3GiWbRPhx2sYrciuyCvFPL1A4nCcn8/edit#gid=491621069", "https://docs.google.com/spreadsheets/d/1KUsdpkYfcJDuL3GiWbRPhx2sYrciuyCvFPL1A4nCcn8/edit#gid=491621069")</f>
        <v>https://docs.google.com/spreadsheets/d/1KUsdpkYfcJDuL3GiWbRPhx2sYrciuyCvFPL1A4nCcn8/edit#gid=491621069</v>
      </c>
      <c r="H384" s="8" t="s">
        <v>76</v>
      </c>
      <c r="I384" s="9"/>
      <c r="J384" s="9"/>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B385" s="40"/>
      <c r="D385" s="55"/>
      <c r="E385" s="8" t="s">
        <v>43</v>
      </c>
      <c r="F385" s="8" t="s">
        <v>712</v>
      </c>
      <c r="G385" s="29" t="str">
        <f>HYPERLINK("https://docs.google.com/spreadsheets/d/1KUsdpkYfcJDuL3GiWbRPhx2sYrciuyCvFPL1A4nCcn8/edit#gid=842263994", "https://docs.google.com/spreadsheets/d/1KUsdpkYfcJDuL3GiWbRPhx2sYrciuyCvFPL1A4nCcn8/edit#gid=842263994")</f>
        <v>https://docs.google.com/spreadsheets/d/1KUsdpkYfcJDuL3GiWbRPhx2sYrciuyCvFPL1A4nCcn8/edit#gid=842263994</v>
      </c>
      <c r="H385" s="8" t="s">
        <v>712</v>
      </c>
      <c r="I385" s="9"/>
      <c r="J385" s="9"/>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B386" s="40"/>
      <c r="D386" s="55"/>
      <c r="E386" s="28" t="s">
        <v>43</v>
      </c>
      <c r="F386" s="28" t="s">
        <v>79</v>
      </c>
      <c r="G386" s="29" t="str">
        <f>HYPERLINK("https://docs.google.com/spreadsheets/d/1KUsdpkYfcJDuL3GiWbRPhx2sYrciuyCvFPL1A4nCcn8/edit#gid=1388299118", "https://docs.google.com/spreadsheets/d/1KUsdpkYfcJDuL3GiWbRPhx2sYrciuyCvFPL1A4nCcn8/edit#gid=1388299118")</f>
        <v>https://docs.google.com/spreadsheets/d/1KUsdpkYfcJDuL3GiWbRPhx2sYrciuyCvFPL1A4nCcn8/edit#gid=1388299118</v>
      </c>
      <c r="H386" s="38" t="s">
        <v>79</v>
      </c>
      <c r="I386" s="31"/>
      <c r="J386" s="9"/>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B387" s="40"/>
      <c r="C387" s="54"/>
      <c r="D387" s="55"/>
      <c r="E387" s="31"/>
      <c r="F387" s="59"/>
      <c r="G387" s="29"/>
      <c r="H387" s="59"/>
      <c r="I387" s="9"/>
      <c r="J387" s="9"/>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B388" s="26" t="s">
        <v>2429</v>
      </c>
      <c r="C388" s="52" t="s">
        <v>2430</v>
      </c>
      <c r="D388" s="53" t="s">
        <v>20</v>
      </c>
      <c r="E388" s="8" t="s">
        <v>88</v>
      </c>
      <c r="F388" s="8" t="s">
        <v>89</v>
      </c>
      <c r="G388" s="29"/>
      <c r="H388" s="36"/>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B389" s="40"/>
      <c r="D389" s="31"/>
      <c r="E389" s="8" t="s">
        <v>21</v>
      </c>
      <c r="F389" s="8" t="s">
        <v>74</v>
      </c>
      <c r="G389" s="29" t="str">
        <f>HYPERLINK("https://docs.google.com/spreadsheets/d/1TzpWKC1rT2YwJiK9ok0Jdu1GfkrpQljnnqn0eJb11lI/edit#gid=86757984", "https://docs.google.com/spreadsheets/d/1TzpWKC1rT2YwJiK9ok0Jdu1GfkrpQljnnqn0eJb11lI/edit#gid=86757984")</f>
        <v>https://docs.google.com/spreadsheets/d/1TzpWKC1rT2YwJiK9ok0Jdu1GfkrpQljnnqn0eJb11lI/edit#gid=86757984</v>
      </c>
      <c r="H389" s="8" t="s">
        <v>74</v>
      </c>
      <c r="I389" s="9"/>
      <c r="J389" s="9"/>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B390" s="40"/>
      <c r="D390" s="31"/>
      <c r="E390" s="8" t="s">
        <v>72</v>
      </c>
      <c r="F390" s="8" t="s">
        <v>76</v>
      </c>
      <c r="G390" s="29" t="str">
        <f>HYPERLINK("https://docs.google.com/spreadsheets/d/1TzpWKC1rT2YwJiK9ok0Jdu1GfkrpQljnnqn0eJb11lI/edit#gid=1152410216", "https://docs.google.com/spreadsheets/d/1TzpWKC1rT2YwJiK9ok0Jdu1GfkrpQljnnqn0eJb11lI/edit#gid=1152410216")</f>
        <v>https://docs.google.com/spreadsheets/d/1TzpWKC1rT2YwJiK9ok0Jdu1GfkrpQljnnqn0eJb11lI/edit#gid=1152410216</v>
      </c>
      <c r="H390" s="8" t="s">
        <v>76</v>
      </c>
      <c r="I390" s="9"/>
      <c r="J390" s="9"/>
      <c r="K390" s="11"/>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40"/>
      <c r="D391" s="31"/>
      <c r="E391" s="8" t="s">
        <v>72</v>
      </c>
      <c r="F391" s="8" t="s">
        <v>75</v>
      </c>
      <c r="G391" s="29" t="str">
        <f>HYPERLINK("https://docs.google.com/spreadsheets/d/1TzpWKC1rT2YwJiK9ok0Jdu1GfkrpQljnnqn0eJb11lI/edit#gid=1300273551", "https://docs.google.com/spreadsheets/d/1TzpWKC1rT2YwJiK9ok0Jdu1GfkrpQljnnqn0eJb11lI/edit#gid=1300273551")</f>
        <v>https://docs.google.com/spreadsheets/d/1TzpWKC1rT2YwJiK9ok0Jdu1GfkrpQljnnqn0eJb11lI/edit#gid=1300273551</v>
      </c>
      <c r="H391" s="8" t="s">
        <v>75</v>
      </c>
      <c r="I391" s="9"/>
      <c r="J391" s="9"/>
      <c r="K391" s="11"/>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40"/>
      <c r="D392" s="31"/>
      <c r="E392" s="8" t="s">
        <v>72</v>
      </c>
      <c r="F392" s="8" t="s">
        <v>81</v>
      </c>
      <c r="G392" s="29" t="str">
        <f>HYPERLINK("https://docs.google.com/spreadsheets/d/1TzpWKC1rT2YwJiK9ok0Jdu1GfkrpQljnnqn0eJb11lI/edit#gid=1493062113", "https://docs.google.com/spreadsheets/d/1TzpWKC1rT2YwJiK9ok0Jdu1GfkrpQljnnqn0eJb11lI/edit#gid=1493062113")</f>
        <v>https://docs.google.com/spreadsheets/d/1TzpWKC1rT2YwJiK9ok0Jdu1GfkrpQljnnqn0eJb11lI/edit#gid=1493062113</v>
      </c>
      <c r="H392" s="8" t="s">
        <v>81</v>
      </c>
      <c r="I392" s="31"/>
      <c r="J392" s="9"/>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B393" s="40"/>
      <c r="D393" s="31"/>
      <c r="E393" s="28" t="s">
        <v>88</v>
      </c>
      <c r="F393" s="28" t="s">
        <v>120</v>
      </c>
      <c r="G393" s="29" t="str">
        <f>HYPERLINK("https://docs.google.com/spreadsheets/d/1TzpWKC1rT2YwJiK9ok0Jdu1GfkrpQljnnqn0eJb11lI/edit#gid=2129739877", "https://docs.google.com/spreadsheets/d/1TzpWKC1rT2YwJiK9ok0Jdu1GfkrpQljnnqn0eJb11lI/edit#gid=2129739877")</f>
        <v>https://docs.google.com/spreadsheets/d/1TzpWKC1rT2YwJiK9ok0Jdu1GfkrpQljnnqn0eJb11lI/edit#gid=2129739877</v>
      </c>
      <c r="H393" s="38" t="s">
        <v>120</v>
      </c>
      <c r="I393" s="9"/>
      <c r="J393" s="9"/>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B394" s="40"/>
      <c r="D394" s="55"/>
      <c r="E394" s="8" t="s">
        <v>88</v>
      </c>
      <c r="F394" s="8" t="s">
        <v>89</v>
      </c>
      <c r="G394" s="29"/>
      <c r="H394" s="36"/>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B395" s="40"/>
      <c r="D395" s="55"/>
      <c r="E395" s="8" t="s">
        <v>43</v>
      </c>
      <c r="F395" s="8" t="s">
        <v>132</v>
      </c>
      <c r="G395" s="29" t="str">
        <f>HYPERLINK("https://docs.google.com/spreadsheets/d/1TzpWKC1rT2YwJiK9ok0Jdu1GfkrpQljnnqn0eJb11lI/edit#gid=578829596", "https://docs.google.com/spreadsheets/d/1TzpWKC1rT2YwJiK9ok0Jdu1GfkrpQljnnqn0eJb11lI/edit#gid=578829596")</f>
        <v>https://docs.google.com/spreadsheets/d/1TzpWKC1rT2YwJiK9ok0Jdu1GfkrpQljnnqn0eJb11lI/edit#gid=578829596</v>
      </c>
      <c r="H395" s="8" t="s">
        <v>132</v>
      </c>
      <c r="I395" s="9"/>
      <c r="J395" s="9"/>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B396" s="40"/>
      <c r="D396" s="55"/>
      <c r="E396" s="8" t="s">
        <v>43</v>
      </c>
      <c r="F396" s="8" t="s">
        <v>133</v>
      </c>
      <c r="G396" s="29" t="str">
        <f>HYPERLINK("https://docs.google.com/spreadsheets/d/1TzpWKC1rT2YwJiK9ok0Jdu1GfkrpQljnnqn0eJb11lI/edit#gid=735664627", "https://docs.google.com/spreadsheets/d/1TzpWKC1rT2YwJiK9ok0Jdu1GfkrpQljnnqn0eJb11lI/edit#gid=735664627")</f>
        <v>https://docs.google.com/spreadsheets/d/1TzpWKC1rT2YwJiK9ok0Jdu1GfkrpQljnnqn0eJb11lI/edit#gid=735664627</v>
      </c>
      <c r="H396" s="8" t="s">
        <v>133</v>
      </c>
      <c r="I396" s="9"/>
      <c r="J396" s="9"/>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B397" s="26"/>
      <c r="C397" s="52"/>
      <c r="D397" s="53"/>
      <c r="E397" s="28"/>
      <c r="F397" s="8"/>
      <c r="G397" s="29"/>
      <c r="H397" s="36"/>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B398" s="26" t="s">
        <v>2431</v>
      </c>
      <c r="C398" s="52" t="s">
        <v>2432</v>
      </c>
      <c r="D398" s="53" t="s">
        <v>20</v>
      </c>
      <c r="E398" s="28" t="s">
        <v>88</v>
      </c>
      <c r="F398" s="8" t="s">
        <v>89</v>
      </c>
      <c r="G398" s="29"/>
      <c r="H398" s="36"/>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B399" s="40"/>
      <c r="D399" s="55"/>
      <c r="E399" s="28" t="s">
        <v>21</v>
      </c>
      <c r="F399" s="38" t="s">
        <v>74</v>
      </c>
      <c r="G399" s="29" t="str">
        <f>HYPERLINK("https://docs.google.com/spreadsheets/d/1e3opRNFbwLd2rJ213hQEquQAAAdUec0pI6ohZbl04-0/edit#gid=83534600", "https://docs.google.com/spreadsheets/d/1e3opRNFbwLd2rJ213hQEquQAAAdUec0pI6ohZbl04-0/edit#gid=83534600")</f>
        <v>https://docs.google.com/spreadsheets/d/1e3opRNFbwLd2rJ213hQEquQAAAdUec0pI6ohZbl04-0/edit#gid=83534600</v>
      </c>
      <c r="H399" s="38" t="s">
        <v>74</v>
      </c>
      <c r="I399" s="9"/>
      <c r="J399" s="9"/>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B400" s="40"/>
      <c r="D400" s="55"/>
      <c r="E400" s="28" t="s">
        <v>72</v>
      </c>
      <c r="F400" s="28" t="s">
        <v>76</v>
      </c>
      <c r="G400" s="29" t="str">
        <f>HYPERLINK("https://docs.google.com/spreadsheets/d/1e3opRNFbwLd2rJ213hQEquQAAAdUec0pI6ohZbl04-0/edit#gid=2063827424", "https://docs.google.com/spreadsheets/d/1e3opRNFbwLd2rJ213hQEquQAAAdUec0pI6ohZbl04-0/edit#gid=2063827424")</f>
        <v>https://docs.google.com/spreadsheets/d/1e3opRNFbwLd2rJ213hQEquQAAAdUec0pI6ohZbl04-0/edit#gid=2063827424</v>
      </c>
      <c r="H400" s="38" t="s">
        <v>76</v>
      </c>
      <c r="I400" s="9"/>
      <c r="J400" s="9"/>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B401" s="40"/>
      <c r="D401" s="55"/>
      <c r="E401" s="8" t="s">
        <v>72</v>
      </c>
      <c r="F401" s="58" t="s">
        <v>75</v>
      </c>
      <c r="G401" s="29" t="str">
        <f>HYPERLINK("https://docs.google.com/spreadsheets/d/1e3opRNFbwLd2rJ213hQEquQAAAdUec0pI6ohZbl04-0/edit#gid=1616003087", "https://docs.google.com/spreadsheets/d/1e3opRNFbwLd2rJ213hQEquQAAAdUec0pI6ohZbl04-0/edit#gid=1616003087")</f>
        <v>https://docs.google.com/spreadsheets/d/1e3opRNFbwLd2rJ213hQEquQAAAdUec0pI6ohZbl04-0/edit#gid=1616003087</v>
      </c>
      <c r="H401" s="58" t="s">
        <v>75</v>
      </c>
      <c r="I401" s="9"/>
      <c r="J401" s="9"/>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B402" s="40"/>
      <c r="D402" s="31"/>
      <c r="E402" s="28" t="s">
        <v>72</v>
      </c>
      <c r="F402" s="8" t="s">
        <v>81</v>
      </c>
      <c r="G402" s="60" t="str">
        <f>HYPERLINK("https://docs.google.com/spreadsheets/d/1e3opRNFbwLd2rJ213hQEquQAAAdUec0pI6ohZbl04-0/edit#gid=1206763659", "https://docs.google.com/spreadsheets/d/1e3opRNFbwLd2rJ213hQEquQAAAdUec0pI6ohZbl04-0/edit#gid=1206763659")</f>
        <v>https://docs.google.com/spreadsheets/d/1e3opRNFbwLd2rJ213hQEquQAAAdUec0pI6ohZbl04-0/edit#gid=1206763659</v>
      </c>
      <c r="H402" s="8" t="s">
        <v>81</v>
      </c>
      <c r="I402" s="9"/>
      <c r="J402" s="9"/>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B403" s="26"/>
      <c r="D403" s="55"/>
      <c r="E403" s="8" t="s">
        <v>43</v>
      </c>
      <c r="F403" s="8" t="s">
        <v>132</v>
      </c>
      <c r="G403" s="34" t="str">
        <f>HYPERLINK("https://docs.google.com/spreadsheets/d/1e3opRNFbwLd2rJ213hQEquQAAAdUec0pI6ohZbl04-0/edit#gid=604311300", "https://docs.google.com/spreadsheets/d/1e3opRNFbwLd2rJ213hQEquQAAAdUec0pI6ohZbl04-0/edit#gid=604311300")</f>
        <v>https://docs.google.com/spreadsheets/d/1e3opRNFbwLd2rJ213hQEquQAAAdUec0pI6ohZbl04-0/edit#gid=604311300</v>
      </c>
      <c r="H403" s="8" t="s">
        <v>132</v>
      </c>
      <c r="I403" s="9"/>
      <c r="J403" s="9"/>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B404" s="26"/>
      <c r="D404" s="55"/>
      <c r="E404" s="8" t="s">
        <v>43</v>
      </c>
      <c r="F404" s="8" t="s">
        <v>133</v>
      </c>
      <c r="G404" s="34" t="str">
        <f>HYPERLINK("https://docs.google.com/spreadsheets/d/1e3opRNFbwLd2rJ213hQEquQAAAdUec0pI6ohZbl04-0/edit#gid=1171346344", "https://docs.google.com/spreadsheets/d/1e3opRNFbwLd2rJ213hQEquQAAAdUec0pI6ohZbl04-0/edit#gid=1171346344")</f>
        <v>https://docs.google.com/spreadsheets/d/1e3opRNFbwLd2rJ213hQEquQAAAdUec0pI6ohZbl04-0/edit#gid=1171346344</v>
      </c>
      <c r="H404" s="8" t="s">
        <v>133</v>
      </c>
      <c r="I404" s="9"/>
      <c r="J404" s="9"/>
      <c r="K404" s="61"/>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B405" s="26"/>
      <c r="C405" s="52"/>
      <c r="D405" s="55"/>
      <c r="E405" s="8"/>
      <c r="F405" s="8"/>
      <c r="G405" s="34"/>
      <c r="H405" s="8"/>
      <c r="I405" s="9"/>
      <c r="J405" s="9"/>
      <c r="K405" s="6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B406" s="26" t="s">
        <v>2433</v>
      </c>
      <c r="C406" s="52" t="s">
        <v>2434</v>
      </c>
      <c r="D406" s="53" t="s">
        <v>20</v>
      </c>
      <c r="E406" s="28" t="s">
        <v>88</v>
      </c>
      <c r="F406" s="8" t="s">
        <v>89</v>
      </c>
      <c r="G406" s="34"/>
      <c r="H406" s="36"/>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26"/>
      <c r="D407" s="55"/>
      <c r="E407" s="28" t="s">
        <v>21</v>
      </c>
      <c r="F407" s="38" t="s">
        <v>74</v>
      </c>
      <c r="G407" s="34" t="str">
        <f>HYPERLINK("https://docs.google.com/spreadsheets/d/1nYr3PoxdaqBXSWfnQx2X5Q_-3tbnhmg2nzN7eG_LUm8/edit#gid=507810009", "https://docs.google.com/spreadsheets/d/1nYr3PoxdaqBXSWfnQx2X5Q_-3tbnhmg2nzN7eG_LUm8/edit#gid=507810009")</f>
        <v>https://docs.google.com/spreadsheets/d/1nYr3PoxdaqBXSWfnQx2X5Q_-3tbnhmg2nzN7eG_LUm8/edit#gid=507810009</v>
      </c>
      <c r="H407" s="38" t="s">
        <v>74</v>
      </c>
      <c r="I407" s="31"/>
      <c r="J407" s="9"/>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26"/>
      <c r="D408" s="55"/>
      <c r="E408" s="28" t="s">
        <v>72</v>
      </c>
      <c r="F408" s="28" t="s">
        <v>76</v>
      </c>
      <c r="G408" s="34" t="str">
        <f>HYPERLINK("https://docs.google.com/spreadsheets/d/1nYr3PoxdaqBXSWfnQx2X5Q_-3tbnhmg2nzN7eG_LUm8/edit#gid=1585196879", "https://docs.google.com/spreadsheets/d/1nYr3PoxdaqBXSWfnQx2X5Q_-3tbnhmg2nzN7eG_LUm8/edit#gid=1585196879")</f>
        <v>https://docs.google.com/spreadsheets/d/1nYr3PoxdaqBXSWfnQx2X5Q_-3tbnhmg2nzN7eG_LUm8/edit#gid=1585196879</v>
      </c>
      <c r="H408" s="38" t="s">
        <v>76</v>
      </c>
      <c r="I408" s="9"/>
      <c r="J408" s="9"/>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B409" s="26"/>
      <c r="D409" s="55"/>
      <c r="E409" s="8" t="s">
        <v>72</v>
      </c>
      <c r="F409" s="8" t="s">
        <v>75</v>
      </c>
      <c r="G409" s="34" t="str">
        <f>HYPERLINK("https://docs.google.com/spreadsheets/d/1nYr3PoxdaqBXSWfnQx2X5Q_-3tbnhmg2nzN7eG_LUm8/edit#gid=2089330419", "https://docs.google.com/spreadsheets/d/1nYr3PoxdaqBXSWfnQx2X5Q_-3tbnhmg2nzN7eG_LUm8/edit#gid=2089330419")</f>
        <v>https://docs.google.com/spreadsheets/d/1nYr3PoxdaqBXSWfnQx2X5Q_-3tbnhmg2nzN7eG_LUm8/edit#gid=2089330419</v>
      </c>
      <c r="H409" s="8" t="s">
        <v>75</v>
      </c>
      <c r="I409" s="9"/>
      <c r="J409" s="9"/>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B410" s="26"/>
      <c r="D410" s="55"/>
      <c r="E410" s="8" t="s">
        <v>72</v>
      </c>
      <c r="F410" s="62" t="s">
        <v>81</v>
      </c>
      <c r="G410" s="34" t="str">
        <f>HYPERLINK("https://docs.google.com/spreadsheets/d/1nYr3PoxdaqBXSWfnQx2X5Q_-3tbnhmg2nzN7eG_LUm8/edit#gid=363095743", "https://docs.google.com/spreadsheets/d/1nYr3PoxdaqBXSWfnQx2X5Q_-3tbnhmg2nzN7eG_LUm8/edit#gid=363095743")</f>
        <v>https://docs.google.com/spreadsheets/d/1nYr3PoxdaqBXSWfnQx2X5Q_-3tbnhmg2nzN7eG_LUm8/edit#gid=363095743</v>
      </c>
      <c r="H410" s="62" t="s">
        <v>81</v>
      </c>
      <c r="J410" s="9"/>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B411" s="26"/>
      <c r="D411" s="55"/>
      <c r="E411" s="8" t="s">
        <v>43</v>
      </c>
      <c r="F411" s="8" t="s">
        <v>132</v>
      </c>
      <c r="G411" s="34" t="str">
        <f>HYPERLINK("https://docs.google.com/spreadsheets/d/1nYr3PoxdaqBXSWfnQx2X5Q_-3tbnhmg2nzN7eG_LUm8/edit#gid=1216909706", "https://docs.google.com/spreadsheets/d/1nYr3PoxdaqBXSWfnQx2X5Q_-3tbnhmg2nzN7eG_LUm8/edit#gid=1216909706")</f>
        <v>https://docs.google.com/spreadsheets/d/1nYr3PoxdaqBXSWfnQx2X5Q_-3tbnhmg2nzN7eG_LUm8/edit#gid=1216909706</v>
      </c>
      <c r="H411" s="8" t="s">
        <v>132</v>
      </c>
      <c r="I411" s="9"/>
      <c r="J411" s="9"/>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B412" s="26"/>
      <c r="C412" s="41"/>
      <c r="D412" s="31"/>
      <c r="E412" s="8" t="s">
        <v>43</v>
      </c>
      <c r="F412" s="8" t="s">
        <v>113</v>
      </c>
      <c r="G412" s="34" t="str">
        <f>HYPERLINK("https://docs.google.com/spreadsheets/d/1nYr3PoxdaqBXSWfnQx2X5Q_-3tbnhmg2nzN7eG_LUm8/edit#gid=1640619774", "https://docs.google.com/spreadsheets/d/1nYr3PoxdaqBXSWfnQx2X5Q_-3tbnhmg2nzN7eG_LUm8/edit#gid=1640619774")</f>
        <v>https://docs.google.com/spreadsheets/d/1nYr3PoxdaqBXSWfnQx2X5Q_-3tbnhmg2nzN7eG_LUm8/edit#gid=1640619774</v>
      </c>
      <c r="H412" s="8" t="s">
        <v>113</v>
      </c>
      <c r="I412" s="9"/>
      <c r="J412" s="9"/>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B413" s="26"/>
      <c r="C413" s="41"/>
      <c r="D413" s="31"/>
      <c r="E413" s="31"/>
      <c r="F413" s="31"/>
      <c r="G413" s="34"/>
      <c r="H413" s="31"/>
      <c r="I413" s="9"/>
      <c r="J413" s="9"/>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B414" s="26" t="s">
        <v>2435</v>
      </c>
      <c r="C414" s="39" t="s">
        <v>2436</v>
      </c>
      <c r="D414" s="8" t="s">
        <v>20</v>
      </c>
      <c r="E414" s="8" t="s">
        <v>88</v>
      </c>
      <c r="F414" s="8" t="s">
        <v>89</v>
      </c>
      <c r="G414" s="34"/>
      <c r="H414" s="36"/>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B415" s="26"/>
      <c r="D415" s="31"/>
      <c r="E415" s="28" t="s">
        <v>21</v>
      </c>
      <c r="F415" s="8" t="s">
        <v>51</v>
      </c>
      <c r="G415" s="34" t="str">
        <f>HYPERLINK("https://docs.google.com/spreadsheets/d/1_0Cn1vtDP-AtU5E19piKq54lv2evqsLCshVaNnLMIck/edit#gid=241776217", "https://docs.google.com/spreadsheets/d/1_0Cn1vtDP-AtU5E19piKq54lv2evqsLCshVaNnLMIck/edit#gid=241776217")</f>
        <v>https://docs.google.com/spreadsheets/d/1_0Cn1vtDP-AtU5E19piKq54lv2evqsLCshVaNnLMIck/edit#gid=241776217</v>
      </c>
      <c r="H415" s="8" t="s">
        <v>51</v>
      </c>
      <c r="I415" s="9"/>
      <c r="J415" s="9"/>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B416" s="26"/>
      <c r="D416" s="31"/>
      <c r="E416" s="28" t="s">
        <v>43</v>
      </c>
      <c r="F416" s="38" t="s">
        <v>132</v>
      </c>
      <c r="G416" s="34" t="str">
        <f>HYPERLINK("https://docs.google.com/spreadsheets/d/1_0Cn1vtDP-AtU5E19piKq54lv2evqsLCshVaNnLMIck/edit#gid=349671766", "https://docs.google.com/spreadsheets/d/1_0Cn1vtDP-AtU5E19piKq54lv2evqsLCshVaNnLMIck/edit#gid=349671766")</f>
        <v>https://docs.google.com/spreadsheets/d/1_0Cn1vtDP-AtU5E19piKq54lv2evqsLCshVaNnLMIck/edit#gid=349671766</v>
      </c>
      <c r="H416" s="38" t="s">
        <v>132</v>
      </c>
      <c r="I416" s="9"/>
      <c r="J416" s="9"/>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B417" s="26"/>
      <c r="D417" s="31"/>
      <c r="E417" s="28" t="s">
        <v>43</v>
      </c>
      <c r="F417" s="38" t="s">
        <v>342</v>
      </c>
      <c r="G417" s="34" t="str">
        <f>HYPERLINK("https://docs.google.com/spreadsheets/d/1_0Cn1vtDP-AtU5E19piKq54lv2evqsLCshVaNnLMIck/edit#gid=1927792210", "https://docs.google.com/spreadsheets/d/1_0Cn1vtDP-AtU5E19piKq54lv2evqsLCshVaNnLMIck/edit#gid=1927792210")</f>
        <v>https://docs.google.com/spreadsheets/d/1_0Cn1vtDP-AtU5E19piKq54lv2evqsLCshVaNnLMIck/edit#gid=1927792210</v>
      </c>
      <c r="H417" s="38" t="s">
        <v>342</v>
      </c>
      <c r="I417" s="9"/>
      <c r="J417" s="9"/>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B418" s="26"/>
      <c r="D418" s="31"/>
      <c r="E418" s="28" t="s">
        <v>43</v>
      </c>
      <c r="F418" s="38" t="s">
        <v>343</v>
      </c>
      <c r="G418" s="34" t="str">
        <f>HYPERLINK("https://docs.google.com/spreadsheets/d/1_0Cn1vtDP-AtU5E19piKq54lv2evqsLCshVaNnLMIck/edit#gid=836952712", "https://docs.google.com/spreadsheets/d/1_0Cn1vtDP-AtU5E19piKq54lv2evqsLCshVaNnLMIck/edit#gid=836952712")</f>
        <v>https://docs.google.com/spreadsheets/d/1_0Cn1vtDP-AtU5E19piKq54lv2evqsLCshVaNnLMIck/edit#gid=836952712</v>
      </c>
      <c r="H418" s="38" t="s">
        <v>343</v>
      </c>
      <c r="I418" s="9"/>
      <c r="J418" s="9"/>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B419" s="26"/>
      <c r="C419" s="41"/>
      <c r="D419" s="31"/>
      <c r="E419" s="8" t="s">
        <v>43</v>
      </c>
      <c r="F419" s="8" t="s">
        <v>113</v>
      </c>
      <c r="G419" s="34" t="str">
        <f>HYPERLINK("https://docs.google.com/spreadsheets/d/1_0Cn1vtDP-AtU5E19piKq54lv2evqsLCshVaNnLMIck/edit#gid=716111873", "https://docs.google.com/spreadsheets/d/1_0Cn1vtDP-AtU5E19piKq54lv2evqsLCshVaNnLMIck/edit#gid=716111873")</f>
        <v>https://docs.google.com/spreadsheets/d/1_0Cn1vtDP-AtU5E19piKq54lv2evqsLCshVaNnLMIck/edit#gid=716111873</v>
      </c>
      <c r="H419" s="8" t="s">
        <v>113</v>
      </c>
      <c r="I419" s="9"/>
      <c r="J419" s="9"/>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B420" s="26"/>
      <c r="C420" s="41"/>
      <c r="D420" s="31"/>
      <c r="E420" s="31"/>
      <c r="F420" s="62"/>
      <c r="G420" s="34"/>
      <c r="H420" s="62"/>
      <c r="J420" s="9"/>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B421" s="26" t="s">
        <v>2437</v>
      </c>
      <c r="C421" s="41"/>
      <c r="D421" s="8" t="s">
        <v>20</v>
      </c>
      <c r="E421" s="8" t="s">
        <v>88</v>
      </c>
      <c r="F421" s="8" t="s">
        <v>89</v>
      </c>
      <c r="G421" s="34"/>
      <c r="H421" s="36"/>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B422" s="26"/>
      <c r="C422" s="41"/>
      <c r="D422" s="31"/>
      <c r="E422" s="8" t="s">
        <v>21</v>
      </c>
      <c r="F422" s="8" t="s">
        <v>74</v>
      </c>
      <c r="G422" s="34" t="str">
        <f>HYPERLINK("https://docs.google.com/spreadsheets/d/1Gs8IRHjtP6DO6Q50JZkHFv64x3rxOIygg_lRmckeYUw/edit#gid=2043671456", "https://docs.google.com/spreadsheets/d/1Gs8IRHjtP6DO6Q50JZkHFv64x3rxOIygg_lRmckeYUw/edit#gid=2043671456")</f>
        <v>https://docs.google.com/spreadsheets/d/1Gs8IRHjtP6DO6Q50JZkHFv64x3rxOIygg_lRmckeYUw/edit#gid=2043671456</v>
      </c>
      <c r="H422" s="8" t="s">
        <v>74</v>
      </c>
      <c r="I422" s="9"/>
      <c r="J422" s="9"/>
      <c r="K422" s="11"/>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B423" s="26"/>
      <c r="C423" s="41"/>
      <c r="D423" s="31"/>
      <c r="E423" s="8" t="s">
        <v>72</v>
      </c>
      <c r="F423" s="8" t="s">
        <v>76</v>
      </c>
      <c r="G423" s="34" t="str">
        <f>HYPERLINK("https://docs.google.com/spreadsheets/d/1Gs8IRHjtP6DO6Q50JZkHFv64x3rxOIygg_lRmckeYUw/edit#gid=618444078", "https://docs.google.com/spreadsheets/d/1Gs8IRHjtP6DO6Q50JZkHFv64x3rxOIygg_lRmckeYUw/edit#gid=618444078")</f>
        <v>https://docs.google.com/spreadsheets/d/1Gs8IRHjtP6DO6Q50JZkHFv64x3rxOIygg_lRmckeYUw/edit#gid=618444078</v>
      </c>
      <c r="H423" s="8" t="s">
        <v>76</v>
      </c>
      <c r="I423" s="9"/>
      <c r="J423" s="9"/>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B424" s="26"/>
      <c r="C424" s="41"/>
      <c r="D424" s="31"/>
      <c r="E424" s="8" t="s">
        <v>72</v>
      </c>
      <c r="F424" s="8" t="s">
        <v>75</v>
      </c>
      <c r="G424" s="34" t="str">
        <f>HYPERLINK("https://docs.google.com/spreadsheets/d/1Gs8IRHjtP6DO6Q50JZkHFv64x3rxOIygg_lRmckeYUw/edit#gid=948298020", "https://docs.google.com/spreadsheets/d/1Gs8IRHjtP6DO6Q50JZkHFv64x3rxOIygg_lRmckeYUw/edit#gid=948298020")</f>
        <v>https://docs.google.com/spreadsheets/d/1Gs8IRHjtP6DO6Q50JZkHFv64x3rxOIygg_lRmckeYUw/edit#gid=948298020</v>
      </c>
      <c r="H424" s="8" t="s">
        <v>75</v>
      </c>
      <c r="J424" s="9"/>
      <c r="K424" s="11"/>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26"/>
      <c r="C425" s="41"/>
      <c r="D425" s="31"/>
      <c r="E425" s="28" t="s">
        <v>72</v>
      </c>
      <c r="F425" s="8" t="s">
        <v>81</v>
      </c>
      <c r="G425" s="34" t="str">
        <f>HYPERLINK("https://docs.google.com/spreadsheets/d/1Gs8IRHjtP6DO6Q50JZkHFv64x3rxOIygg_lRmckeYUw/edit#gid=1178040017", "https://docs.google.com/spreadsheets/d/1Gs8IRHjtP6DO6Q50JZkHFv64x3rxOIygg_lRmckeYUw/edit#gid=1178040017")</f>
        <v>https://docs.google.com/spreadsheets/d/1Gs8IRHjtP6DO6Q50JZkHFv64x3rxOIygg_lRmckeYUw/edit#gid=1178040017</v>
      </c>
      <c r="H425" s="8" t="s">
        <v>81</v>
      </c>
      <c r="I425" s="9"/>
      <c r="J425" s="9"/>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26"/>
      <c r="C426" s="41"/>
      <c r="D426" s="31"/>
      <c r="E426" s="8" t="s">
        <v>88</v>
      </c>
      <c r="F426" s="8" t="s">
        <v>89</v>
      </c>
      <c r="G426" s="34"/>
      <c r="H426" s="36"/>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B427" s="26"/>
      <c r="C427" s="41"/>
      <c r="D427" s="31"/>
      <c r="E427" s="8" t="s">
        <v>43</v>
      </c>
      <c r="F427" s="62" t="s">
        <v>132</v>
      </c>
      <c r="G427" s="34" t="str">
        <f>HYPERLINK("https://docs.google.com/spreadsheets/d/1Gs8IRHjtP6DO6Q50JZkHFv64x3rxOIygg_lRmckeYUw/edit#gid=2006948443", "https://docs.google.com/spreadsheets/d/1Gs8IRHjtP6DO6Q50JZkHFv64x3rxOIygg_lRmckeYUw/edit#gid=2006948443")</f>
        <v>https://docs.google.com/spreadsheets/d/1Gs8IRHjtP6DO6Q50JZkHFv64x3rxOIygg_lRmckeYUw/edit#gid=2006948443</v>
      </c>
      <c r="H427" s="62" t="s">
        <v>132</v>
      </c>
      <c r="I427" s="9"/>
      <c r="J427" s="9"/>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B428" s="26"/>
      <c r="C428" s="39"/>
      <c r="D428" s="31"/>
      <c r="E428" s="8" t="s">
        <v>43</v>
      </c>
      <c r="F428" s="8" t="s">
        <v>133</v>
      </c>
      <c r="G428" s="34" t="str">
        <f>HYPERLINK("https://docs.google.com/spreadsheets/d/1Gs8IRHjtP6DO6Q50JZkHFv64x3rxOIygg_lRmckeYUw/edit#gid=2090910552", "https://docs.google.com/spreadsheets/d/1Gs8IRHjtP6DO6Q50JZkHFv64x3rxOIygg_lRmckeYUw/edit#gid=2090910552")</f>
        <v>https://docs.google.com/spreadsheets/d/1Gs8IRHjtP6DO6Q50JZkHFv64x3rxOIygg_lRmckeYUw/edit#gid=2090910552</v>
      </c>
      <c r="H428" s="8" t="s">
        <v>133</v>
      </c>
      <c r="I428" s="9"/>
      <c r="J428" s="9"/>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B429" s="26"/>
      <c r="C429" s="39"/>
      <c r="D429" s="31"/>
      <c r="E429" s="31"/>
      <c r="F429" s="31"/>
      <c r="G429" s="34"/>
      <c r="H429" s="31"/>
      <c r="I429" s="9"/>
      <c r="J429" s="9"/>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B430" s="26" t="s">
        <v>2438</v>
      </c>
      <c r="C430" s="39" t="s">
        <v>2439</v>
      </c>
      <c r="D430" s="8" t="s">
        <v>20</v>
      </c>
      <c r="E430" s="28" t="s">
        <v>88</v>
      </c>
      <c r="F430" s="8" t="s">
        <v>89</v>
      </c>
      <c r="G430" s="34"/>
      <c r="H430" s="36"/>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B431" s="26"/>
      <c r="D431" s="31"/>
      <c r="E431" s="28" t="s">
        <v>21</v>
      </c>
      <c r="F431" s="8" t="s">
        <v>51</v>
      </c>
      <c r="G431" s="34" t="str">
        <f>HYPERLINK("https://docs.google.com/spreadsheets/d/1y6GXfW8T4n6e3So_2jXADOkjmD1Fz3_qSrySLpdh5ws/edit#gid=787546151", "https://docs.google.com/spreadsheets/d/1y6GXfW8T4n6e3So_2jXADOkjmD1Fz3_qSrySLpdh5ws/edit#gid=787546151")</f>
        <v>https://docs.google.com/spreadsheets/d/1y6GXfW8T4n6e3So_2jXADOkjmD1Fz3_qSrySLpdh5ws/edit#gid=787546151</v>
      </c>
      <c r="H431" s="8" t="s">
        <v>51</v>
      </c>
      <c r="I431" s="9"/>
      <c r="J431" s="9"/>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B432" s="26"/>
      <c r="D432" s="31"/>
      <c r="E432" s="28" t="s">
        <v>88</v>
      </c>
      <c r="F432" s="28" t="s">
        <v>481</v>
      </c>
      <c r="G432" s="34" t="str">
        <f>HYPERLINK("https://docs.google.com/spreadsheets/d/1y6GXfW8T4n6e3So_2jXADOkjmD1Fz3_qSrySLpdh5ws/edit#gid=605421342", "https://docs.google.com/spreadsheets/d/1y6GXfW8T4n6e3So_2jXADOkjmD1Fz3_qSrySLpdh5ws/edit#gid=605421342")</f>
        <v>https://docs.google.com/spreadsheets/d/1y6GXfW8T4n6e3So_2jXADOkjmD1Fz3_qSrySLpdh5ws/edit#gid=605421342</v>
      </c>
      <c r="H432" s="38" t="s">
        <v>481</v>
      </c>
      <c r="I432" s="9"/>
      <c r="J432" s="9"/>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B433" s="26"/>
      <c r="D433" s="31"/>
      <c r="E433" s="8" t="s">
        <v>88</v>
      </c>
      <c r="F433" s="8" t="s">
        <v>515</v>
      </c>
      <c r="G433" s="34" t="str">
        <f>HYPERLINK("https://docs.google.com/spreadsheets/d/1y6GXfW8T4n6e3So_2jXADOkjmD1Fz3_qSrySLpdh5ws/edit#gid=2135676377", "https://docs.google.com/spreadsheets/d/1y6GXfW8T4n6e3So_2jXADOkjmD1Fz3_qSrySLpdh5ws/edit#gid=2135676377")</f>
        <v>https://docs.google.com/spreadsheets/d/1y6GXfW8T4n6e3So_2jXADOkjmD1Fz3_qSrySLpdh5ws/edit#gid=2135676377</v>
      </c>
      <c r="H433" s="8" t="s">
        <v>515</v>
      </c>
      <c r="I433" s="9"/>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B434" s="26"/>
      <c r="D434" s="31"/>
      <c r="E434" s="8" t="s">
        <v>88</v>
      </c>
      <c r="F434" s="62" t="s">
        <v>496</v>
      </c>
      <c r="G434" s="34" t="str">
        <f>HYPERLINK("https://docs.google.com/spreadsheets/d/1y6GXfW8T4n6e3So_2jXADOkjmD1Fz3_qSrySLpdh5ws/edit#gid=2051346302", "https://docs.google.com/spreadsheets/d/1y6GXfW8T4n6e3So_2jXADOkjmD1Fz3_qSrySLpdh5ws/edit#gid=2051346302")</f>
        <v>https://docs.google.com/spreadsheets/d/1y6GXfW8T4n6e3So_2jXADOkjmD1Fz3_qSrySLpdh5ws/edit#gid=2051346302</v>
      </c>
      <c r="H434" s="62" t="s">
        <v>496</v>
      </c>
      <c r="I434" s="9"/>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7.25" customHeight="1">
      <c r="A435" s="15"/>
      <c r="B435" s="26"/>
      <c r="D435" s="9"/>
      <c r="E435" s="28" t="s">
        <v>88</v>
      </c>
      <c r="F435" s="8" t="s">
        <v>570</v>
      </c>
      <c r="G435" s="9"/>
      <c r="H435" s="36"/>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B436" s="63"/>
      <c r="E436" s="35" t="s">
        <v>88</v>
      </c>
      <c r="F436" s="35" t="s">
        <v>598</v>
      </c>
      <c r="H436" s="36"/>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B437" s="63"/>
      <c r="E437" s="35" t="s">
        <v>88</v>
      </c>
      <c r="F437" s="35" t="s">
        <v>120</v>
      </c>
      <c r="G437" s="84" t="str">
        <f>HYPERLINK("https://docs.google.com/spreadsheets/d/1y6GXfW8T4n6e3So_2jXADOkjmD1Fz3_qSrySLpdh5ws/edit#gid=1476949555", "https://docs.google.com/spreadsheets/d/1y6GXfW8T4n6e3So_2jXADOkjmD1Fz3_qSrySLpdh5ws/edit#gid=1476949555")</f>
        <v>https://docs.google.com/spreadsheets/d/1y6GXfW8T4n6e3So_2jXADOkjmD1Fz3_qSrySLpdh5ws/edit#gid=1476949555</v>
      </c>
      <c r="H437" s="35" t="s">
        <v>120</v>
      </c>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B438" s="63"/>
      <c r="E438" s="35" t="s">
        <v>88</v>
      </c>
      <c r="F438" s="35" t="s">
        <v>544</v>
      </c>
      <c r="G438" s="84" t="str">
        <f>HYPERLINK("https://docs.google.com/spreadsheets/d/1y6GXfW8T4n6e3So_2jXADOkjmD1Fz3_qSrySLpdh5ws/edit#gid=1930198562", "https://docs.google.com/spreadsheets/d/1y6GXfW8T4n6e3So_2jXADOkjmD1Fz3_qSrySLpdh5ws/edit#gid=1930198562")</f>
        <v>https://docs.google.com/spreadsheets/d/1y6GXfW8T4n6e3So_2jXADOkjmD1Fz3_qSrySLpdh5ws/edit#gid=1930198562</v>
      </c>
      <c r="H438" s="35" t="s">
        <v>544</v>
      </c>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B439" s="26"/>
      <c r="E439" s="35" t="s">
        <v>88</v>
      </c>
      <c r="F439" s="35" t="s">
        <v>247</v>
      </c>
      <c r="H439" s="36"/>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B440" s="63"/>
      <c r="E440" s="35" t="s">
        <v>88</v>
      </c>
      <c r="F440" s="35" t="s">
        <v>95</v>
      </c>
      <c r="G440" s="84" t="str">
        <f>HYPERLINK("https://docs.google.com/spreadsheets/d/1y6GXfW8T4n6e3So_2jXADOkjmD1Fz3_qSrySLpdh5ws/edit#gid=553761827", "https://docs.google.com/spreadsheets/d/1y6GXfW8T4n6e3So_2jXADOkjmD1Fz3_qSrySLpdh5ws/edit#gid=553761827")</f>
        <v>https://docs.google.com/spreadsheets/d/1y6GXfW8T4n6e3So_2jXADOkjmD1Fz3_qSrySLpdh5ws/edit#gid=553761827</v>
      </c>
      <c r="H440" s="35" t="s">
        <v>95</v>
      </c>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B441" s="26"/>
      <c r="E441" s="35" t="s">
        <v>43</v>
      </c>
      <c r="F441" s="35" t="s">
        <v>132</v>
      </c>
      <c r="G441" s="84" t="str">
        <f>HYPERLINK("https://docs.google.com/spreadsheets/d/1y6GXfW8T4n6e3So_2jXADOkjmD1Fz3_qSrySLpdh5ws/edit#gid=1955328468", "https://docs.google.com/spreadsheets/d/1y6GXfW8T4n6e3So_2jXADOkjmD1Fz3_qSrySLpdh5ws/edit#gid=1955328468")</f>
        <v>https://docs.google.com/spreadsheets/d/1y6GXfW8T4n6e3So_2jXADOkjmD1Fz3_qSrySLpdh5ws/edit#gid=1955328468</v>
      </c>
      <c r="H441" s="35" t="s">
        <v>132</v>
      </c>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B442" s="26"/>
      <c r="D442" s="31"/>
      <c r="E442" s="8" t="s">
        <v>43</v>
      </c>
      <c r="F442" s="8" t="s">
        <v>113</v>
      </c>
      <c r="G442" s="34" t="str">
        <f>HYPERLINK("https://docs.google.com/spreadsheets/d/1y6GXfW8T4n6e3So_2jXADOkjmD1Fz3_qSrySLpdh5ws/edit#gid=1158164894", "https://docs.google.com/spreadsheets/d/1y6GXfW8T4n6e3So_2jXADOkjmD1Fz3_qSrySLpdh5ws/edit#gid=1158164894")</f>
        <v>https://docs.google.com/spreadsheets/d/1y6GXfW8T4n6e3So_2jXADOkjmD1Fz3_qSrySLpdh5ws/edit#gid=1158164894</v>
      </c>
      <c r="H442" s="8" t="s">
        <v>113</v>
      </c>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B443" s="26"/>
      <c r="C443" s="41"/>
      <c r="D443" s="31"/>
      <c r="E443" s="37"/>
      <c r="F443" s="30"/>
      <c r="G443" s="34"/>
      <c r="H443" s="30"/>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B444" s="26" t="s">
        <v>2440</v>
      </c>
      <c r="C444" s="39" t="s">
        <v>2441</v>
      </c>
      <c r="D444" s="8" t="s">
        <v>20</v>
      </c>
      <c r="E444" s="28" t="s">
        <v>88</v>
      </c>
      <c r="F444" s="38" t="s">
        <v>89</v>
      </c>
      <c r="G444" s="34"/>
      <c r="H444" s="36"/>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B445" s="26"/>
      <c r="D445" s="8"/>
      <c r="E445" s="8" t="s">
        <v>21</v>
      </c>
      <c r="F445" s="38" t="s">
        <v>51</v>
      </c>
      <c r="G445" s="34" t="str">
        <f>HYPERLINK("https://docs.google.com/spreadsheets/d/1MMX_D9-cTdJicf5sSKT74pgRsTq_E2WORC8QW32ayDk/edit#gid=1646125169", "https://docs.google.com/spreadsheets/d/1MMX_D9-cTdJicf5sSKT74pgRsTq_E2WORC8QW32ayDk/edit#gid=1646125169")</f>
        <v>https://docs.google.com/spreadsheets/d/1MMX_D9-cTdJicf5sSKT74pgRsTq_E2WORC8QW32ayDk/edit#gid=1646125169</v>
      </c>
      <c r="H445" s="35" t="s">
        <v>51</v>
      </c>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B446" s="32"/>
      <c r="D446" s="32"/>
      <c r="E446" s="32" t="s">
        <v>88</v>
      </c>
      <c r="F446" s="35" t="s">
        <v>481</v>
      </c>
      <c r="G446" s="165" t="str">
        <f>HYPERLINK("https://docs.google.com/spreadsheets/d/1MMX_D9-cTdJicf5sSKT74pgRsTq_E2WORC8QW32ayDk/edit#gid=1592659646", "https://docs.google.com/spreadsheets/d/1MMX_D9-cTdJicf5sSKT74pgRsTq_E2WORC8QW32ayDk/edit#gid=1592659646")</f>
        <v>https://docs.google.com/spreadsheets/d/1MMX_D9-cTdJicf5sSKT74pgRsTq_E2WORC8QW32ayDk/edit#gid=1592659646</v>
      </c>
      <c r="H446" s="35" t="s">
        <v>481</v>
      </c>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32"/>
      <c r="D447" s="32"/>
      <c r="E447" s="65" t="s">
        <v>88</v>
      </c>
      <c r="F447" s="35" t="s">
        <v>515</v>
      </c>
      <c r="G447" s="165" t="str">
        <f>HYPERLINK("https://docs.google.com/spreadsheets/d/1MMX_D9-cTdJicf5sSKT74pgRsTq_E2WORC8QW32ayDk/edit#gid=675217945", "https://docs.google.com/spreadsheets/d/1MMX_D9-cTdJicf5sSKT74pgRsTq_E2WORC8QW32ayDk/edit#gid=675217945")</f>
        <v>https://docs.google.com/spreadsheets/d/1MMX_D9-cTdJicf5sSKT74pgRsTq_E2WORC8QW32ayDk/edit#gid=675217945</v>
      </c>
      <c r="H447" s="35" t="s">
        <v>515</v>
      </c>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67"/>
      <c r="D448" s="31"/>
      <c r="E448" s="8" t="s">
        <v>88</v>
      </c>
      <c r="F448" s="8" t="s">
        <v>496</v>
      </c>
      <c r="G448" s="69" t="str">
        <f>HYPERLINK("https://docs.google.com/spreadsheets/d/1MMX_D9-cTdJicf5sSKT74pgRsTq_E2WORC8QW32ayDk/edit#gid=430663194", "https://docs.google.com/spreadsheets/d/1MMX_D9-cTdJicf5sSKT74pgRsTq_E2WORC8QW32ayDk/edit#gid=430663194")</f>
        <v>https://docs.google.com/spreadsheets/d/1MMX_D9-cTdJicf5sSKT74pgRsTq_E2WORC8QW32ayDk/edit#gid=430663194</v>
      </c>
      <c r="H448" s="8" t="s">
        <v>496</v>
      </c>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67"/>
      <c r="D449" s="31"/>
      <c r="E449" s="8" t="s">
        <v>88</v>
      </c>
      <c r="F449" s="8" t="s">
        <v>570</v>
      </c>
      <c r="G449" s="31"/>
      <c r="H449" s="36"/>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B450" s="67"/>
      <c r="D450" s="31"/>
      <c r="E450" s="8" t="s">
        <v>88</v>
      </c>
      <c r="F450" s="8" t="s">
        <v>598</v>
      </c>
      <c r="G450" s="31"/>
      <c r="H450" s="36"/>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B451" s="15"/>
      <c r="D451" s="15"/>
      <c r="E451" s="32" t="s">
        <v>88</v>
      </c>
      <c r="F451" s="32" t="s">
        <v>120</v>
      </c>
      <c r="G451" s="70" t="str">
        <f>HYPERLINK("https://docs.google.com/spreadsheets/d/1MMX_D9-cTdJicf5sSKT74pgRsTq_E2WORC8QW32ayDk/edit#gid=988810099", "https://docs.google.com/spreadsheets/d/1MMX_D9-cTdJicf5sSKT74pgRsTq_E2WORC8QW32ayDk/edit#gid=988810099")</f>
        <v>https://docs.google.com/spreadsheets/d/1MMX_D9-cTdJicf5sSKT74pgRsTq_E2WORC8QW32ayDk/edit#gid=988810099</v>
      </c>
      <c r="H451" s="32" t="s">
        <v>120</v>
      </c>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B452" s="15"/>
      <c r="D452" s="15"/>
      <c r="E452" s="32" t="s">
        <v>88</v>
      </c>
      <c r="F452" s="32" t="s">
        <v>544</v>
      </c>
      <c r="G452" s="70" t="str">
        <f>HYPERLINK("https://docs.google.com/spreadsheets/d/1MMX_D9-cTdJicf5sSKT74pgRsTq_E2WORC8QW32ayDk/edit#gid=2029155054", "https://docs.google.com/spreadsheets/d/1MMX_D9-cTdJicf5sSKT74pgRsTq_E2WORC8QW32ayDk/edit#gid=2029155054")</f>
        <v>https://docs.google.com/spreadsheets/d/1MMX_D9-cTdJicf5sSKT74pgRsTq_E2WORC8QW32ayDk/edit#gid=2029155054</v>
      </c>
      <c r="H452" s="32" t="s">
        <v>544</v>
      </c>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B453" s="15"/>
      <c r="D453" s="15"/>
      <c r="E453" s="32" t="s">
        <v>88</v>
      </c>
      <c r="F453" s="32" t="s">
        <v>247</v>
      </c>
      <c r="G453" s="15"/>
      <c r="H453" s="36"/>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B454" s="15"/>
      <c r="D454" s="15"/>
      <c r="E454" s="32" t="s">
        <v>88</v>
      </c>
      <c r="F454" s="32" t="s">
        <v>95</v>
      </c>
      <c r="G454" s="70" t="str">
        <f>HYPERLINK("https://docs.google.com/spreadsheets/d/1MMX_D9-cTdJicf5sSKT74pgRsTq_E2WORC8QW32ayDk/edit#gid=2046982211", "https://docs.google.com/spreadsheets/d/1MMX_D9-cTdJicf5sSKT74pgRsTq_E2WORC8QW32ayDk/edit#gid=2046982211")</f>
        <v>https://docs.google.com/spreadsheets/d/1MMX_D9-cTdJicf5sSKT74pgRsTq_E2WORC8QW32ayDk/edit#gid=2046982211</v>
      </c>
      <c r="H454" s="32" t="s">
        <v>95</v>
      </c>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B455" s="15"/>
      <c r="D455" s="15"/>
      <c r="E455" s="32" t="s">
        <v>43</v>
      </c>
      <c r="F455" s="32" t="s">
        <v>132</v>
      </c>
      <c r="G455" s="70" t="str">
        <f>HYPERLINK("https://docs.google.com/spreadsheets/d/1MMX_D9-cTdJicf5sSKT74pgRsTq_E2WORC8QW32ayDk/edit#gid=239621282", "https://docs.google.com/spreadsheets/d/1MMX_D9-cTdJicf5sSKT74pgRsTq_E2WORC8QW32ayDk/edit#gid=239621282")</f>
        <v>https://docs.google.com/spreadsheets/d/1MMX_D9-cTdJicf5sSKT74pgRsTq_E2WORC8QW32ayDk/edit#gid=239621282</v>
      </c>
      <c r="H455" s="32" t="s">
        <v>132</v>
      </c>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B456" s="15"/>
      <c r="D456" s="15"/>
      <c r="E456" s="32" t="s">
        <v>43</v>
      </c>
      <c r="F456" s="32" t="s">
        <v>133</v>
      </c>
      <c r="G456" s="70" t="str">
        <f>HYPERLINK("https://docs.google.com/spreadsheets/d/1MMX_D9-cTdJicf5sSKT74pgRsTq_E2WORC8QW32ayDk/edit#gid=760340616", "https://docs.google.com/spreadsheets/d/1MMX_D9-cTdJicf5sSKT74pgRsTq_E2WORC8QW32ayDk/edit#gid=760340616")</f>
        <v>https://docs.google.com/spreadsheets/d/1MMX_D9-cTdJicf5sSKT74pgRsTq_E2WORC8QW32ayDk/edit#gid=760340616</v>
      </c>
      <c r="H456" s="32" t="s">
        <v>133</v>
      </c>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B457" s="15"/>
      <c r="C457" s="21"/>
      <c r="D457" s="15"/>
      <c r="E457" s="15"/>
      <c r="F457" s="15"/>
      <c r="G457" s="15"/>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B458" s="32" t="s">
        <v>2442</v>
      </c>
      <c r="C458" s="66" t="s">
        <v>2443</v>
      </c>
      <c r="D458" s="32" t="s">
        <v>20</v>
      </c>
      <c r="E458" s="32" t="s">
        <v>88</v>
      </c>
      <c r="F458" s="32" t="s">
        <v>89</v>
      </c>
      <c r="G458" s="15"/>
      <c r="H458" s="36"/>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B459" s="15"/>
      <c r="D459" s="15"/>
      <c r="E459" s="32" t="s">
        <v>21</v>
      </c>
      <c r="F459" s="32" t="s">
        <v>74</v>
      </c>
      <c r="G459" s="70" t="str">
        <f>HYPERLINK("https://docs.google.com/spreadsheets/d/1j5SQzpw8F1ej6aSrdwNzk5iJZjDVxwoOkQ0_aBn_oIs/edit#gid=1079088343", "https://docs.google.com/spreadsheets/d/1j5SQzpw8F1ej6aSrdwNzk5iJZjDVxwoOkQ0_aBn_oIs/edit#gid=1079088343")</f>
        <v>https://docs.google.com/spreadsheets/d/1j5SQzpw8F1ej6aSrdwNzk5iJZjDVxwoOkQ0_aBn_oIs/edit#gid=1079088343</v>
      </c>
      <c r="H459" s="32" t="s">
        <v>74</v>
      </c>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B460" s="15"/>
      <c r="D460" s="15"/>
      <c r="E460" s="32" t="s">
        <v>72</v>
      </c>
      <c r="F460" s="32" t="s">
        <v>76</v>
      </c>
      <c r="G460" s="70" t="str">
        <f>HYPERLINK("https://docs.google.com/spreadsheets/d/1j5SQzpw8F1ej6aSrdwNzk5iJZjDVxwoOkQ0_aBn_oIs/edit#gid=1359660325", "https://docs.google.com/spreadsheets/d/1j5SQzpw8F1ej6aSrdwNzk5iJZjDVxwoOkQ0_aBn_oIs/edit#gid=1359660325")</f>
        <v>https://docs.google.com/spreadsheets/d/1j5SQzpw8F1ej6aSrdwNzk5iJZjDVxwoOkQ0_aBn_oIs/edit#gid=1359660325</v>
      </c>
      <c r="H460" s="32" t="s">
        <v>76</v>
      </c>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B461" s="15"/>
      <c r="D461" s="15"/>
      <c r="E461" s="32" t="s">
        <v>43</v>
      </c>
      <c r="F461" s="32" t="s">
        <v>132</v>
      </c>
      <c r="G461" s="70" t="str">
        <f>HYPERLINK("https://docs.google.com/spreadsheets/d/1j5SQzpw8F1ej6aSrdwNzk5iJZjDVxwoOkQ0_aBn_oIs/edit#gid=1561540720", "https://docs.google.com/spreadsheets/d/1j5SQzpw8F1ej6aSrdwNzk5iJZjDVxwoOkQ0_aBn_oIs/edit#gid=1561540720")</f>
        <v>https://docs.google.com/spreadsheets/d/1j5SQzpw8F1ej6aSrdwNzk5iJZjDVxwoOkQ0_aBn_oIs/edit#gid=1561540720</v>
      </c>
      <c r="H461" s="32" t="s">
        <v>132</v>
      </c>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B462" s="15"/>
      <c r="D462" s="15"/>
      <c r="E462" s="32" t="s">
        <v>43</v>
      </c>
      <c r="F462" s="32" t="s">
        <v>248</v>
      </c>
      <c r="G462" s="70" t="str">
        <f>HYPERLINK("https://docs.google.com/spreadsheets/d/1j5SQzpw8F1ej6aSrdwNzk5iJZjDVxwoOkQ0_aBn_oIs/edit#gid=603899230", "https://docs.google.com/spreadsheets/d/1j5SQzpw8F1ej6aSrdwNzk5iJZjDVxwoOkQ0_aBn_oIs/edit#gid=603899230")</f>
        <v>https://docs.google.com/spreadsheets/d/1j5SQzpw8F1ej6aSrdwNzk5iJZjDVxwoOkQ0_aBn_oIs/edit#gid=603899230</v>
      </c>
      <c r="H462" s="32" t="s">
        <v>248</v>
      </c>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B463" s="15"/>
      <c r="D463" s="15"/>
      <c r="E463" s="32" t="s">
        <v>21</v>
      </c>
      <c r="F463" s="32" t="s">
        <v>249</v>
      </c>
      <c r="G463" s="70" t="str">
        <f>HYPERLINK("https://docs.google.com/spreadsheets/d/1j5SQzpw8F1ej6aSrdwNzk5iJZjDVxwoOkQ0_aBn_oIs/edit#gid=39771717", "https://docs.google.com/spreadsheets/d/1j5SQzpw8F1ej6aSrdwNzk5iJZjDVxwoOkQ0_aBn_oIs/edit#gid=39771717")</f>
        <v>https://docs.google.com/spreadsheets/d/1j5SQzpw8F1ej6aSrdwNzk5iJZjDVxwoOkQ0_aBn_oIs/edit#gid=39771717</v>
      </c>
      <c r="H463" s="32" t="s">
        <v>249</v>
      </c>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B464" s="15"/>
      <c r="D464" s="15"/>
      <c r="E464" s="32" t="s">
        <v>72</v>
      </c>
      <c r="F464" s="32" t="s">
        <v>76</v>
      </c>
      <c r="G464" s="70" t="str">
        <f>HYPERLINK("https://docs.google.com/spreadsheets/d/1j5SQzpw8F1ej6aSrdwNzk5iJZjDVxwoOkQ0_aBn_oIs/edit#gid=1359660325", "https://docs.google.com/spreadsheets/d/1j5SQzpw8F1ej6aSrdwNzk5iJZjDVxwoOkQ0_aBn_oIs/edit#gid=1359660325")</f>
        <v>https://docs.google.com/spreadsheets/d/1j5SQzpw8F1ej6aSrdwNzk5iJZjDVxwoOkQ0_aBn_oIs/edit#gid=1359660325</v>
      </c>
      <c r="H464" s="32" t="s">
        <v>76</v>
      </c>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B465" s="15"/>
      <c r="D465" s="15"/>
      <c r="E465" s="32" t="s">
        <v>43</v>
      </c>
      <c r="F465" s="32" t="s">
        <v>132</v>
      </c>
      <c r="G465" s="70" t="str">
        <f>HYPERLINK("https://docs.google.com/spreadsheets/d/1j5SQzpw8F1ej6aSrdwNzk5iJZjDVxwoOkQ0_aBn_oIs/edit#gid=1561540720", "https://docs.google.com/spreadsheets/d/1j5SQzpw8F1ej6aSrdwNzk5iJZjDVxwoOkQ0_aBn_oIs/edit#gid=1561540720")</f>
        <v>https://docs.google.com/spreadsheets/d/1j5SQzpw8F1ej6aSrdwNzk5iJZjDVxwoOkQ0_aBn_oIs/edit#gid=1561540720</v>
      </c>
      <c r="H465" s="32" t="s">
        <v>132</v>
      </c>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B466" s="15"/>
      <c r="D466" s="15"/>
      <c r="E466" s="32" t="s">
        <v>43</v>
      </c>
      <c r="F466" s="32" t="s">
        <v>714</v>
      </c>
      <c r="G466" s="70" t="str">
        <f>HYPERLINK("https://docs.google.com/spreadsheets/d/1j5SQzpw8F1ej6aSrdwNzk5iJZjDVxwoOkQ0_aBn_oIs/edit#gid=1810833743", "https://docs.google.com/spreadsheets/d/1j5SQzpw8F1ej6aSrdwNzk5iJZjDVxwoOkQ0_aBn_oIs/edit#gid=1810833743")</f>
        <v>https://docs.google.com/spreadsheets/d/1j5SQzpw8F1ej6aSrdwNzk5iJZjDVxwoOkQ0_aBn_oIs/edit#gid=1810833743</v>
      </c>
      <c r="H466" s="32" t="s">
        <v>714</v>
      </c>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B467" s="15"/>
      <c r="D467" s="15"/>
      <c r="E467" s="15"/>
      <c r="F467" s="15"/>
      <c r="G467" s="15"/>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B468" s="15"/>
      <c r="C468" s="21"/>
      <c r="D468" s="15"/>
      <c r="E468" s="15"/>
      <c r="F468" s="15"/>
      <c r="G468" s="15"/>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B469" s="32" t="s">
        <v>2444</v>
      </c>
      <c r="C469" s="66" t="s">
        <v>2445</v>
      </c>
      <c r="D469" s="32" t="s">
        <v>20</v>
      </c>
      <c r="E469" s="32" t="s">
        <v>88</v>
      </c>
      <c r="F469" s="32" t="s">
        <v>89</v>
      </c>
      <c r="G469" s="15"/>
      <c r="H469" s="36"/>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B470" s="15"/>
      <c r="D470" s="15"/>
      <c r="E470" s="32" t="s">
        <v>21</v>
      </c>
      <c r="F470" s="32" t="s">
        <v>74</v>
      </c>
      <c r="G470" s="70" t="str">
        <f>HYPERLINK("https://docs.google.com/spreadsheets/d/1OCVCr-7gHIjtwIsgieeKQw37_MEVfXyCsKncv5Uy_74/edit#gid=868338399", "https://docs.google.com/spreadsheets/d/1OCVCr-7gHIjtwIsgieeKQw37_MEVfXyCsKncv5Uy_74/edit#gid=868338399")</f>
        <v>https://docs.google.com/spreadsheets/d/1OCVCr-7gHIjtwIsgieeKQw37_MEVfXyCsKncv5Uy_74/edit#gid=868338399</v>
      </c>
      <c r="H470" s="32" t="s">
        <v>74</v>
      </c>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B471" s="15"/>
      <c r="D471" s="15"/>
      <c r="E471" s="32" t="s">
        <v>72</v>
      </c>
      <c r="F471" s="32" t="s">
        <v>76</v>
      </c>
      <c r="G471" s="70" t="str">
        <f>HYPERLINK("https://docs.google.com/spreadsheets/d/1OCVCr-7gHIjtwIsgieeKQw37_MEVfXyCsKncv5Uy_74/edit#gid=1894279526", "https://docs.google.com/spreadsheets/d/1OCVCr-7gHIjtwIsgieeKQw37_MEVfXyCsKncv5Uy_74/edit#gid=1894279526")</f>
        <v>https://docs.google.com/spreadsheets/d/1OCVCr-7gHIjtwIsgieeKQw37_MEVfXyCsKncv5Uy_74/edit#gid=1894279526</v>
      </c>
      <c r="H471" s="32" t="s">
        <v>76</v>
      </c>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B472" s="15"/>
      <c r="D472" s="15"/>
      <c r="E472" s="32" t="s">
        <v>43</v>
      </c>
      <c r="F472" s="32" t="s">
        <v>132</v>
      </c>
      <c r="G472" s="70" t="str">
        <f>HYPERLINK("https://docs.google.com/spreadsheets/d/1OCVCr-7gHIjtwIsgieeKQw37_MEVfXyCsKncv5Uy_74/edit#gid=1595603718", "https://docs.google.com/spreadsheets/d/1OCVCr-7gHIjtwIsgieeKQw37_MEVfXyCsKncv5Uy_74/edit#gid=1595603718")</f>
        <v>https://docs.google.com/spreadsheets/d/1OCVCr-7gHIjtwIsgieeKQw37_MEVfXyCsKncv5Uy_74/edit#gid=1595603718</v>
      </c>
      <c r="H472" s="32" t="s">
        <v>132</v>
      </c>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B473" s="15"/>
      <c r="D473" s="15"/>
      <c r="E473" s="32" t="s">
        <v>2446</v>
      </c>
      <c r="F473" s="32" t="s">
        <v>133</v>
      </c>
      <c r="G473" s="70" t="str">
        <f>HYPERLINK("https://docs.google.com/spreadsheets/d/1OCVCr-7gHIjtwIsgieeKQw37_MEVfXyCsKncv5Uy_74/edit#gid=1212971997", "https://docs.google.com/spreadsheets/d/1OCVCr-7gHIjtwIsgieeKQw37_MEVfXyCsKncv5Uy_74/edit#gid=1212971997")</f>
        <v>https://docs.google.com/spreadsheets/d/1OCVCr-7gHIjtwIsgieeKQw37_MEVfXyCsKncv5Uy_74/edit#gid=1212971997</v>
      </c>
      <c r="H473" s="32" t="s">
        <v>133</v>
      </c>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B474" s="15"/>
      <c r="D474" s="15"/>
      <c r="E474" s="15"/>
      <c r="F474" s="15"/>
      <c r="G474" s="15"/>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B475" s="15"/>
      <c r="C475" s="21"/>
      <c r="D475" s="15"/>
      <c r="E475" s="15"/>
      <c r="F475" s="15"/>
      <c r="G475" s="15"/>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32" t="s">
        <v>2447</v>
      </c>
      <c r="C476" s="66" t="s">
        <v>2448</v>
      </c>
      <c r="D476" s="32" t="s">
        <v>20</v>
      </c>
      <c r="E476" s="32" t="s">
        <v>88</v>
      </c>
      <c r="F476" s="32" t="s">
        <v>89</v>
      </c>
      <c r="G476" s="15"/>
      <c r="H476" s="36"/>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15"/>
      <c r="D477" s="15"/>
      <c r="E477" s="32" t="s">
        <v>21</v>
      </c>
      <c r="F477" s="32" t="s">
        <v>74</v>
      </c>
      <c r="G477" s="70" t="str">
        <f>HYPERLINK("https://docs.google.com/spreadsheets/d/102rThrI9am6KDVuCPWLDeCJGuMSvzZRxgzo74S45DW4/edit#gid=260351696", "https://docs.google.com/spreadsheets/d/102rThrI9am6KDVuCPWLDeCJGuMSvzZRxgzo74S45DW4/edit#gid=260351696")</f>
        <v>https://docs.google.com/spreadsheets/d/102rThrI9am6KDVuCPWLDeCJGuMSvzZRxgzo74S45DW4/edit#gid=260351696</v>
      </c>
      <c r="H477" s="32" t="s">
        <v>74</v>
      </c>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B478" s="15"/>
      <c r="D478" s="15"/>
      <c r="E478" s="32" t="s">
        <v>72</v>
      </c>
      <c r="F478" s="32" t="s">
        <v>76</v>
      </c>
      <c r="G478" s="70" t="str">
        <f>HYPERLINK("https://docs.google.com/spreadsheets/d/102rThrI9am6KDVuCPWLDeCJGuMSvzZRxgzo74S45DW4/edit#gid=460302486", "https://docs.google.com/spreadsheets/d/102rThrI9am6KDVuCPWLDeCJGuMSvzZRxgzo74S45DW4/edit#gid=460302486")</f>
        <v>https://docs.google.com/spreadsheets/d/102rThrI9am6KDVuCPWLDeCJGuMSvzZRxgzo74S45DW4/edit#gid=460302486</v>
      </c>
      <c r="H478" s="35" t="s">
        <v>76</v>
      </c>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B479" s="15"/>
      <c r="D479" s="15"/>
      <c r="E479" s="32" t="s">
        <v>88</v>
      </c>
      <c r="F479" s="32" t="s">
        <v>89</v>
      </c>
      <c r="G479" s="15"/>
      <c r="H479" s="36"/>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B480" s="15"/>
      <c r="D480" s="15"/>
      <c r="E480" s="32" t="s">
        <v>43</v>
      </c>
      <c r="F480" s="32" t="s">
        <v>132</v>
      </c>
      <c r="G480" s="70" t="str">
        <f>HYPERLINK("https://docs.google.com/spreadsheets/d/102rThrI9am6KDVuCPWLDeCJGuMSvzZRxgzo74S45DW4/edit#gid=1944298172", "https://docs.google.com/spreadsheets/d/102rThrI9am6KDVuCPWLDeCJGuMSvzZRxgzo74S45DW4/edit#gid=1944298172")</f>
        <v>https://docs.google.com/spreadsheets/d/102rThrI9am6KDVuCPWLDeCJGuMSvzZRxgzo74S45DW4/edit#gid=1944298172</v>
      </c>
      <c r="H480" s="32" t="s">
        <v>132</v>
      </c>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B481" s="15"/>
      <c r="D481" s="15"/>
      <c r="E481" s="32" t="s">
        <v>43</v>
      </c>
      <c r="F481" s="32" t="s">
        <v>133</v>
      </c>
      <c r="G481" s="70" t="str">
        <f>HYPERLINK("https://docs.google.com/spreadsheets/d/102rThrI9am6KDVuCPWLDeCJGuMSvzZRxgzo74S45DW4/edit#gid=1516767469", "https://docs.google.com/spreadsheets/d/102rThrI9am6KDVuCPWLDeCJGuMSvzZRxgzo74S45DW4/edit#gid=1516767469")</f>
        <v>https://docs.google.com/spreadsheets/d/102rThrI9am6KDVuCPWLDeCJGuMSvzZRxgzo74S45DW4/edit#gid=1516767469</v>
      </c>
      <c r="H481" s="32" t="s">
        <v>133</v>
      </c>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B482" s="15"/>
      <c r="C482" s="21"/>
      <c r="D482" s="15"/>
      <c r="E482" s="15"/>
      <c r="F482" s="15"/>
      <c r="G482" s="15"/>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B483" s="32"/>
      <c r="C483" s="66"/>
      <c r="D483" s="32"/>
      <c r="E483" s="32"/>
      <c r="F483" s="32"/>
      <c r="G483" s="15"/>
      <c r="H483" s="36"/>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B484" s="32" t="s">
        <v>2449</v>
      </c>
      <c r="C484" s="66" t="s">
        <v>2450</v>
      </c>
      <c r="D484" s="32" t="s">
        <v>20</v>
      </c>
      <c r="E484" s="32" t="s">
        <v>88</v>
      </c>
      <c r="F484" s="32" t="s">
        <v>89</v>
      </c>
      <c r="G484" s="15"/>
      <c r="H484" s="36"/>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B485" s="15"/>
      <c r="D485" s="15"/>
      <c r="E485" s="32" t="s">
        <v>21</v>
      </c>
      <c r="F485" s="32" t="s">
        <v>74</v>
      </c>
      <c r="G485" s="70" t="str">
        <f>HYPERLINK("https://docs.google.com/spreadsheets/d/1aqnAceTuaYdBS9j0yfZPp0reyaO_4ple0tTxkA9CzI8/edit#gid=470605715", "https://docs.google.com/spreadsheets/d/1aqnAceTuaYdBS9j0yfZPp0reyaO_4ple0tTxkA9CzI8/edit#gid=470605715")</f>
        <v>https://docs.google.com/spreadsheets/d/1aqnAceTuaYdBS9j0yfZPp0reyaO_4ple0tTxkA9CzI8/edit#gid=470605715</v>
      </c>
      <c r="H485" s="32" t="s">
        <v>74</v>
      </c>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B486" s="15"/>
      <c r="D486" s="15"/>
      <c r="E486" s="32" t="s">
        <v>72</v>
      </c>
      <c r="F486" s="32" t="s">
        <v>76</v>
      </c>
      <c r="G486" s="70" t="str">
        <f>HYPERLINK("https://docs.google.com/spreadsheets/d/1aqnAceTuaYdBS9j0yfZPp0reyaO_4ple0tTxkA9CzI8/edit#gid=1372950787", "https://docs.google.com/spreadsheets/d/1aqnAceTuaYdBS9j0yfZPp0reyaO_4ple0tTxkA9CzI8/edit#gid=1372950787")</f>
        <v>https://docs.google.com/spreadsheets/d/1aqnAceTuaYdBS9j0yfZPp0reyaO_4ple0tTxkA9CzI8/edit#gid=1372950787</v>
      </c>
      <c r="H486" s="32" t="s">
        <v>76</v>
      </c>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B487" s="15"/>
      <c r="D487" s="15"/>
      <c r="E487" s="32" t="s">
        <v>43</v>
      </c>
      <c r="F487" s="32" t="s">
        <v>132</v>
      </c>
      <c r="G487" s="70" t="str">
        <f>HYPERLINK("https://docs.google.com/spreadsheets/d/1aqnAceTuaYdBS9j0yfZPp0reyaO_4ple0tTxkA9CzI8/edit#gid=1886718083", "https://docs.google.com/spreadsheets/d/1aqnAceTuaYdBS9j0yfZPp0reyaO_4ple0tTxkA9CzI8/edit#gid=1886718083")</f>
        <v>https://docs.google.com/spreadsheets/d/1aqnAceTuaYdBS9j0yfZPp0reyaO_4ple0tTxkA9CzI8/edit#gid=1886718083</v>
      </c>
      <c r="H487" s="32" t="s">
        <v>132</v>
      </c>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B488" s="15"/>
      <c r="D488" s="15"/>
      <c r="E488" s="32" t="s">
        <v>2446</v>
      </c>
      <c r="F488" s="32" t="s">
        <v>133</v>
      </c>
      <c r="G488" s="70" t="str">
        <f>HYPERLINK("https://docs.google.com/spreadsheets/d/1aqnAceTuaYdBS9j0yfZPp0reyaO_4ple0tTxkA9CzI8/edit#gid=1330868562", "https://docs.google.com/spreadsheets/d/1aqnAceTuaYdBS9j0yfZPp0reyaO_4ple0tTxkA9CzI8/edit#gid=1330868562")</f>
        <v>https://docs.google.com/spreadsheets/d/1aqnAceTuaYdBS9j0yfZPp0reyaO_4ple0tTxkA9CzI8/edit#gid=1330868562</v>
      </c>
      <c r="H488" s="32" t="s">
        <v>133</v>
      </c>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B489" s="15"/>
      <c r="C489" s="21"/>
      <c r="D489" s="15"/>
      <c r="E489" s="15"/>
      <c r="F489" s="15"/>
      <c r="G489" s="15"/>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B490" s="32" t="s">
        <v>2451</v>
      </c>
      <c r="C490" s="21"/>
      <c r="D490" s="32" t="s">
        <v>20</v>
      </c>
      <c r="E490" s="32" t="s">
        <v>89</v>
      </c>
      <c r="F490" s="32" t="s">
        <v>291</v>
      </c>
      <c r="G490" s="15"/>
      <c r="H490" s="36"/>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B491" s="32" t="s">
        <v>2452</v>
      </c>
      <c r="C491" s="222" t="s">
        <v>2453</v>
      </c>
      <c r="D491" s="32" t="s">
        <v>20</v>
      </c>
      <c r="E491" s="32" t="s">
        <v>88</v>
      </c>
      <c r="F491" s="32" t="s">
        <v>89</v>
      </c>
      <c r="G491" s="15"/>
      <c r="H491" s="36"/>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B492" s="15"/>
      <c r="D492" s="15"/>
      <c r="E492" s="32" t="s">
        <v>21</v>
      </c>
      <c r="F492" s="32" t="s">
        <v>51</v>
      </c>
      <c r="G492" s="70" t="str">
        <f>HYPERLINK("https://docs.google.com/spreadsheets/d/1RALHiuL32vUMi4N9WwuM-VZEz8fJLcuX-hFLmGXchhU/edit#gid=1072206237", "https://docs.google.com/spreadsheets/d/1RALHiuL32vUMi4N9WwuM-VZEz8fJLcuX-hFLmGXchhU/edit#gid=1072206237")</f>
        <v>https://docs.google.com/spreadsheets/d/1RALHiuL32vUMi4N9WwuM-VZEz8fJLcuX-hFLmGXchhU/edit#gid=1072206237</v>
      </c>
      <c r="H492" s="32" t="s">
        <v>51</v>
      </c>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B493" s="15"/>
      <c r="D493" s="15"/>
      <c r="E493" s="32" t="s">
        <v>43</v>
      </c>
      <c r="F493" s="32" t="s">
        <v>79</v>
      </c>
      <c r="G493" s="70" t="str">
        <f>HYPERLINK("https://docs.google.com/spreadsheets/d/1RALHiuL32vUMi4N9WwuM-VZEz8fJLcuX-hFLmGXchhU/edit#gid=386488497", "https://docs.google.com/spreadsheets/d/1RALHiuL32vUMi4N9WwuM-VZEz8fJLcuX-hFLmGXchhU/edit#gid=386488497")</f>
        <v>https://docs.google.com/spreadsheets/d/1RALHiuL32vUMi4N9WwuM-VZEz8fJLcuX-hFLmGXchhU/edit#gid=386488497</v>
      </c>
      <c r="H493" s="32" t="s">
        <v>79</v>
      </c>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B494" s="15"/>
      <c r="D494" s="15"/>
      <c r="E494" s="32" t="s">
        <v>43</v>
      </c>
      <c r="F494" s="32" t="s">
        <v>77</v>
      </c>
      <c r="G494" s="70" t="str">
        <f>HYPERLINK("https://docs.google.com/spreadsheets/d/1RALHiuL32vUMi4N9WwuM-VZEz8fJLcuX-hFLmGXchhU/edit#gid=1929521056", "https://docs.google.com/spreadsheets/d/1RALHiuL32vUMi4N9WwuM-VZEz8fJLcuX-hFLmGXchhU/edit#gid=1929521056")</f>
        <v>https://docs.google.com/spreadsheets/d/1RALHiuL32vUMi4N9WwuM-VZEz8fJLcuX-hFLmGXchhU/edit#gid=1929521056</v>
      </c>
      <c r="H494" s="32" t="s">
        <v>77</v>
      </c>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B495" s="15"/>
      <c r="D495" s="15"/>
      <c r="E495" s="32" t="s">
        <v>43</v>
      </c>
      <c r="F495" s="32" t="s">
        <v>53</v>
      </c>
      <c r="G495" s="70" t="str">
        <f>HYPERLINK("https://docs.google.com/spreadsheets/d/1RALHiuL32vUMi4N9WwuM-VZEz8fJLcuX-hFLmGXchhU/edit#gid=1953468739", "https://docs.google.com/spreadsheets/d/1RALHiuL32vUMi4N9WwuM-VZEz8fJLcuX-hFLmGXchhU/edit#gid=1953468739")</f>
        <v>https://docs.google.com/spreadsheets/d/1RALHiuL32vUMi4N9WwuM-VZEz8fJLcuX-hFLmGXchhU/edit#gid=1953468739</v>
      </c>
      <c r="H495" s="32" t="s">
        <v>53</v>
      </c>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B496" s="15"/>
      <c r="D496" s="15"/>
      <c r="E496" s="32" t="s">
        <v>88</v>
      </c>
      <c r="F496" s="32" t="s">
        <v>95</v>
      </c>
      <c r="G496" s="70" t="str">
        <f>HYPERLINK("https://docs.google.com/spreadsheets/d/1RALHiuL32vUMi4N9WwuM-VZEz8fJLcuX-hFLmGXchhU/edit#gid=1569352813", "https://docs.google.com/spreadsheets/d/1RALHiuL32vUMi4N9WwuM-VZEz8fJLcuX-hFLmGXchhU/edit#gid=1569352813")</f>
        <v>https://docs.google.com/spreadsheets/d/1RALHiuL32vUMi4N9WwuM-VZEz8fJLcuX-hFLmGXchhU/edit#gid=1569352813</v>
      </c>
      <c r="H496" s="32" t="s">
        <v>95</v>
      </c>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B497" s="15"/>
      <c r="D497" s="15"/>
      <c r="E497" s="32" t="s">
        <v>88</v>
      </c>
      <c r="F497" s="32" t="s">
        <v>96</v>
      </c>
      <c r="G497" s="70" t="str">
        <f>HYPERLINK("https://docs.google.com/spreadsheets/d/1RALHiuL32vUMi4N9WwuM-VZEz8fJLcuX-hFLmGXchhU/edit#gid=1294519418", "https://docs.google.com/spreadsheets/d/1RALHiuL32vUMi4N9WwuM-VZEz8fJLcuX-hFLmGXchhU/edit#gid=1294519418")</f>
        <v>https://docs.google.com/spreadsheets/d/1RALHiuL32vUMi4N9WwuM-VZEz8fJLcuX-hFLmGXchhU/edit#gid=1294519418</v>
      </c>
      <c r="H497" s="32" t="s">
        <v>96</v>
      </c>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B498" s="15"/>
      <c r="D498" s="15"/>
      <c r="E498" s="32" t="s">
        <v>104</v>
      </c>
      <c r="F498" s="32" t="s">
        <v>250</v>
      </c>
      <c r="G498" s="70" t="str">
        <f>HYPERLINK("https://docs.google.com/spreadsheets/d/1RALHiuL32vUMi4N9WwuM-VZEz8fJLcuX-hFLmGXchhU/edit#gid=1484476458", "https://docs.google.com/spreadsheets/d/1RALHiuL32vUMi4N9WwuM-VZEz8fJLcuX-hFLmGXchhU/edit#gid=1484476458")</f>
        <v>https://docs.google.com/spreadsheets/d/1RALHiuL32vUMi4N9WwuM-VZEz8fJLcuX-hFLmGXchhU/edit#gid=1484476458</v>
      </c>
      <c r="H498" s="32" t="s">
        <v>250</v>
      </c>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B499" s="15"/>
      <c r="C499" s="21"/>
      <c r="D499" s="15"/>
      <c r="E499" s="15"/>
      <c r="F499" s="15"/>
      <c r="G499" s="15"/>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B500" s="32" t="s">
        <v>2454</v>
      </c>
      <c r="C500" s="164"/>
      <c r="D500" s="32" t="s">
        <v>20</v>
      </c>
      <c r="E500" s="32" t="s">
        <v>89</v>
      </c>
      <c r="F500" s="32" t="s">
        <v>291</v>
      </c>
      <c r="G500" s="15"/>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B501" s="32" t="s">
        <v>2455</v>
      </c>
      <c r="C501" s="164" t="s">
        <v>2456</v>
      </c>
      <c r="D501" s="32" t="s">
        <v>20</v>
      </c>
      <c r="E501" s="32" t="s">
        <v>88</v>
      </c>
      <c r="F501" s="32" t="s">
        <v>89</v>
      </c>
      <c r="G501" s="15"/>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B502" s="15"/>
      <c r="D502" s="15"/>
      <c r="E502" s="32" t="s">
        <v>21</v>
      </c>
      <c r="F502" s="32" t="s">
        <v>51</v>
      </c>
      <c r="G502" s="70" t="str">
        <f>HYPERLINK("https://docs.google.com/spreadsheets/d/1OXA9oVq86HBZ_KG9UdQOHojRV5tiF1vRPWqj93gteWE/edit#gid=1852778892", "https://docs.google.com/spreadsheets/d/1OXA9oVq86HBZ_KG9UdQOHojRV5tiF1vRPWqj93gteWE/edit#gid=1852778892")</f>
        <v>https://docs.google.com/spreadsheets/d/1OXA9oVq86HBZ_KG9UdQOHojRV5tiF1vRPWqj93gteWE/edit#gid=1852778892</v>
      </c>
      <c r="H502" s="35" t="s">
        <v>51</v>
      </c>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B503" s="15"/>
      <c r="D503" s="15"/>
      <c r="E503" s="32" t="s">
        <v>43</v>
      </c>
      <c r="F503" s="32" t="s">
        <v>79</v>
      </c>
      <c r="G503" s="70" t="str">
        <f>HYPERLINK("https://docs.google.com/spreadsheets/d/1OXA9oVq86HBZ_KG9UdQOHojRV5tiF1vRPWqj93gteWE/edit#gid=746986181", "https://docs.google.com/spreadsheets/d/1OXA9oVq86HBZ_KG9UdQOHojRV5tiF1vRPWqj93gteWE/edit#gid=746986181")</f>
        <v>https://docs.google.com/spreadsheets/d/1OXA9oVq86HBZ_KG9UdQOHojRV5tiF1vRPWqj93gteWE/edit#gid=746986181</v>
      </c>
      <c r="H503" s="32" t="s">
        <v>79</v>
      </c>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15"/>
      <c r="D504" s="15"/>
      <c r="E504" s="32" t="s">
        <v>43</v>
      </c>
      <c r="F504" s="32" t="s">
        <v>132</v>
      </c>
      <c r="G504" s="70" t="str">
        <f>HYPERLINK("https://docs.google.com/spreadsheets/d/1OXA9oVq86HBZ_KG9UdQOHojRV5tiF1vRPWqj93gteWE/edit#gid=1443680239", "https://docs.google.com/spreadsheets/d/1OXA9oVq86HBZ_KG9UdQOHojRV5tiF1vRPWqj93gteWE/edit#gid=1443680239")</f>
        <v>https://docs.google.com/spreadsheets/d/1OXA9oVq86HBZ_KG9UdQOHojRV5tiF1vRPWqj93gteWE/edit#gid=1443680239</v>
      </c>
      <c r="H504" s="32" t="s">
        <v>132</v>
      </c>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15"/>
      <c r="D505" s="15"/>
      <c r="E505" s="32" t="s">
        <v>43</v>
      </c>
      <c r="F505" s="32" t="s">
        <v>53</v>
      </c>
      <c r="G505" s="70" t="str">
        <f>HYPERLINK("https://docs.google.com/spreadsheets/d/1OXA9oVq86HBZ_KG9UdQOHojRV5tiF1vRPWqj93gteWE/edit#gid=27216276", "https://docs.google.com/spreadsheets/d/1OXA9oVq86HBZ_KG9UdQOHojRV5tiF1vRPWqj93gteWE/edit#gid=27216276")</f>
        <v>https://docs.google.com/spreadsheets/d/1OXA9oVq86HBZ_KG9UdQOHojRV5tiF1vRPWqj93gteWE/edit#gid=27216276</v>
      </c>
      <c r="H505" s="32" t="s">
        <v>53</v>
      </c>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15"/>
      <c r="D506" s="15"/>
      <c r="E506" s="32" t="s">
        <v>88</v>
      </c>
      <c r="F506" s="32" t="s">
        <v>95</v>
      </c>
      <c r="G506" s="70" t="str">
        <f>HYPERLINK("https://docs.google.com/spreadsheets/d/1OXA9oVq86HBZ_KG9UdQOHojRV5tiF1vRPWqj93gteWE/edit#gid=1828997550", "https://docs.google.com/spreadsheets/d/1OXA9oVq86HBZ_KG9UdQOHojRV5tiF1vRPWqj93gteWE/edit#gid=1828997550")</f>
        <v>https://docs.google.com/spreadsheets/d/1OXA9oVq86HBZ_KG9UdQOHojRV5tiF1vRPWqj93gteWE/edit#gid=1828997550</v>
      </c>
      <c r="H506" s="32" t="s">
        <v>95</v>
      </c>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B507" s="15"/>
      <c r="D507" s="15"/>
      <c r="E507" s="32" t="s">
        <v>88</v>
      </c>
      <c r="F507" s="32" t="s">
        <v>96</v>
      </c>
      <c r="G507" s="70" t="str">
        <f>HYPERLINK("https://docs.google.com/spreadsheets/d/1OXA9oVq86HBZ_KG9UdQOHojRV5tiF1vRPWqj93gteWE/edit#gid=1620425664", "https://docs.google.com/spreadsheets/d/1OXA9oVq86HBZ_KG9UdQOHojRV5tiF1vRPWqj93gteWE/edit#gid=1620425664")</f>
        <v>https://docs.google.com/spreadsheets/d/1OXA9oVq86HBZ_KG9UdQOHojRV5tiF1vRPWqj93gteWE/edit#gid=1620425664</v>
      </c>
      <c r="H507" s="32" t="s">
        <v>96</v>
      </c>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15"/>
      <c r="C508" s="21"/>
      <c r="D508" s="15"/>
      <c r="E508" s="15"/>
      <c r="F508" s="15"/>
      <c r="G508" s="15"/>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B509" s="32" t="s">
        <v>2457</v>
      </c>
      <c r="C509" s="164"/>
      <c r="D509" s="32" t="s">
        <v>20</v>
      </c>
      <c r="E509" s="32" t="s">
        <v>89</v>
      </c>
      <c r="F509" s="32" t="s">
        <v>291</v>
      </c>
      <c r="G509" s="15"/>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B510" s="32" t="s">
        <v>2458</v>
      </c>
      <c r="C510" s="164" t="s">
        <v>2459</v>
      </c>
      <c r="D510" s="32" t="s">
        <v>20</v>
      </c>
      <c r="E510" s="32" t="s">
        <v>88</v>
      </c>
      <c r="F510" s="32" t="s">
        <v>89</v>
      </c>
      <c r="G510" s="15"/>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B511" s="15"/>
      <c r="D511" s="15"/>
      <c r="E511" s="32" t="s">
        <v>21</v>
      </c>
      <c r="F511" s="32" t="s">
        <v>22</v>
      </c>
      <c r="G511" s="70" t="str">
        <f>HYPERLINK("https://docs.google.com/spreadsheets/d/14N6XpuP2VAYRuMHKq2D1Gu_N2-PMYHC83KBGJ6L5y0E/edit#gid=1122891720", "https://docs.google.com/spreadsheets/d/14N6XpuP2VAYRuMHKq2D1Gu_N2-PMYHC83KBGJ6L5y0E/edit#gid=1122891720")</f>
        <v>https://docs.google.com/spreadsheets/d/14N6XpuP2VAYRuMHKq2D1Gu_N2-PMYHC83KBGJ6L5y0E/edit#gid=1122891720</v>
      </c>
      <c r="H511" s="32" t="s">
        <v>22</v>
      </c>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B512" s="15"/>
      <c r="D512" s="15"/>
      <c r="E512" s="32" t="s">
        <v>43</v>
      </c>
      <c r="F512" s="32" t="s">
        <v>79</v>
      </c>
      <c r="G512" s="70" t="str">
        <f>HYPERLINK("https://docs.google.com/spreadsheets/d/14N6XpuP2VAYRuMHKq2D1Gu_N2-PMYHC83KBGJ6L5y0E/edit#gid=1936717050", "https://docs.google.com/spreadsheets/d/14N6XpuP2VAYRuMHKq2D1Gu_N2-PMYHC83KBGJ6L5y0E/edit#gid=1936717050")</f>
        <v>https://docs.google.com/spreadsheets/d/14N6XpuP2VAYRuMHKq2D1Gu_N2-PMYHC83KBGJ6L5y0E/edit#gid=1936717050</v>
      </c>
      <c r="H512" s="32" t="s">
        <v>79</v>
      </c>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B513" s="15"/>
      <c r="D513" s="15"/>
      <c r="E513" s="32" t="s">
        <v>43</v>
      </c>
      <c r="F513" s="32" t="s">
        <v>109</v>
      </c>
      <c r="G513" s="70" t="str">
        <f>HYPERLINK("https://docs.google.com/spreadsheets/d/14N6XpuP2VAYRuMHKq2D1Gu_N2-PMYHC83KBGJ6L5y0E/edit#gid=106132450", "https://docs.google.com/spreadsheets/d/14N6XpuP2VAYRuMHKq2D1Gu_N2-PMYHC83KBGJ6L5y0E/edit#gid=106132450")</f>
        <v>https://docs.google.com/spreadsheets/d/14N6XpuP2VAYRuMHKq2D1Gu_N2-PMYHC83KBGJ6L5y0E/edit#gid=106132450</v>
      </c>
      <c r="H513" s="32" t="s">
        <v>109</v>
      </c>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B514" s="15"/>
      <c r="D514" s="15"/>
      <c r="E514" s="32" t="s">
        <v>21</v>
      </c>
      <c r="F514" s="32" t="s">
        <v>110</v>
      </c>
      <c r="G514" s="70" t="str">
        <f>HYPERLINK("https://docs.google.com/spreadsheets/d/14N6XpuP2VAYRuMHKq2D1Gu_N2-PMYHC83KBGJ6L5y0E/edit#gid=990237194", "https://docs.google.com/spreadsheets/d/14N6XpuP2VAYRuMHKq2D1Gu_N2-PMYHC83KBGJ6L5y0E/edit#gid=990237194")</f>
        <v>https://docs.google.com/spreadsheets/d/14N6XpuP2VAYRuMHKq2D1Gu_N2-PMYHC83KBGJ6L5y0E/edit#gid=990237194</v>
      </c>
      <c r="H514" s="32" t="s">
        <v>110</v>
      </c>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B515" s="15"/>
      <c r="D515" s="15"/>
      <c r="E515" s="32" t="s">
        <v>43</v>
      </c>
      <c r="F515" s="32" t="s">
        <v>79</v>
      </c>
      <c r="G515" s="70" t="str">
        <f>HYPERLINK("https://docs.google.com/spreadsheets/d/14N6XpuP2VAYRuMHKq2D1Gu_N2-PMYHC83KBGJ6L5y0E/edit#gid=876428400", "https://docs.google.com/spreadsheets/d/14N6XpuP2VAYRuMHKq2D1Gu_N2-PMYHC83KBGJ6L5y0E/edit#gid=876428400")</f>
        <v>https://docs.google.com/spreadsheets/d/14N6XpuP2VAYRuMHKq2D1Gu_N2-PMYHC83KBGJ6L5y0E/edit#gid=876428400</v>
      </c>
      <c r="H515" s="32" t="s">
        <v>83</v>
      </c>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B516" s="15"/>
      <c r="D516" s="15"/>
      <c r="E516" s="32" t="s">
        <v>43</v>
      </c>
      <c r="F516" s="32" t="s">
        <v>342</v>
      </c>
      <c r="G516" s="70" t="str">
        <f>HYPERLINK("https://docs.google.com/spreadsheets/d/14N6XpuP2VAYRuMHKq2D1Gu_N2-PMYHC83KBGJ6L5y0E/edit#gid=1305911733", "https://docs.google.com/spreadsheets/d/14N6XpuP2VAYRuMHKq2D1Gu_N2-PMYHC83KBGJ6L5y0E/edit#gid=1305911733")</f>
        <v>https://docs.google.com/spreadsheets/d/14N6XpuP2VAYRuMHKq2D1Gu_N2-PMYHC83KBGJ6L5y0E/edit#gid=1305911733</v>
      </c>
      <c r="H516" s="32" t="s">
        <v>342</v>
      </c>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B517" s="15"/>
      <c r="D517" s="15"/>
      <c r="E517" s="32" t="s">
        <v>43</v>
      </c>
      <c r="F517" s="32" t="s">
        <v>343</v>
      </c>
      <c r="G517" s="70" t="str">
        <f>HYPERLINK("https://docs.google.com/spreadsheets/d/14N6XpuP2VAYRuMHKq2D1Gu_N2-PMYHC83KBGJ6L5y0E/edit#gid=1613941759", "https://docs.google.com/spreadsheets/d/14N6XpuP2VAYRuMHKq2D1Gu_N2-PMYHC83KBGJ6L5y0E/edit#gid=1613941759")</f>
        <v>https://docs.google.com/spreadsheets/d/14N6XpuP2VAYRuMHKq2D1Gu_N2-PMYHC83KBGJ6L5y0E/edit#gid=1613941759</v>
      </c>
      <c r="H517" s="32" t="s">
        <v>343</v>
      </c>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B518" s="15"/>
      <c r="D518" s="15"/>
      <c r="E518" s="32" t="s">
        <v>43</v>
      </c>
      <c r="F518" s="32" t="s">
        <v>79</v>
      </c>
      <c r="G518" s="70" t="str">
        <f>HYPERLINK("https://docs.google.com/spreadsheets/d/14N6XpuP2VAYRuMHKq2D1Gu_N2-PMYHC83KBGJ6L5y0E/edit#gid=1272547317", "https://docs.google.com/spreadsheets/d/14N6XpuP2VAYRuMHKq2D1Gu_N2-PMYHC83KBGJ6L5y0E/edit#gid=1272547317")</f>
        <v>https://docs.google.com/spreadsheets/d/14N6XpuP2VAYRuMHKq2D1Gu_N2-PMYHC83KBGJ6L5y0E/edit#gid=1272547317</v>
      </c>
      <c r="H518" s="32" t="s">
        <v>2460</v>
      </c>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15"/>
      <c r="D519" s="15"/>
      <c r="E519" s="32" t="s">
        <v>43</v>
      </c>
      <c r="F519" s="32" t="s">
        <v>77</v>
      </c>
      <c r="G519" s="70" t="str">
        <f>HYPERLINK("https://docs.google.com/spreadsheets/d/14N6XpuP2VAYRuMHKq2D1Gu_N2-PMYHC83KBGJ6L5y0E/edit#gid=1797504346", "https://docs.google.com/spreadsheets/d/14N6XpuP2VAYRuMHKq2D1Gu_N2-PMYHC83KBGJ6L5y0E/edit#gid=1797504346")</f>
        <v>https://docs.google.com/spreadsheets/d/14N6XpuP2VAYRuMHKq2D1Gu_N2-PMYHC83KBGJ6L5y0E/edit#gid=1797504346</v>
      </c>
      <c r="H519" s="32" t="s">
        <v>77</v>
      </c>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15"/>
      <c r="D520" s="15"/>
      <c r="E520" s="32" t="s">
        <v>43</v>
      </c>
      <c r="F520" s="32" t="s">
        <v>53</v>
      </c>
      <c r="G520" s="70" t="str">
        <f>HYPERLINK("https://docs.google.com/spreadsheets/d/14N6XpuP2VAYRuMHKq2D1Gu_N2-PMYHC83KBGJ6L5y0E/edit#gid=1754684747", "https://docs.google.com/spreadsheets/d/14N6XpuP2VAYRuMHKq2D1Gu_N2-PMYHC83KBGJ6L5y0E/edit#gid=1754684747")</f>
        <v>https://docs.google.com/spreadsheets/d/14N6XpuP2VAYRuMHKq2D1Gu_N2-PMYHC83KBGJ6L5y0E/edit#gid=1754684747</v>
      </c>
      <c r="H520" s="32" t="s">
        <v>53</v>
      </c>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15"/>
      <c r="D521" s="15"/>
      <c r="E521" s="32" t="s">
        <v>88</v>
      </c>
      <c r="F521" s="32" t="s">
        <v>95</v>
      </c>
      <c r="G521" s="70" t="str">
        <f>HYPERLINK("https://docs.google.com/spreadsheets/d/14N6XpuP2VAYRuMHKq2D1Gu_N2-PMYHC83KBGJ6L5y0E/edit#gid=2102444351", "https://docs.google.com/spreadsheets/d/14N6XpuP2VAYRuMHKq2D1Gu_N2-PMYHC83KBGJ6L5y0E/edit#gid=2102444351")</f>
        <v>https://docs.google.com/spreadsheets/d/14N6XpuP2VAYRuMHKq2D1Gu_N2-PMYHC83KBGJ6L5y0E/edit#gid=2102444351</v>
      </c>
      <c r="H521" s="32" t="s">
        <v>95</v>
      </c>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15"/>
      <c r="C522" s="21"/>
      <c r="D522" s="15"/>
      <c r="E522" s="32" t="s">
        <v>88</v>
      </c>
      <c r="F522" s="32" t="s">
        <v>96</v>
      </c>
      <c r="G522" s="70" t="str">
        <f>HYPERLINK("https://docs.google.com/spreadsheets/d/14N6XpuP2VAYRuMHKq2D1Gu_N2-PMYHC83KBGJ6L5y0E/edit#gid=2020269216", "https://docs.google.com/spreadsheets/d/14N6XpuP2VAYRuMHKq2D1Gu_N2-PMYHC83KBGJ6L5y0E/edit#gid=2020269216")</f>
        <v>https://docs.google.com/spreadsheets/d/14N6XpuP2VAYRuMHKq2D1Gu_N2-PMYHC83KBGJ6L5y0E/edit#gid=2020269216</v>
      </c>
      <c r="H522" s="32" t="s">
        <v>96</v>
      </c>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15"/>
      <c r="C523" s="21"/>
      <c r="D523" s="15"/>
      <c r="E523" s="15"/>
      <c r="F523" s="15"/>
      <c r="G523" s="15"/>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32" t="s">
        <v>2461</v>
      </c>
      <c r="C524" s="164"/>
      <c r="D524" s="32" t="s">
        <v>20</v>
      </c>
      <c r="E524" s="32" t="s">
        <v>89</v>
      </c>
      <c r="F524" s="32" t="s">
        <v>291</v>
      </c>
      <c r="G524" s="15"/>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32" t="s">
        <v>2462</v>
      </c>
      <c r="C525" s="164" t="s">
        <v>2463</v>
      </c>
      <c r="D525" s="32" t="s">
        <v>20</v>
      </c>
      <c r="E525" s="32" t="s">
        <v>88</v>
      </c>
      <c r="F525" s="32" t="s">
        <v>89</v>
      </c>
      <c r="G525" s="15"/>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15"/>
      <c r="D526" s="15"/>
      <c r="E526" s="32" t="s">
        <v>21</v>
      </c>
      <c r="F526" s="32" t="s">
        <v>22</v>
      </c>
      <c r="G526" s="70" t="str">
        <f>HYPERLINK("https://docs.google.com/spreadsheets/d/15_YEAcy3imphMUlu-HyFK90PfqzaKHgpSqnUPNYAI2A/edit#gid=905544299", "https://docs.google.com/spreadsheets/d/15_YEAcy3imphMUlu-HyFK90PfqzaKHgpSqnUPNYAI2A/edit#gid=905544299")</f>
        <v>https://docs.google.com/spreadsheets/d/15_YEAcy3imphMUlu-HyFK90PfqzaKHgpSqnUPNYAI2A/edit#gid=905544299</v>
      </c>
      <c r="H526" s="32" t="s">
        <v>22</v>
      </c>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15"/>
      <c r="D527" s="15"/>
      <c r="E527" s="32" t="s">
        <v>43</v>
      </c>
      <c r="F527" s="32" t="s">
        <v>79</v>
      </c>
      <c r="G527" s="70" t="str">
        <f>HYPERLINK("https://docs.google.com/spreadsheets/d/15_YEAcy3imphMUlu-HyFK90PfqzaKHgpSqnUPNYAI2A/edit#gid=1063950842", "https://docs.google.com/spreadsheets/d/15_YEAcy3imphMUlu-HyFK90PfqzaKHgpSqnUPNYAI2A/edit#gid=1063950842")</f>
        <v>https://docs.google.com/spreadsheets/d/15_YEAcy3imphMUlu-HyFK90PfqzaKHgpSqnUPNYAI2A/edit#gid=1063950842</v>
      </c>
      <c r="H527" s="32" t="s">
        <v>79</v>
      </c>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15"/>
      <c r="D528" s="15"/>
      <c r="E528" s="32" t="s">
        <v>43</v>
      </c>
      <c r="F528" s="32" t="s">
        <v>109</v>
      </c>
      <c r="G528" s="70" t="str">
        <f>HYPERLINK("https://docs.google.com/spreadsheets/d/15_YEAcy3imphMUlu-HyFK90PfqzaKHgpSqnUPNYAI2A/edit#gid=1711782300", "https://docs.google.com/spreadsheets/d/15_YEAcy3imphMUlu-HyFK90PfqzaKHgpSqnUPNYAI2A/edit#gid=1711782300")</f>
        <v>https://docs.google.com/spreadsheets/d/15_YEAcy3imphMUlu-HyFK90PfqzaKHgpSqnUPNYAI2A/edit#gid=1711782300</v>
      </c>
      <c r="H528" s="32" t="s">
        <v>109</v>
      </c>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15"/>
      <c r="D529" s="15"/>
      <c r="E529" s="32" t="s">
        <v>21</v>
      </c>
      <c r="F529" s="32" t="s">
        <v>110</v>
      </c>
      <c r="G529" s="70" t="str">
        <f>HYPERLINK("https://docs.google.com/spreadsheets/d/15_YEAcy3imphMUlu-HyFK90PfqzaKHgpSqnUPNYAI2A/edit#gid=1263670657", "https://docs.google.com/spreadsheets/d/15_YEAcy3imphMUlu-HyFK90PfqzaKHgpSqnUPNYAI2A/edit#gid=1263670657")</f>
        <v>https://docs.google.com/spreadsheets/d/15_YEAcy3imphMUlu-HyFK90PfqzaKHgpSqnUPNYAI2A/edit#gid=1263670657</v>
      </c>
      <c r="H529" s="32" t="s">
        <v>110</v>
      </c>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15"/>
      <c r="D530" s="15"/>
      <c r="E530" s="32" t="s">
        <v>43</v>
      </c>
      <c r="F530" s="32" t="s">
        <v>79</v>
      </c>
      <c r="G530" s="70" t="str">
        <f>HYPERLINK("https://docs.google.com/spreadsheets/d/15_YEAcy3imphMUlu-HyFK90PfqzaKHgpSqnUPNYAI2A/edit#gid=1546024028", "https://docs.google.com/spreadsheets/d/15_YEAcy3imphMUlu-HyFK90PfqzaKHgpSqnUPNYAI2A/edit#gid=1546024028")</f>
        <v>https://docs.google.com/spreadsheets/d/15_YEAcy3imphMUlu-HyFK90PfqzaKHgpSqnUPNYAI2A/edit#gid=1546024028</v>
      </c>
      <c r="H530" s="32" t="s">
        <v>83</v>
      </c>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15"/>
      <c r="D531" s="15"/>
      <c r="E531" s="32" t="s">
        <v>43</v>
      </c>
      <c r="F531" s="32" t="s">
        <v>77</v>
      </c>
      <c r="G531" s="70" t="str">
        <f>HYPERLINK("https://docs.google.com/spreadsheets/d/15_YEAcy3imphMUlu-HyFK90PfqzaKHgpSqnUPNYAI2A/edit#gid=955431872", "https://docs.google.com/spreadsheets/d/15_YEAcy3imphMUlu-HyFK90PfqzaKHgpSqnUPNYAI2A/edit#gid=955431872")</f>
        <v>https://docs.google.com/spreadsheets/d/15_YEAcy3imphMUlu-HyFK90PfqzaKHgpSqnUPNYAI2A/edit#gid=955431872</v>
      </c>
      <c r="H531" s="32" t="s">
        <v>77</v>
      </c>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15"/>
      <c r="D532" s="15"/>
      <c r="E532" s="32" t="s">
        <v>43</v>
      </c>
      <c r="F532" s="32" t="s">
        <v>53</v>
      </c>
      <c r="G532" s="70" t="str">
        <f>HYPERLINK("https://docs.google.com/spreadsheets/d/15_YEAcy3imphMUlu-HyFK90PfqzaKHgpSqnUPNYAI2A/edit#gid=929186468", "https://docs.google.com/spreadsheets/d/15_YEAcy3imphMUlu-HyFK90PfqzaKHgpSqnUPNYAI2A/edit#gid=929186468")</f>
        <v>https://docs.google.com/spreadsheets/d/15_YEAcy3imphMUlu-HyFK90PfqzaKHgpSqnUPNYAI2A/edit#gid=929186468</v>
      </c>
      <c r="H532" s="32" t="s">
        <v>53</v>
      </c>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15"/>
      <c r="D533" s="15"/>
      <c r="E533" s="32" t="s">
        <v>88</v>
      </c>
      <c r="F533" s="32" t="s">
        <v>95</v>
      </c>
      <c r="G533" s="70" t="str">
        <f>HYPERLINK("https://docs.google.com/spreadsheets/d/15_YEAcy3imphMUlu-HyFK90PfqzaKHgpSqnUPNYAI2A/edit#gid=1901398591", "https://docs.google.com/spreadsheets/d/15_YEAcy3imphMUlu-HyFK90PfqzaKHgpSqnUPNYAI2A/edit#gid=1901398591")</f>
        <v>https://docs.google.com/spreadsheets/d/15_YEAcy3imphMUlu-HyFK90PfqzaKHgpSqnUPNYAI2A/edit#gid=1901398591</v>
      </c>
      <c r="H533" s="32" t="s">
        <v>95</v>
      </c>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15"/>
      <c r="D534" s="15"/>
      <c r="E534" s="32" t="s">
        <v>88</v>
      </c>
      <c r="F534" s="32" t="s">
        <v>96</v>
      </c>
      <c r="G534" s="70" t="str">
        <f>HYPERLINK("https://docs.google.com/spreadsheets/d/15_YEAcy3imphMUlu-HyFK90PfqzaKHgpSqnUPNYAI2A/edit#gid=1806228430", "https://docs.google.com/spreadsheets/d/15_YEAcy3imphMUlu-HyFK90PfqzaKHgpSqnUPNYAI2A/edit#gid=1806228430")</f>
        <v>https://docs.google.com/spreadsheets/d/15_YEAcy3imphMUlu-HyFK90PfqzaKHgpSqnUPNYAI2A/edit#gid=1806228430</v>
      </c>
      <c r="H534" s="32" t="s">
        <v>96</v>
      </c>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15"/>
      <c r="C535" s="21"/>
      <c r="D535" s="15"/>
      <c r="E535" s="15"/>
      <c r="F535" s="15"/>
      <c r="G535" s="15"/>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32" t="s">
        <v>2464</v>
      </c>
      <c r="C536" s="164"/>
      <c r="D536" s="32" t="s">
        <v>20</v>
      </c>
      <c r="E536" s="32" t="s">
        <v>89</v>
      </c>
      <c r="F536" s="32" t="s">
        <v>291</v>
      </c>
      <c r="G536" s="15"/>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32" t="s">
        <v>2465</v>
      </c>
      <c r="C537" s="164" t="s">
        <v>2466</v>
      </c>
      <c r="D537" s="32" t="s">
        <v>20</v>
      </c>
      <c r="E537" s="32" t="s">
        <v>88</v>
      </c>
      <c r="F537" s="32" t="s">
        <v>89</v>
      </c>
      <c r="G537" s="15"/>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15"/>
      <c r="D538" s="15"/>
      <c r="E538" s="32" t="s">
        <v>21</v>
      </c>
      <c r="F538" s="32" t="s">
        <v>22</v>
      </c>
      <c r="G538" s="70" t="str">
        <f>HYPERLINK("https://docs.google.com/spreadsheets/d/1LPoMzObb_BKCAuOspsThDzDkZdU3plffJuR8ZVuoBQ4/edit#gid=660897198", "https://docs.google.com/spreadsheets/d/1LPoMzObb_BKCAuOspsThDzDkZdU3plffJuR8ZVuoBQ4/edit#gid=660897198")</f>
        <v>https://docs.google.com/spreadsheets/d/1LPoMzObb_BKCAuOspsThDzDkZdU3plffJuR8ZVuoBQ4/edit#gid=660897198</v>
      </c>
      <c r="H538" s="32" t="s">
        <v>22</v>
      </c>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15"/>
      <c r="D539" s="15"/>
      <c r="E539" s="32" t="s">
        <v>43</v>
      </c>
      <c r="F539" s="32" t="s">
        <v>79</v>
      </c>
      <c r="G539" s="70" t="str">
        <f>HYPERLINK("https://docs.google.com/spreadsheets/d/1LPoMzObb_BKCAuOspsThDzDkZdU3plffJuR8ZVuoBQ4/edit#gid=326160169", "https://docs.google.com/spreadsheets/d/1LPoMzObb_BKCAuOspsThDzDkZdU3plffJuR8ZVuoBQ4/edit#gid=326160169")</f>
        <v>https://docs.google.com/spreadsheets/d/1LPoMzObb_BKCAuOspsThDzDkZdU3plffJuR8ZVuoBQ4/edit#gid=326160169</v>
      </c>
      <c r="H539" s="32" t="s">
        <v>79</v>
      </c>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15"/>
      <c r="D540" s="15"/>
      <c r="E540" s="32" t="s">
        <v>43</v>
      </c>
      <c r="F540" s="32" t="s">
        <v>109</v>
      </c>
      <c r="G540" s="70" t="str">
        <f>HYPERLINK("https://docs.google.com/spreadsheets/d/1LPoMzObb_BKCAuOspsThDzDkZdU3plffJuR8ZVuoBQ4/edit#gid=1208678241", "https://docs.google.com/spreadsheets/d/1LPoMzObb_BKCAuOspsThDzDkZdU3plffJuR8ZVuoBQ4/edit#gid=1208678241")</f>
        <v>https://docs.google.com/spreadsheets/d/1LPoMzObb_BKCAuOspsThDzDkZdU3plffJuR8ZVuoBQ4/edit#gid=1208678241</v>
      </c>
      <c r="H540" s="32" t="s">
        <v>109</v>
      </c>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15"/>
      <c r="D541" s="15"/>
      <c r="E541" s="32" t="s">
        <v>21</v>
      </c>
      <c r="F541" s="32" t="s">
        <v>110</v>
      </c>
      <c r="G541" s="70" t="str">
        <f>HYPERLINK("https://docs.google.com/spreadsheets/d/1LPoMzObb_BKCAuOspsThDzDkZdU3plffJuR8ZVuoBQ4/edit#gid=2066324212", "https://docs.google.com/spreadsheets/d/1LPoMzObb_BKCAuOspsThDzDkZdU3plffJuR8ZVuoBQ4/edit#gid=2066324212")</f>
        <v>https://docs.google.com/spreadsheets/d/1LPoMzObb_BKCAuOspsThDzDkZdU3plffJuR8ZVuoBQ4/edit#gid=2066324212</v>
      </c>
      <c r="H541" s="32" t="s">
        <v>110</v>
      </c>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15"/>
      <c r="D542" s="15"/>
      <c r="E542" s="32" t="s">
        <v>43</v>
      </c>
      <c r="F542" s="32" t="s">
        <v>716</v>
      </c>
      <c r="G542" s="70" t="str">
        <f>HYPERLINK("https://docs.google.com/spreadsheets/d/1LPoMzObb_BKCAuOspsThDzDkZdU3plffJuR8ZVuoBQ4/edit#gid=887995596", "https://docs.google.com/spreadsheets/d/1LPoMzObb_BKCAuOspsThDzDkZdU3plffJuR8ZVuoBQ4/edit#gid=887995596")</f>
        <v>https://docs.google.com/spreadsheets/d/1LPoMzObb_BKCAuOspsThDzDkZdU3plffJuR8ZVuoBQ4/edit#gid=887995596</v>
      </c>
      <c r="H542" s="35" t="s">
        <v>716</v>
      </c>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15"/>
      <c r="D543" s="15"/>
      <c r="E543" s="32" t="s">
        <v>21</v>
      </c>
      <c r="F543" s="32" t="s">
        <v>249</v>
      </c>
      <c r="G543" s="70" t="str">
        <f>HYPERLINK("https://docs.google.com/spreadsheets/d/1LPoMzObb_BKCAuOspsThDzDkZdU3plffJuR8ZVuoBQ4/edit#gid=1852439932", "https://docs.google.com/spreadsheets/d/1LPoMzObb_BKCAuOspsThDzDkZdU3plffJuR8ZVuoBQ4/edit#gid=1852439932")</f>
        <v>https://docs.google.com/spreadsheets/d/1LPoMzObb_BKCAuOspsThDzDkZdU3plffJuR8ZVuoBQ4/edit#gid=1852439932</v>
      </c>
      <c r="H543" s="32" t="s">
        <v>249</v>
      </c>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15"/>
      <c r="D544" s="15"/>
      <c r="E544" s="32" t="s">
        <v>43</v>
      </c>
      <c r="F544" s="32" t="s">
        <v>79</v>
      </c>
      <c r="G544" s="70" t="str">
        <f>HYPERLINK("https://docs.google.com/spreadsheets/d/1LPoMzObb_BKCAuOspsThDzDkZdU3plffJuR8ZVuoBQ4/edit#gid=1610856664", "https://docs.google.com/spreadsheets/d/1LPoMzObb_BKCAuOspsThDzDkZdU3plffJuR8ZVuoBQ4/edit#gid=1610856664")</f>
        <v>https://docs.google.com/spreadsheets/d/1LPoMzObb_BKCAuOspsThDzDkZdU3plffJuR8ZVuoBQ4/edit#gid=1610856664</v>
      </c>
      <c r="H544" s="32" t="s">
        <v>83</v>
      </c>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15"/>
      <c r="D545" s="15"/>
      <c r="E545" s="32" t="s">
        <v>43</v>
      </c>
      <c r="F545" s="32" t="s">
        <v>77</v>
      </c>
      <c r="G545" s="70" t="str">
        <f>HYPERLINK("https://docs.google.com/spreadsheets/d/1LPoMzObb_BKCAuOspsThDzDkZdU3plffJuR8ZVuoBQ4/edit#gid=637611218", "https://docs.google.com/spreadsheets/d/1LPoMzObb_BKCAuOspsThDzDkZdU3plffJuR8ZVuoBQ4/edit#gid=637611218")</f>
        <v>https://docs.google.com/spreadsheets/d/1LPoMzObb_BKCAuOspsThDzDkZdU3plffJuR8ZVuoBQ4/edit#gid=637611218</v>
      </c>
      <c r="H545" s="32" t="s">
        <v>77</v>
      </c>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15"/>
      <c r="D546" s="15"/>
      <c r="E546" s="32" t="s">
        <v>43</v>
      </c>
      <c r="F546" s="32" t="s">
        <v>53</v>
      </c>
      <c r="G546" s="70" t="str">
        <f>HYPERLINK("https://docs.google.com/spreadsheets/d/1LPoMzObb_BKCAuOspsThDzDkZdU3plffJuR8ZVuoBQ4/edit#gid=581940423", "https://docs.google.com/spreadsheets/d/1LPoMzObb_BKCAuOspsThDzDkZdU3plffJuR8ZVuoBQ4/edit#gid=581940423")</f>
        <v>https://docs.google.com/spreadsheets/d/1LPoMzObb_BKCAuOspsThDzDkZdU3plffJuR8ZVuoBQ4/edit#gid=581940423</v>
      </c>
      <c r="H546" s="32" t="s">
        <v>53</v>
      </c>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15"/>
      <c r="D547" s="15"/>
      <c r="E547" s="32" t="s">
        <v>88</v>
      </c>
      <c r="F547" s="32" t="s">
        <v>95</v>
      </c>
      <c r="G547" s="70" t="str">
        <f>HYPERLINK("https://docs.google.com/spreadsheets/d/1LPoMzObb_BKCAuOspsThDzDkZdU3plffJuR8ZVuoBQ4/edit#gid=1149790108", "https://docs.google.com/spreadsheets/d/1LPoMzObb_BKCAuOspsThDzDkZdU3plffJuR8ZVuoBQ4/edit#gid=1149790108")</f>
        <v>https://docs.google.com/spreadsheets/d/1LPoMzObb_BKCAuOspsThDzDkZdU3plffJuR8ZVuoBQ4/edit#gid=1149790108</v>
      </c>
      <c r="H547" s="32" t="s">
        <v>95</v>
      </c>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15"/>
      <c r="C548" s="21"/>
      <c r="D548" s="15"/>
      <c r="E548" s="32" t="s">
        <v>88</v>
      </c>
      <c r="F548" s="32" t="s">
        <v>96</v>
      </c>
      <c r="G548" s="70" t="str">
        <f>HYPERLINK("https://docs.google.com/spreadsheets/d/1LPoMzObb_BKCAuOspsThDzDkZdU3plffJuR8ZVuoBQ4/edit#gid=1617335135", "https://docs.google.com/spreadsheets/d/1LPoMzObb_BKCAuOspsThDzDkZdU3plffJuR8ZVuoBQ4/edit#gid=1617335135")</f>
        <v>https://docs.google.com/spreadsheets/d/1LPoMzObb_BKCAuOspsThDzDkZdU3plffJuR8ZVuoBQ4/edit#gid=1617335135</v>
      </c>
      <c r="H548" s="32" t="s">
        <v>96</v>
      </c>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15"/>
      <c r="C549" s="21"/>
      <c r="D549" s="15"/>
      <c r="E549" s="32" t="s">
        <v>104</v>
      </c>
      <c r="F549" s="32" t="s">
        <v>250</v>
      </c>
      <c r="G549" s="70" t="str">
        <f>HYPERLINK("https://docs.google.com/spreadsheets/d/1LPoMzObb_BKCAuOspsThDzDkZdU3plffJuR8ZVuoBQ4/edit#gid=1416094179", "https://docs.google.com/spreadsheets/d/1LPoMzObb_BKCAuOspsThDzDkZdU3plffJuR8ZVuoBQ4/edit#gid=1416094179")</f>
        <v>https://docs.google.com/spreadsheets/d/1LPoMzObb_BKCAuOspsThDzDkZdU3plffJuR8ZVuoBQ4/edit#gid=1416094179</v>
      </c>
      <c r="H549" s="32" t="s">
        <v>250</v>
      </c>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15"/>
      <c r="C550" s="21"/>
      <c r="D550" s="15"/>
      <c r="E550" s="15"/>
      <c r="F550" s="15"/>
      <c r="G550" s="15"/>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32" t="s">
        <v>2467</v>
      </c>
      <c r="C551" s="164"/>
      <c r="D551" s="32" t="s">
        <v>20</v>
      </c>
      <c r="E551" s="32" t="s">
        <v>89</v>
      </c>
      <c r="F551" s="32" t="s">
        <v>291</v>
      </c>
      <c r="G551" s="15"/>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32" t="s">
        <v>2468</v>
      </c>
      <c r="C552" s="164" t="s">
        <v>2469</v>
      </c>
      <c r="D552" s="32" t="s">
        <v>20</v>
      </c>
      <c r="E552" s="32" t="s">
        <v>88</v>
      </c>
      <c r="F552" s="32" t="s">
        <v>89</v>
      </c>
      <c r="G552" s="15"/>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15"/>
      <c r="D553" s="15"/>
      <c r="E553" s="32" t="s">
        <v>21</v>
      </c>
      <c r="F553" s="32" t="s">
        <v>22</v>
      </c>
      <c r="G553" s="70" t="str">
        <f>HYPERLINK("https://docs.google.com/spreadsheets/d/13CcUpHMP6PU-EiLoc45ljxrHuQBMed6w2P4Z7jfVsGA/edit#gid=191749274", "https://docs.google.com/spreadsheets/d/13CcUpHMP6PU-EiLoc45ljxrHuQBMed6w2P4Z7jfVsGA/edit#gid=191749274")</f>
        <v>https://docs.google.com/spreadsheets/d/13CcUpHMP6PU-EiLoc45ljxrHuQBMed6w2P4Z7jfVsGA/edit#gid=191749274</v>
      </c>
      <c r="H553" s="32" t="s">
        <v>22</v>
      </c>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15"/>
      <c r="D554" s="15"/>
      <c r="E554" s="32" t="s">
        <v>21</v>
      </c>
      <c r="F554" s="32" t="s">
        <v>22</v>
      </c>
      <c r="G554" s="70" t="str">
        <f>HYPERLINK("https://docs.google.com/spreadsheets/d/13CcUpHMP6PU-EiLoc45ljxrHuQBMed6w2P4Z7jfVsGA/edit#gid=1205165422", "https://docs.google.com/spreadsheets/d/13CcUpHMP6PU-EiLoc45ljxrHuQBMed6w2P4Z7jfVsGA/edit#gid=1205165422")</f>
        <v>https://docs.google.com/spreadsheets/d/13CcUpHMP6PU-EiLoc45ljxrHuQBMed6w2P4Z7jfVsGA/edit#gid=1205165422</v>
      </c>
      <c r="H554" s="32" t="s">
        <v>2470</v>
      </c>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15"/>
      <c r="D555" s="15"/>
      <c r="E555" s="32" t="s">
        <v>21</v>
      </c>
      <c r="F555" s="32" t="s">
        <v>51</v>
      </c>
      <c r="G555" s="70" t="str">
        <f>HYPERLINK("https://docs.google.com/spreadsheets/d/13CcUpHMP6PU-EiLoc45ljxrHuQBMed6w2P4Z7jfVsGA/edit#gid=1927491361", "https://docs.google.com/spreadsheets/d/13CcUpHMP6PU-EiLoc45ljxrHuQBMed6w2P4Z7jfVsGA/edit#gid=1927491361")</f>
        <v>https://docs.google.com/spreadsheets/d/13CcUpHMP6PU-EiLoc45ljxrHuQBMed6w2P4Z7jfVsGA/edit#gid=1927491361</v>
      </c>
      <c r="H555" s="32" t="s">
        <v>51</v>
      </c>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15"/>
      <c r="D556" s="15"/>
      <c r="E556" s="32" t="s">
        <v>21</v>
      </c>
      <c r="F556" s="32" t="s">
        <v>51</v>
      </c>
      <c r="G556" s="70" t="str">
        <f>HYPERLINK("https://docs.google.com/spreadsheets/d/13CcUpHMP6PU-EiLoc45ljxrHuQBMed6w2P4Z7jfVsGA/edit#gid=1379831398", "https://docs.google.com/spreadsheets/d/13CcUpHMP6PU-EiLoc45ljxrHuQBMed6w2P4Z7jfVsGA/edit#gid=1379831398")</f>
        <v>https://docs.google.com/spreadsheets/d/13CcUpHMP6PU-EiLoc45ljxrHuQBMed6w2P4Z7jfVsGA/edit#gid=1379831398</v>
      </c>
      <c r="H556" s="32" t="s">
        <v>1383</v>
      </c>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15"/>
      <c r="D557" s="15"/>
      <c r="E557" s="32" t="s">
        <v>43</v>
      </c>
      <c r="F557" s="32" t="s">
        <v>79</v>
      </c>
      <c r="G557" s="70" t="str">
        <f>HYPERLINK("https://docs.google.com/spreadsheets/d/13CcUpHMP6PU-EiLoc45ljxrHuQBMed6w2P4Z7jfVsGA/edit#gid=865488121", "https://docs.google.com/spreadsheets/d/13CcUpHMP6PU-EiLoc45ljxrHuQBMed6w2P4Z7jfVsGA/edit#gid=865488121")</f>
        <v>https://docs.google.com/spreadsheets/d/13CcUpHMP6PU-EiLoc45ljxrHuQBMed6w2P4Z7jfVsGA/edit#gid=865488121</v>
      </c>
      <c r="H557" s="32" t="s">
        <v>79</v>
      </c>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15"/>
      <c r="D558" s="15"/>
      <c r="E558" s="32" t="s">
        <v>43</v>
      </c>
      <c r="F558" s="32" t="s">
        <v>109</v>
      </c>
      <c r="G558" s="70" t="str">
        <f>HYPERLINK("https://docs.google.com/spreadsheets/d/13CcUpHMP6PU-EiLoc45ljxrHuQBMed6w2P4Z7jfVsGA/edit#gid=305608474", "https://docs.google.com/spreadsheets/d/13CcUpHMP6PU-EiLoc45ljxrHuQBMed6w2P4Z7jfVsGA/edit#gid=305608474")</f>
        <v>https://docs.google.com/spreadsheets/d/13CcUpHMP6PU-EiLoc45ljxrHuQBMed6w2P4Z7jfVsGA/edit#gid=305608474</v>
      </c>
      <c r="H558" s="32" t="s">
        <v>109</v>
      </c>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15"/>
      <c r="D559" s="15"/>
      <c r="E559" s="32" t="s">
        <v>21</v>
      </c>
      <c r="F559" s="32" t="s">
        <v>110</v>
      </c>
      <c r="G559" s="70" t="str">
        <f>HYPERLINK("https://docs.google.com/spreadsheets/d/13CcUpHMP6PU-EiLoc45ljxrHuQBMed6w2P4Z7jfVsGA/edit#gid=568940949", "https://docs.google.com/spreadsheets/d/13CcUpHMP6PU-EiLoc45ljxrHuQBMed6w2P4Z7jfVsGA/edit#gid=568940949")</f>
        <v>https://docs.google.com/spreadsheets/d/13CcUpHMP6PU-EiLoc45ljxrHuQBMed6w2P4Z7jfVsGA/edit#gid=568940949</v>
      </c>
      <c r="H559" s="32" t="s">
        <v>110</v>
      </c>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15"/>
      <c r="D560" s="15"/>
      <c r="E560" s="32" t="s">
        <v>43</v>
      </c>
      <c r="F560" s="32" t="s">
        <v>716</v>
      </c>
      <c r="G560" s="70" t="str">
        <f>HYPERLINK("https://docs.google.com/spreadsheets/d/13CcUpHMP6PU-EiLoc45ljxrHuQBMed6w2P4Z7jfVsGA/edit#gid=390770807", "https://docs.google.com/spreadsheets/d/13CcUpHMP6PU-EiLoc45ljxrHuQBMed6w2P4Z7jfVsGA/edit#gid=390770807")</f>
        <v>https://docs.google.com/spreadsheets/d/13CcUpHMP6PU-EiLoc45ljxrHuQBMed6w2P4Z7jfVsGA/edit#gid=390770807</v>
      </c>
      <c r="H560" s="32" t="s">
        <v>716</v>
      </c>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15"/>
      <c r="D561" s="15"/>
      <c r="E561" s="32" t="s">
        <v>21</v>
      </c>
      <c r="F561" s="32" t="s">
        <v>249</v>
      </c>
      <c r="G561" s="70" t="str">
        <f>HYPERLINK("https://docs.google.com/spreadsheets/d/13CcUpHMP6PU-EiLoc45ljxrHuQBMed6w2P4Z7jfVsGA/edit#gid=1115779776", "https://docs.google.com/spreadsheets/d/13CcUpHMP6PU-EiLoc45ljxrHuQBMed6w2P4Z7jfVsGA/edit#gid=1115779776")</f>
        <v>https://docs.google.com/spreadsheets/d/13CcUpHMP6PU-EiLoc45ljxrHuQBMed6w2P4Z7jfVsGA/edit#gid=1115779776</v>
      </c>
      <c r="H561" s="32" t="s">
        <v>249</v>
      </c>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15"/>
      <c r="D562" s="15"/>
      <c r="E562" s="32" t="s">
        <v>43</v>
      </c>
      <c r="F562" s="32" t="s">
        <v>132</v>
      </c>
      <c r="G562" s="70" t="str">
        <f>HYPERLINK("https://docs.google.com/spreadsheets/d/13CcUpHMP6PU-EiLoc45ljxrHuQBMed6w2P4Z7jfVsGA/edit#gid=224508252", "https://docs.google.com/spreadsheets/d/13CcUpHMP6PU-EiLoc45ljxrHuQBMed6w2P4Z7jfVsGA/edit#gid=224508252")</f>
        <v>https://docs.google.com/spreadsheets/d/13CcUpHMP6PU-EiLoc45ljxrHuQBMed6w2P4Z7jfVsGA/edit#gid=224508252</v>
      </c>
      <c r="H562" s="32" t="s">
        <v>132</v>
      </c>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15"/>
      <c r="D563" s="15"/>
      <c r="E563" s="32" t="s">
        <v>43</v>
      </c>
      <c r="F563" s="32" t="s">
        <v>714</v>
      </c>
      <c r="G563" s="70" t="str">
        <f>HYPERLINK("https://docs.google.com/spreadsheets/d/13CcUpHMP6PU-EiLoc45ljxrHuQBMed6w2P4Z7jfVsGA/edit#gid=839706346", "https://docs.google.com/spreadsheets/d/13CcUpHMP6PU-EiLoc45ljxrHuQBMed6w2P4Z7jfVsGA/edit#gid=839706346")</f>
        <v>https://docs.google.com/spreadsheets/d/13CcUpHMP6PU-EiLoc45ljxrHuQBMed6w2P4Z7jfVsGA/edit#gid=839706346</v>
      </c>
      <c r="H563" s="32" t="s">
        <v>714</v>
      </c>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15"/>
      <c r="D564" s="15"/>
      <c r="E564" s="32" t="s">
        <v>43</v>
      </c>
      <c r="F564" s="32" t="s">
        <v>132</v>
      </c>
      <c r="G564" s="70" t="str">
        <f>HYPERLINK("https://docs.google.com/spreadsheets/d/13CcUpHMP6PU-EiLoc45ljxrHuQBMed6w2P4Z7jfVsGA/edit#gid=213594254", "https://docs.google.com/spreadsheets/d/13CcUpHMP6PU-EiLoc45ljxrHuQBMed6w2P4Z7jfVsGA/edit#gid=213594254")</f>
        <v>https://docs.google.com/spreadsheets/d/13CcUpHMP6PU-EiLoc45ljxrHuQBMed6w2P4Z7jfVsGA/edit#gid=213594254</v>
      </c>
      <c r="H564" s="35" t="s">
        <v>324</v>
      </c>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15"/>
      <c r="D565" s="15"/>
      <c r="E565" s="32" t="s">
        <v>43</v>
      </c>
      <c r="F565" s="32" t="s">
        <v>77</v>
      </c>
      <c r="G565" s="70" t="str">
        <f>HYPERLINK("https://docs.google.com/spreadsheets/d/13CcUpHMP6PU-EiLoc45ljxrHuQBMed6w2P4Z7jfVsGA/edit#gid=174635522", "https://docs.google.com/spreadsheets/d/13CcUpHMP6PU-EiLoc45ljxrHuQBMed6w2P4Z7jfVsGA/edit#gid=174635522")</f>
        <v>https://docs.google.com/spreadsheets/d/13CcUpHMP6PU-EiLoc45ljxrHuQBMed6w2P4Z7jfVsGA/edit#gid=174635522</v>
      </c>
      <c r="H565" s="32" t="s">
        <v>77</v>
      </c>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15"/>
      <c r="C566" s="21"/>
      <c r="D566" s="15"/>
      <c r="E566" s="32" t="s">
        <v>43</v>
      </c>
      <c r="F566" s="32" t="s">
        <v>79</v>
      </c>
      <c r="G566" s="70" t="str">
        <f>HYPERLINK("https://docs.google.com/spreadsheets/d/13CcUpHMP6PU-EiLoc45ljxrHuQBMed6w2P4Z7jfVsGA/edit#gid=1938731433", "https://docs.google.com/spreadsheets/d/13CcUpHMP6PU-EiLoc45ljxrHuQBMed6w2P4Z7jfVsGA/edit#gid=1938731433")</f>
        <v>https://docs.google.com/spreadsheets/d/13CcUpHMP6PU-EiLoc45ljxrHuQBMed6w2P4Z7jfVsGA/edit#gid=1938731433</v>
      </c>
      <c r="H566" s="32" t="s">
        <v>83</v>
      </c>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15"/>
      <c r="C567" s="21"/>
      <c r="D567" s="15"/>
      <c r="E567" s="32" t="s">
        <v>43</v>
      </c>
      <c r="F567" s="32" t="s">
        <v>53</v>
      </c>
      <c r="G567" s="70" t="str">
        <f>HYPERLINK("https://docs.google.com/spreadsheets/d/13CcUpHMP6PU-EiLoc45ljxrHuQBMed6w2P4Z7jfVsGA/edit#gid=1355378217", "https://docs.google.com/spreadsheets/d/13CcUpHMP6PU-EiLoc45ljxrHuQBMed6w2P4Z7jfVsGA/edit#gid=1355378217")</f>
        <v>https://docs.google.com/spreadsheets/d/13CcUpHMP6PU-EiLoc45ljxrHuQBMed6w2P4Z7jfVsGA/edit#gid=1355378217</v>
      </c>
      <c r="H567" s="32" t="s">
        <v>53</v>
      </c>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15"/>
      <c r="C568" s="21"/>
      <c r="D568" s="15"/>
      <c r="E568" s="32" t="s">
        <v>88</v>
      </c>
      <c r="F568" s="32" t="s">
        <v>95</v>
      </c>
      <c r="G568" s="70" t="str">
        <f>HYPERLINK("https://docs.google.com/spreadsheets/d/13CcUpHMP6PU-EiLoc45ljxrHuQBMed6w2P4Z7jfVsGA/edit#gid=251850871", "https://docs.google.com/spreadsheets/d/13CcUpHMP6PU-EiLoc45ljxrHuQBMed6w2P4Z7jfVsGA/edit#gid=251850871")</f>
        <v>https://docs.google.com/spreadsheets/d/13CcUpHMP6PU-EiLoc45ljxrHuQBMed6w2P4Z7jfVsGA/edit#gid=251850871</v>
      </c>
      <c r="H568" s="32" t="s">
        <v>95</v>
      </c>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15"/>
      <c r="C569" s="21"/>
      <c r="D569" s="15"/>
      <c r="E569" s="32" t="s">
        <v>88</v>
      </c>
      <c r="F569" s="32" t="s">
        <v>96</v>
      </c>
      <c r="G569" s="70" t="str">
        <f>HYPERLINK("https://docs.google.com/spreadsheets/d/13CcUpHMP6PU-EiLoc45ljxrHuQBMed6w2P4Z7jfVsGA/edit#gid=157587539", "https://docs.google.com/spreadsheets/d/13CcUpHMP6PU-EiLoc45ljxrHuQBMed6w2P4Z7jfVsGA/edit#gid=157587539")</f>
        <v>https://docs.google.com/spreadsheets/d/13CcUpHMP6PU-EiLoc45ljxrHuQBMed6w2P4Z7jfVsGA/edit#gid=157587539</v>
      </c>
      <c r="H569" s="32" t="s">
        <v>96</v>
      </c>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15"/>
      <c r="C570" s="21"/>
      <c r="D570" s="15"/>
      <c r="E570" s="32" t="s">
        <v>104</v>
      </c>
      <c r="F570" s="32" t="s">
        <v>250</v>
      </c>
      <c r="G570" s="70" t="str">
        <f>HYPERLINK("https://docs.google.com/spreadsheets/d/13CcUpHMP6PU-EiLoc45ljxrHuQBMed6w2P4Z7jfVsGA/edit#gid=1858768783", "https://docs.google.com/spreadsheets/d/13CcUpHMP6PU-EiLoc45ljxrHuQBMed6w2P4Z7jfVsGA/edit#gid=1858768783")</f>
        <v>https://docs.google.com/spreadsheets/d/13CcUpHMP6PU-EiLoc45ljxrHuQBMed6w2P4Z7jfVsGA/edit#gid=1858768783</v>
      </c>
      <c r="H570" s="32" t="s">
        <v>250</v>
      </c>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15"/>
      <c r="C571" s="21"/>
      <c r="D571" s="15"/>
      <c r="E571" s="15"/>
      <c r="F571" s="15"/>
      <c r="G571" s="15"/>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15"/>
      <c r="C572" s="21"/>
      <c r="D572" s="15"/>
      <c r="E572" s="15"/>
      <c r="F572" s="15"/>
      <c r="G572" s="15"/>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15"/>
      <c r="C573" s="21"/>
      <c r="D573" s="15"/>
      <c r="E573" s="15"/>
      <c r="F573" s="15"/>
      <c r="G573" s="15"/>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15"/>
      <c r="C574" s="21"/>
      <c r="D574" s="15"/>
      <c r="E574" s="15"/>
      <c r="F574" s="15"/>
      <c r="G574" s="15"/>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15"/>
      <c r="C575" s="21"/>
      <c r="D575" s="15"/>
      <c r="E575" s="15"/>
      <c r="F575" s="15"/>
      <c r="G575" s="15"/>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15"/>
      <c r="C576" s="21"/>
      <c r="D576" s="15"/>
      <c r="E576" s="15"/>
      <c r="F576" s="15"/>
      <c r="G576" s="15"/>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15"/>
      <c r="C577" s="21"/>
      <c r="D577" s="15"/>
      <c r="E577" s="15"/>
      <c r="F577" s="15"/>
      <c r="G577" s="15"/>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15"/>
      <c r="C578" s="21"/>
      <c r="D578" s="15"/>
      <c r="E578" s="15"/>
      <c r="F578" s="15"/>
      <c r="G578" s="15"/>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15"/>
      <c r="C579" s="21"/>
      <c r="D579" s="15"/>
      <c r="E579" s="15"/>
      <c r="F579" s="15"/>
      <c r="G579" s="15"/>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15"/>
      <c r="C580" s="21"/>
      <c r="D580" s="15"/>
      <c r="E580" s="15"/>
      <c r="F580" s="15"/>
      <c r="G580" s="15"/>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15"/>
      <c r="C581" s="21"/>
      <c r="D581" s="15"/>
      <c r="E581" s="15"/>
      <c r="F581" s="15"/>
      <c r="G581" s="15"/>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15"/>
      <c r="C582" s="21"/>
      <c r="D582" s="15"/>
      <c r="E582" s="15"/>
      <c r="F582" s="15"/>
      <c r="G582" s="15"/>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15"/>
      <c r="C583" s="21"/>
      <c r="D583" s="15"/>
      <c r="E583" s="15"/>
      <c r="F583" s="15"/>
      <c r="G583" s="15"/>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15"/>
      <c r="C584" s="21"/>
      <c r="D584" s="15"/>
      <c r="E584" s="15"/>
      <c r="F584" s="15"/>
      <c r="G584" s="15"/>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15"/>
      <c r="C585" s="21"/>
      <c r="D585" s="15"/>
      <c r="E585" s="15"/>
      <c r="F585" s="15"/>
      <c r="G585" s="15"/>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15"/>
      <c r="C586" s="21"/>
      <c r="D586" s="15"/>
      <c r="E586" s="15"/>
      <c r="F586" s="15"/>
      <c r="G586" s="15"/>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15"/>
      <c r="C587" s="21"/>
      <c r="D587" s="15"/>
      <c r="E587" s="15"/>
      <c r="F587" s="15"/>
      <c r="G587" s="15"/>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15"/>
      <c r="C588" s="21"/>
      <c r="D588" s="15"/>
      <c r="E588" s="15"/>
      <c r="F588" s="15"/>
      <c r="G588" s="15"/>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15"/>
      <c r="C589" s="21"/>
      <c r="D589" s="15"/>
      <c r="E589" s="15"/>
      <c r="F589" s="15"/>
      <c r="G589" s="15"/>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15"/>
      <c r="C590" s="21"/>
      <c r="D590" s="15"/>
      <c r="E590" s="15"/>
      <c r="F590" s="15"/>
      <c r="G590" s="15"/>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15"/>
      <c r="C591" s="21"/>
      <c r="D591" s="15"/>
      <c r="E591" s="15"/>
      <c r="F591" s="15"/>
      <c r="G591" s="15"/>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15"/>
      <c r="C592" s="21"/>
      <c r="D592" s="15"/>
      <c r="E592" s="15"/>
      <c r="F592" s="15"/>
      <c r="G592" s="15"/>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15"/>
      <c r="C593" s="21"/>
      <c r="D593" s="15"/>
      <c r="E593" s="15"/>
      <c r="F593" s="15"/>
      <c r="G593" s="15"/>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15"/>
      <c r="C594" s="21"/>
      <c r="D594" s="15"/>
      <c r="E594" s="15"/>
      <c r="F594" s="15"/>
      <c r="G594" s="15"/>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15"/>
      <c r="C595" s="21"/>
      <c r="D595" s="15"/>
      <c r="E595" s="15"/>
      <c r="F595" s="15"/>
      <c r="G595" s="15"/>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15"/>
      <c r="C596" s="21"/>
      <c r="D596" s="15"/>
      <c r="E596" s="15"/>
      <c r="F596" s="15"/>
      <c r="G596" s="15"/>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15"/>
      <c r="C597" s="21"/>
      <c r="D597" s="15"/>
      <c r="E597" s="15"/>
      <c r="F597" s="15"/>
      <c r="G597" s="15"/>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15"/>
      <c r="C598" s="21"/>
      <c r="D598" s="15"/>
      <c r="E598" s="15"/>
      <c r="F598" s="15"/>
      <c r="G598" s="15"/>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15"/>
      <c r="C599" s="21"/>
      <c r="D599" s="15"/>
      <c r="E599" s="15"/>
      <c r="F599" s="15"/>
      <c r="G599" s="15"/>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15"/>
      <c r="C600" s="21"/>
      <c r="D600" s="15"/>
      <c r="E600" s="15"/>
      <c r="F600" s="15"/>
      <c r="G600" s="15"/>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15"/>
      <c r="C601" s="21"/>
      <c r="D601" s="15"/>
      <c r="E601" s="15"/>
      <c r="F601" s="15"/>
      <c r="G601" s="15"/>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15"/>
      <c r="C602" s="21"/>
      <c r="D602" s="15"/>
      <c r="E602" s="15"/>
      <c r="F602" s="15"/>
      <c r="G602" s="15"/>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15"/>
      <c r="C603" s="21"/>
      <c r="D603" s="15"/>
      <c r="E603" s="15"/>
      <c r="F603" s="15"/>
      <c r="G603" s="15"/>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15"/>
      <c r="C604" s="21"/>
      <c r="D604" s="15"/>
      <c r="E604" s="15"/>
      <c r="F604" s="15"/>
      <c r="G604" s="15"/>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15"/>
      <c r="C605" s="21"/>
      <c r="D605" s="15"/>
      <c r="E605" s="15"/>
      <c r="F605" s="15"/>
      <c r="G605" s="15"/>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15"/>
      <c r="C606" s="21"/>
      <c r="D606" s="15"/>
      <c r="E606" s="15"/>
      <c r="F606" s="15"/>
      <c r="G606" s="15"/>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15"/>
      <c r="C607" s="21"/>
      <c r="D607" s="15"/>
      <c r="E607" s="15"/>
      <c r="F607" s="15"/>
      <c r="G607" s="15"/>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15"/>
      <c r="C608" s="21"/>
      <c r="D608" s="15"/>
      <c r="E608" s="15"/>
      <c r="F608" s="15"/>
      <c r="G608" s="15"/>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15"/>
      <c r="C609" s="21"/>
      <c r="D609" s="15"/>
      <c r="E609" s="15"/>
      <c r="F609" s="15"/>
      <c r="G609" s="15"/>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15"/>
      <c r="C610" s="21"/>
      <c r="D610" s="15"/>
      <c r="E610" s="15"/>
      <c r="F610" s="15"/>
      <c r="G610" s="15"/>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15"/>
      <c r="C611" s="21"/>
      <c r="D611" s="15"/>
      <c r="E611" s="15"/>
      <c r="F611" s="15"/>
      <c r="G611" s="15"/>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15"/>
      <c r="C612" s="21"/>
      <c r="D612" s="15"/>
      <c r="E612" s="15"/>
      <c r="F612" s="15"/>
      <c r="G612" s="15"/>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15"/>
      <c r="C613" s="21"/>
      <c r="D613" s="15"/>
      <c r="E613" s="15"/>
      <c r="F613" s="15"/>
      <c r="G613" s="15"/>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15"/>
      <c r="C614" s="21"/>
      <c r="D614" s="15"/>
      <c r="E614" s="15"/>
      <c r="F614" s="15"/>
      <c r="G614" s="15"/>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15"/>
      <c r="C615" s="21"/>
      <c r="D615" s="15"/>
      <c r="E615" s="15"/>
      <c r="F615" s="15"/>
      <c r="G615" s="15"/>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15"/>
      <c r="C616" s="21"/>
      <c r="D616" s="15"/>
      <c r="E616" s="15"/>
      <c r="F616" s="15"/>
      <c r="G616" s="15"/>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B617" s="15"/>
      <c r="C617" s="21"/>
      <c r="D617" s="15"/>
      <c r="E617" s="15"/>
      <c r="F617" s="15"/>
      <c r="G617" s="15"/>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15"/>
      <c r="C618" s="21"/>
      <c r="D618" s="15"/>
      <c r="E618" s="15"/>
      <c r="F618" s="15"/>
      <c r="G618" s="15"/>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15"/>
      <c r="C619" s="21"/>
      <c r="D619" s="15"/>
      <c r="E619" s="15"/>
      <c r="F619" s="15"/>
      <c r="G619" s="15"/>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15"/>
      <c r="C620" s="21"/>
      <c r="D620" s="15"/>
      <c r="E620" s="15"/>
      <c r="F620" s="15"/>
      <c r="G620" s="15"/>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15"/>
      <c r="C621" s="21"/>
      <c r="D621" s="15"/>
      <c r="E621" s="15"/>
      <c r="F621" s="15"/>
      <c r="G621" s="15"/>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15"/>
      <c r="C622" s="21"/>
      <c r="D622" s="15"/>
      <c r="E622" s="15"/>
      <c r="F622" s="15"/>
      <c r="G622" s="15"/>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15"/>
      <c r="C623" s="21"/>
      <c r="D623" s="15"/>
      <c r="E623" s="15"/>
      <c r="F623" s="15"/>
      <c r="G623" s="15"/>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15"/>
      <c r="C624" s="21"/>
      <c r="D624" s="15"/>
      <c r="E624" s="15"/>
      <c r="F624" s="15"/>
      <c r="G624" s="15"/>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15"/>
      <c r="C625" s="21"/>
      <c r="D625" s="15"/>
      <c r="E625" s="15"/>
      <c r="F625" s="15"/>
      <c r="G625" s="15"/>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15"/>
      <c r="C626" s="21"/>
      <c r="D626" s="15"/>
      <c r="E626" s="15"/>
      <c r="F626" s="15"/>
      <c r="G626" s="15"/>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15"/>
      <c r="C627" s="21"/>
      <c r="D627" s="15"/>
      <c r="E627" s="15"/>
      <c r="F627" s="15"/>
      <c r="G627" s="15"/>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15"/>
      <c r="C628" s="21"/>
      <c r="D628" s="15"/>
      <c r="E628" s="15"/>
      <c r="F628" s="15"/>
      <c r="G628" s="15"/>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15"/>
      <c r="C629" s="21"/>
      <c r="D629" s="15"/>
      <c r="E629" s="15"/>
      <c r="F629" s="15"/>
      <c r="G629" s="15"/>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15"/>
      <c r="C630" s="21"/>
      <c r="D630" s="15"/>
      <c r="E630" s="15"/>
      <c r="F630" s="15"/>
      <c r="G630" s="15"/>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15"/>
      <c r="C631" s="21"/>
      <c r="D631" s="15"/>
      <c r="E631" s="15"/>
      <c r="F631" s="15"/>
      <c r="G631" s="15"/>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15"/>
      <c r="C632" s="21"/>
      <c r="D632" s="15"/>
      <c r="E632" s="15"/>
      <c r="F632" s="15"/>
      <c r="G632" s="15"/>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15"/>
      <c r="C633" s="21"/>
      <c r="D633" s="15"/>
      <c r="E633" s="15"/>
      <c r="F633" s="15"/>
      <c r="G633" s="15"/>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15"/>
      <c r="C634" s="21"/>
      <c r="D634" s="15"/>
      <c r="E634" s="15"/>
      <c r="F634" s="15"/>
      <c r="G634" s="15"/>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15"/>
      <c r="C635" s="21"/>
      <c r="D635" s="15"/>
      <c r="E635" s="15"/>
      <c r="F635" s="15"/>
      <c r="G635" s="15"/>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15"/>
      <c r="C636" s="21"/>
      <c r="D636" s="15"/>
      <c r="E636" s="15"/>
      <c r="F636" s="15"/>
      <c r="G636" s="15"/>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15"/>
      <c r="C637" s="21"/>
      <c r="D637" s="15"/>
      <c r="E637" s="15"/>
      <c r="F637" s="15"/>
      <c r="G637" s="15"/>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15"/>
      <c r="C638" s="21"/>
      <c r="D638" s="15"/>
      <c r="E638" s="15"/>
      <c r="F638" s="15"/>
      <c r="G638" s="15"/>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15"/>
      <c r="C639" s="21"/>
      <c r="D639" s="15"/>
      <c r="E639" s="15"/>
      <c r="F639" s="15"/>
      <c r="G639" s="15"/>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15"/>
      <c r="C640" s="21"/>
      <c r="D640" s="15"/>
      <c r="E640" s="15"/>
      <c r="F640" s="15"/>
      <c r="G640" s="15"/>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15"/>
      <c r="C641" s="21"/>
      <c r="D641" s="15"/>
      <c r="E641" s="15"/>
      <c r="F641" s="15"/>
      <c r="G641" s="15"/>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15"/>
      <c r="C642" s="21"/>
      <c r="D642" s="15"/>
      <c r="E642" s="15"/>
      <c r="F642" s="15"/>
      <c r="G642" s="15"/>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15"/>
      <c r="C643" s="21"/>
      <c r="D643" s="15"/>
      <c r="E643" s="15"/>
      <c r="F643" s="15"/>
      <c r="G643" s="15"/>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15"/>
      <c r="C644" s="21"/>
      <c r="D644" s="15"/>
      <c r="E644" s="15"/>
      <c r="F644" s="15"/>
      <c r="G644" s="15"/>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15"/>
      <c r="C645" s="21"/>
      <c r="D645" s="15"/>
      <c r="E645" s="15"/>
      <c r="F645" s="15"/>
      <c r="G645" s="15"/>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15"/>
      <c r="C646" s="21"/>
      <c r="D646" s="15"/>
      <c r="E646" s="15"/>
      <c r="F646" s="15"/>
      <c r="G646" s="15"/>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15"/>
      <c r="C647" s="21"/>
      <c r="D647" s="15"/>
      <c r="E647" s="15"/>
      <c r="F647" s="15"/>
      <c r="G647" s="15"/>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15"/>
      <c r="C648" s="21"/>
      <c r="D648" s="15"/>
      <c r="E648" s="15"/>
      <c r="F648" s="15"/>
      <c r="G648" s="15"/>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15"/>
      <c r="C649" s="21"/>
      <c r="D649" s="15"/>
      <c r="E649" s="15"/>
      <c r="F649" s="15"/>
      <c r="G649" s="15"/>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15"/>
      <c r="C650" s="21"/>
      <c r="D650" s="15"/>
      <c r="E650" s="15"/>
      <c r="F650" s="15"/>
      <c r="G650" s="15"/>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15"/>
      <c r="C651" s="21"/>
      <c r="D651" s="15"/>
      <c r="E651" s="15"/>
      <c r="F651" s="15"/>
      <c r="G651" s="15"/>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15"/>
      <c r="C652" s="21"/>
      <c r="D652" s="15"/>
      <c r="E652" s="15"/>
      <c r="F652" s="15"/>
      <c r="G652" s="15"/>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15"/>
      <c r="C653" s="21"/>
      <c r="D653" s="15"/>
      <c r="E653" s="15"/>
      <c r="F653" s="15"/>
      <c r="G653" s="15"/>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15"/>
      <c r="C654" s="21"/>
      <c r="D654" s="15"/>
      <c r="E654" s="15"/>
      <c r="F654" s="15"/>
      <c r="G654" s="15"/>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15"/>
      <c r="C655" s="21"/>
      <c r="D655" s="15"/>
      <c r="E655" s="15"/>
      <c r="F655" s="15"/>
      <c r="G655" s="15"/>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15"/>
      <c r="C656" s="21"/>
      <c r="D656" s="15"/>
      <c r="E656" s="15"/>
      <c r="F656" s="15"/>
      <c r="G656" s="15"/>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15"/>
      <c r="C657" s="21"/>
      <c r="D657" s="15"/>
      <c r="E657" s="15"/>
      <c r="F657" s="15"/>
      <c r="G657" s="15"/>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15"/>
      <c r="C658" s="21"/>
      <c r="D658" s="15"/>
      <c r="E658" s="15"/>
      <c r="F658" s="15"/>
      <c r="G658" s="15"/>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15"/>
      <c r="C659" s="21"/>
      <c r="D659" s="15"/>
      <c r="E659" s="15"/>
      <c r="F659" s="15"/>
      <c r="G659" s="15"/>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15"/>
      <c r="C660" s="21"/>
      <c r="D660" s="15"/>
      <c r="E660" s="15"/>
      <c r="F660" s="15"/>
      <c r="G660" s="15"/>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15"/>
      <c r="C661" s="21"/>
      <c r="D661" s="15"/>
      <c r="E661" s="15"/>
      <c r="F661" s="15"/>
      <c r="G661" s="15"/>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15"/>
      <c r="C662" s="21"/>
      <c r="D662" s="15"/>
      <c r="E662" s="15"/>
      <c r="F662" s="15"/>
      <c r="G662" s="15"/>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15"/>
      <c r="C663" s="21"/>
      <c r="D663" s="15"/>
      <c r="E663" s="15"/>
      <c r="F663" s="15"/>
      <c r="G663" s="15"/>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15"/>
      <c r="C664" s="21"/>
      <c r="D664" s="15"/>
      <c r="E664" s="15"/>
      <c r="F664" s="15"/>
      <c r="G664" s="15"/>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15"/>
      <c r="C665" s="21"/>
      <c r="D665" s="15"/>
      <c r="E665" s="15"/>
      <c r="F665" s="15"/>
      <c r="G665" s="15"/>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15"/>
      <c r="C666" s="21"/>
      <c r="D666" s="15"/>
      <c r="E666" s="15"/>
      <c r="F666" s="15"/>
      <c r="G666" s="15"/>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15"/>
      <c r="C667" s="21"/>
      <c r="D667" s="15"/>
      <c r="E667" s="15"/>
      <c r="F667" s="15"/>
      <c r="G667" s="15"/>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15"/>
      <c r="C668" s="21"/>
      <c r="D668" s="15"/>
      <c r="E668" s="15"/>
      <c r="F668" s="15"/>
      <c r="G668" s="15"/>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15"/>
      <c r="C669" s="21"/>
      <c r="D669" s="15"/>
      <c r="E669" s="15"/>
      <c r="F669" s="15"/>
      <c r="G669" s="15"/>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15"/>
      <c r="C670" s="21"/>
      <c r="D670" s="15"/>
      <c r="E670" s="15"/>
      <c r="F670" s="15"/>
      <c r="G670" s="15"/>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15"/>
      <c r="C671" s="21"/>
      <c r="D671" s="15"/>
      <c r="E671" s="15"/>
      <c r="F671" s="15"/>
      <c r="G671" s="15"/>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15"/>
      <c r="C672" s="21"/>
      <c r="D672" s="15"/>
      <c r="E672" s="15"/>
      <c r="F672" s="15"/>
      <c r="G672" s="15"/>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15"/>
      <c r="C673" s="21"/>
      <c r="D673" s="15"/>
      <c r="E673" s="15"/>
      <c r="F673" s="15"/>
      <c r="G673" s="15"/>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15"/>
      <c r="C674" s="21"/>
      <c r="D674" s="15"/>
      <c r="E674" s="15"/>
      <c r="F674" s="15"/>
      <c r="G674" s="15"/>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15"/>
      <c r="C675" s="21"/>
      <c r="D675" s="15"/>
      <c r="E675" s="15"/>
      <c r="F675" s="15"/>
      <c r="G675" s="15"/>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15"/>
      <c r="C676" s="21"/>
      <c r="D676" s="15"/>
      <c r="E676" s="15"/>
      <c r="F676" s="15"/>
      <c r="G676" s="15"/>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15"/>
      <c r="C677" s="21"/>
      <c r="D677" s="15"/>
      <c r="E677" s="15"/>
      <c r="F677" s="15"/>
      <c r="G677" s="15"/>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15"/>
      <c r="C678" s="21"/>
      <c r="D678" s="15"/>
      <c r="E678" s="15"/>
      <c r="F678" s="15"/>
      <c r="G678" s="15"/>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15"/>
      <c r="C679" s="21"/>
      <c r="D679" s="15"/>
      <c r="E679" s="15"/>
      <c r="F679" s="15"/>
      <c r="G679" s="15"/>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15"/>
      <c r="C680" s="21"/>
      <c r="D680" s="15"/>
      <c r="E680" s="15"/>
      <c r="F680" s="15"/>
      <c r="G680" s="15"/>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15"/>
      <c r="C681" s="21"/>
      <c r="D681" s="15"/>
      <c r="E681" s="15"/>
      <c r="F681" s="15"/>
      <c r="G681" s="15"/>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15"/>
      <c r="C682" s="21"/>
      <c r="D682" s="15"/>
      <c r="E682" s="15"/>
      <c r="F682" s="15"/>
      <c r="G682" s="15"/>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15"/>
      <c r="C683" s="21"/>
      <c r="D683" s="15"/>
      <c r="E683" s="15"/>
      <c r="F683" s="15"/>
      <c r="G683" s="15"/>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15"/>
      <c r="C684" s="21"/>
      <c r="D684" s="15"/>
      <c r="E684" s="15"/>
      <c r="F684" s="15"/>
      <c r="G684" s="15"/>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15"/>
      <c r="C685" s="21"/>
      <c r="D685" s="15"/>
      <c r="E685" s="15"/>
      <c r="F685" s="15"/>
      <c r="G685" s="15"/>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15"/>
      <c r="C686" s="21"/>
      <c r="D686" s="15"/>
      <c r="E686" s="15"/>
      <c r="F686" s="15"/>
      <c r="G686" s="15"/>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15"/>
      <c r="C687" s="21"/>
      <c r="D687" s="15"/>
      <c r="E687" s="15"/>
      <c r="F687" s="15"/>
      <c r="G687" s="15"/>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15"/>
      <c r="C688" s="21"/>
      <c r="D688" s="15"/>
      <c r="E688" s="15"/>
      <c r="F688" s="15"/>
      <c r="G688" s="15"/>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15"/>
      <c r="C689" s="21"/>
      <c r="D689" s="15"/>
      <c r="E689" s="15"/>
      <c r="F689" s="15"/>
      <c r="G689" s="15"/>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15"/>
      <c r="C690" s="21"/>
      <c r="D690" s="15"/>
      <c r="E690" s="15"/>
      <c r="F690" s="15"/>
      <c r="G690" s="15"/>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15"/>
      <c r="C691" s="21"/>
      <c r="D691" s="15"/>
      <c r="E691" s="15"/>
      <c r="F691" s="15"/>
      <c r="G691" s="15"/>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15"/>
      <c r="C692" s="21"/>
      <c r="D692" s="15"/>
      <c r="E692" s="15"/>
      <c r="F692" s="15"/>
      <c r="G692" s="15"/>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15"/>
      <c r="C693" s="21"/>
      <c r="D693" s="15"/>
      <c r="E693" s="15"/>
      <c r="F693" s="15"/>
      <c r="G693" s="15"/>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15"/>
      <c r="C694" s="21"/>
      <c r="D694" s="15"/>
      <c r="E694" s="15"/>
      <c r="F694" s="15"/>
      <c r="G694" s="15"/>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15"/>
      <c r="C695" s="21"/>
      <c r="D695" s="15"/>
      <c r="E695" s="15"/>
      <c r="F695" s="15"/>
      <c r="G695" s="15"/>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15"/>
      <c r="C696" s="21"/>
      <c r="D696" s="15"/>
      <c r="E696" s="15"/>
      <c r="F696" s="15"/>
      <c r="G696" s="15"/>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15"/>
      <c r="C697" s="21"/>
      <c r="D697" s="15"/>
      <c r="E697" s="15"/>
      <c r="F697" s="15"/>
      <c r="G697" s="15"/>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15"/>
      <c r="C698" s="21"/>
      <c r="D698" s="15"/>
      <c r="E698" s="15"/>
      <c r="F698" s="15"/>
      <c r="G698" s="15"/>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15"/>
      <c r="C699" s="21"/>
      <c r="D699" s="15"/>
      <c r="E699" s="15"/>
      <c r="F699" s="15"/>
      <c r="G699" s="15"/>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15"/>
      <c r="C700" s="21"/>
      <c r="D700" s="15"/>
      <c r="E700" s="15"/>
      <c r="F700" s="15"/>
      <c r="G700" s="15"/>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15"/>
      <c r="C701" s="21"/>
      <c r="D701" s="15"/>
      <c r="E701" s="15"/>
      <c r="F701" s="15"/>
      <c r="G701" s="15"/>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15"/>
      <c r="C702" s="21"/>
      <c r="D702" s="15"/>
      <c r="E702" s="15"/>
      <c r="F702" s="15"/>
      <c r="G702" s="15"/>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15"/>
      <c r="C703" s="21"/>
      <c r="D703" s="15"/>
      <c r="E703" s="15"/>
      <c r="F703" s="15"/>
      <c r="G703" s="15"/>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15"/>
      <c r="C704" s="21"/>
      <c r="D704" s="15"/>
      <c r="E704" s="15"/>
      <c r="F704" s="15"/>
      <c r="G704" s="15"/>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15"/>
      <c r="C705" s="21"/>
      <c r="D705" s="15"/>
      <c r="E705" s="15"/>
      <c r="F705" s="15"/>
      <c r="G705" s="15"/>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15"/>
      <c r="C706" s="21"/>
      <c r="D706" s="15"/>
      <c r="E706" s="15"/>
      <c r="F706" s="15"/>
      <c r="G706" s="15"/>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15"/>
      <c r="C707" s="21"/>
      <c r="D707" s="15"/>
      <c r="E707" s="15"/>
      <c r="F707" s="15"/>
      <c r="G707" s="15"/>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15"/>
      <c r="C708" s="21"/>
      <c r="D708" s="15"/>
      <c r="E708" s="15"/>
      <c r="F708" s="15"/>
      <c r="G708" s="15"/>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15"/>
      <c r="C709" s="21"/>
      <c r="D709" s="15"/>
      <c r="E709" s="15"/>
      <c r="F709" s="15"/>
      <c r="G709" s="15"/>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15"/>
      <c r="C710" s="21"/>
      <c r="D710" s="15"/>
      <c r="E710" s="15"/>
      <c r="F710" s="15"/>
      <c r="G710" s="15"/>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15"/>
      <c r="C711" s="21"/>
      <c r="D711" s="15"/>
      <c r="E711" s="15"/>
      <c r="F711" s="15"/>
      <c r="G711" s="15"/>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15"/>
      <c r="C712" s="21"/>
      <c r="D712" s="15"/>
      <c r="E712" s="15"/>
      <c r="F712" s="15"/>
      <c r="G712" s="15"/>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15"/>
      <c r="C713" s="21"/>
      <c r="D713" s="15"/>
      <c r="E713" s="15"/>
      <c r="F713" s="15"/>
      <c r="G713" s="15"/>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15"/>
      <c r="C714" s="21"/>
      <c r="D714" s="15"/>
      <c r="E714" s="15"/>
      <c r="F714" s="15"/>
      <c r="G714" s="15"/>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15"/>
      <c r="C715" s="21"/>
      <c r="D715" s="15"/>
      <c r="E715" s="15"/>
      <c r="F715" s="15"/>
      <c r="G715" s="15"/>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15"/>
      <c r="C716" s="21"/>
      <c r="D716" s="15"/>
      <c r="E716" s="15"/>
      <c r="F716" s="15"/>
      <c r="G716" s="15"/>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15"/>
      <c r="C717" s="21"/>
      <c r="D717" s="15"/>
      <c r="E717" s="15"/>
      <c r="F717" s="15"/>
      <c r="G717" s="15"/>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15"/>
      <c r="C718" s="21"/>
      <c r="D718" s="15"/>
      <c r="E718" s="15"/>
      <c r="F718" s="15"/>
      <c r="G718" s="15"/>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15"/>
      <c r="C719" s="21"/>
      <c r="D719" s="15"/>
      <c r="E719" s="15"/>
      <c r="F719" s="15"/>
      <c r="G719" s="15"/>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15"/>
      <c r="C720" s="21"/>
      <c r="D720" s="15"/>
      <c r="E720" s="15"/>
      <c r="F720" s="15"/>
      <c r="G720" s="15"/>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15"/>
      <c r="C721" s="21"/>
      <c r="D721" s="15"/>
      <c r="E721" s="15"/>
      <c r="F721" s="15"/>
      <c r="G721" s="15"/>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15"/>
      <c r="C722" s="21"/>
      <c r="D722" s="15"/>
      <c r="E722" s="15"/>
      <c r="F722" s="15"/>
      <c r="G722" s="15"/>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15"/>
      <c r="C723" s="21"/>
      <c r="D723" s="15"/>
      <c r="E723" s="15"/>
      <c r="F723" s="15"/>
      <c r="G723" s="15"/>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15"/>
      <c r="C724" s="21"/>
      <c r="D724" s="15"/>
      <c r="E724" s="15"/>
      <c r="F724" s="15"/>
      <c r="G724" s="15"/>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15"/>
      <c r="C725" s="21"/>
      <c r="D725" s="15"/>
      <c r="E725" s="15"/>
      <c r="F725" s="15"/>
      <c r="G725" s="15"/>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15"/>
      <c r="C726" s="21"/>
      <c r="D726" s="15"/>
      <c r="E726" s="15"/>
      <c r="F726" s="15"/>
      <c r="G726" s="15"/>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15"/>
      <c r="C727" s="21"/>
      <c r="D727" s="15"/>
      <c r="E727" s="15"/>
      <c r="F727" s="15"/>
      <c r="G727" s="15"/>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15"/>
      <c r="C728" s="21"/>
      <c r="D728" s="15"/>
      <c r="E728" s="15"/>
      <c r="F728" s="15"/>
      <c r="G728" s="15"/>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15"/>
      <c r="C729" s="21"/>
      <c r="D729" s="15"/>
      <c r="E729" s="15"/>
      <c r="F729" s="15"/>
      <c r="G729" s="15"/>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15"/>
      <c r="C730" s="21"/>
      <c r="D730" s="15"/>
      <c r="E730" s="15"/>
      <c r="F730" s="15"/>
      <c r="G730" s="15"/>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15"/>
      <c r="C731" s="21"/>
      <c r="D731" s="15"/>
      <c r="E731" s="15"/>
      <c r="F731" s="15"/>
      <c r="G731" s="15"/>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15"/>
      <c r="C732" s="21"/>
      <c r="D732" s="15"/>
      <c r="E732" s="15"/>
      <c r="F732" s="15"/>
      <c r="G732" s="15"/>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15"/>
      <c r="C733" s="21"/>
      <c r="D733" s="15"/>
      <c r="E733" s="15"/>
      <c r="F733" s="15"/>
      <c r="G733" s="15"/>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15"/>
      <c r="C734" s="21"/>
      <c r="D734" s="15"/>
      <c r="E734" s="15"/>
      <c r="F734" s="15"/>
      <c r="G734" s="15"/>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15"/>
      <c r="C735" s="21"/>
      <c r="D735" s="15"/>
      <c r="E735" s="15"/>
      <c r="F735" s="15"/>
      <c r="G735" s="15"/>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15"/>
      <c r="C736" s="21"/>
      <c r="D736" s="15"/>
      <c r="E736" s="15"/>
      <c r="F736" s="15"/>
      <c r="G736" s="15"/>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15"/>
      <c r="C737" s="21"/>
      <c r="D737" s="15"/>
      <c r="E737" s="15"/>
      <c r="F737" s="15"/>
      <c r="G737" s="15"/>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15"/>
      <c r="C738" s="21"/>
      <c r="D738" s="15"/>
      <c r="E738" s="15"/>
      <c r="F738" s="15"/>
      <c r="G738" s="15"/>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15"/>
      <c r="C739" s="21"/>
      <c r="D739" s="15"/>
      <c r="E739" s="15"/>
      <c r="F739" s="15"/>
      <c r="G739" s="15"/>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15"/>
      <c r="C740" s="21"/>
      <c r="D740" s="15"/>
      <c r="E740" s="15"/>
      <c r="F740" s="15"/>
      <c r="G740" s="15"/>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15"/>
      <c r="C741" s="21"/>
      <c r="D741" s="15"/>
      <c r="E741" s="15"/>
      <c r="F741" s="15"/>
      <c r="G741" s="15"/>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15"/>
      <c r="C742" s="21"/>
      <c r="D742" s="15"/>
      <c r="E742" s="15"/>
      <c r="F742" s="15"/>
      <c r="G742" s="15"/>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15"/>
      <c r="C743" s="21"/>
      <c r="D743" s="15"/>
      <c r="E743" s="15"/>
      <c r="F743" s="15"/>
      <c r="G743" s="15"/>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15"/>
      <c r="C744" s="21"/>
      <c r="D744" s="15"/>
      <c r="E744" s="15"/>
      <c r="F744" s="15"/>
      <c r="G744" s="15"/>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15"/>
      <c r="C745" s="21"/>
      <c r="D745" s="15"/>
      <c r="E745" s="15"/>
      <c r="F745" s="15"/>
      <c r="G745" s="15"/>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15"/>
      <c r="C746" s="21"/>
      <c r="D746" s="15"/>
      <c r="E746" s="15"/>
      <c r="F746" s="15"/>
      <c r="G746" s="15"/>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15"/>
      <c r="C747" s="21"/>
      <c r="D747" s="15"/>
      <c r="E747" s="15"/>
      <c r="F747" s="15"/>
      <c r="G747" s="15"/>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15"/>
      <c r="C748" s="21"/>
      <c r="D748" s="15"/>
      <c r="E748" s="15"/>
      <c r="F748" s="15"/>
      <c r="G748" s="15"/>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15"/>
      <c r="C749" s="21"/>
      <c r="D749" s="15"/>
      <c r="E749" s="15"/>
      <c r="F749" s="15"/>
      <c r="G749" s="15"/>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15"/>
      <c r="C750" s="21"/>
      <c r="D750" s="15"/>
      <c r="E750" s="15"/>
      <c r="F750" s="15"/>
      <c r="G750" s="15"/>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15"/>
      <c r="C751" s="21"/>
      <c r="D751" s="15"/>
      <c r="E751" s="15"/>
      <c r="F751" s="15"/>
      <c r="G751" s="15"/>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15"/>
      <c r="C752" s="21"/>
      <c r="D752" s="15"/>
      <c r="E752" s="15"/>
      <c r="F752" s="15"/>
      <c r="G752" s="15"/>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15"/>
      <c r="C753" s="21"/>
      <c r="D753" s="15"/>
      <c r="E753" s="15"/>
      <c r="F753" s="15"/>
      <c r="G753" s="15"/>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15"/>
      <c r="C754" s="21"/>
      <c r="D754" s="15"/>
      <c r="E754" s="15"/>
      <c r="F754" s="15"/>
      <c r="G754" s="15"/>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15"/>
      <c r="C755" s="21"/>
      <c r="D755" s="15"/>
      <c r="E755" s="15"/>
      <c r="F755" s="15"/>
      <c r="G755" s="15"/>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15"/>
      <c r="C756" s="21"/>
      <c r="D756" s="15"/>
      <c r="E756" s="15"/>
      <c r="F756" s="15"/>
      <c r="G756" s="15"/>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15"/>
      <c r="C757" s="21"/>
      <c r="D757" s="15"/>
      <c r="E757" s="15"/>
      <c r="F757" s="15"/>
      <c r="G757" s="15"/>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15"/>
      <c r="C758" s="21"/>
      <c r="D758" s="15"/>
      <c r="E758" s="15"/>
      <c r="F758" s="15"/>
      <c r="G758" s="15"/>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15"/>
      <c r="C759" s="21"/>
      <c r="D759" s="15"/>
      <c r="E759" s="15"/>
      <c r="F759" s="15"/>
      <c r="G759" s="15"/>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15"/>
      <c r="C760" s="21"/>
      <c r="D760" s="15"/>
      <c r="E760" s="15"/>
      <c r="F760" s="15"/>
      <c r="G760" s="15"/>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15"/>
      <c r="C761" s="21"/>
      <c r="D761" s="15"/>
      <c r="E761" s="15"/>
      <c r="F761" s="15"/>
      <c r="G761" s="15"/>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15"/>
      <c r="C762" s="21"/>
      <c r="D762" s="15"/>
      <c r="E762" s="15"/>
      <c r="F762" s="15"/>
      <c r="G762" s="15"/>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15"/>
      <c r="C763" s="21"/>
      <c r="D763" s="15"/>
      <c r="E763" s="15"/>
      <c r="F763" s="15"/>
      <c r="G763" s="15"/>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15"/>
      <c r="C764" s="21"/>
      <c r="D764" s="15"/>
      <c r="E764" s="15"/>
      <c r="F764" s="15"/>
      <c r="G764" s="15"/>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15"/>
      <c r="C765" s="21"/>
      <c r="D765" s="15"/>
      <c r="E765" s="15"/>
      <c r="F765" s="15"/>
      <c r="G765" s="15"/>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15"/>
      <c r="C766" s="21"/>
      <c r="D766" s="15"/>
      <c r="E766" s="15"/>
      <c r="F766" s="15"/>
      <c r="G766" s="15"/>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15"/>
      <c r="C767" s="21"/>
      <c r="D767" s="15"/>
      <c r="E767" s="15"/>
      <c r="F767" s="15"/>
      <c r="G767" s="15"/>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15"/>
      <c r="C768" s="21"/>
      <c r="D768" s="15"/>
      <c r="E768" s="15"/>
      <c r="F768" s="15"/>
      <c r="G768" s="15"/>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15"/>
      <c r="C769" s="21"/>
      <c r="D769" s="15"/>
      <c r="E769" s="15"/>
      <c r="F769" s="15"/>
      <c r="G769" s="15"/>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15"/>
      <c r="C770" s="21"/>
      <c r="D770" s="15"/>
      <c r="E770" s="15"/>
      <c r="F770" s="15"/>
      <c r="G770" s="15"/>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15"/>
      <c r="C771" s="21"/>
      <c r="D771" s="15"/>
      <c r="E771" s="15"/>
      <c r="F771" s="15"/>
      <c r="G771" s="15"/>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15"/>
      <c r="C772" s="21"/>
      <c r="D772" s="15"/>
      <c r="E772" s="15"/>
      <c r="F772" s="15"/>
      <c r="G772" s="15"/>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15"/>
      <c r="C773" s="21"/>
      <c r="D773" s="15"/>
      <c r="E773" s="15"/>
      <c r="F773" s="15"/>
      <c r="G773" s="15"/>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15"/>
      <c r="C774" s="21"/>
      <c r="D774" s="15"/>
      <c r="E774" s="15"/>
      <c r="F774" s="15"/>
      <c r="G774" s="15"/>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15"/>
      <c r="C775" s="21"/>
      <c r="D775" s="15"/>
      <c r="E775" s="15"/>
      <c r="F775" s="15"/>
      <c r="G775" s="15"/>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15"/>
      <c r="C776" s="21"/>
      <c r="D776" s="15"/>
      <c r="E776" s="15"/>
      <c r="F776" s="15"/>
      <c r="G776" s="15"/>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15"/>
      <c r="C777" s="21"/>
      <c r="D777" s="15"/>
      <c r="E777" s="15"/>
      <c r="F777" s="15"/>
      <c r="G777" s="15"/>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15"/>
      <c r="C778" s="21"/>
      <c r="D778" s="15"/>
      <c r="E778" s="15"/>
      <c r="F778" s="15"/>
      <c r="G778" s="15"/>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15"/>
      <c r="C779" s="21"/>
      <c r="D779" s="15"/>
      <c r="E779" s="15"/>
      <c r="F779" s="15"/>
      <c r="G779" s="15"/>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15"/>
      <c r="C780" s="21"/>
      <c r="D780" s="15"/>
      <c r="E780" s="15"/>
      <c r="F780" s="15"/>
      <c r="G780" s="15"/>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15"/>
      <c r="C781" s="21"/>
      <c r="D781" s="15"/>
      <c r="E781" s="15"/>
      <c r="F781" s="15"/>
      <c r="G781" s="15"/>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15"/>
      <c r="C782" s="21"/>
      <c r="D782" s="15"/>
      <c r="E782" s="15"/>
      <c r="F782" s="15"/>
      <c r="G782" s="15"/>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15"/>
      <c r="C783" s="21"/>
      <c r="D783" s="15"/>
      <c r="E783" s="15"/>
      <c r="F783" s="15"/>
      <c r="G783" s="15"/>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15"/>
      <c r="C784" s="21"/>
      <c r="D784" s="15"/>
      <c r="E784" s="15"/>
      <c r="F784" s="15"/>
      <c r="G784" s="15"/>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15"/>
      <c r="C785" s="21"/>
      <c r="D785" s="15"/>
      <c r="E785" s="15"/>
      <c r="F785" s="15"/>
      <c r="G785" s="15"/>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15"/>
      <c r="C786" s="21"/>
      <c r="D786" s="15"/>
      <c r="E786" s="15"/>
      <c r="F786" s="15"/>
      <c r="G786" s="15"/>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15"/>
      <c r="C787" s="21"/>
      <c r="D787" s="15"/>
      <c r="E787" s="15"/>
      <c r="F787" s="15"/>
      <c r="G787" s="15"/>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15"/>
      <c r="C788" s="21"/>
      <c r="D788" s="15"/>
      <c r="E788" s="15"/>
      <c r="F788" s="15"/>
      <c r="G788" s="15"/>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15"/>
      <c r="C789" s="21"/>
      <c r="D789" s="15"/>
      <c r="E789" s="15"/>
      <c r="F789" s="15"/>
      <c r="G789" s="15"/>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15"/>
      <c r="C790" s="21"/>
      <c r="D790" s="15"/>
      <c r="E790" s="15"/>
      <c r="F790" s="15"/>
      <c r="G790" s="15"/>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15"/>
      <c r="C791" s="21"/>
      <c r="D791" s="15"/>
      <c r="E791" s="15"/>
      <c r="F791" s="15"/>
      <c r="G791" s="15"/>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15"/>
      <c r="C792" s="21"/>
      <c r="D792" s="15"/>
      <c r="E792" s="15"/>
      <c r="F792" s="15"/>
      <c r="G792" s="15"/>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15"/>
      <c r="C793" s="21"/>
      <c r="D793" s="15"/>
      <c r="E793" s="15"/>
      <c r="F793" s="15"/>
      <c r="G793" s="15"/>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15"/>
      <c r="C794" s="21"/>
      <c r="D794" s="15"/>
      <c r="E794" s="15"/>
      <c r="F794" s="15"/>
      <c r="G794" s="15"/>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15"/>
      <c r="C795" s="21"/>
      <c r="D795" s="15"/>
      <c r="E795" s="15"/>
      <c r="F795" s="15"/>
      <c r="G795" s="15"/>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15"/>
      <c r="C796" s="21"/>
      <c r="D796" s="15"/>
      <c r="E796" s="15"/>
      <c r="F796" s="15"/>
      <c r="G796" s="15"/>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15"/>
      <c r="C797" s="21"/>
      <c r="D797" s="15"/>
      <c r="E797" s="15"/>
      <c r="F797" s="15"/>
      <c r="G797" s="15"/>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15"/>
      <c r="C798" s="21"/>
      <c r="D798" s="15"/>
      <c r="E798" s="15"/>
      <c r="F798" s="15"/>
      <c r="G798" s="15"/>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15"/>
      <c r="C799" s="21"/>
      <c r="D799" s="15"/>
      <c r="E799" s="15"/>
      <c r="F799" s="15"/>
      <c r="G799" s="15"/>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15"/>
      <c r="C800" s="21"/>
      <c r="D800" s="15"/>
      <c r="E800" s="15"/>
      <c r="F800" s="15"/>
      <c r="G800" s="15"/>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15"/>
      <c r="C801" s="21"/>
      <c r="D801" s="15"/>
      <c r="E801" s="15"/>
      <c r="F801" s="15"/>
      <c r="G801" s="15"/>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15"/>
      <c r="C802" s="21"/>
      <c r="D802" s="15"/>
      <c r="E802" s="15"/>
      <c r="F802" s="15"/>
      <c r="G802" s="15"/>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15"/>
      <c r="C803" s="21"/>
      <c r="D803" s="15"/>
      <c r="E803" s="15"/>
      <c r="F803" s="15"/>
      <c r="G803" s="15"/>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15"/>
      <c r="C804" s="21"/>
      <c r="D804" s="15"/>
      <c r="E804" s="15"/>
      <c r="F804" s="15"/>
      <c r="G804" s="15"/>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15"/>
      <c r="C805" s="21"/>
      <c r="D805" s="15"/>
      <c r="E805" s="15"/>
      <c r="F805" s="15"/>
      <c r="G805" s="15"/>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15"/>
      <c r="C806" s="21"/>
      <c r="D806" s="15"/>
      <c r="E806" s="15"/>
      <c r="F806" s="15"/>
      <c r="G806" s="15"/>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15"/>
      <c r="C807" s="21"/>
      <c r="D807" s="15"/>
      <c r="E807" s="15"/>
      <c r="F807" s="15"/>
      <c r="G807" s="15"/>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15"/>
      <c r="C808" s="21"/>
      <c r="D808" s="15"/>
      <c r="E808" s="15"/>
      <c r="F808" s="15"/>
      <c r="G808" s="15"/>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15"/>
      <c r="C809" s="21"/>
      <c r="D809" s="15"/>
      <c r="E809" s="15"/>
      <c r="F809" s="15"/>
      <c r="G809" s="15"/>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15"/>
      <c r="C810" s="21"/>
      <c r="D810" s="15"/>
      <c r="E810" s="15"/>
      <c r="F810" s="15"/>
      <c r="G810" s="15"/>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15"/>
      <c r="C811" s="21"/>
      <c r="D811" s="15"/>
      <c r="E811" s="15"/>
      <c r="F811" s="15"/>
      <c r="G811" s="15"/>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15"/>
      <c r="C812" s="21"/>
      <c r="D812" s="15"/>
      <c r="E812" s="15"/>
      <c r="F812" s="15"/>
      <c r="G812" s="15"/>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15"/>
      <c r="C813" s="21"/>
      <c r="D813" s="15"/>
      <c r="E813" s="15"/>
      <c r="F813" s="15"/>
      <c r="G813" s="15"/>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15"/>
      <c r="C814" s="21"/>
      <c r="D814" s="15"/>
      <c r="E814" s="15"/>
      <c r="F814" s="15"/>
      <c r="G814" s="15"/>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15"/>
      <c r="C815" s="21"/>
      <c r="D815" s="15"/>
      <c r="E815" s="15"/>
      <c r="F815" s="15"/>
      <c r="G815" s="15"/>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15"/>
      <c r="C816" s="21"/>
      <c r="D816" s="15"/>
      <c r="E816" s="15"/>
      <c r="F816" s="15"/>
      <c r="G816" s="15"/>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15"/>
      <c r="C817" s="21"/>
      <c r="D817" s="15"/>
      <c r="E817" s="15"/>
      <c r="F817" s="15"/>
      <c r="G817" s="15"/>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15"/>
      <c r="C818" s="21"/>
      <c r="D818" s="15"/>
      <c r="E818" s="15"/>
      <c r="F818" s="15"/>
      <c r="G818" s="15"/>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15"/>
      <c r="C819" s="21"/>
      <c r="D819" s="15"/>
      <c r="E819" s="15"/>
      <c r="F819" s="15"/>
      <c r="G819" s="15"/>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15"/>
      <c r="C820" s="21"/>
      <c r="D820" s="15"/>
      <c r="E820" s="15"/>
      <c r="F820" s="15"/>
      <c r="G820" s="15"/>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15"/>
      <c r="C821" s="21"/>
      <c r="D821" s="15"/>
      <c r="E821" s="15"/>
      <c r="F821" s="15"/>
      <c r="G821" s="15"/>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15"/>
      <c r="C822" s="21"/>
      <c r="D822" s="15"/>
      <c r="E822" s="15"/>
      <c r="F822" s="15"/>
      <c r="G822" s="15"/>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15"/>
      <c r="C823" s="21"/>
      <c r="D823" s="15"/>
      <c r="E823" s="15"/>
      <c r="F823" s="15"/>
      <c r="G823" s="15"/>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15"/>
      <c r="C824" s="21"/>
      <c r="D824" s="15"/>
      <c r="E824" s="15"/>
      <c r="F824" s="15"/>
      <c r="G824" s="15"/>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15"/>
      <c r="C825" s="21"/>
      <c r="D825" s="15"/>
      <c r="E825" s="15"/>
      <c r="F825" s="15"/>
      <c r="G825" s="15"/>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15"/>
      <c r="C826" s="21"/>
      <c r="D826" s="15"/>
      <c r="E826" s="15"/>
      <c r="F826" s="15"/>
      <c r="G826" s="15"/>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15"/>
      <c r="C827" s="21"/>
      <c r="D827" s="15"/>
      <c r="E827" s="15"/>
      <c r="F827" s="15"/>
      <c r="G827" s="15"/>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15"/>
      <c r="C828" s="21"/>
      <c r="D828" s="15"/>
      <c r="E828" s="15"/>
      <c r="F828" s="15"/>
      <c r="G828" s="15"/>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15"/>
      <c r="C829" s="21"/>
      <c r="D829" s="15"/>
      <c r="E829" s="15"/>
      <c r="F829" s="15"/>
      <c r="G829" s="15"/>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15"/>
      <c r="C830" s="21"/>
      <c r="D830" s="15"/>
      <c r="E830" s="15"/>
      <c r="F830" s="15"/>
      <c r="G830" s="15"/>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15"/>
      <c r="C831" s="21"/>
      <c r="D831" s="15"/>
      <c r="E831" s="15"/>
      <c r="F831" s="15"/>
      <c r="G831" s="15"/>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15"/>
      <c r="C832" s="21"/>
      <c r="D832" s="15"/>
      <c r="E832" s="15"/>
      <c r="F832" s="15"/>
      <c r="G832" s="15"/>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15"/>
      <c r="C833" s="21"/>
      <c r="D833" s="15"/>
      <c r="E833" s="15"/>
      <c r="F833" s="15"/>
      <c r="G833" s="15"/>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15"/>
      <c r="C834" s="21"/>
      <c r="D834" s="15"/>
      <c r="E834" s="15"/>
      <c r="F834" s="15"/>
      <c r="G834" s="15"/>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15"/>
      <c r="C835" s="21"/>
      <c r="D835" s="15"/>
      <c r="E835" s="15"/>
      <c r="F835" s="15"/>
      <c r="G835" s="15"/>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15"/>
      <c r="C836" s="21"/>
      <c r="D836" s="15"/>
      <c r="E836" s="15"/>
      <c r="F836" s="15"/>
      <c r="G836" s="15"/>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15"/>
      <c r="C837" s="21"/>
      <c r="D837" s="15"/>
      <c r="E837" s="15"/>
      <c r="F837" s="15"/>
      <c r="G837" s="15"/>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15"/>
      <c r="C838" s="21"/>
      <c r="D838" s="15"/>
      <c r="E838" s="15"/>
      <c r="F838" s="15"/>
      <c r="G838" s="15"/>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15"/>
      <c r="C839" s="21"/>
      <c r="D839" s="15"/>
      <c r="E839" s="15"/>
      <c r="F839" s="15"/>
      <c r="G839" s="15"/>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15"/>
      <c r="C840" s="21"/>
      <c r="D840" s="15"/>
      <c r="E840" s="15"/>
      <c r="F840" s="15"/>
      <c r="G840" s="15"/>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15"/>
      <c r="C841" s="21"/>
      <c r="D841" s="15"/>
      <c r="E841" s="15"/>
      <c r="F841" s="15"/>
      <c r="G841" s="15"/>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15"/>
      <c r="C842" s="21"/>
      <c r="D842" s="15"/>
      <c r="E842" s="15"/>
      <c r="F842" s="15"/>
      <c r="G842" s="15"/>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15"/>
      <c r="C843" s="21"/>
      <c r="D843" s="15"/>
      <c r="E843" s="15"/>
      <c r="F843" s="15"/>
      <c r="G843" s="15"/>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15"/>
      <c r="C844" s="21"/>
      <c r="D844" s="15"/>
      <c r="E844" s="15"/>
      <c r="F844" s="15"/>
      <c r="G844" s="15"/>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15"/>
      <c r="C845" s="21"/>
      <c r="D845" s="15"/>
      <c r="E845" s="15"/>
      <c r="F845" s="15"/>
      <c r="G845" s="15"/>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15"/>
      <c r="C846" s="21"/>
      <c r="D846" s="15"/>
      <c r="E846" s="15"/>
      <c r="F846" s="15"/>
      <c r="G846" s="15"/>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15"/>
      <c r="C847" s="21"/>
      <c r="D847" s="15"/>
      <c r="E847" s="15"/>
      <c r="F847" s="15"/>
      <c r="G847" s="15"/>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15"/>
      <c r="C848" s="21"/>
      <c r="D848" s="15"/>
      <c r="E848" s="15"/>
      <c r="F848" s="15"/>
      <c r="G848" s="15"/>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15"/>
      <c r="C849" s="21"/>
      <c r="D849" s="15"/>
      <c r="E849" s="15"/>
      <c r="F849" s="15"/>
      <c r="G849" s="15"/>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15"/>
      <c r="C850" s="21"/>
      <c r="D850" s="15"/>
      <c r="E850" s="15"/>
      <c r="F850" s="15"/>
      <c r="G850" s="15"/>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15"/>
      <c r="C851" s="21"/>
      <c r="D851" s="15"/>
      <c r="E851" s="15"/>
      <c r="F851" s="15"/>
      <c r="G851" s="15"/>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15"/>
      <c r="C852" s="21"/>
      <c r="D852" s="15"/>
      <c r="E852" s="15"/>
      <c r="F852" s="15"/>
      <c r="G852" s="15"/>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15"/>
      <c r="C853" s="21"/>
      <c r="D853" s="15"/>
      <c r="E853" s="15"/>
      <c r="F853" s="15"/>
      <c r="G853" s="15"/>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15"/>
      <c r="C854" s="21"/>
      <c r="D854" s="15"/>
      <c r="E854" s="15"/>
      <c r="F854" s="15"/>
      <c r="G854" s="15"/>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15"/>
      <c r="C855" s="21"/>
      <c r="D855" s="15"/>
      <c r="E855" s="15"/>
      <c r="F855" s="15"/>
      <c r="G855" s="15"/>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15"/>
      <c r="C856" s="21"/>
      <c r="D856" s="15"/>
      <c r="E856" s="15"/>
      <c r="F856" s="15"/>
      <c r="G856" s="15"/>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15"/>
      <c r="C857" s="21"/>
      <c r="D857" s="15"/>
      <c r="E857" s="15"/>
      <c r="F857" s="15"/>
      <c r="G857" s="15"/>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15"/>
      <c r="C858" s="21"/>
      <c r="D858" s="15"/>
      <c r="E858" s="15"/>
      <c r="F858" s="15"/>
      <c r="G858" s="15"/>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15"/>
      <c r="C859" s="21"/>
      <c r="D859" s="15"/>
      <c r="E859" s="15"/>
      <c r="F859" s="15"/>
      <c r="G859" s="15"/>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15"/>
      <c r="C860" s="21"/>
      <c r="D860" s="15"/>
      <c r="E860" s="15"/>
      <c r="F860" s="15"/>
      <c r="G860" s="15"/>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15"/>
      <c r="C861" s="21"/>
      <c r="D861" s="15"/>
      <c r="E861" s="15"/>
      <c r="F861" s="15"/>
      <c r="G861" s="15"/>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5.75" customHeight="1">
      <c r="A862" s="15"/>
      <c r="B862" s="15"/>
      <c r="C862" s="21"/>
      <c r="D862" s="15"/>
      <c r="E862" s="15"/>
      <c r="F862" s="15"/>
      <c r="G862" s="15"/>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5.75" customHeight="1">
      <c r="A863" s="15"/>
      <c r="B863" s="15"/>
      <c r="C863" s="21"/>
      <c r="D863" s="15"/>
      <c r="E863" s="15"/>
      <c r="F863" s="15"/>
      <c r="G863" s="15"/>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5.75" customHeight="1">
      <c r="A864" s="15"/>
      <c r="B864" s="15"/>
      <c r="C864" s="21"/>
      <c r="D864" s="15"/>
      <c r="E864" s="15"/>
      <c r="F864" s="15"/>
      <c r="G864" s="15"/>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5.75" customHeight="1">
      <c r="A865" s="15"/>
      <c r="B865" s="15"/>
      <c r="C865" s="21"/>
      <c r="D865" s="15"/>
      <c r="E865" s="15"/>
      <c r="F865" s="15"/>
      <c r="G865" s="15"/>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row r="866" ht="15.75" customHeight="1">
      <c r="A866" s="15"/>
      <c r="B866" s="15"/>
      <c r="C866" s="21"/>
      <c r="D866" s="15"/>
      <c r="E866" s="15"/>
      <c r="F866" s="15"/>
      <c r="G866" s="15"/>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row>
    <row r="867" ht="15.75" customHeight="1">
      <c r="A867" s="15"/>
      <c r="B867" s="15"/>
      <c r="C867" s="21"/>
      <c r="D867" s="15"/>
      <c r="E867" s="15"/>
      <c r="F867" s="15"/>
      <c r="G867" s="15"/>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row>
    <row r="868" ht="15.75" customHeight="1">
      <c r="A868" s="15"/>
      <c r="B868" s="15"/>
      <c r="C868" s="21"/>
      <c r="D868" s="15"/>
      <c r="E868" s="15"/>
      <c r="F868" s="15"/>
      <c r="G868" s="15"/>
      <c r="H868" s="15"/>
      <c r="I868" s="11"/>
      <c r="J868" s="11"/>
      <c r="K868" s="11"/>
      <c r="L868" s="11"/>
      <c r="M868" s="15"/>
      <c r="N868" s="15"/>
      <c r="O868" s="15"/>
      <c r="P868" s="15"/>
      <c r="Q868" s="15"/>
      <c r="R868" s="15"/>
      <c r="S868" s="15"/>
      <c r="T868" s="15"/>
      <c r="U868" s="15"/>
      <c r="V868" s="15"/>
      <c r="W868" s="15"/>
      <c r="X868" s="15"/>
      <c r="Y868" s="15"/>
      <c r="Z868" s="15"/>
      <c r="AA868" s="15"/>
      <c r="AB868" s="15"/>
      <c r="AC868" s="15"/>
      <c r="AD868" s="15"/>
      <c r="AE868" s="15"/>
      <c r="AF868" s="15"/>
    </row>
    <row r="869" ht="15.75" customHeight="1">
      <c r="A869" s="15"/>
      <c r="B869" s="15"/>
      <c r="C869" s="21"/>
      <c r="D869" s="15"/>
      <c r="E869" s="15"/>
      <c r="F869" s="15"/>
      <c r="G869" s="15"/>
      <c r="H869" s="15"/>
      <c r="I869" s="11"/>
      <c r="J869" s="11"/>
      <c r="K869" s="11"/>
      <c r="L869" s="11"/>
      <c r="M869" s="15"/>
      <c r="N869" s="15"/>
      <c r="O869" s="15"/>
      <c r="P869" s="15"/>
      <c r="Q869" s="15"/>
      <c r="R869" s="15"/>
      <c r="S869" s="15"/>
      <c r="T869" s="15"/>
      <c r="U869" s="15"/>
      <c r="V869" s="15"/>
      <c r="W869" s="15"/>
      <c r="X869" s="15"/>
      <c r="Y869" s="15"/>
      <c r="Z869" s="15"/>
      <c r="AA869" s="15"/>
      <c r="AB869" s="15"/>
      <c r="AC869" s="15"/>
      <c r="AD869" s="15"/>
      <c r="AE869" s="15"/>
      <c r="AF869" s="15"/>
    </row>
    <row r="870" ht="15.75" customHeight="1">
      <c r="A870" s="15"/>
      <c r="B870" s="15"/>
      <c r="C870" s="21"/>
      <c r="D870" s="15"/>
      <c r="E870" s="15"/>
      <c r="F870" s="15"/>
      <c r="G870" s="15"/>
      <c r="H870" s="15"/>
      <c r="I870" s="11"/>
      <c r="J870" s="11"/>
      <c r="K870" s="11"/>
      <c r="L870" s="11"/>
      <c r="M870" s="15"/>
      <c r="N870" s="15"/>
      <c r="O870" s="15"/>
      <c r="P870" s="15"/>
      <c r="Q870" s="15"/>
      <c r="R870" s="15"/>
      <c r="S870" s="15"/>
      <c r="T870" s="15"/>
      <c r="U870" s="15"/>
      <c r="V870" s="15"/>
      <c r="W870" s="15"/>
      <c r="X870" s="15"/>
      <c r="Y870" s="15"/>
      <c r="Z870" s="15"/>
      <c r="AA870" s="15"/>
      <c r="AB870" s="15"/>
      <c r="AC870" s="15"/>
      <c r="AD870" s="15"/>
      <c r="AE870" s="15"/>
      <c r="AF870" s="15"/>
    </row>
    <row r="871" ht="15.75" customHeight="1">
      <c r="A871" s="15"/>
      <c r="B871" s="15"/>
      <c r="C871" s="21"/>
      <c r="D871" s="15"/>
      <c r="E871" s="15"/>
      <c r="F871" s="15"/>
      <c r="G871" s="15"/>
      <c r="H871" s="15"/>
      <c r="I871" s="11"/>
      <c r="J871" s="11"/>
      <c r="K871" s="11"/>
      <c r="L871" s="11"/>
      <c r="M871" s="15"/>
      <c r="N871" s="15"/>
      <c r="O871" s="15"/>
      <c r="P871" s="15"/>
      <c r="Q871" s="15"/>
      <c r="R871" s="15"/>
      <c r="S871" s="15"/>
      <c r="T871" s="15"/>
      <c r="U871" s="15"/>
      <c r="V871" s="15"/>
      <c r="W871" s="15"/>
      <c r="X871" s="15"/>
      <c r="Y871" s="15"/>
      <c r="Z871" s="15"/>
      <c r="AA871" s="15"/>
      <c r="AB871" s="15"/>
      <c r="AC871" s="15"/>
      <c r="AD871" s="15"/>
      <c r="AE871" s="15"/>
      <c r="AF871" s="15"/>
    </row>
    <row r="872" ht="15.75" customHeight="1">
      <c r="A872" s="15"/>
      <c r="B872" s="15"/>
      <c r="C872" s="21"/>
      <c r="D872" s="15"/>
      <c r="E872" s="15"/>
      <c r="F872" s="15"/>
      <c r="G872" s="15"/>
      <c r="H872" s="15"/>
      <c r="I872" s="11"/>
      <c r="J872" s="11"/>
      <c r="K872" s="11"/>
      <c r="L872" s="11"/>
      <c r="M872" s="15"/>
      <c r="N872" s="15"/>
      <c r="O872" s="15"/>
      <c r="P872" s="15"/>
      <c r="Q872" s="15"/>
      <c r="R872" s="15"/>
      <c r="S872" s="15"/>
      <c r="T872" s="15"/>
      <c r="U872" s="15"/>
      <c r="V872" s="15"/>
      <c r="W872" s="15"/>
      <c r="X872" s="15"/>
      <c r="Y872" s="15"/>
      <c r="Z872" s="15"/>
      <c r="AA872" s="15"/>
      <c r="AB872" s="15"/>
      <c r="AC872" s="15"/>
      <c r="AD872" s="15"/>
      <c r="AE872" s="15"/>
      <c r="AF872" s="15"/>
    </row>
    <row r="873" ht="15.75" customHeight="1">
      <c r="A873" s="15"/>
      <c r="B873" s="15"/>
      <c r="C873" s="21"/>
      <c r="D873" s="15"/>
      <c r="E873" s="15"/>
      <c r="F873" s="15"/>
      <c r="G873" s="15"/>
      <c r="H873" s="15"/>
      <c r="I873" s="11"/>
      <c r="J873" s="11"/>
      <c r="K873" s="11"/>
      <c r="L873" s="11"/>
      <c r="M873" s="15"/>
      <c r="N873" s="15"/>
      <c r="O873" s="15"/>
      <c r="P873" s="15"/>
      <c r="Q873" s="15"/>
      <c r="R873" s="15"/>
      <c r="S873" s="15"/>
      <c r="T873" s="15"/>
      <c r="U873" s="15"/>
      <c r="V873" s="15"/>
      <c r="W873" s="15"/>
      <c r="X873" s="15"/>
      <c r="Y873" s="15"/>
      <c r="Z873" s="15"/>
      <c r="AA873" s="15"/>
      <c r="AB873" s="15"/>
      <c r="AC873" s="15"/>
      <c r="AD873" s="15"/>
      <c r="AE873" s="15"/>
      <c r="AF873" s="15"/>
    </row>
    <row r="874" ht="15.75" customHeight="1">
      <c r="A874" s="15"/>
      <c r="B874" s="15"/>
      <c r="C874" s="21"/>
      <c r="D874" s="15"/>
      <c r="E874" s="15"/>
      <c r="F874" s="15"/>
      <c r="G874" s="15"/>
      <c r="H874" s="15"/>
      <c r="I874" s="11"/>
      <c r="J874" s="11"/>
      <c r="K874" s="11"/>
      <c r="L874" s="11"/>
      <c r="M874" s="15"/>
      <c r="N874" s="15"/>
      <c r="O874" s="15"/>
      <c r="P874" s="15"/>
      <c r="Q874" s="15"/>
      <c r="R874" s="15"/>
      <c r="S874" s="15"/>
      <c r="T874" s="15"/>
      <c r="U874" s="15"/>
      <c r="V874" s="15"/>
      <c r="W874" s="15"/>
      <c r="X874" s="15"/>
      <c r="Y874" s="15"/>
      <c r="Z874" s="15"/>
      <c r="AA874" s="15"/>
      <c r="AB874" s="15"/>
      <c r="AC874" s="15"/>
      <c r="AD874" s="15"/>
      <c r="AE874" s="15"/>
      <c r="AF874" s="15"/>
    </row>
    <row r="875" ht="15.75" customHeight="1">
      <c r="A875" s="15"/>
      <c r="B875" s="15"/>
      <c r="C875" s="21"/>
      <c r="D875" s="15"/>
      <c r="E875" s="15"/>
      <c r="F875" s="15"/>
      <c r="G875" s="15"/>
      <c r="H875" s="15"/>
      <c r="I875" s="11"/>
      <c r="J875" s="11"/>
      <c r="K875" s="11"/>
      <c r="L875" s="11"/>
      <c r="M875" s="15"/>
      <c r="N875" s="15"/>
      <c r="O875" s="15"/>
      <c r="P875" s="15"/>
      <c r="Q875" s="15"/>
      <c r="R875" s="15"/>
      <c r="S875" s="15"/>
      <c r="T875" s="15"/>
      <c r="U875" s="15"/>
      <c r="V875" s="15"/>
      <c r="W875" s="15"/>
      <c r="X875" s="15"/>
      <c r="Y875" s="15"/>
      <c r="Z875" s="15"/>
      <c r="AA875" s="15"/>
      <c r="AB875" s="15"/>
      <c r="AC875" s="15"/>
      <c r="AD875" s="15"/>
      <c r="AE875" s="15"/>
      <c r="AF875" s="15"/>
    </row>
    <row r="876" ht="15.75" customHeight="1">
      <c r="A876" s="15"/>
      <c r="B876" s="15"/>
      <c r="C876" s="21"/>
      <c r="D876" s="15"/>
      <c r="E876" s="15"/>
      <c r="F876" s="15"/>
      <c r="G876" s="15"/>
      <c r="H876" s="15"/>
      <c r="I876" s="11"/>
      <c r="J876" s="11"/>
      <c r="K876" s="11"/>
      <c r="L876" s="11"/>
      <c r="M876" s="15"/>
      <c r="N876" s="15"/>
      <c r="O876" s="15"/>
      <c r="P876" s="15"/>
      <c r="Q876" s="15"/>
      <c r="R876" s="15"/>
      <c r="S876" s="15"/>
      <c r="T876" s="15"/>
      <c r="U876" s="15"/>
      <c r="V876" s="15"/>
      <c r="W876" s="15"/>
      <c r="X876" s="15"/>
      <c r="Y876" s="15"/>
      <c r="Z876" s="15"/>
      <c r="AA876" s="15"/>
      <c r="AB876" s="15"/>
      <c r="AC876" s="15"/>
      <c r="AD876" s="15"/>
      <c r="AE876" s="15"/>
      <c r="AF876" s="15"/>
    </row>
    <row r="877" ht="15.75" customHeight="1">
      <c r="A877" s="15"/>
      <c r="B877" s="15"/>
      <c r="C877" s="21"/>
      <c r="D877" s="15"/>
      <c r="E877" s="15"/>
      <c r="F877" s="15"/>
      <c r="G877" s="15"/>
      <c r="H877" s="15"/>
      <c r="I877" s="11"/>
      <c r="J877" s="11"/>
      <c r="K877" s="11"/>
      <c r="L877" s="11"/>
      <c r="M877" s="15"/>
      <c r="N877" s="15"/>
      <c r="O877" s="15"/>
      <c r="P877" s="15"/>
      <c r="Q877" s="15"/>
      <c r="R877" s="15"/>
      <c r="S877" s="15"/>
      <c r="T877" s="15"/>
      <c r="U877" s="15"/>
      <c r="V877" s="15"/>
      <c r="W877" s="15"/>
      <c r="X877" s="15"/>
      <c r="Y877" s="15"/>
      <c r="Z877" s="15"/>
      <c r="AA877" s="15"/>
      <c r="AB877" s="15"/>
      <c r="AC877" s="15"/>
      <c r="AD877" s="15"/>
      <c r="AE877" s="15"/>
      <c r="AF877" s="15"/>
    </row>
    <row r="878" ht="15.75" customHeight="1">
      <c r="A878" s="15"/>
      <c r="B878" s="15"/>
      <c r="C878" s="21"/>
      <c r="D878" s="15"/>
      <c r="E878" s="15"/>
      <c r="F878" s="15"/>
      <c r="G878" s="15"/>
      <c r="H878" s="15"/>
      <c r="I878" s="11"/>
      <c r="J878" s="11"/>
      <c r="K878" s="11"/>
      <c r="L878" s="11"/>
      <c r="M878" s="15"/>
      <c r="N878" s="15"/>
      <c r="O878" s="15"/>
      <c r="P878" s="15"/>
      <c r="Q878" s="15"/>
      <c r="R878" s="15"/>
      <c r="S878" s="15"/>
      <c r="T878" s="15"/>
      <c r="U878" s="15"/>
      <c r="V878" s="15"/>
      <c r="W878" s="15"/>
      <c r="X878" s="15"/>
      <c r="Y878" s="15"/>
      <c r="Z878" s="15"/>
      <c r="AA878" s="15"/>
      <c r="AB878" s="15"/>
      <c r="AC878" s="15"/>
      <c r="AD878" s="15"/>
      <c r="AE878" s="15"/>
      <c r="AF878" s="15"/>
    </row>
    <row r="879" ht="15.75" customHeight="1">
      <c r="A879" s="15"/>
      <c r="B879" s="15"/>
      <c r="C879" s="21"/>
      <c r="D879" s="15"/>
      <c r="E879" s="15"/>
      <c r="F879" s="15"/>
      <c r="G879" s="15"/>
      <c r="H879" s="15"/>
      <c r="I879" s="11"/>
      <c r="J879" s="11"/>
      <c r="K879" s="11"/>
      <c r="L879" s="11"/>
      <c r="M879" s="15"/>
      <c r="N879" s="15"/>
      <c r="O879" s="15"/>
      <c r="P879" s="15"/>
      <c r="Q879" s="15"/>
      <c r="R879" s="15"/>
      <c r="S879" s="15"/>
      <c r="T879" s="15"/>
      <c r="U879" s="15"/>
      <c r="V879" s="15"/>
      <c r="W879" s="15"/>
      <c r="X879" s="15"/>
      <c r="Y879" s="15"/>
      <c r="Z879" s="15"/>
      <c r="AA879" s="15"/>
      <c r="AB879" s="15"/>
      <c r="AC879" s="15"/>
      <c r="AD879" s="15"/>
      <c r="AE879" s="15"/>
      <c r="AF879" s="15"/>
    </row>
    <row r="880" ht="15.75" customHeight="1">
      <c r="A880" s="15"/>
      <c r="B880" s="15"/>
      <c r="C880" s="21"/>
      <c r="D880" s="15"/>
      <c r="E880" s="15"/>
      <c r="F880" s="15"/>
      <c r="G880" s="15"/>
      <c r="H880" s="15"/>
      <c r="I880" s="11"/>
      <c r="J880" s="11"/>
      <c r="K880" s="11"/>
      <c r="L880" s="11"/>
      <c r="M880" s="15"/>
      <c r="N880" s="15"/>
      <c r="O880" s="15"/>
      <c r="P880" s="15"/>
      <c r="Q880" s="15"/>
      <c r="R880" s="15"/>
      <c r="S880" s="15"/>
      <c r="T880" s="15"/>
      <c r="U880" s="15"/>
      <c r="V880" s="15"/>
      <c r="W880" s="15"/>
      <c r="X880" s="15"/>
      <c r="Y880" s="15"/>
      <c r="Z880" s="15"/>
      <c r="AA880" s="15"/>
      <c r="AB880" s="15"/>
      <c r="AC880" s="15"/>
      <c r="AD880" s="15"/>
      <c r="AE880" s="15"/>
      <c r="AF880" s="15"/>
    </row>
    <row r="881" ht="15.75" customHeight="1">
      <c r="A881" s="15"/>
      <c r="B881" s="15"/>
      <c r="C881" s="21"/>
      <c r="D881" s="15"/>
      <c r="E881" s="15"/>
      <c r="F881" s="15"/>
      <c r="G881" s="15"/>
      <c r="H881" s="15"/>
      <c r="I881" s="11"/>
      <c r="J881" s="11"/>
      <c r="K881" s="11"/>
      <c r="L881" s="11"/>
      <c r="M881" s="15"/>
      <c r="N881" s="15"/>
      <c r="O881" s="15"/>
      <c r="P881" s="15"/>
      <c r="Q881" s="15"/>
      <c r="R881" s="15"/>
      <c r="S881" s="15"/>
      <c r="T881" s="15"/>
      <c r="U881" s="15"/>
      <c r="V881" s="15"/>
      <c r="W881" s="15"/>
      <c r="X881" s="15"/>
      <c r="Y881" s="15"/>
      <c r="Z881" s="15"/>
      <c r="AA881" s="15"/>
      <c r="AB881" s="15"/>
      <c r="AC881" s="15"/>
      <c r="AD881" s="15"/>
      <c r="AE881" s="15"/>
      <c r="AF881" s="15"/>
    </row>
    <row r="882" ht="15.75" customHeight="1">
      <c r="A882" s="15"/>
      <c r="B882" s="15"/>
      <c r="C882" s="21"/>
      <c r="D882" s="15"/>
      <c r="E882" s="15"/>
      <c r="F882" s="15"/>
      <c r="G882" s="15"/>
      <c r="H882" s="15"/>
      <c r="I882" s="11"/>
      <c r="J882" s="11"/>
      <c r="K882" s="11"/>
      <c r="L882" s="11"/>
      <c r="M882" s="15"/>
      <c r="N882" s="15"/>
      <c r="O882" s="15"/>
      <c r="P882" s="15"/>
      <c r="Q882" s="15"/>
      <c r="R882" s="15"/>
      <c r="S882" s="15"/>
      <c r="T882" s="15"/>
      <c r="U882" s="15"/>
      <c r="V882" s="15"/>
      <c r="W882" s="15"/>
      <c r="X882" s="15"/>
      <c r="Y882" s="15"/>
      <c r="Z882" s="15"/>
      <c r="AA882" s="15"/>
      <c r="AB882" s="15"/>
      <c r="AC882" s="15"/>
      <c r="AD882" s="15"/>
      <c r="AE882" s="15"/>
      <c r="AF882" s="15"/>
    </row>
    <row r="883" ht="15.75" customHeight="1">
      <c r="A883" s="15"/>
      <c r="B883" s="15"/>
      <c r="C883" s="21"/>
      <c r="D883" s="15"/>
      <c r="E883" s="15"/>
      <c r="F883" s="15"/>
      <c r="G883" s="15"/>
      <c r="H883" s="15"/>
      <c r="I883" s="11"/>
      <c r="J883" s="11"/>
      <c r="K883" s="11"/>
      <c r="L883" s="11"/>
      <c r="M883" s="15"/>
      <c r="N883" s="15"/>
      <c r="O883" s="15"/>
      <c r="P883" s="15"/>
      <c r="Q883" s="15"/>
      <c r="R883" s="15"/>
      <c r="S883" s="15"/>
      <c r="T883" s="15"/>
      <c r="U883" s="15"/>
      <c r="V883" s="15"/>
      <c r="W883" s="15"/>
      <c r="X883" s="15"/>
      <c r="Y883" s="15"/>
      <c r="Z883" s="15"/>
      <c r="AA883" s="15"/>
      <c r="AB883" s="15"/>
      <c r="AC883" s="15"/>
      <c r="AD883" s="15"/>
      <c r="AE883" s="15"/>
      <c r="AF883" s="15"/>
    </row>
    <row r="884" ht="15.75" customHeight="1">
      <c r="A884" s="15"/>
      <c r="B884" s="15"/>
      <c r="C884" s="21"/>
      <c r="D884" s="15"/>
      <c r="E884" s="15"/>
      <c r="F884" s="15"/>
      <c r="G884" s="15"/>
      <c r="H884" s="15"/>
      <c r="I884" s="11"/>
      <c r="J884" s="11"/>
      <c r="K884" s="11"/>
      <c r="L884" s="11"/>
      <c r="M884" s="15"/>
      <c r="N884" s="15"/>
      <c r="O884" s="15"/>
      <c r="P884" s="15"/>
      <c r="Q884" s="15"/>
      <c r="R884" s="15"/>
      <c r="S884" s="15"/>
      <c r="T884" s="15"/>
      <c r="U884" s="15"/>
      <c r="V884" s="15"/>
      <c r="W884" s="15"/>
      <c r="X884" s="15"/>
      <c r="Y884" s="15"/>
      <c r="Z884" s="15"/>
      <c r="AA884" s="15"/>
      <c r="AB884" s="15"/>
      <c r="AC884" s="15"/>
      <c r="AD884" s="15"/>
      <c r="AE884" s="15"/>
      <c r="AF884" s="15"/>
    </row>
    <row r="885" ht="15.75" customHeight="1">
      <c r="A885" s="15"/>
      <c r="B885" s="15"/>
      <c r="C885" s="21"/>
      <c r="D885" s="15"/>
      <c r="E885" s="15"/>
      <c r="F885" s="15"/>
      <c r="G885" s="15"/>
      <c r="H885" s="15"/>
      <c r="I885" s="11"/>
      <c r="J885" s="11"/>
      <c r="K885" s="11"/>
      <c r="L885" s="11"/>
      <c r="M885" s="15"/>
      <c r="N885" s="15"/>
      <c r="O885" s="15"/>
      <c r="P885" s="15"/>
      <c r="Q885" s="15"/>
      <c r="R885" s="15"/>
      <c r="S885" s="15"/>
      <c r="T885" s="15"/>
      <c r="U885" s="15"/>
      <c r="V885" s="15"/>
      <c r="W885" s="15"/>
      <c r="X885" s="15"/>
      <c r="Y885" s="15"/>
      <c r="Z885" s="15"/>
      <c r="AA885" s="15"/>
      <c r="AB885" s="15"/>
      <c r="AC885" s="15"/>
      <c r="AD885" s="15"/>
      <c r="AE885" s="15"/>
      <c r="AF885" s="15"/>
    </row>
    <row r="886" ht="15.75" customHeight="1">
      <c r="A886" s="15"/>
      <c r="B886" s="15"/>
      <c r="C886" s="21"/>
      <c r="D886" s="15"/>
      <c r="E886" s="15"/>
      <c r="F886" s="15"/>
      <c r="G886" s="15"/>
      <c r="H886" s="15"/>
      <c r="I886" s="11"/>
      <c r="J886" s="11"/>
      <c r="K886" s="11"/>
      <c r="L886" s="11"/>
      <c r="M886" s="15"/>
      <c r="N886" s="15"/>
      <c r="O886" s="15"/>
      <c r="P886" s="15"/>
      <c r="Q886" s="15"/>
      <c r="R886" s="15"/>
      <c r="S886" s="15"/>
      <c r="T886" s="15"/>
      <c r="U886" s="15"/>
      <c r="V886" s="15"/>
      <c r="W886" s="15"/>
      <c r="X886" s="15"/>
      <c r="Y886" s="15"/>
      <c r="Z886" s="15"/>
      <c r="AA886" s="15"/>
      <c r="AB886" s="15"/>
      <c r="AC886" s="15"/>
      <c r="AD886" s="15"/>
      <c r="AE886" s="15"/>
      <c r="AF886" s="15"/>
    </row>
    <row r="887" ht="15.75" customHeight="1">
      <c r="A887" s="15"/>
      <c r="B887" s="15"/>
      <c r="C887" s="21"/>
      <c r="D887" s="15"/>
      <c r="E887" s="15"/>
      <c r="F887" s="15"/>
      <c r="G887" s="15"/>
      <c r="H887" s="15"/>
      <c r="I887" s="11"/>
      <c r="J887" s="11"/>
      <c r="K887" s="11"/>
      <c r="L887" s="11"/>
      <c r="M887" s="15"/>
      <c r="N887" s="15"/>
      <c r="O887" s="15"/>
      <c r="P887" s="15"/>
      <c r="Q887" s="15"/>
      <c r="R887" s="15"/>
      <c r="S887" s="15"/>
      <c r="T887" s="15"/>
      <c r="U887" s="15"/>
      <c r="V887" s="15"/>
      <c r="W887" s="15"/>
      <c r="X887" s="15"/>
      <c r="Y887" s="15"/>
      <c r="Z887" s="15"/>
      <c r="AA887" s="15"/>
      <c r="AB887" s="15"/>
      <c r="AC887" s="15"/>
      <c r="AD887" s="15"/>
      <c r="AE887" s="15"/>
      <c r="AF887" s="15"/>
    </row>
    <row r="888" ht="15.75" customHeight="1">
      <c r="A888" s="15"/>
      <c r="B888" s="15"/>
      <c r="C888" s="21"/>
      <c r="D888" s="15"/>
      <c r="E888" s="15"/>
      <c r="F888" s="15"/>
      <c r="G888" s="15"/>
      <c r="H888" s="15"/>
      <c r="I888" s="11"/>
      <c r="J888" s="11"/>
      <c r="K888" s="11"/>
      <c r="L888" s="11"/>
      <c r="M888" s="15"/>
      <c r="N888" s="15"/>
      <c r="O888" s="15"/>
      <c r="P888" s="15"/>
      <c r="Q888" s="15"/>
      <c r="R888" s="15"/>
      <c r="S888" s="15"/>
      <c r="T888" s="15"/>
      <c r="U888" s="15"/>
      <c r="V888" s="15"/>
      <c r="W888" s="15"/>
      <c r="X888" s="15"/>
      <c r="Y888" s="15"/>
      <c r="Z888" s="15"/>
      <c r="AA888" s="15"/>
      <c r="AB888" s="15"/>
      <c r="AC888" s="15"/>
      <c r="AD888" s="15"/>
      <c r="AE888" s="15"/>
      <c r="AF888" s="15"/>
    </row>
    <row r="889" ht="15.75" customHeight="1">
      <c r="A889" s="15"/>
      <c r="B889" s="15"/>
      <c r="C889" s="21"/>
      <c r="D889" s="15"/>
      <c r="E889" s="15"/>
      <c r="F889" s="15"/>
      <c r="G889" s="15"/>
      <c r="H889" s="15"/>
      <c r="I889" s="11"/>
      <c r="J889" s="11"/>
      <c r="K889" s="11"/>
      <c r="L889" s="11"/>
      <c r="M889" s="15"/>
      <c r="N889" s="15"/>
      <c r="O889" s="15"/>
      <c r="P889" s="15"/>
      <c r="Q889" s="15"/>
      <c r="R889" s="15"/>
      <c r="S889" s="15"/>
      <c r="T889" s="15"/>
      <c r="U889" s="15"/>
      <c r="V889" s="15"/>
      <c r="W889" s="15"/>
      <c r="X889" s="15"/>
      <c r="Y889" s="15"/>
      <c r="Z889" s="15"/>
      <c r="AA889" s="15"/>
      <c r="AB889" s="15"/>
      <c r="AC889" s="15"/>
      <c r="AD889" s="15"/>
      <c r="AE889" s="15"/>
      <c r="AF889" s="15"/>
    </row>
    <row r="890" ht="15.75" customHeight="1">
      <c r="A890" s="15"/>
      <c r="B890" s="15"/>
      <c r="C890" s="21"/>
      <c r="D890" s="15"/>
      <c r="E890" s="15"/>
      <c r="F890" s="15"/>
      <c r="G890" s="15"/>
      <c r="H890" s="15"/>
      <c r="I890" s="11"/>
      <c r="J890" s="11"/>
      <c r="K890" s="11"/>
      <c r="L890" s="11"/>
      <c r="M890" s="15"/>
      <c r="N890" s="15"/>
      <c r="O890" s="15"/>
      <c r="P890" s="15"/>
      <c r="Q890" s="15"/>
      <c r="R890" s="15"/>
      <c r="S890" s="15"/>
      <c r="T890" s="15"/>
      <c r="U890" s="15"/>
      <c r="V890" s="15"/>
      <c r="W890" s="15"/>
      <c r="X890" s="15"/>
      <c r="Y890" s="15"/>
      <c r="Z890" s="15"/>
      <c r="AA890" s="15"/>
      <c r="AB890" s="15"/>
      <c r="AC890" s="15"/>
      <c r="AD890" s="15"/>
      <c r="AE890" s="15"/>
      <c r="AF890" s="15"/>
    </row>
    <row r="891" ht="15.75" customHeight="1">
      <c r="A891" s="15"/>
      <c r="B891" s="15"/>
      <c r="C891" s="21"/>
      <c r="D891" s="15"/>
      <c r="E891" s="15"/>
      <c r="F891" s="15"/>
      <c r="G891" s="15"/>
      <c r="H891" s="15"/>
      <c r="I891" s="11"/>
      <c r="J891" s="11"/>
      <c r="K891" s="11"/>
      <c r="L891" s="11"/>
      <c r="M891" s="15"/>
      <c r="N891" s="15"/>
      <c r="O891" s="15"/>
      <c r="P891" s="15"/>
      <c r="Q891" s="15"/>
      <c r="R891" s="15"/>
      <c r="S891" s="15"/>
      <c r="T891" s="15"/>
      <c r="U891" s="15"/>
      <c r="V891" s="15"/>
      <c r="W891" s="15"/>
      <c r="X891" s="15"/>
      <c r="Y891" s="15"/>
      <c r="Z891" s="15"/>
      <c r="AA891" s="15"/>
      <c r="AB891" s="15"/>
      <c r="AC891" s="15"/>
      <c r="AD891" s="15"/>
      <c r="AE891" s="15"/>
      <c r="AF891" s="15"/>
    </row>
    <row r="892" ht="15.75" customHeight="1">
      <c r="A892" s="15"/>
      <c r="B892" s="15"/>
      <c r="C892" s="21"/>
      <c r="D892" s="15"/>
      <c r="E892" s="15"/>
      <c r="F892" s="15"/>
      <c r="G892" s="15"/>
      <c r="H892" s="15"/>
      <c r="I892" s="11"/>
      <c r="J892" s="11"/>
      <c r="K892" s="11"/>
      <c r="L892" s="11"/>
      <c r="M892" s="15"/>
      <c r="N892" s="15"/>
      <c r="O892" s="15"/>
      <c r="P892" s="15"/>
      <c r="Q892" s="15"/>
      <c r="R892" s="15"/>
      <c r="S892" s="15"/>
      <c r="T892" s="15"/>
      <c r="U892" s="15"/>
      <c r="V892" s="15"/>
      <c r="W892" s="15"/>
      <c r="X892" s="15"/>
      <c r="Y892" s="15"/>
      <c r="Z892" s="15"/>
      <c r="AA892" s="15"/>
      <c r="AB892" s="15"/>
      <c r="AC892" s="15"/>
      <c r="AD892" s="15"/>
      <c r="AE892" s="15"/>
      <c r="AF892" s="15"/>
    </row>
    <row r="893" ht="15.75" customHeight="1">
      <c r="A893" s="15"/>
      <c r="B893" s="15"/>
      <c r="C893" s="21"/>
      <c r="D893" s="15"/>
      <c r="E893" s="15"/>
      <c r="F893" s="15"/>
      <c r="G893" s="15"/>
      <c r="H893" s="15"/>
      <c r="I893" s="11"/>
      <c r="J893" s="11"/>
      <c r="K893" s="11"/>
      <c r="L893" s="11"/>
      <c r="M893" s="15"/>
      <c r="N893" s="15"/>
      <c r="O893" s="15"/>
      <c r="P893" s="15"/>
      <c r="Q893" s="15"/>
      <c r="R893" s="15"/>
      <c r="S893" s="15"/>
      <c r="T893" s="15"/>
      <c r="U893" s="15"/>
      <c r="V893" s="15"/>
      <c r="W893" s="15"/>
      <c r="X893" s="15"/>
      <c r="Y893" s="15"/>
      <c r="Z893" s="15"/>
      <c r="AA893" s="15"/>
      <c r="AB893" s="15"/>
      <c r="AC893" s="15"/>
      <c r="AD893" s="15"/>
      <c r="AE893" s="15"/>
      <c r="AF893" s="15"/>
    </row>
    <row r="894" ht="15.75" customHeight="1">
      <c r="A894" s="15"/>
      <c r="B894" s="15"/>
      <c r="C894" s="21"/>
      <c r="D894" s="15"/>
      <c r="E894" s="15"/>
      <c r="F894" s="15"/>
      <c r="G894" s="15"/>
      <c r="H894" s="15"/>
      <c r="I894" s="11"/>
      <c r="J894" s="11"/>
      <c r="K894" s="11"/>
      <c r="L894" s="11"/>
      <c r="M894" s="15"/>
      <c r="N894" s="15"/>
      <c r="O894" s="15"/>
      <c r="P894" s="15"/>
      <c r="Q894" s="15"/>
      <c r="R894" s="15"/>
      <c r="S894" s="15"/>
      <c r="T894" s="15"/>
      <c r="U894" s="15"/>
      <c r="V894" s="15"/>
      <c r="W894" s="15"/>
      <c r="X894" s="15"/>
      <c r="Y894" s="15"/>
      <c r="Z894" s="15"/>
      <c r="AA894" s="15"/>
      <c r="AB894" s="15"/>
      <c r="AC894" s="15"/>
      <c r="AD894" s="15"/>
      <c r="AE894" s="15"/>
      <c r="AF894" s="15"/>
    </row>
    <row r="895" ht="15.75" customHeight="1">
      <c r="A895" s="15"/>
      <c r="B895" s="15"/>
      <c r="C895" s="21"/>
      <c r="D895" s="15"/>
      <c r="E895" s="15"/>
      <c r="F895" s="15"/>
      <c r="G895" s="15"/>
      <c r="H895" s="15"/>
      <c r="I895" s="11"/>
      <c r="J895" s="11"/>
      <c r="K895" s="11"/>
      <c r="L895" s="11"/>
      <c r="M895" s="15"/>
      <c r="N895" s="15"/>
      <c r="O895" s="15"/>
      <c r="P895" s="15"/>
      <c r="Q895" s="15"/>
      <c r="R895" s="15"/>
      <c r="S895" s="15"/>
      <c r="T895" s="15"/>
      <c r="U895" s="15"/>
      <c r="V895" s="15"/>
      <c r="W895" s="15"/>
      <c r="X895" s="15"/>
      <c r="Y895" s="15"/>
      <c r="Z895" s="15"/>
      <c r="AA895" s="15"/>
      <c r="AB895" s="15"/>
      <c r="AC895" s="15"/>
      <c r="AD895" s="15"/>
      <c r="AE895" s="15"/>
      <c r="AF895" s="15"/>
    </row>
    <row r="896" ht="15.75" customHeight="1">
      <c r="A896" s="15"/>
      <c r="B896" s="15"/>
      <c r="C896" s="21"/>
      <c r="D896" s="15"/>
      <c r="E896" s="15"/>
      <c r="F896" s="15"/>
      <c r="G896" s="15"/>
      <c r="H896" s="15"/>
      <c r="I896" s="11"/>
      <c r="J896" s="11"/>
      <c r="K896" s="11"/>
      <c r="L896" s="11"/>
      <c r="M896" s="15"/>
      <c r="N896" s="15"/>
      <c r="O896" s="15"/>
      <c r="P896" s="15"/>
      <c r="Q896" s="15"/>
      <c r="R896" s="15"/>
      <c r="S896" s="15"/>
      <c r="T896" s="15"/>
      <c r="U896" s="15"/>
      <c r="V896" s="15"/>
      <c r="W896" s="15"/>
      <c r="X896" s="15"/>
      <c r="Y896" s="15"/>
      <c r="Z896" s="15"/>
      <c r="AA896" s="15"/>
      <c r="AB896" s="15"/>
      <c r="AC896" s="15"/>
      <c r="AD896" s="15"/>
      <c r="AE896" s="15"/>
      <c r="AF896" s="15"/>
    </row>
    <row r="897" ht="15.75" customHeight="1">
      <c r="A897" s="15"/>
      <c r="B897" s="15"/>
      <c r="C897" s="21"/>
      <c r="D897" s="15"/>
      <c r="E897" s="15"/>
      <c r="F897" s="15"/>
      <c r="G897" s="15"/>
      <c r="H897" s="15"/>
      <c r="I897" s="11"/>
      <c r="J897" s="11"/>
      <c r="K897" s="11"/>
      <c r="L897" s="11"/>
      <c r="M897" s="15"/>
      <c r="N897" s="15"/>
      <c r="O897" s="15"/>
      <c r="P897" s="15"/>
      <c r="Q897" s="15"/>
      <c r="R897" s="15"/>
      <c r="S897" s="15"/>
      <c r="T897" s="15"/>
      <c r="U897" s="15"/>
      <c r="V897" s="15"/>
      <c r="W897" s="15"/>
      <c r="X897" s="15"/>
      <c r="Y897" s="15"/>
      <c r="Z897" s="15"/>
      <c r="AA897" s="15"/>
      <c r="AB897" s="15"/>
      <c r="AC897" s="15"/>
      <c r="AD897" s="15"/>
      <c r="AE897" s="15"/>
      <c r="AF897" s="15"/>
    </row>
    <row r="898" ht="15.75" customHeight="1">
      <c r="A898" s="15"/>
      <c r="B898" s="15"/>
      <c r="C898" s="21"/>
      <c r="D898" s="15"/>
      <c r="E898" s="15"/>
      <c r="F898" s="15"/>
      <c r="G898" s="15"/>
      <c r="H898" s="15"/>
      <c r="I898" s="11"/>
      <c r="J898" s="11"/>
      <c r="K898" s="11"/>
      <c r="L898" s="11"/>
      <c r="M898" s="15"/>
      <c r="N898" s="15"/>
      <c r="O898" s="15"/>
      <c r="P898" s="15"/>
      <c r="Q898" s="15"/>
      <c r="R898" s="15"/>
      <c r="S898" s="15"/>
      <c r="T898" s="15"/>
      <c r="U898" s="15"/>
      <c r="V898" s="15"/>
      <c r="W898" s="15"/>
      <c r="X898" s="15"/>
      <c r="Y898" s="15"/>
      <c r="Z898" s="15"/>
      <c r="AA898" s="15"/>
      <c r="AB898" s="15"/>
      <c r="AC898" s="15"/>
      <c r="AD898" s="15"/>
      <c r="AE898" s="15"/>
      <c r="AF898" s="15"/>
    </row>
    <row r="899" ht="15.75" customHeight="1">
      <c r="A899" s="15"/>
      <c r="B899" s="15"/>
      <c r="C899" s="21"/>
      <c r="D899" s="15"/>
      <c r="E899" s="15"/>
      <c r="F899" s="15"/>
      <c r="G899" s="15"/>
      <c r="H899" s="15"/>
      <c r="I899" s="11"/>
      <c r="J899" s="11"/>
      <c r="K899" s="11"/>
      <c r="L899" s="11"/>
      <c r="M899" s="15"/>
      <c r="N899" s="15"/>
      <c r="O899" s="15"/>
      <c r="P899" s="15"/>
      <c r="Q899" s="15"/>
      <c r="R899" s="15"/>
      <c r="S899" s="15"/>
      <c r="T899" s="15"/>
      <c r="U899" s="15"/>
      <c r="V899" s="15"/>
      <c r="W899" s="15"/>
      <c r="X899" s="15"/>
      <c r="Y899" s="15"/>
      <c r="Z899" s="15"/>
      <c r="AA899" s="15"/>
      <c r="AB899" s="15"/>
      <c r="AC899" s="15"/>
      <c r="AD899" s="15"/>
      <c r="AE899" s="15"/>
      <c r="AF899" s="15"/>
    </row>
    <row r="900" ht="15.75" customHeight="1">
      <c r="A900" s="15"/>
      <c r="B900" s="15"/>
      <c r="C900" s="21"/>
      <c r="D900" s="15"/>
      <c r="E900" s="15"/>
      <c r="F900" s="15"/>
      <c r="G900" s="15"/>
      <c r="H900" s="15"/>
      <c r="I900" s="11"/>
      <c r="J900" s="11"/>
      <c r="K900" s="11"/>
      <c r="L900" s="11"/>
      <c r="M900" s="15"/>
      <c r="N900" s="15"/>
      <c r="O900" s="15"/>
      <c r="P900" s="15"/>
      <c r="Q900" s="15"/>
      <c r="R900" s="15"/>
      <c r="S900" s="15"/>
      <c r="T900" s="15"/>
      <c r="U900" s="15"/>
      <c r="V900" s="15"/>
      <c r="W900" s="15"/>
      <c r="X900" s="15"/>
      <c r="Y900" s="15"/>
      <c r="Z900" s="15"/>
      <c r="AA900" s="15"/>
      <c r="AB900" s="15"/>
      <c r="AC900" s="15"/>
      <c r="AD900" s="15"/>
      <c r="AE900" s="15"/>
      <c r="AF900" s="15"/>
    </row>
    <row r="901" ht="15.75" customHeight="1">
      <c r="A901" s="15"/>
      <c r="B901" s="15"/>
      <c r="C901" s="21"/>
      <c r="D901" s="15"/>
      <c r="E901" s="15"/>
      <c r="F901" s="15"/>
      <c r="G901" s="15"/>
      <c r="H901" s="15"/>
      <c r="I901" s="11"/>
      <c r="J901" s="11"/>
      <c r="K901" s="11"/>
      <c r="L901" s="11"/>
      <c r="M901" s="15"/>
      <c r="N901" s="15"/>
      <c r="O901" s="15"/>
      <c r="P901" s="15"/>
      <c r="Q901" s="15"/>
      <c r="R901" s="15"/>
      <c r="S901" s="15"/>
      <c r="T901" s="15"/>
      <c r="U901" s="15"/>
      <c r="V901" s="15"/>
      <c r="W901" s="15"/>
      <c r="X901" s="15"/>
      <c r="Y901" s="15"/>
      <c r="Z901" s="15"/>
      <c r="AA901" s="15"/>
      <c r="AB901" s="15"/>
      <c r="AC901" s="15"/>
      <c r="AD901" s="15"/>
      <c r="AE901" s="15"/>
      <c r="AF901" s="15"/>
    </row>
    <row r="902" ht="15.75" customHeight="1">
      <c r="A902" s="15"/>
      <c r="B902" s="15"/>
      <c r="C902" s="21"/>
      <c r="D902" s="15"/>
      <c r="E902" s="15"/>
      <c r="F902" s="15"/>
      <c r="G902" s="15"/>
      <c r="H902" s="15"/>
      <c r="I902" s="11"/>
      <c r="J902" s="11"/>
      <c r="K902" s="11"/>
      <c r="L902" s="11"/>
      <c r="M902" s="15"/>
      <c r="N902" s="15"/>
      <c r="O902" s="15"/>
      <c r="P902" s="15"/>
      <c r="Q902" s="15"/>
      <c r="R902" s="15"/>
      <c r="S902" s="15"/>
      <c r="T902" s="15"/>
      <c r="U902" s="15"/>
      <c r="V902" s="15"/>
      <c r="W902" s="15"/>
      <c r="X902" s="15"/>
      <c r="Y902" s="15"/>
      <c r="Z902" s="15"/>
      <c r="AA902" s="15"/>
      <c r="AB902" s="15"/>
      <c r="AC902" s="15"/>
      <c r="AD902" s="15"/>
      <c r="AE902" s="15"/>
      <c r="AF902" s="15"/>
    </row>
    <row r="903" ht="15.75" customHeight="1">
      <c r="A903" s="15"/>
      <c r="B903" s="15"/>
      <c r="C903" s="21"/>
      <c r="D903" s="15"/>
      <c r="E903" s="15"/>
      <c r="F903" s="15"/>
      <c r="G903" s="15"/>
      <c r="H903" s="15"/>
      <c r="I903" s="11"/>
      <c r="J903" s="11"/>
      <c r="K903" s="11"/>
      <c r="L903" s="11"/>
      <c r="M903" s="15"/>
      <c r="N903" s="15"/>
      <c r="O903" s="15"/>
      <c r="P903" s="15"/>
      <c r="Q903" s="15"/>
      <c r="R903" s="15"/>
      <c r="S903" s="15"/>
      <c r="T903" s="15"/>
      <c r="U903" s="15"/>
      <c r="V903" s="15"/>
      <c r="W903" s="15"/>
      <c r="X903" s="15"/>
      <c r="Y903" s="15"/>
      <c r="Z903" s="15"/>
      <c r="AA903" s="15"/>
      <c r="AB903" s="15"/>
      <c r="AC903" s="15"/>
      <c r="AD903" s="15"/>
      <c r="AE903" s="15"/>
      <c r="AF903" s="15"/>
    </row>
    <row r="904" ht="15.75" customHeight="1">
      <c r="A904" s="15"/>
      <c r="B904" s="15"/>
      <c r="C904" s="21"/>
      <c r="D904" s="15"/>
      <c r="E904" s="15"/>
      <c r="F904" s="15"/>
      <c r="G904" s="15"/>
      <c r="H904" s="15"/>
      <c r="I904" s="11"/>
      <c r="J904" s="11"/>
      <c r="K904" s="11"/>
      <c r="L904" s="11"/>
      <c r="M904" s="15"/>
      <c r="N904" s="15"/>
      <c r="O904" s="15"/>
      <c r="P904" s="15"/>
      <c r="Q904" s="15"/>
      <c r="R904" s="15"/>
      <c r="S904" s="15"/>
      <c r="T904" s="15"/>
      <c r="U904" s="15"/>
      <c r="V904" s="15"/>
      <c r="W904" s="15"/>
      <c r="X904" s="15"/>
      <c r="Y904" s="15"/>
      <c r="Z904" s="15"/>
      <c r="AA904" s="15"/>
      <c r="AB904" s="15"/>
      <c r="AC904" s="15"/>
      <c r="AD904" s="15"/>
      <c r="AE904" s="15"/>
      <c r="AF904" s="15"/>
    </row>
    <row r="905" ht="15.75" customHeight="1">
      <c r="A905" s="15"/>
      <c r="B905" s="15"/>
      <c r="C905" s="21"/>
      <c r="D905" s="15"/>
      <c r="E905" s="15"/>
      <c r="F905" s="15"/>
      <c r="G905" s="15"/>
      <c r="H905" s="15"/>
      <c r="I905" s="11"/>
      <c r="J905" s="11"/>
      <c r="K905" s="11"/>
      <c r="L905" s="11"/>
      <c r="M905" s="15"/>
      <c r="N905" s="15"/>
      <c r="O905" s="15"/>
      <c r="P905" s="15"/>
      <c r="Q905" s="15"/>
      <c r="R905" s="15"/>
      <c r="S905" s="15"/>
      <c r="T905" s="15"/>
      <c r="U905" s="15"/>
      <c r="V905" s="15"/>
      <c r="W905" s="15"/>
      <c r="X905" s="15"/>
      <c r="Y905" s="15"/>
      <c r="Z905" s="15"/>
      <c r="AA905" s="15"/>
      <c r="AB905" s="15"/>
      <c r="AC905" s="15"/>
      <c r="AD905" s="15"/>
      <c r="AE905" s="15"/>
      <c r="AF905" s="15"/>
    </row>
    <row r="906" ht="15.75" customHeight="1">
      <c r="A906" s="15"/>
      <c r="B906" s="15"/>
      <c r="C906" s="21"/>
      <c r="D906" s="15"/>
      <c r="E906" s="15"/>
      <c r="F906" s="15"/>
      <c r="G906" s="15"/>
      <c r="H906" s="15"/>
      <c r="I906" s="11"/>
      <c r="J906" s="11"/>
      <c r="K906" s="11"/>
      <c r="L906" s="11"/>
      <c r="M906" s="15"/>
      <c r="N906" s="15"/>
      <c r="O906" s="15"/>
      <c r="P906" s="15"/>
      <c r="Q906" s="15"/>
      <c r="R906" s="15"/>
      <c r="S906" s="15"/>
      <c r="T906" s="15"/>
      <c r="U906" s="15"/>
      <c r="V906" s="15"/>
      <c r="W906" s="15"/>
      <c r="X906" s="15"/>
      <c r="Y906" s="15"/>
      <c r="Z906" s="15"/>
      <c r="AA906" s="15"/>
      <c r="AB906" s="15"/>
      <c r="AC906" s="15"/>
      <c r="AD906" s="15"/>
      <c r="AE906" s="15"/>
      <c r="AF906" s="15"/>
    </row>
    <row r="907" ht="15.75" customHeight="1">
      <c r="A907" s="15"/>
      <c r="B907" s="15"/>
      <c r="C907" s="21"/>
      <c r="D907" s="15"/>
      <c r="E907" s="15"/>
      <c r="F907" s="15"/>
      <c r="G907" s="15"/>
      <c r="H907" s="15"/>
      <c r="I907" s="11"/>
      <c r="J907" s="11"/>
      <c r="K907" s="11"/>
      <c r="L907" s="11"/>
      <c r="M907" s="15"/>
      <c r="N907" s="15"/>
      <c r="O907" s="15"/>
      <c r="P907" s="15"/>
      <c r="Q907" s="15"/>
      <c r="R907" s="15"/>
      <c r="S907" s="15"/>
      <c r="T907" s="15"/>
      <c r="U907" s="15"/>
      <c r="V907" s="15"/>
      <c r="W907" s="15"/>
      <c r="X907" s="15"/>
      <c r="Y907" s="15"/>
      <c r="Z907" s="15"/>
      <c r="AA907" s="15"/>
      <c r="AB907" s="15"/>
      <c r="AC907" s="15"/>
      <c r="AD907" s="15"/>
      <c r="AE907" s="15"/>
      <c r="AF907" s="15"/>
    </row>
    <row r="908" ht="15.75" customHeight="1">
      <c r="A908" s="15"/>
      <c r="B908" s="15"/>
      <c r="C908" s="21"/>
      <c r="D908" s="15"/>
      <c r="E908" s="15"/>
      <c r="F908" s="15"/>
      <c r="G908" s="15"/>
      <c r="H908" s="15"/>
      <c r="I908" s="11"/>
      <c r="J908" s="11"/>
      <c r="K908" s="11"/>
      <c r="L908" s="11"/>
      <c r="M908" s="15"/>
      <c r="N908" s="15"/>
      <c r="O908" s="15"/>
      <c r="P908" s="15"/>
      <c r="Q908" s="15"/>
      <c r="R908" s="15"/>
      <c r="S908" s="15"/>
      <c r="T908" s="15"/>
      <c r="U908" s="15"/>
      <c r="V908" s="15"/>
      <c r="W908" s="15"/>
      <c r="X908" s="15"/>
      <c r="Y908" s="15"/>
      <c r="Z908" s="15"/>
      <c r="AA908" s="15"/>
      <c r="AB908" s="15"/>
      <c r="AC908" s="15"/>
      <c r="AD908" s="15"/>
      <c r="AE908" s="15"/>
      <c r="AF908" s="15"/>
    </row>
    <row r="909" ht="15.75" customHeight="1">
      <c r="A909" s="15"/>
      <c r="B909" s="15"/>
      <c r="C909" s="21"/>
      <c r="D909" s="15"/>
      <c r="E909" s="15"/>
      <c r="F909" s="15"/>
      <c r="G909" s="15"/>
      <c r="H909" s="15"/>
      <c r="I909" s="11"/>
      <c r="J909" s="11"/>
      <c r="K909" s="11"/>
      <c r="L909" s="11"/>
      <c r="M909" s="15"/>
      <c r="N909" s="15"/>
      <c r="O909" s="15"/>
      <c r="P909" s="15"/>
      <c r="Q909" s="15"/>
      <c r="R909" s="15"/>
      <c r="S909" s="15"/>
      <c r="T909" s="15"/>
      <c r="U909" s="15"/>
      <c r="V909" s="15"/>
      <c r="W909" s="15"/>
      <c r="X909" s="15"/>
      <c r="Y909" s="15"/>
      <c r="Z909" s="15"/>
      <c r="AA909" s="15"/>
      <c r="AB909" s="15"/>
      <c r="AC909" s="15"/>
      <c r="AD909" s="15"/>
      <c r="AE909" s="15"/>
      <c r="AF909" s="15"/>
    </row>
    <row r="910" ht="15.75" customHeight="1">
      <c r="A910" s="15"/>
      <c r="B910" s="15"/>
      <c r="C910" s="21"/>
      <c r="D910" s="15"/>
      <c r="E910" s="15"/>
      <c r="F910" s="15"/>
      <c r="G910" s="15"/>
      <c r="H910" s="15"/>
      <c r="I910" s="11"/>
      <c r="J910" s="11"/>
      <c r="K910" s="11"/>
      <c r="L910" s="11"/>
      <c r="M910" s="15"/>
      <c r="N910" s="15"/>
      <c r="O910" s="15"/>
      <c r="P910" s="15"/>
      <c r="Q910" s="15"/>
      <c r="R910" s="15"/>
      <c r="S910" s="15"/>
      <c r="T910" s="15"/>
      <c r="U910" s="15"/>
      <c r="V910" s="15"/>
      <c r="W910" s="15"/>
      <c r="X910" s="15"/>
      <c r="Y910" s="15"/>
      <c r="Z910" s="15"/>
      <c r="AA910" s="15"/>
      <c r="AB910" s="15"/>
      <c r="AC910" s="15"/>
      <c r="AD910" s="15"/>
      <c r="AE910" s="15"/>
      <c r="AF910" s="15"/>
    </row>
    <row r="911" ht="15.75" customHeight="1">
      <c r="A911" s="15"/>
      <c r="B911" s="15"/>
      <c r="C911" s="21"/>
      <c r="D911" s="15"/>
      <c r="E911" s="15"/>
      <c r="F911" s="15"/>
      <c r="G911" s="15"/>
      <c r="H911" s="15"/>
      <c r="I911" s="11"/>
      <c r="J911" s="11"/>
      <c r="K911" s="11"/>
      <c r="L911" s="11"/>
      <c r="M911" s="15"/>
      <c r="N911" s="15"/>
      <c r="O911" s="15"/>
      <c r="P911" s="15"/>
      <c r="Q911" s="15"/>
      <c r="R911" s="15"/>
      <c r="S911" s="15"/>
      <c r="T911" s="15"/>
      <c r="U911" s="15"/>
      <c r="V911" s="15"/>
      <c r="W911" s="15"/>
      <c r="X911" s="15"/>
      <c r="Y911" s="15"/>
      <c r="Z911" s="15"/>
      <c r="AA911" s="15"/>
      <c r="AB911" s="15"/>
      <c r="AC911" s="15"/>
      <c r="AD911" s="15"/>
      <c r="AE911" s="15"/>
      <c r="AF911" s="15"/>
    </row>
    <row r="912" ht="15.75" customHeight="1">
      <c r="A912" s="15"/>
      <c r="B912" s="15"/>
      <c r="C912" s="21"/>
      <c r="D912" s="15"/>
      <c r="E912" s="15"/>
      <c r="F912" s="15"/>
      <c r="G912" s="15"/>
      <c r="H912" s="15"/>
      <c r="I912" s="11"/>
      <c r="J912" s="11"/>
      <c r="K912" s="11"/>
      <c r="L912" s="11"/>
      <c r="M912" s="15"/>
      <c r="N912" s="15"/>
      <c r="O912" s="15"/>
      <c r="P912" s="15"/>
      <c r="Q912" s="15"/>
      <c r="R912" s="15"/>
      <c r="S912" s="15"/>
      <c r="T912" s="15"/>
      <c r="U912" s="15"/>
      <c r="V912" s="15"/>
      <c r="W912" s="15"/>
      <c r="X912" s="15"/>
      <c r="Y912" s="15"/>
      <c r="Z912" s="15"/>
      <c r="AA912" s="15"/>
      <c r="AB912" s="15"/>
      <c r="AC912" s="15"/>
      <c r="AD912" s="15"/>
      <c r="AE912" s="15"/>
      <c r="AF912" s="15"/>
    </row>
    <row r="913" ht="15.75" customHeight="1">
      <c r="A913" s="15"/>
      <c r="B913" s="15"/>
      <c r="C913" s="21"/>
      <c r="D913" s="15"/>
      <c r="E913" s="15"/>
      <c r="F913" s="15"/>
      <c r="G913" s="15"/>
      <c r="H913" s="15"/>
      <c r="I913" s="11"/>
      <c r="J913" s="11"/>
      <c r="K913" s="11"/>
      <c r="L913" s="11"/>
      <c r="M913" s="15"/>
      <c r="N913" s="15"/>
      <c r="O913" s="15"/>
      <c r="P913" s="15"/>
      <c r="Q913" s="15"/>
      <c r="R913" s="15"/>
      <c r="S913" s="15"/>
      <c r="T913" s="15"/>
      <c r="U913" s="15"/>
      <c r="V913" s="15"/>
      <c r="W913" s="15"/>
      <c r="X913" s="15"/>
      <c r="Y913" s="15"/>
      <c r="Z913" s="15"/>
      <c r="AA913" s="15"/>
      <c r="AB913" s="15"/>
      <c r="AC913" s="15"/>
      <c r="AD913" s="15"/>
      <c r="AE913" s="15"/>
      <c r="AF913" s="15"/>
    </row>
    <row r="914" ht="15.75" customHeight="1">
      <c r="A914" s="15"/>
      <c r="B914" s="15"/>
      <c r="C914" s="21"/>
      <c r="D914" s="15"/>
      <c r="E914" s="15"/>
      <c r="F914" s="15"/>
      <c r="G914" s="15"/>
      <c r="H914" s="15"/>
      <c r="I914" s="11"/>
      <c r="J914" s="11"/>
      <c r="K914" s="11"/>
      <c r="L914" s="11"/>
      <c r="M914" s="15"/>
      <c r="N914" s="15"/>
      <c r="O914" s="15"/>
      <c r="P914" s="15"/>
      <c r="Q914" s="15"/>
      <c r="R914" s="15"/>
      <c r="S914" s="15"/>
      <c r="T914" s="15"/>
      <c r="U914" s="15"/>
      <c r="V914" s="15"/>
      <c r="W914" s="15"/>
      <c r="X914" s="15"/>
      <c r="Y914" s="15"/>
      <c r="Z914" s="15"/>
      <c r="AA914" s="15"/>
      <c r="AB914" s="15"/>
      <c r="AC914" s="15"/>
      <c r="AD914" s="15"/>
      <c r="AE914" s="15"/>
      <c r="AF914" s="15"/>
    </row>
    <row r="915" ht="15.75" customHeight="1">
      <c r="A915" s="15"/>
      <c r="B915" s="15"/>
      <c r="C915" s="21"/>
      <c r="D915" s="15"/>
      <c r="E915" s="15"/>
      <c r="F915" s="15"/>
      <c r="G915" s="15"/>
      <c r="H915" s="15"/>
      <c r="I915" s="11"/>
      <c r="J915" s="11"/>
      <c r="K915" s="11"/>
      <c r="L915" s="11"/>
      <c r="M915" s="15"/>
      <c r="N915" s="15"/>
      <c r="O915" s="15"/>
      <c r="P915" s="15"/>
      <c r="Q915" s="15"/>
      <c r="R915" s="15"/>
      <c r="S915" s="15"/>
      <c r="T915" s="15"/>
      <c r="U915" s="15"/>
      <c r="V915" s="15"/>
      <c r="W915" s="15"/>
      <c r="X915" s="15"/>
      <c r="Y915" s="15"/>
      <c r="Z915" s="15"/>
      <c r="AA915" s="15"/>
      <c r="AB915" s="15"/>
      <c r="AC915" s="15"/>
      <c r="AD915" s="15"/>
      <c r="AE915" s="15"/>
      <c r="AF915" s="15"/>
    </row>
    <row r="916" ht="15.75" customHeight="1">
      <c r="A916" s="15"/>
      <c r="B916" s="15"/>
      <c r="C916" s="21"/>
      <c r="D916" s="15"/>
      <c r="E916" s="15"/>
      <c r="F916" s="15"/>
      <c r="G916" s="15"/>
      <c r="H916" s="15"/>
      <c r="I916" s="11"/>
      <c r="J916" s="11"/>
      <c r="K916" s="11"/>
      <c r="L916" s="11"/>
      <c r="M916" s="15"/>
      <c r="N916" s="15"/>
      <c r="O916" s="15"/>
      <c r="P916" s="15"/>
      <c r="Q916" s="15"/>
      <c r="R916" s="15"/>
      <c r="S916" s="15"/>
      <c r="T916" s="15"/>
      <c r="U916" s="15"/>
      <c r="V916" s="15"/>
      <c r="W916" s="15"/>
      <c r="X916" s="15"/>
      <c r="Y916" s="15"/>
      <c r="Z916" s="15"/>
      <c r="AA916" s="15"/>
      <c r="AB916" s="15"/>
      <c r="AC916" s="15"/>
      <c r="AD916" s="15"/>
      <c r="AE916" s="15"/>
      <c r="AF916" s="15"/>
    </row>
    <row r="917" ht="15.75" customHeight="1">
      <c r="A917" s="15"/>
      <c r="B917" s="15"/>
      <c r="C917" s="21"/>
      <c r="D917" s="15"/>
      <c r="E917" s="15"/>
      <c r="F917" s="15"/>
      <c r="G917" s="15"/>
      <c r="H917" s="15"/>
      <c r="I917" s="11"/>
      <c r="J917" s="11"/>
      <c r="K917" s="11"/>
      <c r="L917" s="11"/>
      <c r="M917" s="15"/>
      <c r="N917" s="15"/>
      <c r="O917" s="15"/>
      <c r="P917" s="15"/>
      <c r="Q917" s="15"/>
      <c r="R917" s="15"/>
      <c r="S917" s="15"/>
      <c r="T917" s="15"/>
      <c r="U917" s="15"/>
      <c r="V917" s="15"/>
      <c r="W917" s="15"/>
      <c r="X917" s="15"/>
      <c r="Y917" s="15"/>
      <c r="Z917" s="15"/>
      <c r="AA917" s="15"/>
      <c r="AB917" s="15"/>
      <c r="AC917" s="15"/>
      <c r="AD917" s="15"/>
      <c r="AE917" s="15"/>
      <c r="AF917" s="15"/>
    </row>
    <row r="918" ht="15.75" customHeight="1">
      <c r="A918" s="15"/>
      <c r="B918" s="15"/>
      <c r="C918" s="21"/>
      <c r="D918" s="15"/>
      <c r="E918" s="15"/>
      <c r="F918" s="15"/>
      <c r="G918" s="15"/>
      <c r="H918" s="15"/>
      <c r="I918" s="11"/>
      <c r="J918" s="11"/>
      <c r="K918" s="11"/>
      <c r="L918" s="11"/>
      <c r="M918" s="15"/>
      <c r="N918" s="15"/>
      <c r="O918" s="15"/>
      <c r="P918" s="15"/>
      <c r="Q918" s="15"/>
      <c r="R918" s="15"/>
      <c r="S918" s="15"/>
      <c r="T918" s="15"/>
      <c r="U918" s="15"/>
      <c r="V918" s="15"/>
      <c r="W918" s="15"/>
      <c r="X918" s="15"/>
      <c r="Y918" s="15"/>
      <c r="Z918" s="15"/>
      <c r="AA918" s="15"/>
      <c r="AB918" s="15"/>
      <c r="AC918" s="15"/>
      <c r="AD918" s="15"/>
      <c r="AE918" s="15"/>
      <c r="AF918" s="15"/>
    </row>
    <row r="919" ht="15.75" customHeight="1">
      <c r="A919" s="15"/>
      <c r="B919" s="15"/>
      <c r="C919" s="21"/>
      <c r="D919" s="15"/>
      <c r="E919" s="15"/>
      <c r="F919" s="15"/>
      <c r="G919" s="15"/>
      <c r="H919" s="15"/>
      <c r="I919" s="11"/>
      <c r="J919" s="11"/>
      <c r="K919" s="11"/>
      <c r="L919" s="11"/>
      <c r="M919" s="15"/>
      <c r="N919" s="15"/>
      <c r="O919" s="15"/>
      <c r="P919" s="15"/>
      <c r="Q919" s="15"/>
      <c r="R919" s="15"/>
      <c r="S919" s="15"/>
      <c r="T919" s="15"/>
      <c r="U919" s="15"/>
      <c r="V919" s="15"/>
      <c r="W919" s="15"/>
      <c r="X919" s="15"/>
      <c r="Y919" s="15"/>
      <c r="Z919" s="15"/>
      <c r="AA919" s="15"/>
      <c r="AB919" s="15"/>
      <c r="AC919" s="15"/>
      <c r="AD919" s="15"/>
      <c r="AE919" s="15"/>
      <c r="AF919" s="15"/>
    </row>
    <row r="920" ht="15.75" customHeight="1">
      <c r="A920" s="15"/>
      <c r="B920" s="15"/>
      <c r="C920" s="21"/>
      <c r="D920" s="15"/>
      <c r="E920" s="15"/>
      <c r="F920" s="15"/>
      <c r="G920" s="15"/>
      <c r="H920" s="15"/>
      <c r="I920" s="11"/>
      <c r="J920" s="11"/>
      <c r="K920" s="11"/>
      <c r="L920" s="11"/>
      <c r="M920" s="15"/>
      <c r="N920" s="15"/>
      <c r="O920" s="15"/>
      <c r="P920" s="15"/>
      <c r="Q920" s="15"/>
      <c r="R920" s="15"/>
      <c r="S920" s="15"/>
      <c r="T920" s="15"/>
      <c r="U920" s="15"/>
      <c r="V920" s="15"/>
      <c r="W920" s="15"/>
      <c r="X920" s="15"/>
      <c r="Y920" s="15"/>
      <c r="Z920" s="15"/>
      <c r="AA920" s="15"/>
      <c r="AB920" s="15"/>
      <c r="AC920" s="15"/>
      <c r="AD920" s="15"/>
      <c r="AE920" s="15"/>
      <c r="AF920" s="15"/>
    </row>
    <row r="921" ht="15.75" customHeight="1">
      <c r="A921" s="15"/>
      <c r="B921" s="15"/>
      <c r="C921" s="21"/>
      <c r="D921" s="15"/>
      <c r="E921" s="15"/>
      <c r="F921" s="15"/>
      <c r="G921" s="15"/>
      <c r="H921" s="15"/>
      <c r="I921" s="11"/>
      <c r="J921" s="11"/>
      <c r="K921" s="11"/>
      <c r="L921" s="11"/>
      <c r="M921" s="15"/>
      <c r="N921" s="15"/>
      <c r="O921" s="15"/>
      <c r="P921" s="15"/>
      <c r="Q921" s="15"/>
      <c r="R921" s="15"/>
      <c r="S921" s="15"/>
      <c r="T921" s="15"/>
      <c r="U921" s="15"/>
      <c r="V921" s="15"/>
      <c r="W921" s="15"/>
      <c r="X921" s="15"/>
      <c r="Y921" s="15"/>
      <c r="Z921" s="15"/>
      <c r="AA921" s="15"/>
      <c r="AB921" s="15"/>
      <c r="AC921" s="15"/>
      <c r="AD921" s="15"/>
      <c r="AE921" s="15"/>
      <c r="AF921" s="15"/>
    </row>
    <row r="922" ht="15.75" customHeight="1">
      <c r="A922" s="15"/>
      <c r="B922" s="15"/>
      <c r="C922" s="21"/>
      <c r="D922" s="15"/>
      <c r="E922" s="15"/>
      <c r="F922" s="15"/>
      <c r="G922" s="15"/>
      <c r="H922" s="15"/>
      <c r="I922" s="11"/>
      <c r="J922" s="11"/>
      <c r="K922" s="11"/>
      <c r="L922" s="11"/>
      <c r="M922" s="15"/>
      <c r="N922" s="15"/>
      <c r="O922" s="15"/>
      <c r="P922" s="15"/>
      <c r="Q922" s="15"/>
      <c r="R922" s="15"/>
      <c r="S922" s="15"/>
      <c r="T922" s="15"/>
      <c r="U922" s="15"/>
      <c r="V922" s="15"/>
      <c r="W922" s="15"/>
      <c r="X922" s="15"/>
      <c r="Y922" s="15"/>
      <c r="Z922" s="15"/>
      <c r="AA922" s="15"/>
      <c r="AB922" s="15"/>
      <c r="AC922" s="15"/>
      <c r="AD922" s="15"/>
      <c r="AE922" s="15"/>
      <c r="AF922" s="15"/>
    </row>
    <row r="923" ht="15.75" customHeight="1">
      <c r="A923" s="15"/>
      <c r="B923" s="15"/>
      <c r="C923" s="21"/>
      <c r="D923" s="15"/>
      <c r="E923" s="15"/>
      <c r="F923" s="15"/>
      <c r="G923" s="15"/>
      <c r="H923" s="15"/>
      <c r="I923" s="11"/>
      <c r="J923" s="11"/>
      <c r="K923" s="11"/>
      <c r="L923" s="11"/>
      <c r="M923" s="15"/>
      <c r="N923" s="15"/>
      <c r="O923" s="15"/>
      <c r="P923" s="15"/>
      <c r="Q923" s="15"/>
      <c r="R923" s="15"/>
      <c r="S923" s="15"/>
      <c r="T923" s="15"/>
      <c r="U923" s="15"/>
      <c r="V923" s="15"/>
      <c r="W923" s="15"/>
      <c r="X923" s="15"/>
      <c r="Y923" s="15"/>
      <c r="Z923" s="15"/>
      <c r="AA923" s="15"/>
      <c r="AB923" s="15"/>
      <c r="AC923" s="15"/>
      <c r="AD923" s="15"/>
      <c r="AE923" s="15"/>
      <c r="AF923" s="15"/>
    </row>
    <row r="924" ht="15.75" customHeight="1">
      <c r="A924" s="15"/>
      <c r="B924" s="15"/>
      <c r="C924" s="21"/>
      <c r="D924" s="15"/>
      <c r="E924" s="15"/>
      <c r="F924" s="15"/>
      <c r="G924" s="15"/>
      <c r="H924" s="15"/>
      <c r="I924" s="11"/>
      <c r="J924" s="11"/>
      <c r="K924" s="11"/>
      <c r="L924" s="11"/>
      <c r="M924" s="15"/>
      <c r="N924" s="15"/>
      <c r="O924" s="15"/>
      <c r="P924" s="15"/>
      <c r="Q924" s="15"/>
      <c r="R924" s="15"/>
      <c r="S924" s="15"/>
      <c r="T924" s="15"/>
      <c r="U924" s="15"/>
      <c r="V924" s="15"/>
      <c r="W924" s="15"/>
      <c r="X924" s="15"/>
      <c r="Y924" s="15"/>
      <c r="Z924" s="15"/>
      <c r="AA924" s="15"/>
      <c r="AB924" s="15"/>
      <c r="AC924" s="15"/>
      <c r="AD924" s="15"/>
      <c r="AE924" s="15"/>
      <c r="AF924" s="15"/>
    </row>
    <row r="925" ht="15.75" customHeight="1">
      <c r="A925" s="15"/>
      <c r="B925" s="15"/>
      <c r="C925" s="21"/>
      <c r="D925" s="15"/>
      <c r="E925" s="15"/>
      <c r="F925" s="15"/>
      <c r="G925" s="15"/>
      <c r="H925" s="15"/>
      <c r="I925" s="11"/>
      <c r="J925" s="11"/>
      <c r="K925" s="11"/>
      <c r="L925" s="11"/>
      <c r="M925" s="15"/>
      <c r="N925" s="15"/>
      <c r="O925" s="15"/>
      <c r="P925" s="15"/>
      <c r="Q925" s="15"/>
      <c r="R925" s="15"/>
      <c r="S925" s="15"/>
      <c r="T925" s="15"/>
      <c r="U925" s="15"/>
      <c r="V925" s="15"/>
      <c r="W925" s="15"/>
      <c r="X925" s="15"/>
      <c r="Y925" s="15"/>
      <c r="Z925" s="15"/>
      <c r="AA925" s="15"/>
      <c r="AB925" s="15"/>
      <c r="AC925" s="15"/>
      <c r="AD925" s="15"/>
      <c r="AE925" s="15"/>
      <c r="AF925" s="15"/>
    </row>
    <row r="926" ht="15.75" customHeight="1">
      <c r="A926" s="15"/>
      <c r="B926" s="15"/>
      <c r="C926" s="21"/>
      <c r="D926" s="15"/>
      <c r="E926" s="15"/>
      <c r="F926" s="15"/>
      <c r="G926" s="15"/>
      <c r="H926" s="15"/>
      <c r="I926" s="11"/>
      <c r="J926" s="11"/>
      <c r="K926" s="11"/>
      <c r="L926" s="11"/>
      <c r="M926" s="15"/>
      <c r="N926" s="15"/>
      <c r="O926" s="15"/>
      <c r="P926" s="15"/>
      <c r="Q926" s="15"/>
      <c r="R926" s="15"/>
      <c r="S926" s="15"/>
      <c r="T926" s="15"/>
      <c r="U926" s="15"/>
      <c r="V926" s="15"/>
      <c r="W926" s="15"/>
      <c r="X926" s="15"/>
      <c r="Y926" s="15"/>
      <c r="Z926" s="15"/>
      <c r="AA926" s="15"/>
      <c r="AB926" s="15"/>
      <c r="AC926" s="15"/>
      <c r="AD926" s="15"/>
      <c r="AE926" s="15"/>
      <c r="AF926" s="15"/>
    </row>
    <row r="927" ht="15.75" customHeight="1">
      <c r="A927" s="15"/>
      <c r="B927" s="15"/>
      <c r="C927" s="21"/>
      <c r="D927" s="15"/>
      <c r="E927" s="15"/>
      <c r="F927" s="15"/>
      <c r="G927" s="15"/>
      <c r="H927" s="15"/>
      <c r="I927" s="11"/>
      <c r="J927" s="11"/>
      <c r="K927" s="11"/>
      <c r="L927" s="11"/>
      <c r="M927" s="15"/>
      <c r="N927" s="15"/>
      <c r="O927" s="15"/>
      <c r="P927" s="15"/>
      <c r="Q927" s="15"/>
      <c r="R927" s="15"/>
      <c r="S927" s="15"/>
      <c r="T927" s="15"/>
      <c r="U927" s="15"/>
      <c r="V927" s="15"/>
      <c r="W927" s="15"/>
      <c r="X927" s="15"/>
      <c r="Y927" s="15"/>
      <c r="Z927" s="15"/>
      <c r="AA927" s="15"/>
      <c r="AB927" s="15"/>
      <c r="AC927" s="15"/>
      <c r="AD927" s="15"/>
      <c r="AE927" s="15"/>
      <c r="AF927" s="15"/>
    </row>
    <row r="928" ht="15.75" customHeight="1">
      <c r="A928" s="15"/>
      <c r="B928" s="15"/>
      <c r="C928" s="21"/>
      <c r="D928" s="15"/>
      <c r="E928" s="15"/>
      <c r="F928" s="15"/>
      <c r="G928" s="15"/>
      <c r="H928" s="15"/>
      <c r="I928" s="11"/>
      <c r="J928" s="11"/>
      <c r="K928" s="11"/>
      <c r="L928" s="11"/>
      <c r="M928" s="15"/>
      <c r="N928" s="15"/>
      <c r="O928" s="15"/>
      <c r="P928" s="15"/>
      <c r="Q928" s="15"/>
      <c r="R928" s="15"/>
      <c r="S928" s="15"/>
      <c r="T928" s="15"/>
      <c r="U928" s="15"/>
      <c r="V928" s="15"/>
      <c r="W928" s="15"/>
      <c r="X928" s="15"/>
      <c r="Y928" s="15"/>
      <c r="Z928" s="15"/>
      <c r="AA928" s="15"/>
      <c r="AB928" s="15"/>
      <c r="AC928" s="15"/>
      <c r="AD928" s="15"/>
      <c r="AE928" s="15"/>
      <c r="AF928" s="15"/>
    </row>
    <row r="929" ht="15.75" customHeight="1">
      <c r="A929" s="15"/>
      <c r="B929" s="15"/>
      <c r="C929" s="21"/>
      <c r="D929" s="15"/>
      <c r="E929" s="15"/>
      <c r="F929" s="15"/>
      <c r="G929" s="15"/>
      <c r="H929" s="15"/>
      <c r="I929" s="11"/>
      <c r="J929" s="11"/>
      <c r="K929" s="11"/>
      <c r="L929" s="11"/>
      <c r="M929" s="15"/>
      <c r="N929" s="15"/>
      <c r="O929" s="15"/>
      <c r="P929" s="15"/>
      <c r="Q929" s="15"/>
      <c r="R929" s="15"/>
      <c r="S929" s="15"/>
      <c r="T929" s="15"/>
      <c r="U929" s="15"/>
      <c r="V929" s="15"/>
      <c r="W929" s="15"/>
      <c r="X929" s="15"/>
      <c r="Y929" s="15"/>
      <c r="Z929" s="15"/>
      <c r="AA929" s="15"/>
      <c r="AB929" s="15"/>
      <c r="AC929" s="15"/>
      <c r="AD929" s="15"/>
      <c r="AE929" s="15"/>
      <c r="AF929" s="15"/>
    </row>
    <row r="930" ht="15.75" customHeight="1">
      <c r="A930" s="15"/>
      <c r="B930" s="15"/>
      <c r="C930" s="21"/>
      <c r="D930" s="15"/>
      <c r="E930" s="15"/>
      <c r="F930" s="15"/>
      <c r="G930" s="15"/>
      <c r="H930" s="15"/>
      <c r="I930" s="11"/>
      <c r="J930" s="11"/>
      <c r="K930" s="11"/>
      <c r="L930" s="11"/>
      <c r="M930" s="15"/>
      <c r="N930" s="15"/>
      <c r="O930" s="15"/>
      <c r="P930" s="15"/>
      <c r="Q930" s="15"/>
      <c r="R930" s="15"/>
      <c r="S930" s="15"/>
      <c r="T930" s="15"/>
      <c r="U930" s="15"/>
      <c r="V930" s="15"/>
      <c r="W930" s="15"/>
      <c r="X930" s="15"/>
      <c r="Y930" s="15"/>
      <c r="Z930" s="15"/>
      <c r="AA930" s="15"/>
      <c r="AB930" s="15"/>
      <c r="AC930" s="15"/>
      <c r="AD930" s="15"/>
      <c r="AE930" s="15"/>
      <c r="AF930" s="15"/>
    </row>
    <row r="931" ht="15.75" customHeight="1">
      <c r="A931" s="15"/>
      <c r="B931" s="15"/>
      <c r="C931" s="21"/>
      <c r="D931" s="15"/>
      <c r="E931" s="15"/>
      <c r="F931" s="15"/>
      <c r="G931" s="15"/>
      <c r="H931" s="15"/>
      <c r="I931" s="11"/>
      <c r="J931" s="11"/>
      <c r="K931" s="11"/>
      <c r="L931" s="11"/>
      <c r="M931" s="15"/>
      <c r="N931" s="15"/>
      <c r="O931" s="15"/>
      <c r="P931" s="15"/>
      <c r="Q931" s="15"/>
      <c r="R931" s="15"/>
      <c r="S931" s="15"/>
      <c r="T931" s="15"/>
      <c r="U931" s="15"/>
      <c r="V931" s="15"/>
      <c r="W931" s="15"/>
      <c r="X931" s="15"/>
      <c r="Y931" s="15"/>
      <c r="Z931" s="15"/>
      <c r="AA931" s="15"/>
      <c r="AB931" s="15"/>
      <c r="AC931" s="15"/>
      <c r="AD931" s="15"/>
      <c r="AE931" s="15"/>
      <c r="AF931" s="15"/>
    </row>
    <row r="932" ht="15.75" customHeight="1">
      <c r="A932" s="15"/>
      <c r="B932" s="15"/>
      <c r="C932" s="21"/>
      <c r="D932" s="15"/>
      <c r="E932" s="15"/>
      <c r="F932" s="15"/>
      <c r="G932" s="15"/>
      <c r="H932" s="15"/>
      <c r="I932" s="11"/>
      <c r="J932" s="11"/>
      <c r="K932" s="11"/>
      <c r="L932" s="11"/>
      <c r="M932" s="15"/>
      <c r="N932" s="15"/>
      <c r="O932" s="15"/>
      <c r="P932" s="15"/>
      <c r="Q932" s="15"/>
      <c r="R932" s="15"/>
      <c r="S932" s="15"/>
      <c r="T932" s="15"/>
      <c r="U932" s="15"/>
      <c r="V932" s="15"/>
      <c r="W932" s="15"/>
      <c r="X932" s="15"/>
      <c r="Y932" s="15"/>
      <c r="Z932" s="15"/>
      <c r="AA932" s="15"/>
      <c r="AB932" s="15"/>
      <c r="AC932" s="15"/>
      <c r="AD932" s="15"/>
      <c r="AE932" s="15"/>
      <c r="AF932" s="15"/>
    </row>
    <row r="933" ht="15.75" customHeight="1">
      <c r="A933" s="15"/>
      <c r="B933" s="15"/>
      <c r="C933" s="21"/>
      <c r="D933" s="15"/>
      <c r="E933" s="15"/>
      <c r="F933" s="15"/>
      <c r="G933" s="15"/>
      <c r="H933" s="15"/>
      <c r="I933" s="11"/>
      <c r="J933" s="11"/>
      <c r="K933" s="11"/>
      <c r="L933" s="11"/>
      <c r="M933" s="15"/>
      <c r="N933" s="15"/>
      <c r="O933" s="15"/>
      <c r="P933" s="15"/>
      <c r="Q933" s="15"/>
      <c r="R933" s="15"/>
      <c r="S933" s="15"/>
      <c r="T933" s="15"/>
      <c r="U933" s="15"/>
      <c r="V933" s="15"/>
      <c r="W933" s="15"/>
      <c r="X933" s="15"/>
      <c r="Y933" s="15"/>
      <c r="Z933" s="15"/>
      <c r="AA933" s="15"/>
      <c r="AB933" s="15"/>
      <c r="AC933" s="15"/>
      <c r="AD933" s="15"/>
      <c r="AE933" s="15"/>
      <c r="AF933" s="15"/>
    </row>
    <row r="934" ht="15.75" customHeight="1">
      <c r="A934" s="15"/>
      <c r="B934" s="15"/>
      <c r="C934" s="21"/>
      <c r="D934" s="15"/>
      <c r="E934" s="15"/>
      <c r="F934" s="15"/>
      <c r="G934" s="15"/>
      <c r="H934" s="15"/>
      <c r="I934" s="11"/>
      <c r="J934" s="11"/>
      <c r="K934" s="11"/>
      <c r="L934" s="11"/>
      <c r="M934" s="15"/>
      <c r="N934" s="15"/>
      <c r="O934" s="15"/>
      <c r="P934" s="15"/>
      <c r="Q934" s="15"/>
      <c r="R934" s="15"/>
      <c r="S934" s="15"/>
      <c r="T934" s="15"/>
      <c r="U934" s="15"/>
      <c r="V934" s="15"/>
      <c r="W934" s="15"/>
      <c r="X934" s="15"/>
      <c r="Y934" s="15"/>
      <c r="Z934" s="15"/>
      <c r="AA934" s="15"/>
      <c r="AB934" s="15"/>
      <c r="AC934" s="15"/>
      <c r="AD934" s="15"/>
      <c r="AE934" s="15"/>
      <c r="AF934" s="15"/>
    </row>
    <row r="935" ht="15.75" customHeight="1">
      <c r="A935" s="15"/>
      <c r="B935" s="15"/>
      <c r="C935" s="21"/>
      <c r="D935" s="15"/>
      <c r="E935" s="15"/>
      <c r="F935" s="15"/>
      <c r="G935" s="15"/>
      <c r="H935" s="15"/>
      <c r="I935" s="11"/>
      <c r="J935" s="11"/>
      <c r="K935" s="11"/>
      <c r="L935" s="11"/>
      <c r="M935" s="15"/>
      <c r="N935" s="15"/>
      <c r="O935" s="15"/>
      <c r="P935" s="15"/>
      <c r="Q935" s="15"/>
      <c r="R935" s="15"/>
      <c r="S935" s="15"/>
      <c r="T935" s="15"/>
      <c r="U935" s="15"/>
      <c r="V935" s="15"/>
      <c r="W935" s="15"/>
      <c r="X935" s="15"/>
      <c r="Y935" s="15"/>
      <c r="Z935" s="15"/>
      <c r="AA935" s="15"/>
      <c r="AB935" s="15"/>
      <c r="AC935" s="15"/>
      <c r="AD935" s="15"/>
      <c r="AE935" s="15"/>
      <c r="AF935" s="15"/>
    </row>
    <row r="936" ht="15.75" customHeight="1">
      <c r="A936" s="15"/>
      <c r="B936" s="15"/>
      <c r="C936" s="21"/>
      <c r="D936" s="15"/>
      <c r="E936" s="15"/>
      <c r="F936" s="15"/>
      <c r="G936" s="15"/>
      <c r="H936" s="15"/>
      <c r="I936" s="11"/>
      <c r="J936" s="11"/>
      <c r="K936" s="11"/>
      <c r="L936" s="11"/>
      <c r="M936" s="15"/>
      <c r="N936" s="15"/>
      <c r="O936" s="15"/>
      <c r="P936" s="15"/>
      <c r="Q936" s="15"/>
      <c r="R936" s="15"/>
      <c r="S936" s="15"/>
      <c r="T936" s="15"/>
      <c r="U936" s="15"/>
      <c r="V936" s="15"/>
      <c r="W936" s="15"/>
      <c r="X936" s="15"/>
      <c r="Y936" s="15"/>
      <c r="Z936" s="15"/>
      <c r="AA936" s="15"/>
      <c r="AB936" s="15"/>
      <c r="AC936" s="15"/>
      <c r="AD936" s="15"/>
      <c r="AE936" s="15"/>
      <c r="AF936" s="15"/>
    </row>
    <row r="937" ht="15.75" customHeight="1">
      <c r="A937" s="15"/>
      <c r="B937" s="15"/>
      <c r="C937" s="21"/>
      <c r="D937" s="15"/>
      <c r="E937" s="15"/>
      <c r="F937" s="15"/>
      <c r="G937" s="15"/>
      <c r="H937" s="15"/>
      <c r="I937" s="11"/>
      <c r="J937" s="11"/>
      <c r="K937" s="11"/>
      <c r="L937" s="11"/>
      <c r="M937" s="15"/>
      <c r="N937" s="15"/>
      <c r="O937" s="15"/>
      <c r="P937" s="15"/>
      <c r="Q937" s="15"/>
      <c r="R937" s="15"/>
      <c r="S937" s="15"/>
      <c r="T937" s="15"/>
      <c r="U937" s="15"/>
      <c r="V937" s="15"/>
      <c r="W937" s="15"/>
      <c r="X937" s="15"/>
      <c r="Y937" s="15"/>
      <c r="Z937" s="15"/>
      <c r="AA937" s="15"/>
      <c r="AB937" s="15"/>
      <c r="AC937" s="15"/>
      <c r="AD937" s="15"/>
      <c r="AE937" s="15"/>
      <c r="AF937" s="15"/>
    </row>
    <row r="938" ht="15.75" customHeight="1">
      <c r="A938" s="15"/>
      <c r="B938" s="15"/>
      <c r="C938" s="21"/>
      <c r="D938" s="15"/>
      <c r="E938" s="15"/>
      <c r="F938" s="15"/>
      <c r="G938" s="15"/>
      <c r="H938" s="15"/>
      <c r="I938" s="11"/>
      <c r="J938" s="11"/>
      <c r="K938" s="11"/>
      <c r="L938" s="11"/>
      <c r="M938" s="15"/>
      <c r="N938" s="15"/>
      <c r="O938" s="15"/>
      <c r="P938" s="15"/>
      <c r="Q938" s="15"/>
      <c r="R938" s="15"/>
      <c r="S938" s="15"/>
      <c r="T938" s="15"/>
      <c r="U938" s="15"/>
      <c r="V938" s="15"/>
      <c r="W938" s="15"/>
      <c r="X938" s="15"/>
      <c r="Y938" s="15"/>
      <c r="Z938" s="15"/>
      <c r="AA938" s="15"/>
      <c r="AB938" s="15"/>
      <c r="AC938" s="15"/>
      <c r="AD938" s="15"/>
      <c r="AE938" s="15"/>
      <c r="AF938" s="15"/>
    </row>
    <row r="939" ht="15.75" customHeight="1">
      <c r="A939" s="15"/>
      <c r="B939" s="15"/>
      <c r="C939" s="21"/>
      <c r="D939" s="15"/>
      <c r="E939" s="15"/>
      <c r="F939" s="15"/>
      <c r="G939" s="15"/>
      <c r="H939" s="15"/>
      <c r="I939" s="11"/>
      <c r="J939" s="11"/>
      <c r="K939" s="11"/>
      <c r="L939" s="11"/>
      <c r="M939" s="15"/>
      <c r="N939" s="15"/>
      <c r="O939" s="15"/>
      <c r="P939" s="15"/>
      <c r="Q939" s="15"/>
      <c r="R939" s="15"/>
      <c r="S939" s="15"/>
      <c r="T939" s="15"/>
      <c r="U939" s="15"/>
      <c r="V939" s="15"/>
      <c r="W939" s="15"/>
      <c r="X939" s="15"/>
      <c r="Y939" s="15"/>
      <c r="Z939" s="15"/>
      <c r="AA939" s="15"/>
      <c r="AB939" s="15"/>
      <c r="AC939" s="15"/>
      <c r="AD939" s="15"/>
      <c r="AE939" s="15"/>
      <c r="AF939" s="15"/>
    </row>
    <row r="940" ht="15.75" customHeight="1">
      <c r="A940" s="15"/>
      <c r="B940" s="15"/>
      <c r="C940" s="21"/>
      <c r="D940" s="15"/>
      <c r="E940" s="15"/>
      <c r="F940" s="15"/>
      <c r="G940" s="15"/>
      <c r="H940" s="15"/>
      <c r="I940" s="11"/>
      <c r="J940" s="11"/>
      <c r="K940" s="11"/>
      <c r="L940" s="11"/>
      <c r="M940" s="15"/>
      <c r="N940" s="15"/>
      <c r="O940" s="15"/>
      <c r="P940" s="15"/>
      <c r="Q940" s="15"/>
      <c r="R940" s="15"/>
      <c r="S940" s="15"/>
      <c r="T940" s="15"/>
      <c r="U940" s="15"/>
      <c r="V940" s="15"/>
      <c r="W940" s="15"/>
      <c r="X940" s="15"/>
      <c r="Y940" s="15"/>
      <c r="Z940" s="15"/>
      <c r="AA940" s="15"/>
      <c r="AB940" s="15"/>
      <c r="AC940" s="15"/>
      <c r="AD940" s="15"/>
      <c r="AE940" s="15"/>
      <c r="AF940" s="15"/>
    </row>
    <row r="941" ht="15.75" customHeight="1">
      <c r="A941" s="15"/>
      <c r="B941" s="15"/>
      <c r="C941" s="21"/>
      <c r="D941" s="15"/>
      <c r="E941" s="15"/>
      <c r="F941" s="15"/>
      <c r="G941" s="15"/>
      <c r="H941" s="15"/>
      <c r="I941" s="11"/>
      <c r="J941" s="11"/>
      <c r="K941" s="11"/>
      <c r="L941" s="11"/>
      <c r="M941" s="15"/>
      <c r="N941" s="15"/>
      <c r="O941" s="15"/>
      <c r="P941" s="15"/>
      <c r="Q941" s="15"/>
      <c r="R941" s="15"/>
      <c r="S941" s="15"/>
      <c r="T941" s="15"/>
      <c r="U941" s="15"/>
      <c r="V941" s="15"/>
      <c r="W941" s="15"/>
      <c r="X941" s="15"/>
      <c r="Y941" s="15"/>
      <c r="Z941" s="15"/>
      <c r="AA941" s="15"/>
      <c r="AB941" s="15"/>
      <c r="AC941" s="15"/>
      <c r="AD941" s="15"/>
      <c r="AE941" s="15"/>
      <c r="AF941" s="15"/>
    </row>
    <row r="942" ht="15.75" customHeight="1">
      <c r="A942" s="15"/>
      <c r="B942" s="15"/>
      <c r="C942" s="21"/>
      <c r="D942" s="15"/>
      <c r="E942" s="15"/>
      <c r="F942" s="15"/>
      <c r="G942" s="15"/>
      <c r="H942" s="15"/>
      <c r="I942" s="11"/>
      <c r="J942" s="11"/>
      <c r="K942" s="11"/>
      <c r="L942" s="11"/>
      <c r="M942" s="15"/>
      <c r="N942" s="15"/>
      <c r="O942" s="15"/>
      <c r="P942" s="15"/>
      <c r="Q942" s="15"/>
      <c r="R942" s="15"/>
      <c r="S942" s="15"/>
      <c r="T942" s="15"/>
      <c r="U942" s="15"/>
      <c r="V942" s="15"/>
      <c r="W942" s="15"/>
      <c r="X942" s="15"/>
      <c r="Y942" s="15"/>
      <c r="Z942" s="15"/>
      <c r="AA942" s="15"/>
      <c r="AB942" s="15"/>
      <c r="AC942" s="15"/>
      <c r="AD942" s="15"/>
      <c r="AE942" s="15"/>
      <c r="AF942" s="15"/>
    </row>
    <row r="943" ht="15.75" customHeight="1">
      <c r="A943" s="15"/>
      <c r="B943" s="15"/>
      <c r="C943" s="21"/>
      <c r="D943" s="15"/>
      <c r="E943" s="15"/>
      <c r="F943" s="15"/>
      <c r="G943" s="15"/>
      <c r="H943" s="15"/>
      <c r="I943" s="11"/>
      <c r="J943" s="11"/>
      <c r="K943" s="11"/>
      <c r="L943" s="11"/>
      <c r="M943" s="15"/>
      <c r="N943" s="15"/>
      <c r="O943" s="15"/>
      <c r="P943" s="15"/>
      <c r="Q943" s="15"/>
      <c r="R943" s="15"/>
      <c r="S943" s="15"/>
      <c r="T943" s="15"/>
      <c r="U943" s="15"/>
      <c r="V943" s="15"/>
      <c r="W943" s="15"/>
      <c r="X943" s="15"/>
      <c r="Y943" s="15"/>
      <c r="Z943" s="15"/>
      <c r="AA943" s="15"/>
      <c r="AB943" s="15"/>
      <c r="AC943" s="15"/>
      <c r="AD943" s="15"/>
      <c r="AE943" s="15"/>
      <c r="AF943" s="15"/>
    </row>
    <row r="944" ht="15.75" customHeight="1">
      <c r="A944" s="15"/>
      <c r="B944" s="15"/>
      <c r="C944" s="21"/>
      <c r="D944" s="15"/>
      <c r="E944" s="15"/>
      <c r="F944" s="15"/>
      <c r="G944" s="15"/>
      <c r="H944" s="15"/>
      <c r="I944" s="11"/>
      <c r="J944" s="11"/>
      <c r="K944" s="11"/>
      <c r="L944" s="11"/>
      <c r="M944" s="15"/>
      <c r="N944" s="15"/>
      <c r="O944" s="15"/>
      <c r="P944" s="15"/>
      <c r="Q944" s="15"/>
      <c r="R944" s="15"/>
      <c r="S944" s="15"/>
      <c r="T944" s="15"/>
      <c r="U944" s="15"/>
      <c r="V944" s="15"/>
      <c r="W944" s="15"/>
      <c r="X944" s="15"/>
      <c r="Y944" s="15"/>
      <c r="Z944" s="15"/>
      <c r="AA944" s="15"/>
      <c r="AB944" s="15"/>
      <c r="AC944" s="15"/>
      <c r="AD944" s="15"/>
      <c r="AE944" s="15"/>
      <c r="AF944" s="15"/>
    </row>
    <row r="945" ht="15.75" customHeight="1">
      <c r="A945" s="15"/>
      <c r="B945" s="15"/>
      <c r="C945" s="21"/>
      <c r="D945" s="15"/>
      <c r="E945" s="15"/>
      <c r="F945" s="15"/>
      <c r="G945" s="15"/>
      <c r="H945" s="15"/>
      <c r="I945" s="11"/>
      <c r="J945" s="11"/>
      <c r="K945" s="11"/>
      <c r="L945" s="11"/>
      <c r="M945" s="15"/>
      <c r="N945" s="15"/>
      <c r="O945" s="15"/>
      <c r="P945" s="15"/>
      <c r="Q945" s="15"/>
      <c r="R945" s="15"/>
      <c r="S945" s="15"/>
      <c r="T945" s="15"/>
      <c r="U945" s="15"/>
      <c r="V945" s="15"/>
      <c r="W945" s="15"/>
      <c r="X945" s="15"/>
      <c r="Y945" s="15"/>
      <c r="Z945" s="15"/>
      <c r="AA945" s="15"/>
      <c r="AB945" s="15"/>
      <c r="AC945" s="15"/>
      <c r="AD945" s="15"/>
      <c r="AE945" s="15"/>
      <c r="AF945" s="15"/>
    </row>
    <row r="946" ht="15.75" customHeight="1">
      <c r="A946" s="15"/>
      <c r="B946" s="15"/>
      <c r="C946" s="21"/>
      <c r="D946" s="15"/>
      <c r="E946" s="15"/>
      <c r="F946" s="15"/>
      <c r="G946" s="15"/>
      <c r="H946" s="15"/>
      <c r="I946" s="11"/>
      <c r="J946" s="11"/>
      <c r="K946" s="11"/>
      <c r="L946" s="11"/>
      <c r="M946" s="15"/>
      <c r="N946" s="15"/>
      <c r="O946" s="15"/>
      <c r="P946" s="15"/>
      <c r="Q946" s="15"/>
      <c r="R946" s="15"/>
      <c r="S946" s="15"/>
      <c r="T946" s="15"/>
      <c r="U946" s="15"/>
      <c r="V946" s="15"/>
      <c r="W946" s="15"/>
      <c r="X946" s="15"/>
      <c r="Y946" s="15"/>
      <c r="Z946" s="15"/>
      <c r="AA946" s="15"/>
      <c r="AB946" s="15"/>
      <c r="AC946" s="15"/>
      <c r="AD946" s="15"/>
      <c r="AE946" s="15"/>
      <c r="AF946" s="15"/>
    </row>
    <row r="947" ht="15.75" customHeight="1">
      <c r="A947" s="15"/>
      <c r="B947" s="15"/>
      <c r="C947" s="21"/>
      <c r="D947" s="15"/>
      <c r="E947" s="15"/>
      <c r="F947" s="15"/>
      <c r="G947" s="15"/>
      <c r="H947" s="15"/>
      <c r="I947" s="11"/>
      <c r="J947" s="11"/>
      <c r="K947" s="11"/>
      <c r="L947" s="11"/>
      <c r="M947" s="15"/>
      <c r="N947" s="15"/>
      <c r="O947" s="15"/>
      <c r="P947" s="15"/>
      <c r="Q947" s="15"/>
      <c r="R947" s="15"/>
      <c r="S947" s="15"/>
      <c r="T947" s="15"/>
      <c r="U947" s="15"/>
      <c r="V947" s="15"/>
      <c r="W947" s="15"/>
      <c r="X947" s="15"/>
      <c r="Y947" s="15"/>
      <c r="Z947" s="15"/>
      <c r="AA947" s="15"/>
      <c r="AB947" s="15"/>
      <c r="AC947" s="15"/>
      <c r="AD947" s="15"/>
      <c r="AE947" s="15"/>
      <c r="AF947" s="15"/>
    </row>
    <row r="948" ht="15.75" customHeight="1">
      <c r="A948" s="15"/>
      <c r="B948" s="15"/>
      <c r="C948" s="21"/>
      <c r="D948" s="15"/>
      <c r="E948" s="15"/>
      <c r="F948" s="15"/>
      <c r="G948" s="15"/>
      <c r="H948" s="15"/>
      <c r="I948" s="11"/>
      <c r="J948" s="11"/>
      <c r="K948" s="11"/>
      <c r="L948" s="11"/>
      <c r="M948" s="15"/>
      <c r="N948" s="15"/>
      <c r="O948" s="15"/>
      <c r="P948" s="15"/>
      <c r="Q948" s="15"/>
      <c r="R948" s="15"/>
      <c r="S948" s="15"/>
      <c r="T948" s="15"/>
      <c r="U948" s="15"/>
      <c r="V948" s="15"/>
      <c r="W948" s="15"/>
      <c r="X948" s="15"/>
      <c r="Y948" s="15"/>
      <c r="Z948" s="15"/>
      <c r="AA948" s="15"/>
      <c r="AB948" s="15"/>
      <c r="AC948" s="15"/>
      <c r="AD948" s="15"/>
      <c r="AE948" s="15"/>
      <c r="AF948" s="15"/>
    </row>
    <row r="949" ht="15.75" customHeight="1">
      <c r="A949" s="15"/>
      <c r="B949" s="15"/>
      <c r="C949" s="21"/>
      <c r="D949" s="15"/>
      <c r="E949" s="15"/>
      <c r="F949" s="15"/>
      <c r="G949" s="15"/>
      <c r="H949" s="15"/>
      <c r="I949" s="11"/>
      <c r="J949" s="11"/>
      <c r="K949" s="11"/>
      <c r="L949" s="11"/>
      <c r="M949" s="15"/>
      <c r="N949" s="15"/>
      <c r="O949" s="15"/>
      <c r="P949" s="15"/>
      <c r="Q949" s="15"/>
      <c r="R949" s="15"/>
      <c r="S949" s="15"/>
      <c r="T949" s="15"/>
      <c r="U949" s="15"/>
      <c r="V949" s="15"/>
      <c r="W949" s="15"/>
      <c r="X949" s="15"/>
      <c r="Y949" s="15"/>
      <c r="Z949" s="15"/>
      <c r="AA949" s="15"/>
      <c r="AB949" s="15"/>
      <c r="AC949" s="15"/>
      <c r="AD949" s="15"/>
      <c r="AE949" s="15"/>
      <c r="AF949" s="15"/>
    </row>
    <row r="950" ht="15.75" customHeight="1">
      <c r="A950" s="15"/>
      <c r="B950" s="15"/>
      <c r="C950" s="21"/>
      <c r="D950" s="15"/>
      <c r="E950" s="15"/>
      <c r="F950" s="15"/>
      <c r="G950" s="15"/>
      <c r="H950" s="15"/>
      <c r="I950" s="11"/>
      <c r="J950" s="11"/>
      <c r="K950" s="11"/>
      <c r="L950" s="11"/>
      <c r="M950" s="15"/>
      <c r="N950" s="15"/>
      <c r="O950" s="15"/>
      <c r="P950" s="15"/>
      <c r="Q950" s="15"/>
      <c r="R950" s="15"/>
      <c r="S950" s="15"/>
      <c r="T950" s="15"/>
      <c r="U950" s="15"/>
      <c r="V950" s="15"/>
      <c r="W950" s="15"/>
      <c r="X950" s="15"/>
      <c r="Y950" s="15"/>
      <c r="Z950" s="15"/>
      <c r="AA950" s="15"/>
      <c r="AB950" s="15"/>
      <c r="AC950" s="15"/>
      <c r="AD950" s="15"/>
      <c r="AE950" s="15"/>
      <c r="AF950" s="15"/>
    </row>
    <row r="951" ht="15.75" customHeight="1">
      <c r="A951" s="15"/>
      <c r="B951" s="15"/>
      <c r="C951" s="21"/>
      <c r="D951" s="15"/>
      <c r="E951" s="15"/>
      <c r="F951" s="15"/>
      <c r="G951" s="15"/>
      <c r="H951" s="15"/>
      <c r="I951" s="11"/>
      <c r="J951" s="11"/>
      <c r="K951" s="11"/>
      <c r="L951" s="11"/>
      <c r="M951" s="15"/>
      <c r="N951" s="15"/>
      <c r="O951" s="15"/>
      <c r="P951" s="15"/>
      <c r="Q951" s="15"/>
      <c r="R951" s="15"/>
      <c r="S951" s="15"/>
      <c r="T951" s="15"/>
      <c r="U951" s="15"/>
      <c r="V951" s="15"/>
      <c r="W951" s="15"/>
      <c r="X951" s="15"/>
      <c r="Y951" s="15"/>
      <c r="Z951" s="15"/>
      <c r="AA951" s="15"/>
      <c r="AB951" s="15"/>
      <c r="AC951" s="15"/>
      <c r="AD951" s="15"/>
      <c r="AE951" s="15"/>
      <c r="AF951" s="15"/>
    </row>
    <row r="952" ht="15.75" customHeight="1">
      <c r="A952" s="15"/>
      <c r="B952" s="15"/>
      <c r="C952" s="21"/>
      <c r="D952" s="15"/>
      <c r="E952" s="15"/>
      <c r="F952" s="15"/>
      <c r="G952" s="15"/>
      <c r="H952" s="15"/>
      <c r="I952" s="11"/>
      <c r="J952" s="11"/>
      <c r="K952" s="11"/>
      <c r="L952" s="11"/>
      <c r="M952" s="15"/>
      <c r="N952" s="15"/>
      <c r="O952" s="15"/>
      <c r="P952" s="15"/>
      <c r="Q952" s="15"/>
      <c r="R952" s="15"/>
      <c r="S952" s="15"/>
      <c r="T952" s="15"/>
      <c r="U952" s="15"/>
      <c r="V952" s="15"/>
      <c r="W952" s="15"/>
      <c r="X952" s="15"/>
      <c r="Y952" s="15"/>
      <c r="Z952" s="15"/>
      <c r="AA952" s="15"/>
      <c r="AB952" s="15"/>
      <c r="AC952" s="15"/>
      <c r="AD952" s="15"/>
      <c r="AE952" s="15"/>
      <c r="AF952" s="15"/>
    </row>
    <row r="953" ht="15.75" customHeight="1">
      <c r="A953" s="15"/>
      <c r="B953" s="15"/>
      <c r="C953" s="21"/>
      <c r="D953" s="15"/>
      <c r="E953" s="15"/>
      <c r="F953" s="15"/>
      <c r="G953" s="15"/>
      <c r="H953" s="15"/>
      <c r="I953" s="11"/>
      <c r="J953" s="11"/>
      <c r="K953" s="11"/>
      <c r="L953" s="11"/>
      <c r="M953" s="15"/>
      <c r="N953" s="15"/>
      <c r="O953" s="15"/>
      <c r="P953" s="15"/>
      <c r="Q953" s="15"/>
      <c r="R953" s="15"/>
      <c r="S953" s="15"/>
      <c r="T953" s="15"/>
      <c r="U953" s="15"/>
      <c r="V953" s="15"/>
      <c r="W953" s="15"/>
      <c r="X953" s="15"/>
      <c r="Y953" s="15"/>
      <c r="Z953" s="15"/>
      <c r="AA953" s="15"/>
      <c r="AB953" s="15"/>
      <c r="AC953" s="15"/>
      <c r="AD953" s="15"/>
      <c r="AE953" s="15"/>
      <c r="AF953" s="15"/>
    </row>
    <row r="954" ht="15.75" customHeight="1">
      <c r="A954" s="15"/>
      <c r="B954" s="15"/>
      <c r="C954" s="21"/>
      <c r="D954" s="15"/>
      <c r="E954" s="15"/>
      <c r="F954" s="15"/>
      <c r="G954" s="15"/>
      <c r="H954" s="15"/>
      <c r="I954" s="11"/>
      <c r="J954" s="11"/>
      <c r="K954" s="11"/>
      <c r="L954" s="11"/>
      <c r="M954" s="15"/>
      <c r="N954" s="15"/>
      <c r="O954" s="15"/>
      <c r="P954" s="15"/>
      <c r="Q954" s="15"/>
      <c r="R954" s="15"/>
      <c r="S954" s="15"/>
      <c r="T954" s="15"/>
      <c r="U954" s="15"/>
      <c r="V954" s="15"/>
      <c r="W954" s="15"/>
      <c r="X954" s="15"/>
      <c r="Y954" s="15"/>
      <c r="Z954" s="15"/>
      <c r="AA954" s="15"/>
      <c r="AB954" s="15"/>
      <c r="AC954" s="15"/>
      <c r="AD954" s="15"/>
      <c r="AE954" s="15"/>
      <c r="AF954" s="15"/>
    </row>
    <row r="955" ht="15.75" customHeight="1">
      <c r="A955" s="15"/>
      <c r="B955" s="15"/>
      <c r="C955" s="21"/>
      <c r="D955" s="15"/>
      <c r="E955" s="15"/>
      <c r="F955" s="15"/>
      <c r="G955" s="15"/>
      <c r="H955" s="15"/>
      <c r="I955" s="11"/>
      <c r="J955" s="11"/>
      <c r="K955" s="11"/>
      <c r="L955" s="11"/>
      <c r="M955" s="15"/>
      <c r="N955" s="15"/>
      <c r="O955" s="15"/>
      <c r="P955" s="15"/>
      <c r="Q955" s="15"/>
      <c r="R955" s="15"/>
      <c r="S955" s="15"/>
      <c r="T955" s="15"/>
      <c r="U955" s="15"/>
      <c r="V955" s="15"/>
      <c r="W955" s="15"/>
      <c r="X955" s="15"/>
      <c r="Y955" s="15"/>
      <c r="Z955" s="15"/>
      <c r="AA955" s="15"/>
      <c r="AB955" s="15"/>
      <c r="AC955" s="15"/>
      <c r="AD955" s="15"/>
      <c r="AE955" s="15"/>
      <c r="AF955" s="15"/>
    </row>
    <row r="956" ht="15.75" customHeight="1">
      <c r="A956" s="15"/>
      <c r="B956" s="15"/>
      <c r="C956" s="21"/>
      <c r="D956" s="15"/>
      <c r="E956" s="15"/>
      <c r="F956" s="15"/>
      <c r="G956" s="15"/>
      <c r="H956" s="15"/>
      <c r="I956" s="11"/>
      <c r="J956" s="11"/>
      <c r="K956" s="11"/>
      <c r="L956" s="11"/>
      <c r="M956" s="15"/>
      <c r="N956" s="15"/>
      <c r="O956" s="15"/>
      <c r="P956" s="15"/>
      <c r="Q956" s="15"/>
      <c r="R956" s="15"/>
      <c r="S956" s="15"/>
      <c r="T956" s="15"/>
      <c r="U956" s="15"/>
      <c r="V956" s="15"/>
      <c r="W956" s="15"/>
      <c r="X956" s="15"/>
      <c r="Y956" s="15"/>
      <c r="Z956" s="15"/>
      <c r="AA956" s="15"/>
      <c r="AB956" s="15"/>
      <c r="AC956" s="15"/>
      <c r="AD956" s="15"/>
      <c r="AE956" s="15"/>
      <c r="AF956" s="15"/>
    </row>
    <row r="957" ht="15.75" customHeight="1">
      <c r="A957" s="15"/>
      <c r="B957" s="15"/>
      <c r="C957" s="21"/>
      <c r="D957" s="15"/>
      <c r="E957" s="15"/>
      <c r="F957" s="15"/>
      <c r="G957" s="15"/>
      <c r="H957" s="15"/>
      <c r="I957" s="11"/>
      <c r="J957" s="11"/>
      <c r="K957" s="11"/>
      <c r="L957" s="11"/>
      <c r="M957" s="15"/>
      <c r="N957" s="15"/>
      <c r="O957" s="15"/>
      <c r="P957" s="15"/>
      <c r="Q957" s="15"/>
      <c r="R957" s="15"/>
      <c r="S957" s="15"/>
      <c r="T957" s="15"/>
      <c r="U957" s="15"/>
      <c r="V957" s="15"/>
      <c r="W957" s="15"/>
      <c r="X957" s="15"/>
      <c r="Y957" s="15"/>
      <c r="Z957" s="15"/>
      <c r="AA957" s="15"/>
      <c r="AB957" s="15"/>
      <c r="AC957" s="15"/>
      <c r="AD957" s="15"/>
      <c r="AE957" s="15"/>
      <c r="AF957" s="15"/>
    </row>
    <row r="958" ht="15.75" customHeight="1">
      <c r="A958" s="15"/>
      <c r="B958" s="15"/>
      <c r="C958" s="21"/>
      <c r="D958" s="15"/>
      <c r="E958" s="15"/>
      <c r="F958" s="15"/>
      <c r="G958" s="15"/>
      <c r="H958" s="15"/>
      <c r="I958" s="11"/>
      <c r="J958" s="11"/>
      <c r="K958" s="11"/>
      <c r="L958" s="11"/>
      <c r="M958" s="15"/>
      <c r="N958" s="15"/>
      <c r="O958" s="15"/>
      <c r="P958" s="15"/>
      <c r="Q958" s="15"/>
      <c r="R958" s="15"/>
      <c r="S958" s="15"/>
      <c r="T958" s="15"/>
      <c r="U958" s="15"/>
      <c r="V958" s="15"/>
      <c r="W958" s="15"/>
      <c r="X958" s="15"/>
      <c r="Y958" s="15"/>
      <c r="Z958" s="15"/>
      <c r="AA958" s="15"/>
      <c r="AB958" s="15"/>
      <c r="AC958" s="15"/>
      <c r="AD958" s="15"/>
      <c r="AE958" s="15"/>
      <c r="AF958" s="15"/>
    </row>
    <row r="959" ht="15.75" customHeight="1">
      <c r="A959" s="15"/>
      <c r="B959" s="15"/>
      <c r="C959" s="21"/>
      <c r="D959" s="15"/>
      <c r="E959" s="15"/>
      <c r="F959" s="15"/>
      <c r="G959" s="15"/>
      <c r="H959" s="15"/>
      <c r="I959" s="11"/>
      <c r="J959" s="11"/>
      <c r="K959" s="11"/>
      <c r="L959" s="11"/>
      <c r="M959" s="15"/>
      <c r="N959" s="15"/>
      <c r="O959" s="15"/>
      <c r="P959" s="15"/>
      <c r="Q959" s="15"/>
      <c r="R959" s="15"/>
      <c r="S959" s="15"/>
      <c r="T959" s="15"/>
      <c r="U959" s="15"/>
      <c r="V959" s="15"/>
      <c r="W959" s="15"/>
      <c r="X959" s="15"/>
      <c r="Y959" s="15"/>
      <c r="Z959" s="15"/>
      <c r="AA959" s="15"/>
      <c r="AB959" s="15"/>
      <c r="AC959" s="15"/>
      <c r="AD959" s="15"/>
      <c r="AE959" s="15"/>
      <c r="AF959" s="15"/>
    </row>
    <row r="960" ht="15.75" customHeight="1">
      <c r="A960" s="15"/>
      <c r="B960" s="15"/>
      <c r="C960" s="21"/>
      <c r="D960" s="15"/>
      <c r="E960" s="15"/>
      <c r="F960" s="15"/>
      <c r="G960" s="15"/>
      <c r="H960" s="15"/>
      <c r="I960" s="11"/>
      <c r="J960" s="11"/>
      <c r="K960" s="11"/>
      <c r="L960" s="11"/>
      <c r="M960" s="15"/>
      <c r="N960" s="15"/>
      <c r="O960" s="15"/>
      <c r="P960" s="15"/>
      <c r="Q960" s="15"/>
      <c r="R960" s="15"/>
      <c r="S960" s="15"/>
      <c r="T960" s="15"/>
      <c r="U960" s="15"/>
      <c r="V960" s="15"/>
      <c r="W960" s="15"/>
      <c r="X960" s="15"/>
      <c r="Y960" s="15"/>
      <c r="Z960" s="15"/>
      <c r="AA960" s="15"/>
      <c r="AB960" s="15"/>
      <c r="AC960" s="15"/>
      <c r="AD960" s="15"/>
      <c r="AE960" s="15"/>
      <c r="AF960" s="15"/>
    </row>
    <row r="961" ht="15.75" customHeight="1">
      <c r="A961" s="15"/>
      <c r="B961" s="15"/>
      <c r="C961" s="21"/>
      <c r="D961" s="15"/>
      <c r="E961" s="15"/>
      <c r="F961" s="15"/>
      <c r="G961" s="15"/>
      <c r="H961" s="15"/>
      <c r="I961" s="11"/>
      <c r="J961" s="11"/>
      <c r="K961" s="11"/>
      <c r="L961" s="11"/>
      <c r="M961" s="15"/>
      <c r="N961" s="15"/>
      <c r="O961" s="15"/>
      <c r="P961" s="15"/>
      <c r="Q961" s="15"/>
      <c r="R961" s="15"/>
      <c r="S961" s="15"/>
      <c r="T961" s="15"/>
      <c r="U961" s="15"/>
      <c r="V961" s="15"/>
      <c r="W961" s="15"/>
      <c r="X961" s="15"/>
      <c r="Y961" s="15"/>
      <c r="Z961" s="15"/>
      <c r="AA961" s="15"/>
      <c r="AB961" s="15"/>
      <c r="AC961" s="15"/>
      <c r="AD961" s="15"/>
      <c r="AE961" s="15"/>
      <c r="AF961" s="15"/>
    </row>
    <row r="962" ht="15.75" customHeight="1">
      <c r="A962" s="15"/>
      <c r="B962" s="15"/>
      <c r="C962" s="21"/>
      <c r="D962" s="15"/>
      <c r="E962" s="15"/>
      <c r="F962" s="15"/>
      <c r="G962" s="15"/>
      <c r="H962" s="15"/>
      <c r="I962" s="11"/>
      <c r="J962" s="11"/>
      <c r="K962" s="11"/>
      <c r="L962" s="11"/>
      <c r="M962" s="15"/>
      <c r="N962" s="15"/>
      <c r="O962" s="15"/>
      <c r="P962" s="15"/>
      <c r="Q962" s="15"/>
      <c r="R962" s="15"/>
      <c r="S962" s="15"/>
      <c r="T962" s="15"/>
      <c r="U962" s="15"/>
      <c r="V962" s="15"/>
      <c r="W962" s="15"/>
      <c r="X962" s="15"/>
      <c r="Y962" s="15"/>
      <c r="Z962" s="15"/>
      <c r="AA962" s="15"/>
      <c r="AB962" s="15"/>
      <c r="AC962" s="15"/>
      <c r="AD962" s="15"/>
      <c r="AE962" s="15"/>
      <c r="AF962" s="15"/>
    </row>
    <row r="963" ht="15.75" customHeight="1">
      <c r="A963" s="15"/>
      <c r="B963" s="15"/>
      <c r="C963" s="21"/>
      <c r="D963" s="15"/>
      <c r="E963" s="15"/>
      <c r="F963" s="15"/>
      <c r="G963" s="15"/>
      <c r="H963" s="15"/>
      <c r="I963" s="11"/>
      <c r="J963" s="11"/>
      <c r="K963" s="11"/>
      <c r="L963" s="11"/>
      <c r="M963" s="15"/>
      <c r="N963" s="15"/>
      <c r="O963" s="15"/>
      <c r="P963" s="15"/>
      <c r="Q963" s="15"/>
      <c r="R963" s="15"/>
      <c r="S963" s="15"/>
      <c r="T963" s="15"/>
      <c r="U963" s="15"/>
      <c r="V963" s="15"/>
      <c r="W963" s="15"/>
      <c r="X963" s="15"/>
      <c r="Y963" s="15"/>
      <c r="Z963" s="15"/>
      <c r="AA963" s="15"/>
      <c r="AB963" s="15"/>
      <c r="AC963" s="15"/>
      <c r="AD963" s="15"/>
      <c r="AE963" s="15"/>
      <c r="AF963" s="15"/>
    </row>
    <row r="964" ht="15.75" customHeight="1">
      <c r="A964" s="15"/>
      <c r="B964" s="15"/>
      <c r="C964" s="21"/>
      <c r="D964" s="15"/>
      <c r="E964" s="15"/>
      <c r="F964" s="15"/>
      <c r="G964" s="15"/>
      <c r="H964" s="15"/>
      <c r="I964" s="11"/>
      <c r="J964" s="11"/>
      <c r="K964" s="11"/>
      <c r="L964" s="11"/>
      <c r="M964" s="15"/>
      <c r="N964" s="15"/>
      <c r="O964" s="15"/>
      <c r="P964" s="15"/>
      <c r="Q964" s="15"/>
      <c r="R964" s="15"/>
      <c r="S964" s="15"/>
      <c r="T964" s="15"/>
      <c r="U964" s="15"/>
      <c r="V964" s="15"/>
      <c r="W964" s="15"/>
      <c r="X964" s="15"/>
      <c r="Y964" s="15"/>
      <c r="Z964" s="15"/>
      <c r="AA964" s="15"/>
      <c r="AB964" s="15"/>
      <c r="AC964" s="15"/>
      <c r="AD964" s="15"/>
      <c r="AE964" s="15"/>
      <c r="AF964" s="15"/>
    </row>
    <row r="965" ht="15.75" customHeight="1">
      <c r="A965" s="15"/>
      <c r="B965" s="15"/>
      <c r="C965" s="21"/>
      <c r="D965" s="15"/>
      <c r="E965" s="15"/>
      <c r="F965" s="15"/>
      <c r="G965" s="15"/>
      <c r="H965" s="15"/>
      <c r="I965" s="11"/>
      <c r="J965" s="11"/>
      <c r="K965" s="11"/>
      <c r="L965" s="11"/>
      <c r="M965" s="15"/>
      <c r="N965" s="15"/>
      <c r="O965" s="15"/>
      <c r="P965" s="15"/>
      <c r="Q965" s="15"/>
      <c r="R965" s="15"/>
      <c r="S965" s="15"/>
      <c r="T965" s="15"/>
      <c r="U965" s="15"/>
      <c r="V965" s="15"/>
      <c r="W965" s="15"/>
      <c r="X965" s="15"/>
      <c r="Y965" s="15"/>
      <c r="Z965" s="15"/>
      <c r="AA965" s="15"/>
      <c r="AB965" s="15"/>
      <c r="AC965" s="15"/>
      <c r="AD965" s="15"/>
      <c r="AE965" s="15"/>
      <c r="AF965" s="15"/>
    </row>
    <row r="966" ht="15.75" customHeight="1">
      <c r="A966" s="15"/>
      <c r="B966" s="15"/>
      <c r="C966" s="21"/>
      <c r="D966" s="15"/>
      <c r="E966" s="15"/>
      <c r="F966" s="15"/>
      <c r="G966" s="15"/>
      <c r="H966" s="15"/>
      <c r="I966" s="11"/>
      <c r="J966" s="11"/>
      <c r="K966" s="11"/>
      <c r="L966" s="11"/>
      <c r="M966" s="15"/>
      <c r="N966" s="15"/>
      <c r="O966" s="15"/>
      <c r="P966" s="15"/>
      <c r="Q966" s="15"/>
      <c r="R966" s="15"/>
      <c r="S966" s="15"/>
      <c r="T966" s="15"/>
      <c r="U966" s="15"/>
      <c r="V966" s="15"/>
      <c r="W966" s="15"/>
      <c r="X966" s="15"/>
      <c r="Y966" s="15"/>
      <c r="Z966" s="15"/>
      <c r="AA966" s="15"/>
      <c r="AB966" s="15"/>
      <c r="AC966" s="15"/>
      <c r="AD966" s="15"/>
      <c r="AE966" s="15"/>
      <c r="AF966" s="15"/>
    </row>
    <row r="967" ht="15.75" customHeight="1">
      <c r="A967" s="15"/>
      <c r="B967" s="15"/>
      <c r="C967" s="21"/>
      <c r="D967" s="15"/>
      <c r="E967" s="15"/>
      <c r="F967" s="15"/>
      <c r="G967" s="15"/>
      <c r="H967" s="15"/>
      <c r="I967" s="11"/>
      <c r="J967" s="11"/>
      <c r="K967" s="11"/>
      <c r="L967" s="11"/>
      <c r="M967" s="15"/>
      <c r="N967" s="15"/>
      <c r="O967" s="15"/>
      <c r="P967" s="15"/>
      <c r="Q967" s="15"/>
      <c r="R967" s="15"/>
      <c r="S967" s="15"/>
      <c r="T967" s="15"/>
      <c r="U967" s="15"/>
      <c r="V967" s="15"/>
      <c r="W967" s="15"/>
      <c r="X967" s="15"/>
      <c r="Y967" s="15"/>
      <c r="Z967" s="15"/>
      <c r="AA967" s="15"/>
      <c r="AB967" s="15"/>
      <c r="AC967" s="15"/>
      <c r="AD967" s="15"/>
      <c r="AE967" s="15"/>
      <c r="AF967" s="15"/>
    </row>
    <row r="968" ht="15.75" customHeight="1">
      <c r="A968" s="15"/>
      <c r="B968" s="15"/>
      <c r="C968" s="21"/>
      <c r="D968" s="15"/>
      <c r="E968" s="15"/>
      <c r="F968" s="15"/>
      <c r="G968" s="15"/>
      <c r="H968" s="15"/>
      <c r="I968" s="11"/>
      <c r="J968" s="11"/>
      <c r="K968" s="11"/>
      <c r="L968" s="11"/>
      <c r="M968" s="15"/>
      <c r="N968" s="15"/>
      <c r="O968" s="15"/>
      <c r="P968" s="15"/>
      <c r="Q968" s="15"/>
      <c r="R968" s="15"/>
      <c r="S968" s="15"/>
      <c r="T968" s="15"/>
      <c r="U968" s="15"/>
      <c r="V968" s="15"/>
      <c r="W968" s="15"/>
      <c r="X968" s="15"/>
      <c r="Y968" s="15"/>
      <c r="Z968" s="15"/>
      <c r="AA968" s="15"/>
      <c r="AB968" s="15"/>
      <c r="AC968" s="15"/>
      <c r="AD968" s="15"/>
      <c r="AE968" s="15"/>
      <c r="AF968" s="15"/>
    </row>
    <row r="969" ht="15.75" customHeight="1">
      <c r="A969" s="15"/>
      <c r="B969" s="15"/>
      <c r="C969" s="21"/>
      <c r="D969" s="15"/>
      <c r="E969" s="15"/>
      <c r="F969" s="15"/>
      <c r="G969" s="15"/>
      <c r="H969" s="15"/>
      <c r="I969" s="11"/>
      <c r="J969" s="11"/>
      <c r="K969" s="11"/>
      <c r="L969" s="11"/>
      <c r="M969" s="15"/>
      <c r="N969" s="15"/>
      <c r="O969" s="15"/>
      <c r="P969" s="15"/>
      <c r="Q969" s="15"/>
      <c r="R969" s="15"/>
      <c r="S969" s="15"/>
      <c r="T969" s="15"/>
      <c r="U969" s="15"/>
      <c r="V969" s="15"/>
      <c r="W969" s="15"/>
      <c r="X969" s="15"/>
      <c r="Y969" s="15"/>
      <c r="Z969" s="15"/>
      <c r="AA969" s="15"/>
      <c r="AB969" s="15"/>
      <c r="AC969" s="15"/>
      <c r="AD969" s="15"/>
      <c r="AE969" s="15"/>
      <c r="AF969" s="15"/>
    </row>
    <row r="970" ht="15.75" customHeight="1">
      <c r="A970" s="15"/>
      <c r="B970" s="15"/>
      <c r="C970" s="21"/>
      <c r="D970" s="15"/>
      <c r="E970" s="15"/>
      <c r="F970" s="15"/>
      <c r="G970" s="15"/>
      <c r="H970" s="15"/>
      <c r="I970" s="11"/>
      <c r="J970" s="11"/>
      <c r="K970" s="11"/>
      <c r="L970" s="11"/>
      <c r="M970" s="15"/>
      <c r="N970" s="15"/>
      <c r="O970" s="15"/>
      <c r="P970" s="15"/>
      <c r="Q970" s="15"/>
      <c r="R970" s="15"/>
      <c r="S970" s="15"/>
      <c r="T970" s="15"/>
      <c r="U970" s="15"/>
      <c r="V970" s="15"/>
      <c r="W970" s="15"/>
      <c r="X970" s="15"/>
      <c r="Y970" s="15"/>
      <c r="Z970" s="15"/>
      <c r="AA970" s="15"/>
      <c r="AB970" s="15"/>
      <c r="AC970" s="15"/>
      <c r="AD970" s="15"/>
      <c r="AE970" s="15"/>
      <c r="AF970" s="15"/>
    </row>
    <row r="971" ht="15.75" customHeight="1">
      <c r="A971" s="15"/>
      <c r="B971" s="15"/>
      <c r="C971" s="21"/>
      <c r="D971" s="15"/>
      <c r="E971" s="15"/>
      <c r="F971" s="15"/>
      <c r="G971" s="15"/>
      <c r="H971" s="15"/>
      <c r="I971" s="11"/>
      <c r="J971" s="11"/>
      <c r="K971" s="11"/>
      <c r="L971" s="11"/>
      <c r="M971" s="15"/>
      <c r="N971" s="15"/>
      <c r="O971" s="15"/>
      <c r="P971" s="15"/>
      <c r="Q971" s="15"/>
      <c r="R971" s="15"/>
      <c r="S971" s="15"/>
      <c r="T971" s="15"/>
      <c r="U971" s="15"/>
      <c r="V971" s="15"/>
      <c r="W971" s="15"/>
      <c r="X971" s="15"/>
      <c r="Y971" s="15"/>
      <c r="Z971" s="15"/>
      <c r="AA971" s="15"/>
      <c r="AB971" s="15"/>
      <c r="AC971" s="15"/>
      <c r="AD971" s="15"/>
      <c r="AE971" s="15"/>
      <c r="AF971" s="15"/>
    </row>
    <row r="972" ht="15.75" customHeight="1">
      <c r="A972" s="15"/>
      <c r="B972" s="15"/>
      <c r="C972" s="21"/>
      <c r="D972" s="15"/>
      <c r="E972" s="15"/>
      <c r="F972" s="15"/>
      <c r="G972" s="15"/>
      <c r="H972" s="15"/>
      <c r="I972" s="11"/>
      <c r="J972" s="11"/>
      <c r="K972" s="11"/>
      <c r="L972" s="11"/>
      <c r="M972" s="15"/>
      <c r="N972" s="15"/>
      <c r="O972" s="15"/>
      <c r="P972" s="15"/>
      <c r="Q972" s="15"/>
      <c r="R972" s="15"/>
      <c r="S972" s="15"/>
      <c r="T972" s="15"/>
      <c r="U972" s="15"/>
      <c r="V972" s="15"/>
      <c r="W972" s="15"/>
      <c r="X972" s="15"/>
      <c r="Y972" s="15"/>
      <c r="Z972" s="15"/>
      <c r="AA972" s="15"/>
      <c r="AB972" s="15"/>
      <c r="AC972" s="15"/>
      <c r="AD972" s="15"/>
      <c r="AE972" s="15"/>
      <c r="AF972" s="15"/>
    </row>
    <row r="973" ht="15.75" customHeight="1">
      <c r="A973" s="15"/>
      <c r="B973" s="15"/>
      <c r="C973" s="21"/>
      <c r="D973" s="15"/>
      <c r="E973" s="15"/>
      <c r="F973" s="15"/>
      <c r="G973" s="15"/>
      <c r="H973" s="15"/>
      <c r="I973" s="11"/>
      <c r="J973" s="11"/>
      <c r="K973" s="11"/>
      <c r="L973" s="11"/>
      <c r="M973" s="15"/>
      <c r="N973" s="15"/>
      <c r="O973" s="15"/>
      <c r="P973" s="15"/>
      <c r="Q973" s="15"/>
      <c r="R973" s="15"/>
      <c r="S973" s="15"/>
      <c r="T973" s="15"/>
      <c r="U973" s="15"/>
      <c r="V973" s="15"/>
      <c r="W973" s="15"/>
      <c r="X973" s="15"/>
      <c r="Y973" s="15"/>
      <c r="Z973" s="15"/>
      <c r="AA973" s="15"/>
      <c r="AB973" s="15"/>
      <c r="AC973" s="15"/>
      <c r="AD973" s="15"/>
      <c r="AE973" s="15"/>
      <c r="AF973" s="15"/>
    </row>
    <row r="974" ht="15.75" customHeight="1">
      <c r="A974" s="15"/>
      <c r="B974" s="15"/>
      <c r="C974" s="21"/>
      <c r="D974" s="15"/>
      <c r="E974" s="15"/>
      <c r="F974" s="15"/>
      <c r="G974" s="15"/>
      <c r="H974" s="15"/>
      <c r="I974" s="11"/>
      <c r="J974" s="11"/>
      <c r="K974" s="11"/>
      <c r="L974" s="11"/>
      <c r="M974" s="15"/>
      <c r="N974" s="15"/>
      <c r="O974" s="15"/>
      <c r="P974" s="15"/>
      <c r="Q974" s="15"/>
      <c r="R974" s="15"/>
      <c r="S974" s="15"/>
      <c r="T974" s="15"/>
      <c r="U974" s="15"/>
      <c r="V974" s="15"/>
      <c r="W974" s="15"/>
      <c r="X974" s="15"/>
      <c r="Y974" s="15"/>
      <c r="Z974" s="15"/>
      <c r="AA974" s="15"/>
      <c r="AB974" s="15"/>
      <c r="AC974" s="15"/>
      <c r="AD974" s="15"/>
      <c r="AE974" s="15"/>
      <c r="AF974" s="15"/>
    </row>
    <row r="975" ht="15.75" customHeight="1">
      <c r="A975" s="15"/>
      <c r="B975" s="15"/>
      <c r="C975" s="21"/>
      <c r="D975" s="15"/>
      <c r="E975" s="15"/>
      <c r="F975" s="15"/>
      <c r="G975" s="15"/>
      <c r="H975" s="15"/>
      <c r="I975" s="11"/>
      <c r="J975" s="11"/>
      <c r="K975" s="11"/>
      <c r="L975" s="11"/>
      <c r="M975" s="15"/>
      <c r="N975" s="15"/>
      <c r="O975" s="15"/>
      <c r="P975" s="15"/>
      <c r="Q975" s="15"/>
      <c r="R975" s="15"/>
      <c r="S975" s="15"/>
      <c r="T975" s="15"/>
      <c r="U975" s="15"/>
      <c r="V975" s="15"/>
      <c r="W975" s="15"/>
      <c r="X975" s="15"/>
      <c r="Y975" s="15"/>
      <c r="Z975" s="15"/>
      <c r="AA975" s="15"/>
      <c r="AB975" s="15"/>
      <c r="AC975" s="15"/>
      <c r="AD975" s="15"/>
      <c r="AE975" s="15"/>
      <c r="AF975" s="15"/>
    </row>
    <row r="976" ht="15.75" customHeight="1">
      <c r="A976" s="15"/>
      <c r="B976" s="15"/>
      <c r="C976" s="21"/>
      <c r="D976" s="15"/>
      <c r="E976" s="15"/>
      <c r="F976" s="15"/>
      <c r="G976" s="15"/>
      <c r="H976" s="15"/>
      <c r="I976" s="11"/>
      <c r="J976" s="11"/>
      <c r="K976" s="11"/>
      <c r="L976" s="11"/>
      <c r="M976" s="15"/>
      <c r="N976" s="15"/>
      <c r="O976" s="15"/>
      <c r="P976" s="15"/>
      <c r="Q976" s="15"/>
      <c r="R976" s="15"/>
      <c r="S976" s="15"/>
      <c r="T976" s="15"/>
      <c r="U976" s="15"/>
      <c r="V976" s="15"/>
      <c r="W976" s="15"/>
      <c r="X976" s="15"/>
      <c r="Y976" s="15"/>
      <c r="Z976" s="15"/>
      <c r="AA976" s="15"/>
      <c r="AB976" s="15"/>
      <c r="AC976" s="15"/>
      <c r="AD976" s="15"/>
      <c r="AE976" s="15"/>
      <c r="AF976" s="15"/>
    </row>
    <row r="977" ht="15.75" customHeight="1">
      <c r="A977" s="15"/>
      <c r="B977" s="15"/>
      <c r="C977" s="21"/>
      <c r="D977" s="15"/>
      <c r="E977" s="15"/>
      <c r="F977" s="15"/>
      <c r="G977" s="15"/>
      <c r="H977" s="15"/>
      <c r="I977" s="11"/>
      <c r="J977" s="11"/>
      <c r="K977" s="11"/>
      <c r="L977" s="11"/>
      <c r="M977" s="15"/>
      <c r="N977" s="15"/>
      <c r="O977" s="15"/>
      <c r="P977" s="15"/>
      <c r="Q977" s="15"/>
      <c r="R977" s="15"/>
      <c r="S977" s="15"/>
      <c r="T977" s="15"/>
      <c r="U977" s="15"/>
      <c r="V977" s="15"/>
      <c r="W977" s="15"/>
      <c r="X977" s="15"/>
      <c r="Y977" s="15"/>
      <c r="Z977" s="15"/>
      <c r="AA977" s="15"/>
      <c r="AB977" s="15"/>
      <c r="AC977" s="15"/>
      <c r="AD977" s="15"/>
      <c r="AE977" s="15"/>
      <c r="AF977" s="15"/>
    </row>
    <row r="978" ht="15.75" customHeight="1">
      <c r="A978" s="15"/>
      <c r="B978" s="15"/>
      <c r="C978" s="21"/>
      <c r="D978" s="15"/>
      <c r="E978" s="15"/>
      <c r="F978" s="15"/>
      <c r="G978" s="15"/>
      <c r="H978" s="15"/>
      <c r="I978" s="11"/>
      <c r="J978" s="11"/>
      <c r="K978" s="11"/>
      <c r="L978" s="11"/>
      <c r="M978" s="15"/>
      <c r="N978" s="15"/>
      <c r="O978" s="15"/>
      <c r="P978" s="15"/>
      <c r="Q978" s="15"/>
      <c r="R978" s="15"/>
      <c r="S978" s="15"/>
      <c r="T978" s="15"/>
      <c r="U978" s="15"/>
      <c r="V978" s="15"/>
      <c r="W978" s="15"/>
      <c r="X978" s="15"/>
      <c r="Y978" s="15"/>
      <c r="Z978" s="15"/>
      <c r="AA978" s="15"/>
      <c r="AB978" s="15"/>
      <c r="AC978" s="15"/>
      <c r="AD978" s="15"/>
      <c r="AE978" s="15"/>
      <c r="AF978" s="15"/>
    </row>
    <row r="979" ht="15.75" customHeight="1">
      <c r="A979" s="15"/>
      <c r="B979" s="15"/>
      <c r="C979" s="21"/>
      <c r="D979" s="15"/>
      <c r="E979" s="15"/>
      <c r="F979" s="15"/>
      <c r="G979" s="15"/>
      <c r="H979" s="15"/>
      <c r="I979" s="11"/>
      <c r="J979" s="11"/>
      <c r="K979" s="11"/>
      <c r="L979" s="11"/>
      <c r="M979" s="15"/>
      <c r="N979" s="15"/>
      <c r="O979" s="15"/>
      <c r="P979" s="15"/>
      <c r="Q979" s="15"/>
      <c r="R979" s="15"/>
      <c r="S979" s="15"/>
      <c r="T979" s="15"/>
      <c r="U979" s="15"/>
      <c r="V979" s="15"/>
      <c r="W979" s="15"/>
      <c r="X979" s="15"/>
      <c r="Y979" s="15"/>
      <c r="Z979" s="15"/>
      <c r="AA979" s="15"/>
      <c r="AB979" s="15"/>
      <c r="AC979" s="15"/>
      <c r="AD979" s="15"/>
      <c r="AE979" s="15"/>
      <c r="AF979" s="15"/>
    </row>
    <row r="980" ht="15.75" customHeight="1">
      <c r="A980" s="15"/>
      <c r="B980" s="15"/>
      <c r="C980" s="21"/>
      <c r="D980" s="15"/>
      <c r="E980" s="15"/>
      <c r="F980" s="15"/>
      <c r="G980" s="15"/>
      <c r="H980" s="15"/>
      <c r="I980" s="11"/>
      <c r="J980" s="11"/>
      <c r="K980" s="11"/>
      <c r="L980" s="11"/>
      <c r="M980" s="15"/>
      <c r="N980" s="15"/>
      <c r="O980" s="15"/>
      <c r="P980" s="15"/>
      <c r="Q980" s="15"/>
      <c r="R980" s="15"/>
      <c r="S980" s="15"/>
      <c r="T980" s="15"/>
      <c r="U980" s="15"/>
      <c r="V980" s="15"/>
      <c r="W980" s="15"/>
      <c r="X980" s="15"/>
      <c r="Y980" s="15"/>
      <c r="Z980" s="15"/>
      <c r="AA980" s="15"/>
      <c r="AB980" s="15"/>
      <c r="AC980" s="15"/>
      <c r="AD980" s="15"/>
      <c r="AE980" s="15"/>
      <c r="AF980" s="15"/>
    </row>
    <row r="981" ht="15.75" customHeight="1">
      <c r="A981" s="15"/>
      <c r="B981" s="15"/>
      <c r="C981" s="21"/>
      <c r="D981" s="15"/>
      <c r="E981" s="15"/>
      <c r="F981" s="15"/>
      <c r="G981" s="15"/>
      <c r="H981" s="15"/>
      <c r="I981" s="11"/>
      <c r="J981" s="11"/>
      <c r="K981" s="11"/>
      <c r="L981" s="11"/>
      <c r="M981" s="15"/>
      <c r="N981" s="15"/>
      <c r="O981" s="15"/>
      <c r="P981" s="15"/>
      <c r="Q981" s="15"/>
      <c r="R981" s="15"/>
      <c r="S981" s="15"/>
      <c r="T981" s="15"/>
      <c r="U981" s="15"/>
      <c r="V981" s="15"/>
      <c r="W981" s="15"/>
      <c r="X981" s="15"/>
      <c r="Y981" s="15"/>
      <c r="Z981" s="15"/>
      <c r="AA981" s="15"/>
      <c r="AB981" s="15"/>
      <c r="AC981" s="15"/>
      <c r="AD981" s="15"/>
      <c r="AE981" s="15"/>
      <c r="AF981" s="15"/>
    </row>
    <row r="982" ht="15.75" customHeight="1">
      <c r="A982" s="15"/>
      <c r="B982" s="15"/>
      <c r="C982" s="21"/>
      <c r="D982" s="15"/>
      <c r="E982" s="15"/>
      <c r="F982" s="15"/>
      <c r="G982" s="15"/>
      <c r="H982" s="15"/>
      <c r="I982" s="11"/>
      <c r="J982" s="11"/>
      <c r="K982" s="11"/>
      <c r="L982" s="11"/>
      <c r="M982" s="15"/>
      <c r="N982" s="15"/>
      <c r="O982" s="15"/>
      <c r="P982" s="15"/>
      <c r="Q982" s="15"/>
      <c r="R982" s="15"/>
      <c r="S982" s="15"/>
      <c r="T982" s="15"/>
      <c r="U982" s="15"/>
      <c r="V982" s="15"/>
      <c r="W982" s="15"/>
      <c r="X982" s="15"/>
      <c r="Y982" s="15"/>
      <c r="Z982" s="15"/>
      <c r="AA982" s="15"/>
      <c r="AB982" s="15"/>
      <c r="AC982" s="15"/>
      <c r="AD982" s="15"/>
      <c r="AE982" s="15"/>
      <c r="AF982" s="15"/>
    </row>
    <row r="983" ht="15.75" customHeight="1">
      <c r="A983" s="15"/>
      <c r="B983" s="15"/>
      <c r="C983" s="21"/>
      <c r="D983" s="15"/>
      <c r="E983" s="15"/>
      <c r="F983" s="15"/>
      <c r="G983" s="15"/>
      <c r="H983" s="15"/>
      <c r="I983" s="11"/>
      <c r="J983" s="11"/>
      <c r="K983" s="11"/>
      <c r="L983" s="11"/>
      <c r="M983" s="15"/>
      <c r="N983" s="15"/>
      <c r="O983" s="15"/>
      <c r="P983" s="15"/>
      <c r="Q983" s="15"/>
      <c r="R983" s="15"/>
      <c r="S983" s="15"/>
      <c r="T983" s="15"/>
      <c r="U983" s="15"/>
      <c r="V983" s="15"/>
      <c r="W983" s="15"/>
      <c r="X983" s="15"/>
      <c r="Y983" s="15"/>
      <c r="Z983" s="15"/>
      <c r="AA983" s="15"/>
      <c r="AB983" s="15"/>
      <c r="AC983" s="15"/>
      <c r="AD983" s="15"/>
      <c r="AE983" s="15"/>
      <c r="AF983" s="15"/>
    </row>
    <row r="984" ht="15.75" customHeight="1">
      <c r="A984" s="15"/>
      <c r="B984" s="15"/>
      <c r="C984" s="21"/>
      <c r="D984" s="15"/>
      <c r="E984" s="15"/>
      <c r="F984" s="15"/>
      <c r="G984" s="15"/>
      <c r="H984" s="15"/>
      <c r="I984" s="11"/>
      <c r="J984" s="11"/>
      <c r="K984" s="11"/>
      <c r="L984" s="11"/>
      <c r="M984" s="15"/>
      <c r="N984" s="15"/>
      <c r="O984" s="15"/>
      <c r="P984" s="15"/>
      <c r="Q984" s="15"/>
      <c r="R984" s="15"/>
      <c r="S984" s="15"/>
      <c r="T984" s="15"/>
      <c r="U984" s="15"/>
      <c r="V984" s="15"/>
      <c r="W984" s="15"/>
      <c r="X984" s="15"/>
      <c r="Y984" s="15"/>
      <c r="Z984" s="15"/>
      <c r="AA984" s="15"/>
      <c r="AB984" s="15"/>
      <c r="AC984" s="15"/>
      <c r="AD984" s="15"/>
      <c r="AE984" s="15"/>
      <c r="AF984" s="15"/>
    </row>
    <row r="985" ht="15.75" customHeight="1">
      <c r="A985" s="15"/>
      <c r="B985" s="15"/>
      <c r="C985" s="21"/>
      <c r="D985" s="15"/>
      <c r="E985" s="15"/>
      <c r="F985" s="15"/>
      <c r="G985" s="15"/>
      <c r="H985" s="15"/>
      <c r="I985" s="11"/>
      <c r="J985" s="11"/>
      <c r="K985" s="11"/>
      <c r="L985" s="11"/>
      <c r="M985" s="15"/>
      <c r="N985" s="15"/>
      <c r="O985" s="15"/>
      <c r="P985" s="15"/>
      <c r="Q985" s="15"/>
      <c r="R985" s="15"/>
      <c r="S985" s="15"/>
      <c r="T985" s="15"/>
      <c r="U985" s="15"/>
      <c r="V985" s="15"/>
      <c r="W985" s="15"/>
      <c r="X985" s="15"/>
      <c r="Y985" s="15"/>
      <c r="Z985" s="15"/>
      <c r="AA985" s="15"/>
      <c r="AB985" s="15"/>
      <c r="AC985" s="15"/>
      <c r="AD985" s="15"/>
      <c r="AE985" s="15"/>
      <c r="AF985" s="15"/>
    </row>
    <row r="986" ht="15.75" customHeight="1">
      <c r="A986" s="15"/>
      <c r="B986" s="15"/>
      <c r="C986" s="21"/>
      <c r="D986" s="15"/>
      <c r="E986" s="15"/>
      <c r="F986" s="15"/>
      <c r="G986" s="15"/>
      <c r="H986" s="15"/>
      <c r="I986" s="11"/>
      <c r="J986" s="11"/>
      <c r="K986" s="11"/>
      <c r="L986" s="11"/>
      <c r="M986" s="15"/>
      <c r="N986" s="15"/>
      <c r="O986" s="15"/>
      <c r="P986" s="15"/>
      <c r="Q986" s="15"/>
      <c r="R986" s="15"/>
      <c r="S986" s="15"/>
      <c r="T986" s="15"/>
      <c r="U986" s="15"/>
      <c r="V986" s="15"/>
      <c r="W986" s="15"/>
      <c r="X986" s="15"/>
      <c r="Y986" s="15"/>
      <c r="Z986" s="15"/>
      <c r="AA986" s="15"/>
      <c r="AB986" s="15"/>
      <c r="AC986" s="15"/>
      <c r="AD986" s="15"/>
      <c r="AE986" s="15"/>
      <c r="AF986" s="15"/>
    </row>
    <row r="987" ht="15.75" customHeight="1">
      <c r="A987" s="15"/>
      <c r="B987" s="15"/>
      <c r="C987" s="21"/>
      <c r="D987" s="15"/>
      <c r="E987" s="15"/>
      <c r="F987" s="15"/>
      <c r="G987" s="15"/>
      <c r="H987" s="15"/>
      <c r="I987" s="11"/>
      <c r="J987" s="11"/>
      <c r="K987" s="11"/>
      <c r="L987" s="11"/>
      <c r="M987" s="15"/>
      <c r="N987" s="15"/>
      <c r="O987" s="15"/>
      <c r="P987" s="15"/>
      <c r="Q987" s="15"/>
      <c r="R987" s="15"/>
      <c r="S987" s="15"/>
      <c r="T987" s="15"/>
      <c r="U987" s="15"/>
      <c r="V987" s="15"/>
      <c r="W987" s="15"/>
      <c r="X987" s="15"/>
      <c r="Y987" s="15"/>
      <c r="Z987" s="15"/>
      <c r="AA987" s="15"/>
      <c r="AB987" s="15"/>
      <c r="AC987" s="15"/>
      <c r="AD987" s="15"/>
      <c r="AE987" s="15"/>
      <c r="AF987" s="15"/>
    </row>
    <row r="988" ht="15.75" customHeight="1">
      <c r="A988" s="15"/>
      <c r="B988" s="15"/>
      <c r="C988" s="21"/>
      <c r="D988" s="15"/>
      <c r="E988" s="15"/>
      <c r="F988" s="15"/>
      <c r="G988" s="15"/>
      <c r="H988" s="15"/>
      <c r="I988" s="11"/>
      <c r="J988" s="11"/>
      <c r="K988" s="11"/>
      <c r="L988" s="11"/>
      <c r="M988" s="15"/>
      <c r="N988" s="15"/>
      <c r="O988" s="15"/>
      <c r="P988" s="15"/>
      <c r="Q988" s="15"/>
      <c r="R988" s="15"/>
      <c r="S988" s="15"/>
      <c r="T988" s="15"/>
      <c r="U988" s="15"/>
      <c r="V988" s="15"/>
      <c r="W988" s="15"/>
      <c r="X988" s="15"/>
      <c r="Y988" s="15"/>
      <c r="Z988" s="15"/>
      <c r="AA988" s="15"/>
      <c r="AB988" s="15"/>
      <c r="AC988" s="15"/>
      <c r="AD988" s="15"/>
      <c r="AE988" s="15"/>
      <c r="AF988" s="15"/>
    </row>
    <row r="989" ht="15.75" customHeight="1">
      <c r="A989" s="15"/>
      <c r="B989" s="15"/>
      <c r="C989" s="21"/>
      <c r="D989" s="15"/>
      <c r="E989" s="15"/>
      <c r="F989" s="15"/>
      <c r="G989" s="15"/>
      <c r="H989" s="15"/>
      <c r="I989" s="11"/>
      <c r="J989" s="11"/>
      <c r="K989" s="11"/>
      <c r="L989" s="11"/>
      <c r="M989" s="15"/>
      <c r="N989" s="15"/>
      <c r="O989" s="15"/>
      <c r="P989" s="15"/>
      <c r="Q989" s="15"/>
      <c r="R989" s="15"/>
      <c r="S989" s="15"/>
      <c r="T989" s="15"/>
      <c r="U989" s="15"/>
      <c r="V989" s="15"/>
      <c r="W989" s="15"/>
      <c r="X989" s="15"/>
      <c r="Y989" s="15"/>
      <c r="Z989" s="15"/>
      <c r="AA989" s="15"/>
      <c r="AB989" s="15"/>
      <c r="AC989" s="15"/>
      <c r="AD989" s="15"/>
      <c r="AE989" s="15"/>
      <c r="AF989" s="15"/>
    </row>
    <row r="990" ht="15.75" customHeight="1">
      <c r="A990" s="15"/>
      <c r="B990" s="15"/>
      <c r="C990" s="21"/>
      <c r="D990" s="15"/>
      <c r="E990" s="15"/>
      <c r="F990" s="15"/>
      <c r="G990" s="15"/>
      <c r="H990" s="15"/>
      <c r="I990" s="11"/>
      <c r="J990" s="11"/>
      <c r="K990" s="11"/>
      <c r="L990" s="11"/>
      <c r="M990" s="15"/>
      <c r="N990" s="15"/>
      <c r="O990" s="15"/>
      <c r="P990" s="15"/>
      <c r="Q990" s="15"/>
      <c r="R990" s="15"/>
      <c r="S990" s="15"/>
      <c r="T990" s="15"/>
      <c r="U990" s="15"/>
      <c r="V990" s="15"/>
      <c r="W990" s="15"/>
      <c r="X990" s="15"/>
      <c r="Y990" s="15"/>
      <c r="Z990" s="15"/>
      <c r="AA990" s="15"/>
      <c r="AB990" s="15"/>
      <c r="AC990" s="15"/>
      <c r="AD990" s="15"/>
      <c r="AE990" s="15"/>
      <c r="AF990" s="15"/>
    </row>
    <row r="991" ht="15.75" customHeight="1">
      <c r="A991" s="15"/>
      <c r="B991" s="15"/>
      <c r="C991" s="21"/>
      <c r="D991" s="15"/>
      <c r="E991" s="15"/>
      <c r="F991" s="15"/>
      <c r="G991" s="15"/>
      <c r="H991" s="15"/>
      <c r="I991" s="11"/>
      <c r="J991" s="11"/>
      <c r="K991" s="11"/>
      <c r="L991" s="11"/>
      <c r="M991" s="15"/>
      <c r="N991" s="15"/>
      <c r="O991" s="15"/>
      <c r="P991" s="15"/>
      <c r="Q991" s="15"/>
      <c r="R991" s="15"/>
      <c r="S991" s="15"/>
      <c r="T991" s="15"/>
      <c r="U991" s="15"/>
      <c r="V991" s="15"/>
      <c r="W991" s="15"/>
      <c r="X991" s="15"/>
      <c r="Y991" s="15"/>
      <c r="Z991" s="15"/>
      <c r="AA991" s="15"/>
      <c r="AB991" s="15"/>
      <c r="AC991" s="15"/>
      <c r="AD991" s="15"/>
      <c r="AE991" s="15"/>
      <c r="AF991" s="15"/>
    </row>
    <row r="992" ht="15.75" customHeight="1">
      <c r="A992" s="15"/>
      <c r="B992" s="15"/>
      <c r="C992" s="21"/>
      <c r="D992" s="15"/>
      <c r="E992" s="15"/>
      <c r="F992" s="15"/>
      <c r="G992" s="15"/>
      <c r="H992" s="15"/>
      <c r="I992" s="11"/>
      <c r="J992" s="11"/>
      <c r="K992" s="11"/>
      <c r="L992" s="11"/>
      <c r="M992" s="15"/>
      <c r="N992" s="15"/>
      <c r="O992" s="15"/>
      <c r="P992" s="15"/>
      <c r="Q992" s="15"/>
      <c r="R992" s="15"/>
      <c r="S992" s="15"/>
      <c r="T992" s="15"/>
      <c r="U992" s="15"/>
      <c r="V992" s="15"/>
      <c r="W992" s="15"/>
      <c r="X992" s="15"/>
      <c r="Y992" s="15"/>
      <c r="Z992" s="15"/>
      <c r="AA992" s="15"/>
      <c r="AB992" s="15"/>
      <c r="AC992" s="15"/>
      <c r="AD992" s="15"/>
      <c r="AE992" s="15"/>
      <c r="AF992" s="15"/>
    </row>
    <row r="993" ht="15.75" customHeight="1">
      <c r="A993" s="15"/>
      <c r="B993" s="15"/>
      <c r="C993" s="21"/>
      <c r="D993" s="15"/>
      <c r="E993" s="15"/>
      <c r="F993" s="15"/>
      <c r="G993" s="15"/>
      <c r="H993" s="15"/>
      <c r="I993" s="11"/>
      <c r="J993" s="11"/>
      <c r="K993" s="11"/>
      <c r="L993" s="11"/>
      <c r="M993" s="15"/>
      <c r="N993" s="15"/>
      <c r="O993" s="15"/>
      <c r="P993" s="15"/>
      <c r="Q993" s="15"/>
      <c r="R993" s="15"/>
      <c r="S993" s="15"/>
      <c r="T993" s="15"/>
      <c r="U993" s="15"/>
      <c r="V993" s="15"/>
      <c r="W993" s="15"/>
      <c r="X993" s="15"/>
      <c r="Y993" s="15"/>
      <c r="Z993" s="15"/>
      <c r="AA993" s="15"/>
      <c r="AB993" s="15"/>
      <c r="AC993" s="15"/>
      <c r="AD993" s="15"/>
      <c r="AE993" s="15"/>
      <c r="AF993" s="15"/>
    </row>
    <row r="994" ht="15.75" customHeight="1">
      <c r="A994" s="15"/>
      <c r="B994" s="15"/>
      <c r="C994" s="21"/>
      <c r="D994" s="15"/>
      <c r="E994" s="15"/>
      <c r="F994" s="15"/>
      <c r="G994" s="15"/>
      <c r="H994" s="15"/>
      <c r="I994" s="11"/>
      <c r="J994" s="11"/>
      <c r="K994" s="11"/>
      <c r="L994" s="11"/>
      <c r="M994" s="15"/>
      <c r="N994" s="15"/>
      <c r="O994" s="15"/>
      <c r="P994" s="15"/>
      <c r="Q994" s="15"/>
      <c r="R994" s="15"/>
      <c r="S994" s="15"/>
      <c r="T994" s="15"/>
      <c r="U994" s="15"/>
      <c r="V994" s="15"/>
      <c r="W994" s="15"/>
      <c r="X994" s="15"/>
      <c r="Y994" s="15"/>
      <c r="Z994" s="15"/>
      <c r="AA994" s="15"/>
      <c r="AB994" s="15"/>
      <c r="AC994" s="15"/>
      <c r="AD994" s="15"/>
      <c r="AE994" s="15"/>
      <c r="AF994" s="15"/>
    </row>
    <row r="995" ht="15.75" customHeight="1">
      <c r="A995" s="15"/>
      <c r="B995" s="15"/>
      <c r="C995" s="21"/>
      <c r="D995" s="15"/>
      <c r="E995" s="15"/>
      <c r="F995" s="15"/>
      <c r="G995" s="15"/>
      <c r="H995" s="15"/>
      <c r="I995" s="11"/>
      <c r="J995" s="11"/>
      <c r="K995" s="11"/>
      <c r="L995" s="11"/>
      <c r="M995" s="15"/>
      <c r="N995" s="15"/>
      <c r="O995" s="15"/>
      <c r="P995" s="15"/>
      <c r="Q995" s="15"/>
      <c r="R995" s="15"/>
      <c r="S995" s="15"/>
      <c r="T995" s="15"/>
      <c r="U995" s="15"/>
      <c r="V995" s="15"/>
      <c r="W995" s="15"/>
      <c r="X995" s="15"/>
      <c r="Y995" s="15"/>
      <c r="Z995" s="15"/>
      <c r="AA995" s="15"/>
      <c r="AB995" s="15"/>
      <c r="AC995" s="15"/>
      <c r="AD995" s="15"/>
      <c r="AE995" s="15"/>
      <c r="AF995" s="15"/>
    </row>
    <row r="996" ht="15.75" customHeight="1">
      <c r="A996" s="15"/>
      <c r="B996" s="15"/>
      <c r="C996" s="21"/>
      <c r="D996" s="15"/>
      <c r="E996" s="15"/>
      <c r="F996" s="15"/>
      <c r="G996" s="15"/>
      <c r="H996" s="15"/>
      <c r="I996" s="11"/>
      <c r="J996" s="11"/>
      <c r="K996" s="11"/>
      <c r="L996" s="11"/>
      <c r="M996" s="15"/>
      <c r="N996" s="15"/>
      <c r="O996" s="15"/>
      <c r="P996" s="15"/>
      <c r="Q996" s="15"/>
      <c r="R996" s="15"/>
      <c r="S996" s="15"/>
      <c r="T996" s="15"/>
      <c r="U996" s="15"/>
      <c r="V996" s="15"/>
      <c r="W996" s="15"/>
      <c r="X996" s="15"/>
      <c r="Y996" s="15"/>
      <c r="Z996" s="15"/>
      <c r="AA996" s="15"/>
      <c r="AB996" s="15"/>
      <c r="AC996" s="15"/>
      <c r="AD996" s="15"/>
      <c r="AE996" s="15"/>
      <c r="AF996" s="15"/>
    </row>
    <row r="997" ht="15.75" customHeight="1">
      <c r="A997" s="15"/>
      <c r="B997" s="15"/>
      <c r="C997" s="21"/>
      <c r="D997" s="15"/>
      <c r="E997" s="15"/>
      <c r="F997" s="15"/>
      <c r="G997" s="15"/>
      <c r="H997" s="15"/>
      <c r="I997" s="11"/>
      <c r="J997" s="11"/>
      <c r="K997" s="11"/>
      <c r="L997" s="11"/>
      <c r="M997" s="15"/>
      <c r="N997" s="15"/>
      <c r="O997" s="15"/>
      <c r="P997" s="15"/>
      <c r="Q997" s="15"/>
      <c r="R997" s="15"/>
      <c r="S997" s="15"/>
      <c r="T997" s="15"/>
      <c r="U997" s="15"/>
      <c r="V997" s="15"/>
      <c r="W997" s="15"/>
      <c r="X997" s="15"/>
      <c r="Y997" s="15"/>
      <c r="Z997" s="15"/>
      <c r="AA997" s="15"/>
      <c r="AB997" s="15"/>
      <c r="AC997" s="15"/>
      <c r="AD997" s="15"/>
      <c r="AE997" s="15"/>
      <c r="AF997" s="15"/>
    </row>
    <row r="998" ht="15.75" customHeight="1">
      <c r="A998" s="15"/>
      <c r="B998" s="15"/>
      <c r="C998" s="21"/>
      <c r="D998" s="15"/>
      <c r="E998" s="15"/>
      <c r="F998" s="15"/>
      <c r="G998" s="15"/>
      <c r="H998" s="15"/>
      <c r="I998" s="11"/>
      <c r="J998" s="11"/>
      <c r="K998" s="11"/>
      <c r="L998" s="11"/>
      <c r="M998" s="15"/>
      <c r="N998" s="15"/>
      <c r="O998" s="15"/>
      <c r="P998" s="15"/>
      <c r="Q998" s="15"/>
      <c r="R998" s="15"/>
      <c r="S998" s="15"/>
      <c r="T998" s="15"/>
      <c r="U998" s="15"/>
      <c r="V998" s="15"/>
      <c r="W998" s="15"/>
      <c r="X998" s="15"/>
      <c r="Y998" s="15"/>
      <c r="Z998" s="15"/>
      <c r="AA998" s="15"/>
      <c r="AB998" s="15"/>
      <c r="AC998" s="15"/>
      <c r="AD998" s="15"/>
      <c r="AE998" s="15"/>
      <c r="AF998" s="15"/>
    </row>
    <row r="999" ht="15.75" customHeight="1">
      <c r="A999" s="15"/>
      <c r="B999" s="15"/>
      <c r="C999" s="21"/>
      <c r="D999" s="15"/>
      <c r="E999" s="15"/>
      <c r="F999" s="15"/>
      <c r="G999" s="15"/>
      <c r="H999" s="15"/>
      <c r="I999" s="11"/>
      <c r="J999" s="11"/>
      <c r="K999" s="11"/>
      <c r="L999" s="11"/>
      <c r="M999" s="15"/>
      <c r="N999" s="15"/>
      <c r="O999" s="15"/>
      <c r="P999" s="15"/>
      <c r="Q999" s="15"/>
      <c r="R999" s="15"/>
      <c r="S999" s="15"/>
      <c r="T999" s="15"/>
      <c r="U999" s="15"/>
      <c r="V999" s="15"/>
      <c r="W999" s="15"/>
      <c r="X999" s="15"/>
      <c r="Y999" s="15"/>
      <c r="Z999" s="15"/>
      <c r="AA999" s="15"/>
      <c r="AB999" s="15"/>
      <c r="AC999" s="15"/>
      <c r="AD999" s="15"/>
      <c r="AE999" s="15"/>
      <c r="AF999" s="15"/>
    </row>
    <row r="1000" ht="15.75" customHeight="1">
      <c r="A1000" s="15"/>
      <c r="B1000" s="15"/>
      <c r="C1000" s="21"/>
      <c r="D1000" s="15"/>
      <c r="E1000" s="15"/>
      <c r="F1000" s="15"/>
      <c r="G1000" s="15"/>
      <c r="H1000" s="15"/>
      <c r="I1000" s="11"/>
      <c r="J1000" s="11"/>
      <c r="K1000" s="11"/>
      <c r="L1000" s="11"/>
      <c r="M1000" s="15"/>
      <c r="N1000" s="15"/>
      <c r="O1000" s="15"/>
      <c r="P1000" s="15"/>
      <c r="Q1000" s="15"/>
      <c r="R1000" s="15"/>
      <c r="S1000" s="15"/>
      <c r="T1000" s="15"/>
      <c r="U1000" s="15"/>
      <c r="V1000" s="15"/>
      <c r="W1000" s="15"/>
      <c r="X1000" s="15"/>
      <c r="Y1000" s="15"/>
      <c r="Z1000" s="15"/>
      <c r="AA1000" s="15"/>
      <c r="AB1000" s="15"/>
      <c r="AC1000" s="15"/>
      <c r="AD1000" s="15"/>
      <c r="AE1000" s="15"/>
      <c r="AF1000" s="15"/>
    </row>
    <row r="1001" ht="15.75" customHeight="1">
      <c r="A1001" s="15"/>
      <c r="B1001" s="15"/>
      <c r="C1001" s="21"/>
      <c r="D1001" s="15"/>
      <c r="E1001" s="15"/>
      <c r="F1001" s="15"/>
      <c r="G1001" s="15"/>
      <c r="H1001" s="15"/>
      <c r="I1001" s="11"/>
      <c r="J1001" s="11"/>
      <c r="K1001" s="11"/>
      <c r="L1001" s="11"/>
      <c r="M1001" s="15"/>
      <c r="N1001" s="15"/>
      <c r="O1001" s="15"/>
      <c r="P1001" s="15"/>
      <c r="Q1001" s="15"/>
      <c r="R1001" s="15"/>
      <c r="S1001" s="15"/>
      <c r="T1001" s="15"/>
      <c r="U1001" s="15"/>
      <c r="V1001" s="15"/>
      <c r="W1001" s="15"/>
      <c r="X1001" s="15"/>
      <c r="Y1001" s="15"/>
      <c r="Z1001" s="15"/>
      <c r="AA1001" s="15"/>
      <c r="AB1001" s="15"/>
      <c r="AC1001" s="15"/>
      <c r="AD1001" s="15"/>
      <c r="AE1001" s="15"/>
      <c r="AF1001" s="15"/>
    </row>
    <row r="1002" ht="15.75" customHeight="1">
      <c r="A1002" s="15"/>
      <c r="B1002" s="15"/>
      <c r="C1002" s="21"/>
      <c r="D1002" s="15"/>
      <c r="E1002" s="15"/>
      <c r="F1002" s="15"/>
      <c r="G1002" s="15"/>
      <c r="H1002" s="15"/>
      <c r="I1002" s="11"/>
      <c r="J1002" s="11"/>
      <c r="K1002" s="11"/>
      <c r="L1002" s="11"/>
      <c r="M1002" s="15"/>
      <c r="N1002" s="15"/>
      <c r="O1002" s="15"/>
      <c r="P1002" s="15"/>
      <c r="Q1002" s="15"/>
      <c r="R1002" s="15"/>
      <c r="S1002" s="15"/>
      <c r="T1002" s="15"/>
      <c r="U1002" s="15"/>
      <c r="V1002" s="15"/>
      <c r="W1002" s="15"/>
      <c r="X1002" s="15"/>
      <c r="Y1002" s="15"/>
      <c r="Z1002" s="15"/>
      <c r="AA1002" s="15"/>
      <c r="AB1002" s="15"/>
      <c r="AC1002" s="15"/>
      <c r="AD1002" s="15"/>
      <c r="AE1002" s="15"/>
      <c r="AF1002" s="15"/>
    </row>
    <row r="1003" ht="15.75" customHeight="1">
      <c r="A1003" s="15"/>
      <c r="B1003" s="15"/>
      <c r="C1003" s="21"/>
      <c r="D1003" s="15"/>
      <c r="E1003" s="15"/>
      <c r="F1003" s="15"/>
      <c r="G1003" s="15"/>
      <c r="H1003" s="15"/>
      <c r="I1003" s="11"/>
      <c r="J1003" s="11"/>
      <c r="K1003" s="11"/>
      <c r="L1003" s="11"/>
      <c r="M1003" s="15"/>
      <c r="N1003" s="15"/>
      <c r="O1003" s="15"/>
      <c r="P1003" s="15"/>
      <c r="Q1003" s="15"/>
      <c r="R1003" s="15"/>
      <c r="S1003" s="15"/>
      <c r="T1003" s="15"/>
      <c r="U1003" s="15"/>
      <c r="V1003" s="15"/>
      <c r="W1003" s="15"/>
      <c r="X1003" s="15"/>
      <c r="Y1003" s="15"/>
      <c r="Z1003" s="15"/>
      <c r="AA1003" s="15"/>
      <c r="AB1003" s="15"/>
      <c r="AC1003" s="15"/>
      <c r="AD1003" s="15"/>
      <c r="AE1003" s="15"/>
      <c r="AF1003" s="15"/>
    </row>
    <row r="1004" ht="15.75" customHeight="1">
      <c r="A1004" s="15"/>
      <c r="B1004" s="15"/>
      <c r="C1004" s="21"/>
      <c r="D1004" s="15"/>
      <c r="E1004" s="15"/>
      <c r="F1004" s="15"/>
      <c r="G1004" s="15"/>
      <c r="H1004" s="15"/>
      <c r="I1004" s="11"/>
      <c r="J1004" s="11"/>
      <c r="K1004" s="11"/>
      <c r="L1004" s="11"/>
      <c r="M1004" s="15"/>
      <c r="N1004" s="15"/>
      <c r="O1004" s="15"/>
      <c r="P1004" s="15"/>
      <c r="Q1004" s="15"/>
      <c r="R1004" s="15"/>
      <c r="S1004" s="15"/>
      <c r="T1004" s="15"/>
      <c r="U1004" s="15"/>
      <c r="V1004" s="15"/>
      <c r="W1004" s="15"/>
      <c r="X1004" s="15"/>
      <c r="Y1004" s="15"/>
      <c r="Z1004" s="15"/>
      <c r="AA1004" s="15"/>
      <c r="AB1004" s="15"/>
      <c r="AC1004" s="15"/>
      <c r="AD1004" s="15"/>
      <c r="AE1004" s="15"/>
      <c r="AF1004" s="15"/>
    </row>
    <row r="1005" ht="15.75" customHeight="1">
      <c r="A1005" s="15"/>
      <c r="B1005" s="15"/>
      <c r="C1005" s="21"/>
      <c r="D1005" s="15"/>
      <c r="E1005" s="15"/>
      <c r="F1005" s="15"/>
      <c r="G1005" s="15"/>
      <c r="H1005" s="15"/>
      <c r="I1005" s="11"/>
      <c r="J1005" s="11"/>
      <c r="K1005" s="11"/>
      <c r="L1005" s="11"/>
      <c r="M1005" s="15"/>
      <c r="N1005" s="15"/>
      <c r="O1005" s="15"/>
      <c r="P1005" s="15"/>
      <c r="Q1005" s="15"/>
      <c r="R1005" s="15"/>
      <c r="S1005" s="15"/>
      <c r="T1005" s="15"/>
      <c r="U1005" s="15"/>
      <c r="V1005" s="15"/>
      <c r="W1005" s="15"/>
      <c r="X1005" s="15"/>
      <c r="Y1005" s="15"/>
      <c r="Z1005" s="15"/>
      <c r="AA1005" s="15"/>
      <c r="AB1005" s="15"/>
      <c r="AC1005" s="15"/>
      <c r="AD1005" s="15"/>
      <c r="AE1005" s="15"/>
      <c r="AF1005" s="15"/>
    </row>
    <row r="1006" ht="15.75" customHeight="1">
      <c r="A1006" s="15"/>
      <c r="B1006" s="15"/>
      <c r="C1006" s="21"/>
      <c r="D1006" s="15"/>
      <c r="E1006" s="15"/>
      <c r="F1006" s="15"/>
      <c r="G1006" s="15"/>
      <c r="H1006" s="15"/>
      <c r="I1006" s="11"/>
      <c r="J1006" s="11"/>
      <c r="K1006" s="11"/>
      <c r="L1006" s="11"/>
      <c r="M1006" s="15"/>
      <c r="N1006" s="15"/>
      <c r="O1006" s="15"/>
      <c r="P1006" s="15"/>
      <c r="Q1006" s="15"/>
      <c r="R1006" s="15"/>
      <c r="S1006" s="15"/>
      <c r="T1006" s="15"/>
      <c r="U1006" s="15"/>
      <c r="V1006" s="15"/>
      <c r="W1006" s="15"/>
      <c r="X1006" s="15"/>
      <c r="Y1006" s="15"/>
      <c r="Z1006" s="15"/>
      <c r="AA1006" s="15"/>
      <c r="AB1006" s="15"/>
      <c r="AC1006" s="15"/>
      <c r="AD1006" s="15"/>
      <c r="AE1006" s="15"/>
      <c r="AF1006" s="15"/>
    </row>
    <row r="1007" ht="15.75" customHeight="1">
      <c r="A1007" s="15"/>
      <c r="B1007" s="15"/>
      <c r="C1007" s="21"/>
      <c r="D1007" s="15"/>
      <c r="E1007" s="15"/>
      <c r="F1007" s="15"/>
      <c r="G1007" s="15"/>
      <c r="H1007" s="15"/>
      <c r="I1007" s="11"/>
      <c r="J1007" s="11"/>
      <c r="K1007" s="11"/>
      <c r="L1007" s="11"/>
      <c r="M1007" s="15"/>
      <c r="N1007" s="15"/>
      <c r="O1007" s="15"/>
      <c r="P1007" s="15"/>
      <c r="Q1007" s="15"/>
      <c r="R1007" s="15"/>
      <c r="S1007" s="15"/>
      <c r="T1007" s="15"/>
      <c r="U1007" s="15"/>
      <c r="V1007" s="15"/>
      <c r="W1007" s="15"/>
      <c r="X1007" s="15"/>
      <c r="Y1007" s="15"/>
      <c r="Z1007" s="15"/>
      <c r="AA1007" s="15"/>
      <c r="AB1007" s="15"/>
      <c r="AC1007" s="15"/>
      <c r="AD1007" s="15"/>
      <c r="AE1007" s="15"/>
      <c r="AF1007" s="15"/>
    </row>
    <row r="1008" ht="15.75" customHeight="1">
      <c r="A1008" s="15"/>
      <c r="B1008" s="15"/>
      <c r="C1008" s="21"/>
      <c r="D1008" s="15"/>
      <c r="E1008" s="15"/>
      <c r="F1008" s="15"/>
      <c r="G1008" s="15"/>
      <c r="H1008" s="15"/>
      <c r="I1008" s="11"/>
      <c r="J1008" s="11"/>
      <c r="K1008" s="11"/>
      <c r="L1008" s="11"/>
      <c r="M1008" s="15"/>
      <c r="N1008" s="15"/>
      <c r="O1008" s="15"/>
      <c r="P1008" s="15"/>
      <c r="Q1008" s="15"/>
      <c r="R1008" s="15"/>
      <c r="S1008" s="15"/>
      <c r="T1008" s="15"/>
      <c r="U1008" s="15"/>
      <c r="V1008" s="15"/>
      <c r="W1008" s="15"/>
      <c r="X1008" s="15"/>
      <c r="Y1008" s="15"/>
      <c r="Z1008" s="15"/>
      <c r="AA1008" s="15"/>
      <c r="AB1008" s="15"/>
      <c r="AC1008" s="15"/>
      <c r="AD1008" s="15"/>
      <c r="AE1008" s="15"/>
      <c r="AF1008" s="15"/>
    </row>
    <row r="1009" ht="15.75" customHeight="1">
      <c r="A1009" s="15"/>
      <c r="B1009" s="15"/>
      <c r="C1009" s="21"/>
      <c r="D1009" s="15"/>
      <c r="E1009" s="15"/>
      <c r="F1009" s="15"/>
      <c r="G1009" s="15"/>
      <c r="H1009" s="15"/>
      <c r="I1009" s="11"/>
      <c r="J1009" s="11"/>
      <c r="K1009" s="11"/>
      <c r="L1009" s="11"/>
      <c r="M1009" s="15"/>
      <c r="N1009" s="15"/>
      <c r="O1009" s="15"/>
      <c r="P1009" s="15"/>
      <c r="Q1009" s="15"/>
      <c r="R1009" s="15"/>
      <c r="S1009" s="15"/>
      <c r="T1009" s="15"/>
      <c r="U1009" s="15"/>
      <c r="V1009" s="15"/>
      <c r="W1009" s="15"/>
      <c r="X1009" s="15"/>
      <c r="Y1009" s="15"/>
      <c r="Z1009" s="15"/>
      <c r="AA1009" s="15"/>
      <c r="AB1009" s="15"/>
      <c r="AC1009" s="15"/>
      <c r="AD1009" s="15"/>
      <c r="AE1009" s="15"/>
      <c r="AF1009" s="15"/>
    </row>
    <row r="1010" ht="15.75" customHeight="1">
      <c r="A1010" s="15"/>
      <c r="B1010" s="15"/>
      <c r="C1010" s="21"/>
      <c r="D1010" s="15"/>
      <c r="E1010" s="15"/>
      <c r="F1010" s="15"/>
      <c r="G1010" s="15"/>
      <c r="H1010" s="15"/>
      <c r="I1010" s="11"/>
      <c r="J1010" s="11"/>
      <c r="K1010" s="11"/>
      <c r="L1010" s="11"/>
      <c r="M1010" s="15"/>
      <c r="N1010" s="15"/>
      <c r="O1010" s="15"/>
      <c r="P1010" s="15"/>
      <c r="Q1010" s="15"/>
      <c r="R1010" s="15"/>
      <c r="S1010" s="15"/>
      <c r="T1010" s="15"/>
      <c r="U1010" s="15"/>
      <c r="V1010" s="15"/>
      <c r="W1010" s="15"/>
      <c r="X1010" s="15"/>
      <c r="Y1010" s="15"/>
      <c r="Z1010" s="15"/>
      <c r="AA1010" s="15"/>
      <c r="AB1010" s="15"/>
      <c r="AC1010" s="15"/>
      <c r="AD1010" s="15"/>
      <c r="AE1010" s="15"/>
      <c r="AF1010" s="15"/>
    </row>
    <row r="1011" ht="15.75" customHeight="1">
      <c r="A1011" s="15"/>
      <c r="B1011" s="15"/>
      <c r="C1011" s="21"/>
      <c r="D1011" s="15"/>
      <c r="E1011" s="15"/>
      <c r="F1011" s="15"/>
      <c r="G1011" s="15"/>
      <c r="H1011" s="15"/>
      <c r="I1011" s="11"/>
      <c r="J1011" s="11"/>
      <c r="K1011" s="11"/>
      <c r="L1011" s="11"/>
      <c r="M1011" s="15"/>
      <c r="N1011" s="15"/>
      <c r="O1011" s="15"/>
      <c r="P1011" s="15"/>
      <c r="Q1011" s="15"/>
      <c r="R1011" s="15"/>
      <c r="S1011" s="15"/>
      <c r="T1011" s="15"/>
      <c r="U1011" s="15"/>
      <c r="V1011" s="15"/>
      <c r="W1011" s="15"/>
      <c r="X1011" s="15"/>
      <c r="Y1011" s="15"/>
      <c r="Z1011" s="15"/>
      <c r="AA1011" s="15"/>
      <c r="AB1011" s="15"/>
      <c r="AC1011" s="15"/>
      <c r="AD1011" s="15"/>
      <c r="AE1011" s="15"/>
      <c r="AF1011" s="15"/>
    </row>
    <row r="1012" ht="15.75" customHeight="1">
      <c r="A1012" s="15"/>
      <c r="B1012" s="15"/>
      <c r="C1012" s="21"/>
      <c r="D1012" s="15"/>
      <c r="E1012" s="15"/>
      <c r="F1012" s="15"/>
      <c r="G1012" s="15"/>
      <c r="H1012" s="15"/>
      <c r="I1012" s="11"/>
      <c r="J1012" s="11"/>
      <c r="K1012" s="11"/>
      <c r="L1012" s="11"/>
      <c r="M1012" s="15"/>
      <c r="N1012" s="15"/>
      <c r="O1012" s="15"/>
      <c r="P1012" s="15"/>
      <c r="Q1012" s="15"/>
      <c r="R1012" s="15"/>
      <c r="S1012" s="15"/>
      <c r="T1012" s="15"/>
      <c r="U1012" s="15"/>
      <c r="V1012" s="15"/>
      <c r="W1012" s="15"/>
      <c r="X1012" s="15"/>
      <c r="Y1012" s="15"/>
      <c r="Z1012" s="15"/>
      <c r="AA1012" s="15"/>
      <c r="AB1012" s="15"/>
      <c r="AC1012" s="15"/>
      <c r="AD1012" s="15"/>
      <c r="AE1012" s="15"/>
      <c r="AF1012" s="15"/>
    </row>
    <row r="1013" ht="15.75" customHeight="1">
      <c r="A1013" s="15"/>
      <c r="B1013" s="15"/>
      <c r="C1013" s="21"/>
      <c r="D1013" s="15"/>
      <c r="E1013" s="15"/>
      <c r="F1013" s="15"/>
      <c r="G1013" s="15"/>
      <c r="H1013" s="15"/>
      <c r="I1013" s="11"/>
      <c r="J1013" s="11"/>
      <c r="K1013" s="11"/>
      <c r="L1013" s="11"/>
      <c r="M1013" s="15"/>
      <c r="N1013" s="15"/>
      <c r="O1013" s="15"/>
      <c r="P1013" s="15"/>
      <c r="Q1013" s="15"/>
      <c r="R1013" s="15"/>
      <c r="S1013" s="15"/>
      <c r="T1013" s="15"/>
      <c r="U1013" s="15"/>
      <c r="V1013" s="15"/>
      <c r="W1013" s="15"/>
      <c r="X1013" s="15"/>
      <c r="Y1013" s="15"/>
      <c r="Z1013" s="15"/>
      <c r="AA1013" s="15"/>
      <c r="AB1013" s="15"/>
      <c r="AC1013" s="15"/>
      <c r="AD1013" s="15"/>
      <c r="AE1013" s="15"/>
      <c r="AF1013" s="15"/>
    </row>
    <row r="1014" ht="15.75" customHeight="1">
      <c r="A1014" s="15"/>
      <c r="B1014" s="15"/>
      <c r="C1014" s="21"/>
      <c r="D1014" s="15"/>
      <c r="E1014" s="15"/>
      <c r="F1014" s="15"/>
      <c r="G1014" s="15"/>
      <c r="H1014" s="15"/>
      <c r="I1014" s="11"/>
      <c r="J1014" s="11"/>
      <c r="K1014" s="11"/>
      <c r="L1014" s="11"/>
      <c r="M1014" s="15"/>
      <c r="N1014" s="15"/>
      <c r="O1014" s="15"/>
      <c r="P1014" s="15"/>
      <c r="Q1014" s="15"/>
      <c r="R1014" s="15"/>
      <c r="S1014" s="15"/>
      <c r="T1014" s="15"/>
      <c r="U1014" s="15"/>
      <c r="V1014" s="15"/>
      <c r="W1014" s="15"/>
      <c r="X1014" s="15"/>
      <c r="Y1014" s="15"/>
      <c r="Z1014" s="15"/>
      <c r="AA1014" s="15"/>
      <c r="AB1014" s="15"/>
      <c r="AC1014" s="15"/>
      <c r="AD1014" s="15"/>
      <c r="AE1014" s="15"/>
      <c r="AF1014" s="15"/>
    </row>
  </sheetData>
  <mergeCells count="89">
    <mergeCell ref="C3:I3"/>
    <mergeCell ref="B6:B14"/>
    <mergeCell ref="C6:C14"/>
    <mergeCell ref="D6:D14"/>
    <mergeCell ref="B15:B23"/>
    <mergeCell ref="C15:C23"/>
    <mergeCell ref="D15:D23"/>
    <mergeCell ref="C42:C51"/>
    <mergeCell ref="D42:D51"/>
    <mergeCell ref="B24:B33"/>
    <mergeCell ref="C24:C33"/>
    <mergeCell ref="D24:D33"/>
    <mergeCell ref="B34:B41"/>
    <mergeCell ref="C34:C41"/>
    <mergeCell ref="D34:D41"/>
    <mergeCell ref="B42:B51"/>
    <mergeCell ref="C64:C71"/>
    <mergeCell ref="D64:D71"/>
    <mergeCell ref="B52:B54"/>
    <mergeCell ref="C52:C54"/>
    <mergeCell ref="D52:D54"/>
    <mergeCell ref="B55:B63"/>
    <mergeCell ref="C55:C63"/>
    <mergeCell ref="D55:D63"/>
    <mergeCell ref="B64:B71"/>
    <mergeCell ref="C86:C96"/>
    <mergeCell ref="D86:D96"/>
    <mergeCell ref="B72:B78"/>
    <mergeCell ref="C72:C78"/>
    <mergeCell ref="D72:D78"/>
    <mergeCell ref="B79:B85"/>
    <mergeCell ref="C79:C85"/>
    <mergeCell ref="D79:D85"/>
    <mergeCell ref="B86:B96"/>
    <mergeCell ref="C366:C380"/>
    <mergeCell ref="C382:C386"/>
    <mergeCell ref="C388:C396"/>
    <mergeCell ref="C398:C404"/>
    <mergeCell ref="C406:C411"/>
    <mergeCell ref="C414:C418"/>
    <mergeCell ref="C430:C442"/>
    <mergeCell ref="C537:C547"/>
    <mergeCell ref="C552:C565"/>
    <mergeCell ref="C444:C456"/>
    <mergeCell ref="C458:C467"/>
    <mergeCell ref="C469:C474"/>
    <mergeCell ref="C476:C481"/>
    <mergeCell ref="C484:C488"/>
    <mergeCell ref="C491:C498"/>
    <mergeCell ref="C501:C507"/>
    <mergeCell ref="C118:C119"/>
    <mergeCell ref="D118:D119"/>
    <mergeCell ref="B97:B108"/>
    <mergeCell ref="C97:C108"/>
    <mergeCell ref="D97:D108"/>
    <mergeCell ref="B109:B117"/>
    <mergeCell ref="C109:C117"/>
    <mergeCell ref="D109:D117"/>
    <mergeCell ref="B118:B119"/>
    <mergeCell ref="B120:B131"/>
    <mergeCell ref="C120:C131"/>
    <mergeCell ref="D120:D131"/>
    <mergeCell ref="A122:A132"/>
    <mergeCell ref="B132:B144"/>
    <mergeCell ref="C132:C144"/>
    <mergeCell ref="D132:D144"/>
    <mergeCell ref="B145:B147"/>
    <mergeCell ref="C145:C147"/>
    <mergeCell ref="D145:D147"/>
    <mergeCell ref="B149:B162"/>
    <mergeCell ref="C149:C162"/>
    <mergeCell ref="D149:D162"/>
    <mergeCell ref="B163:B175"/>
    <mergeCell ref="C163:C175"/>
    <mergeCell ref="D163:D175"/>
    <mergeCell ref="C177:C186"/>
    <mergeCell ref="C189:C197"/>
    <mergeCell ref="C225:C239"/>
    <mergeCell ref="C241:C264"/>
    <mergeCell ref="C266:C272"/>
    <mergeCell ref="C274:C281"/>
    <mergeCell ref="C306:C310"/>
    <mergeCell ref="C312:C323"/>
    <mergeCell ref="C325:C333"/>
    <mergeCell ref="C335:C339"/>
    <mergeCell ref="C341:C352"/>
    <mergeCell ref="C354:C364"/>
    <mergeCell ref="C510:C521"/>
    <mergeCell ref="C525:C534"/>
  </mergeCells>
  <dataValidations>
    <dataValidation type="list" allowBlank="1" sqref="H88:K88">
      <formula1>"CreateNewSubOrder2,CreateStageOrder,TradeNewSubOrder,CreateNewSubOrder,VerifyOrder,VerifyWorkingSubs,EditStageOrder,CreateReplaceOrder,TradeNewSubOrder2,SelectTradeOnOrderGrid,VerifySubOrder,Copy of Data"</formula1>
    </dataValidation>
    <dataValidation type="list" allowBlank="1" sqref="H257:K257">
      <formula1>"CleanUp,CreateStageOrder,SelectTradeOnOrderGrid,TradeNewSubOrder,CreateLiveOrder,AcknowledgeTrade,SelectTrade,ExecuteTrade,AcknowledgeTrade1,TradeNewSubOrder1,CreateLiveOrder1,CreateLiveOrder2,TradeNewSubOrder2,AcknowledgeTrade2,ReplaceSubOrder,CreateRepl"&amp;"aceOrder"</formula1>
    </dataValidation>
    <dataValidation type="list" allowBlank="1" sqref="H434:K434">
      <formula1>"CreateDoneAwayOrder,AddCalculatedPreferences,SetAccountValueCalculatedPref,SetDefaultRuleCalculatedPref"</formula1>
    </dataValidation>
    <dataValidation type="list" allowBlank="1" sqref="H521:K521">
      <formula1>"CleanUp,CreateStageOrder,VerifyOrder,TradeNewSubOrder,CreateNewSubOrder,VerifyOrder1,VerifySubOrder,VerifyWorkingSubs,GetDataAllocation"</formula1>
    </dataValidation>
    <dataValidation type="list" allowBlank="1" sqref="H258:K258">
      <formula1>"CreateStageOrder,SelectTradeOnOrderGrid,TradeNewSubOrder,CreateLiveOrder,AcknowledgeTrade,TradeNewSubOrder1,CreateLiveOrder1,AcknowledgeTrade1,SelectTrade,ExecuteTrade,TradeNewSubOrder2,CreateLiveOrder2,AcknowledgeTrade2,ReplaceSubOrder,CreateReplaceOrder"</formula1>
    </dataValidation>
    <dataValidation type="list" allowBlank="1" sqref="H396:K396">
      <formula1>"CreateLiveOrder,SelectUnallocatedGroup,Reallocate,CleanUp,ac,AcknowledgeTrade,SelectTrade,ExecuteTrade,DeleteGroup,SelectTradeOnOrderGrid,GoToAllocation"</formula1>
    </dataValidation>
    <dataValidation type="list" allowBlank="1" sqref="H33:K33">
      <formula1>"CreateNewSubOrder2,TradeNewSubOrder2,CreateStageOrder,TradeNewSubOrder,CreateNewSubOrder,VerifySubOrder,CancelAllSubs,SelectTradeOnOrderGrid,VerifyWorkingSubs,VerifyOrder"</formula1>
    </dataValidation>
    <dataValidation type="list" allowBlank="1" sqref="H284:K284">
      <formula1>"CreateStageOrder,CreateStageOrder1,RemoveSelectedOrders,SelectTradeOnOrderGrid,SelectTradeOnOrderGrid1,SelectTradeOrderBlotter,CleanUp,CreateLiveOrder"</formula1>
    </dataValidation>
    <dataValidation type="list" allowBlank="1" sqref="H317:K317 H403:K403 H411:K411">
      <formula1>"CleanUp,CreateLiveOrder,AcknowledgeTrade,SelectTrade,ExecuteTrade,SelectTradeOnOrderGrid"</formula1>
    </dataValidation>
    <dataValidation type="list" allowBlank="1" sqref="H328:K328">
      <formula1>"OpeningManager,CleanUp,CreateStageOrder,SelectTradeOnOrderGrid,TradeNewSubOrder"</formula1>
    </dataValidation>
    <dataValidation type="list" allowBlank="1" sqref="H91:K93 I94:K94">
      <formula1>"CreateNewSubOrder2,CreateStageOrder,TradeNewSubOrder,CreateNewSubOrder,VerifyOrder,VerifyWorkingSubs,EditStageOrder,CreateReplaceOrder,TradeNewSubOrder2"</formula1>
    </dataValidation>
    <dataValidation type="list" allowBlank="1" sqref="H560:K560">
      <formula1>"CleanUp,CreateStageOrder,CreateStageOrder1,CreateDoneAwayOrder,CreateDoneAwayOrder1,TradeNewSubOrder,CreateNewSubOrder,EditStageOrder"</formula1>
    </dataValidation>
    <dataValidation type="list" allowBlank="1" sqref="H106:K106">
      <formula1>"CreateStageOrder,EditStageOrder,CreateReplaceOrder,TradeNewSubOrder,CreateNewSubOrder,CreateNewSubOrder2,CancelAllSubs,VerifyOrder,TradeNewSubOrder2,VerifyWorkingSubs,VerifySubOrder,SelectTradeOnOrderGrid"</formula1>
    </dataValidation>
    <dataValidation type="list" allowBlank="1" sqref="H310:K310">
      <formula1>"CreateStageOrder,ViewThirdParty,CleanUp,CreateLiveOrder,AcknowledgeTrade,SelectTradeOnOrderGrid,ViewAllocationDetailsSubOrder,VerifyLayoutUnallocatedGrid,Copy of Data,VerifyViewAllocationDetails"</formula1>
    </dataValidation>
    <dataValidation type="list" allowBlank="1" sqref="H565:K565">
      <formula1>"CleanUp,CreateStageOrder,CreateStageOrder1,CreateDoneAwayOrder,CreateDoneAwayOrder1,TradeNewSubOrder,CreateNewSubOrder,EditStageOrder,CreateReplaceOrder,SelectTradeOnOrderGrid,CancelSubOrder,VerifySubOrder"</formula1>
    </dataValidation>
    <dataValidation type="list" allowBlank="1" sqref="H438:K438">
      <formula1>"CreateDoneAwayOrder,AddCalculatedPreferences,SetAccountValueCalculatedPref,SetDefaultRuleCalculatedPref,SelectUnallocatedGroup,GetDataAllocation,EnterAllocatePreference"</formula1>
    </dataValidation>
    <dataValidation type="list" allowBlank="1" sqref="H193:K193">
      <formula1>"CreateDoneAwayOrder,VerifyWorkingSubs,SelectTradeOnOrderGrid,VerifySubOrder,CreateStageOrder,TradeNewSubOrder,CreateLiveOrder,CleanUp,AcknowledgeTrade"</formula1>
    </dataValidation>
    <dataValidation type="list" allowBlank="1" sqref="H300:K300">
      <formula1>"CreateStageOrder,TradeNewSubOrder,CreateDoneAwayOrder,AddFillsWorkingSubs,EditAddFillsDetails,`,VerifyWorkingSubs,VerifyOrder,GetDataAllocation,CheckUnallocatedGroups,`checkPort,CheckPortfolioManagement,Create,Copy of Data,CleanUp,CreateLiveOrder,Acknowle"&amp;"dgeTrade,SelectTradeOnOrderGrid,ReplaceSubOrder,CreateReplaceOrder,SelectTrade"</formula1>
    </dataValidation>
    <dataValidation type="list" allowBlank="1" sqref="H64:K64">
      <formula1>"CreateStageOrder,EditStageOrder,CreateReplaceOrder,CreateReplaceOrder3,EditStageOrder2,CreateReplaceOrder2,VerifyOrder,Copy of Data"</formula1>
    </dataValidation>
    <dataValidation type="list" allowBlank="1" sqref="H329:K329">
      <formula1>"OpeningManager,CleanUp,CreateStageOrder,SelectTradeOnOrderGrid,TradeNewSubOrder,CreateLiveOrder"</formula1>
    </dataValidation>
    <dataValidation type="list" allowBlank="1" sqref="H516:K516">
      <formula1>"CreateStageOrder,VerifyOrder,TradeNewSubOrder,CreateNewSubOrder,VerifyOrder1,EditAddFillsDetails,AddFillsSubOrder,VerifySubOrder,VerifyWorkingSubs,GetDataAllocation,CheckAllocatedGroups"</formula1>
    </dataValidation>
    <dataValidation type="list" allowBlank="1" sqref="H172:K172">
      <formula1>"CreateStageOrder,TradeNewSubOrder,CreateDoneAwayOrder,AddFillsWorkingSubs,EditAddFillsDetails,SelectTradeOnOrderGrid,AddFillsSubOrder,VerifyWorkingSubs,CheckUnallocatedGroups,CheckPortfolioManagement,GetDataAllocation,Copy of Data,VerifyOrder"</formula1>
    </dataValidation>
    <dataValidation type="list" allowBlank="1" sqref="F187 F198 F331:F332 F368:F370 F384 F390:F392 F400:F402 F408:F410 F423:F425 F460 F464 F471 F478 F486">
      <formula1>"SelectTrade,AcknowledgeTrade,RejectTrade,ExecuteTrade,CancelTrade,OpenLiveTT,SetManualResponse,ClearUI,CloseSimulator,,,,,,,,,,,,,,,,,,,,,,,,,,,,,,,,,,,,,,,,,,,,,,,,,,,,,,,,,,,,,,,,,,,,,,,,,,,,,,,,,,,,,,,,,,,,,,,,,,,,,,,,,,,,,,,,,,,,,,,,,,,,,,,,,,,,,,,,,,"&amp;",,,,,,,,,,,,,,,,,,,,,,,,,,,,,,,,,,,,,,,,,,,,,,,,,,,,,,,,,,,,,,,,,,,,,,,,,,,,,,,,,,,,,,,,,,,,,,,,,,,,,,,,,,,,,,,,,,,,,,,,,,,,,,,,,,,,,,,,,,,,,,,,,,,,,,,,,,,,,,,,,,,,,,,,,,,,,,,,,,,,,,,,,,,,,,,,,,,,,,,,,,,,,,,,,,,,,,,,,,,,,,,,,,,,,,,,,,,,,,,,,,,,,,,,,,,,,,,"&amp;",,,,,,,,,,,,,,,,,,,,,,,,,,,,,,,,,,,,,,,,,,,,,,,,,,,,,,,,,,,,,,,,,,,,,,,,,,,,,,,,,,,,,,,,,,,,,,,"</formula1>
    </dataValidation>
    <dataValidation type="list" allowBlank="1" sqref="H228:K228 H244:K244 H357:K357">
      <formula1>"CleanUp,CreateStageOrder,SelectTradeOnOrderGrid,TradeNewSubOrder"</formula1>
    </dataValidation>
    <dataValidation type="list" allowBlank="1" sqref="H506:K506">
      <formula1>"CleanUp,CreateDoneAwayOrder,VerifyOrder,VerifySubOrder,VerifyWorkingSubs,GetDataAllocation"</formula1>
    </dataValidation>
    <dataValidation type="list" allowBlank="1" sqref="F492 F502 F511 F514 F526 F529 F538 F541 F543 F553:F556 F559 F561">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UpdateMasterFundOnTT,,,,,,,,,,,,,,,,,,,,,,,,,,,,,,,,,,,,,,,,,,,,,,,,,,,,,,,,,,,,,,,,,,,,,,,,,,,,,,,,,,,,,,,,,,,,,,,,,,,,,,,,,,,,,,,,,,,,,,,,,,,,,,,,,,,,,,,,,,,,,,,,,,,,,,,,,,,,,,,,,,,,,,,,,,,,,,,,,,,,,,,,,,,,,,,,,,,,,,,"&amp;",,,,,,,,,,,,,,,,,,,,,,,,,,,,,,,,,,,,,,,,,,,,,,,,,,,,,,,,,,,,,,,,,,,,,,,,,,,,,,,,,,,,,,,,,,,,,,,,,,,,,,,,,,,,,,,,,,,,,,,,,,,,,,,,,,,,,,,,,,,,,,,,,,,,,,,,,,,,,,,,,,,,,,,,,,,,,,,,,,,,,,,,,,,,,,,,,,,,,,,,,,,,,,,,,,,,,,,,,,,,,,,,,,,,,,,,,,,,,,,,,,,,,,,,,,,,,,,"&amp;",,,,,,,,,,,,,,,,,,,,,,,,,"</formula1>
    </dataValidation>
    <dataValidation type="list" allowBlank="1" sqref="F8 F17 F26 F28 F36 F44 F46 F59 F81 F90 F92 F101 F103 F111 F113 F151 F154">
      <formula1>"TradeUsingTT,OpenTTFromPST,EnterDetailsOnTT,ValidateSymbolTT,VerifyDataTT,SetUIPreferencesTT,SetBrokerWisePreferencesTT,TradeNewSub,CreateStageOrder,CreateReplaceOrder,CreateReplaceOrder,EditOrder,SetGeneralPreference,CreateDoneAwayOrder,CreateNewSubOrder"&amp;",,,,,,,,,,,,,,,,,,,,,,,,,,,,,,,,,,,,,,,,,,,,,,,,,,,,,,,,,,,,,,,,,,,,,,,,,,,,,,,,,,,,,,,,,,,,,,,,,,,,,,,,,,,,,,,,,,,,,,,,,,,,,,,,,,,,,,,,,,,,,,,,,,,,,,,,,,,,,,,,,,,,,,,,,,,,,,,,,,,,,,,,,,,,,,,,,,,,,,,,,,,,,,,,,,,,,,,,,,,,,,,,,,,,,,,,,,,,,,,,,,,,,,,,,,,,,,,"&amp;",,,,,,,,,,,,,,,,,,,,,,,,,,,,,,,,,,,,,,,,,,,,,,,,,,,,,,,,,,,,,,,,,,,,,,,,,,,,,,,,,,,,,,,,,,,,,,,,,,,,,,,,,,,,,,,,,,,,,,,,,,,,,,,,,,,,,,,,,,,,,,,,,,,,,,,,,,,,,,,,,,,,,,,,,,,,,,,,,,,,,,,,,,,,,,,,,,,,,,,,,,,,,,,,,,,,,,,,,,,,,,,,,,,"</formula1>
    </dataValidation>
    <dataValidation type="list" allowBlank="1" sqref="H117:K117">
      <formula1>"ReplaceWorkingSubs2,CreateDoneAwayOrder,CreateReplaceOrder,CreateReplaceOrder2,VerifyWorkingSubs,ReplaceWorkingSubs,Copy of Data,SelectTradeOnOrderGrid,Copy of Data 1,VerifySubOrder,Copy of Data 2_conflict392855181,VerifyOrder"</formula1>
    </dataValidation>
    <dataValidation type="list" allowBlank="1" sqref="F184 F186 F193 F197 F205 F209 F213 F217 F221 F230 F234:F238 F246 F249:F251 F254 F258 F261 F264 F268:F270 F276:F280 F285 F295 F299:F301 F308 F314:F316 F320 F323 F330 F337 F343:F345">
      <formula1>"SelectTrade,AcknowledgeTrade,RejectTrade,ExecuteTrade,CancelTrade,OpenLiveTT,SetManualResponse,ClearUI,,,,,,,,,,,,,,,,,,,,,,,,,,,,,,,,,,,,,,,,,,,,,,,,,,,,,,,,,,,,,,,,,,,,,,,,,,,,,,,,,,,,,,,,,,,,,,,,,,,,,,,,,,,,,,,,,,,,,,,,,,,,,,,,,,,,,,,,,,,,,,,,,,,,,,,,,"&amp;",,,,,,,,,,,,,,,,,,,,,,,,,,,,,,,,,,,,,,,,,,,,,,,,,,,,,,,,,,,,,,,,,,,,,,,,,,,,,,,,,,,,,,,,,,,,,,,,,,,,,,,,,,,,,,,,,,,,,,,,,,,,,,,,,,,,,,,,,,,,,,,,,,,,,,,,,,,,,,,,,,,,,,,,,,,,,,,,,,,,,,,,,,,,,,,,,,,,,,,,,,,,,,,,,,,,,,,,,,,,,,,,,,,,,,,,,,,,,,,,,,,,,,,,,,,,,,,"&amp;",,,,,,,,,,,,,,,,,,,,,,,,,,,,,,,,,,,,,,,,,,,,,,,,,,,,,,,,,,,,,,,,,,,,,,,,,,,,,,,,,"</formula1>
    </dataValidation>
    <dataValidation type="list" allowBlank="1" sqref="H392:K392">
      <formula1>"CreateLiveOrder,SelectUnallocatedGroup,Reallocate,CleanUp,ac,AcknowledgeTrade,SelectTrade,ExecuteTrade"</formula1>
    </dataValidation>
    <dataValidation type="list" allowBlank="1" sqref="H389:K389">
      <formula1>"AcknowledgeTrade,SelectTrade,ExecuteTrade,DeleteGroup,SelectTradeOnOrderGrid,GoToAllocation,CreateLiveOrder"</formula1>
    </dataValidation>
    <dataValidation type="list" allowBlank="1" sqref="H488:K488">
      <formula1>"CleanUp,CreateLiveOrder,SelectTradeOnOrderGrid,GoToAllocation"</formula1>
    </dataValidation>
    <dataValidation type="list" allowBlank="1" sqref="F227:F228 F231:F232 F239 F243:F244 F247 F252 F255:F256 F259:F260 F262:F263 F271:F272">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amp;",,,,,,,,,,,,,,,,,,,,,,,,,,,,,,,,,,,,,,,,,,,,,,,,,,,,,,,,,,,,,,,,,,,,,,,,,,,,,,,,,,,,,,,,,,,,,,,,,,,,,,,,,,,,,,,,,,,,,,,,,,,,,,,,,,,,,,,,,,,,,,,,,,,,,,,,,,,,,,,,,,,,,,,,,,,,,,,,,,,,,,,,,,,,,,,,,,,,,,,,,,,,,,,,,,,,,,,,,,,,,,,,,,,,,,,,,,,,,,,,,,,,,,,,,,,,,,,"&amp;",,,,,,,,,,,,,,,,,,,,,,,,,,,,,,,,,,,,,,,,,,,,,,,,,,,,,,,,,,,,,,,,,,,,,,,,,,,,,,,,,,,,,,,"</formula1>
    </dataValidation>
    <dataValidation type="list" allowBlank="1" sqref="H239:K239">
      <formula1>"CreateStageOrder,SelectTradeOnOrderGrid,TradeNewSubOrder,CreateLiveOrder,AcknowledgeTrade,SelectTradeOnOrderGrid1,ReplaceSubOrder,CreateReplaceOrder,AcknowledgeTrade1,SelectTrade,ExecuteTrade,SelectTrade2,ExecuteTrade2,VerifyOrder"</formula1>
    </dataValidation>
    <dataValidation type="list" allowBlank="1" sqref="H390:K390">
      <formula1>"CreateLiveOrder,SelectUnallocatedGroup,Reallocate,CleanUp,ac,AcknowledgeTrade"</formula1>
    </dataValidation>
    <dataValidation type="list" allowBlank="1" sqref="H480:K480">
      <formula1>"CreateLiveOrder,CleanUp,SelectTradeOnOrderGrid"</formula1>
    </dataValidation>
    <dataValidation type="list" allowBlank="1" sqref="H118:K119">
      <formula1>"VerifyOrder,CreateStageOrder"</formula1>
    </dataValidation>
    <dataValidation type="list" allowBlank="1" sqref="H563:K563">
      <formula1>"CleanUp,CreateStageOrder,CreateStageOrder1,CreateDoneAwayOrder,CreateDoneAwayOrder1,TradeNewSubOrder,CreateNewSubOrder,EditStageOrder,CreateReplaceOrder,SelectTradeOnOrderGrid,CancelSubOrder"</formula1>
    </dataValidation>
    <dataValidation type="list" allowBlank="1" sqref="H451:K451">
      <formula1>"CleanUp,CreateDoneAwayOrder,SelectAllocatedGroup,Unallocate,AddCalculatedPreferences,SetAccountValueCalculatedPref,SetDefaultRuleCalculatedPref,SaveCalculatedPreferences,CloseCalculatedPreferences,SelectUnallocatedGroup"</formula1>
    </dataValidation>
    <dataValidation type="list" allowBlank="1" sqref="H123:K123">
      <formula1>"CreateDoneAwayOrder,ReplaceWorkingSubs,CreateReplaceOrder,VerifyWorkingSubs,CheckPortfolioManagement,CheckAllocatedGroups,VerifyActivity,VerifyLongPositionsGrid,GetDataClosing,VerifyOrder,SelectTradeOnOrderGrid"</formula1>
    </dataValidation>
    <dataValidation type="list" allowBlank="1" sqref="F131 F144">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amp;",,,,,,,,,,,,,,,,,,,,,,,,,,,,,,,,,,,,,,,,,,,,,,,,,,,,,,,,,,,,,,,,,,,,,,,,,,,,,,,,,,,,,,,,,,,,,,,,,,,,,,,,,,,,,,,,,,,,,,,,,,,,,,,,,,,,,,,,,,,,,,,,,,,,,,,,,,,,,,,,,,,,,,,,,,,,,,,,,,,,,,,,,,,,,,,,,,,,,,,,,,,,,,,,,,,,,,,,,,,,,,,,,,,,,,,,,,,,,,,,,,,,,,,,,,,,,,,"&amp;",,,,,,,,,,,,,,,,,,,,,,,,,,,,,,,,,,,,,,,,,,,,,,,,,,,,,,,,,,,,,,,,,,,,,,,,,,,,,,,,,,,,,,,,,,,,,,,,,,,,,,,,,,,,,,,,,,,,,,,,,,,,,,,,,,,,,,,,,,,,,,,,,,,,,,,,,,,,,,,,,,,,,,,,,,,"</formula1>
    </dataValidation>
    <dataValidation type="list" allowBlank="1" sqref="H217:K217">
      <formula1>"CreateLiveOrder,SelectTradeOnOrderGrid,RemoveStageOrder,VerifyOrder,RejectTrade,CreateStageOrder,TradeNewSubOrder,CreateLiveOrder1,AcknowledgeTrade,SelectTradeOnOrderGrid1,ReplaceSubOrder,CreateReplaceOrder,AcknowledgeTrade1,SelectTradeOnOrderGrid2,TradeN"&amp;"ewSubOrder1,CreateLiveOrder2,SelectTradeSubOrderBlotter,CancelSubOrder,SelectTradeOnOrderGrid3"</formula1>
    </dataValidation>
    <dataValidation type="list" allowBlank="1" sqref="H227:K227 H243:K243 H356:K356">
      <formula1>"CleanUp,CreateStageOrder,SelectTradeOnOrderGrid"</formula1>
    </dataValidation>
    <dataValidation type="list" allowBlank="1" sqref="H548:K548">
      <formula1>"CreateStageOrder,VerifyOrder,TradeNewSubOrder,CreateNewSubOrder,EditStageOrder,CreateReplaceOrder,VerifyOrder1,VerifySubOrder,VerifyWorkingSubs,GetDataAllocation,CheckAllocatedGroups"</formula1>
    </dataValidation>
    <dataValidation type="list" allowBlank="1" sqref="H192:K192">
      <formula1>"CreateDoneAwayOrder,VerifyWorkingSubs,SelectTradeOnOrderGrid,VerifySubOrder,CreateStageOrder,TradeNewSubOrder,CreateLiveOrder"</formula1>
    </dataValidation>
    <dataValidation type="list" allowBlank="1" sqref="H513:K513 H540:K540">
      <formula1>"CleanUp,CreateStageOrder,VerifyOrder,TradeNewSubOrder"</formula1>
    </dataValidation>
    <dataValidation type="list" allowBlank="1" sqref="H250:K250 H360:K360">
      <formula1>"CleanUp,CreateStageOrder,SelectTradeOnOrderGrid,TradeNewSubOrder,CreateLiveOrder,AcknowledgeTrade,SelectTrade"</formula1>
    </dataValidation>
    <dataValidation type="list" allowBlank="1" sqref="H126:K126">
      <formula1>"CreateDoneAwayOrder,ReplaceWorkingSubs,CreateReplaceOrder,VerifyWorkingSubs,CheckPortfolioManagement,CheckAllocatedGroups,VerifyActivity,VerifyLongPositionsGrid,GetDataClosing,VerifyOrder"</formula1>
    </dataValidation>
    <dataValidation type="list" allowBlank="1" sqref="H207:K208">
      <formula1>"CreateLiveOrder,SelectTradeOnOrderGrid,RemoveStageOrder,VerifyOrder,RejectTrade,CreateStageOrder,TradeNewSubOrder"</formula1>
    </dataValidation>
    <dataValidation type="list" allowBlank="1" sqref="H307:K307">
      <formula1>"CreateStageOrder,ViewThirdParty,CleanUp,CreateLiveOrder"</formula1>
    </dataValidation>
    <dataValidation type="list" allowBlank="1" sqref="H296:K296">
      <formula1>"CreateStageOrder,TradeNewSubOrder,CreateDoneAwayOrder,AddFillsWorkingSubs,EditAddFillsDetails,`,VerifyWorkingSubs,VerifyOrder,GetDataAllocation,CheckUnallocatedGroups,`checkPort,CheckPortfolioManagement,Create,Copy of Data,CleanUp,CreateLiveOrder,Acknowle"&amp;"dgeTrade,SelectTradeOnOrderGrid"</formula1>
    </dataValidation>
    <dataValidation type="list" allowBlank="1" sqref="E6:E1014">
      <formula1>'_Modules'!$A$4:$A1014</formula1>
    </dataValidation>
    <dataValidation type="list" allowBlank="1" sqref="H220:K221">
      <formula1>"CreateLiveOrder,SelectTradeOnOrderGrid,RemoveStageOrder,VerifyOrder,RejectTrade,CreateStageOrder,TradeNewSubOrder,AcknowledgeTrade,ReplaceSubOrder,CreateReplaceOrder,SelectTradeSubOrderBlotter,CancelSubOrder"</formula1>
    </dataValidation>
    <dataValidation type="list" allowBlank="1" sqref="H54:K54">
      <formula1>"CreateStageOrder,TransferToUserOrder,VerifyOrder"</formula1>
    </dataValidation>
    <dataValidation type="list" allowBlank="1" sqref="H232:K232">
      <formula1>"CreateStageOrder,SelectTradeOnOrderGrid,TradeNewSubOrder,CreateLiveOrder,AcknowledgeTrade,SelectTradeSubOrderBlotter,ReplaceSubOrder"</formula1>
    </dataValidation>
    <dataValidation type="list" allowBlank="1" sqref="H233:K234">
      <formula1>"CreateStageOrder,SelectTradeOnOrderGrid,TradeNewSubOrder,CreateLiveOrder,AcknowledgeTrade,ReplaceSubOrder,SelectTradeOnOrderGrid1,CreateReplaceOrder"</formula1>
    </dataValidation>
    <dataValidation type="list" allowBlank="1" sqref="H545:K545">
      <formula1>"CreateStageOrder,VerifyOrder,TradeNewSubOrder,CreateNewSubOrder,EditStageOrder,CreateReplaceOrder,VerifyOrder1,VerifySubOrder"</formula1>
    </dataValidation>
    <dataValidation type="list" allowBlank="1" sqref="H82:K82">
      <formula1>"CreateStageOrder,TradeNewSubOrder,CreateNewSubOrder,VerifyOrder,VerifyWorkingSubs,Copy of Data,CreateReplaceOrder,SelectTradeOnOrderGrid"</formula1>
    </dataValidation>
    <dataValidation type="list" allowBlank="1" sqref="H74:K74 H77:K77">
      <formula1>"CreateStageOrder,TradeNewSubOrder,CreateNewSubOrder,VerifyWorkingSubs,VerifyOrder,SelectTradeOnOrderGrid,VerifySubOrder"</formula1>
    </dataValidation>
    <dataValidation type="list" allowBlank="1" sqref="H163:K163">
      <formula1>"CreateStageOrder,TradeNewSubOrder,CreateDoneAwayOrder,AddFillsWorkingSubs,EditAddFillsDetails,SelectTradeOnOrderGrid,AddFillsSubOrder,VerifyWorkingSubs,CheckUnallocatedGroups,CheckPortfolioManagement,GetDataAllocation,Copy of Data,Copy of Data 1,Copy of D"&amp;"ata 2,Copy of Data 2_conflict1693820368"</formula1>
    </dataValidation>
    <dataValidation type="list" allowBlank="1" sqref="H372:K372">
      <formula1>"CreateLiveOrder,CleanUp,AcknowledgeTrade,SelectTrade,ExecuteTrade,SelectTradeOnOrderGrid,EditStageOrder"</formula1>
    </dataValidation>
    <dataValidation type="list" allowBlank="1" sqref="H497:K497">
      <formula1>"CreateDoneAwayOrder,VerifyOrder,VerifySubOrder,VerifyWorkingSubs,GetDataAllocation,CheckAllocatedGroups"</formula1>
    </dataValidation>
    <dataValidation type="list" allowBlank="1" sqref="H76:K76">
      <formula1>"CreateStageOrder,TradeNewSubOrder,CreateNewSubOrder,VerifyWorkingSubs,VerifyOrder,SelectTradeOnOrderGrid"</formula1>
    </dataValidation>
    <dataValidation type="list" allowBlank="1" sqref="F491 F496:F497 F501 F506:F507 F510 F521:F522 F525 F533:F534 F537 F547:F548 F552 F568:F569">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amp;",,,,,,,,,,,,,,,,,,,,,,,,,,,,,,,,,,,,,,,,,,,,,,,,,,,,,,,,,,,,,,,,,,,,,,,,,,,,,,,,,,,,,,,,,,,,,,,,,,,,,,,,,,,,,,,,,,,,,,,,,,,,,,,,,,,,,,,,,,,,,,,,,,"</formula1>
    </dataValidation>
    <dataValidation type="list" allowBlank="1" sqref="H534:K534">
      <formula1>"CleanUp,Copy of Data,CreateStageOrder,VerifyOrder,TradeNewSubOrder,CreateNewSubOrder,VerifyOrder1,VerifySubOrder,VerifyWorkingSubs,GetDataAllocation,CheckAllocatedGroups"</formula1>
    </dataValidation>
    <dataValidation type="list" allowBlank="1" sqref="H61 H62:K63">
      <formula1>"CreateStageOrder,EditStageOrder,CreateReplaceOrder,VerifyOrder,TradeNewSubOrder,CreateNewSubOrder,SelectTradeOnOrderGrid,VerifySubOrder,VerifyWorkingSubs"</formula1>
    </dataValidation>
    <dataValidation type="list" allowBlank="1" sqref="H49:K49 I50:K50">
      <formula1>"CreateStageOrder,TradeNewSubOrder,TradeNewSubOrder2,SelectTradeOnOrderGrid,CreateNewSubOrder2,CreateNewSubOrder,CancelAllSubs,VerifySubOrder,VerifyOrder"</formula1>
    </dataValidation>
    <dataValidation type="list" allowBlank="1" sqref="H352:K352">
      <formula1>"ThirdPartyManagerFunction,Copy of Data,SelectFromThirdPartyGrid,CleanUp,CreateLiveOrder,AcknowledgeTrade,SelectTrade,ExecuteTrade,SelectTradeOnOrderGrid,ReplaceSubOrder,CreateReplaceOrder,VerifySubOrder,ReplaceSubOrder1,CreateReplaceOrder1"</formula1>
    </dataValidation>
    <dataValidation type="list" allowBlank="1" sqref="F148">
      <formula1>"DeleteClientDataUsingScript,DeleteClientData,,,,,,,,,,,,,,,,,,,,,,,,,,,,,,,,,,,,,,,,,,,,,,,,,,,,,,,,,,,,,,,,,,,,,,,,,,,,,,,,,,,,,,,,,,,,,,,,,,,,,,,,,,,,,,,,,,,,,,,,,,,,,,,,,,,,,,,,,,,,,,,,,,,,,,,,,,,,,,,,,,,,,,,,,,,,,,,,,,,,,,,,,,,,,,,,,,,,,,,,,,,,,,,,,,,"&amp;",,,,,,,,,,,,,,,,,,,,,,,,,,,,,,,,,,,,,,,,,,,,,,,,,,,,,,,,,,,,,,,,,,,,,,,,,,,,,,,,,,,,,,,,,,,,,,,,,,,,,,,,,,,,,,,,,,,,,,,,,,,,,,,,,,,,,,,,,,,,,,,,,,,,,,,,,,,,,,,,,,,,,,,,,,,,,,,,,,,,,,,,,,,,,,,,,,,,,,,,,,,,,,,,,,,,,,,,,,,,,,,,,,,,,,,,,,,,,,,,,,,,,,,,,,,,,,,"&amp;",,,,,,,,,,,,,,,,,,,,,,,,,,,,,"</formula1>
    </dataValidation>
    <dataValidation type="list" allowBlank="1" sqref="H287:K287">
      <formula1>"CreateStageOrder,CreateStageOrder1,RemoveSelectedOrders,SelectTradeOnOrderGrid,SelectTradeOnOrderGrid1,SelectTradeOrderBlotter,CleanUp,CreateLiveOrder,AcknowledgeTrade,ReplaceSubOrder"</formula1>
    </dataValidation>
    <dataValidation type="list" allowBlank="1" sqref="H124:K124">
      <formula1>"CreateDoneAwayOrder,ReplaceWorkingSubs,CreateReplaceOrder,VerifyWorkingSubs,CheckPortfolioManagement,CheckAllocatedGroups,VerifyActivity,VerifyLongPositionsGrid,GetDataClosing,VerifyOrder,SelectTradeOnOrderGrid,VerifySubOrder"</formula1>
    </dataValidation>
    <dataValidation type="list" allowBlank="1" sqref="F10 F19 F57 F66 F68 F70 F88 F99 F118 F122 F134 F145">
      <formula1>"TradeUsingTT,OpenTTFromPST,EnterDetailsOnTT,ValidateSymbolTT,VerifyDataTT,SetUIPreferencesTT,SetBrokerWisePreferencesTT,TradeNewSub,CreateStageOrder,CreateReplaceOrder,CreateReplaceOrder,EditOrder,SetGeneralPreference,CreateDoneAwayOrder,,,,,,,,,,,,,,,,,,"&amp;",,,,,,,,,,,,,,,,,,,,,,,,,,,,,,,,,,,,,,,,,,,,,,,,,,,,,,,,,,,,,,,,,,,,,,,,,,,,,,,,,,,,,,,,,,,,,,,,,,,,,,,,,,,,,,,,,,,,,,,,,,,,,,,,,,,,,,,,,,,,,,,,,,,,,,,,,,,,,,,,,,,,,,,,,,,,,,,,,,,,,,,,,,,,,,,,,,,,,,,,,,,,,,,,,,,,,,,,,,,,,,,,,,,,,,,,,,,,,,,,,,,,,,,,,,,,,,,"&amp;",,,,,,,,,,,,,,,,,,,,,,,,,,,,,,,,,,,,,,,,,,,,,,,,,,,,,,,,,,,,,,,,,,,,,,,,,,,,,,,,,,,,,,,,,,,,,,,,,,,,,,,,,,,,,,,,,,,,,,,,,,,,,,,,,,,,,,,,,,,,,,,,,,,,,,,,,,,,,,,,,,,,,,,,,,,,,,,,,,,,,,,,,,,,,,,,,,,,,,,,,,,,,,,,,,"</formula1>
    </dataValidation>
    <dataValidation type="list" allowBlank="1" sqref="H268:K268 H314:K314 H400:K400 H408:K408 H423:K423 H460:K460 H471:K471">
      <formula1>"CleanUp,CreateLiveOrder,AcknowledgeTrade"</formula1>
    </dataValidation>
    <dataValidation type="list" allowBlank="1" sqref="H121:K122 H125:K125 H127:K131">
      <formula1>"CreateDoneAwayOrder,ReplaceWorkingSubs,CreateReplaceOrder,VerifyWorkingSubs,CheckPortfolioManagement,CheckAllocatedGroups,VerifyActivity,VerifyLongPositionsGrid,GetDataClosing,Copy of Data"</formula1>
    </dataValidation>
    <dataValidation type="list" allowBlank="1" sqref="H262:K264">
      <formula1>"CreateStageOrder,SelectTradeOnOrderGrid,TradeNewSubOrder,CreateLiveOrder,AcknowledgeTrade,TradeNewSubOrder1,CreateLiveOrder1,AcknowledgeTrade1,SelectTrade,ExecuteTrade,TradeNewSubOrder2,CreateLiveOrder2,AcknowledgeTrade2,SelectTradeOnOrderGrid1,ReplaceSub"&amp;"Order,CreateReplaceOrder,AcknowledgeTrade3,SelectTradeOnOrderGrid2,CancelSubOrder,AcknowledgeTrade4"</formula1>
    </dataValidation>
    <dataValidation type="list" allowBlank="1" sqref="H503:K503">
      <formula1>"CleanUp,CreateDoneAwayOrder,VerifyOrder"</formula1>
    </dataValidation>
    <dataValidation type="list" allowBlank="1" sqref="H52:K52">
      <formula1>"CreateStageOrder,TransferToUserOrder,VerifyOrder,Copy of Data,Copy of Data 1,Copy of Data 1_conflict1101782279,Copy of Data 2"</formula1>
    </dataValidation>
    <dataValidation type="list" allowBlank="1" sqref="H209:K210">
      <formula1>"CreateLiveOrder,SelectTradeOnOrderGrid,RemoveStageOrder,VerifyOrder,RejectTrade,CreateStageOrder,TradeNewSubOrder,AcknowledgeTrade"</formula1>
    </dataValidation>
    <dataValidation type="list" allowBlank="1" sqref="H48:K48">
      <formula1>"CreateStageOrder,TradeNewSubOrder,TradeNewSubOrder2,SelectTradeOnOrderGrid,CreateNewSubOrder2,CreateNewSubOrder,CancelAllSubs,VerifySubOrder,VerifyOrder,VerifyWorkingSubs"</formula1>
    </dataValidation>
    <dataValidation type="list" allowBlank="1" sqref="H504:K504">
      <formula1>"CreateDoneAwayOrder,VerifyOrder,VerifySubOrder,VerifyWorkingSubs,GetDataAllocation,CheckAllocatedGroups,SelectTradeOnOrderGrid"</formula1>
    </dataValidation>
    <dataValidation type="list" allowBlank="1" sqref="H31 I32:K32">
      <formula1>"CreateNewSubOrder2,TradeNewSubOrder2,CreateStageOrder,TradeNewSubOrder,CreateNewSubOrder,VerifySubOrder,CancelAllSubs,SelectTradeOnOrderGrid,VerifyWorkingSubs,VerifyOrders,VerifyOrder"</formula1>
    </dataValidation>
    <dataValidation type="list" allowBlank="1" sqref="H417:K417">
      <formula1>"CleanUp,CreateDoneAwayOrder,AddFillsSubOrder"</formula1>
    </dataValidation>
    <dataValidation type="list" allowBlank="1" sqref="H38:K39">
      <formula1>"CreateStageOrder,TradeNewSubOrder,CreateNewSubOrder,CancelAllSubs,VerifyOrder,VerifySubOrder,VerifyWorkingSubs"</formula1>
    </dataValidation>
    <dataValidation type="list" allowBlank="1" sqref="H238:K238">
      <formula1>"CreateStageOrder,SelectTradeOnOrderGrid,TradeNewSubOrder,CreateLiveOrder,AcknowledgeTrade,SelectTradeOnOrderGrid1,ReplaceSubOrder,CreateReplaceOrder,AcknowledgeTrade1,SelectTrade,ExecuteTrade,SelectTrade2"</formula1>
    </dataValidation>
    <dataValidation type="list" allowBlank="1" sqref="H452:K452">
      <formula1>"CleanUp,CreateDoneAwayOrder,SelectAllocatedGroup,Unallocate,AddCalculatedPreferences,SetAccountValueCalculatedPref,SetDefaultRuleCalculatedPref,SaveCalculatedPreferences,CloseCalculatedPreferences,SelectUnallocatedGroup,EnterAllocatePreference"</formula1>
    </dataValidation>
    <dataValidation type="list" allowBlank="1" sqref="H278:K279">
      <formula1>"CreateLiveOrder,AcknowledgeTrade,SelectTrade,ExecuteTrade"</formula1>
    </dataValidation>
    <dataValidation type="list" allowBlank="1" sqref="H281:K281">
      <formula1>"CreateLiveOrder,AcknowledgeTrade,SelectTrade,ExecuteTrade,SelectTrade1,ExecuteTrade1,VerifyOrder"</formula1>
    </dataValidation>
    <dataValidation type="list" allowBlank="1" sqref="H182:K183">
      <formula1>"CreateLiveOrder,SelectTradeOnOrderGrid,EditStageOrder,CreateReplaceOrder,VerifyOrder,TradeNewSubOrder"</formula1>
    </dataValidation>
    <dataValidation type="list" allowBlank="1" sqref="H15:K22">
      <formula1>"TradeNewSubOrder,ReplaceSubOrder,CreateReplaceOrder,CreateNewSubOrder,CreateStageOrder,VerifyWorkingSubs,SelectTradeOnOrderGrid,VerifySubOrder,EditStageOrder"</formula1>
    </dataValidation>
    <dataValidation type="list" allowBlank="1" sqref="F173">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H342:K342">
      <formula1>"ThirdPartyManagerFunction,Copy of Data,SelectFromThirdPartyGrid,CleanUp,CreateLiveOrder"</formula1>
    </dataValidation>
    <dataValidation type="list" allowBlank="1" sqref="H185:K186">
      <formula1>"CreateLiveOrder,SelectTradeOnOrderGrid,EditStageOrder,CreateReplaceOrder,VerifyOrder,TradeNewSubOrder,AcknowledgeTrade,CancelAllSubs"</formula1>
    </dataValidation>
    <dataValidation type="list" allowBlank="1" sqref="H487:K487">
      <formula1>"CleanUp,CreateLiveOrder,SelectTradeOnOrderGrid"</formula1>
    </dataValidation>
    <dataValidation type="list" allowBlank="1" sqref="H231:K231">
      <formula1>"CreateStageOrder,SelectTradeOnOrderGrid,TradeNewSubOrder,CreateLiveOrder,AcknowledgeTrade,ReplaceSubOrder"</formula1>
    </dataValidation>
    <dataValidation type="list" allowBlank="1" sqref="H514:K515 H541:K541">
      <formula1>"CleanUp,CreateStageOrder,VerifyOrder,TradeNewSubOrder,CreateNewSubOrder"</formula1>
    </dataValidation>
    <dataValidation type="list" allowBlank="1" sqref="H463:K465">
      <formula1>"CleanUp,CreateLiveOrder,AcknowledgeTrade,SelectTradeOnOrderGrid,ReplaceSubOrder,CreateReplaceOrder"</formula1>
    </dataValidation>
    <dataValidation type="list" allowBlank="1" sqref="H203:K203">
      <formula1>"CreateStageOrder,CleanUp,CreateLiveOrder,SelectTradeOnOrderGrid,RemoveStageOrder"</formula1>
    </dataValidation>
    <dataValidation type="list" allowBlank="1" sqref="H251:K251 H361:K361">
      <formula1>"CleanUp,CreateStageOrder,SelectTradeOnOrderGrid,TradeNewSubOrder,CreateLiveOrder,AcknowledgeTrade,SelectTrade,ExecuteTrade"</formula1>
    </dataValidation>
    <dataValidation type="list" allowBlank="1" sqref="H42:K47 H50 H51:K51">
      <formula1>"CreateStageOrder,TradeNewSubOrder,TradeNewSubOrder2,SelectTradeOnOrderGrid,CreateNewSubOrder2,CreateNewSubOrder,CancelAllSubs,VerifySubOrder"</formula1>
    </dataValidation>
    <dataValidation type="list" allowBlank="1" sqref="H115:K115">
      <formula1>"ReplaceWorkingSubs2,CreateDoneAwayOrder,CreateReplaceOrder,CreateReplaceOrder2,VerifyWorkingSubs,ReplaceWorkingSubs,Copy of Data,SelectTradeOnOrderGrid"</formula1>
    </dataValidation>
    <dataValidation type="list" allowBlank="1" sqref="H137:K137">
      <formula1>"CreateDoneAwayOrder,ReplaceWorkingSubs,CreateReplaceOrder,VerifyWorkingSubs,CheckAllocatedGroups,CheckPortfolioManagement,VerifyActivity,VerifyLongPositionsGrid,TransferToUserWorkingSubs,GetDataClosing,VerifyOrder,SelectTradeOnOrderGrid"</formula1>
    </dataValidation>
    <dataValidation type="list" allowBlank="1" sqref="H370:K370">
      <formula1>"CreateLiveOrder,CleanUp,AcknowledgeTrade,SelectTrade,ExecuteTrade"</formula1>
    </dataValidation>
    <dataValidation type="list" allowBlank="1" sqref="I109:K109">
      <formula1>"CreateDoneAwayOrder,ReplaceWorkingSubs,CreateReplaceOrder,ReplaceWorkingSubs2,CreateReplaceOrder2,VerifyWorkingSubs,VerifyOrder,SelectTradeOnOrderGrid,VerifySubOrder"</formula1>
    </dataValidation>
    <dataValidation type="list" allowBlank="1" sqref="H395:K395">
      <formula1>"CreateLiveOrder,SelectUnallocatedGroup,Reallocate,CleanUp,ac,AcknowledgeTrade,SelectTrade,ExecuteTrade,DeleteGroup,SelectTradeOnOrderGrid"</formula1>
    </dataValidation>
    <dataValidation type="list" allowBlank="1" sqref="H35:K37">
      <formula1>"CreateStageOrder,TradeNewSubOrder,CreateNewSubOrder,CancelAllSubs,VerifyOrder"</formula1>
    </dataValidation>
    <dataValidation type="list" allowBlank="1" sqref="F281 F286:F287 F289:F290 F296:F297 F302 F304 F309:F310 F317:F318 F321:F322 F327:F328 F333 F338:F339 F346:F347 F349:F350 F352 F356:F357 F362:F364 F371:F372 F374:F375 F377:F378 F380 F385:F386 F395:F396 F403:F405 F411:F412 F416:F419 F427:F428 F441:F442 F455:F456 F461:F462 F465:F466 F472:F473 F480:F481 F487:F488 F493:F495 F503:F505 F512:F513 F515:F520 F527:F528 F530:F532 F539:F540 F542 F544:F546 F557:F558 F560 F562:F567">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GoToAllocation,,,,,,,,,,,,,,,,,,,,,,,,,,,,,,,,,,,,,,,,,,,,,,,,,,,,,,,,,,,,,,,,,,,,,,,,,,,,,,,,,,,,,,,,,,,,,,,,,,"&amp;",,,,,,,,,,,,,,,,,,,,,,,,,,,,,,,,,,,,,,,,,,,,,,,,,,,,,,,,,,,,,,,,,,,,,,,,,,,,,,,,,,,,,,,,,,,,,,,,,,,,,,,,,,,,,,,,,,,,,,,,,,,,,,,,,,,,,,,,,,,,,,,,,,,,,,,,,,,,,,,,,,,,,,,,,,,,,,,,,,,,,,,,,,,,,,,,,,,,,,,,,,,,,,,,,,,,,,,,,,,,,,,,,,,,,,,,,,,,,,,,,,,,,,,,,,,,,,,"&amp;",,,,,,,,,,,,,,,,,,,,,,,,,,,,,,,,,,,,,,,,,,,,,,,,,,,,,,,,,,,,,,,,,,,,,,,,,,,,,,,,,,,,,,,,,,,,,,,,,,,,,"</formula1>
    </dataValidation>
    <dataValidation type="list" allowBlank="1" sqref="H11:K11 I12:K12">
      <formula1>"CreateStageOrder,TradeNewSubOrder,CreateReplaceOrder,CreateNewSubOrder,SelectTradeOnOrderGrid,VerifySubOrder,VerifyWorkingSubs,SaveLayoutOrderGrid,EditStageOrder,VerifyOrder,VerifyOrders"</formula1>
    </dataValidation>
    <dataValidation type="list" allowBlank="1" sqref="H276:K276">
      <formula1>"CleanUp,CreateLiveOrder,SelectTradeOnOrderGrid,AcknowledgeTrade"</formula1>
    </dataValidation>
    <dataValidation type="list" allowBlank="1" sqref="H297:K297">
      <formula1>"CreateStageOrder,TradeNewSubOrder,CreateDoneAwayOrder,AddFillsWorkingSubs,EditAddFillsDetails,`,VerifyWorkingSubs,VerifyOrder,GetDataAllocation,CheckUnallocatedGroups,`checkPort,CheckPortfolioManagement,Create,Copy of Data,CleanUp,CreateLiveOrder,Acknowle"&amp;"dgeTrade,SelectTradeOnOrderGrid,ReplaceSubOrder"</formula1>
    </dataValidation>
    <dataValidation type="list" allowBlank="1" sqref="F127 F140 F175">
      <formula1>"CheckDashboardPM,CheckPortfolioManagement,OpenPSTFromPM,ClosePM,FilterPM,GroupRowPM,CheckDashboardWithPM,RemoveFilterPM,CheckSummaryRowsPM,,,,,,,,,,,,,,,,,,,,,,,,,,,,,,,,,,,,,,,,,,,,,,,,,,,,,,,,,,,,,,,,,,,,,,,,,,,,,,,,,,,,,,,,,,,,,,,,,,,,,,,,,,,,,,,,,,,,,"&amp;",,,,,,,,,,,,,,,,,,,,,,,,,,,,,,,,,,,,,,,,,,,,,,,,,,,,,,,,,,,,,,,,,,,,,,,,,,,,,,,,,,,,,,,,,,,,,,,,,,,,,,,,,,,,,,,,,,,,,,,,,,,,,,,,,,,,,,,,,,,,,,,,,,,,,,,,,,,,,,,,,,,,,,,,,,,,,,,,,,,,,,,,,,,,,,,,,,,,,,,,,,,,,,,,,,,,,,,,,,,,,,,,,,,,,,,,,,,,,,,,,,,,,,,,,,,,,,,"&amp;",,,,,,,,,,,,,,,,,,,,,,,,,,,,,,,,,,,,,,,,,,,,,,,,,,,,,,,,,,,,,,,,,,,,,,,,,,,,,,,,,,,,,,,,,,,,,,,,,,,,,,,,,,,,,,,,,,,,"</formula1>
    </dataValidation>
    <dataValidation type="list" allowBlank="1" sqref="H373:K374">
      <formula1>"CreateLiveOrder,AcknowledgeTrade,SelectTrade,ExecuteTrade,SelectTradeOnOrderGrid,EditStageOrder,CreateReplaceOrder"</formula1>
    </dataValidation>
    <dataValidation type="list" allowBlank="1" sqref="H493:K493">
      <formula1>"CleanUp,Copy of Data,CreateDoneAwayOrder,VerifyOrder"</formula1>
    </dataValidation>
    <dataValidation type="list" allowBlank="1" sqref="H543:K543">
      <formula1>"CreateStageOrder,VerifyOrder,TradeNewSubOrder,CreateNewSubOrder,EditOrder,Copy of Data,EditStageOrder,CreateReplaceOrder"</formula1>
    </dataValidation>
    <dataValidation type="list" allowBlank="1" sqref="H291:K291">
      <formula1>"CreateLiveOrder,AcknowledgeTrade,SelectTradeOnOrderGrid,ReplaceSubOrder,CreateReplaceOrder,SelectTradeOnOrderGrid1,ReplaceSubOrder1"</formula1>
    </dataValidation>
    <dataValidation type="list" allowBlank="1" sqref="H337:K337">
      <formula1>"OpenThirdParty,ThirdPartyWork,Copy of Data,OpeningManager,Copy of Data 1,CleanUp,CreateLiveOrder,AcknowledgeTrade"</formula1>
    </dataValidation>
    <dataValidation type="list" allowBlank="1" sqref="H180:K180">
      <formula1>"CreateLiveOrder,SelectTradeOnOrderGrid,EditStageOrder,VerifyOrder,CreateReplaceOrder"</formula1>
    </dataValidation>
    <dataValidation type="list" allowBlank="1" sqref="H531:K531">
      <formula1>"CleanUp,Copy of Data,CreateStageOrder,VerifyOrder,TradeNewSubOrder,CreateNewSubOrder,VerifyOrder1,VerifySubOrder"</formula1>
    </dataValidation>
    <dataValidation type="list" allowBlank="1" sqref="H318:K318">
      <formula1>"CleanUp,CreateLiveOrder,AcknowledgeTrade,SelectTrade,ExecuteTrade,SelectTradeOnOrderGrid,ReplaceSubOrder"</formula1>
    </dataValidation>
    <dataValidation type="list" allowBlank="1" sqref="H505:K505">
      <formula1>"CleanUp,CreateDoneAwayOrder,VerifyOrder,VerifySubOrder,VerifyWorkingSubs"</formula1>
    </dataValidation>
    <dataValidation type="list" allowBlank="1" sqref="H194:K194">
      <formula1>"CreateStageOrder,TradeNewSubOrder,CreateLiveOrder,AcknowledgeTrade,ReplaceSubOrder,CreateLiveOrder1,RejectTrade,SelectTradeOnOrderGrid"</formula1>
    </dataValidation>
    <dataValidation type="list" allowBlank="1" sqref="H431:K431">
      <formula1>"CreateDoneAwayOrder"</formula1>
    </dataValidation>
    <dataValidation type="list" allowBlank="1" sqref="H285:K285">
      <formula1>"CreateStageOrder,CreateStageOrder1,RemoveSelectedOrders,SelectTradeOnOrderGrid,SelectTradeOnOrderGrid1,SelectTradeOrderBlotter,CleanUp,CreateLiveOrder,AcknowledgeTrade"</formula1>
    </dataValidation>
    <dataValidation type="list" allowBlank="1" sqref="H455:K455">
      <formula1>"CleanUp,CreateDoneAwayOrder,SelectAllocatedGroup,Unallocate,AddCalculatedPreferences,SetAccountValueCalculatedPref,SetDefaultRuleCalculatedPref,SaveCalculatedPreferences,CloseCalculatedPreferences,SelectUnallocatedGroup,EnterAllocatePreference,Allocate,Ge"&amp;"tDataAllocation,SelectTradeOnOrderGrid"</formula1>
    </dataValidation>
    <dataValidation type="list" allowBlank="1" sqref="H321:K321">
      <formula1>"CleanUp,CreateLiveOrder,AcknowledgeTrade,SelectTrade,ExecuteTrade,SelectTradeOnOrderGrid,ReplaceSubOrder,CreateReplaceOrder,AcknowledgeTrade1"</formula1>
    </dataValidation>
    <dataValidation type="list" allowBlank="1" sqref="H95:K95">
      <formula1>"CreateNewSubOrder2,CreateStageOrder,TradeNewSubOrder,CreateNewSubOrder,VerifyOrder,VerifyWorkingSubs,EditStageOrder,CreateReplaceOrder,TradeNewSubOrder2,SelectTradeOnOrderGrid,VerifySubOrder"</formula1>
    </dataValidation>
    <dataValidation type="list" allowBlank="1" sqref="H138:K138">
      <formula1>"CreateDoneAwayOrder,ReplaceWorkingSubs,CreateReplaceOrder,VerifyWorkingSubs,CheckAllocatedGroups,CheckPortfolioManagement,VerifyActivity,VerifyLongPositionsGrid,TransferToUserWorkingSubs,GetDataClosing,VerifyOrder,SelectTradeOnOrderGrid,VerifySubOrder"</formula1>
    </dataValidation>
    <dataValidation type="list" allowBlank="1" sqref="H270:K270 H316:K316 H402:K402 H410:K410 H425:K425">
      <formula1>"CleanUp,CreateLiveOrder,AcknowledgeTrade,SelectTrade,ExecuteTrade"</formula1>
    </dataValidation>
    <dataValidation type="list" allowBlank="1" sqref="H178:K178">
      <formula1>"CheckBlotter,Copy of Data,CleanUp,CreateDoneAwayOrder,SelectTrade,CreateLiveOrder"</formula1>
    </dataValidation>
    <dataValidation type="list" allowBlank="1" sqref="F359:F361">
      <formula1>"SelectTrade,AcknowledgeTrade,RejectTrade,ExecuteTrade,CancelTrade,OpenLiveTT,SetManualResponse,ClearUI,CloseUI,,,,,,,,,,,,,,,,,,,,,,,,,,,,,,,,,,,,,,,,,,,,,,,,,,,,,,,,,,,,,,,,,,,,,,,,,,,,,,,,,,,,,,,,,,,,,,,,,,,,,,,,,,,,,,,,,,,,,,,,,,,,,,,,,,,,,,,,,,,,,,,,,"&amp;",,,,,,,,,,,,,,,,,,,,,,,,,,,,,,,,,,,,,,,,,,,,,,,,,,,,,,,,,,,,,,,,,,,,,,,,,,,,,,,,,,,,,,,,,,,,,,,,,,,,,,,,,,,,,,,,,,,,,,,,,,,,,,,,,,,,,,,,,,,,,,,,,,,,,,,,,,,,,,,,,,,,,,,,,,,,,,,,,,,,,,,,,,,,,,,,,,,,,,,,,,,,,,,,,,,,,,,,,,,,,,,,,,,,,,,,,,,,,,,,,,,,,,,,,,,,,,,"&amp;",,,,,,,,,,,,,,,,,,,,,,,,,,,,,,,,,,,,,,,,,,,,,,,,,,,,,,,,,,,,,,,,,,,,,,,,,,,,,,,,,,,,,,,,"</formula1>
    </dataValidation>
    <dataValidation type="list" allowBlank="1" sqref="H555:K556">
      <formula1>"CleanUp,CreateStageOrder,CreateStageOrder1,CreateDoneAwayOrder"</formula1>
    </dataValidation>
    <dataValidation type="list" allowBlank="1" sqref="H30">
      <formula1>"CreateNewSubOrder2,TradeNewSubOrder2,CreateStageOrder,TradeNewSubOrder,CreateNewSubOrder,VerifySubOrder,CancelAllSubs,SelectTradeOnOrderGrid,VerifyWorkingSubs"</formula1>
    </dataValidation>
    <dataValidation type="list" allowBlank="1" sqref="H191:K191">
      <formula1>"CreateDoneAwayOrder,VerifyWorkingSubs,SelectTradeOnOrderGrid,VerifySubOrder,CreateStageOrder,TradeNewSubOrder"</formula1>
    </dataValidation>
    <dataValidation type="list" allowBlank="1" sqref="H393:K393">
      <formula1>"CreateLiveOrder,AcknowledgeTrade,SelectTrade,ExecuteTrade,SelectTradeOnOrderGrid,GoToAllocation,SelectUnallocatedGroup"</formula1>
    </dataValidation>
    <dataValidation type="list" allowBlank="1" sqref="H558:K558">
      <formula1>"CleanUp,CreateStageOrder,CreateStageOrder1,CreateDoneAwayOrder,CreateDoneAwayOrder1,TradeNewSubOrder"</formula1>
    </dataValidation>
    <dataValidation type="list" allowBlank="1" sqref="H229:K229 H245:K245 H247:K247 H358:K358">
      <formula1>"CleanUp,CreateStageOrder,SelectTradeOnOrderGrid,TradeNewSubOrder,CreateLiveOrder"</formula1>
    </dataValidation>
    <dataValidation type="list" allowBlank="1" sqref="H255:K255">
      <formula1>"CreateStageOrder,SelectTradeOnOrderGrid,TradeNewSubOrder,CreateLiveOrder,AcknowledgeTrade,TradeNewSubOrder1,CreateLiveOrder1,AcknowledgeTrade1,SelectTrade,ExecuteTrade,TradeNewSubOrder2,CreateLiveOrder2,AcknowledgeTrade2,ReplaceSubOrder,CreateReplaceOrder"&amp;",AcknowledgeTrade3"</formula1>
    </dataValidation>
    <dataValidation type="list" allowBlank="1" sqref="H195:K195">
      <formula1>"CreateDoneAwayOrder,VerifyWorkingSubs,SelectTradeOnOrderGrid,VerifySubOrder,CreateStageOrder,TradeNewSubOrder,CreateLiveOrder,CleanUp,AcknowledgeTrade,ReplaceSubOrder"</formula1>
    </dataValidation>
    <dataValidation type="list" allowBlank="1" sqref="H309:K309">
      <formula1>"CreateStageOrder,ViewThirdParty,CleanUp,CreateLiveOrder,AcknowledgeTrade,SelectTradeOnOrderGrid"</formula1>
    </dataValidation>
    <dataValidation type="list" allowBlank="1" sqref="H473:K473">
      <formula1>"CleanUp,CreateLiveOrder,AcknowledgeTrade,SelectTradeOnOrderGrid,GoToAllocation"</formula1>
    </dataValidation>
    <dataValidation type="list" allowBlank="1" sqref="H494:K494">
      <formula1>"CreateDoneAwayOrder,VerifyOrder,VerifySubOrder"</formula1>
    </dataValidation>
    <dataValidation type="list" allowBlank="1" sqref="F179 F181:F182 F185 F191 F194:F195 F202:F204 F207 F210:F211 F214:F215 F218:F220 F222:F223">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333:K333">
      <formula1>"OpeningManager,CleanUp,CreateStageOrder,SelectTradeOnOrderGrid,TradeNewSubOrder,CreateLiveOrder,AcknowledgeTrade,TradeNewSubOrder1,VerifySubOrder"</formula1>
    </dataValidation>
    <dataValidation type="list" allowBlank="1" sqref="H532:K532">
      <formula1>"CleanUp,Copy of Data,CreateStageOrder,VerifyOrder,TradeNewSubOrder,CreateNewSubOrder,VerifyOrder1,VerifySubOrder,VerifyWorkingSubs"</formula1>
    </dataValidation>
    <dataValidation type="list" allowBlank="1" sqref="H391:K391">
      <formula1>"CreateLiveOrder,SelectUnallocatedGroup,Reallocate,CleanUp,ac,AcknowledgeTrade,SelectTrade"</formula1>
    </dataValidation>
    <dataValidation type="list" allowBlank="1" sqref="H145:K147">
      <formula1>"CreateDoneAwayOrder,VerifyWorkingSubs,CancelWorkingSubs"</formula1>
    </dataValidation>
    <dataValidation type="list" allowBlank="1" sqref="H462:K462">
      <formula1>"CleanUp,CreateLiveOrder,AcknowledgeTrade,SelectTradeOnOrderGrid,ReplaceSubOrder"</formula1>
    </dataValidation>
    <dataValidation type="list" allowBlank="1" sqref="H120:K120">
      <formula1>"CreateDoneAwayOrder,ReplaceWorkingSubs,CreateReplaceOrder,VerifyWorkingSubs,CheckPortfolioManagement,CheckAllocatedGroups,VerifyActivity,VerifyLongPositionsGrid,GetDataClosing,VerifyOrder,Copy of Data,Copy of Data 1,Copy of Data 2,Copy of Data 3,Copy of D"&amp;"ata 4,Copy of Data 4_conflict1694846535"</formula1>
    </dataValidation>
    <dataValidation type="list" allowBlank="1" sqref="H466:K466">
      <formula1>"CleanUp,CreateLiveOrder,AcknowledgeTrade,SelectTradeOnOrderGrid,ReplaceSubOrder,CreateReplaceOrder,CancelSubOrder"</formula1>
    </dataValidation>
    <dataValidation type="list" allowBlank="1" sqref="H89:K89">
      <formula1>"CreateNewSubOrder2,CreateStageOrder,TradeNewSubOrder,CreateNewSubOrder,VerifyOrder,VerifyWorkingSubs,EditStageOrder,CreateReplaceOrder,TradeNewSubOrder2,SelectTradeOnOrderGrid,VerifySubOrder,Copy of Data,Copy of Data 1"</formula1>
    </dataValidation>
    <dataValidation type="list" allowBlank="1" sqref="H79:K81 H84:K85">
      <formula1>"CreateStageOrder,TradeNewSubOrder,CreateNewSubOrder,VerifyOrder,VerifyWorkingSubs,Copy of Data,CreateReplaceOrder"</formula1>
    </dataValidation>
    <dataValidation type="list" allowBlank="1" sqref="F6 F15 F24 F34 F42 F52 F55 F64 F72 F74 F79 F86 F97 F109 H109 F120 F132 F149 F163">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226:K226 H242:K242 H355:K355 H511:K511 H538:K538 H553:K553">
      <formula1>"CleanUp,CreateStageOrder"</formula1>
    </dataValidation>
    <dataValidation type="list" allowBlank="1" sqref="H386:K386">
      <formula1>"CreateLiveOrder,AcknowledgeTrade,CancelAllSubs,VerifyOrder"</formula1>
    </dataValidation>
    <dataValidation type="list" allowBlank="1" sqref="H343:K343">
      <formula1>"ThirdPartyManagerFunction,Copy of Data,SelectFromThirdPartyGrid,CleanUp,CreateLiveOrder,AcknowledgeTrade"</formula1>
    </dataValidation>
    <dataValidation type="list" allowBlank="1" sqref="H526:K526">
      <formula1>"VerifyOrder,TradeNewSubOrder,CreateNewSubOrder,VerifyOrder1,VerifySubOrder,VerifyWorkingSubs,GetDataAllocation,CheckAllocatedGroups,CreateStageOrder"</formula1>
    </dataValidation>
    <dataValidation type="list" allowBlank="1" sqref="H322:K322">
      <formula1>"CancelWorkingSubs"</formula1>
    </dataValidation>
    <dataValidation type="list" allowBlank="1" sqref="H331:K331">
      <formula1>"CreateStageOrder,SelectTradeOnOrderGrid,TradeNewSubOrder,CreateLiveOrder,AcknowledgeTrade,VerifySubOrder,SelectTrade"</formula1>
    </dataValidation>
    <dataValidation type="list" allowBlank="1" sqref="H369:K369">
      <formula1>"CreateLiveOrder,CleanUp,AcknowledgeTrade,SelectTrade"</formula1>
    </dataValidation>
    <dataValidation type="list" allowBlank="1" sqref="H288:K290">
      <formula1>"CreateStageOrder,CreateStageOrder1,RemoveSelectedOrders,SelectTradeOnOrderGrid,SelectTradeOnOrderGrid1,SelectTradeOrderBlotter,CleanUp,CreateLiveOrder,AcknowledgeTrade,ReplaceSubOrder,CreateReplaceOrder"</formula1>
    </dataValidation>
    <dataValidation type="list" allowBlank="1" sqref="H294:K294">
      <formula1>"CreateStageOrder,TradeNewSubOrder,CreateDoneAwayOrder,AddFillsWorkingSubs,EditAddFillsDetails,`,VerifyWorkingSubs,VerifyOrder,GetDataAllocation,CheckUnallocatedGroups,`checkPort,CheckPortfolioManagement,Create,Copy of Data,CleanUp,CreateLiveOrder"</formula1>
    </dataValidation>
    <dataValidation type="list" allowBlank="1" sqref="H518:K518">
      <formula1>"CreateStageOrder,VerifyOrder,TradeNewSubOrder,CreateNewSubOrder,VerifyOrder1,AddFillsSubOrder,EditAddFillsDetails,VerifySubOrder,VerifyWorkingSubs,GetDataAllocation,CheckAllocatedGroups"</formula1>
    </dataValidation>
    <dataValidation type="list" allowBlank="1" sqref="F7 F9 F13:F14 F16 F18 F20:F22 F25 F27 F29 F33 F35 F37 F39 F43 F45 F47 F53 F56 F58 F65 F67 F69 F73 F75 F78 F80 F84:F85 F87 F89 F91 F93 F96 F98 F100 F102 F104 F110 F112 F119 F121 F125 F133 F135:F136 F146:F147">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SelectTradeWorkingSubsBlotter,VerifyAlgoDetails,Ver"&amp;"ifyTransferToUserOrder,VerifyTransferToUserSubOdr,VerifyTransferToUserWorkSub,SaveLayoutOrderGrid,SaveLayoutOrderGrid,ReplaceStageOrder,,,,,,,,,,,,,,,,,,,,,,,,,,,,,,,,,,,,,,,,,,,,,,,,,,,,,,,,,,,,,,,,,,,,,,,,,,,,,,,,,,,,,,,,,,,,,,,,,,,,,,,,,,,,,,,,,,,,,,,,"&amp;",,,,,,,,,,,,,,,,,,,,,,,,,,,,,,,,,,,,,,,,,,,,,,,,,,,,,,,,,,,,,,,,,,,,,,,,,,,,,,,,,,,,,,,,,,,,,,,,,,,,,,,,,,,,,,,,,,,,,,,,,,,,,,,,,,,,,,,,,,,,,,,,,,,,,,,,,,,,,,,,,,,,,,,,,,,,,,,,,,,,,,,,,,,,,,,,,,,,,,,,,,,,,,,,,,,,,,,,,,,,,,,,,,,,,,,,,,,,,,,,,,,,,,,,,,,,,,,"&amp;",,,,,,,,,,,,,,,,,,,,,,,,,,,,,,,,,,,,,,,,,,,,,,,,,,,,,,,,,,,,,,,,,,,,,"</formula1>
    </dataValidation>
    <dataValidation type="list" allowBlank="1" sqref="H507:K507">
      <formula1>"CleanUp,CreateDoneAwayOrder,VerifyOrder,VerifySubOrder,VerifyWorkingSubs,GetDataAllocation,CheckAllocatedGroups"</formula1>
    </dataValidation>
    <dataValidation type="list" allowBlank="1" sqref="H384:K384">
      <formula1>"CreateLiveOrder,CancelAllSubs,SelectTradeOnOrderGrid,RemoveSelectedOrders,AcknowledgeTrade"</formula1>
    </dataValidation>
    <dataValidation type="list" allowBlank="1" sqref="H568:K568">
      <formula1>"CleanUp,CreateStageOrder,CreateStageOrder1,CreateDoneAwayOrder,CreateDoneAwayOrder1,TradeNewSubOrder,CreateNewSubOrder,EditStageOrder,CreateReplaceOrder,SelectTradeOnOrderGrid,CancelSubOrder,VerifySubOrder,VerifyOrder,SelectTradeOrderBlotter,Copy of Data,"&amp;"Copy of Data 1,Copy of Data 2,SelectTradeOnOrderGrid1,VerifyWorkingSubs,GetDataAllocation"</formula1>
    </dataValidation>
    <dataValidation type="list" allowBlank="1" sqref="H375:K375">
      <formula1>"CreateLiveOrder,AcknowledgeTrade,SelectTrade,ExecuteTrade,SelectTradeOnOrderGrid,EditStageOrder,CreateReplaceOrder,SelectTradeOnOrderGrid1"</formula1>
    </dataValidation>
    <dataValidation type="list" allowBlank="1" sqref="H496:K496">
      <formula1>"CreateDoneAwayOrder,VerifyOrder,VerifySubOrder,VerifyWorkingSubs,GetDataAllocation"</formula1>
    </dataValidation>
    <dataValidation type="list" allowBlank="1" sqref="H570:K570">
      <formula1>"CleanUp,CreateStageOrder,CreateStageOrder1,CreateDoneAwayOrder,CreateDoneAwayOrder1,TradeNewSubOrder,CreateNewSubOrder,EditStageOrder,CreateReplaceOrder,SelectTradeOnOrderGrid,CancelSubOrder,VerifySubOrder,VerifyOrder,SelectTradeOrderBlotter,Copy of Data,"&amp;"Copy of Data 1,Copy of Data 2,SelectTradeOnOrderGrid1,VerifyWorkingSubs,GetDataAllocation,CheckAllocatedGroups,CheckPortfolioManagement"</formula1>
    </dataValidation>
    <dataValidation type="list" allowBlank="1" sqref="H344:K344">
      <formula1>"ThirdPartyManagerFunction,Copy of Data,SelectFromThirdPartyGrid,CleanUp,CreateLiveOrder,AcknowledgeTrade,SelectTrade"</formula1>
    </dataValidation>
    <dataValidation type="list" allowBlank="1" sqref="H522:K522">
      <formula1>"CleanUp,CreateStageOrder,VerifyOrder,TradeNewSubOrder,CreateNewSubOrder,VerifyOrder1,VerifySubOrder,VerifyWorkingSubs,GetDataAllocation,CheckAllocatedGroups"</formula1>
    </dataValidation>
    <dataValidation type="list" allowBlank="1" sqref="H415:K415 H445:K445">
      <formula1>"CleanUp,CreateDoneAwayOrder"</formula1>
    </dataValidation>
    <dataValidation type="list" allowBlank="1" sqref="H248:K248 H252:K254">
      <formula1>"CleanUp,CreateStageOrder,SelectTradeOnOrderGrid,TradeNewSubOrder,CreateLiveOrder,AcknowledgeTrade,SelectTrade,ExecuteTrade,AcknowledgeTrade1,TradeNewSubOrder1"</formula1>
    </dataValidation>
    <dataValidation type="list" allowBlank="1" sqref="H428:K428">
      <formula1>"CreateLiveOrder,AcknowledgeTrade,SelectTrade,ExecuteTrade,CleanUp,SelectTradeOnOrderGrid,GoToAllocation"</formula1>
    </dataValidation>
    <dataValidation type="list" allowBlank="1" sqref="F490 F500 F509 F524 F536 F551">
      <formula1>"DeleteClientData,,,,,,,,,,,,,,,,,,,,,,,,,,,,,,,,,,,,,,,,,,,,,,,,,,,,,,,,,,,,,,,,,,,,,,,,,,,,,,,,,,,,,,,,,,,,,,,,,,,,,,,,,,,,,,,,,,,,,,,,,,,,,,,,,,,,,,,,,,,,,,,,,,,,,,,,,,,,,,,,,,,,,,,,,,,,,,,,,,,,,,,,,,,,,,,,,,,,,,,,,,,,,,,,,,,,,,,,,,,,,,,,,,,,,,,,,,,,,,,"&amp;",,,,,,,,,,,,,,,,,,,,,,,,,,,,,,,,,,,,,,,,,,,,,,,,,,,,,,,,,,,,,,,,,,,,,,,,,,,,,,,,,,,,,,,,,,,,,,,,,,,,,,,,,,,,,,,,,,,,,,,,,,,,,,,,,,,,,,,,,,,,,,,,,,,,,,,,,,,,,,,,,,,,,,,,,,,,,,,,,,,,,,,,,,,,,,,,,,,,,,,,,,,,,,,,,,,,,,,,,,,,,,,,,,,,,,,,,,,,,,,,,,,,,,,,,,,,,,,"&amp;",,"</formula1>
    </dataValidation>
    <dataValidation type="list" allowBlank="1" sqref="H116:K116">
      <formula1>"ReplaceWorkingSubs2,CreateDoneAwayOrder,CreateReplaceOrder,CreateReplaceOrder2,VerifyWorkingSubs,ReplaceWorkingSubs,Copy of Data,SelectTradeOnOrderGrid,Copy of Data 1,VerifySubOrder,Copy of Data 2_conflict392855181"</formula1>
    </dataValidation>
    <dataValidation type="list" allowBlank="1" sqref="H246:K246 H249:K249 H359:K359">
      <formula1>"CleanUp,CreateStageOrder,SelectTradeOnOrderGrid,TradeNewSubOrder,CreateLiveOrder,AcknowledgeTrade"</formula1>
    </dataValidation>
    <dataValidation type="list" allowBlank="1" sqref="H6:K6 H8:K8 H14:K14">
      <formula1>"CreateStageOrder,TradeNewSubOrder,CreateReplaceOrder,CreateNewSubOrder,SelectTradeOnOrderGrid,VerifySubOrder,VerifyWorkingSubs,SaveLayoutOrderGrid,EditStageOrder,VerifyOrder"</formula1>
    </dataValidation>
    <dataValidation type="list" allowBlank="1" sqref="F498 F549 F570">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418:K418">
      <formula1>"CreateDoneAwayOrder,SelectTradeOnOrderGrid,AddFillsSubOrder,ViewAllocationDetailsSubOrder,EditAddFillsDetails"</formula1>
    </dataValidation>
    <dataValidation type="list" allowBlank="1" sqref="H230:K230">
      <formula1>"CreateStageOrder,SelectTradeOnOrderGrid,TradeNewSubOrder,CreateLiveOrder,AcknowledgeTrade"</formula1>
    </dataValidation>
    <dataValidation type="list" allowBlank="1" sqref="H379:K379">
      <formula1>"CreateLiveOrder,AcknowledgeTrade,SelectTrade,ExecuteTrade,SelectTradeOnOrderGrid,EditStageOrder,CreateReplaceOrder,SelectTradeOnOrderGrid1,EditStageOrder1,CreateReplaceOrder1,SelectTradeOnOrderGrid2,EditStageOrder2,create"</formula1>
    </dataValidation>
    <dataValidation type="list" allowBlank="1" sqref="H219:K219 H222:K222">
      <formula1>"CreateLiveOrder,SelectTradeOnOrderGrid,RemoveStageOrder,VerifyOrder,RejectTrade,CreateStageOrder,TradeNewSubOrder,CreateLiveOrder1,AcknowledgeTrade,SelectTradeOnOrderGrid1,ReplaceSubOrder,CreateReplaceOrder,AcknowledgeTrade1,SelectTradeOnOrderGrid2,TradeN"&amp;"ewSubOrder1,CreateLiveOrder2,AcknowledgeTrade2,SelectTradeOnOrderGrid3,SelectTradeSubOrderBlotter,CancelSubOrder,AcknowledgeTrade3"</formula1>
    </dataValidation>
    <dataValidation type="list" allowBlank="1" sqref="H561:K561">
      <formula1>"CleanUp,CreateStageOrder,CreateStageOrder1,CreateDoneAwayOrder,CreateDoneAwayOrder1,TradeNewSubOrder,CreateNewSubOrder,EditStageOrder,CreateReplaceOrder"</formula1>
    </dataValidation>
    <dataValidation type="list" allowBlank="1" sqref="H86:K87">
      <formula1>"CreateNewSubOrder2,CreateStageOrder,TradeNewSubOrder,CreateNewSubOrder,VerifyOrder,VerifyWorkingSubs,EditStageOrder,CreateReplaceOrder,Copy of Data,Copy of Data_conflict1226374223"</formula1>
    </dataValidation>
    <dataValidation type="list" allowBlank="1" sqref="H323:K323">
      <formula1>"CleanUp,CreateLiveOrder,AcknowledgeTrade,SelectTrade,ExecuteTrade,SelectTradeOnOrderGrid,ReplaceSubOrder,CreateReplaceOrder,AcknowledgeTrade1,SelectTradeOnOrderGrid1,CancelSubOrder"</formula1>
    </dataValidation>
    <dataValidation type="list" allowBlank="1" sqref="H378:K378">
      <formula1>"CreateLiveOrder,AcknowledgeTrade,SelectTrade,ExecuteTrade,SelectTradeOnOrderGrid,EditStageOrder,CreateReplaceOrder,SelectTradeOnOrderGrid1,EditStageOrder1,CreateReplaceOrder1,SelectTradeOnOrderGrid2"</formula1>
    </dataValidation>
    <dataValidation type="list" allowBlank="1" sqref="H25:K28">
      <formula1>"CreateNewSubOrder2,TradeNewSubOrder2,CreateStageOrder,TradeNewSubOrder,CreateNewSubOrder,VerifySubOrder,CancelAllSubs,SelectTradeOnOrderGrid,EditStageOrder"</formula1>
    </dataValidation>
    <dataValidation type="list" allowBlank="1" sqref="H223:K223">
      <formula1>"CreateLiveOrder,SelectTradeOnOrderGrid,RemoveStageOrder,VerifyOrder,RejectTrade,CreateStageOrder,TradeNewSubOrder,CreateLiveOrder1,AcknowledgeTrade,SelectTradeOnOrderGrid1,ReplaceSubOrder,CreateReplaceOrder,AcknowledgeTrade1,SelectTradeOnOrderGrid2,TradeN"&amp;"ewSubOrder1,CreateLiveOrder2,AcknowledgeTrade2,SelectTradeOnOrderGrid3,SelectTradeSubOrderBlotter,CancelSubOrder,AcknowledgeTrade3,SelectTradeOnOrderGrid4,Copy of Data,CancelAllSubs"</formula1>
    </dataValidation>
    <dataValidation type="list" allowBlank="1" sqref="H348:K348">
      <formula1>"ThirdPartyManagerFunction,Copy of Data,SelectFromThirdPartyGrid,CleanUp,CreateLiveOrder,AcknowledgeTrade,SelectTrade,ExecuteTrade,SelectTradeOnOrderGrid,ReplaceSubOrder,CreateReplaceOrder"</formula1>
    </dataValidation>
    <dataValidation type="list" allowBlank="1" sqref="H98:K101">
      <formula1>"CreateStageOrder,EditStageOrder,CreateReplaceOrder,TradeNewSubOrder,CreateNewSubOrder,CreateNewSubOrder2,CancelAllSubs,VerifyOrder,Copy of Data,Copy of Data_conflict1919218944"</formula1>
    </dataValidation>
    <dataValidation type="list" allowBlank="1" sqref="H385:K385">
      <formula1>"CreateLiveOrder,CancelAllSubs"</formula1>
    </dataValidation>
    <dataValidation type="list" allowBlank="1" sqref="H346:K346">
      <formula1>"ThirdPartyManagerFunction,Copy of Data,SelectFromThirdPartyGrid,CleanUp,CreateLiveOrder,AcknowledgeTrade,SelectTrade,ExecuteTrade,SelectTradeOnOrderGrid"</formula1>
    </dataValidation>
    <dataValidation type="list" allowBlank="1" sqref="H517:K517">
      <formula1>"CreateStageOrder,VerifyOrder,TradeNewSubOrder,CreateNewSubOrder,VerifyOrder1,VerifySubOrder,VerifyWorkingSubs,GetDataAllocation,CheckAllocatedGroups,EditAddFillsDetails"</formula1>
    </dataValidation>
    <dataValidation type="list" allowBlank="1" sqref="H461:K461 H472:K472">
      <formula1>"CleanUp,CreateLiveOrder,AcknowledgeTrade,SelectTradeOnOrderGrid"</formula1>
    </dataValidation>
    <dataValidation type="list" allowBlank="1" sqref="H181:K181">
      <formula1>"CreateLiveOrder,SelectTradeOnOrderGrid,EditOrder,VerifyOrder"</formula1>
    </dataValidation>
    <dataValidation type="list" allowBlank="1" sqref="H383:K383 H477:K477">
      <formula1>"CreateLiveOrder"</formula1>
    </dataValidation>
    <dataValidation type="list" allowBlank="1" sqref="H336:K336">
      <formula1>"OpenThirdParty,ThirdPartyWork,Copy of Data,OpeningManager,Copy of Data 1,CleanUp,CreateLiveOrder"</formula1>
    </dataValidation>
    <dataValidation type="list" allowBlank="1" sqref="H446:K446">
      <formula1>"CleanUp,CreateDoneAwayOrder,SelectAllocatedGroup,Unallocate,AddCalculatedPreferences"</formula1>
    </dataValidation>
    <dataValidation type="list" allowBlank="1" sqref="H301:K303">
      <formula1>"CreateStageOrder,TradeNewSubOrder,CreateDoneAwayOrder,AddFillsWorkingSubs,EditAddFillsDetails,`,VerifyWorkingSubs,VerifyOrder,GetDataAllocation,CheckUnallocatedGroups,`checkPort,CheckPortfolioManagement,Create,Copy of Data,CleanUp,CreateLiveOrder,Acknowle"&amp;"dgeTrade,SelectTradeOnOrderGrid,ReplaceSubOrder,CreateReplaceOrder,SelectTrade,AcknowledgeTrade1,ExecuteTrade"</formula1>
    </dataValidation>
    <dataValidation type="list" allowBlank="1" sqref="F11:F12 F23 F30:F32 F38 F40:F41 F48:F51 F54 F60:F63 F71 F76:F77 F82:F83 F94:F95 F105:F108 F114:F117 F123:F124 F126 F137:F139 F172">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H437:K437">
      <formula1>"CreateDoneAwayOrder,AddCalculatedPreferences,SetAccountValueCalculatedPref,SetDefaultRuleCalculatedPref,SaveCalculatedPreferences,SelectUnallocatedGroup"</formula1>
    </dataValidation>
    <dataValidation type="list" allowBlank="1" sqref="H367:K367">
      <formula1>"CreateLiveOrder,SelectTradeOnOrderGrid,CleanUp"</formula1>
    </dataValidation>
    <dataValidation type="list" allowBlank="1" sqref="H65:K71">
      <formula1>"CreateStageOrder,EditStageOrder,CreateReplaceOrder,CreateReplaceOrder3,EditStageOrder2,CreateReplaceOrder2,VerifyOrder,EditStageOrder3"</formula1>
    </dataValidation>
    <dataValidation type="list" allowBlank="1" sqref="H512:K512 H539:K539">
      <formula1>"CleanUp,CreateStageOrder,VerifyOrder"</formula1>
    </dataValidation>
    <dataValidation type="list" allowBlank="1" sqref="H362:K363">
      <formula1>"CleanUp,CreateStageOrder,SelectTradeOnOrderGrid,TradeNewSubOrder,CreateLiveOrder,AcknowledgeTrade,SelectTrade,ExecuteTrade,VerifySubOrder"</formula1>
    </dataValidation>
    <dataValidation type="list" allowBlank="1" sqref="H557:K557 H566:K566">
      <formula1>"CleanUp,CreateStageOrder,CreateStageOrder1,CreateDoneAwayOrder,CreateDoneAwayOrder1,TradeNewSubOrder,CreateNewSubOrder,EditStageOrder,CreateReplaceOrder,SelectTradeOnOrderGrid,CancelSubOrder,VerifySubOrder,VerifyOrder"</formula1>
    </dataValidation>
    <dataValidation type="list" allowBlank="1" sqref="H72:K73 H75:K75 H78:K78">
      <formula1>"CreateStageOrder,TradeNewSubOrder,CreateNewSubOrder,VerifyWorkingSubs,VerifyOrder,Copy of Data,Copy of Data_conflict1310351481"</formula1>
    </dataValidation>
    <dataValidation type="list" allowBlank="1" sqref="H110:K114">
      <formula1>"CreateDoneAwayOrder,ReplaceWorkingSubs,CreateReplaceOrder,ReplaceWorkingSubs2,CreateReplaceOrder2,VerifyWorkingSubs,VerifyOrder"</formula1>
    </dataValidation>
    <dataValidation type="list" allowBlank="1" sqref="H204:K204">
      <formula1>"CreateLiveOrder,SelectTradeOnOrderGrid,RemoveStageOrder,VerifyOrder"</formula1>
    </dataValidation>
    <dataValidation type="list" allowBlank="1" sqref="H295:K295">
      <formula1>"CreateStageOrder,TradeNewSubOrder,CreateDoneAwayOrder,AddFillsWorkingSubs,EditAddFillsDetails,`,VerifyWorkingSubs,VerifyOrder,GetDataAllocation,CheckUnallocatedGroups,`checkPort,CheckPortfolioManagement,Create,Copy of Data,CleanUp,CreateLiveOrder,Acknowle"&amp;"dgeTrade"</formula1>
    </dataValidation>
    <dataValidation type="list" allowBlank="1" sqref="H212:K216 H218:K218">
      <formula1>"CreateLiveOrder,SelectTradeOnOrderGrid,RemoveStageOrder,VerifyOrder,RejectTrade,CreateStageOrder,TradeNewSubOrder,AcknowledgeTrade,ReplaceSubOrder,CreateReplaceOrder"</formula1>
    </dataValidation>
    <dataValidation type="list" allowBlank="1" sqref="H269:K269 H315:K315 H401:K401 H409:K409 H424:K424">
      <formula1>"CleanUp,CreateLiveOrder,AcknowledgeTrade,SelectTrade"</formula1>
    </dataValidation>
    <dataValidation type="list" allowBlank="1" sqref="H547:K547">
      <formula1>"CreateStageOrder,VerifyOrder,TradeNewSubOrder,CreateNewSubOrder,EditStageOrder,CreateReplaceOrder,VerifyOrder1,VerifySubOrder,VerifyWorkingSubs,GetDataAllocation"</formula1>
    </dataValidation>
    <dataValidation type="list" allowBlank="1" sqref="H495:K495">
      <formula1>"CreateDoneAwayOrder,VerifyOrder,VerifySubOrder,VerifyWorkingSubs"</formula1>
    </dataValidation>
    <dataValidation type="list" allowBlank="1" sqref="H94">
      <formula1>"CreateNewSubOrder2,CreateStageOrder,TradeNewSubOrder,CreateNewSubOrder,VerifyOrder,VerifyWorkingSubs,EditStageOrder,CreateReplaceOrder,TradeNewSubOrder2,SelectTradeOnOrderGrid"</formula1>
    </dataValidation>
    <dataValidation type="list" allowBlank="1" sqref="H528:K528">
      <formula1>"CleanUp,Copy of Data,CreateStageOrder,VerifyOrder,TradeNewSubOrder"</formula1>
    </dataValidation>
    <dataValidation type="list" allowBlank="1" sqref="H416:K416">
      <formula1>"CleanUp,CreateDoneAwayOrder,AddFillsSubOrder,SelectTradeOnOrderGrid"</formula1>
    </dataValidation>
    <dataValidation type="list" allowBlank="1" sqref="F176">
      <formula1>"Allocate,CheckAllocation,Unallocate,GetDataAllocation,SelectTradeAllocation,EditTradesAllocated,EditTradesUnallocated,Reallocate,CleanUp,EditTrades,TradeAttributeBulkChange,CommissionBulkChange,GeneralPreferencesDefaultRule,GeneralPreferencesCompanyUserWi"&amp;"se,AttributeRenaming,AutoGroupingRules,MasterFundRatioAllocation,CheckFixedPreferenceScheme,GetFixedScheme,AddCalculatedPreferences,BulkChangeCalculatedPreferences,DeleteCalculatedPreferences,RenameCalculatedPreferences,CopyCalculatedPreferences,RunAutoGr"&amp;"oup,SwapControl,RunProrata,SetDefaultRuleForCalculatedPreference,RenameTradeAttributes,SetAccountValueCalculatedPref,TradeAttributeBulkChange,TradeAttributeBulkChangeGroup,TradeAttributeBulkChangeTaxlots,TradeAttributeBulkChangeGroups,SetMasterFundRatio,A"&amp;"ddCalculatedPreferenceToolbar,SetGroupingRules,ApplyBulkUpdateOnGroups,SetStrategyValueCalculatedPref,ApplyBulkUpdateOnTaxlots,SetDefaultRuleCalculatedPref,CommissionBulkChangeOnGroups,CommissionBulkChangeOnTaxlots,BookOrUpdateSwap,SelectUnallocatedGroup,"&amp;"SelectAllocatedGroup,EnterAccountValuesToAllocate,ApplyPrefetchFilters,EnterAllocatePerference,EnterStrategyValuesToAllocate,CopyCalculatedPreferencesToolbar,SetGeneralRuleCalculatedPref,CopyCalculatedPreferenceToolbar,EnterAllocatePreference,ExportAllCal"&amp;"culatedPreferences,SaveCalculatedPreferences,ExportAllCalculatedPreferences,SaveCalculatedPreferences,CloseCalculatedPreferences,ExportCalculatedPreference,EditUnallocatedGroupSidePanel,ImportCalculatedPreferences,OpenAuditTrailUnallocatedGroup,DeleteCalc"&amp;"ulatedPreferencesTool,ImportCalculatedPreferencesTool,ExportAllCalculatedPreferTool,CheckFixedPreference,DeleteFixedPreference,OpenSymbolLookupUnallocateGroup,OpenSymbolLookupAllocatedGroup,ExportAllCalculatedPreferTool,ExportAllCalculatedPreferences,GetF"&amp;"ixedPreference,CheckAllocatedGroups,CheckUnallocatedGroups,SetGeneralPreferences,EditAllocatedGroupSidePanel,OpenAuditTrailAllocatedGroup,GroupTrades,UngroupTrades,DeleteGroup,CloseOrder,Unallocate,CloseAllocation,,,,,,,,,,,,,,,,,,,,,,,,,,,,,,,,,,,,,,,,,,"&amp;",,,,,,,,,,,,,,,,,,,,,,,,,,,,,,,,,,,,,,,,,,,,,,,,,,,,,,,,,,,,,,,,,,,,,,,,,,,,,,,,,,,,,,,,,,,,,,,,,,,,,,,,,,,,,,,,,,,,,,,,,,,,,,,,,,,,,,,,,,,,,,,,,,,,,,,,,,,,,,,,,,,,,,,,,,,,,,,,,,,,,,,,,,,,,,,,,,,,,,,,,,,,,,,,,,,,,,,,,,,,,,,,,,,,,,,,,,,,,,,,,,,,,,,,,,,,,,,"&amp;",,,,,,,,,,,,,,,,,,,,,,,,,,,,,,,,,,,,,,,,,,,,,,,,,,,,,,,,,,,,,,,,,,,,,,,,,,,,,,,,,,,,,,,,,,,,,,,,,,,,,,,,,,,,,,,,,,,,"</formula1>
    </dataValidation>
    <dataValidation type="list" allowBlank="1" sqref="H256:K256">
      <formula1>"CleanUp,CreateStageOrder,SelectTradeOnOrderGrid,TradeNewSubOrder,CreateLiveOrder,AcknowledgeTrade,SelectTrade,ExecuteTrade,AcknowledgeTrade1,TradeNewSubOrder1,CreateLiveOrder1,CreateLiveOrder2,TradeNewSubOrder2,AcknowledgeTrade2,ReplaceSubOrder"</formula1>
    </dataValidation>
    <dataValidation type="list" allowBlank="1" sqref="H196:K196">
      <formula1>"CreateStageOrder,TradeNewSubOrder,CreateLiveOrder,AcknowledgeTrade,ReplaceSubOrder,RejectTrade,SelectTradeOnOrderGrid,CreateReplaceOrder"</formula1>
    </dataValidation>
    <dataValidation type="list" allowBlank="1" sqref="H56:K60 I61:K61">
      <formula1>"CreateStageOrder,EditStageOrder,CreateReplaceOrder,VerifyOrder,TradeNewSubOrder,CreateNewSubOrder"</formula1>
    </dataValidation>
    <dataValidation type="list" allowBlank="1" sqref="F177 F188:F189 F200 F225 F241 F266 F274 F283 F293 F306 F312 F325 F335 F341 F354 F366 F382 F388 F393:F394 F397:F398 F406 F414 F421 F426 F430 F432:F440 F444 F446:F454 F458 F469 F476 F479 F483:F484">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502:K502">
      <formula1>"CreateDoneAwayOrder,VerifyOrder,SelectTradeOnOrderGrid,VerifySubOrder,VerifyWorkingSubs,GetDataAllocation,CheckAllocatedGroups"</formula1>
    </dataValidation>
    <dataValidation type="list" allowBlank="1" sqref="D6 D15 D24 D52 D55 D64 D72 D79 D86 D97 D109 D118 D120 D132 D145 D148:D149 D163 D177:D1014">
      <formula1>'_Categories'!$A$4:$A1014</formula1>
    </dataValidation>
    <dataValidation type="list" allowBlank="1" sqref="H519:K519">
      <formula1>"CleanUp,CreateStageOrder,VerifyOrder,TradeNewSubOrder,CreateNewSubOrder,VerifyOrder1,VerifySubOrder"</formula1>
    </dataValidation>
    <dataValidation type="list" allowBlank="1" sqref="H298:K299">
      <formula1>"CreateStageOrder,TradeNewSubOrder,CreateDoneAwayOrder,AddFillsWorkingSubs,EditAddFillsDetails,`,VerifyWorkingSubs,VerifyOrder,GetDataAllocation,CheckUnallocatedGroups,`checkPort,CheckPortfolioManagement,Create,Copy of Data,CleanUp,CreateLiveOrder,Acknowle"&amp;"dgeTrade,SelectTradeOnOrderGrid,ReplaceSubOrder,CreateReplaceOrder"</formula1>
    </dataValidation>
    <dataValidation type="list" allowBlank="1" sqref="H7:K7 H9:K10 H12 H13:K13">
      <formula1>"CreateStageOrder,TradeNewSubOrder,CreateReplaceOrder,CreateNewSubOrder,SelectTradeOnOrderGrid,VerifySubOrder,VerifyWorkingSubs,SaveLayoutOrderGrid,EditStageOrder"</formula1>
    </dataValidation>
    <dataValidation type="list" allowBlank="1" sqref="F130 F143">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amp;",,,,,,,,,,,,,,,,,,,,,,,,,,,,,,,,,,,,,,,,,,,,,,,,,,,,,,,,,,,,,,,,,,,,,,,,,,,,,,,,,,,,,,,,,,,,,,,,,,,,,,,,,,,,,,,,,,,,,,,,,,,,,,,,,,,,,,,,,,,,,,,,,,,,,,,,,,,,,,,,,,,,,,,,,,,,,,,,,,,,,,,,,,,,,,,,,,,,,,,,,,,,,,,,,,,,,,,,,,,,,,,,,,,,,,,,,,,,,,,,,,,,,,,,,,,,,,,"&amp;",,,,,,,,,,,,,,,,,,,,,,,,,,,,,,,,,,,,,,,,,,,,,,,,,,,,,,,,,,,,,,,,,,,,,,,,,,,,,,,,,,,,,,,,,,,,,,,,,,,,,,,,,,,,,,,,,,,,,,,,,,,,,,,,,,,,,,,,,,,,,,,,,,,,,,,,,,,,,,,,,,,,,,,,,"</formula1>
    </dataValidation>
    <dataValidation type="list" allowBlank="1" sqref="H419:K419">
      <formula1>"CreateDoneAwayOrder,SelectTradeOnOrderGrid,AddFillsSubOrder,EditAddFillsDetails,ViewAllocationDetailsSubOrder,VerifyViewAllocationDetails"</formula1>
    </dataValidation>
    <dataValidation type="list" allowBlank="1" sqref="H478:K478 H486:K486">
      <formula1>"CreateLiveOrder,SelectTradeOnOrderGrid,GoToAllocation,AcknowledgeTrade"</formula1>
    </dataValidation>
    <dataValidation type="list" allowBlank="1" sqref="H380:K380">
      <formula1>"CreateLiveOrder,AcknowledgeTrade,SelectTrade,ExecuteTrade,SelectTradeOnOrderGrid,EditStageOrder,CreateReplaceOrder,SelectTradeOnOrderGrid1,EditStageOrder1,CreateReplaceOrder1,SelectTradeOnOrderGrid2,EditStageOrder2,create,CreateReplaceOrder2,RemoveSelecte"&amp;"dOrders"</formula1>
    </dataValidation>
    <dataValidation type="list" allowBlank="1" sqref="H235:K235">
      <formula1>"CreateStageOrder,SelectTradeOnOrderGrid,TradeNewSubOrder,CreateLiveOrder,AcknowledgeTrade,SelectTradeOnOrderGrid1,ReplaceSubOrder,CreateReplaceOrder,AcknowledgeTrade1,SelectTrade"</formula1>
    </dataValidation>
    <dataValidation type="list" allowBlank="1" sqref="H349:K350">
      <formula1>"ThirdPartyManagerFunction,Copy of Data,SelectFromThirdPartyGrid,CleanUp,CreateLiveOrder,AcknowledgeTrade,SelectTrade,ExecuteTrade,SelectTradeOnOrderGrid,ReplaceSubOrder,CreateReplaceOrder,VerifySubOrder"</formula1>
    </dataValidation>
    <dataValidation type="list" allowBlank="1" sqref="H377:K377">
      <formula1>"CreateLiveOrder,AcknowledgeTrade,SelectTrade,ExecuteTrade,SelectTradeOnOrderGrid,EditStageOrder,CreateReplaceOrder,SelectTradeOnOrderGrid1,EditStageOrder1,CreateReplaceOrder1"</formula1>
    </dataValidation>
    <dataValidation type="list" allowBlank="1" sqref="H202:K202">
      <formula1>"CreateStageOrder,CleanUp,CreateLiveOrder,SelectTradeOnOrderGrid"</formula1>
    </dataValidation>
    <dataValidation type="list" allowBlank="1" sqref="H308:K308">
      <formula1>"CreateStageOrder,ViewThirdParty,CleanUp,CreateLiveOrder,AcknowledgeTrade"</formula1>
    </dataValidation>
    <dataValidation type="list" allowBlank="1" sqref="F150 F152:F153 F155:F162 F164 F166:F171">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VerifyAlgoDetails,VerifyTransferToUserOrder,VerifyT"&amp;"ransferToUserSubOdr,VerifyTransferToUserWorkSub,SaveLayoutOrderGrid,SaveLayoutOrderGrid,ReplaceStageOrder,,,,,,,,,,,,,,,,,,,,,,,,,,,,,,,,,,,,,,,,,,,,,,,,,,,,,,,,,,,,,,,,,,,,,,,,,,,,,,,,,,,,,,,,,,,,,,,,,,,,,,,,,,,,,,,,,,,,,,,,,,,,,,,,,,,,,,,,,,,,,,,,,,,,,,"&amp;",,,,,,,,,,,,,,,,,,,,,,,,,,,,,,,,,,,,,,,,,,,,,,,,,,,,,,,,,,,,,,,,,,,,,,,,,,,,,,,,,,,,,,,,,,,,,,,,,,,,,,,,,,,,,,,,,,,,,,,,,,,,,,,,,,,,,,,,,,,,,,,,,,,,,,,,,,,,,,,,,,,,,,,,,,,,,,,,,,,,,,,,,,,,,,,,,,,,,,,,,,,,,,,,,,,,,,,,,,,,,,,,,,,,,,,,,,,,,,,,,,,,,,,,,,,,,,,"&amp;",,,,,,,,,,,,,,,,,,,,,,,,,,,,,,,,,,,,,,,,"</formula1>
    </dataValidation>
    <dataValidation type="list" allowBlank="1" sqref="F199">
      <formula1>"GenerateThirdParty,SendThirdParty,ViewThirdParty,SelectThirdPartyName,VerifyThirdPartyData,OpeningManager,,,,,,,,,,,,,,,,,,,,,,,,,,,,,,,,,,,,,,,,,,,,,,,,,,,,,,,,,,,,,,,,,,,,,,,,,,,,,,,,,,,,,,,,,,,,,,,,,,,,,,,,,,,,,,,,,,,,,,,,,,,,,,,,,,,,,,,,,,,,,,,,,,,,,,"&amp;",,,,,,,,,,,,,,,,,,,,,,,,,,,,,,,,,,,,,,,,,,,,,,,,,,,,,,,,,,,,,,,,,,,,,,,,,,,,,,,,,,,,,,,,,,,,,,,,,,,,,,,,,,,,,,,,,,,,,,,,,,,,,,,,,,,,,,,,,,,,,,,,,,,,,,,,,,,,,,,,,,,,,,,,,,,,,,,,,,,,,,,,,,,,,,,,,,,,,,,,,,,,,,,,,,,,,,,,,,,,,,,,,,,,,,,,,,,,,,,,,,,,,,,,,,,,,,,"&amp;",,,,,,,,,,,,,,,,,,,,,,,,,,,,,,,,,,,,,,,,,,,,,,,,,,,,,,,,,,,,,,,,,,,,,,,,,,,,,,,,,,,,,,"</formula1>
    </dataValidation>
    <dataValidation type="list" allowBlank="1" sqref="H364:K364">
      <formula1>"CleanUp,CreateStageOrder,SelectTradeOnOrderGrid,TradeNewSubOrder,CreateLiveOrder,AcknowledgeTrade,SelectTrade,ExecuteTrade,VerifySubOrder,TradeNewSubOrder1"</formula1>
    </dataValidation>
    <dataValidation type="list" allowBlank="1" sqref="H529:K530">
      <formula1>"CleanUp,Copy of Data,CreateStageOrder,VerifyOrder,TradeNewSubOrder,CreateNewSubOrder"</formula1>
    </dataValidation>
    <dataValidation type="list" allowBlank="1" sqref="H559:K559">
      <formula1>"CleanUp,CreateStageOrder,CreateStageOrder1,CreateDoneAwayOrder,CreateDoneAwayOrder1,TradeNewSubOrder,CreateNewSubOrder"</formula1>
    </dataValidation>
    <dataValidation type="list" allowBlank="1" sqref="H55:K55">
      <formula1>"CreateStageOrder,EditStageOrder,CreateReplaceOrder,VerifyOrder,TradeNewSubOrder,CreateNewSubOrder,Copy of Data"</formula1>
    </dataValidation>
    <dataValidation type="list" allowBlank="1" sqref="H447:K447">
      <formula1>"CleanUp,CreateDoneAwayOrder,SelectAllocatedGroup,Unallocate,AddCalculatedPreferences,SetAccountValueCalculatedPref"</formula1>
    </dataValidation>
    <dataValidation type="list" allowBlank="1" sqref="H304:K304">
      <formula1>"CreateStageOrder,TradeNewSubOrder,CreateDoneAwayOrder,AddFillsWorkingSubs,EditAddFillsDetails,`,VerifyWorkingSubs,VerifyOrder,GetDataAllocation,CheckUnallocatedGroups,`checkPort,CheckPortfolioManagement,Create,Copy of Data,CleanUp,CreateLiveOrder,Acknowle"&amp;"dgeTrade,SelectTradeOnOrderGrid,ReplaceSubOrder,CreateReplaceOrder,SelectTrade,AcknowledgeTrade1,ExecuteTrade,VerifySubOrder"</formula1>
    </dataValidation>
    <dataValidation type="list" allowBlank="1" sqref="H24 H29:K29 H32">
      <formula1>"CreateNewSubOrder2,TradeNewSubOrder2,CreateStageOrder,TradeNewSubOrder,CreateNewSubOrder,VerifySubOrder,CancelAllSubs,SelectTradeOnOrderGrid"</formula1>
    </dataValidation>
    <dataValidation type="list" allowBlank="1" sqref="H188:K188">
      <formula1>"CreateStageOrder,TradeNewSubOrder,CreateDoneAwayOrder,AddFillsWorkingSubs,EditAddFillsDetails,`,VerifyWorkingSubs,VerifyOrder,GetDataAllocation,CheckUnallocatedGroups"</formula1>
    </dataValidation>
    <dataValidation type="list" allowBlank="1" sqref="H433:K433">
      <formula1>"CreateDoneAwayOrder,AddCalculatedPreferences,SetAccountValueCalculatedPref"</formula1>
    </dataValidation>
    <dataValidation type="list" allowBlank="1" sqref="H567:K567">
      <formula1>"CleanUp,CreateStageOrder,CreateStageOrder1,CreateDoneAwayOrder,CreateDoneAwayOrder1,TradeNewSubOrder,CreateNewSubOrder,EditStageOrder,CreateReplaceOrder,SelectTradeOnOrderGrid,CancelSubOrder,VerifySubOrder,VerifyOrder,SelectTradeOrderBlotter,Copy of Data,"&amp;"Copy of Data 1,Copy of Data 2,SelectTradeOnOrderGrid1,VerifyWorkingSubs"</formula1>
    </dataValidation>
    <dataValidation type="list" allowBlank="1" sqref="H427:K427">
      <formula1>"CreateLiveOrder,AcknowledgeTrade,SelectTrade,ExecuteTrade,CleanUp,SelectTradeOnOrderGrid"</formula1>
    </dataValidation>
    <dataValidation type="list" allowBlank="1" sqref="H34:K34 H40:K41">
      <formula1>"CreateStageOrder,TradeNewSubOrder,CreateNewSubOrder,CancelAllSubs,VerifyOrder,VerifySubOrder,VerifyWorkingSubs,SelectTradeOnOrderGrid"</formula1>
    </dataValidation>
    <dataValidation type="list" allowBlank="1" sqref="H132:K132">
      <formula1>"CreateDoneAwayOrder,ReplaceWorkingSubs,CreateReplaceOrder,VerifyWorkingSubs,CheckAllocatedGroups,CheckPortfolioManagement,VerifyActivity,VerifyLongPositionsGrid,TransferToUserWorkingSubs,GetDataClosing,Copy of Data"</formula1>
    </dataValidation>
    <dataValidation type="list" allowBlank="1" sqref="H23:K23">
      <formula1>"TradeNewSubOrder,ReplaceSubOrder,CreateReplaceOrder,CreateNewSubOrder,CreateStageOrder,VerifyWorkingSubs,SelectTradeOnOrderGrid,VerifySubOrder,EditStageOrder,VerifyOrder"</formula1>
    </dataValidation>
    <dataValidation type="list" allowBlank="1" sqref="H201:K201">
      <formula1>"CreateStageOrder,CleanUp,CreateLiveOrder"</formula1>
    </dataValidation>
    <dataValidation type="list" allowBlank="1" sqref="H542:K542">
      <formula1>"CreateStageOrder,VerifyOrder,TradeNewSubOrder,CreateNewSubOrder,EditOrder,Copy of Data,EditStageOrder"</formula1>
    </dataValidation>
    <dataValidation type="list" allowBlank="1" sqref="H564:K564">
      <formula1>"CleanUp,CreateStageOrder,CreateStageOrder1,CreateDoneAwayOrder,CreateDoneAwayOrder1,TradeNewSubOrder,CreateNewSubOrder,EditStageOrder,CreateReplaceOrder,SelectTradeOnOrderGrid,CancelSubOrder,VerifySubOrder,VerifyOrder,SelectTradeOrderBlotter,Copy of Data,"&amp;"Copy of Data 1,Copy of Data 2"</formula1>
    </dataValidation>
    <dataValidation type="list" allowBlank="1" sqref="H412:K412">
      <formula1>"CreateLiveOrder,AcknowledgeTrade,SelectTrade,ExecuteTrade,SelectTradeOnOrderGrid,ViewAllocationDetailsSubOrder,VerifyViewAllocationDetails"</formula1>
    </dataValidation>
    <dataValidation type="list" allowBlank="1" sqref="H546:K546">
      <formula1>"CreateStageOrder,VerifyOrder,TradeNewSubOrder,CreateNewSubOrder,EditStageOrder,CreateReplaceOrder,VerifyOrder1,VerifySubOrder,VerifyWorkingSubs"</formula1>
    </dataValidation>
    <dataValidation type="list" allowBlank="1" sqref="H102:K105">
      <formula1>"CreateStageOrder,EditStageOrder,CreateReplaceOrder,TradeNewSubOrder,CreateNewSubOrder,CreateNewSubOrder2,CancelAllSubs,VerifyOrder,TradeNewSubOrder2"</formula1>
    </dataValidation>
    <dataValidation type="list" allowBlank="1" sqref="H554:K554">
      <formula1>"CreateStageOrder,CreateStageOrder1,CreateDoneAwayOrder,CreateDoneAwayOrder1,VerifyOrder,TradeNewSubOrder,CreateNewSubOrder,EditStageOrder,CreateReplaceOrder,SelectTradeOnOrderGrid,CancelSubOrder,SelectTradeOnOrderGrid1,VerifySubOrder,VerifyOrder1,VerifyWo"&amp;"rkingSubs,GetDataAllocation,CheckAllocatedGroups,CheckPortfolioManagement"</formula1>
    </dataValidation>
    <dataValidation type="list" allowBlank="1" sqref="H351:K351">
      <formula1>"ThirdPartyManagerFunction,Copy of Data,SelectFromThirdPartyGrid,CleanUp,CreateLiveOrder,AcknowledgeTrade,SelectTrade,ExecuteTrade,SelectTradeOnOrderGrid,ReplaceSubOrder,CreateReplaceOrder,VerifySubOrder,ReplaceSubOrder1"</formula1>
    </dataValidation>
    <dataValidation type="list" allowBlank="1" sqref="H139:K139">
      <formula1>"CreateDoneAwayOrder,ReplaceWorkingSubs,CreateReplaceOrder,VerifyWorkingSubs,CheckAllocatedGroups,CheckPortfolioManagement,VerifyActivity,VerifyLongPositionsGrid,TransferToUserWorkingSubs,GetDataClosing,VerifyOrder"</formula1>
    </dataValidation>
    <dataValidation type="list" allowBlank="1" sqref="H569:K569">
      <formula1>"CleanUp,CreateStageOrder,CreateStageOrder1,CreateDoneAwayOrder,CreateDoneAwayOrder1,TradeNewSubOrder,CreateNewSubOrder,EditStageOrder,CreateReplaceOrder,SelectTradeOnOrderGrid,CancelSubOrder,VerifySubOrder,VerifyOrder,SelectTradeOrderBlotter,Copy of Data,"&amp;"Copy of Data 1,Copy of Data 2,SelectTradeOnOrderGrid1,VerifyWorkingSubs,GetDataAllocation,CheckAllocatedGroups"</formula1>
    </dataValidation>
    <dataValidation type="list" allowBlank="1" sqref="H339:K339">
      <formula1>"OpenThirdParty,ThirdPartyWork,Copy of Data,OpeningManager,Copy of Data 1,CleanUp,CreateLiveOrder,AcknowledgeTrade,SelectTradeOnOrderGrid,GoToAllocation"</formula1>
    </dataValidation>
    <dataValidation type="list" allowBlank="1" sqref="F165">
      <formula1>"TradeUsingTT,OpenTTFromPST,EnterDetailsOnTT,ValidateSymbolTT,VerifyDataTT,SetUIPreferencesTT,SetBrokerWisePreferencesTT,TradeNewSub,CreateStageOrder,CreateReplaceOrder,CreateReplaceOrder,EditOrder,SetGeneralPreference,CreateDoneAwayOrder,CreateNewSubOrder"&amp;",TradeBloomberg,ClickSymbolLookup,,,,,,,,,,,,,,,,,,,,,,,,,,,,,,,,,,,,,,,,,,,,,,,,,,,,,,,,,,,,,,,,,,,,,,,,,,,,,,,,,,,,,,,,,,,,,,,,,,,,,,,,,,,,,,,,,,,,,,,,,,,,,,,,,,,,,,,,,,,,,,,,,,,,,,,,,,,,,,,,,,,,,,,,,,,,,,,,,,,,,,,,,,,,,,,,,,,,,,,,,,,,,,,,,,,,,,,,,,,,,,"&amp;",,,,,,,,,,,,,,,,,,,,,,,,,,,,,,,,,,,,,,,,,,,,,,,,,,,,,,,,,,,,,,,,,,,,,,,,,,,,,,,,,,,,,,,,,,,,,,,,,,,,,,,,,,,,,,,,,,,,,,,,,,,,,,,,,,,,,,,,,,,,,,,,,,,,,,,,,,,,,,,,,,,,,,,,,,,,,,,,,,,,,,,,,,,,,,,,,,,,,,,,,,,,,,,,,,,,,,,,,,,,,,,,,,,,,,,,,,,,,,,,,,,,,,,,,,,,,,,"&amp;",,,"</formula1>
    </dataValidation>
    <dataValidation type="list" allowBlank="1" sqref="H259:K259">
      <formula1>"CreateStageOrder,SelectTradeOnOrderGrid,TradeNewSubOrder,CreateLiveOrder,AcknowledgeTrade,TradeNewSubOrder1,CreateLiveOrder1,AcknowledgeTrade1,SelectTrade,ExecuteTrade,TradeNewSubOrder2,CreateLiveOrder2,AcknowledgeTrade2,SelectTradeOnOrderGrid1,ReplaceSub"&amp;"Order,CreateReplaceOrder,AcknowledgeTrade3"</formula1>
    </dataValidation>
    <dataValidation type="list" allowBlank="1" sqref="H448:K448">
      <formula1>"CleanUp,CreateDoneAwayOrder,SelectAllocatedGroup,Unallocate,AddCalculatedPreferences,SetAccountValueCalculatedPref,SetDefaultRuleCalculatedPref"</formula1>
    </dataValidation>
    <dataValidation type="list" allowBlank="1" sqref="H97:K97">
      <formula1>"CreateStageOrder,CreateNewSubOrder2,TradeNewSubOrder,CreateNewSubOrder,CancelAllSubs,VerifyOrder,EditStageOrder,CreateReplaceOrder,Copy of Data,Copy of Data_conflict1919218944"</formula1>
    </dataValidation>
    <dataValidation type="list" allowBlank="1" sqref="H90:K90">
      <formula1>"CreateNewSubOrder2,CreateStageOrder,TradeNewSubOrder,CreateNewSubOrder,VerifyOrder,VerifyWorkingSubs,EditStageOrder,CreateReplaceOrder"</formula1>
    </dataValidation>
    <dataValidation type="list" allowBlank="1" sqref="H267:K267 H275:K275 H313:K313 H399:K399 H407:K407 H422:K422 H459:K459 H470:K470 H485:K485">
      <formula1>"CleanUp,CreateLiveOrder"</formula1>
    </dataValidation>
    <dataValidation type="list" allowBlank="1" sqref="H326:K326">
      <formula1>"OpeningManager,CleanUp,CreateStageOrder"</formula1>
    </dataValidation>
    <dataValidation type="list" allowBlank="1" sqref="H184:K184">
      <formula1>"CreateLiveOrder,SelectTradeOnOrderGrid,EditStageOrder,CreateReplaceOrder,VerifyOrder,TradeNewSubOrder,AcknowledgeTrade"</formula1>
    </dataValidation>
    <dataValidation type="list" allowBlank="1" sqref="H280:K280">
      <formula1>"CreateLiveOrder,AcknowledgeTrade,SelectTrade,ExecuteTrade,SelectTrade1"</formula1>
    </dataValidation>
    <dataValidation type="list" allowBlank="1" sqref="H371:K371">
      <formula1>"CreateLiveOrder,CleanUp,AcknowledgeTrade,SelectTrade,ExecuteTrade,SelectTradeOnOrderGrid"</formula1>
    </dataValidation>
    <dataValidation type="list" allowBlank="1" sqref="H544:K544">
      <formula1>"CreateStageOrder,VerifyOrder,TradeNewSubOrder,CreateNewSubOrder,EditStageOrder,CreateReplaceOrder"</formula1>
    </dataValidation>
    <dataValidation type="list" allowBlank="1" sqref="H562:K562">
      <formula1>"CleanUp,CreateStageOrder,CreateStageOrder1,CreateDoneAwayOrder,CreateDoneAwayOrder1,TradeNewSubOrder,CreateNewSubOrder,EditStageOrder,CreateReplaceOrder,SelectTradeOnOrderGrid"</formula1>
    </dataValidation>
    <dataValidation type="list" allowBlank="1" sqref="H440:K440">
      <formula1>"CreateDoneAwayOrder,AddCalculatedPreferences,SetAccountValueCalculatedPref,SetDefaultRuleCalculatedPref,SaveCalculatedPreferences,SelectUnallocatedGroup,Allocate,GetDataAllocation"</formula1>
    </dataValidation>
    <dataValidation type="list" allowBlank="1" sqref="H527:K527">
      <formula1>"CleanUp,Copy of Data,CreateStageOrder,VerifyOrder"</formula1>
    </dataValidation>
    <dataValidation type="list" allowBlank="1" sqref="H454:K454">
      <formula1>"CleanUp,CreateDoneAwayOrder,SelectAllocatedGroup,Unallocate,AddCalculatedPreferences,SetAccountValueCalculatedPref,SetDefaultRuleCalculatedPref,SaveCalculatedPreferences,CloseCalculatedPreferences,SelectUnallocatedGroup,EnterAllocatePreference,Allocate,Ge"&amp;"tDataAllocation"</formula1>
    </dataValidation>
    <dataValidation type="list" allowBlank="1" sqref="H107:K108">
      <formula1>"CreateStageOrder,EditStageOrder,CreateReplaceOrder,TradeNewSubOrder,CreateNewSubOrder,CreateNewSubOrder2,CancelAllSubs,VerifyOrder,TradeNewSubOrder2,VerifyWorkingSubs,VerifySubOrder"</formula1>
    </dataValidation>
    <dataValidation type="list" allowBlank="1" sqref="H272:K272">
      <formula1>"CleanUp,CreateLiveOrder,AcknowledgeTrade,SelectTrade,ExecuteTrade,SelectTradeOnOrderGrid,ReplaceSubOrder,CreateReplaceOrder,SelectTradeOnOrderGrid1,CancelSubOrder"</formula1>
    </dataValidation>
    <dataValidation type="list" allowBlank="1" sqref="H492:K492 H498:K498">
      <formula1>"CreateDoneAwayOrder,VerifyOrder,VerifySubOrder,VerifyWorkingSubs,GetDataAllocation,CheckAllocatedGroups,CheckPortfolioManagement"</formula1>
    </dataValidation>
    <dataValidation type="list" allowBlank="1" sqref="H149:K162">
      <formula1>"CreateStageOrder,TradeNewSubOrder,CreateNewSubOrder,SelectTradeOnOrderGrid,TransferToUserSubOrder,ReplaceSubOrder,VerifySubOrder,VerifySubOrder2,CancelSubOrder,CreateReplaceOrder"</formula1>
    </dataValidation>
    <dataValidation type="list" allowBlank="1" sqref="H205:K205">
      <formula1>"CreateLiveOrder,SelectTradeOnOrderGrid,RemoveStageOrder,VerifyOrder,RejectTrade"</formula1>
    </dataValidation>
    <dataValidation type="list" allowBlank="1" sqref="F129 F142">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V"&amp;"erifyAccountDetails,,,,,,,,,,,,,,,,,,,,,,,,,,,,,,,,,,,,,,,,,,,,,,,,,,,,,,,,,,,,,,,,,,,,,,,,,,,,,,,,,,,,,,,,,,,,,,,,,,,,,,,,,,,,,,,,,,,,,,,,,,,,,,,,,,,,,,,,,,,,,,,,,,,,,,,,,,,,,,,,,,,,,,,,,,,,,,,,,,,,,,,,,,,,,,,,,,,,,,,,,,,,,,,,,,,,,,,,,,,,,,,,,,,,,,,,,,,,"&amp;",,,,,,,,,,,,,,,,,,,,,,,,,,,,,,,,,,,,,,,,,,,,,,,,,,,,,,,,,,,,,,,,,,,,,,,,,,,,,,,,,,,,,,,,,,,,,,,,,,,,,,,,,,,,,,,,,,,,,,,,,,,,,,,,,,,,,,,,,,,,,,,,,,,,,,,,,,,,,,,,,,,,,,,,,,,,,,,,,,,,,,,,,,,,,,,,,,"</formula1>
    </dataValidation>
    <dataValidation type="list" allowBlank="1" sqref="F178 F180 F183 F190 F192 F196 F201 F206 F208 F212 F216 F226 F229 F233 F242 F245 F248 F253 F257 F267 F275 F284 F288 F291 F294 F298 F303 F307 F313 F319 F326 F329 F336 F342 F348 F351 F355 F358 F367 F373 F376 F379 F383 F389 F399 F407 F415 F422 F431 F445 F459 F463 F470 F477 F485">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327:K327">
      <formula1>"OpeningManager,CleanUp,CreateStageOrder,SelectTradeOnOrderGrid"</formula1>
    </dataValidation>
    <dataValidation type="list" allowBlank="1" sqref="H190:K190">
      <formula1>"CreateDoneAwayOrder,VerifyWorkingSubs,SelectTradeOnOrderGrid,VerifySubOrder,CreateStageOrder"</formula1>
    </dataValidation>
    <dataValidation type="list" allowBlank="1" sqref="H271:K271 H319:K320">
      <formula1>"CleanUp,CreateLiveOrder,AcknowledgeTrade,SelectTrade,ExecuteTrade,SelectTradeOnOrderGrid,ReplaceSubOrder,CreateReplaceOrder"</formula1>
    </dataValidation>
    <dataValidation type="list" allowBlank="1" sqref="F174">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197:K197">
      <formula1>"CreateDoneAwayOrder,VerifyWorkingSubs,SelectTradeOnOrderGrid,VerifySubOrder,CreateStageOrder,TradeNewSubOrder,CreateLiveOrder,CleanUp,AcknowledgeTrade,ReplaceSubOrder,RejectTrade"</formula1>
    </dataValidation>
    <dataValidation type="list" allowBlank="1" sqref="H404:K405">
      <formula1>"CleanUp,CreateLiveOrder,AcknowledgeTrade,SelectTrade,ExecuteTrade,SelectTradeOnOrderGrid,GoToAllocation"</formula1>
    </dataValidation>
    <dataValidation type="list" allowBlank="1" sqref="H179:K179">
      <formula1>"CreateLiveOrder,SelectTradeOnOrderGrid,EditOrder,VerifyOrder,EditStageOrder"</formula1>
    </dataValidation>
    <dataValidation type="list" allowBlank="1" sqref="H330:K330">
      <formula1>"OpeningManager,CleanUp,CreateStageOrder,SelectTradeOnOrderGrid,TradeNewSubOrder,CreateLiveOrder,AcknowledgeTrade"</formula1>
    </dataValidation>
    <dataValidation type="list" allowBlank="1" sqref="H481:K481">
      <formula1>"CreateLiveOrder,CleanUp,SelectTradeOnOrderGrid,GoToAllocation"</formula1>
    </dataValidation>
    <dataValidation type="list" allowBlank="1" sqref="H164:K171 H173:K175">
      <formula1>"CreateStageOrder,TradeNewSubOrder,CreateDoneAwayOrder,AddFillsWorkingSubs,EditAddFillsDetails,SelectTradeOnOrderGrid,AddFillsSubOrder,VerifyWorkingSubs,CheckUnallocatedGroups,CheckPortfolioManagement,GetDataAllocation,VerifyOrder"</formula1>
    </dataValidation>
    <dataValidation type="list" allowBlank="1" sqref="H199:K199">
      <formula1>"OpeningManager"</formula1>
    </dataValidation>
    <dataValidation type="list" allowBlank="1" sqref="H345:K345">
      <formula1>"ThirdPartyManagerFunction,Copy of Data,SelectFromThirdPartyGrid,CleanUp,CreateLiveOrder,AcknowledgeTrade,SelectTrade,ExecuteTrade"</formula1>
    </dataValidation>
    <dataValidation type="list" allowBlank="1" sqref="H368:K368">
      <formula1>"CreateLiveOrder,CleanUp,AcknowledgeTrade"</formula1>
    </dataValidation>
    <dataValidation type="list" allowBlank="1" sqref="H533:K533">
      <formula1>"CleanUp,Copy of Data,CreateStageOrder,VerifyOrder,TradeNewSubOrder,CreateNewSubOrder,VerifyOrder1,VerifySubOrder,VerifyWorkingSubs,GetDataAllocation"</formula1>
    </dataValidation>
    <dataValidation type="list" allowBlank="1" sqref="H133:K136 H140:K144">
      <formula1>"CreateDoneAwayOrder,ReplaceWorkingSubs,CreateReplaceOrder,VerifyWorkingSubs,CheckAllocatedGroups,CheckPortfolioManagement,VerifyActivity,VerifyLongPositionsGrid,TransferToUserWorkingSubs,GetDataClosing"</formula1>
    </dataValidation>
    <dataValidation type="list" allowBlank="1" sqref="H338:K338">
      <formula1>"OpenThirdParty,ThirdPartyWork,Copy of Data,OpeningManager,Copy of Data 1,CleanUp,CreateLiveOrder,AcknowledgeTrade,SelectTradeOnOrderGrid"</formula1>
    </dataValidation>
    <dataValidation type="list" allowBlank="1" sqref="H332:K332">
      <formula1>"CreateStageOrder,SelectTradeOnOrderGrid,TradeNewSubOrder,CreateLiveOrder,AcknowledgeTrade,VerifySubOrder,SelectTrade,ExecuteTrade"</formula1>
    </dataValidation>
    <dataValidation type="list" allowBlank="1" sqref="H347:K347">
      <formula1>"ThirdPartyManagerFunction,Copy of Data,SelectFromThirdPartyGrid,CleanUp,CreateLiveOrder,AcknowledgeTrade,SelectTrade,ExecuteTrade,SelectTradeOnOrderGrid,ReplaceSubOrder"</formula1>
    </dataValidation>
    <dataValidation type="list" allowBlank="1" sqref="H286:K286">
      <formula1>"CreateLiveOrder,AcknowledgeTrade,ReplaceSubOrder,CreateReplaceOrder,SelectTradeOnOrderGrid"</formula1>
    </dataValidation>
    <dataValidation type="list" allowBlank="1" sqref="H432:K432">
      <formula1>"CreateDoneAwayOrder,AddCalculatedPreferences"</formula1>
    </dataValidation>
    <dataValidation type="list" allowBlank="1" sqref="H442:K442">
      <formula1>"CreateDoneAwayOrder,AddCalculatedPreferences,SetAccountValueCalculatedPref,SetDefaultRuleCalculatedPref,SelectUnallocatedGroup,EnterAllocatePreference,GetDataAllocation,SelectTradeOnOrderGrid,SelectTradeSubOrderBlotter,ViewAllocationDetailsSubOrder,Verify"&amp;"ViewAllocationDetails"</formula1>
    </dataValidation>
    <dataValidation type="list" allowBlank="1" sqref="H236:K237">
      <formula1>"CreateStageOrder,SelectTradeOnOrderGrid,TradeNewSubOrder,CreateLiveOrder,AcknowledgeTrade,SelectTradeOnOrderGrid1,ReplaceSubOrder,CreateReplaceOrder,AcknowledgeTrade1,SelectTrade,ExecuteTrade"</formula1>
    </dataValidation>
    <dataValidation type="list" allowBlank="1" sqref="H376:K376">
      <formula1>"CreateLiveOrder,AcknowledgeTrade,SelectTrade,ExecuteTrade,SelectTradeOnOrderGrid,EditStageOrder,CreateReplaceOrder,SelectTradeOnOrderGrid1,EditStageOrder1"</formula1>
    </dataValidation>
    <dataValidation type="list" allowBlank="1" sqref="H83:K83">
      <formula1>"CreateStageOrder,TradeNewSubOrder,CreateNewSubOrder,VerifyOrder,VerifyWorkingSubs,Copy of Data,CreateReplaceOrder,SelectTradeOnOrderGrid,VerifySubOrder"</formula1>
    </dataValidation>
    <dataValidation type="list" allowBlank="1" sqref="H206:K206">
      <formula1>"CreateLiveOrder,SelectTradeOnOrderGrid,RemoveStageOrder,VerifyOrder,RejectTrade,CreateStageOrder"</formula1>
    </dataValidation>
    <dataValidation type="list" allowBlank="1" sqref="H277:K277">
      <formula1>"CreateLiveOrder,AcknowledgeTrade,SelectTrade"</formula1>
    </dataValidation>
    <dataValidation type="list" allowBlank="1" sqref="H520:K520">
      <formula1>"CleanUp,CreateStageOrder,VerifyOrder,TradeNewSubOrder,CreateNewSubOrder,VerifyOrder1,VerifySubOrder,VerifyWorkingSubs"</formula1>
    </dataValidation>
    <dataValidation type="list" allowBlank="1" sqref="H549:K549">
      <formula1>"CreateStageOrder,VerifyOrder,TradeNewSubOrder,CreateNewSubOrder,EditStageOrder,CreateReplaceOrder,VerifyOrder1,VerifySubOrder,VerifyWorkingSubs,GetDataAllocation,CheckAllocatedGroups,CheckPortfolioManagement"</formula1>
    </dataValidation>
    <dataValidation type="list" allowBlank="1" sqref="F128 F141">
      <formula1>"Allocate,CheckAllocation,Unallocate,GetDataAllocation,SelectTradeAllocation,EditTradesAllocated,EditTradesUnallocated,Reallocate,CleanUp,EditTrades,TradeAttributeBulkChange,CommissionBulkChange,GeneralPreferencesDefaultRule,AttributeRenaming,AutoGroupingR"&amp;"ules,MasterFundRatioAllocation,CheckFixedPreferenceScheme,GetFixedScheme,AddCalculatedPreferences,BulkChangeCalculatedPreferences,DeleteCalculatedPreferences,RenameCalculatedPreferences,CopyCalculatedPreferences,RunAutoGroup,SwapControl,RunProrata,SetDefa"&amp;"ultRuleForCalculatedPreference,RenameTradeAttributes,SetAccountValueCalculatedPref,TradeAttributeBulkChange,TradeAttributeBulkChangeGroup,TradeAttributeBulkChangeTaxlots,TradeAttributeBulkChangeGroups,SetMasterFundRatio,AddCalculatedPreferenceToolbar,SetG"&amp;"roupingRules,ApplyBulkUpdateOnGroups,SetStrategyValueCalculatedPref,ApplyBulkUpdateOnTaxlots,SetDefaultRuleCalculatedPref,CommissionBulkChangeOnGroups,CommissionBulkChangeOnTaxlots,BookOrUpdateSwap,SelectUnallocatedGroup,SelectAllocatedGroup,EnterAccountV"&amp;"aluesToAllocate,ApplyPrefetchFilters,EnterAllocatePerference,EnterStrategyValuesToAllocate,CopyCalculatedPreferencesToolbar,SetGeneralRuleCalculatedPref,CopyCalculatedPreferenceToolbar,EnterAllocatePreference,ExportAllCalculatedPreferences,SaveCalculatedP"&amp;"references,ExportAllCalculatedPreferences,SaveCalculatedPreferences,CloseCalculatedPreferences,ExportCalculatedPreference,EditUnallocatedGroupSidePanel,ImportCalculatedPreferences,OpenAuditTrailUnallocatedGroup,DeleteCalculatedPreferencesTool,ImportCalcul"&amp;"atedPreferencesTool,ExportAllCalculatedPreferTool,CheckFixedPreference,DeleteFixedPreference,OpenSymbolLookupUnallocateGroup,OpenSymbolLookupAllocatedGroup,ExportAllCalculatedPreferTool,ExportAllCalculatedPreferences,GetFixedPreference,CheckAllocatedGroup"&amp;"s,CheckUnallocatedGroups,SetGeneralPreferences,EditAllocatedGroupSidePanel,OpenAuditTrailAllocatedGroup,GroupTrades,UngroupTrades,DeleteGroup,CloseOrder,Unallocate,CloseAllocation,GeneralPrefCompanyUserWise,,,,,,,,,,,,,,,,,,,,,,,,,,,,,,,,,,,,,,,,,,,,,,,,,"&amp;",,,,,,,,,,,,,,,,,,,,,,,,,,,,,,,,,,,,,,,,,,,,,,,,,,,,,,,,,,,,,,,,,,,,,,,,,,,,,,,,,,,,,,,,,,,,,,,,,,,,,,,,,,,,,,,,,,,,,,,,,,,,,,,,,,,,,,,,,,,,,,,,,,,,,,,,,,,,,,,,,,,,,,,,,,,,,,,,,,,,,,,,,,,,,,,,,,,,,,,,,,,,,,,,,,,,,,,,,,,,,,,,,,,,,,,,,,,,,,,,,,,,,,,,,,,,,,,"&amp;",,,,,,,,,,,,,,,,,,,,,,,,,,,,,,,,,,,,,,,,,,,,,,,,,,,,,,,,,,,,,,,,,,,,,,,,,,,,,,,,,,,,,,,,,,,,,,,,,,,,,,,,,,,,,"</formula1>
    </dataValidation>
    <dataValidation type="list" allowBlank="1" sqref="H441:K441">
      <formula1>"CreateDoneAwayOrder,AddCalculatedPreferences,SetAccountValueCalculatedPref,SetDefaultRuleCalculatedPref,SelectUnallocatedGroup,EnterAllocatePreference,GetDataAllocation,SelectTradeOnOrderGrid"</formula1>
    </dataValidation>
    <dataValidation type="list" allowBlank="1" sqref="H456:K456">
      <formula1>"CleanUp,CreateDoneAwayOrder,SelectAllocatedGroup,Unallocate,AddCalculatedPreferences,SetAccountValueCalculatedPref,SetDefaultRuleCalculatedPref,SaveCalculatedPreferences,CloseCalculatedPreferences,SelectUnallocatedGroup,EnterAllocatePreference,Allocate,Ge"&amp;"tDataAllocation,SelectTradeOnOrderGrid,VerifyViewAllocationDetails,GoToAllocation"</formula1>
    </dataValidation>
    <dataValidation type="list" allowBlank="1" sqref="H260:K261">
      <formula1>"CreateStageOrder,SelectTradeOnOrderGrid,TradeNewSubOrder,CreateLiveOrder,AcknowledgeTrade,TradeNewSubOrder1,CreateLiveOrder1,AcknowledgeTrade1,SelectTrade,ExecuteTrade,TradeNewSubOrder2,CreateLiveOrder2,AcknowledgeTrade2,SelectTradeOnOrderGrid1,ReplaceSub"&amp;"Order,CreateReplaceOrder,AcknowledgeTrade3,SelectTradeOnOrderGrid2,CancelSubOrder"</formula1>
    </dataValidation>
    <dataValidation type="list" allowBlank="1" sqref="H211:K211">
      <formula1>"CreateLiveOrder,SelectTradeOnOrderGrid,RemoveStageOrder,VerifyOrder,RejectTrade,CreateStageOrder,TradeNewSubOrder,AcknowledgeTrade,ReplaceSubOrder"</formula1>
    </dataValidation>
  </dataValidations>
  <hyperlinks>
    <hyperlink r:id="rId1" location="gid=2050934700" ref="G6"/>
    <hyperlink r:id="rId2" location="gid=1529960401" ref="G7"/>
    <hyperlink r:id="rId3" location="gid=1438360222" ref="G8"/>
    <hyperlink r:id="rId4" location="gid=1849223758" ref="G9"/>
    <hyperlink r:id="rId5" location="gid=734556809" ref="G10"/>
    <hyperlink r:id="rId6" location="gid=946481950" ref="G11"/>
    <hyperlink r:id="rId7" location="gid=652809041" ref="G12"/>
    <hyperlink r:id="rId8" location="gid=918757222" ref="G13"/>
    <hyperlink r:id="rId9" location="gid=1098106669" ref="G14"/>
    <hyperlink r:id="rId10" location="gid=1789843972" ref="G15"/>
    <hyperlink r:id="rId11" location="gid=245224134" ref="G16"/>
    <hyperlink r:id="rId12" location="gid=935160100" ref="G17"/>
    <hyperlink r:id="rId13" location="gid=1284119555" ref="G18"/>
    <hyperlink r:id="rId14" location="gid=904985387" ref="G19"/>
    <hyperlink r:id="rId15" location="gid=599475168" ref="G20"/>
    <hyperlink r:id="rId16" location="gid=1210673759" ref="G21"/>
    <hyperlink r:id="rId17" location="gid=820922282" ref="G22"/>
    <hyperlink r:id="rId18" location="gid=297777094" ref="G23"/>
    <hyperlink r:id="rId19" location="gid=687945120" ref="G24"/>
    <hyperlink r:id="rId20" location="gid=1217361057" ref="G25"/>
    <hyperlink r:id="rId21" location="gid=489258163" ref="G26"/>
    <hyperlink r:id="rId22" location="gid=1774594382" ref="G27"/>
    <hyperlink r:id="rId23" location="gid=1295927195" ref="G28"/>
    <hyperlink r:id="rId24" location="gid=742915833" ref="G29"/>
    <hyperlink r:id="rId25" location="gid=1238371845" ref="G30"/>
    <hyperlink r:id="rId26" location="gid=1314629598" ref="G31"/>
    <hyperlink r:id="rId27" location="gid=1407613350" ref="G32"/>
    <hyperlink r:id="rId28" location="gid=907053413" ref="G33"/>
    <hyperlink r:id="rId29" location="gid=778527096" ref="G34"/>
    <hyperlink r:id="rId30" location="gid=267574951" ref="G35"/>
    <hyperlink r:id="rId31" location="gid=2129732236" ref="G36"/>
    <hyperlink r:id="rId32" location="gid=309184604" ref="G37"/>
    <hyperlink r:id="rId33" location="gid=531548524" ref="G38"/>
    <hyperlink r:id="rId34" location="gid=1270172135" ref="G39"/>
    <hyperlink r:id="rId35" location="gid=1939329364" ref="G40"/>
    <hyperlink r:id="rId36" location="gid=1592942189" ref="G41"/>
    <hyperlink r:id="rId37" location="gid=967390590" ref="G42"/>
    <hyperlink r:id="rId38" location="gid=1435736161" ref="G43"/>
    <hyperlink r:id="rId39" location="gid=399268999" ref="G44"/>
    <hyperlink r:id="rId40" location="gid=1371444512" ref="G45"/>
    <hyperlink r:id="rId41" location="gid=874409092" ref="G46"/>
    <hyperlink r:id="rId42" location="gid=790929863" ref="G47"/>
    <hyperlink r:id="rId43" location="gid=793006913" ref="G48"/>
    <hyperlink r:id="rId44" location="gid=895081624" ref="G49"/>
    <hyperlink r:id="rId45" location="gid=1026598742" ref="G50"/>
    <hyperlink r:id="rId46" location="gid=581943955" ref="G51"/>
    <hyperlink r:id="rId47" location="gid=849020196" ref="G52"/>
    <hyperlink r:id="rId48" location="gid=409824721" ref="G53"/>
    <hyperlink r:id="rId49" location="gid=708546525" ref="G54"/>
    <hyperlink r:id="rId50" location="gid=905886464" ref="G55"/>
    <hyperlink r:id="rId51" location="gid=1042275860" ref="G56"/>
    <hyperlink r:id="rId52" location="gid=1047125454" ref="G57"/>
    <hyperlink r:id="rId53" location="gid=209905715" ref="G58"/>
    <hyperlink r:id="rId54" location="gid=1612790774" ref="G59"/>
    <hyperlink r:id="rId55" location="gid=1031480368" ref="G60"/>
    <hyperlink r:id="rId56" location="gid=241955445" ref="G61"/>
    <hyperlink r:id="rId57" location="gid=1230082133" ref="G62"/>
    <hyperlink r:id="rId58" location="gid=1557957060" ref="G63"/>
    <hyperlink r:id="rId59" location="gid=1579237862" ref="G64"/>
    <hyperlink r:id="rId60" location="gid=631989264" ref="G65"/>
    <hyperlink r:id="rId61" location="gid=372196598" ref="G66"/>
    <hyperlink r:id="rId62" location="gid=1417141209" ref="G67"/>
    <hyperlink r:id="rId63" location="gid=950108225" ref="G68"/>
    <hyperlink r:id="rId64" location="gid=1057696655" ref="G69"/>
    <hyperlink r:id="rId65" location="gid=1484428573" ref="G70"/>
    <hyperlink r:id="rId66" location="gid=825327633" ref="G71"/>
    <hyperlink r:id="rId67" location="gid=1028917484" ref="G72"/>
    <hyperlink r:id="rId68" location="gid=1845487491" ref="G73"/>
    <hyperlink r:id="rId69" location="gid=1039327058" ref="G74"/>
    <hyperlink r:id="rId70" location="gid=1625442567" ref="G75"/>
    <hyperlink r:id="rId71" location="gid=796409315" ref="G76"/>
    <hyperlink r:id="rId72" location="gid=1492838408" ref="G77"/>
    <hyperlink r:id="rId73" location="gid=2079146985" ref="G78"/>
    <hyperlink r:id="rId74" location="gid=339614873" ref="G79"/>
    <hyperlink r:id="rId75" location="gid=161650353" ref="G80"/>
    <hyperlink r:id="rId76" location="gid=1176862967" ref="G81"/>
    <hyperlink r:id="rId77" location="gid=312165182" ref="G82"/>
    <hyperlink r:id="rId78" location="gid=998867328" ref="G83"/>
    <hyperlink r:id="rId79" location="gid=1244857743" ref="G84"/>
    <hyperlink r:id="rId80" location="gid=1486629684" ref="G85"/>
    <hyperlink r:id="rId81" location="gid=1830506233" ref="G86"/>
    <hyperlink r:id="rId82" location="gid=373134982" ref="G87"/>
    <hyperlink r:id="rId83" location="gid=1136337014" ref="G88"/>
    <hyperlink r:id="rId84" location="gid=1076861343" ref="G89"/>
    <hyperlink r:id="rId85" location="gid=606778450" ref="G90"/>
    <hyperlink r:id="rId86" location="gid=888518194" ref="G91"/>
    <hyperlink r:id="rId87" location="gid=1711127025" ref="G92"/>
    <hyperlink r:id="rId88" location="gid=1151020200" ref="G93"/>
    <hyperlink r:id="rId89" location="gid=477943530" ref="G94"/>
    <hyperlink r:id="rId90" location="gid=879697489" ref="G95"/>
    <hyperlink r:id="rId91" location="gid=1751633983" ref="G96"/>
    <hyperlink r:id="rId92" location="gid=828162276" ref="G97"/>
    <hyperlink r:id="rId93" location="gid=1543811221" ref="G98"/>
    <hyperlink r:id="rId94" location="gid=1570025537" ref="G99"/>
    <hyperlink r:id="rId95" location="gid=1769930159" ref="G100"/>
    <hyperlink r:id="rId96" location="gid=496501473" ref="G101"/>
    <hyperlink r:id="rId97" location="gid=1337836879" ref="G102"/>
    <hyperlink r:id="rId98" location="gid=387515289" ref="G103"/>
    <hyperlink r:id="rId99" location="gid=1256003922" ref="G104"/>
    <hyperlink r:id="rId100" location="gid=194118942" ref="G105"/>
    <hyperlink r:id="rId101" location="gid=690666390" ref="G106"/>
    <hyperlink r:id="rId102" location="gid=1444075433" ref="G107"/>
    <hyperlink r:id="rId103" location="gid=1200065027" ref="G108"/>
    <hyperlink r:id="rId104" location="gid=1409198373" ref="G109"/>
    <hyperlink r:id="rId105" location="gid=1049243240" ref="G110"/>
    <hyperlink r:id="rId106" location="gid=2105754770" ref="G111"/>
    <hyperlink r:id="rId107" location="gid=1378901240" ref="G112"/>
    <hyperlink r:id="rId108" location="gid=1210938297" ref="G113"/>
    <hyperlink r:id="rId109" location="gid=1829129888" ref="G114"/>
    <hyperlink r:id="rId110" location="gid=836342338" ref="G115"/>
    <hyperlink r:id="rId111" location="gid=1942446359" ref="G116"/>
    <hyperlink r:id="rId112" location="gid=444524941" ref="G117"/>
    <hyperlink r:id="rId113" location="gid=141896095" ref="G118"/>
    <hyperlink r:id="rId114" location="gid=315729586" ref="G119"/>
    <hyperlink r:id="rId115" location="gid=371717908" ref="G120"/>
    <hyperlink r:id="rId116" location="gid=295395362" ref="G121"/>
    <hyperlink r:id="rId117" location="gid=198743901" ref="G122"/>
    <hyperlink r:id="rId118" location="gid=759412932" ref="G123"/>
    <hyperlink r:id="rId119" location="gid=1494686575" ref="G124"/>
    <hyperlink r:id="rId120" location="gid=933288653" ref="G125"/>
    <hyperlink r:id="rId121" location="gid=933564157" ref="G126"/>
    <hyperlink r:id="rId122" location="gid=227569483" ref="G127"/>
    <hyperlink r:id="rId123" location="gid=55232566" ref="G128"/>
    <hyperlink r:id="rId124" location="gid=1906239898" ref="G129"/>
    <hyperlink r:id="rId125" location="gid=894264788" ref="G130"/>
    <hyperlink r:id="rId126" location="gid=1884327772" ref="G131"/>
    <hyperlink r:id="rId127" location="gid=576146602" ref="G132"/>
    <hyperlink r:id="rId128" location="gid=1817372469" ref="G133"/>
    <hyperlink r:id="rId129" location="gid=1183130495" ref="G134"/>
    <hyperlink r:id="rId130" location="gid=513212915" ref="G135"/>
    <hyperlink r:id="rId131" location="gid=99821997" ref="G136"/>
    <hyperlink r:id="rId132" location="gid=1508081990" ref="G137"/>
    <hyperlink r:id="rId133" location="gid=1869287418" ref="G138"/>
    <hyperlink r:id="rId134" location="gid=338162879" ref="G139"/>
    <hyperlink r:id="rId135" location="gid=245253182" ref="G140"/>
    <hyperlink r:id="rId136" location="gid=1189966199" ref="G141"/>
    <hyperlink r:id="rId137" location="gid=790226068" ref="G142"/>
    <hyperlink r:id="rId138" location="gid=658687084" ref="G143"/>
    <hyperlink r:id="rId139" location="gid=1711453877" ref="G144"/>
    <hyperlink r:id="rId140" location="gid=1876817191" ref="G145"/>
    <hyperlink r:id="rId141" location="gid=1616293794" ref="G146"/>
    <hyperlink r:id="rId142" location="gid=672636001" ref="G147"/>
    <hyperlink r:id="rId143" location="gid=975154059" ref="G149"/>
    <hyperlink r:id="rId144" location="gid=180274847" ref="G150"/>
    <hyperlink r:id="rId145" location="gid=1834796099" ref="G151"/>
    <hyperlink r:id="rId146" location="gid=1143927033" ref="G152"/>
    <hyperlink r:id="rId147" location="gid=2082268842" ref="G153"/>
    <hyperlink r:id="rId148" location="gid=2132408578" ref="G154"/>
    <hyperlink r:id="rId149" location="gid=1143927033" ref="G155"/>
    <hyperlink r:id="rId150" location="gid=725876685" ref="G156"/>
    <hyperlink r:id="rId151" location="gid=1143927033" ref="G157"/>
    <hyperlink r:id="rId152" location="gid=1710430842" ref="G158"/>
    <hyperlink r:id="rId153" location="gid=1143927033" ref="G159"/>
    <hyperlink r:id="rId154" location="gid=1845569316" ref="G160"/>
    <hyperlink r:id="rId155" location="gid=1143927033" ref="G161"/>
    <hyperlink r:id="rId156" location="gid=817646027" ref="G162"/>
    <hyperlink r:id="rId157" location="gid=597125053" ref="G163"/>
    <hyperlink r:id="rId158" location="gid=1429039360" ref="G164"/>
    <hyperlink r:id="rId159" location="gid=138016748" ref="G165"/>
    <hyperlink r:id="rId160" location="gid=857170448" ref="G166"/>
    <hyperlink r:id="rId161" location="gid=2059288174" ref="G167"/>
    <hyperlink r:id="rId162" location="gid=1295447872" ref="G168"/>
    <hyperlink r:id="rId163" location="gid=420185123" ref="G169"/>
    <hyperlink r:id="rId164" location="gid=2059288174" ref="G170"/>
    <hyperlink r:id="rId165" location="gid=728935669" ref="G171"/>
    <hyperlink r:id="rId166" location="gid=246482763" ref="G172"/>
    <hyperlink r:id="rId167" location="gid=857826315" ref="G173"/>
    <hyperlink r:id="rId168" location="gid=1955316516" ref="G174"/>
    <hyperlink r:id="rId169" location="gid=313134646" ref="G175"/>
  </hyperlinks>
  <drawing r:id="rId17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26.29"/>
    <col customWidth="1" min="4" max="4" width="16.86"/>
    <col customWidth="1" min="5" max="5" width="24.71"/>
    <col customWidth="1" min="6" max="6" width="27.86"/>
    <col customWidth="1" min="7" max="7" width="90.14"/>
    <col customWidth="1" min="8" max="8" width="26.29"/>
    <col customWidth="1" min="9" max="12" width="18.0"/>
    <col customWidth="1" min="13" max="32" width="14.43"/>
  </cols>
  <sheetData>
    <row r="1" ht="1.5" customHeight="1">
      <c r="A1" s="14" t="s">
        <v>98</v>
      </c>
      <c r="B1" s="12"/>
      <c r="C1" s="13"/>
      <c r="D1" s="14"/>
      <c r="E1" s="223"/>
      <c r="F1" s="14"/>
      <c r="G1" s="224"/>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2"/>
      <c r="B2" s="12"/>
      <c r="C2" s="13"/>
      <c r="D2" s="14"/>
      <c r="E2" s="223"/>
      <c r="F2" s="14"/>
      <c r="G2" s="224"/>
      <c r="H2" s="14"/>
      <c r="I2" s="14"/>
      <c r="J2" s="12"/>
      <c r="K2" s="12"/>
      <c r="L2" s="12"/>
      <c r="M2" s="15"/>
      <c r="N2" s="15"/>
      <c r="O2" s="15"/>
      <c r="P2" s="15"/>
      <c r="Q2" s="15"/>
      <c r="R2" s="15"/>
      <c r="S2" s="15"/>
      <c r="T2" s="15"/>
      <c r="U2" s="15"/>
      <c r="V2" s="15"/>
      <c r="W2" s="15"/>
      <c r="X2" s="15"/>
      <c r="Y2" s="15"/>
      <c r="Z2" s="15"/>
      <c r="AA2" s="15"/>
      <c r="AB2" s="15"/>
      <c r="AC2" s="15"/>
      <c r="AD2" s="15"/>
      <c r="AE2" s="15"/>
      <c r="AF2" s="15"/>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25"/>
      <c r="C4" s="21"/>
      <c r="D4" s="20"/>
      <c r="E4" s="226"/>
      <c r="F4" s="20"/>
      <c r="G4" s="227"/>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28" t="s">
        <v>8</v>
      </c>
      <c r="D5" s="22" t="s">
        <v>9</v>
      </c>
      <c r="E5" s="22" t="s">
        <v>10</v>
      </c>
      <c r="F5" s="22" t="s">
        <v>11</v>
      </c>
      <c r="G5" s="22" t="s">
        <v>12</v>
      </c>
      <c r="H5" s="229" t="s">
        <v>13</v>
      </c>
      <c r="I5" s="22" t="s">
        <v>14</v>
      </c>
      <c r="J5" s="22" t="s">
        <v>15</v>
      </c>
      <c r="K5" s="22" t="s">
        <v>16</v>
      </c>
      <c r="L5" s="22" t="s">
        <v>17</v>
      </c>
      <c r="M5" s="15"/>
      <c r="N5" s="15"/>
      <c r="O5" s="15"/>
      <c r="P5" s="15"/>
      <c r="Q5" s="15"/>
      <c r="R5" s="15"/>
      <c r="S5" s="15"/>
      <c r="T5" s="15"/>
      <c r="U5" s="15"/>
      <c r="V5" s="15"/>
      <c r="W5" s="15"/>
      <c r="X5" s="15"/>
      <c r="Y5" s="15"/>
      <c r="Z5" s="15"/>
      <c r="AA5" s="15"/>
      <c r="AB5" s="15"/>
      <c r="AC5" s="15"/>
      <c r="AD5" s="15"/>
      <c r="AE5" s="15"/>
      <c r="AF5" s="15"/>
    </row>
    <row r="6" ht="15.75" customHeight="1">
      <c r="A6" s="28" t="s">
        <v>5</v>
      </c>
      <c r="B6" s="33" t="s">
        <v>2471</v>
      </c>
      <c r="C6" s="33" t="s">
        <v>2472</v>
      </c>
      <c r="D6" s="28" t="s">
        <v>20</v>
      </c>
      <c r="E6" s="230" t="s">
        <v>21</v>
      </c>
      <c r="F6" s="62" t="s">
        <v>51</v>
      </c>
      <c r="G6" s="231" t="s">
        <v>2473</v>
      </c>
      <c r="H6" s="35" t="s">
        <v>51</v>
      </c>
      <c r="I6" s="36"/>
      <c r="J6" s="36"/>
      <c r="L6" s="20"/>
      <c r="M6" s="15"/>
      <c r="N6" s="15"/>
      <c r="O6" s="15"/>
      <c r="P6" s="15"/>
      <c r="Q6" s="15"/>
      <c r="R6" s="15"/>
      <c r="S6" s="15"/>
      <c r="T6" s="15"/>
      <c r="U6" s="15"/>
      <c r="V6" s="15"/>
      <c r="W6" s="15"/>
      <c r="X6" s="15"/>
      <c r="Y6" s="15"/>
      <c r="Z6" s="15"/>
      <c r="AA6" s="15"/>
      <c r="AB6" s="15"/>
      <c r="AC6" s="15"/>
      <c r="AD6" s="15"/>
      <c r="AE6" s="15"/>
      <c r="AF6" s="15"/>
    </row>
    <row r="7" ht="15.75" customHeight="1">
      <c r="A7" s="28" t="s">
        <v>5</v>
      </c>
      <c r="E7" s="230" t="s">
        <v>43</v>
      </c>
      <c r="F7" s="65" t="s">
        <v>53</v>
      </c>
      <c r="G7" s="154" t="s">
        <v>2474</v>
      </c>
      <c r="H7" s="35" t="s">
        <v>53</v>
      </c>
      <c r="I7" s="36"/>
      <c r="L7" s="20"/>
      <c r="M7" s="15"/>
      <c r="N7" s="15"/>
      <c r="O7" s="15"/>
      <c r="P7" s="15"/>
      <c r="Q7" s="15"/>
      <c r="R7" s="15"/>
      <c r="S7" s="15"/>
      <c r="T7" s="15"/>
      <c r="U7" s="15"/>
      <c r="V7" s="15"/>
      <c r="W7" s="15"/>
      <c r="X7" s="15"/>
      <c r="Y7" s="15"/>
      <c r="Z7" s="15"/>
      <c r="AA7" s="15"/>
      <c r="AB7" s="15"/>
      <c r="AC7" s="15"/>
      <c r="AD7" s="15"/>
      <c r="AE7" s="15"/>
      <c r="AF7" s="15"/>
    </row>
    <row r="8" ht="15.75" customHeight="1">
      <c r="A8" s="28" t="s">
        <v>5</v>
      </c>
      <c r="E8" s="230" t="s">
        <v>43</v>
      </c>
      <c r="F8" s="65" t="s">
        <v>79</v>
      </c>
      <c r="G8" s="232" t="s">
        <v>2475</v>
      </c>
      <c r="H8" s="65" t="s">
        <v>79</v>
      </c>
      <c r="I8" s="65"/>
      <c r="L8" s="20"/>
      <c r="M8" s="15"/>
      <c r="N8" s="15"/>
      <c r="O8" s="15"/>
      <c r="P8" s="15"/>
      <c r="Q8" s="15"/>
      <c r="R8" s="15"/>
      <c r="S8" s="15"/>
      <c r="T8" s="15"/>
      <c r="U8" s="15"/>
      <c r="V8" s="15"/>
      <c r="W8" s="15"/>
      <c r="X8" s="15"/>
      <c r="Y8" s="15"/>
      <c r="Z8" s="15"/>
      <c r="AA8" s="15"/>
      <c r="AB8" s="15"/>
      <c r="AC8" s="15"/>
      <c r="AD8" s="15"/>
      <c r="AE8" s="15"/>
      <c r="AF8" s="15"/>
    </row>
    <row r="9" ht="15.75" customHeight="1">
      <c r="A9" s="28" t="s">
        <v>5</v>
      </c>
      <c r="E9" s="230" t="s">
        <v>88</v>
      </c>
      <c r="F9" s="65" t="s">
        <v>95</v>
      </c>
      <c r="G9" s="232" t="s">
        <v>2476</v>
      </c>
      <c r="H9" s="35" t="s">
        <v>95</v>
      </c>
      <c r="I9" s="35"/>
      <c r="L9" s="20"/>
      <c r="M9" s="15"/>
      <c r="N9" s="15"/>
      <c r="O9" s="15"/>
      <c r="P9" s="15"/>
      <c r="Q9" s="15"/>
      <c r="R9" s="15"/>
      <c r="S9" s="15"/>
      <c r="T9" s="15"/>
      <c r="U9" s="15"/>
      <c r="V9" s="15"/>
      <c r="W9" s="15"/>
      <c r="X9" s="15"/>
      <c r="Y9" s="15"/>
      <c r="Z9" s="15"/>
      <c r="AA9" s="15"/>
      <c r="AB9" s="15"/>
      <c r="AC9" s="15"/>
      <c r="AD9" s="15"/>
      <c r="AE9" s="15"/>
      <c r="AF9" s="15"/>
    </row>
    <row r="10" ht="15.75" customHeight="1">
      <c r="A10" s="28" t="s">
        <v>5</v>
      </c>
      <c r="E10" s="230" t="s">
        <v>88</v>
      </c>
      <c r="F10" s="65" t="s">
        <v>122</v>
      </c>
      <c r="G10" s="232" t="s">
        <v>2477</v>
      </c>
      <c r="H10" s="35" t="s">
        <v>122</v>
      </c>
      <c r="I10" s="36"/>
      <c r="L10" s="20"/>
      <c r="M10" s="15"/>
      <c r="N10" s="15"/>
      <c r="O10" s="15"/>
      <c r="P10" s="15"/>
      <c r="Q10" s="15"/>
      <c r="R10" s="15"/>
      <c r="S10" s="15"/>
      <c r="T10" s="15"/>
      <c r="U10" s="15"/>
      <c r="V10" s="15"/>
      <c r="W10" s="15"/>
      <c r="X10" s="15"/>
      <c r="Y10" s="15"/>
      <c r="Z10" s="15"/>
      <c r="AA10" s="15"/>
      <c r="AB10" s="15"/>
      <c r="AC10" s="15"/>
      <c r="AD10" s="15"/>
      <c r="AE10" s="15"/>
      <c r="AF10" s="15"/>
    </row>
    <row r="11" ht="15.75" customHeight="1">
      <c r="A11" s="28" t="s">
        <v>5</v>
      </c>
      <c r="E11" s="230" t="s">
        <v>88</v>
      </c>
      <c r="F11" s="65" t="s">
        <v>96</v>
      </c>
      <c r="G11" s="232" t="s">
        <v>2478</v>
      </c>
      <c r="H11" s="35" t="s">
        <v>96</v>
      </c>
      <c r="I11" s="36"/>
      <c r="L11" s="20"/>
      <c r="M11" s="15"/>
      <c r="N11" s="15"/>
      <c r="O11" s="15"/>
      <c r="P11" s="15"/>
      <c r="Q11" s="15"/>
      <c r="R11" s="15"/>
      <c r="S11" s="15"/>
      <c r="T11" s="15"/>
      <c r="U11" s="15"/>
      <c r="V11" s="15"/>
      <c r="W11" s="15"/>
      <c r="X11" s="15"/>
      <c r="Y11" s="15"/>
      <c r="Z11" s="15"/>
      <c r="AA11" s="15"/>
      <c r="AB11" s="15"/>
      <c r="AC11" s="15"/>
      <c r="AD11" s="15"/>
      <c r="AE11" s="15"/>
      <c r="AF11" s="15"/>
    </row>
    <row r="12" ht="15.75" customHeight="1">
      <c r="A12" s="28" t="s">
        <v>5</v>
      </c>
      <c r="E12" s="230" t="s">
        <v>104</v>
      </c>
      <c r="F12" s="65" t="s">
        <v>250</v>
      </c>
      <c r="G12" s="232" t="s">
        <v>2479</v>
      </c>
      <c r="H12" s="35" t="s">
        <v>250</v>
      </c>
      <c r="I12" s="36"/>
      <c r="L12" s="20"/>
      <c r="M12" s="15"/>
      <c r="N12" s="15"/>
      <c r="O12" s="15"/>
      <c r="P12" s="15"/>
      <c r="Q12" s="15"/>
      <c r="R12" s="15"/>
      <c r="S12" s="15"/>
      <c r="T12" s="15"/>
      <c r="U12" s="15"/>
      <c r="V12" s="15"/>
      <c r="W12" s="15"/>
      <c r="X12" s="15"/>
      <c r="Y12" s="15"/>
      <c r="Z12" s="15"/>
      <c r="AA12" s="15"/>
      <c r="AB12" s="15"/>
      <c r="AC12" s="15"/>
      <c r="AD12" s="15"/>
      <c r="AE12" s="15"/>
      <c r="AF12" s="15"/>
    </row>
    <row r="13" ht="15.75" customHeight="1">
      <c r="A13" s="28" t="s">
        <v>5</v>
      </c>
      <c r="E13" s="230" t="s">
        <v>86</v>
      </c>
      <c r="F13" s="65" t="s">
        <v>90</v>
      </c>
      <c r="G13" s="232" t="s">
        <v>2480</v>
      </c>
      <c r="H13" s="35" t="s">
        <v>90</v>
      </c>
      <c r="I13" s="36"/>
      <c r="L13" s="20"/>
      <c r="M13" s="15"/>
      <c r="N13" s="15"/>
      <c r="O13" s="15"/>
      <c r="P13" s="15"/>
      <c r="Q13" s="15"/>
      <c r="R13" s="15"/>
      <c r="S13" s="15"/>
      <c r="T13" s="15"/>
      <c r="U13" s="15"/>
      <c r="V13" s="15"/>
      <c r="W13" s="15"/>
      <c r="X13" s="15"/>
      <c r="Y13" s="15"/>
      <c r="Z13" s="15"/>
      <c r="AA13" s="15"/>
      <c r="AB13" s="15"/>
      <c r="AC13" s="15"/>
      <c r="AD13" s="15"/>
      <c r="AE13" s="15"/>
      <c r="AF13" s="15"/>
    </row>
    <row r="14" ht="15.75" customHeight="1">
      <c r="A14" s="28" t="s">
        <v>5</v>
      </c>
      <c r="E14" s="230" t="s">
        <v>86</v>
      </c>
      <c r="F14" s="65" t="s">
        <v>91</v>
      </c>
      <c r="G14" s="232" t="s">
        <v>2481</v>
      </c>
      <c r="H14" s="35" t="s">
        <v>91</v>
      </c>
      <c r="I14" s="36"/>
      <c r="L14" s="20"/>
      <c r="M14" s="15"/>
      <c r="N14" s="15"/>
      <c r="O14" s="15"/>
      <c r="P14" s="15"/>
      <c r="Q14" s="15"/>
      <c r="R14" s="15"/>
      <c r="S14" s="15"/>
      <c r="T14" s="15"/>
      <c r="U14" s="15"/>
      <c r="V14" s="15"/>
      <c r="W14" s="15"/>
      <c r="X14" s="15"/>
      <c r="Y14" s="15"/>
      <c r="Z14" s="15"/>
      <c r="AA14" s="15"/>
      <c r="AB14" s="15"/>
      <c r="AC14" s="15"/>
      <c r="AD14" s="15"/>
      <c r="AE14" s="15"/>
      <c r="AF14" s="15"/>
    </row>
    <row r="15" ht="15.75" customHeight="1">
      <c r="A15" s="28" t="s">
        <v>5</v>
      </c>
      <c r="E15" s="230" t="s">
        <v>86</v>
      </c>
      <c r="F15" s="65" t="s">
        <v>338</v>
      </c>
      <c r="G15" s="232" t="s">
        <v>2482</v>
      </c>
      <c r="H15" s="35" t="s">
        <v>338</v>
      </c>
      <c r="I15" s="36"/>
      <c r="L15" s="20"/>
      <c r="M15" s="15"/>
      <c r="N15" s="15"/>
      <c r="O15" s="15"/>
      <c r="P15" s="15"/>
      <c r="Q15" s="15"/>
      <c r="R15" s="15"/>
      <c r="S15" s="15"/>
      <c r="T15" s="15"/>
      <c r="U15" s="15"/>
      <c r="V15" s="15"/>
      <c r="W15" s="15"/>
      <c r="X15" s="15"/>
      <c r="Y15" s="15"/>
      <c r="Z15" s="15"/>
      <c r="AA15" s="15"/>
      <c r="AB15" s="15"/>
      <c r="AC15" s="15"/>
      <c r="AD15" s="15"/>
      <c r="AE15" s="15"/>
      <c r="AF15" s="15"/>
    </row>
    <row r="16" ht="15.75" customHeight="1">
      <c r="A16" s="28" t="s">
        <v>5</v>
      </c>
      <c r="E16" s="230" t="s">
        <v>178</v>
      </c>
      <c r="F16" s="65" t="s">
        <v>209</v>
      </c>
      <c r="G16" s="232" t="s">
        <v>2483</v>
      </c>
      <c r="H16" s="35" t="s">
        <v>209</v>
      </c>
      <c r="I16" s="36"/>
      <c r="L16" s="20"/>
      <c r="M16" s="15"/>
      <c r="N16" s="15"/>
      <c r="O16" s="15"/>
      <c r="P16" s="15"/>
      <c r="Q16" s="15"/>
      <c r="R16" s="15"/>
      <c r="S16" s="15"/>
      <c r="T16" s="15"/>
      <c r="U16" s="15"/>
      <c r="V16" s="15"/>
      <c r="W16" s="15"/>
      <c r="X16" s="15"/>
      <c r="Y16" s="15"/>
      <c r="Z16" s="15"/>
      <c r="AA16" s="15"/>
      <c r="AB16" s="15"/>
      <c r="AC16" s="15"/>
      <c r="AD16" s="15"/>
      <c r="AE16" s="15"/>
      <c r="AF16" s="15"/>
    </row>
    <row r="17" ht="15.75" customHeight="1">
      <c r="A17" s="28" t="s">
        <v>5</v>
      </c>
      <c r="E17" s="230" t="s">
        <v>178</v>
      </c>
      <c r="F17" s="65" t="s">
        <v>210</v>
      </c>
      <c r="G17" s="232" t="s">
        <v>2484</v>
      </c>
      <c r="H17" s="35" t="s">
        <v>210</v>
      </c>
      <c r="I17" s="36"/>
      <c r="L17" s="20"/>
      <c r="M17" s="15"/>
      <c r="N17" s="15"/>
      <c r="O17" s="15"/>
      <c r="P17" s="15"/>
      <c r="Q17" s="15"/>
      <c r="R17" s="15"/>
      <c r="S17" s="15"/>
      <c r="T17" s="15"/>
      <c r="U17" s="15"/>
      <c r="V17" s="15"/>
      <c r="W17" s="15"/>
      <c r="X17" s="15"/>
      <c r="Y17" s="15"/>
      <c r="Z17" s="15"/>
      <c r="AA17" s="15"/>
      <c r="AB17" s="15"/>
      <c r="AC17" s="15"/>
      <c r="AD17" s="15"/>
      <c r="AE17" s="15"/>
      <c r="AF17" s="15"/>
    </row>
    <row r="18" ht="15.75" customHeight="1">
      <c r="A18" s="32" t="s">
        <v>5</v>
      </c>
      <c r="B18" s="233" t="s">
        <v>2485</v>
      </c>
      <c r="C18" s="33" t="s">
        <v>2486</v>
      </c>
      <c r="D18" s="8" t="s">
        <v>20</v>
      </c>
      <c r="E18" s="234" t="s">
        <v>21</v>
      </c>
      <c r="F18" s="28" t="s">
        <v>617</v>
      </c>
      <c r="G18" s="34" t="s">
        <v>2487</v>
      </c>
      <c r="H18" s="35" t="s">
        <v>617</v>
      </c>
      <c r="I18" s="36"/>
      <c r="J18" s="36"/>
      <c r="L18" s="11"/>
      <c r="M18" s="15"/>
      <c r="N18" s="15"/>
      <c r="O18" s="15"/>
      <c r="P18" s="15"/>
      <c r="Q18" s="15"/>
      <c r="R18" s="15"/>
      <c r="S18" s="15"/>
      <c r="T18" s="15"/>
      <c r="U18" s="15"/>
      <c r="V18" s="15"/>
      <c r="W18" s="15"/>
      <c r="X18" s="15"/>
      <c r="Y18" s="15"/>
      <c r="Z18" s="15"/>
      <c r="AA18" s="15"/>
      <c r="AB18" s="15"/>
      <c r="AC18" s="15"/>
      <c r="AD18" s="15"/>
      <c r="AE18" s="15"/>
      <c r="AF18" s="15"/>
    </row>
    <row r="19" ht="15.75" customHeight="1">
      <c r="A19" s="32" t="s">
        <v>5</v>
      </c>
      <c r="E19" s="234" t="s">
        <v>21</v>
      </c>
      <c r="F19" s="28" t="s">
        <v>808</v>
      </c>
      <c r="G19" s="34" t="s">
        <v>2488</v>
      </c>
      <c r="H19" s="35" t="s">
        <v>808</v>
      </c>
      <c r="I19" s="36"/>
      <c r="J19" s="36"/>
      <c r="L19" s="11"/>
      <c r="M19" s="15"/>
      <c r="N19" s="15"/>
      <c r="O19" s="15"/>
      <c r="P19" s="15"/>
      <c r="Q19" s="15"/>
      <c r="R19" s="15"/>
      <c r="S19" s="15"/>
      <c r="T19" s="15"/>
      <c r="U19" s="15"/>
      <c r="V19" s="15"/>
      <c r="W19" s="15"/>
      <c r="X19" s="15"/>
      <c r="Y19" s="15"/>
      <c r="Z19" s="15"/>
      <c r="AA19" s="15"/>
      <c r="AB19" s="15"/>
      <c r="AC19" s="15"/>
      <c r="AD19" s="15"/>
      <c r="AE19" s="15"/>
      <c r="AF19" s="15"/>
    </row>
    <row r="20" ht="15.75" customHeight="1">
      <c r="A20" s="32" t="s">
        <v>5</v>
      </c>
      <c r="E20" s="234" t="s">
        <v>43</v>
      </c>
      <c r="F20" s="38" t="s">
        <v>53</v>
      </c>
      <c r="G20" s="34" t="s">
        <v>2489</v>
      </c>
      <c r="H20" s="35" t="s">
        <v>53</v>
      </c>
      <c r="I20" s="36"/>
      <c r="J20" s="36"/>
      <c r="L20" s="11"/>
      <c r="M20" s="15"/>
      <c r="N20" s="15"/>
      <c r="O20" s="15"/>
      <c r="P20" s="15"/>
      <c r="Q20" s="15"/>
      <c r="R20" s="15"/>
      <c r="S20" s="15"/>
      <c r="T20" s="15"/>
      <c r="U20" s="15"/>
      <c r="V20" s="15"/>
      <c r="W20" s="15"/>
      <c r="X20" s="15"/>
      <c r="Y20" s="15"/>
      <c r="Z20" s="15"/>
      <c r="AA20" s="15"/>
      <c r="AB20" s="15"/>
      <c r="AC20" s="15"/>
      <c r="AD20" s="15"/>
      <c r="AE20" s="15"/>
      <c r="AF20" s="15"/>
    </row>
    <row r="21" ht="15.75" customHeight="1">
      <c r="A21" s="32" t="s">
        <v>5</v>
      </c>
      <c r="E21" s="234" t="s">
        <v>43</v>
      </c>
      <c r="F21" s="28" t="s">
        <v>79</v>
      </c>
      <c r="G21" s="34" t="s">
        <v>2490</v>
      </c>
      <c r="H21" s="38" t="s">
        <v>79</v>
      </c>
      <c r="I21" s="31"/>
      <c r="J21" s="31"/>
      <c r="K21" s="11"/>
      <c r="L21" s="11"/>
      <c r="M21" s="15"/>
      <c r="N21" s="15"/>
      <c r="O21" s="15"/>
      <c r="P21" s="15"/>
      <c r="Q21" s="15"/>
      <c r="R21" s="15"/>
      <c r="S21" s="15"/>
      <c r="T21" s="15"/>
      <c r="U21" s="15"/>
      <c r="V21" s="15"/>
      <c r="W21" s="15"/>
      <c r="X21" s="15"/>
      <c r="Y21" s="15"/>
      <c r="Z21" s="15"/>
      <c r="AA21" s="15"/>
      <c r="AB21" s="15"/>
      <c r="AC21" s="15"/>
      <c r="AD21" s="15"/>
      <c r="AE21" s="15"/>
      <c r="AF21" s="15"/>
    </row>
    <row r="22" ht="15.75" customHeight="1">
      <c r="A22" s="32" t="s">
        <v>5</v>
      </c>
      <c r="E22" s="234" t="s">
        <v>88</v>
      </c>
      <c r="F22" s="28" t="s">
        <v>95</v>
      </c>
      <c r="G22" s="34" t="s">
        <v>2491</v>
      </c>
      <c r="H22" s="38" t="s">
        <v>95</v>
      </c>
      <c r="I22" s="31"/>
      <c r="J22" s="31"/>
      <c r="K22" s="11"/>
      <c r="L22" s="11"/>
      <c r="M22" s="15"/>
      <c r="N22" s="15"/>
      <c r="O22" s="15"/>
      <c r="P22" s="15"/>
      <c r="Q22" s="15"/>
      <c r="R22" s="15"/>
      <c r="S22" s="15"/>
      <c r="T22" s="15"/>
      <c r="U22" s="15"/>
      <c r="V22" s="15"/>
      <c r="W22" s="15"/>
      <c r="X22" s="15"/>
      <c r="Y22" s="15"/>
      <c r="Z22" s="15"/>
      <c r="AA22" s="15"/>
      <c r="AB22" s="15"/>
      <c r="AC22" s="15"/>
      <c r="AD22" s="15"/>
      <c r="AE22" s="15"/>
      <c r="AF22" s="15"/>
    </row>
    <row r="23" ht="15.75" customHeight="1">
      <c r="A23" s="32" t="s">
        <v>5</v>
      </c>
      <c r="E23" s="234" t="s">
        <v>88</v>
      </c>
      <c r="F23" s="28" t="s">
        <v>122</v>
      </c>
      <c r="G23" s="34" t="s">
        <v>2492</v>
      </c>
      <c r="H23" s="35" t="s">
        <v>122</v>
      </c>
      <c r="I23" s="36"/>
      <c r="J23" s="36"/>
      <c r="L23" s="11"/>
      <c r="M23" s="15"/>
      <c r="N23" s="15"/>
      <c r="O23" s="15"/>
      <c r="P23" s="15"/>
      <c r="Q23" s="15"/>
      <c r="R23" s="15"/>
      <c r="S23" s="15"/>
      <c r="T23" s="15"/>
      <c r="U23" s="15"/>
      <c r="V23" s="15"/>
      <c r="W23" s="15"/>
      <c r="X23" s="15"/>
      <c r="Y23" s="15"/>
      <c r="Z23" s="15"/>
      <c r="AA23" s="15"/>
      <c r="AB23" s="15"/>
      <c r="AC23" s="15"/>
      <c r="AD23" s="15"/>
      <c r="AE23" s="15"/>
      <c r="AF23" s="15"/>
    </row>
    <row r="24" ht="15.75" customHeight="1">
      <c r="A24" s="32" t="s">
        <v>5</v>
      </c>
      <c r="E24" s="234" t="s">
        <v>104</v>
      </c>
      <c r="F24" s="38" t="s">
        <v>250</v>
      </c>
      <c r="G24" s="34" t="s">
        <v>2493</v>
      </c>
      <c r="H24" s="35" t="s">
        <v>250</v>
      </c>
      <c r="I24" s="36"/>
      <c r="J24" s="36"/>
      <c r="L24" s="11"/>
      <c r="M24" s="15"/>
      <c r="N24" s="15"/>
      <c r="O24" s="15"/>
      <c r="P24" s="15"/>
      <c r="Q24" s="15"/>
      <c r="R24" s="15"/>
      <c r="S24" s="15"/>
      <c r="T24" s="15"/>
      <c r="U24" s="15"/>
      <c r="V24" s="15"/>
      <c r="W24" s="15"/>
      <c r="X24" s="15"/>
      <c r="Y24" s="15"/>
      <c r="Z24" s="15"/>
      <c r="AA24" s="15"/>
      <c r="AB24" s="15"/>
      <c r="AC24" s="15"/>
      <c r="AD24" s="15"/>
      <c r="AE24" s="15"/>
      <c r="AF24" s="15"/>
    </row>
    <row r="25" ht="15.75" customHeight="1">
      <c r="A25" s="32" t="s">
        <v>5</v>
      </c>
      <c r="B25" s="233" t="s">
        <v>2494</v>
      </c>
      <c r="C25" s="33" t="s">
        <v>2495</v>
      </c>
      <c r="D25" s="8" t="s">
        <v>20</v>
      </c>
      <c r="E25" s="234" t="s">
        <v>21</v>
      </c>
      <c r="F25" s="28" t="s">
        <v>808</v>
      </c>
      <c r="G25" s="34" t="s">
        <v>2496</v>
      </c>
      <c r="H25" s="35" t="s">
        <v>808</v>
      </c>
      <c r="I25" s="36"/>
      <c r="J25" s="36"/>
      <c r="L25" s="11"/>
      <c r="M25" s="15"/>
      <c r="N25" s="15"/>
      <c r="O25" s="15"/>
      <c r="P25" s="15"/>
      <c r="Q25" s="15"/>
      <c r="R25" s="15"/>
      <c r="S25" s="15"/>
      <c r="T25" s="15"/>
      <c r="U25" s="15"/>
      <c r="V25" s="15"/>
      <c r="W25" s="15"/>
      <c r="X25" s="15"/>
      <c r="Y25" s="15"/>
      <c r="Z25" s="15"/>
      <c r="AA25" s="15"/>
      <c r="AB25" s="15"/>
      <c r="AC25" s="15"/>
      <c r="AD25" s="15"/>
      <c r="AE25" s="15"/>
      <c r="AF25" s="15"/>
    </row>
    <row r="26" ht="15.75" customHeight="1">
      <c r="A26" s="32" t="s">
        <v>5</v>
      </c>
      <c r="E26" s="195" t="s">
        <v>43</v>
      </c>
      <c r="F26" s="8" t="s">
        <v>53</v>
      </c>
      <c r="G26" s="34" t="s">
        <v>2497</v>
      </c>
      <c r="H26" s="35" t="s">
        <v>53</v>
      </c>
      <c r="I26" s="36"/>
      <c r="L26" s="11"/>
      <c r="M26" s="15"/>
      <c r="N26" s="15"/>
      <c r="O26" s="15"/>
      <c r="P26" s="15"/>
      <c r="Q26" s="15"/>
      <c r="R26" s="15"/>
      <c r="S26" s="15"/>
      <c r="T26" s="15"/>
      <c r="U26" s="15"/>
      <c r="V26" s="15"/>
      <c r="W26" s="15"/>
      <c r="X26" s="15"/>
      <c r="Y26" s="15"/>
      <c r="Z26" s="15"/>
      <c r="AA26" s="15"/>
      <c r="AB26" s="15"/>
      <c r="AC26" s="15"/>
      <c r="AD26" s="15"/>
      <c r="AE26" s="15"/>
      <c r="AF26" s="15"/>
    </row>
    <row r="27" ht="15.75" customHeight="1">
      <c r="A27" s="32" t="s">
        <v>5</v>
      </c>
      <c r="E27" s="195" t="s">
        <v>43</v>
      </c>
      <c r="F27" s="8" t="s">
        <v>79</v>
      </c>
      <c r="G27" s="34" t="s">
        <v>2498</v>
      </c>
      <c r="H27" s="8" t="s">
        <v>79</v>
      </c>
      <c r="I27" s="31"/>
      <c r="J27" s="9"/>
      <c r="K27" s="11"/>
      <c r="L27" s="11"/>
      <c r="M27" s="15"/>
      <c r="N27" s="15"/>
      <c r="O27" s="15"/>
      <c r="P27" s="15"/>
      <c r="Q27" s="15"/>
      <c r="R27" s="15"/>
      <c r="S27" s="15"/>
      <c r="T27" s="15"/>
      <c r="U27" s="15"/>
      <c r="V27" s="15"/>
      <c r="W27" s="15"/>
      <c r="X27" s="15"/>
      <c r="Y27" s="15"/>
      <c r="Z27" s="15"/>
      <c r="AA27" s="15"/>
      <c r="AB27" s="15"/>
      <c r="AC27" s="15"/>
      <c r="AD27" s="15"/>
      <c r="AE27" s="15"/>
      <c r="AF27" s="15"/>
    </row>
    <row r="28" ht="15.75" customHeight="1">
      <c r="A28" s="32" t="s">
        <v>5</v>
      </c>
      <c r="E28" s="234" t="s">
        <v>88</v>
      </c>
      <c r="F28" s="8" t="s">
        <v>95</v>
      </c>
      <c r="G28" s="34" t="s">
        <v>2499</v>
      </c>
      <c r="H28" s="8" t="s">
        <v>95</v>
      </c>
      <c r="I28" s="9"/>
      <c r="J28" s="9"/>
      <c r="K28" s="11"/>
      <c r="L28" s="11"/>
      <c r="M28" s="15"/>
      <c r="N28" s="15"/>
      <c r="O28" s="15"/>
      <c r="P28" s="15"/>
      <c r="Q28" s="15"/>
      <c r="R28" s="15"/>
      <c r="S28" s="15"/>
      <c r="T28" s="15"/>
      <c r="U28" s="15"/>
      <c r="V28" s="15"/>
      <c r="W28" s="15"/>
      <c r="X28" s="15"/>
      <c r="Y28" s="15"/>
      <c r="Z28" s="15"/>
      <c r="AA28" s="15"/>
      <c r="AB28" s="15"/>
      <c r="AC28" s="15"/>
      <c r="AD28" s="15"/>
      <c r="AE28" s="15"/>
      <c r="AF28" s="15"/>
    </row>
    <row r="29" ht="15.75" customHeight="1">
      <c r="A29" s="32" t="s">
        <v>5</v>
      </c>
      <c r="E29" s="234" t="s">
        <v>88</v>
      </c>
      <c r="F29" s="8" t="s">
        <v>122</v>
      </c>
      <c r="G29" s="34" t="s">
        <v>2500</v>
      </c>
      <c r="H29" s="35" t="s">
        <v>122</v>
      </c>
      <c r="L29" s="11"/>
      <c r="M29" s="15"/>
      <c r="N29" s="15"/>
      <c r="O29" s="15"/>
      <c r="P29" s="15"/>
      <c r="Q29" s="15"/>
      <c r="R29" s="15"/>
      <c r="S29" s="15"/>
      <c r="T29" s="15"/>
      <c r="U29" s="15"/>
      <c r="V29" s="15"/>
      <c r="W29" s="15"/>
      <c r="X29" s="15"/>
      <c r="Y29" s="15"/>
      <c r="Z29" s="15"/>
      <c r="AA29" s="15"/>
      <c r="AB29" s="15"/>
      <c r="AC29" s="15"/>
      <c r="AD29" s="15"/>
      <c r="AE29" s="15"/>
      <c r="AF29" s="15"/>
    </row>
    <row r="30" ht="15.75" customHeight="1">
      <c r="A30" s="32" t="s">
        <v>5</v>
      </c>
      <c r="E30" s="234" t="s">
        <v>104</v>
      </c>
      <c r="F30" s="38" t="s">
        <v>250</v>
      </c>
      <c r="G30" s="235" t="s">
        <v>2501</v>
      </c>
      <c r="H30" s="35" t="s">
        <v>250</v>
      </c>
      <c r="L30" s="11"/>
      <c r="M30" s="15"/>
      <c r="N30" s="15"/>
      <c r="O30" s="15"/>
      <c r="P30" s="15"/>
      <c r="Q30" s="15"/>
      <c r="R30" s="15"/>
      <c r="S30" s="15"/>
      <c r="T30" s="15"/>
      <c r="U30" s="15"/>
      <c r="V30" s="15"/>
      <c r="W30" s="15"/>
      <c r="X30" s="15"/>
      <c r="Y30" s="15"/>
      <c r="Z30" s="15"/>
      <c r="AA30" s="15"/>
      <c r="AB30" s="15"/>
      <c r="AC30" s="15"/>
      <c r="AD30" s="15"/>
      <c r="AE30" s="15"/>
      <c r="AF30" s="15"/>
    </row>
    <row r="31" ht="15.75" customHeight="1">
      <c r="A31" s="32" t="s">
        <v>5</v>
      </c>
      <c r="B31" s="233" t="s">
        <v>2502</v>
      </c>
      <c r="C31" s="33" t="s">
        <v>2503</v>
      </c>
      <c r="D31" s="8" t="s">
        <v>20</v>
      </c>
      <c r="E31" s="234" t="s">
        <v>21</v>
      </c>
      <c r="F31" s="28" t="s">
        <v>808</v>
      </c>
      <c r="G31" s="34" t="s">
        <v>2504</v>
      </c>
      <c r="H31" s="35" t="s">
        <v>808</v>
      </c>
      <c r="L31" s="11"/>
      <c r="M31" s="15"/>
      <c r="N31" s="15"/>
      <c r="O31" s="15"/>
      <c r="P31" s="15"/>
      <c r="Q31" s="15"/>
      <c r="R31" s="15"/>
      <c r="S31" s="15"/>
      <c r="T31" s="15"/>
      <c r="U31" s="15"/>
      <c r="V31" s="15"/>
      <c r="W31" s="15"/>
      <c r="X31" s="15"/>
      <c r="Y31" s="15"/>
      <c r="Z31" s="15"/>
      <c r="AA31" s="15"/>
      <c r="AB31" s="15"/>
      <c r="AC31" s="15"/>
      <c r="AD31" s="15"/>
      <c r="AE31" s="15"/>
      <c r="AF31" s="15"/>
    </row>
    <row r="32" ht="15.75" customHeight="1">
      <c r="A32" s="32" t="s">
        <v>5</v>
      </c>
      <c r="E32" s="234" t="s">
        <v>43</v>
      </c>
      <c r="F32" s="28" t="s">
        <v>53</v>
      </c>
      <c r="G32" s="34" t="s">
        <v>2505</v>
      </c>
      <c r="H32" s="35" t="s">
        <v>53</v>
      </c>
      <c r="L32" s="11"/>
      <c r="M32" s="15"/>
      <c r="N32" s="15"/>
      <c r="O32" s="15"/>
      <c r="P32" s="15"/>
      <c r="Q32" s="15"/>
      <c r="R32" s="15"/>
      <c r="S32" s="15"/>
      <c r="T32" s="15"/>
      <c r="U32" s="15"/>
      <c r="V32" s="15"/>
      <c r="W32" s="15"/>
      <c r="X32" s="15"/>
      <c r="Y32" s="15"/>
      <c r="Z32" s="15"/>
      <c r="AA32" s="15"/>
      <c r="AB32" s="15"/>
      <c r="AC32" s="15"/>
      <c r="AD32" s="15"/>
      <c r="AE32" s="15"/>
      <c r="AF32" s="15"/>
    </row>
    <row r="33" ht="15.75" customHeight="1">
      <c r="A33" s="32" t="s">
        <v>5</v>
      </c>
      <c r="E33" s="234" t="s">
        <v>43</v>
      </c>
      <c r="F33" s="28" t="s">
        <v>79</v>
      </c>
      <c r="G33" s="34" t="s">
        <v>2506</v>
      </c>
      <c r="H33" s="28" t="s">
        <v>79</v>
      </c>
      <c r="I33" s="9"/>
      <c r="J33" s="9"/>
      <c r="K33" s="11"/>
      <c r="L33" s="11"/>
      <c r="M33" s="15"/>
      <c r="N33" s="15"/>
      <c r="O33" s="15"/>
      <c r="P33" s="15"/>
      <c r="Q33" s="15"/>
      <c r="R33" s="15"/>
      <c r="S33" s="15"/>
      <c r="T33" s="15"/>
      <c r="U33" s="15"/>
      <c r="V33" s="15"/>
      <c r="W33" s="15"/>
      <c r="X33" s="15"/>
      <c r="Y33" s="15"/>
      <c r="Z33" s="15"/>
      <c r="AA33" s="15"/>
      <c r="AB33" s="15"/>
      <c r="AC33" s="15"/>
      <c r="AD33" s="15"/>
      <c r="AE33" s="15"/>
      <c r="AF33" s="15"/>
    </row>
    <row r="34" ht="15.75" customHeight="1">
      <c r="A34" s="32" t="s">
        <v>5</v>
      </c>
      <c r="E34" s="234" t="s">
        <v>88</v>
      </c>
      <c r="F34" s="38" t="s">
        <v>95</v>
      </c>
      <c r="G34" s="34" t="s">
        <v>2507</v>
      </c>
      <c r="H34" s="38" t="s">
        <v>95</v>
      </c>
      <c r="I34" s="9"/>
      <c r="J34" s="9"/>
      <c r="K34" s="11"/>
      <c r="L34" s="11"/>
      <c r="M34" s="15"/>
      <c r="N34" s="15"/>
      <c r="O34" s="15"/>
      <c r="P34" s="15"/>
      <c r="Q34" s="15"/>
      <c r="R34" s="15"/>
      <c r="S34" s="15"/>
      <c r="T34" s="15"/>
      <c r="U34" s="15"/>
      <c r="V34" s="15"/>
      <c r="W34" s="15"/>
      <c r="X34" s="15"/>
      <c r="Y34" s="15"/>
      <c r="Z34" s="15"/>
      <c r="AA34" s="15"/>
      <c r="AB34" s="15"/>
      <c r="AC34" s="15"/>
      <c r="AD34" s="15"/>
      <c r="AE34" s="15"/>
      <c r="AF34" s="15"/>
    </row>
    <row r="35" ht="15.75" customHeight="1">
      <c r="A35" s="32" t="s">
        <v>5</v>
      </c>
      <c r="E35" s="234" t="s">
        <v>88</v>
      </c>
      <c r="F35" s="38" t="s">
        <v>122</v>
      </c>
      <c r="G35" s="34" t="s">
        <v>2508</v>
      </c>
      <c r="H35" s="35" t="s">
        <v>122</v>
      </c>
      <c r="L35" s="11"/>
      <c r="M35" s="15"/>
      <c r="N35" s="15"/>
      <c r="O35" s="15"/>
      <c r="P35" s="15"/>
      <c r="Q35" s="15"/>
      <c r="R35" s="15"/>
      <c r="S35" s="15"/>
      <c r="T35" s="15"/>
      <c r="U35" s="15"/>
      <c r="V35" s="15"/>
      <c r="W35" s="15"/>
      <c r="X35" s="15"/>
      <c r="Y35" s="15"/>
      <c r="Z35" s="15"/>
      <c r="AA35" s="15"/>
      <c r="AB35" s="15"/>
      <c r="AC35" s="15"/>
      <c r="AD35" s="15"/>
      <c r="AE35" s="15"/>
      <c r="AF35" s="15"/>
    </row>
    <row r="36" ht="15.75" customHeight="1">
      <c r="A36" s="32" t="s">
        <v>5</v>
      </c>
      <c r="E36" s="234" t="s">
        <v>104</v>
      </c>
      <c r="F36" s="28" t="s">
        <v>250</v>
      </c>
      <c r="G36" s="34" t="s">
        <v>2509</v>
      </c>
      <c r="H36" s="35" t="s">
        <v>250</v>
      </c>
      <c r="L36" s="11"/>
      <c r="M36" s="15"/>
      <c r="N36" s="15"/>
      <c r="O36" s="15"/>
      <c r="P36" s="15"/>
      <c r="Q36" s="15"/>
      <c r="R36" s="15"/>
      <c r="S36" s="15"/>
      <c r="T36" s="15"/>
      <c r="U36" s="15"/>
      <c r="V36" s="15"/>
      <c r="W36" s="15"/>
      <c r="X36" s="15"/>
      <c r="Y36" s="15"/>
      <c r="Z36" s="15"/>
      <c r="AA36" s="15"/>
      <c r="AB36" s="15"/>
      <c r="AC36" s="15"/>
      <c r="AD36" s="15"/>
      <c r="AE36" s="15"/>
      <c r="AF36" s="15"/>
    </row>
    <row r="37" ht="15.75" customHeight="1">
      <c r="A37" s="32" t="s">
        <v>5</v>
      </c>
      <c r="B37" s="233" t="s">
        <v>2510</v>
      </c>
      <c r="C37" s="33" t="s">
        <v>2511</v>
      </c>
      <c r="D37" s="8" t="s">
        <v>20</v>
      </c>
      <c r="E37" s="234" t="s">
        <v>21</v>
      </c>
      <c r="F37" s="8" t="s">
        <v>808</v>
      </c>
      <c r="G37" s="34" t="s">
        <v>2512</v>
      </c>
      <c r="H37" s="35" t="s">
        <v>808</v>
      </c>
      <c r="L37" s="11"/>
      <c r="M37" s="15"/>
      <c r="N37" s="15"/>
      <c r="O37" s="15"/>
      <c r="P37" s="15"/>
      <c r="Q37" s="15"/>
      <c r="R37" s="15"/>
      <c r="S37" s="15"/>
      <c r="T37" s="15"/>
      <c r="U37" s="15"/>
      <c r="V37" s="15"/>
      <c r="W37" s="15"/>
      <c r="X37" s="15"/>
      <c r="Y37" s="15"/>
      <c r="Z37" s="15"/>
      <c r="AA37" s="15"/>
      <c r="AB37" s="15"/>
      <c r="AC37" s="15"/>
      <c r="AD37" s="15"/>
      <c r="AE37" s="15"/>
      <c r="AF37" s="15"/>
    </row>
    <row r="38" ht="15.75" customHeight="1">
      <c r="A38" s="32" t="s">
        <v>5</v>
      </c>
      <c r="E38" s="234" t="s">
        <v>43</v>
      </c>
      <c r="F38" s="8" t="s">
        <v>53</v>
      </c>
      <c r="G38" s="34" t="s">
        <v>2513</v>
      </c>
      <c r="H38" s="35" t="s">
        <v>53</v>
      </c>
      <c r="I38" s="36"/>
      <c r="L38" s="11"/>
      <c r="M38" s="15"/>
      <c r="N38" s="15"/>
      <c r="O38" s="15"/>
      <c r="P38" s="15"/>
      <c r="Q38" s="15"/>
      <c r="R38" s="15"/>
      <c r="S38" s="15"/>
      <c r="T38" s="15"/>
      <c r="U38" s="15"/>
      <c r="V38" s="15"/>
      <c r="W38" s="15"/>
      <c r="X38" s="15"/>
      <c r="Y38" s="15"/>
      <c r="Z38" s="15"/>
      <c r="AA38" s="15"/>
      <c r="AB38" s="15"/>
      <c r="AC38" s="15"/>
      <c r="AD38" s="15"/>
      <c r="AE38" s="15"/>
      <c r="AF38" s="15"/>
    </row>
    <row r="39" ht="15.75" customHeight="1">
      <c r="A39" s="32" t="s">
        <v>5</v>
      </c>
      <c r="E39" s="234" t="s">
        <v>43</v>
      </c>
      <c r="F39" s="8" t="s">
        <v>79</v>
      </c>
      <c r="G39" s="34" t="s">
        <v>2514</v>
      </c>
      <c r="H39" s="8" t="s">
        <v>79</v>
      </c>
      <c r="I39" s="31"/>
      <c r="J39" s="9"/>
      <c r="K39" s="11"/>
      <c r="L39" s="11"/>
      <c r="M39" s="15"/>
      <c r="N39" s="15"/>
      <c r="O39" s="15"/>
      <c r="P39" s="15"/>
      <c r="Q39" s="15"/>
      <c r="R39" s="15"/>
      <c r="S39" s="15"/>
      <c r="T39" s="15"/>
      <c r="U39" s="15"/>
      <c r="V39" s="15"/>
      <c r="W39" s="15"/>
      <c r="X39" s="15"/>
      <c r="Y39" s="15"/>
      <c r="Z39" s="15"/>
      <c r="AA39" s="15"/>
      <c r="AB39" s="15"/>
      <c r="AC39" s="15"/>
      <c r="AD39" s="15"/>
      <c r="AE39" s="15"/>
      <c r="AF39" s="15"/>
    </row>
    <row r="40" ht="15.75" customHeight="1">
      <c r="A40" s="32" t="s">
        <v>5</v>
      </c>
      <c r="E40" s="195" t="s">
        <v>88</v>
      </c>
      <c r="F40" s="8" t="s">
        <v>95</v>
      </c>
      <c r="G40" s="34" t="s">
        <v>2515</v>
      </c>
      <c r="H40" s="35" t="s">
        <v>95</v>
      </c>
      <c r="L40" s="11"/>
      <c r="M40" s="15"/>
      <c r="N40" s="15"/>
      <c r="O40" s="15"/>
      <c r="P40" s="15"/>
      <c r="Q40" s="15"/>
      <c r="R40" s="15"/>
      <c r="S40" s="15"/>
      <c r="T40" s="15"/>
      <c r="U40" s="15"/>
      <c r="V40" s="15"/>
      <c r="W40" s="15"/>
      <c r="X40" s="15"/>
      <c r="Y40" s="15"/>
      <c r="Z40" s="15"/>
      <c r="AA40" s="15"/>
      <c r="AB40" s="15"/>
      <c r="AC40" s="15"/>
      <c r="AD40" s="15"/>
      <c r="AE40" s="15"/>
      <c r="AF40" s="15"/>
    </row>
    <row r="41" ht="15.75" customHeight="1">
      <c r="A41" s="32" t="s">
        <v>5</v>
      </c>
      <c r="E41" s="195" t="s">
        <v>88</v>
      </c>
      <c r="F41" s="8" t="s">
        <v>122</v>
      </c>
      <c r="G41" s="34" t="s">
        <v>2516</v>
      </c>
      <c r="H41" s="35" t="s">
        <v>122</v>
      </c>
      <c r="L41" s="11"/>
      <c r="M41" s="15"/>
      <c r="N41" s="15"/>
      <c r="O41" s="15"/>
      <c r="P41" s="15"/>
      <c r="Q41" s="15"/>
      <c r="R41" s="15"/>
      <c r="S41" s="15"/>
      <c r="T41" s="15"/>
      <c r="U41" s="15"/>
      <c r="V41" s="15"/>
      <c r="W41" s="15"/>
      <c r="X41" s="15"/>
      <c r="Y41" s="15"/>
      <c r="Z41" s="15"/>
      <c r="AA41" s="15"/>
      <c r="AB41" s="15"/>
      <c r="AC41" s="15"/>
      <c r="AD41" s="15"/>
      <c r="AE41" s="15"/>
      <c r="AF41" s="15"/>
    </row>
    <row r="42" ht="15.75" customHeight="1">
      <c r="A42" s="32" t="s">
        <v>5</v>
      </c>
      <c r="E42" s="195" t="s">
        <v>104</v>
      </c>
      <c r="F42" s="8" t="s">
        <v>250</v>
      </c>
      <c r="G42" s="34" t="s">
        <v>2517</v>
      </c>
      <c r="H42" s="35" t="s">
        <v>250</v>
      </c>
      <c r="L42" s="11"/>
      <c r="M42" s="15"/>
      <c r="N42" s="15"/>
      <c r="O42" s="15"/>
      <c r="P42" s="15"/>
      <c r="Q42" s="15"/>
      <c r="R42" s="15"/>
      <c r="S42" s="15"/>
      <c r="T42" s="15"/>
      <c r="U42" s="15"/>
      <c r="V42" s="15"/>
      <c r="W42" s="15"/>
      <c r="X42" s="15"/>
      <c r="Y42" s="15"/>
      <c r="Z42" s="15"/>
      <c r="AA42" s="15"/>
      <c r="AB42" s="15"/>
      <c r="AC42" s="15"/>
      <c r="AD42" s="15"/>
      <c r="AE42" s="15"/>
      <c r="AF42" s="15"/>
    </row>
    <row r="43" ht="15.75" customHeight="1">
      <c r="A43" s="32" t="s">
        <v>5</v>
      </c>
      <c r="B43" s="233" t="s">
        <v>2518</v>
      </c>
      <c r="C43" s="33" t="s">
        <v>2519</v>
      </c>
      <c r="D43" s="8" t="s">
        <v>20</v>
      </c>
      <c r="E43" s="234" t="s">
        <v>21</v>
      </c>
      <c r="F43" s="8" t="s">
        <v>808</v>
      </c>
      <c r="G43" s="34" t="s">
        <v>2520</v>
      </c>
      <c r="H43" s="35" t="s">
        <v>808</v>
      </c>
      <c r="L43" s="11"/>
      <c r="M43" s="15"/>
      <c r="N43" s="15"/>
      <c r="O43" s="15"/>
      <c r="P43" s="15"/>
      <c r="Q43" s="15"/>
      <c r="R43" s="15"/>
      <c r="S43" s="15"/>
      <c r="T43" s="15"/>
      <c r="U43" s="15"/>
      <c r="V43" s="15"/>
      <c r="W43" s="15"/>
      <c r="X43" s="15"/>
      <c r="Y43" s="15"/>
      <c r="Z43" s="15"/>
      <c r="AA43" s="15"/>
      <c r="AB43" s="15"/>
      <c r="AC43" s="15"/>
      <c r="AD43" s="15"/>
      <c r="AE43" s="15"/>
      <c r="AF43" s="15"/>
    </row>
    <row r="44" ht="15.75" customHeight="1">
      <c r="A44" s="32" t="s">
        <v>5</v>
      </c>
      <c r="E44" s="234" t="s">
        <v>43</v>
      </c>
      <c r="F44" s="8" t="s">
        <v>53</v>
      </c>
      <c r="G44" s="34" t="s">
        <v>2521</v>
      </c>
      <c r="H44" s="35" t="s">
        <v>53</v>
      </c>
      <c r="L44" s="11"/>
      <c r="M44" s="15"/>
      <c r="N44" s="15"/>
      <c r="O44" s="15"/>
      <c r="P44" s="15"/>
      <c r="Q44" s="15"/>
      <c r="R44" s="15"/>
      <c r="S44" s="15"/>
      <c r="T44" s="15"/>
      <c r="U44" s="15"/>
      <c r="V44" s="15"/>
      <c r="W44" s="15"/>
      <c r="X44" s="15"/>
      <c r="Y44" s="15"/>
      <c r="Z44" s="15"/>
      <c r="AA44" s="15"/>
      <c r="AB44" s="15"/>
      <c r="AC44" s="15"/>
      <c r="AD44" s="15"/>
      <c r="AE44" s="15"/>
      <c r="AF44" s="15"/>
    </row>
    <row r="45" ht="15.75" customHeight="1">
      <c r="A45" s="32" t="s">
        <v>5</v>
      </c>
      <c r="E45" s="234" t="s">
        <v>43</v>
      </c>
      <c r="F45" s="8" t="s">
        <v>79</v>
      </c>
      <c r="G45" s="34" t="s">
        <v>2522</v>
      </c>
      <c r="H45" s="8" t="s">
        <v>79</v>
      </c>
      <c r="I45" s="9"/>
      <c r="J45" s="9"/>
      <c r="K45" s="11"/>
      <c r="L45" s="11"/>
      <c r="M45" s="15"/>
      <c r="N45" s="15"/>
      <c r="O45" s="15"/>
      <c r="P45" s="15"/>
      <c r="Q45" s="15"/>
      <c r="R45" s="15"/>
      <c r="S45" s="15"/>
      <c r="T45" s="15"/>
      <c r="U45" s="15"/>
      <c r="V45" s="15"/>
      <c r="W45" s="15"/>
      <c r="X45" s="15"/>
      <c r="Y45" s="15"/>
      <c r="Z45" s="15"/>
      <c r="AA45" s="15"/>
      <c r="AB45" s="15"/>
      <c r="AC45" s="15"/>
      <c r="AD45" s="15"/>
      <c r="AE45" s="15"/>
      <c r="AF45" s="15"/>
    </row>
    <row r="46" ht="15.75" customHeight="1">
      <c r="A46" s="32" t="s">
        <v>5</v>
      </c>
      <c r="E46" s="195" t="s">
        <v>88</v>
      </c>
      <c r="F46" s="8" t="s">
        <v>95</v>
      </c>
      <c r="G46" s="34" t="s">
        <v>2523</v>
      </c>
      <c r="H46" s="8" t="s">
        <v>95</v>
      </c>
      <c r="I46" s="9"/>
      <c r="J46" s="9"/>
      <c r="K46" s="11"/>
      <c r="L46" s="11"/>
      <c r="M46" s="15"/>
      <c r="N46" s="15"/>
      <c r="O46" s="15"/>
      <c r="P46" s="15"/>
      <c r="Q46" s="15"/>
      <c r="R46" s="15"/>
      <c r="S46" s="15"/>
      <c r="T46" s="15"/>
      <c r="U46" s="15"/>
      <c r="V46" s="15"/>
      <c r="W46" s="15"/>
      <c r="X46" s="15"/>
      <c r="Y46" s="15"/>
      <c r="Z46" s="15"/>
      <c r="AA46" s="15"/>
      <c r="AB46" s="15"/>
      <c r="AC46" s="15"/>
      <c r="AD46" s="15"/>
      <c r="AE46" s="15"/>
      <c r="AF46" s="15"/>
    </row>
    <row r="47" ht="15.75" customHeight="1">
      <c r="A47" s="32" t="s">
        <v>5</v>
      </c>
      <c r="E47" s="195" t="s">
        <v>88</v>
      </c>
      <c r="F47" s="8" t="s">
        <v>122</v>
      </c>
      <c r="G47" s="34" t="s">
        <v>2524</v>
      </c>
      <c r="H47" s="35" t="s">
        <v>122</v>
      </c>
      <c r="L47" s="11"/>
      <c r="M47" s="15"/>
      <c r="N47" s="15"/>
      <c r="O47" s="15"/>
      <c r="P47" s="15"/>
      <c r="Q47" s="15"/>
      <c r="R47" s="15"/>
      <c r="S47" s="15"/>
      <c r="T47" s="15"/>
      <c r="U47" s="15"/>
      <c r="V47" s="15"/>
      <c r="W47" s="15"/>
      <c r="X47" s="15"/>
      <c r="Y47" s="15"/>
      <c r="Z47" s="15"/>
      <c r="AA47" s="15"/>
      <c r="AB47" s="15"/>
      <c r="AC47" s="15"/>
      <c r="AD47" s="15"/>
      <c r="AE47" s="15"/>
      <c r="AF47" s="15"/>
    </row>
    <row r="48" ht="15.75" customHeight="1">
      <c r="A48" s="32" t="s">
        <v>5</v>
      </c>
      <c r="E48" s="234" t="s">
        <v>104</v>
      </c>
      <c r="F48" s="38" t="s">
        <v>250</v>
      </c>
      <c r="G48" s="34" t="s">
        <v>2525</v>
      </c>
      <c r="H48" s="35" t="s">
        <v>250</v>
      </c>
      <c r="I48" s="36"/>
      <c r="L48" s="11"/>
      <c r="M48" s="15"/>
      <c r="N48" s="15"/>
      <c r="O48" s="15"/>
      <c r="P48" s="15"/>
      <c r="Q48" s="15"/>
      <c r="R48" s="15"/>
      <c r="S48" s="15"/>
      <c r="T48" s="15"/>
      <c r="U48" s="15"/>
      <c r="V48" s="15"/>
      <c r="W48" s="15"/>
      <c r="X48" s="15"/>
      <c r="Y48" s="15"/>
      <c r="Z48" s="15"/>
      <c r="AA48" s="15"/>
      <c r="AB48" s="15"/>
      <c r="AC48" s="15"/>
      <c r="AD48" s="15"/>
      <c r="AE48" s="15"/>
      <c r="AF48" s="15"/>
    </row>
    <row r="49" ht="15.75" customHeight="1">
      <c r="A49" s="32" t="s">
        <v>5</v>
      </c>
      <c r="B49" s="233" t="s">
        <v>2526</v>
      </c>
      <c r="C49" s="33" t="s">
        <v>2527</v>
      </c>
      <c r="D49" s="8" t="s">
        <v>20</v>
      </c>
      <c r="E49" s="234" t="s">
        <v>21</v>
      </c>
      <c r="F49" s="28" t="s">
        <v>808</v>
      </c>
      <c r="G49" s="34" t="s">
        <v>2528</v>
      </c>
      <c r="H49" s="35" t="s">
        <v>808</v>
      </c>
      <c r="I49" s="36"/>
      <c r="L49" s="11"/>
      <c r="M49" s="15"/>
      <c r="N49" s="15"/>
      <c r="O49" s="15"/>
      <c r="P49" s="15"/>
      <c r="Q49" s="15"/>
      <c r="R49" s="15"/>
      <c r="S49" s="15"/>
      <c r="T49" s="15"/>
      <c r="U49" s="15"/>
      <c r="V49" s="15"/>
      <c r="W49" s="15"/>
      <c r="X49" s="15"/>
      <c r="Y49" s="15"/>
      <c r="Z49" s="15"/>
      <c r="AA49" s="15"/>
      <c r="AB49" s="15"/>
      <c r="AC49" s="15"/>
      <c r="AD49" s="15"/>
      <c r="AE49" s="15"/>
      <c r="AF49" s="15"/>
    </row>
    <row r="50" ht="15.75" customHeight="1">
      <c r="A50" s="32" t="s">
        <v>5</v>
      </c>
      <c r="E50" s="195" t="s">
        <v>43</v>
      </c>
      <c r="F50" s="8" t="s">
        <v>53</v>
      </c>
      <c r="G50" s="34" t="s">
        <v>2529</v>
      </c>
      <c r="H50" s="35" t="s">
        <v>53</v>
      </c>
      <c r="L50" s="11"/>
      <c r="M50" s="15"/>
      <c r="N50" s="15"/>
      <c r="O50" s="15"/>
      <c r="P50" s="15"/>
      <c r="Q50" s="15"/>
      <c r="R50" s="15"/>
      <c r="S50" s="15"/>
      <c r="T50" s="15"/>
      <c r="U50" s="15"/>
      <c r="V50" s="15"/>
      <c r="W50" s="15"/>
      <c r="X50" s="15"/>
      <c r="Y50" s="15"/>
      <c r="Z50" s="15"/>
      <c r="AA50" s="15"/>
      <c r="AB50" s="15"/>
      <c r="AC50" s="15"/>
      <c r="AD50" s="15"/>
      <c r="AE50" s="15"/>
      <c r="AF50" s="15"/>
    </row>
    <row r="51" ht="15.75" customHeight="1">
      <c r="A51" s="32" t="s">
        <v>5</v>
      </c>
      <c r="E51" s="195" t="s">
        <v>43</v>
      </c>
      <c r="F51" s="8" t="s">
        <v>79</v>
      </c>
      <c r="G51" s="34" t="s">
        <v>2530</v>
      </c>
      <c r="H51" s="8" t="s">
        <v>79</v>
      </c>
      <c r="I51" s="9"/>
      <c r="J51" s="9"/>
      <c r="K51" s="11"/>
      <c r="L51" s="11"/>
      <c r="M51" s="15"/>
      <c r="N51" s="15"/>
      <c r="O51" s="15"/>
      <c r="P51" s="15"/>
      <c r="Q51" s="15"/>
      <c r="R51" s="15"/>
      <c r="S51" s="15"/>
      <c r="T51" s="15"/>
      <c r="U51" s="15"/>
      <c r="V51" s="15"/>
      <c r="W51" s="15"/>
      <c r="X51" s="15"/>
      <c r="Y51" s="15"/>
      <c r="Z51" s="15"/>
      <c r="AA51" s="15"/>
      <c r="AB51" s="15"/>
      <c r="AC51" s="15"/>
      <c r="AD51" s="15"/>
      <c r="AE51" s="15"/>
      <c r="AF51" s="15"/>
    </row>
    <row r="52" ht="15.75" customHeight="1">
      <c r="A52" s="32" t="s">
        <v>5</v>
      </c>
      <c r="E52" s="234" t="s">
        <v>88</v>
      </c>
      <c r="F52" s="8" t="s">
        <v>95</v>
      </c>
      <c r="G52" s="34" t="s">
        <v>2531</v>
      </c>
      <c r="H52" s="8" t="s">
        <v>95</v>
      </c>
      <c r="I52" s="9"/>
      <c r="J52" s="9"/>
      <c r="K52" s="11"/>
      <c r="L52" s="11"/>
      <c r="M52" s="15"/>
      <c r="N52" s="15"/>
      <c r="O52" s="15"/>
      <c r="P52" s="15"/>
      <c r="Q52" s="15"/>
      <c r="R52" s="15"/>
      <c r="S52" s="15"/>
      <c r="T52" s="15"/>
      <c r="U52" s="15"/>
      <c r="V52" s="15"/>
      <c r="W52" s="15"/>
      <c r="X52" s="15"/>
      <c r="Y52" s="15"/>
      <c r="Z52" s="15"/>
      <c r="AA52" s="15"/>
      <c r="AB52" s="15"/>
      <c r="AC52" s="15"/>
      <c r="AD52" s="15"/>
      <c r="AE52" s="15"/>
      <c r="AF52" s="15"/>
    </row>
    <row r="53" ht="15.75" customHeight="1">
      <c r="A53" s="32" t="s">
        <v>5</v>
      </c>
      <c r="E53" s="234" t="s">
        <v>88</v>
      </c>
      <c r="F53" s="8" t="s">
        <v>122</v>
      </c>
      <c r="G53" s="34" t="s">
        <v>2532</v>
      </c>
      <c r="H53" s="35" t="s">
        <v>122</v>
      </c>
      <c r="L53" s="11"/>
      <c r="M53" s="15"/>
      <c r="N53" s="15"/>
      <c r="O53" s="15"/>
      <c r="P53" s="15"/>
      <c r="Q53" s="15"/>
      <c r="R53" s="15"/>
      <c r="S53" s="15"/>
      <c r="T53" s="15"/>
      <c r="U53" s="15"/>
      <c r="V53" s="15"/>
      <c r="W53" s="15"/>
      <c r="X53" s="15"/>
      <c r="Y53" s="15"/>
      <c r="Z53" s="15"/>
      <c r="AA53" s="15"/>
      <c r="AB53" s="15"/>
      <c r="AC53" s="15"/>
      <c r="AD53" s="15"/>
      <c r="AE53" s="15"/>
      <c r="AF53" s="15"/>
    </row>
    <row r="54" ht="15.75" customHeight="1">
      <c r="A54" s="32" t="s">
        <v>5</v>
      </c>
      <c r="E54" s="195" t="s">
        <v>104</v>
      </c>
      <c r="F54" s="8" t="s">
        <v>250</v>
      </c>
      <c r="G54" s="34" t="s">
        <v>2533</v>
      </c>
      <c r="H54" s="35" t="s">
        <v>250</v>
      </c>
      <c r="L54" s="11"/>
      <c r="M54" s="15"/>
      <c r="N54" s="15"/>
      <c r="O54" s="15"/>
      <c r="P54" s="15"/>
      <c r="Q54" s="15"/>
      <c r="R54" s="15"/>
      <c r="S54" s="15"/>
      <c r="T54" s="15"/>
      <c r="U54" s="15"/>
      <c r="V54" s="15"/>
      <c r="W54" s="15"/>
      <c r="X54" s="15"/>
      <c r="Y54" s="15"/>
      <c r="Z54" s="15"/>
      <c r="AA54" s="15"/>
      <c r="AB54" s="15"/>
      <c r="AC54" s="15"/>
      <c r="AD54" s="15"/>
      <c r="AE54" s="15"/>
      <c r="AF54" s="15"/>
    </row>
    <row r="55" ht="15.75" customHeight="1">
      <c r="A55" s="32" t="s">
        <v>5</v>
      </c>
      <c r="B55" s="233" t="s">
        <v>2534</v>
      </c>
      <c r="C55" s="33" t="s">
        <v>2535</v>
      </c>
      <c r="D55" s="8" t="s">
        <v>20</v>
      </c>
      <c r="E55" s="195" t="s">
        <v>21</v>
      </c>
      <c r="F55" s="8" t="s">
        <v>808</v>
      </c>
      <c r="G55" s="34" t="s">
        <v>2536</v>
      </c>
      <c r="H55" s="35" t="s">
        <v>808</v>
      </c>
      <c r="L55" s="11"/>
      <c r="M55" s="15"/>
      <c r="N55" s="15"/>
      <c r="O55" s="15"/>
      <c r="P55" s="15"/>
      <c r="Q55" s="15"/>
      <c r="R55" s="15"/>
      <c r="S55" s="15"/>
      <c r="T55" s="15"/>
      <c r="U55" s="15"/>
      <c r="V55" s="15"/>
      <c r="W55" s="15"/>
      <c r="X55" s="15"/>
      <c r="Y55" s="15"/>
      <c r="Z55" s="15"/>
      <c r="AA55" s="15"/>
      <c r="AB55" s="15"/>
      <c r="AC55" s="15"/>
      <c r="AD55" s="15"/>
      <c r="AE55" s="15"/>
      <c r="AF55" s="15"/>
    </row>
    <row r="56" ht="15.75" customHeight="1">
      <c r="A56" s="32" t="s">
        <v>5</v>
      </c>
      <c r="E56" s="234" t="s">
        <v>43</v>
      </c>
      <c r="F56" s="8" t="s">
        <v>53</v>
      </c>
      <c r="G56" s="34" t="s">
        <v>2537</v>
      </c>
      <c r="H56" s="35" t="s">
        <v>53</v>
      </c>
      <c r="I56" s="36"/>
      <c r="L56" s="11"/>
      <c r="M56" s="15"/>
      <c r="N56" s="15"/>
      <c r="O56" s="15"/>
      <c r="P56" s="15"/>
      <c r="Q56" s="15"/>
      <c r="R56" s="15"/>
      <c r="S56" s="15"/>
      <c r="T56" s="15"/>
      <c r="U56" s="15"/>
      <c r="V56" s="15"/>
      <c r="W56" s="15"/>
      <c r="X56" s="15"/>
      <c r="Y56" s="15"/>
      <c r="Z56" s="15"/>
      <c r="AA56" s="15"/>
      <c r="AB56" s="15"/>
      <c r="AC56" s="15"/>
      <c r="AD56" s="15"/>
      <c r="AE56" s="15"/>
      <c r="AF56" s="15"/>
    </row>
    <row r="57" ht="15.75" customHeight="1">
      <c r="A57" s="32" t="s">
        <v>5</v>
      </c>
      <c r="E57" s="234" t="s">
        <v>43</v>
      </c>
      <c r="F57" s="8" t="s">
        <v>79</v>
      </c>
      <c r="G57" s="34" t="s">
        <v>2538</v>
      </c>
      <c r="H57" s="8" t="s">
        <v>79</v>
      </c>
      <c r="I57" s="31"/>
      <c r="J57" s="9"/>
      <c r="K57" s="11"/>
      <c r="L57" s="11"/>
      <c r="M57" s="15"/>
      <c r="N57" s="15"/>
      <c r="O57" s="15"/>
      <c r="P57" s="15"/>
      <c r="Q57" s="15"/>
      <c r="R57" s="15"/>
      <c r="S57" s="15"/>
      <c r="T57" s="15"/>
      <c r="U57" s="15"/>
      <c r="V57" s="15"/>
      <c r="W57" s="15"/>
      <c r="X57" s="15"/>
      <c r="Y57" s="15"/>
      <c r="Z57" s="15"/>
      <c r="AA57" s="15"/>
      <c r="AB57" s="15"/>
      <c r="AC57" s="15"/>
      <c r="AD57" s="15"/>
      <c r="AE57" s="15"/>
      <c r="AF57" s="15"/>
    </row>
    <row r="58" ht="15.75" customHeight="1">
      <c r="A58" s="32" t="s">
        <v>5</v>
      </c>
      <c r="E58" s="234" t="s">
        <v>88</v>
      </c>
      <c r="F58" s="38" t="s">
        <v>95</v>
      </c>
      <c r="G58" s="34" t="s">
        <v>2539</v>
      </c>
      <c r="H58" s="38" t="s">
        <v>95</v>
      </c>
      <c r="I58" s="31"/>
      <c r="J58" s="9"/>
      <c r="K58" s="11"/>
      <c r="L58" s="11"/>
      <c r="M58" s="15"/>
      <c r="N58" s="15"/>
      <c r="O58" s="15"/>
      <c r="P58" s="15"/>
      <c r="Q58" s="15"/>
      <c r="R58" s="15"/>
      <c r="S58" s="15"/>
      <c r="T58" s="15"/>
      <c r="U58" s="15"/>
      <c r="V58" s="15"/>
      <c r="W58" s="15"/>
      <c r="X58" s="15"/>
      <c r="Y58" s="15"/>
      <c r="Z58" s="15"/>
      <c r="AA58" s="15"/>
      <c r="AB58" s="15"/>
      <c r="AC58" s="15"/>
      <c r="AD58" s="15"/>
      <c r="AE58" s="15"/>
      <c r="AF58" s="15"/>
    </row>
    <row r="59" ht="15.75" customHeight="1">
      <c r="A59" s="32" t="s">
        <v>5</v>
      </c>
      <c r="E59" s="234" t="s">
        <v>88</v>
      </c>
      <c r="F59" s="38" t="s">
        <v>122</v>
      </c>
      <c r="G59" s="34" t="s">
        <v>2540</v>
      </c>
      <c r="H59" s="35" t="s">
        <v>122</v>
      </c>
      <c r="I59" s="36"/>
      <c r="L59" s="11"/>
      <c r="M59" s="15"/>
      <c r="N59" s="15"/>
      <c r="O59" s="15"/>
      <c r="P59" s="15"/>
      <c r="Q59" s="15"/>
      <c r="R59" s="15"/>
      <c r="S59" s="15"/>
      <c r="T59" s="15"/>
      <c r="U59" s="15"/>
      <c r="V59" s="15"/>
      <c r="W59" s="15"/>
      <c r="X59" s="15"/>
      <c r="Y59" s="15"/>
      <c r="Z59" s="15"/>
      <c r="AA59" s="15"/>
      <c r="AB59" s="15"/>
      <c r="AC59" s="15"/>
      <c r="AD59" s="15"/>
      <c r="AE59" s="15"/>
      <c r="AF59" s="15"/>
    </row>
    <row r="60" ht="15.75" customHeight="1">
      <c r="A60" s="32" t="s">
        <v>5</v>
      </c>
      <c r="E60" s="234" t="s">
        <v>104</v>
      </c>
      <c r="F60" s="28" t="s">
        <v>250</v>
      </c>
      <c r="G60" s="34" t="s">
        <v>2541</v>
      </c>
      <c r="H60" s="35" t="s">
        <v>250</v>
      </c>
      <c r="L60" s="11"/>
      <c r="M60" s="15"/>
      <c r="N60" s="15"/>
      <c r="O60" s="15"/>
      <c r="P60" s="15"/>
      <c r="Q60" s="15"/>
      <c r="R60" s="15"/>
      <c r="S60" s="15"/>
      <c r="T60" s="15"/>
      <c r="U60" s="15"/>
      <c r="V60" s="15"/>
      <c r="W60" s="15"/>
      <c r="X60" s="15"/>
      <c r="Y60" s="15"/>
      <c r="Z60" s="15"/>
      <c r="AA60" s="15"/>
      <c r="AB60" s="15"/>
      <c r="AC60" s="15"/>
      <c r="AD60" s="15"/>
      <c r="AE60" s="15"/>
      <c r="AF60" s="15"/>
    </row>
    <row r="61" ht="15.75" customHeight="1">
      <c r="A61" s="32" t="s">
        <v>5</v>
      </c>
      <c r="B61" s="233" t="s">
        <v>2542</v>
      </c>
      <c r="C61" s="39" t="s">
        <v>2543</v>
      </c>
      <c r="D61" s="8" t="s">
        <v>20</v>
      </c>
      <c r="E61" s="195" t="s">
        <v>21</v>
      </c>
      <c r="F61" s="8" t="s">
        <v>810</v>
      </c>
      <c r="G61" s="34" t="s">
        <v>2544</v>
      </c>
      <c r="H61" s="35" t="s">
        <v>810</v>
      </c>
      <c r="L61" s="11"/>
      <c r="M61" s="15"/>
      <c r="N61" s="15"/>
      <c r="O61" s="15"/>
      <c r="P61" s="15"/>
      <c r="Q61" s="15"/>
      <c r="R61" s="15"/>
      <c r="S61" s="15"/>
      <c r="T61" s="15"/>
      <c r="U61" s="15"/>
      <c r="V61" s="15"/>
      <c r="W61" s="15"/>
      <c r="X61" s="15"/>
      <c r="Y61" s="15"/>
      <c r="Z61" s="15"/>
      <c r="AA61" s="15"/>
      <c r="AB61" s="15"/>
      <c r="AC61" s="15"/>
      <c r="AD61" s="15"/>
      <c r="AE61" s="15"/>
      <c r="AF61" s="15"/>
    </row>
    <row r="62" ht="15.75" customHeight="1">
      <c r="A62" s="32" t="s">
        <v>5</v>
      </c>
      <c r="B62" s="233" t="s">
        <v>2545</v>
      </c>
      <c r="C62" s="39" t="s">
        <v>2546</v>
      </c>
      <c r="D62" s="8" t="s">
        <v>20</v>
      </c>
      <c r="E62" s="195" t="s">
        <v>21</v>
      </c>
      <c r="F62" s="8" t="s">
        <v>51</v>
      </c>
      <c r="G62" s="34" t="s">
        <v>2547</v>
      </c>
      <c r="H62" s="35" t="s">
        <v>51</v>
      </c>
      <c r="L62" s="11"/>
      <c r="M62" s="15"/>
      <c r="N62" s="15"/>
      <c r="O62" s="15"/>
      <c r="P62" s="15"/>
      <c r="Q62" s="15"/>
      <c r="R62" s="15"/>
      <c r="S62" s="15"/>
      <c r="T62" s="15"/>
      <c r="U62" s="15"/>
      <c r="V62" s="15"/>
      <c r="W62" s="15"/>
      <c r="X62" s="15"/>
      <c r="Y62" s="15"/>
      <c r="Z62" s="15"/>
      <c r="AA62" s="15"/>
      <c r="AB62" s="15"/>
      <c r="AC62" s="15"/>
      <c r="AD62" s="15"/>
      <c r="AE62" s="15"/>
      <c r="AF62" s="15"/>
    </row>
    <row r="63" ht="15.75" customHeight="1">
      <c r="A63" s="32" t="s">
        <v>5</v>
      </c>
      <c r="E63" s="234" t="s">
        <v>43</v>
      </c>
      <c r="F63" s="8" t="s">
        <v>53</v>
      </c>
      <c r="G63" s="34" t="s">
        <v>2548</v>
      </c>
      <c r="H63" s="35" t="s">
        <v>53</v>
      </c>
      <c r="I63" s="36"/>
      <c r="L63" s="11"/>
      <c r="M63" s="15"/>
      <c r="N63" s="15"/>
      <c r="O63" s="15"/>
      <c r="P63" s="15"/>
      <c r="Q63" s="15"/>
      <c r="R63" s="15"/>
      <c r="S63" s="15"/>
      <c r="T63" s="15"/>
      <c r="U63" s="15"/>
      <c r="V63" s="15"/>
      <c r="W63" s="15"/>
      <c r="X63" s="15"/>
      <c r="Y63" s="15"/>
      <c r="Z63" s="15"/>
      <c r="AA63" s="15"/>
      <c r="AB63" s="15"/>
      <c r="AC63" s="15"/>
      <c r="AD63" s="15"/>
      <c r="AE63" s="15"/>
      <c r="AF63" s="15"/>
    </row>
    <row r="64" ht="15.75" customHeight="1">
      <c r="A64" s="32" t="s">
        <v>5</v>
      </c>
      <c r="E64" s="234" t="s">
        <v>43</v>
      </c>
      <c r="F64" s="8" t="s">
        <v>79</v>
      </c>
      <c r="G64" s="34" t="s">
        <v>2549</v>
      </c>
      <c r="H64" s="35" t="s">
        <v>79</v>
      </c>
      <c r="I64" s="36"/>
      <c r="L64" s="11"/>
      <c r="M64" s="15"/>
      <c r="N64" s="15"/>
      <c r="O64" s="15"/>
      <c r="P64" s="15"/>
      <c r="Q64" s="15"/>
      <c r="R64" s="15"/>
      <c r="S64" s="15"/>
      <c r="T64" s="15"/>
      <c r="U64" s="15"/>
      <c r="V64" s="15"/>
      <c r="W64" s="15"/>
      <c r="X64" s="15"/>
      <c r="Y64" s="15"/>
      <c r="Z64" s="15"/>
      <c r="AA64" s="15"/>
      <c r="AB64" s="15"/>
      <c r="AC64" s="15"/>
      <c r="AD64" s="15"/>
      <c r="AE64" s="15"/>
      <c r="AF64" s="15"/>
    </row>
    <row r="65" ht="15.75" customHeight="1">
      <c r="A65" s="32" t="s">
        <v>5</v>
      </c>
      <c r="E65" s="234" t="s">
        <v>88</v>
      </c>
      <c r="F65" s="38" t="s">
        <v>95</v>
      </c>
      <c r="G65" s="34" t="s">
        <v>2550</v>
      </c>
      <c r="H65" s="38" t="s">
        <v>95</v>
      </c>
      <c r="I65" s="31"/>
      <c r="J65" s="9"/>
      <c r="K65" s="11"/>
      <c r="L65" s="11"/>
      <c r="M65" s="15"/>
      <c r="N65" s="15"/>
      <c r="O65" s="15"/>
      <c r="P65" s="15"/>
      <c r="Q65" s="15"/>
      <c r="R65" s="15"/>
      <c r="S65" s="15"/>
      <c r="T65" s="15"/>
      <c r="U65" s="15"/>
      <c r="V65" s="15"/>
      <c r="W65" s="15"/>
      <c r="X65" s="15"/>
      <c r="Y65" s="15"/>
      <c r="Z65" s="15"/>
      <c r="AA65" s="15"/>
      <c r="AB65" s="15"/>
      <c r="AC65" s="15"/>
      <c r="AD65" s="15"/>
      <c r="AE65" s="15"/>
      <c r="AF65" s="15"/>
    </row>
    <row r="66" ht="15.75" customHeight="1">
      <c r="A66" s="32" t="s">
        <v>5</v>
      </c>
      <c r="E66" s="234" t="s">
        <v>88</v>
      </c>
      <c r="F66" s="38" t="s">
        <v>122</v>
      </c>
      <c r="G66" s="34" t="s">
        <v>2551</v>
      </c>
      <c r="H66" s="38" t="s">
        <v>122</v>
      </c>
      <c r="I66" s="31"/>
      <c r="J66" s="9"/>
      <c r="K66" s="11"/>
      <c r="L66" s="11"/>
      <c r="M66" s="15"/>
      <c r="N66" s="15"/>
      <c r="O66" s="15"/>
      <c r="P66" s="15"/>
      <c r="Q66" s="15"/>
      <c r="R66" s="15"/>
      <c r="S66" s="15"/>
      <c r="T66" s="15"/>
      <c r="U66" s="15"/>
      <c r="V66" s="15"/>
      <c r="W66" s="15"/>
      <c r="X66" s="15"/>
      <c r="Y66" s="15"/>
      <c r="Z66" s="15"/>
      <c r="AA66" s="15"/>
      <c r="AB66" s="15"/>
      <c r="AC66" s="15"/>
      <c r="AD66" s="15"/>
      <c r="AE66" s="15"/>
      <c r="AF66" s="15"/>
    </row>
    <row r="67" ht="15.75" customHeight="1">
      <c r="A67" s="32" t="s">
        <v>5</v>
      </c>
      <c r="E67" s="234" t="s">
        <v>104</v>
      </c>
      <c r="F67" s="28" t="s">
        <v>250</v>
      </c>
      <c r="G67" s="34" t="s">
        <v>2552</v>
      </c>
      <c r="H67" s="35" t="s">
        <v>250</v>
      </c>
      <c r="L67" s="11"/>
      <c r="M67" s="15"/>
      <c r="N67" s="15"/>
      <c r="O67" s="15"/>
      <c r="P67" s="15"/>
      <c r="Q67" s="15"/>
      <c r="R67" s="15"/>
      <c r="S67" s="15"/>
      <c r="T67" s="15"/>
      <c r="U67" s="15"/>
      <c r="V67" s="15"/>
      <c r="W67" s="15"/>
      <c r="X67" s="15"/>
      <c r="Y67" s="15"/>
      <c r="Z67" s="15"/>
      <c r="AA67" s="15"/>
      <c r="AB67" s="15"/>
      <c r="AC67" s="15"/>
      <c r="AD67" s="15"/>
      <c r="AE67" s="15"/>
      <c r="AF67" s="15"/>
    </row>
    <row r="68" ht="15.75" customHeight="1">
      <c r="A68" s="32" t="s">
        <v>5</v>
      </c>
      <c r="B68" s="233" t="s">
        <v>2553</v>
      </c>
      <c r="C68" s="39" t="s">
        <v>2554</v>
      </c>
      <c r="D68" s="8" t="s">
        <v>20</v>
      </c>
      <c r="E68" s="195" t="s">
        <v>21</v>
      </c>
      <c r="F68" s="8" t="s">
        <v>51</v>
      </c>
      <c r="G68" s="34" t="s">
        <v>2555</v>
      </c>
      <c r="H68" s="35" t="s">
        <v>51</v>
      </c>
      <c r="L68" s="11"/>
      <c r="M68" s="15"/>
      <c r="N68" s="15"/>
      <c r="O68" s="15"/>
      <c r="P68" s="15"/>
      <c r="Q68" s="15"/>
      <c r="R68" s="15"/>
      <c r="S68" s="15"/>
      <c r="T68" s="15"/>
      <c r="U68" s="15"/>
      <c r="V68" s="15"/>
      <c r="W68" s="15"/>
      <c r="X68" s="15"/>
      <c r="Y68" s="15"/>
      <c r="Z68" s="15"/>
      <c r="AA68" s="15"/>
      <c r="AB68" s="15"/>
      <c r="AC68" s="15"/>
      <c r="AD68" s="15"/>
      <c r="AE68" s="15"/>
      <c r="AF68" s="15"/>
    </row>
    <row r="69" ht="15.75" customHeight="1">
      <c r="A69" s="32" t="s">
        <v>5</v>
      </c>
      <c r="E69" s="195" t="s">
        <v>43</v>
      </c>
      <c r="F69" s="8" t="s">
        <v>53</v>
      </c>
      <c r="G69" s="34" t="s">
        <v>2556</v>
      </c>
      <c r="H69" s="35" t="s">
        <v>53</v>
      </c>
      <c r="L69" s="11"/>
      <c r="M69" s="15"/>
      <c r="N69" s="15"/>
      <c r="O69" s="15"/>
      <c r="P69" s="15"/>
      <c r="Q69" s="15"/>
      <c r="R69" s="15"/>
      <c r="S69" s="15"/>
      <c r="T69" s="15"/>
      <c r="U69" s="15"/>
      <c r="V69" s="15"/>
      <c r="W69" s="15"/>
      <c r="X69" s="15"/>
      <c r="Y69" s="15"/>
      <c r="Z69" s="15"/>
      <c r="AA69" s="15"/>
      <c r="AB69" s="15"/>
      <c r="AC69" s="15"/>
      <c r="AD69" s="15"/>
      <c r="AE69" s="15"/>
      <c r="AF69" s="15"/>
    </row>
    <row r="70" ht="15.75" customHeight="1">
      <c r="A70" s="32" t="s">
        <v>5</v>
      </c>
      <c r="E70" s="195" t="s">
        <v>43</v>
      </c>
      <c r="F70" s="8" t="s">
        <v>79</v>
      </c>
      <c r="G70" s="34" t="s">
        <v>2557</v>
      </c>
      <c r="H70" s="8" t="s">
        <v>79</v>
      </c>
      <c r="I70" s="9"/>
      <c r="J70" s="9"/>
      <c r="K70" s="11"/>
      <c r="L70" s="11"/>
      <c r="M70" s="15"/>
      <c r="N70" s="15"/>
      <c r="O70" s="15"/>
      <c r="P70" s="15"/>
      <c r="Q70" s="15"/>
      <c r="R70" s="15"/>
      <c r="S70" s="15"/>
      <c r="T70" s="15"/>
      <c r="U70" s="15"/>
      <c r="V70" s="15"/>
      <c r="W70" s="15"/>
      <c r="X70" s="15"/>
      <c r="Y70" s="15"/>
      <c r="Z70" s="15"/>
      <c r="AA70" s="15"/>
      <c r="AB70" s="15"/>
      <c r="AC70" s="15"/>
      <c r="AD70" s="15"/>
      <c r="AE70" s="15"/>
      <c r="AF70" s="15"/>
    </row>
    <row r="71" ht="15.75" customHeight="1">
      <c r="A71" s="32" t="s">
        <v>5</v>
      </c>
      <c r="E71" s="195" t="s">
        <v>88</v>
      </c>
      <c r="F71" s="8" t="s">
        <v>95</v>
      </c>
      <c r="G71" s="34" t="s">
        <v>2558</v>
      </c>
      <c r="H71" s="35" t="s">
        <v>95</v>
      </c>
      <c r="L71" s="11"/>
      <c r="M71" s="15"/>
      <c r="N71" s="15"/>
      <c r="O71" s="15"/>
      <c r="P71" s="15"/>
      <c r="Q71" s="15"/>
      <c r="R71" s="15"/>
      <c r="S71" s="15"/>
      <c r="T71" s="15"/>
      <c r="U71" s="15"/>
      <c r="V71" s="15"/>
      <c r="W71" s="15"/>
      <c r="X71" s="15"/>
      <c r="Y71" s="15"/>
      <c r="Z71" s="15"/>
      <c r="AA71" s="15"/>
      <c r="AB71" s="15"/>
      <c r="AC71" s="15"/>
      <c r="AD71" s="15"/>
      <c r="AE71" s="15"/>
      <c r="AF71" s="15"/>
    </row>
    <row r="72" ht="15.75" customHeight="1">
      <c r="A72" s="32" t="s">
        <v>5</v>
      </c>
      <c r="E72" s="195" t="s">
        <v>88</v>
      </c>
      <c r="F72" s="8" t="s">
        <v>122</v>
      </c>
      <c r="G72" s="34" t="s">
        <v>2559</v>
      </c>
      <c r="H72" s="35" t="s">
        <v>122</v>
      </c>
      <c r="L72" s="11"/>
      <c r="M72" s="15"/>
      <c r="N72" s="15"/>
      <c r="O72" s="15"/>
      <c r="P72" s="15"/>
      <c r="Q72" s="15"/>
      <c r="R72" s="15"/>
      <c r="S72" s="15"/>
      <c r="T72" s="15"/>
      <c r="U72" s="15"/>
      <c r="V72" s="15"/>
      <c r="W72" s="15"/>
      <c r="X72" s="15"/>
      <c r="Y72" s="15"/>
      <c r="Z72" s="15"/>
      <c r="AA72" s="15"/>
      <c r="AB72" s="15"/>
      <c r="AC72" s="15"/>
      <c r="AD72" s="15"/>
      <c r="AE72" s="15"/>
      <c r="AF72" s="15"/>
    </row>
    <row r="73" ht="15.75" customHeight="1">
      <c r="A73" s="32" t="s">
        <v>5</v>
      </c>
      <c r="E73" s="195" t="s">
        <v>104</v>
      </c>
      <c r="F73" s="8" t="s">
        <v>250</v>
      </c>
      <c r="G73" s="34" t="s">
        <v>2560</v>
      </c>
      <c r="H73" s="35" t="s">
        <v>250</v>
      </c>
      <c r="L73" s="11"/>
      <c r="M73" s="15"/>
      <c r="N73" s="15"/>
      <c r="O73" s="15"/>
      <c r="P73" s="15"/>
      <c r="Q73" s="15"/>
      <c r="R73" s="15"/>
      <c r="S73" s="15"/>
      <c r="T73" s="15"/>
      <c r="U73" s="15"/>
      <c r="V73" s="15"/>
      <c r="W73" s="15"/>
      <c r="X73" s="15"/>
      <c r="Y73" s="15"/>
      <c r="Z73" s="15"/>
      <c r="AA73" s="15"/>
      <c r="AB73" s="15"/>
      <c r="AC73" s="15"/>
      <c r="AD73" s="15"/>
      <c r="AE73" s="15"/>
      <c r="AF73" s="15"/>
    </row>
    <row r="74" ht="15.75" customHeight="1">
      <c r="A74" s="32" t="s">
        <v>5</v>
      </c>
      <c r="B74" s="233" t="s">
        <v>2561</v>
      </c>
      <c r="C74" s="39" t="s">
        <v>2562</v>
      </c>
      <c r="D74" s="8" t="s">
        <v>20</v>
      </c>
      <c r="E74" s="195" t="s">
        <v>21</v>
      </c>
      <c r="F74" s="8" t="s">
        <v>51</v>
      </c>
      <c r="G74" s="34" t="s">
        <v>2563</v>
      </c>
      <c r="H74" s="35" t="s">
        <v>51</v>
      </c>
      <c r="L74" s="11"/>
      <c r="M74" s="15"/>
      <c r="N74" s="15"/>
      <c r="O74" s="15"/>
      <c r="P74" s="15"/>
      <c r="Q74" s="15"/>
      <c r="R74" s="15"/>
      <c r="S74" s="15"/>
      <c r="T74" s="15"/>
      <c r="U74" s="15"/>
      <c r="V74" s="15"/>
      <c r="W74" s="15"/>
      <c r="X74" s="15"/>
      <c r="Y74" s="15"/>
      <c r="Z74" s="15"/>
      <c r="AA74" s="15"/>
      <c r="AB74" s="15"/>
      <c r="AC74" s="15"/>
      <c r="AD74" s="15"/>
      <c r="AE74" s="15"/>
      <c r="AF74" s="15"/>
    </row>
    <row r="75" ht="15.75" customHeight="1">
      <c r="A75" s="32" t="s">
        <v>5</v>
      </c>
      <c r="E75" s="234" t="s">
        <v>43</v>
      </c>
      <c r="F75" s="8" t="s">
        <v>53</v>
      </c>
      <c r="G75" s="34" t="s">
        <v>2564</v>
      </c>
      <c r="H75" s="35" t="s">
        <v>53</v>
      </c>
      <c r="I75" s="36"/>
      <c r="L75" s="11"/>
      <c r="M75" s="15"/>
      <c r="N75" s="15"/>
      <c r="O75" s="15"/>
      <c r="P75" s="15"/>
      <c r="Q75" s="15"/>
      <c r="R75" s="15"/>
      <c r="S75" s="15"/>
      <c r="T75" s="15"/>
      <c r="U75" s="15"/>
      <c r="V75" s="15"/>
      <c r="W75" s="15"/>
      <c r="X75" s="15"/>
      <c r="Y75" s="15"/>
      <c r="Z75" s="15"/>
      <c r="AA75" s="15"/>
      <c r="AB75" s="15"/>
      <c r="AC75" s="15"/>
      <c r="AD75" s="15"/>
      <c r="AE75" s="15"/>
      <c r="AF75" s="15"/>
    </row>
    <row r="76" ht="15.75" customHeight="1">
      <c r="A76" s="32" t="s">
        <v>5</v>
      </c>
      <c r="E76" s="234" t="s">
        <v>43</v>
      </c>
      <c r="F76" s="8" t="s">
        <v>79</v>
      </c>
      <c r="G76" s="34" t="s">
        <v>2565</v>
      </c>
      <c r="H76" s="8" t="s">
        <v>79</v>
      </c>
      <c r="I76" s="31"/>
      <c r="J76" s="9"/>
      <c r="K76" s="11"/>
      <c r="L76" s="11"/>
      <c r="M76" s="15"/>
      <c r="N76" s="15"/>
      <c r="O76" s="15"/>
      <c r="P76" s="15"/>
      <c r="Q76" s="15"/>
      <c r="R76" s="15"/>
      <c r="S76" s="15"/>
      <c r="T76" s="15"/>
      <c r="U76" s="15"/>
      <c r="V76" s="15"/>
      <c r="W76" s="15"/>
      <c r="X76" s="15"/>
      <c r="Y76" s="15"/>
      <c r="Z76" s="15"/>
      <c r="AA76" s="15"/>
      <c r="AB76" s="15"/>
      <c r="AC76" s="15"/>
      <c r="AD76" s="15"/>
      <c r="AE76" s="15"/>
      <c r="AF76" s="15"/>
    </row>
    <row r="77" ht="15.75" customHeight="1">
      <c r="A77" s="32" t="s">
        <v>5</v>
      </c>
      <c r="E77" s="234" t="s">
        <v>88</v>
      </c>
      <c r="F77" s="38" t="s">
        <v>95</v>
      </c>
      <c r="G77" s="236" t="s">
        <v>2566</v>
      </c>
      <c r="H77" s="35" t="s">
        <v>95</v>
      </c>
      <c r="I77" s="36"/>
      <c r="L77" s="11"/>
      <c r="M77" s="15"/>
      <c r="N77" s="15"/>
      <c r="O77" s="15"/>
      <c r="P77" s="15"/>
      <c r="Q77" s="15"/>
      <c r="R77" s="15"/>
      <c r="S77" s="15"/>
      <c r="T77" s="15"/>
      <c r="U77" s="15"/>
      <c r="V77" s="15"/>
      <c r="W77" s="15"/>
      <c r="X77" s="15"/>
      <c r="Y77" s="15"/>
      <c r="Z77" s="15"/>
      <c r="AA77" s="15"/>
      <c r="AB77" s="15"/>
      <c r="AC77" s="15"/>
      <c r="AD77" s="15"/>
      <c r="AE77" s="15"/>
      <c r="AF77" s="15"/>
    </row>
    <row r="78" ht="15.75" customHeight="1">
      <c r="A78" s="32" t="s">
        <v>5</v>
      </c>
      <c r="E78" s="234" t="s">
        <v>88</v>
      </c>
      <c r="F78" s="38" t="s">
        <v>122</v>
      </c>
      <c r="G78" s="34" t="s">
        <v>2567</v>
      </c>
      <c r="H78" s="35" t="s">
        <v>122</v>
      </c>
      <c r="I78" s="36"/>
      <c r="L78" s="11"/>
      <c r="M78" s="15"/>
      <c r="N78" s="15"/>
      <c r="O78" s="15"/>
      <c r="P78" s="15"/>
      <c r="Q78" s="15"/>
      <c r="R78" s="15"/>
      <c r="S78" s="15"/>
      <c r="T78" s="15"/>
      <c r="U78" s="15"/>
      <c r="V78" s="15"/>
      <c r="W78" s="15"/>
      <c r="X78" s="15"/>
      <c r="Y78" s="15"/>
      <c r="Z78" s="15"/>
      <c r="AA78" s="15"/>
      <c r="AB78" s="15"/>
      <c r="AC78" s="15"/>
      <c r="AD78" s="15"/>
      <c r="AE78" s="15"/>
      <c r="AF78" s="15"/>
    </row>
    <row r="79" ht="15.75" customHeight="1">
      <c r="A79" s="32" t="s">
        <v>5</v>
      </c>
      <c r="E79" s="234" t="s">
        <v>104</v>
      </c>
      <c r="F79" s="28" t="s">
        <v>250</v>
      </c>
      <c r="G79" s="34" t="s">
        <v>2568</v>
      </c>
      <c r="H79" s="35" t="s">
        <v>250</v>
      </c>
      <c r="L79" s="11"/>
      <c r="M79" s="15"/>
      <c r="N79" s="15"/>
      <c r="O79" s="15"/>
      <c r="P79" s="15"/>
      <c r="Q79" s="15"/>
      <c r="R79" s="15"/>
      <c r="S79" s="15"/>
      <c r="T79" s="15"/>
      <c r="U79" s="15"/>
      <c r="V79" s="15"/>
      <c r="W79" s="15"/>
      <c r="X79" s="15"/>
      <c r="Y79" s="15"/>
      <c r="Z79" s="15"/>
      <c r="AA79" s="15"/>
      <c r="AB79" s="15"/>
      <c r="AC79" s="15"/>
      <c r="AD79" s="15"/>
      <c r="AE79" s="15"/>
      <c r="AF79" s="15"/>
    </row>
    <row r="80" ht="15.75" customHeight="1">
      <c r="A80" s="32" t="s">
        <v>5</v>
      </c>
      <c r="B80" s="233" t="s">
        <v>2569</v>
      </c>
      <c r="C80" s="39" t="s">
        <v>2570</v>
      </c>
      <c r="D80" s="8" t="s">
        <v>20</v>
      </c>
      <c r="E80" s="195" t="s">
        <v>21</v>
      </c>
      <c r="F80" s="8" t="s">
        <v>51</v>
      </c>
      <c r="G80" s="34" t="s">
        <v>2571</v>
      </c>
      <c r="H80" s="35" t="s">
        <v>51</v>
      </c>
      <c r="L80" s="11"/>
      <c r="M80" s="15"/>
      <c r="N80" s="15"/>
      <c r="O80" s="15"/>
      <c r="P80" s="15"/>
      <c r="Q80" s="15"/>
      <c r="R80" s="15"/>
      <c r="S80" s="15"/>
      <c r="T80" s="15"/>
      <c r="U80" s="15"/>
      <c r="V80" s="15"/>
      <c r="W80" s="15"/>
      <c r="X80" s="15"/>
      <c r="Y80" s="15"/>
      <c r="Z80" s="15"/>
      <c r="AA80" s="15"/>
      <c r="AB80" s="15"/>
      <c r="AC80" s="15"/>
      <c r="AD80" s="15"/>
      <c r="AE80" s="15"/>
      <c r="AF80" s="15"/>
    </row>
    <row r="81" ht="15.75" customHeight="1">
      <c r="A81" s="32" t="s">
        <v>5</v>
      </c>
      <c r="E81" s="195" t="s">
        <v>43</v>
      </c>
      <c r="F81" s="8" t="s">
        <v>53</v>
      </c>
      <c r="G81" s="34" t="s">
        <v>2572</v>
      </c>
      <c r="H81" s="35" t="s">
        <v>53</v>
      </c>
      <c r="L81" s="11"/>
      <c r="M81" s="15"/>
      <c r="N81" s="15"/>
      <c r="O81" s="15"/>
      <c r="P81" s="15"/>
      <c r="Q81" s="15"/>
      <c r="R81" s="15"/>
      <c r="S81" s="15"/>
      <c r="T81" s="15"/>
      <c r="U81" s="15"/>
      <c r="V81" s="15"/>
      <c r="W81" s="15"/>
      <c r="X81" s="15"/>
      <c r="Y81" s="15"/>
      <c r="Z81" s="15"/>
      <c r="AA81" s="15"/>
      <c r="AB81" s="15"/>
      <c r="AC81" s="15"/>
      <c r="AD81" s="15"/>
      <c r="AE81" s="15"/>
      <c r="AF81" s="15"/>
    </row>
    <row r="82" ht="15.75" customHeight="1">
      <c r="A82" s="32" t="s">
        <v>5</v>
      </c>
      <c r="E82" s="195" t="s">
        <v>43</v>
      </c>
      <c r="F82" s="8" t="s">
        <v>79</v>
      </c>
      <c r="G82" s="34" t="s">
        <v>2573</v>
      </c>
      <c r="H82" s="35" t="s">
        <v>79</v>
      </c>
      <c r="L82" s="11"/>
      <c r="M82" s="15"/>
      <c r="N82" s="15"/>
      <c r="O82" s="15"/>
      <c r="P82" s="15"/>
      <c r="Q82" s="15"/>
      <c r="R82" s="15"/>
      <c r="S82" s="15"/>
      <c r="T82" s="15"/>
      <c r="U82" s="15"/>
      <c r="V82" s="15"/>
      <c r="W82" s="15"/>
      <c r="X82" s="15"/>
      <c r="Y82" s="15"/>
      <c r="Z82" s="15"/>
      <c r="AA82" s="15"/>
      <c r="AB82" s="15"/>
      <c r="AC82" s="15"/>
      <c r="AD82" s="15"/>
      <c r="AE82" s="15"/>
      <c r="AF82" s="15"/>
    </row>
    <row r="83" ht="15.75" customHeight="1">
      <c r="A83" s="32" t="s">
        <v>5</v>
      </c>
      <c r="E83" s="195" t="s">
        <v>88</v>
      </c>
      <c r="F83" s="8" t="s">
        <v>95</v>
      </c>
      <c r="G83" s="34" t="s">
        <v>2574</v>
      </c>
      <c r="H83" s="35" t="s">
        <v>95</v>
      </c>
      <c r="L83" s="11"/>
      <c r="M83" s="15"/>
      <c r="N83" s="15"/>
      <c r="O83" s="15"/>
      <c r="P83" s="15"/>
      <c r="Q83" s="15"/>
      <c r="R83" s="15"/>
      <c r="S83" s="15"/>
      <c r="T83" s="15"/>
      <c r="U83" s="15"/>
      <c r="V83" s="15"/>
      <c r="W83" s="15"/>
      <c r="X83" s="15"/>
      <c r="Y83" s="15"/>
      <c r="Z83" s="15"/>
      <c r="AA83" s="15"/>
      <c r="AB83" s="15"/>
      <c r="AC83" s="15"/>
      <c r="AD83" s="15"/>
      <c r="AE83" s="15"/>
      <c r="AF83" s="15"/>
    </row>
    <row r="84" ht="15.75" customHeight="1">
      <c r="A84" s="32" t="s">
        <v>5</v>
      </c>
      <c r="E84" s="195" t="s">
        <v>88</v>
      </c>
      <c r="F84" s="8" t="s">
        <v>122</v>
      </c>
      <c r="G84" s="34" t="s">
        <v>2575</v>
      </c>
      <c r="H84" s="35" t="s">
        <v>122</v>
      </c>
      <c r="L84" s="11"/>
      <c r="M84" s="15"/>
      <c r="N84" s="15"/>
      <c r="O84" s="15"/>
      <c r="P84" s="15"/>
      <c r="Q84" s="15"/>
      <c r="R84" s="15"/>
      <c r="S84" s="15"/>
      <c r="T84" s="15"/>
      <c r="U84" s="15"/>
      <c r="V84" s="15"/>
      <c r="W84" s="15"/>
      <c r="X84" s="15"/>
      <c r="Y84" s="15"/>
      <c r="Z84" s="15"/>
      <c r="AA84" s="15"/>
      <c r="AB84" s="15"/>
      <c r="AC84" s="15"/>
      <c r="AD84" s="15"/>
      <c r="AE84" s="15"/>
      <c r="AF84" s="15"/>
    </row>
    <row r="85" ht="15.75" customHeight="1">
      <c r="A85" s="32" t="s">
        <v>5</v>
      </c>
      <c r="E85" s="195" t="s">
        <v>104</v>
      </c>
      <c r="F85" s="8" t="s">
        <v>250</v>
      </c>
      <c r="G85" s="34" t="s">
        <v>2576</v>
      </c>
      <c r="H85" s="35" t="s">
        <v>250</v>
      </c>
      <c r="L85" s="11"/>
      <c r="M85" s="15"/>
      <c r="N85" s="15"/>
      <c r="O85" s="15"/>
      <c r="P85" s="15"/>
      <c r="Q85" s="15"/>
      <c r="R85" s="15"/>
      <c r="S85" s="15"/>
      <c r="T85" s="15"/>
      <c r="U85" s="15"/>
      <c r="V85" s="15"/>
      <c r="W85" s="15"/>
      <c r="X85" s="15"/>
      <c r="Y85" s="15"/>
      <c r="Z85" s="15"/>
      <c r="AA85" s="15"/>
      <c r="AB85" s="15"/>
      <c r="AC85" s="15"/>
      <c r="AD85" s="15"/>
      <c r="AE85" s="15"/>
      <c r="AF85" s="15"/>
    </row>
    <row r="86" ht="15.75" customHeight="1">
      <c r="A86" s="32" t="s">
        <v>5</v>
      </c>
      <c r="B86" s="233" t="s">
        <v>2577</v>
      </c>
      <c r="C86" s="39" t="s">
        <v>2578</v>
      </c>
      <c r="D86" s="8" t="s">
        <v>20</v>
      </c>
      <c r="E86" s="195" t="s">
        <v>21</v>
      </c>
      <c r="F86" s="8" t="s">
        <v>51</v>
      </c>
      <c r="G86" s="34" t="s">
        <v>2579</v>
      </c>
      <c r="H86" s="35" t="s">
        <v>51</v>
      </c>
      <c r="L86" s="11"/>
      <c r="M86" s="15"/>
      <c r="N86" s="15"/>
      <c r="O86" s="15"/>
      <c r="P86" s="15"/>
      <c r="Q86" s="15"/>
      <c r="R86" s="15"/>
      <c r="S86" s="15"/>
      <c r="T86" s="15"/>
      <c r="U86" s="15"/>
      <c r="V86" s="15"/>
      <c r="W86" s="15"/>
      <c r="X86" s="15"/>
      <c r="Y86" s="15"/>
      <c r="Z86" s="15"/>
      <c r="AA86" s="15"/>
      <c r="AB86" s="15"/>
      <c r="AC86" s="15"/>
      <c r="AD86" s="15"/>
      <c r="AE86" s="15"/>
      <c r="AF86" s="15"/>
    </row>
    <row r="87" ht="15.75" customHeight="1">
      <c r="A87" s="32" t="s">
        <v>5</v>
      </c>
      <c r="E87" s="234" t="s">
        <v>43</v>
      </c>
      <c r="F87" s="8" t="s">
        <v>53</v>
      </c>
      <c r="G87" s="34" t="s">
        <v>2580</v>
      </c>
      <c r="H87" s="35" t="s">
        <v>53</v>
      </c>
      <c r="I87" s="36"/>
      <c r="L87" s="11"/>
      <c r="M87" s="15"/>
      <c r="N87" s="15"/>
      <c r="O87" s="15"/>
      <c r="P87" s="15"/>
      <c r="Q87" s="15"/>
      <c r="R87" s="15"/>
      <c r="S87" s="15"/>
      <c r="T87" s="15"/>
      <c r="U87" s="15"/>
      <c r="V87" s="15"/>
      <c r="W87" s="15"/>
      <c r="X87" s="15"/>
      <c r="Y87" s="15"/>
      <c r="Z87" s="15"/>
      <c r="AA87" s="15"/>
      <c r="AB87" s="15"/>
      <c r="AC87" s="15"/>
      <c r="AD87" s="15"/>
      <c r="AE87" s="15"/>
      <c r="AF87" s="15"/>
    </row>
    <row r="88" ht="15.75" customHeight="1">
      <c r="A88" s="32" t="s">
        <v>5</v>
      </c>
      <c r="E88" s="234" t="s">
        <v>43</v>
      </c>
      <c r="F88" s="8" t="s">
        <v>79</v>
      </c>
      <c r="G88" s="34" t="s">
        <v>2581</v>
      </c>
      <c r="H88" s="8" t="s">
        <v>79</v>
      </c>
      <c r="I88" s="31"/>
      <c r="J88" s="9"/>
      <c r="K88" s="11"/>
      <c r="L88" s="11"/>
      <c r="M88" s="15"/>
      <c r="N88" s="15"/>
      <c r="O88" s="15"/>
      <c r="P88" s="15"/>
      <c r="Q88" s="15"/>
      <c r="R88" s="15"/>
      <c r="S88" s="15"/>
      <c r="T88" s="15"/>
      <c r="U88" s="15"/>
      <c r="V88" s="15"/>
      <c r="W88" s="15"/>
      <c r="X88" s="15"/>
      <c r="Y88" s="15"/>
      <c r="Z88" s="15"/>
      <c r="AA88" s="15"/>
      <c r="AB88" s="15"/>
      <c r="AC88" s="15"/>
      <c r="AD88" s="15"/>
      <c r="AE88" s="15"/>
      <c r="AF88" s="15"/>
    </row>
    <row r="89" ht="15.75" customHeight="1">
      <c r="A89" s="32" t="s">
        <v>5</v>
      </c>
      <c r="E89" s="234" t="s">
        <v>88</v>
      </c>
      <c r="F89" s="38" t="s">
        <v>95</v>
      </c>
      <c r="G89" s="34" t="s">
        <v>2582</v>
      </c>
      <c r="H89" s="35" t="s">
        <v>95</v>
      </c>
      <c r="L89" s="11"/>
      <c r="M89" s="15"/>
      <c r="N89" s="15"/>
      <c r="O89" s="15"/>
      <c r="P89" s="15"/>
      <c r="Q89" s="15"/>
      <c r="R89" s="15"/>
      <c r="S89" s="15"/>
      <c r="T89" s="15"/>
      <c r="U89" s="15"/>
      <c r="V89" s="15"/>
      <c r="W89" s="15"/>
      <c r="X89" s="15"/>
      <c r="Y89" s="15"/>
      <c r="Z89" s="15"/>
      <c r="AA89" s="15"/>
      <c r="AB89" s="15"/>
      <c r="AC89" s="15"/>
      <c r="AD89" s="15"/>
      <c r="AE89" s="15"/>
      <c r="AF89" s="15"/>
    </row>
    <row r="90" ht="15.75" customHeight="1">
      <c r="A90" s="32" t="s">
        <v>5</v>
      </c>
      <c r="E90" s="234" t="s">
        <v>88</v>
      </c>
      <c r="F90" s="38" t="s">
        <v>122</v>
      </c>
      <c r="G90" s="34" t="s">
        <v>2583</v>
      </c>
      <c r="H90" s="35" t="s">
        <v>122</v>
      </c>
      <c r="L90" s="11"/>
      <c r="M90" s="15"/>
      <c r="N90" s="15"/>
      <c r="O90" s="15"/>
      <c r="P90" s="15"/>
      <c r="Q90" s="15"/>
      <c r="R90" s="15"/>
      <c r="S90" s="15"/>
      <c r="T90" s="15"/>
      <c r="U90" s="15"/>
      <c r="V90" s="15"/>
      <c r="W90" s="15"/>
      <c r="X90" s="15"/>
      <c r="Y90" s="15"/>
      <c r="Z90" s="15"/>
      <c r="AA90" s="15"/>
      <c r="AB90" s="15"/>
      <c r="AC90" s="15"/>
      <c r="AD90" s="15"/>
      <c r="AE90" s="15"/>
      <c r="AF90" s="15"/>
    </row>
    <row r="91" ht="15.75" customHeight="1">
      <c r="A91" s="32" t="s">
        <v>5</v>
      </c>
      <c r="E91" s="234" t="s">
        <v>104</v>
      </c>
      <c r="F91" s="28" t="s">
        <v>250</v>
      </c>
      <c r="G91" s="34" t="s">
        <v>2584</v>
      </c>
      <c r="H91" s="35" t="s">
        <v>250</v>
      </c>
      <c r="L91" s="11"/>
      <c r="M91" s="15"/>
      <c r="N91" s="15"/>
      <c r="O91" s="15"/>
      <c r="P91" s="15"/>
      <c r="Q91" s="15"/>
      <c r="R91" s="15"/>
      <c r="S91" s="15"/>
      <c r="T91" s="15"/>
      <c r="U91" s="15"/>
      <c r="V91" s="15"/>
      <c r="W91" s="15"/>
      <c r="X91" s="15"/>
      <c r="Y91" s="15"/>
      <c r="Z91" s="15"/>
      <c r="AA91" s="15"/>
      <c r="AB91" s="15"/>
      <c r="AC91" s="15"/>
      <c r="AD91" s="15"/>
      <c r="AE91" s="15"/>
      <c r="AF91" s="15"/>
    </row>
    <row r="92" ht="15.75" customHeight="1">
      <c r="A92" s="32" t="s">
        <v>5</v>
      </c>
      <c r="B92" s="233" t="s">
        <v>2585</v>
      </c>
      <c r="C92" s="39" t="s">
        <v>2586</v>
      </c>
      <c r="D92" s="8" t="s">
        <v>20</v>
      </c>
      <c r="E92" s="195" t="s">
        <v>21</v>
      </c>
      <c r="F92" s="8" t="s">
        <v>51</v>
      </c>
      <c r="G92" s="34" t="s">
        <v>2587</v>
      </c>
      <c r="H92" s="35" t="s">
        <v>51</v>
      </c>
      <c r="L92" s="11"/>
      <c r="M92" s="15"/>
      <c r="N92" s="15"/>
      <c r="O92" s="15"/>
      <c r="P92" s="15"/>
      <c r="Q92" s="15"/>
      <c r="R92" s="15"/>
      <c r="S92" s="15"/>
      <c r="T92" s="15"/>
      <c r="U92" s="15"/>
      <c r="V92" s="15"/>
      <c r="W92" s="15"/>
      <c r="X92" s="15"/>
      <c r="Y92" s="15"/>
      <c r="Z92" s="15"/>
      <c r="AA92" s="15"/>
      <c r="AB92" s="15"/>
      <c r="AC92" s="15"/>
      <c r="AD92" s="15"/>
      <c r="AE92" s="15"/>
      <c r="AF92" s="15"/>
    </row>
    <row r="93" ht="15.75" customHeight="1">
      <c r="A93" s="32" t="s">
        <v>5</v>
      </c>
      <c r="E93" s="195" t="s">
        <v>43</v>
      </c>
      <c r="F93" s="8" t="s">
        <v>53</v>
      </c>
      <c r="G93" s="34" t="s">
        <v>2588</v>
      </c>
      <c r="H93" s="35" t="s">
        <v>53</v>
      </c>
      <c r="L93" s="11"/>
      <c r="M93" s="15"/>
      <c r="N93" s="15"/>
      <c r="O93" s="15"/>
      <c r="P93" s="15"/>
      <c r="Q93" s="15"/>
      <c r="R93" s="15"/>
      <c r="S93" s="15"/>
      <c r="T93" s="15"/>
      <c r="U93" s="15"/>
      <c r="V93" s="15"/>
      <c r="W93" s="15"/>
      <c r="X93" s="15"/>
      <c r="Y93" s="15"/>
      <c r="Z93" s="15"/>
      <c r="AA93" s="15"/>
      <c r="AB93" s="15"/>
      <c r="AC93" s="15"/>
      <c r="AD93" s="15"/>
      <c r="AE93" s="15"/>
      <c r="AF93" s="15"/>
    </row>
    <row r="94" ht="15.75" customHeight="1">
      <c r="A94" s="32" t="s">
        <v>5</v>
      </c>
      <c r="E94" s="195" t="s">
        <v>43</v>
      </c>
      <c r="F94" s="8" t="s">
        <v>79</v>
      </c>
      <c r="G94" s="34" t="s">
        <v>2589</v>
      </c>
      <c r="H94" s="8" t="s">
        <v>79</v>
      </c>
      <c r="I94" s="9"/>
      <c r="J94" s="9"/>
      <c r="K94" s="11"/>
      <c r="L94" s="11"/>
      <c r="M94" s="15"/>
      <c r="N94" s="15"/>
      <c r="O94" s="15"/>
      <c r="P94" s="15"/>
      <c r="Q94" s="15"/>
      <c r="R94" s="15"/>
      <c r="S94" s="15"/>
      <c r="T94" s="15"/>
      <c r="U94" s="15"/>
      <c r="V94" s="15"/>
      <c r="W94" s="15"/>
      <c r="X94" s="15"/>
      <c r="Y94" s="15"/>
      <c r="Z94" s="15"/>
      <c r="AA94" s="15"/>
      <c r="AB94" s="15"/>
      <c r="AC94" s="15"/>
      <c r="AD94" s="15"/>
      <c r="AE94" s="15"/>
      <c r="AF94" s="15"/>
    </row>
    <row r="95" ht="15.75" customHeight="1">
      <c r="A95" s="32" t="s">
        <v>5</v>
      </c>
      <c r="E95" s="195" t="s">
        <v>88</v>
      </c>
      <c r="F95" s="8" t="s">
        <v>95</v>
      </c>
      <c r="G95" s="34" t="s">
        <v>2590</v>
      </c>
      <c r="H95" s="35" t="s">
        <v>95</v>
      </c>
      <c r="L95" s="11"/>
      <c r="M95" s="15"/>
      <c r="N95" s="15"/>
      <c r="O95" s="15"/>
      <c r="P95" s="15"/>
      <c r="Q95" s="15"/>
      <c r="R95" s="15"/>
      <c r="S95" s="15"/>
      <c r="T95" s="15"/>
      <c r="U95" s="15"/>
      <c r="V95" s="15"/>
      <c r="W95" s="15"/>
      <c r="X95" s="15"/>
      <c r="Y95" s="15"/>
      <c r="Z95" s="15"/>
      <c r="AA95" s="15"/>
      <c r="AB95" s="15"/>
      <c r="AC95" s="15"/>
      <c r="AD95" s="15"/>
      <c r="AE95" s="15"/>
      <c r="AF95" s="15"/>
    </row>
    <row r="96" ht="15.75" customHeight="1">
      <c r="A96" s="32" t="s">
        <v>5</v>
      </c>
      <c r="E96" s="195" t="s">
        <v>88</v>
      </c>
      <c r="F96" s="8" t="s">
        <v>122</v>
      </c>
      <c r="G96" s="34" t="s">
        <v>2591</v>
      </c>
      <c r="H96" s="35" t="s">
        <v>122</v>
      </c>
      <c r="L96" s="11"/>
      <c r="M96" s="15"/>
      <c r="N96" s="15"/>
      <c r="O96" s="15"/>
      <c r="P96" s="15"/>
      <c r="Q96" s="15"/>
      <c r="R96" s="15"/>
      <c r="S96" s="15"/>
      <c r="T96" s="15"/>
      <c r="U96" s="15"/>
      <c r="V96" s="15"/>
      <c r="W96" s="15"/>
      <c r="X96" s="15"/>
      <c r="Y96" s="15"/>
      <c r="Z96" s="15"/>
      <c r="AA96" s="15"/>
      <c r="AB96" s="15"/>
      <c r="AC96" s="15"/>
      <c r="AD96" s="15"/>
      <c r="AE96" s="15"/>
      <c r="AF96" s="15"/>
    </row>
    <row r="97" ht="15.75" customHeight="1">
      <c r="A97" s="32" t="s">
        <v>5</v>
      </c>
      <c r="E97" s="195" t="s">
        <v>104</v>
      </c>
      <c r="F97" s="8" t="s">
        <v>250</v>
      </c>
      <c r="G97" s="34" t="s">
        <v>2592</v>
      </c>
      <c r="H97" s="35" t="s">
        <v>250</v>
      </c>
      <c r="L97" s="11"/>
      <c r="M97" s="15"/>
      <c r="N97" s="15"/>
      <c r="O97" s="15"/>
      <c r="P97" s="15"/>
      <c r="Q97" s="15"/>
      <c r="R97" s="15"/>
      <c r="S97" s="15"/>
      <c r="T97" s="15"/>
      <c r="U97" s="15"/>
      <c r="V97" s="15"/>
      <c r="W97" s="15"/>
      <c r="X97" s="15"/>
      <c r="Y97" s="15"/>
      <c r="Z97" s="15"/>
      <c r="AA97" s="15"/>
      <c r="AB97" s="15"/>
      <c r="AC97" s="15"/>
      <c r="AD97" s="15"/>
      <c r="AE97" s="15"/>
      <c r="AF97" s="15"/>
    </row>
    <row r="98" ht="15.75" customHeight="1">
      <c r="A98" s="176" t="s">
        <v>5</v>
      </c>
      <c r="B98" s="237" t="s">
        <v>2593</v>
      </c>
      <c r="C98" s="238" t="s">
        <v>2594</v>
      </c>
      <c r="D98" s="176" t="s">
        <v>20</v>
      </c>
      <c r="E98" s="239" t="s">
        <v>88</v>
      </c>
      <c r="F98" s="240" t="s">
        <v>89</v>
      </c>
      <c r="G98" s="241"/>
      <c r="H98" s="31"/>
      <c r="I98" s="31"/>
      <c r="J98" s="9"/>
      <c r="K98" s="9"/>
      <c r="L98" s="199"/>
      <c r="M98" s="199"/>
      <c r="N98" s="199"/>
      <c r="O98" s="199"/>
      <c r="P98" s="199"/>
      <c r="Q98" s="199"/>
      <c r="R98" s="199"/>
      <c r="S98" s="199"/>
      <c r="T98" s="199"/>
      <c r="U98" s="199"/>
      <c r="V98" s="199"/>
      <c r="W98" s="199"/>
      <c r="X98" s="199"/>
      <c r="Y98" s="199"/>
      <c r="Z98" s="199"/>
      <c r="AA98" s="199"/>
      <c r="AB98" s="199"/>
      <c r="AC98" s="199"/>
      <c r="AD98" s="199"/>
      <c r="AE98" s="199"/>
      <c r="AF98" s="199"/>
    </row>
    <row r="99" ht="15.75" customHeight="1">
      <c r="A99" s="176" t="s">
        <v>5</v>
      </c>
      <c r="E99" s="239" t="s">
        <v>21</v>
      </c>
      <c r="F99" s="240" t="s">
        <v>51</v>
      </c>
      <c r="G99" s="242" t="s">
        <v>2595</v>
      </c>
      <c r="H99" s="35" t="s">
        <v>51</v>
      </c>
      <c r="L99" s="199"/>
      <c r="M99" s="199"/>
      <c r="N99" s="199"/>
      <c r="O99" s="199"/>
      <c r="P99" s="199"/>
      <c r="Q99" s="199"/>
      <c r="R99" s="199"/>
      <c r="S99" s="199"/>
      <c r="T99" s="199"/>
      <c r="U99" s="199"/>
      <c r="V99" s="199"/>
      <c r="W99" s="199"/>
      <c r="X99" s="199"/>
      <c r="Y99" s="199"/>
      <c r="Z99" s="199"/>
      <c r="AA99" s="199"/>
      <c r="AB99" s="199"/>
      <c r="AC99" s="199"/>
      <c r="AD99" s="199"/>
      <c r="AE99" s="199"/>
      <c r="AF99" s="199"/>
    </row>
    <row r="100" ht="15.75" customHeight="1">
      <c r="A100" s="176" t="s">
        <v>5</v>
      </c>
      <c r="E100" s="239" t="s">
        <v>43</v>
      </c>
      <c r="F100" s="240" t="s">
        <v>79</v>
      </c>
      <c r="G100" s="242" t="s">
        <v>2596</v>
      </c>
      <c r="H100" s="35" t="s">
        <v>79</v>
      </c>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row>
    <row r="101" ht="15.75" customHeight="1">
      <c r="A101" s="176" t="s">
        <v>5</v>
      </c>
      <c r="E101" s="239" t="s">
        <v>43</v>
      </c>
      <c r="F101" s="240" t="s">
        <v>53</v>
      </c>
      <c r="G101" s="242" t="s">
        <v>2597</v>
      </c>
      <c r="H101" s="35" t="s">
        <v>53</v>
      </c>
      <c r="L101" s="199"/>
      <c r="M101" s="199"/>
      <c r="N101" s="199"/>
      <c r="O101" s="199"/>
      <c r="P101" s="199"/>
      <c r="Q101" s="199"/>
      <c r="R101" s="199"/>
      <c r="S101" s="199"/>
      <c r="T101" s="199"/>
      <c r="U101" s="199"/>
      <c r="V101" s="199"/>
      <c r="W101" s="199"/>
      <c r="X101" s="199"/>
      <c r="Y101" s="199"/>
      <c r="Z101" s="199"/>
      <c r="AA101" s="199"/>
      <c r="AB101" s="199"/>
      <c r="AC101" s="199"/>
      <c r="AD101" s="199"/>
      <c r="AE101" s="199"/>
      <c r="AF101" s="199"/>
    </row>
    <row r="102" ht="15.75" customHeight="1">
      <c r="A102" s="176" t="s">
        <v>5</v>
      </c>
      <c r="E102" s="239" t="s">
        <v>88</v>
      </c>
      <c r="F102" s="240" t="s">
        <v>122</v>
      </c>
      <c r="G102" s="242" t="s">
        <v>2598</v>
      </c>
      <c r="H102" s="35" t="s">
        <v>122</v>
      </c>
      <c r="L102" s="199"/>
      <c r="M102" s="199"/>
      <c r="N102" s="199"/>
      <c r="O102" s="199"/>
      <c r="P102" s="199"/>
      <c r="Q102" s="199"/>
      <c r="R102" s="199"/>
      <c r="S102" s="199"/>
      <c r="T102" s="199"/>
      <c r="U102" s="199"/>
      <c r="V102" s="199"/>
      <c r="W102" s="199"/>
      <c r="X102" s="199"/>
      <c r="Y102" s="199"/>
      <c r="Z102" s="199"/>
      <c r="AA102" s="199"/>
      <c r="AB102" s="199"/>
      <c r="AC102" s="199"/>
      <c r="AD102" s="199"/>
      <c r="AE102" s="199"/>
      <c r="AF102" s="199"/>
    </row>
    <row r="103" ht="15.75" customHeight="1">
      <c r="A103" s="176" t="s">
        <v>5</v>
      </c>
      <c r="E103" s="239" t="s">
        <v>88</v>
      </c>
      <c r="F103" s="240" t="s">
        <v>120</v>
      </c>
      <c r="G103" s="242" t="s">
        <v>2599</v>
      </c>
      <c r="H103" s="35" t="s">
        <v>120</v>
      </c>
      <c r="L103" s="199"/>
      <c r="M103" s="199"/>
      <c r="N103" s="199"/>
      <c r="O103" s="199"/>
      <c r="P103" s="199"/>
      <c r="Q103" s="199"/>
      <c r="R103" s="199"/>
      <c r="S103" s="199"/>
      <c r="T103" s="199"/>
      <c r="U103" s="199"/>
      <c r="V103" s="199"/>
      <c r="W103" s="199"/>
      <c r="X103" s="199"/>
      <c r="Y103" s="199"/>
      <c r="Z103" s="199"/>
      <c r="AA103" s="199"/>
      <c r="AB103" s="199"/>
      <c r="AC103" s="199"/>
      <c r="AD103" s="199"/>
      <c r="AE103" s="199"/>
      <c r="AF103" s="199"/>
    </row>
    <row r="104" ht="15.75" customHeight="1">
      <c r="A104" s="176" t="s">
        <v>5</v>
      </c>
      <c r="E104" s="239" t="s">
        <v>88</v>
      </c>
      <c r="F104" s="240" t="s">
        <v>544</v>
      </c>
      <c r="G104" s="242" t="s">
        <v>2600</v>
      </c>
      <c r="H104" s="35" t="s">
        <v>544</v>
      </c>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row>
    <row r="105" ht="15.75" customHeight="1">
      <c r="A105" s="176" t="s">
        <v>5</v>
      </c>
      <c r="E105" s="239" t="s">
        <v>88</v>
      </c>
      <c r="F105" s="240" t="s">
        <v>247</v>
      </c>
      <c r="G105" s="241"/>
      <c r="I105" s="9"/>
      <c r="J105" s="9"/>
      <c r="K105" s="9"/>
      <c r="L105" s="199"/>
      <c r="M105" s="199"/>
      <c r="N105" s="199"/>
      <c r="O105" s="199"/>
      <c r="P105" s="199"/>
      <c r="Q105" s="199"/>
      <c r="R105" s="199"/>
      <c r="S105" s="199"/>
      <c r="T105" s="199"/>
      <c r="U105" s="199"/>
      <c r="V105" s="199"/>
      <c r="W105" s="199"/>
      <c r="X105" s="199"/>
      <c r="Y105" s="199"/>
      <c r="Z105" s="199"/>
      <c r="AA105" s="199"/>
      <c r="AB105" s="199"/>
      <c r="AC105" s="199"/>
      <c r="AD105" s="199"/>
      <c r="AE105" s="199"/>
      <c r="AF105" s="199"/>
    </row>
    <row r="106" ht="15.75" customHeight="1">
      <c r="A106" s="176" t="s">
        <v>5</v>
      </c>
      <c r="E106" s="239" t="s">
        <v>88</v>
      </c>
      <c r="F106" s="240" t="s">
        <v>96</v>
      </c>
      <c r="G106" s="242" t="s">
        <v>2601</v>
      </c>
      <c r="H106" s="35" t="s">
        <v>96</v>
      </c>
      <c r="I106" s="36"/>
      <c r="L106" s="199"/>
      <c r="M106" s="199"/>
      <c r="N106" s="199"/>
      <c r="O106" s="199"/>
      <c r="P106" s="199"/>
      <c r="Q106" s="199"/>
      <c r="R106" s="199"/>
      <c r="S106" s="199"/>
      <c r="T106" s="199"/>
      <c r="U106" s="199"/>
      <c r="V106" s="199"/>
      <c r="W106" s="199"/>
      <c r="X106" s="199"/>
      <c r="Y106" s="199"/>
      <c r="Z106" s="199"/>
      <c r="AA106" s="199"/>
      <c r="AB106" s="199"/>
      <c r="AC106" s="199"/>
      <c r="AD106" s="199"/>
      <c r="AE106" s="199"/>
      <c r="AF106" s="199"/>
    </row>
    <row r="107" ht="15.75" customHeight="1">
      <c r="A107" s="176" t="s">
        <v>5</v>
      </c>
      <c r="E107" s="239" t="s">
        <v>88</v>
      </c>
      <c r="F107" s="240" t="s">
        <v>154</v>
      </c>
      <c r="G107" s="242" t="s">
        <v>2602</v>
      </c>
      <c r="H107" s="35" t="s">
        <v>154</v>
      </c>
      <c r="I107" s="36"/>
      <c r="L107" s="199"/>
      <c r="M107" s="199"/>
      <c r="N107" s="199"/>
      <c r="O107" s="199"/>
      <c r="P107" s="199"/>
      <c r="Q107" s="199"/>
      <c r="R107" s="199"/>
      <c r="S107" s="199"/>
      <c r="T107" s="199"/>
      <c r="U107" s="199"/>
      <c r="V107" s="199"/>
      <c r="W107" s="199"/>
      <c r="X107" s="199"/>
      <c r="Y107" s="199"/>
      <c r="Z107" s="199"/>
      <c r="AA107" s="199"/>
      <c r="AB107" s="199"/>
      <c r="AC107" s="199"/>
      <c r="AD107" s="199"/>
      <c r="AE107" s="199"/>
      <c r="AF107" s="199"/>
    </row>
    <row r="108" ht="15.75" customHeight="1">
      <c r="A108" s="176" t="s">
        <v>5</v>
      </c>
      <c r="E108" s="239" t="s">
        <v>88</v>
      </c>
      <c r="F108" s="240" t="s">
        <v>245</v>
      </c>
      <c r="G108" s="243" t="s">
        <v>2603</v>
      </c>
      <c r="H108" s="36"/>
      <c r="L108" s="199"/>
      <c r="M108" s="199"/>
      <c r="N108" s="199"/>
      <c r="O108" s="199"/>
      <c r="P108" s="199"/>
      <c r="Q108" s="199"/>
      <c r="R108" s="199"/>
      <c r="S108" s="199"/>
      <c r="T108" s="199"/>
      <c r="U108" s="199"/>
      <c r="V108" s="199"/>
      <c r="W108" s="199"/>
      <c r="X108" s="199"/>
      <c r="Y108" s="199"/>
      <c r="Z108" s="199"/>
      <c r="AA108" s="199"/>
      <c r="AB108" s="199"/>
      <c r="AC108" s="199"/>
      <c r="AD108" s="199"/>
      <c r="AE108" s="199"/>
      <c r="AF108" s="199"/>
    </row>
    <row r="109" ht="15.75" customHeight="1">
      <c r="A109" s="176" t="s">
        <v>5</v>
      </c>
      <c r="E109" s="239" t="s">
        <v>88</v>
      </c>
      <c r="F109" s="240" t="s">
        <v>120</v>
      </c>
      <c r="G109" s="242" t="s">
        <v>2604</v>
      </c>
      <c r="H109" s="35" t="s">
        <v>1845</v>
      </c>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row>
    <row r="110" ht="15.75" customHeight="1">
      <c r="A110" s="176" t="s">
        <v>5</v>
      </c>
      <c r="E110" s="239" t="s">
        <v>88</v>
      </c>
      <c r="F110" s="240" t="s">
        <v>460</v>
      </c>
      <c r="G110" s="242" t="s">
        <v>2605</v>
      </c>
      <c r="H110" s="35" t="s">
        <v>460</v>
      </c>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row>
    <row r="111" ht="15.75" customHeight="1">
      <c r="A111" s="176" t="s">
        <v>5</v>
      </c>
      <c r="E111" s="239" t="s">
        <v>88</v>
      </c>
      <c r="F111" s="240" t="s">
        <v>120</v>
      </c>
      <c r="G111" s="242" t="s">
        <v>2606</v>
      </c>
      <c r="H111" s="35" t="s">
        <v>1824</v>
      </c>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row>
    <row r="112" ht="15.75" customHeight="1">
      <c r="A112" s="176" t="s">
        <v>5</v>
      </c>
      <c r="E112" s="239" t="s">
        <v>88</v>
      </c>
      <c r="F112" s="240" t="s">
        <v>544</v>
      </c>
      <c r="G112" s="242" t="s">
        <v>2607</v>
      </c>
      <c r="H112" s="35" t="s">
        <v>2608</v>
      </c>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row>
    <row r="113" ht="15.75" customHeight="1">
      <c r="A113" s="176" t="s">
        <v>5</v>
      </c>
      <c r="E113" s="239" t="s">
        <v>88</v>
      </c>
      <c r="F113" s="240" t="s">
        <v>247</v>
      </c>
      <c r="G113" s="241"/>
      <c r="H113" s="31"/>
      <c r="I113" s="9"/>
      <c r="J113" s="9"/>
      <c r="K113" s="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row>
    <row r="114" ht="15.75" customHeight="1">
      <c r="A114" s="176" t="s">
        <v>5</v>
      </c>
      <c r="E114" s="239" t="s">
        <v>88</v>
      </c>
      <c r="F114" s="240" t="s">
        <v>96</v>
      </c>
      <c r="G114" s="242" t="s">
        <v>2609</v>
      </c>
      <c r="H114" s="35" t="s">
        <v>337</v>
      </c>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row>
    <row r="115" ht="15.75" customHeight="1">
      <c r="A115" s="176" t="s">
        <v>5</v>
      </c>
      <c r="E115" s="239" t="s">
        <v>89</v>
      </c>
      <c r="F115" s="240" t="s">
        <v>291</v>
      </c>
      <c r="G115" s="241"/>
      <c r="H115" s="31"/>
      <c r="I115" s="9"/>
      <c r="J115" s="9"/>
      <c r="K115" s="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row>
    <row r="116" ht="15.75" customHeight="1">
      <c r="A116" s="15"/>
      <c r="B116" s="244"/>
      <c r="C116" s="49"/>
      <c r="D116" s="50"/>
      <c r="E116" s="245"/>
      <c r="F116" s="51"/>
      <c r="G116" s="42"/>
      <c r="H116" s="51"/>
      <c r="I116" s="9"/>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233"/>
      <c r="C117" s="246"/>
      <c r="D117" s="53"/>
      <c r="E117" s="234"/>
      <c r="F117" s="28"/>
      <c r="G117" s="42"/>
      <c r="H117" s="36"/>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233" t="s">
        <v>2610</v>
      </c>
      <c r="C118" s="246" t="s">
        <v>2611</v>
      </c>
      <c r="D118" s="53" t="s">
        <v>20</v>
      </c>
      <c r="E118" s="234" t="s">
        <v>86</v>
      </c>
      <c r="F118" s="28" t="s">
        <v>87</v>
      </c>
      <c r="G118" s="42"/>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244"/>
      <c r="D119" s="50"/>
      <c r="E119" s="195" t="s">
        <v>88</v>
      </c>
      <c r="F119" s="8" t="s">
        <v>89</v>
      </c>
      <c r="G119" s="42"/>
      <c r="H119" s="36"/>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244"/>
      <c r="D120" s="50"/>
      <c r="E120" s="195" t="s">
        <v>88</v>
      </c>
      <c r="F120" s="8" t="s">
        <v>239</v>
      </c>
      <c r="G120" s="42" t="str">
        <f>HYPERLINK("https://docs.google.com/spreadsheets/d/1sMPaOh6kLokNuXlJhlOFJKtDEBZjAWg97ck092MJoyA/edit#gid=672481930", "https://docs.google.com/spreadsheets/d/1sMPaOh6kLokNuXlJhlOFJKtDEBZjAWg97ck092MJoyA/edit#gid=672481930")</f>
        <v>https://docs.google.com/spreadsheets/d/1sMPaOh6kLokNuXlJhlOFJKtDEBZjAWg97ck092MJoyA/edit#gid=672481930</v>
      </c>
      <c r="H120" s="8" t="s">
        <v>239</v>
      </c>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244"/>
      <c r="D121" s="50"/>
      <c r="E121" s="195" t="s">
        <v>147</v>
      </c>
      <c r="F121" s="8" t="s">
        <v>148</v>
      </c>
      <c r="G121" s="42"/>
      <c r="H121" s="36"/>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244"/>
      <c r="D122" s="50"/>
      <c r="E122" s="195" t="s">
        <v>21</v>
      </c>
      <c r="F122" s="8" t="s">
        <v>244</v>
      </c>
      <c r="G122" s="42" t="str">
        <f>HYPERLINK("https://docs.google.com/spreadsheets/d/1sMPaOh6kLokNuXlJhlOFJKtDEBZjAWg97ck092MJoyA/edit#gid=1589619430", "https://docs.google.com/spreadsheets/d/1sMPaOh6kLokNuXlJhlOFJKtDEBZjAWg97ck092MJoyA/edit#gid=1589619430")</f>
        <v>https://docs.google.com/spreadsheets/d/1sMPaOh6kLokNuXlJhlOFJKtDEBZjAWg97ck092MJoyA/edit#gid=1589619430</v>
      </c>
      <c r="H122" s="8" t="s">
        <v>244</v>
      </c>
      <c r="I122" s="9"/>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244"/>
      <c r="D123" s="50"/>
      <c r="E123" s="195" t="s">
        <v>21</v>
      </c>
      <c r="F123" s="8" t="s">
        <v>22</v>
      </c>
      <c r="G123" s="42" t="str">
        <f>HYPERLINK("https://docs.google.com/spreadsheets/d/1sMPaOh6kLokNuXlJhlOFJKtDEBZjAWg97ck092MJoyA/edit#gid=1668087575", "https://docs.google.com/spreadsheets/d/1sMPaOh6kLokNuXlJhlOFJKtDEBZjAWg97ck092MJoyA/edit#gid=1668087575")</f>
        <v>https://docs.google.com/spreadsheets/d/1sMPaOh6kLokNuXlJhlOFJKtDEBZjAWg97ck092MJoyA/edit#gid=1668087575</v>
      </c>
      <c r="H123" s="8" t="s">
        <v>22</v>
      </c>
      <c r="I123" s="9"/>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244"/>
      <c r="D124" s="50"/>
      <c r="E124" s="195" t="s">
        <v>43</v>
      </c>
      <c r="F124" s="8" t="s">
        <v>109</v>
      </c>
      <c r="G124" s="42" t="str">
        <f>HYPERLINK("https://docs.google.com/spreadsheets/d/1sMPaOh6kLokNuXlJhlOFJKtDEBZjAWg97ck092MJoyA/edit#gid=1021097493", "https://docs.google.com/spreadsheets/d/1sMPaOh6kLokNuXlJhlOFJKtDEBZjAWg97ck092MJoyA/edit#gid=1021097493")</f>
        <v>https://docs.google.com/spreadsheets/d/1sMPaOh6kLokNuXlJhlOFJKtDEBZjAWg97ck092MJoyA/edit#gid=1021097493</v>
      </c>
      <c r="H124" s="8" t="s">
        <v>109</v>
      </c>
      <c r="I124" s="9"/>
      <c r="J124" s="9"/>
      <c r="K124" s="11"/>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244"/>
      <c r="D125" s="50"/>
      <c r="E125" s="234" t="s">
        <v>21</v>
      </c>
      <c r="F125" s="8" t="s">
        <v>110</v>
      </c>
      <c r="G125" s="42" t="str">
        <f>HYPERLINK("https://docs.google.com/spreadsheets/d/1sMPaOh6kLokNuXlJhlOFJKtDEBZjAWg97ck092MJoyA/edit#gid=955272519", "https://docs.google.com/spreadsheets/d/1sMPaOh6kLokNuXlJhlOFJKtDEBZjAWg97ck092MJoyA/edit#gid=955272519")</f>
        <v>https://docs.google.com/spreadsheets/d/1sMPaOh6kLokNuXlJhlOFJKtDEBZjAWg97ck092MJoyA/edit#gid=955272519</v>
      </c>
      <c r="H125" s="35" t="s">
        <v>110</v>
      </c>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244"/>
      <c r="D126" s="50"/>
      <c r="E126" s="234" t="s">
        <v>43</v>
      </c>
      <c r="F126" s="38" t="s">
        <v>342</v>
      </c>
      <c r="G126" s="42" t="str">
        <f>HYPERLINK("https://docs.google.com/spreadsheets/d/1sMPaOh6kLokNuXlJhlOFJKtDEBZjAWg97ck092MJoyA/edit#gid=34558660", "https://docs.google.com/spreadsheets/d/1sMPaOh6kLokNuXlJhlOFJKtDEBZjAWg97ck092MJoyA/edit#gid=34558660")</f>
        <v>https://docs.google.com/spreadsheets/d/1sMPaOh6kLokNuXlJhlOFJKtDEBZjAWg97ck092MJoyA/edit#gid=34558660</v>
      </c>
      <c r="H126" s="38" t="s">
        <v>342</v>
      </c>
      <c r="I126" s="9"/>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15"/>
      <c r="B127" s="244"/>
      <c r="D127" s="50"/>
      <c r="E127" s="234" t="s">
        <v>43</v>
      </c>
      <c r="F127" s="28" t="s">
        <v>343</v>
      </c>
      <c r="G127" s="42" t="str">
        <f>HYPERLINK("https://docs.google.com/spreadsheets/d/1sMPaOh6kLokNuXlJhlOFJKtDEBZjAWg97ck092MJoyA/edit#gid=497879150", "https://docs.google.com/spreadsheets/d/1sMPaOh6kLokNuXlJhlOFJKtDEBZjAWg97ck092MJoyA/edit#gid=497879150")</f>
        <v>https://docs.google.com/spreadsheets/d/1sMPaOh6kLokNuXlJhlOFJKtDEBZjAWg97ck092MJoyA/edit#gid=497879150</v>
      </c>
      <c r="H127" s="38" t="s">
        <v>343</v>
      </c>
      <c r="I127" s="9"/>
      <c r="J127" s="9"/>
      <c r="K127" s="11"/>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15"/>
      <c r="B128" s="244"/>
      <c r="D128" s="50"/>
      <c r="E128" s="234" t="s">
        <v>43</v>
      </c>
      <c r="F128" s="28" t="s">
        <v>79</v>
      </c>
      <c r="G128" s="42" t="str">
        <f>HYPERLINK("https://docs.google.com/spreadsheets/d/1sMPaOh6kLokNuXlJhlOFJKtDEBZjAWg97ck092MJoyA/edit#gid=1373326203", "https://docs.google.com/spreadsheets/d/1sMPaOh6kLokNuXlJhlOFJKtDEBZjAWg97ck092MJoyA/edit#gid=1373326203")</f>
        <v>https://docs.google.com/spreadsheets/d/1sMPaOh6kLokNuXlJhlOFJKtDEBZjAWg97ck092MJoyA/edit#gid=1373326203</v>
      </c>
      <c r="H128" s="38" t="s">
        <v>79</v>
      </c>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15"/>
      <c r="B129" s="244"/>
      <c r="D129" s="50"/>
      <c r="E129" s="195" t="s">
        <v>43</v>
      </c>
      <c r="F129" s="8" t="s">
        <v>77</v>
      </c>
      <c r="G129" s="42" t="str">
        <f>HYPERLINK("https://docs.google.com/spreadsheets/d/1sMPaOh6kLokNuXlJhlOFJKtDEBZjAWg97ck092MJoyA/edit#gid=1802671589", "https://docs.google.com/spreadsheets/d/1sMPaOh6kLokNuXlJhlOFJKtDEBZjAWg97ck092MJoyA/edit#gid=1802671589")</f>
        <v>https://docs.google.com/spreadsheets/d/1sMPaOh6kLokNuXlJhlOFJKtDEBZjAWg97ck092MJoyA/edit#gid=1802671589</v>
      </c>
      <c r="H129" s="8" t="s">
        <v>77</v>
      </c>
      <c r="I129" s="9"/>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15"/>
      <c r="B130" s="244"/>
      <c r="D130" s="50"/>
      <c r="E130" s="195" t="s">
        <v>88</v>
      </c>
      <c r="F130" s="8" t="s">
        <v>95</v>
      </c>
      <c r="G130" s="42" t="str">
        <f>HYPERLINK("https://docs.google.com/spreadsheets/d/1sMPaOh6kLokNuXlJhlOFJKtDEBZjAWg97ck092MJoyA/edit#gid=2091351561", "https://docs.google.com/spreadsheets/d/1sMPaOh6kLokNuXlJhlOFJKtDEBZjAWg97ck092MJoyA/edit#gid=2091351561")</f>
        <v>https://docs.google.com/spreadsheets/d/1sMPaOh6kLokNuXlJhlOFJKtDEBZjAWg97ck092MJoyA/edit#gid=2091351561</v>
      </c>
      <c r="H130" s="8" t="s">
        <v>95</v>
      </c>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15"/>
      <c r="B131" s="244"/>
      <c r="D131" s="50"/>
      <c r="E131" s="195" t="s">
        <v>88</v>
      </c>
      <c r="F131" s="8" t="s">
        <v>96</v>
      </c>
      <c r="G131" s="42" t="str">
        <f>HYPERLINK("https://docs.google.com/spreadsheets/d/1sMPaOh6kLokNuXlJhlOFJKtDEBZjAWg97ck092MJoyA/edit#gid=1602889463", "https://docs.google.com/spreadsheets/d/1sMPaOh6kLokNuXlJhlOFJKtDEBZjAWg97ck092MJoyA/edit#gid=1602889463")</f>
        <v>https://docs.google.com/spreadsheets/d/1sMPaOh6kLokNuXlJhlOFJKtDEBZjAWg97ck092MJoyA/edit#gid=1602889463</v>
      </c>
      <c r="H131" s="8" t="s">
        <v>96</v>
      </c>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15"/>
      <c r="B132" s="244"/>
      <c r="D132" s="50"/>
      <c r="E132" s="195" t="s">
        <v>88</v>
      </c>
      <c r="F132" s="8" t="s">
        <v>245</v>
      </c>
      <c r="G132" s="42" t="str">
        <f>HYPERLINK("https://docs.google.com/spreadsheets/d/1sMPaOh6kLokNuXlJhlOFJKtDEBZjAWg97ck092MJoyA/edit#gid=248473382", "https://docs.google.com/spreadsheets/d/1sMPaOh6kLokNuXlJhlOFJKtDEBZjAWg97ck092MJoyA/edit#gid=248473382")</f>
        <v>https://docs.google.com/spreadsheets/d/1sMPaOh6kLokNuXlJhlOFJKtDEBZjAWg97ck092MJoyA/edit#gid=248473382</v>
      </c>
      <c r="H132" s="8" t="s">
        <v>245</v>
      </c>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15"/>
      <c r="B133" s="244"/>
      <c r="D133" s="50"/>
      <c r="E133" s="234" t="s">
        <v>88</v>
      </c>
      <c r="F133" s="8" t="s">
        <v>120</v>
      </c>
      <c r="G133" s="42" t="str">
        <f>HYPERLINK("https://docs.google.com/spreadsheets/d/1sMPaOh6kLokNuXlJhlOFJKtDEBZjAWg97ck092MJoyA/edit#gid=2033194220", "https://docs.google.com/spreadsheets/d/1sMPaOh6kLokNuXlJhlOFJKtDEBZjAWg97ck092MJoyA/edit#gid=2033194220")</f>
        <v>https://docs.google.com/spreadsheets/d/1sMPaOh6kLokNuXlJhlOFJKtDEBZjAWg97ck092MJoyA/edit#gid=2033194220</v>
      </c>
      <c r="H133" s="8" t="s">
        <v>120</v>
      </c>
      <c r="I133" s="9"/>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15"/>
      <c r="B134" s="244"/>
      <c r="D134" s="50"/>
      <c r="E134" s="234" t="s">
        <v>88</v>
      </c>
      <c r="F134" s="38" t="s">
        <v>246</v>
      </c>
      <c r="G134" s="42" t="str">
        <f>HYPERLINK("https://docs.google.com/spreadsheets/d/1sMPaOh6kLokNuXlJhlOFJKtDEBZjAWg97ck092MJoyA/edit#gid=1798259272", "https://docs.google.com/spreadsheets/d/1sMPaOh6kLokNuXlJhlOFJKtDEBZjAWg97ck092MJoyA/edit#gid=1798259272")</f>
        <v>https://docs.google.com/spreadsheets/d/1sMPaOh6kLokNuXlJhlOFJKtDEBZjAWg97ck092MJoyA/edit#gid=1798259272</v>
      </c>
      <c r="H134" s="38" t="s">
        <v>246</v>
      </c>
      <c r="I134" s="9"/>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15"/>
      <c r="B135" s="244"/>
      <c r="C135" s="49"/>
      <c r="D135" s="50"/>
      <c r="E135" s="234" t="s">
        <v>88</v>
      </c>
      <c r="F135" s="28" t="s">
        <v>247</v>
      </c>
      <c r="G135" s="29"/>
      <c r="H135" s="36"/>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15"/>
      <c r="B136" s="244"/>
      <c r="C136" s="49"/>
      <c r="D136" s="50"/>
      <c r="E136" s="195" t="s">
        <v>104</v>
      </c>
      <c r="F136" s="65" t="s">
        <v>250</v>
      </c>
      <c r="G136" s="29" t="str">
        <f>HYPERLINK("https://docs.google.com/spreadsheets/d/1sMPaOh6kLokNuXlJhlOFJKtDEBZjAWg97ck092MJoyA/edit#gid=880273953", "https://docs.google.com/spreadsheets/d/1sMPaOh6kLokNuXlJhlOFJKtDEBZjAWg97ck092MJoyA/edit#gid=880273953")</f>
        <v>https://docs.google.com/spreadsheets/d/1sMPaOh6kLokNuXlJhlOFJKtDEBZjAWg97ck092MJoyA/edit#gid=880273953</v>
      </c>
      <c r="H136" s="8" t="s">
        <v>250</v>
      </c>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15"/>
      <c r="B137" s="244"/>
      <c r="C137" s="49"/>
      <c r="D137" s="50"/>
      <c r="E137" s="195" t="s">
        <v>43</v>
      </c>
      <c r="F137" s="8" t="s">
        <v>77</v>
      </c>
      <c r="G137" s="29" t="str">
        <f>HYPERLINK("https://docs.google.com/spreadsheets/d/1sMPaOh6kLokNuXlJhlOFJKtDEBZjAWg97ck092MJoyA/edit#gid=1747308948", "https://docs.google.com/spreadsheets/d/1sMPaOh6kLokNuXlJhlOFJKtDEBZjAWg97ck092MJoyA/edit#gid=1747308948")</f>
        <v>https://docs.google.com/spreadsheets/d/1sMPaOh6kLokNuXlJhlOFJKtDEBZjAWg97ck092MJoyA/edit#gid=1747308948</v>
      </c>
      <c r="H137" s="8" t="s">
        <v>78</v>
      </c>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15"/>
      <c r="B138" s="244"/>
      <c r="C138" s="49"/>
      <c r="D138" s="50"/>
      <c r="E138" s="195" t="s">
        <v>43</v>
      </c>
      <c r="F138" s="8" t="s">
        <v>132</v>
      </c>
      <c r="G138" s="29" t="str">
        <f>HYPERLINK("https://docs.google.com/spreadsheets/d/1sMPaOh6kLokNuXlJhlOFJKtDEBZjAWg97ck092MJoyA/edit#gid=656942929", "https://docs.google.com/spreadsheets/d/1sMPaOh6kLokNuXlJhlOFJKtDEBZjAWg97ck092MJoyA/edit#gid=656942929")</f>
        <v>https://docs.google.com/spreadsheets/d/1sMPaOh6kLokNuXlJhlOFJKtDEBZjAWg97ck092MJoyA/edit#gid=656942929</v>
      </c>
      <c r="H138" s="8" t="s">
        <v>132</v>
      </c>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15"/>
      <c r="B139" s="244"/>
      <c r="C139" s="49"/>
      <c r="D139" s="50"/>
      <c r="E139" s="195" t="s">
        <v>43</v>
      </c>
      <c r="F139" s="8" t="s">
        <v>248</v>
      </c>
      <c r="G139" s="29" t="str">
        <f>HYPERLINK("https://docs.google.com/spreadsheets/d/1sMPaOh6kLokNuXlJhlOFJKtDEBZjAWg97ck092MJoyA/edit#gid=1444499395", "https://docs.google.com/spreadsheets/d/1sMPaOh6kLokNuXlJhlOFJKtDEBZjAWg97ck092MJoyA/edit#gid=1444499395")</f>
        <v>https://docs.google.com/spreadsheets/d/1sMPaOh6kLokNuXlJhlOFJKtDEBZjAWg97ck092MJoyA/edit#gid=1444499395</v>
      </c>
      <c r="H139" s="8" t="s">
        <v>248</v>
      </c>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15"/>
      <c r="B140" s="247"/>
      <c r="C140" s="41"/>
      <c r="D140" s="31"/>
      <c r="E140" s="195" t="s">
        <v>21</v>
      </c>
      <c r="F140" s="8" t="s">
        <v>249</v>
      </c>
      <c r="G140" s="29" t="str">
        <f>HYPERLINK("https://docs.google.com/spreadsheets/d/1sMPaOh6kLokNuXlJhlOFJKtDEBZjAWg97ck092MJoyA/edit#gid=635644974", "https://docs.google.com/spreadsheets/d/1sMPaOh6kLokNuXlJhlOFJKtDEBZjAWg97ck092MJoyA/edit#gid=635644974")</f>
        <v>https://docs.google.com/spreadsheets/d/1sMPaOh6kLokNuXlJhlOFJKtDEBZjAWg97ck092MJoyA/edit#gid=635644974</v>
      </c>
      <c r="H140" s="8" t="s">
        <v>249</v>
      </c>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15"/>
      <c r="B141" s="247"/>
      <c r="C141" s="41"/>
      <c r="D141" s="31"/>
      <c r="E141" s="195" t="s">
        <v>43</v>
      </c>
      <c r="F141" s="8" t="s">
        <v>53</v>
      </c>
      <c r="G141" s="29" t="str">
        <f>HYPERLINK("https://docs.google.com/spreadsheets/d/1sMPaOh6kLokNuXlJhlOFJKtDEBZjAWg97ck092MJoyA/edit#gid=1350218902", "https://docs.google.com/spreadsheets/d/1sMPaOh6kLokNuXlJhlOFJKtDEBZjAWg97ck092MJoyA/edit#gid=1350218902")</f>
        <v>https://docs.google.com/spreadsheets/d/1sMPaOh6kLokNuXlJhlOFJKtDEBZjAWg97ck092MJoyA/edit#gid=1350218902</v>
      </c>
      <c r="H141" s="35" t="s">
        <v>53</v>
      </c>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15"/>
      <c r="B142" s="247"/>
      <c r="C142" s="41"/>
      <c r="D142" s="31"/>
      <c r="E142" s="195" t="s">
        <v>88</v>
      </c>
      <c r="F142" s="8" t="s">
        <v>95</v>
      </c>
      <c r="G142" s="29" t="str">
        <f>HYPERLINK("https://docs.google.com/spreadsheets/d/1sMPaOh6kLokNuXlJhlOFJKtDEBZjAWg97ck092MJoyA/edit#gid=905385390", "https://docs.google.com/spreadsheets/d/1sMPaOh6kLokNuXlJhlOFJKtDEBZjAWg97ck092MJoyA/edit#gid=905385390")</f>
        <v>https://docs.google.com/spreadsheets/d/1sMPaOh6kLokNuXlJhlOFJKtDEBZjAWg97ck092MJoyA/edit#gid=905385390</v>
      </c>
      <c r="H142" s="8" t="s">
        <v>176</v>
      </c>
      <c r="I142" s="9"/>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15"/>
      <c r="B143" s="247"/>
      <c r="C143" s="41"/>
      <c r="D143" s="31"/>
      <c r="E143" s="234" t="s">
        <v>88</v>
      </c>
      <c r="F143" s="8" t="s">
        <v>96</v>
      </c>
      <c r="G143" s="29" t="str">
        <f>HYPERLINK("https://docs.google.com/spreadsheets/d/1sMPaOh6kLokNuXlJhlOFJKtDEBZjAWg97ck092MJoyA/edit#gid=1413746989", "https://docs.google.com/spreadsheets/d/1sMPaOh6kLokNuXlJhlOFJKtDEBZjAWg97ck092MJoyA/edit#gid=1413746989")</f>
        <v>https://docs.google.com/spreadsheets/d/1sMPaOh6kLokNuXlJhlOFJKtDEBZjAWg97ck092MJoyA/edit#gid=1413746989</v>
      </c>
      <c r="H143" s="8" t="s">
        <v>177</v>
      </c>
      <c r="I143" s="9"/>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15"/>
      <c r="B144" s="247"/>
      <c r="C144" s="41"/>
      <c r="D144" s="31"/>
      <c r="E144" s="234" t="s">
        <v>88</v>
      </c>
      <c r="F144" s="38" t="s">
        <v>245</v>
      </c>
      <c r="G144" s="29" t="str">
        <f>HYPERLINK("https://docs.google.com/spreadsheets/d/1sMPaOh6kLokNuXlJhlOFJKtDEBZjAWg97ck092MJoyA/edit#gid=29985690", "https://docs.google.com/spreadsheets/d/1sMPaOh6kLokNuXlJhlOFJKtDEBZjAWg97ck092MJoyA/edit#gid=29985690")</f>
        <v>https://docs.google.com/spreadsheets/d/1sMPaOh6kLokNuXlJhlOFJKtDEBZjAWg97ck092MJoyA/edit#gid=29985690</v>
      </c>
      <c r="H144" s="38" t="s">
        <v>2612</v>
      </c>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15"/>
      <c r="B145" s="247"/>
      <c r="C145" s="41"/>
      <c r="D145" s="31"/>
      <c r="E145" s="234" t="s">
        <v>88</v>
      </c>
      <c r="F145" s="28" t="s">
        <v>122</v>
      </c>
      <c r="G145" s="29" t="str">
        <f>HYPERLINK("https://docs.google.com/spreadsheets/d/1sMPaOh6kLokNuXlJhlOFJKtDEBZjAWg97ck092MJoyA/edit#gid=649426134", "https://docs.google.com/spreadsheets/d/1sMPaOh6kLokNuXlJhlOFJKtDEBZjAWg97ck092MJoyA/edit#gid=649426134")</f>
        <v>https://docs.google.com/spreadsheets/d/1sMPaOh6kLokNuXlJhlOFJKtDEBZjAWg97ck092MJoyA/edit#gid=649426134</v>
      </c>
      <c r="H145" s="38" t="s">
        <v>122</v>
      </c>
      <c r="I145" s="31"/>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15"/>
      <c r="B146" s="247"/>
      <c r="C146" s="41"/>
      <c r="D146" s="31"/>
      <c r="E146" s="195" t="s">
        <v>43</v>
      </c>
      <c r="F146" s="8" t="s">
        <v>53</v>
      </c>
      <c r="G146" s="29" t="str">
        <f>HYPERLINK("https://docs.google.com/spreadsheets/d/1sMPaOh6kLokNuXlJhlOFJKtDEBZjAWg97ck092MJoyA/edit#gid=1550738887", "https://docs.google.com/spreadsheets/d/1sMPaOh6kLokNuXlJhlOFJKtDEBZjAWg97ck092MJoyA/edit#gid=1550738887")</f>
        <v>https://docs.google.com/spreadsheets/d/1sMPaOh6kLokNuXlJhlOFJKtDEBZjAWg97ck092MJoyA/edit#gid=1550738887</v>
      </c>
      <c r="H146" s="8" t="s">
        <v>325</v>
      </c>
      <c r="I146" s="31"/>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15"/>
      <c r="B147" s="247"/>
      <c r="C147" s="54"/>
      <c r="D147" s="55"/>
      <c r="E147" s="195" t="s">
        <v>104</v>
      </c>
      <c r="F147" s="8" t="s">
        <v>250</v>
      </c>
      <c r="G147" s="29" t="str">
        <f>HYPERLINK("https://docs.google.com/spreadsheets/d/1sMPaOh6kLokNuXlJhlOFJKtDEBZjAWg97ck092MJoyA/edit#gid=1059312901", "https://docs.google.com/spreadsheets/d/1sMPaOh6kLokNuXlJhlOFJKtDEBZjAWg97ck092MJoyA/edit#gid=1059312901")</f>
        <v>https://docs.google.com/spreadsheets/d/1sMPaOh6kLokNuXlJhlOFJKtDEBZjAWg97ck092MJoyA/edit#gid=1059312901</v>
      </c>
      <c r="H147" s="8" t="s">
        <v>1981</v>
      </c>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15"/>
      <c r="B148" s="247"/>
      <c r="C148" s="54"/>
      <c r="D148" s="55"/>
      <c r="E148" s="248"/>
      <c r="F148" s="31"/>
      <c r="G148" s="29"/>
      <c r="H148" s="31"/>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15"/>
      <c r="B149" s="247"/>
      <c r="C149" s="54"/>
      <c r="D149" s="55"/>
      <c r="E149" s="248"/>
      <c r="F149" s="31"/>
      <c r="G149" s="29"/>
      <c r="H149" s="31"/>
      <c r="I149" s="9"/>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15"/>
      <c r="B150" s="247"/>
      <c r="C150" s="54"/>
      <c r="D150" s="55"/>
      <c r="E150" s="249"/>
      <c r="F150" s="31"/>
      <c r="G150" s="29"/>
      <c r="H150" s="31"/>
      <c r="I150" s="9"/>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15"/>
      <c r="B151" s="247"/>
      <c r="C151" s="54"/>
      <c r="D151" s="55"/>
      <c r="E151" s="249"/>
      <c r="F151" s="30"/>
      <c r="G151" s="29"/>
      <c r="H151" s="30"/>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15"/>
      <c r="B152" s="247"/>
      <c r="C152" s="54"/>
      <c r="D152" s="55"/>
      <c r="E152" s="249"/>
      <c r="F152" s="37"/>
      <c r="G152" s="29"/>
      <c r="H152" s="30"/>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15"/>
      <c r="B153" s="247"/>
      <c r="C153" s="54"/>
      <c r="D153" s="55"/>
      <c r="E153" s="248"/>
      <c r="F153" s="31"/>
      <c r="G153" s="29"/>
      <c r="H153" s="31"/>
      <c r="I153" s="31"/>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15"/>
      <c r="B154" s="247"/>
      <c r="C154" s="54"/>
      <c r="D154" s="55"/>
      <c r="E154" s="248"/>
      <c r="F154" s="31"/>
      <c r="G154" s="29"/>
      <c r="H154" s="31"/>
      <c r="I154" s="31"/>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15"/>
      <c r="B155" s="247"/>
      <c r="C155" s="54"/>
      <c r="D155" s="55"/>
      <c r="E155" s="248"/>
      <c r="F155" s="31"/>
      <c r="G155" s="29"/>
      <c r="H155" s="31"/>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15"/>
      <c r="B156" s="247"/>
      <c r="C156" s="54"/>
      <c r="D156" s="55"/>
      <c r="E156" s="248"/>
      <c r="F156" s="31"/>
      <c r="G156" s="29"/>
      <c r="H156" s="31"/>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15"/>
      <c r="B157" s="247"/>
      <c r="C157" s="54"/>
      <c r="D157" s="55"/>
      <c r="E157" s="248"/>
      <c r="F157" s="31"/>
      <c r="G157" s="29"/>
      <c r="H157" s="31"/>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15"/>
      <c r="B158" s="247"/>
      <c r="C158" s="54"/>
      <c r="D158" s="55"/>
      <c r="E158" s="249"/>
      <c r="F158" s="31"/>
      <c r="G158" s="29"/>
      <c r="H158" s="31"/>
      <c r="I158" s="9"/>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15"/>
      <c r="B159" s="247"/>
      <c r="C159" s="54"/>
      <c r="D159" s="55"/>
      <c r="E159" s="249"/>
      <c r="F159" s="30"/>
      <c r="G159" s="29"/>
      <c r="H159" s="30"/>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15"/>
      <c r="B160" s="247"/>
      <c r="C160" s="54"/>
      <c r="D160" s="55"/>
      <c r="E160" s="249"/>
      <c r="F160" s="37"/>
      <c r="G160" s="29"/>
      <c r="H160" s="30"/>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15"/>
      <c r="B161" s="247"/>
      <c r="C161" s="54"/>
      <c r="D161" s="55"/>
      <c r="E161" s="248"/>
      <c r="F161" s="31"/>
      <c r="G161" s="29"/>
      <c r="H161" s="31"/>
      <c r="I161" s="31"/>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15"/>
      <c r="B162" s="247"/>
      <c r="C162" s="54"/>
      <c r="D162" s="55"/>
      <c r="E162" s="248"/>
      <c r="F162" s="31"/>
      <c r="G162" s="29"/>
      <c r="H162" s="31"/>
      <c r="I162" s="31"/>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15"/>
      <c r="B163" s="247"/>
      <c r="C163" s="41"/>
      <c r="D163" s="31"/>
      <c r="E163" s="248"/>
      <c r="F163" s="31"/>
      <c r="G163" s="29"/>
      <c r="H163" s="31"/>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15"/>
      <c r="B164" s="247"/>
      <c r="C164" s="41"/>
      <c r="D164" s="31"/>
      <c r="E164" s="248"/>
      <c r="F164" s="31"/>
      <c r="G164" s="29"/>
      <c r="H164" s="31"/>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15"/>
      <c r="B165" s="247"/>
      <c r="C165" s="41"/>
      <c r="D165" s="31"/>
      <c r="E165" s="248"/>
      <c r="F165" s="31"/>
      <c r="G165" s="29"/>
      <c r="H165" s="31"/>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15"/>
      <c r="B166" s="247"/>
      <c r="C166" s="41"/>
      <c r="D166" s="31"/>
      <c r="E166" s="249"/>
      <c r="F166" s="31"/>
      <c r="G166" s="29"/>
      <c r="H166" s="31"/>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15"/>
      <c r="B167" s="247"/>
      <c r="C167" s="41"/>
      <c r="D167" s="31"/>
      <c r="E167" s="249"/>
      <c r="F167" s="30"/>
      <c r="G167" s="29"/>
      <c r="H167" s="30"/>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15"/>
      <c r="B168" s="247"/>
      <c r="C168" s="41"/>
      <c r="D168" s="31"/>
      <c r="E168" s="249"/>
      <c r="F168" s="37"/>
      <c r="G168" s="29"/>
      <c r="H168" s="30"/>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15"/>
      <c r="B169" s="247"/>
      <c r="C169" s="41"/>
      <c r="D169" s="31"/>
      <c r="E169" s="248"/>
      <c r="F169" s="31"/>
      <c r="G169" s="29"/>
      <c r="H169" s="31"/>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15"/>
      <c r="B170" s="247"/>
      <c r="C170" s="54"/>
      <c r="D170" s="55"/>
      <c r="E170" s="248"/>
      <c r="F170" s="31"/>
      <c r="G170" s="29"/>
      <c r="H170" s="31"/>
      <c r="I170" s="9"/>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15"/>
      <c r="B171" s="247"/>
      <c r="C171" s="54"/>
      <c r="D171" s="55"/>
      <c r="E171" s="248"/>
      <c r="F171" s="31"/>
      <c r="G171" s="29"/>
      <c r="H171" s="31"/>
      <c r="I171" s="9"/>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15"/>
      <c r="B172" s="247"/>
      <c r="C172" s="54"/>
      <c r="D172" s="55"/>
      <c r="E172" s="248"/>
      <c r="F172" s="31"/>
      <c r="G172" s="29"/>
      <c r="H172" s="31"/>
      <c r="I172" s="9"/>
      <c r="J172" s="9"/>
      <c r="K172" s="11"/>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15"/>
      <c r="B173" s="247"/>
      <c r="C173" s="54"/>
      <c r="D173" s="55"/>
      <c r="E173" s="249"/>
      <c r="F173" s="31"/>
      <c r="G173" s="29"/>
      <c r="H173" s="31"/>
      <c r="I173" s="9"/>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15"/>
      <c r="B174" s="247"/>
      <c r="C174" s="54"/>
      <c r="D174" s="55"/>
      <c r="E174" s="249"/>
      <c r="F174" s="30"/>
      <c r="G174" s="29"/>
      <c r="H174" s="30"/>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15"/>
      <c r="B175" s="247"/>
      <c r="C175" s="54"/>
      <c r="D175" s="55"/>
      <c r="E175" s="249"/>
      <c r="F175" s="37"/>
      <c r="G175" s="29"/>
      <c r="H175" s="30"/>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B176" s="247"/>
      <c r="C176" s="54"/>
      <c r="D176" s="55"/>
      <c r="E176" s="248"/>
      <c r="F176" s="31"/>
      <c r="G176" s="29"/>
      <c r="H176" s="31"/>
      <c r="I176" s="31"/>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15"/>
      <c r="B177" s="247"/>
      <c r="C177" s="54"/>
      <c r="D177" s="55"/>
      <c r="E177" s="248"/>
      <c r="F177" s="31"/>
      <c r="G177" s="29"/>
      <c r="H177" s="31"/>
      <c r="I177" s="31"/>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B178" s="247"/>
      <c r="C178" s="54"/>
      <c r="D178" s="55"/>
      <c r="E178" s="248"/>
      <c r="F178" s="31"/>
      <c r="G178" s="29"/>
      <c r="H178" s="31"/>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15"/>
      <c r="B179" s="247"/>
      <c r="C179" s="54"/>
      <c r="D179" s="55"/>
      <c r="E179" s="248"/>
      <c r="F179" s="31"/>
      <c r="G179" s="29"/>
      <c r="H179" s="31"/>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15"/>
      <c r="B180" s="247"/>
      <c r="C180" s="54"/>
      <c r="D180" s="55"/>
      <c r="E180" s="248"/>
      <c r="F180" s="31"/>
      <c r="G180" s="29"/>
      <c r="H180" s="31"/>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15"/>
      <c r="B181" s="247"/>
      <c r="C181" s="54"/>
      <c r="D181" s="55"/>
      <c r="E181" s="249"/>
      <c r="F181" s="31"/>
      <c r="G181" s="29"/>
      <c r="H181" s="31"/>
      <c r="I181" s="9"/>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15"/>
      <c r="B182" s="247"/>
      <c r="C182" s="54"/>
      <c r="D182" s="55"/>
      <c r="E182" s="249"/>
      <c r="F182" s="30"/>
      <c r="G182" s="29"/>
      <c r="H182" s="30"/>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15"/>
      <c r="B183" s="247"/>
      <c r="C183" s="54"/>
      <c r="D183" s="55"/>
      <c r="E183" s="249"/>
      <c r="F183" s="37"/>
      <c r="G183" s="29"/>
      <c r="H183" s="30"/>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15"/>
      <c r="B184" s="247"/>
      <c r="C184" s="54"/>
      <c r="D184" s="55"/>
      <c r="E184" s="248"/>
      <c r="F184" s="31"/>
      <c r="G184" s="29"/>
      <c r="H184" s="31"/>
      <c r="I184" s="31"/>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15"/>
      <c r="B185" s="247"/>
      <c r="C185" s="54"/>
      <c r="D185" s="55"/>
      <c r="E185" s="248"/>
      <c r="F185" s="31"/>
      <c r="G185" s="29"/>
      <c r="H185" s="31"/>
      <c r="I185" s="31"/>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15"/>
      <c r="B186" s="247"/>
      <c r="C186" s="54"/>
      <c r="D186" s="55"/>
      <c r="E186" s="248"/>
      <c r="F186" s="31"/>
      <c r="G186" s="29"/>
      <c r="H186" s="31"/>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15"/>
      <c r="B187" s="247"/>
      <c r="C187" s="54"/>
      <c r="D187" s="55"/>
      <c r="E187" s="248"/>
      <c r="F187" s="31"/>
      <c r="G187" s="29"/>
      <c r="H187" s="31"/>
      <c r="I187" s="9"/>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15"/>
      <c r="B188" s="247"/>
      <c r="C188" s="54"/>
      <c r="D188" s="55"/>
      <c r="E188" s="248"/>
      <c r="F188" s="31"/>
      <c r="G188" s="29"/>
      <c r="H188" s="31"/>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15"/>
      <c r="B189" s="247"/>
      <c r="C189" s="54"/>
      <c r="D189" s="55"/>
      <c r="E189" s="249"/>
      <c r="F189" s="31"/>
      <c r="G189" s="29"/>
      <c r="H189" s="31"/>
      <c r="I189" s="9"/>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15"/>
      <c r="B190" s="247"/>
      <c r="C190" s="54"/>
      <c r="D190" s="55"/>
      <c r="E190" s="249"/>
      <c r="F190" s="30"/>
      <c r="G190" s="29"/>
      <c r="H190" s="30"/>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B191" s="247"/>
      <c r="C191" s="54"/>
      <c r="D191" s="55"/>
      <c r="E191" s="249"/>
      <c r="F191" s="37"/>
      <c r="G191" s="29"/>
      <c r="H191" s="30"/>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B192" s="247"/>
      <c r="C192" s="54"/>
      <c r="D192" s="55"/>
      <c r="E192" s="248"/>
      <c r="F192" s="31"/>
      <c r="G192" s="29"/>
      <c r="H192" s="31"/>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15"/>
      <c r="B193" s="247"/>
      <c r="C193" s="54"/>
      <c r="D193" s="55"/>
      <c r="E193" s="248"/>
      <c r="F193" s="31"/>
      <c r="G193" s="29"/>
      <c r="H193" s="31"/>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15"/>
      <c r="B194" s="247"/>
      <c r="C194" s="54"/>
      <c r="D194" s="55"/>
      <c r="E194" s="248"/>
      <c r="F194" s="31"/>
      <c r="G194" s="29"/>
      <c r="H194" s="31"/>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15"/>
      <c r="B195" s="247"/>
      <c r="C195" s="54"/>
      <c r="D195" s="55"/>
      <c r="E195" s="248"/>
      <c r="F195" s="31"/>
      <c r="G195" s="29"/>
      <c r="H195" s="31"/>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15"/>
      <c r="B196" s="247"/>
      <c r="C196" s="54"/>
      <c r="D196" s="55"/>
      <c r="E196" s="248"/>
      <c r="F196" s="31"/>
      <c r="G196" s="29"/>
      <c r="H196" s="31"/>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15"/>
      <c r="B197" s="247"/>
      <c r="C197" s="54"/>
      <c r="D197" s="55"/>
      <c r="E197" s="249"/>
      <c r="F197" s="31"/>
      <c r="G197" s="29"/>
      <c r="H197" s="31"/>
      <c r="I197" s="9"/>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15"/>
      <c r="B198" s="247"/>
      <c r="C198" s="54"/>
      <c r="D198" s="55"/>
      <c r="E198" s="249"/>
      <c r="F198" s="30"/>
      <c r="G198" s="29"/>
      <c r="H198" s="30"/>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15"/>
      <c r="B199" s="247"/>
      <c r="C199" s="54"/>
      <c r="D199" s="55"/>
      <c r="E199" s="249"/>
      <c r="F199" s="37"/>
      <c r="G199" s="29"/>
      <c r="H199" s="30"/>
      <c r="I199" s="31"/>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15"/>
      <c r="B200" s="247"/>
      <c r="C200" s="54"/>
      <c r="D200" s="55"/>
      <c r="E200" s="248"/>
      <c r="F200" s="31"/>
      <c r="G200" s="29"/>
      <c r="H200" s="31"/>
      <c r="I200" s="31"/>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B201" s="247"/>
      <c r="C201" s="54"/>
      <c r="D201" s="55"/>
      <c r="E201" s="248"/>
      <c r="F201" s="31"/>
      <c r="G201" s="29"/>
      <c r="H201" s="31"/>
      <c r="I201" s="9"/>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15"/>
      <c r="B202" s="247"/>
      <c r="C202" s="41"/>
      <c r="D202" s="31"/>
      <c r="E202" s="248"/>
      <c r="F202" s="31"/>
      <c r="G202" s="29"/>
      <c r="H202" s="31"/>
      <c r="I202" s="9"/>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B203" s="247"/>
      <c r="C203" s="41"/>
      <c r="D203" s="31"/>
      <c r="E203" s="248"/>
      <c r="F203" s="31"/>
      <c r="G203" s="29"/>
      <c r="H203" s="31"/>
      <c r="I203" s="9"/>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15"/>
      <c r="B204" s="247"/>
      <c r="C204" s="41"/>
      <c r="D204" s="31"/>
      <c r="E204" s="248"/>
      <c r="F204" s="31"/>
      <c r="G204" s="29"/>
      <c r="H204" s="31"/>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B205" s="247"/>
      <c r="C205" s="41"/>
      <c r="D205" s="31"/>
      <c r="E205" s="249"/>
      <c r="F205" s="31"/>
      <c r="G205" s="29"/>
      <c r="H205" s="31"/>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247"/>
      <c r="C206" s="41"/>
      <c r="D206" s="31"/>
      <c r="E206" s="249"/>
      <c r="F206" s="30"/>
      <c r="G206" s="29"/>
      <c r="H206" s="30"/>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247"/>
      <c r="C207" s="41"/>
      <c r="D207" s="31"/>
      <c r="E207" s="249"/>
      <c r="F207" s="37"/>
      <c r="G207" s="29"/>
      <c r="H207" s="30"/>
      <c r="I207" s="31"/>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B208" s="247"/>
      <c r="C208" s="41"/>
      <c r="D208" s="31"/>
      <c r="E208" s="248"/>
      <c r="F208" s="31"/>
      <c r="G208" s="29"/>
      <c r="H208" s="31"/>
      <c r="I208" s="31"/>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B209" s="247"/>
      <c r="C209" s="54"/>
      <c r="D209" s="55"/>
      <c r="E209" s="248"/>
      <c r="F209" s="31"/>
      <c r="G209" s="29"/>
      <c r="H209" s="31"/>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B210" s="247"/>
      <c r="C210" s="54"/>
      <c r="D210" s="55"/>
      <c r="E210" s="248"/>
      <c r="F210" s="31"/>
      <c r="G210" s="29"/>
      <c r="H210" s="31"/>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B211" s="247"/>
      <c r="C211" s="54"/>
      <c r="D211" s="55"/>
      <c r="E211" s="248"/>
      <c r="F211" s="31"/>
      <c r="G211" s="29"/>
      <c r="H211" s="31"/>
      <c r="I211" s="9"/>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B212" s="247"/>
      <c r="C212" s="54"/>
      <c r="D212" s="55"/>
      <c r="E212" s="249"/>
      <c r="F212" s="31"/>
      <c r="G212" s="29"/>
      <c r="H212" s="31"/>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B213" s="247"/>
      <c r="C213" s="54"/>
      <c r="D213" s="55"/>
      <c r="E213" s="249"/>
      <c r="F213" s="30"/>
      <c r="G213" s="29"/>
      <c r="H213" s="30"/>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B214" s="247"/>
      <c r="C214" s="54"/>
      <c r="D214" s="55"/>
      <c r="E214" s="249"/>
      <c r="F214" s="37"/>
      <c r="G214" s="29"/>
      <c r="H214" s="30"/>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B215" s="247"/>
      <c r="C215" s="54"/>
      <c r="D215" s="55"/>
      <c r="E215" s="248"/>
      <c r="F215" s="31"/>
      <c r="G215" s="29"/>
      <c r="H215" s="31"/>
      <c r="I215" s="31"/>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B216" s="247"/>
      <c r="C216" s="54"/>
      <c r="D216" s="55"/>
      <c r="E216" s="248"/>
      <c r="F216" s="31"/>
      <c r="G216" s="29"/>
      <c r="H216" s="31"/>
      <c r="I216" s="31"/>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247"/>
      <c r="C217" s="54"/>
      <c r="D217" s="55"/>
      <c r="E217" s="248"/>
      <c r="F217" s="31"/>
      <c r="G217" s="29"/>
      <c r="H217" s="31"/>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247"/>
      <c r="C218" s="54"/>
      <c r="D218" s="55"/>
      <c r="E218" s="248"/>
      <c r="F218" s="31"/>
      <c r="G218" s="29"/>
      <c r="H218" s="31"/>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247"/>
      <c r="C219" s="54"/>
      <c r="D219" s="55"/>
      <c r="E219" s="248"/>
      <c r="F219" s="31"/>
      <c r="G219" s="29"/>
      <c r="H219" s="31"/>
      <c r="I219" s="9"/>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B220" s="247"/>
      <c r="C220" s="54"/>
      <c r="D220" s="55"/>
      <c r="E220" s="249"/>
      <c r="F220" s="31"/>
      <c r="G220" s="29"/>
      <c r="H220" s="31"/>
      <c r="I220" s="9"/>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B221" s="247"/>
      <c r="C221" s="54"/>
      <c r="D221" s="55"/>
      <c r="E221" s="249"/>
      <c r="F221" s="30"/>
      <c r="G221" s="29"/>
      <c r="H221" s="30"/>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B222" s="247"/>
      <c r="C222" s="54"/>
      <c r="D222" s="55"/>
      <c r="E222" s="249"/>
      <c r="F222" s="37"/>
      <c r="G222" s="29"/>
      <c r="H222" s="30"/>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B223" s="247"/>
      <c r="C223" s="54"/>
      <c r="D223" s="55"/>
      <c r="E223" s="248"/>
      <c r="F223" s="31"/>
      <c r="G223" s="29"/>
      <c r="H223" s="31"/>
      <c r="I223" s="31"/>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B224" s="247"/>
      <c r="C224" s="54"/>
      <c r="D224" s="55"/>
      <c r="E224" s="248"/>
      <c r="F224" s="31"/>
      <c r="G224" s="29"/>
      <c r="H224" s="31"/>
      <c r="I224" s="31"/>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B225" s="247"/>
      <c r="C225" s="54"/>
      <c r="D225" s="55"/>
      <c r="E225" s="248"/>
      <c r="F225" s="31"/>
      <c r="G225" s="29"/>
      <c r="H225" s="31"/>
      <c r="I225" s="9"/>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B226" s="247"/>
      <c r="C226" s="54"/>
      <c r="D226" s="55"/>
      <c r="E226" s="248"/>
      <c r="F226" s="31"/>
      <c r="G226" s="29"/>
      <c r="H226" s="31"/>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B227" s="247"/>
      <c r="C227" s="54"/>
      <c r="D227" s="55"/>
      <c r="E227" s="248"/>
      <c r="F227" s="31"/>
      <c r="G227" s="29"/>
      <c r="H227" s="31"/>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B228" s="247"/>
      <c r="C228" s="54"/>
      <c r="D228" s="55"/>
      <c r="E228" s="249"/>
      <c r="F228" s="31"/>
      <c r="G228" s="29"/>
      <c r="H228" s="31"/>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B229" s="247"/>
      <c r="C229" s="54"/>
      <c r="D229" s="55"/>
      <c r="E229" s="249"/>
      <c r="F229" s="30"/>
      <c r="G229" s="29"/>
      <c r="H229" s="30"/>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247"/>
      <c r="C230" s="54"/>
      <c r="D230" s="55"/>
      <c r="E230" s="249"/>
      <c r="F230" s="37"/>
      <c r="G230" s="29"/>
      <c r="H230" s="30"/>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247"/>
      <c r="C231" s="54"/>
      <c r="D231" s="55"/>
      <c r="E231" s="248"/>
      <c r="F231" s="31"/>
      <c r="G231" s="29"/>
      <c r="H231" s="31"/>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B232" s="247"/>
      <c r="C232" s="54"/>
      <c r="D232" s="55"/>
      <c r="E232" s="248"/>
      <c r="F232" s="31"/>
      <c r="G232" s="29"/>
      <c r="H232" s="31"/>
      <c r="I232" s="9"/>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B233" s="247"/>
      <c r="C233" s="54"/>
      <c r="D233" s="55"/>
      <c r="E233" s="248"/>
      <c r="F233" s="31"/>
      <c r="G233" s="29"/>
      <c r="H233" s="31"/>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B234" s="247"/>
      <c r="C234" s="54"/>
      <c r="D234" s="55"/>
      <c r="E234" s="248"/>
      <c r="F234" s="31"/>
      <c r="G234" s="29"/>
      <c r="H234" s="31"/>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B235" s="247"/>
      <c r="C235" s="54"/>
      <c r="D235" s="55"/>
      <c r="E235" s="248"/>
      <c r="F235" s="31"/>
      <c r="G235" s="29"/>
      <c r="H235" s="31"/>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B236" s="247"/>
      <c r="C236" s="54"/>
      <c r="D236" s="55"/>
      <c r="E236" s="248"/>
      <c r="F236" s="31"/>
      <c r="G236" s="29"/>
      <c r="H236" s="31"/>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B237" s="247"/>
      <c r="C237" s="54"/>
      <c r="D237" s="55"/>
      <c r="E237" s="249"/>
      <c r="F237" s="31"/>
      <c r="G237" s="29"/>
      <c r="H237" s="31"/>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B238" s="247"/>
      <c r="C238" s="54"/>
      <c r="D238" s="55"/>
      <c r="E238" s="249"/>
      <c r="F238" s="30"/>
      <c r="G238" s="29"/>
      <c r="H238" s="30"/>
      <c r="I238" s="31"/>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B239" s="247"/>
      <c r="C239" s="54"/>
      <c r="D239" s="55"/>
      <c r="E239" s="249"/>
      <c r="F239" s="37"/>
      <c r="G239" s="29"/>
      <c r="H239" s="30"/>
      <c r="I239" s="31"/>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B240" s="247"/>
      <c r="C240" s="54"/>
      <c r="D240" s="55"/>
      <c r="E240" s="248"/>
      <c r="F240" s="59"/>
      <c r="G240" s="29"/>
      <c r="H240" s="59"/>
      <c r="I240" s="9"/>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B241" s="247"/>
      <c r="C241" s="54"/>
      <c r="D241" s="55"/>
      <c r="E241" s="248"/>
      <c r="F241" s="31"/>
      <c r="G241" s="29"/>
      <c r="H241" s="31"/>
      <c r="I241" s="9"/>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B242" s="247"/>
      <c r="C242" s="41"/>
      <c r="D242" s="31"/>
      <c r="E242" s="248"/>
      <c r="F242" s="31"/>
      <c r="G242" s="29"/>
      <c r="H242" s="31"/>
      <c r="I242" s="9"/>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247"/>
      <c r="C243" s="41"/>
      <c r="D243" s="31"/>
      <c r="E243" s="248"/>
      <c r="F243" s="31"/>
      <c r="G243" s="29"/>
      <c r="H243" s="31"/>
      <c r="I243" s="9"/>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247"/>
      <c r="C244" s="41"/>
      <c r="D244" s="31"/>
      <c r="E244" s="248"/>
      <c r="F244" s="31"/>
      <c r="G244" s="29"/>
      <c r="H244" s="31"/>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B245" s="247"/>
      <c r="C245" s="41"/>
      <c r="D245" s="31"/>
      <c r="E245" s="248"/>
      <c r="F245" s="31"/>
      <c r="G245" s="29"/>
      <c r="H245" s="31"/>
      <c r="I245" s="31"/>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B246" s="247"/>
      <c r="C246" s="41"/>
      <c r="D246" s="31"/>
      <c r="E246" s="249"/>
      <c r="F246" s="31"/>
      <c r="G246" s="29"/>
      <c r="H246" s="31"/>
      <c r="I246" s="31"/>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B247" s="247"/>
      <c r="C247" s="41"/>
      <c r="D247" s="31"/>
      <c r="E247" s="249"/>
      <c r="F247" s="30"/>
      <c r="G247" s="29"/>
      <c r="H247" s="30"/>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B248" s="247"/>
      <c r="C248" s="41"/>
      <c r="D248" s="31"/>
      <c r="E248" s="249"/>
      <c r="F248" s="37"/>
      <c r="G248" s="29"/>
      <c r="H248" s="30"/>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B249" s="247"/>
      <c r="C249" s="41"/>
      <c r="D249" s="31"/>
      <c r="E249" s="248"/>
      <c r="F249" s="59"/>
      <c r="G249" s="29"/>
      <c r="H249" s="59"/>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B250" s="247"/>
      <c r="C250" s="54"/>
      <c r="D250" s="55"/>
      <c r="E250" s="248"/>
      <c r="F250" s="31"/>
      <c r="G250" s="29"/>
      <c r="H250" s="31"/>
      <c r="I250" s="9"/>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B251" s="247"/>
      <c r="C251" s="54"/>
      <c r="D251" s="55"/>
      <c r="E251" s="248"/>
      <c r="F251" s="31"/>
      <c r="G251" s="29"/>
      <c r="H251" s="31"/>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B252" s="247"/>
      <c r="C252" s="54"/>
      <c r="D252" s="55"/>
      <c r="E252" s="248"/>
      <c r="F252" s="31"/>
      <c r="G252" s="29"/>
      <c r="H252" s="31"/>
      <c r="I252" s="31"/>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B253" s="247"/>
      <c r="C253" s="54"/>
      <c r="D253" s="55"/>
      <c r="E253" s="248"/>
      <c r="F253" s="31"/>
      <c r="G253" s="29"/>
      <c r="H253" s="31"/>
      <c r="I253" s="31"/>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B254" s="247"/>
      <c r="C254" s="54"/>
      <c r="D254" s="55"/>
      <c r="E254" s="249"/>
      <c r="F254" s="31"/>
      <c r="G254" s="29"/>
      <c r="H254" s="31"/>
      <c r="I254" s="9"/>
      <c r="J254" s="9"/>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B255" s="247"/>
      <c r="C255" s="54"/>
      <c r="D255" s="55"/>
      <c r="E255" s="249"/>
      <c r="F255" s="30"/>
      <c r="G255" s="29"/>
      <c r="H255" s="30"/>
      <c r="I255" s="9"/>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B256" s="247"/>
      <c r="C256" s="54"/>
      <c r="D256" s="55"/>
      <c r="E256" s="249"/>
      <c r="F256" s="37"/>
      <c r="G256" s="29"/>
      <c r="H256" s="30"/>
      <c r="I256" s="9"/>
      <c r="J256" s="9"/>
      <c r="K256" s="11"/>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247"/>
      <c r="C257" s="54"/>
      <c r="D257" s="55"/>
      <c r="E257" s="248"/>
      <c r="F257" s="59"/>
      <c r="G257" s="29"/>
      <c r="H257" s="59"/>
      <c r="I257" s="9"/>
      <c r="J257" s="9"/>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247"/>
      <c r="C258" s="41"/>
      <c r="D258" s="31"/>
      <c r="E258" s="249"/>
      <c r="F258" s="31"/>
      <c r="G258" s="250"/>
      <c r="H258" s="31"/>
      <c r="I258" s="9"/>
      <c r="J258" s="9"/>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B259" s="233"/>
      <c r="C259" s="54"/>
      <c r="D259" s="55"/>
      <c r="E259" s="248"/>
      <c r="F259" s="31"/>
      <c r="G259" s="34"/>
      <c r="H259" s="31"/>
      <c r="I259" s="9"/>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B260" s="233"/>
      <c r="C260" s="54"/>
      <c r="D260" s="55"/>
      <c r="E260" s="248"/>
      <c r="F260" s="31"/>
      <c r="G260" s="34"/>
      <c r="H260" s="31"/>
      <c r="I260" s="9"/>
      <c r="J260" s="9"/>
      <c r="K260" s="6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B261" s="233"/>
      <c r="C261" s="54"/>
      <c r="D261" s="55"/>
      <c r="E261" s="248"/>
      <c r="F261" s="31"/>
      <c r="G261" s="34"/>
      <c r="H261" s="31"/>
      <c r="I261" s="31"/>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B262" s="233"/>
      <c r="C262" s="54"/>
      <c r="D262" s="55"/>
      <c r="E262" s="249"/>
      <c r="F262" s="31"/>
      <c r="G262" s="34"/>
      <c r="H262" s="31"/>
      <c r="I262" s="9"/>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B263" s="233"/>
      <c r="C263" s="54"/>
      <c r="D263" s="55"/>
      <c r="E263" s="249"/>
      <c r="F263" s="30"/>
      <c r="G263" s="34"/>
      <c r="H263" s="30"/>
      <c r="I263" s="31"/>
      <c r="J263" s="9"/>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B264" s="233"/>
      <c r="C264" s="54"/>
      <c r="D264" s="55"/>
      <c r="E264" s="249"/>
      <c r="F264" s="37"/>
      <c r="G264" s="34"/>
      <c r="H264" s="30"/>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B265" s="233"/>
      <c r="C265" s="54"/>
      <c r="D265" s="55"/>
      <c r="E265" s="248"/>
      <c r="F265" s="31"/>
      <c r="G265" s="34"/>
      <c r="H265" s="31"/>
      <c r="I265" s="9"/>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B266" s="233"/>
      <c r="C266" s="54"/>
      <c r="D266" s="55"/>
      <c r="E266" s="248"/>
      <c r="F266" s="62"/>
      <c r="G266" s="34"/>
      <c r="H266" s="62"/>
      <c r="J266" s="9"/>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B267" s="233"/>
      <c r="C267" s="54"/>
      <c r="D267" s="55"/>
      <c r="E267" s="248"/>
      <c r="F267" s="31"/>
      <c r="G267" s="34"/>
      <c r="H267" s="31"/>
      <c r="I267" s="9"/>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B268" s="233"/>
      <c r="C268" s="41"/>
      <c r="D268" s="31"/>
      <c r="E268" s="248"/>
      <c r="F268" s="31"/>
      <c r="G268" s="34"/>
      <c r="H268" s="31"/>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B269" s="233"/>
      <c r="C269" s="41"/>
      <c r="D269" s="31"/>
      <c r="E269" s="248"/>
      <c r="F269" s="31"/>
      <c r="G269" s="34"/>
      <c r="H269" s="31"/>
      <c r="I269" s="9"/>
      <c r="J269" s="9"/>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B270" s="233"/>
      <c r="C270" s="41"/>
      <c r="D270" s="31"/>
      <c r="E270" s="248"/>
      <c r="F270" s="31"/>
      <c r="G270" s="34"/>
      <c r="H270" s="31"/>
      <c r="I270" s="9"/>
      <c r="J270" s="9"/>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B271" s="233"/>
      <c r="C271" s="41"/>
      <c r="D271" s="31"/>
      <c r="E271" s="249"/>
      <c r="F271" s="31"/>
      <c r="G271" s="34"/>
      <c r="H271" s="31"/>
      <c r="I271" s="9"/>
      <c r="J271" s="9"/>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233"/>
      <c r="C272" s="41"/>
      <c r="D272" s="31"/>
      <c r="E272" s="249"/>
      <c r="F272" s="30"/>
      <c r="G272" s="34"/>
      <c r="H272" s="30"/>
      <c r="I272" s="9"/>
      <c r="J272" s="9"/>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233"/>
      <c r="C273" s="41"/>
      <c r="D273" s="31"/>
      <c r="E273" s="249"/>
      <c r="F273" s="37"/>
      <c r="G273" s="34"/>
      <c r="H273" s="30"/>
      <c r="I273" s="9"/>
      <c r="J273" s="9"/>
      <c r="K273" s="11"/>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B274" s="233"/>
      <c r="C274" s="41"/>
      <c r="D274" s="31"/>
      <c r="E274" s="248"/>
      <c r="F274" s="31"/>
      <c r="G274" s="34"/>
      <c r="H274" s="31"/>
      <c r="I274" s="9"/>
      <c r="J274" s="9"/>
      <c r="K274" s="11"/>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B275" s="233"/>
      <c r="C275" s="41"/>
      <c r="D275" s="31"/>
      <c r="E275" s="248"/>
      <c r="F275" s="62"/>
      <c r="G275" s="34"/>
      <c r="H275" s="62"/>
      <c r="J275" s="9"/>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B276" s="233"/>
      <c r="C276" s="41"/>
      <c r="D276" s="31"/>
      <c r="E276" s="248"/>
      <c r="F276" s="31"/>
      <c r="G276" s="34"/>
      <c r="H276" s="31"/>
      <c r="I276" s="9"/>
      <c r="J276" s="9"/>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B277" s="233"/>
      <c r="C277" s="41"/>
      <c r="D277" s="31"/>
      <c r="E277" s="248"/>
      <c r="F277" s="31"/>
      <c r="G277" s="34"/>
      <c r="H277" s="31"/>
      <c r="I277" s="9"/>
      <c r="J277" s="9"/>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B278" s="233"/>
      <c r="C278" s="41"/>
      <c r="D278" s="31"/>
      <c r="E278" s="248"/>
      <c r="F278" s="31"/>
      <c r="G278" s="34"/>
      <c r="H278" s="31"/>
      <c r="I278" s="9"/>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B279" s="233"/>
      <c r="C279" s="41"/>
      <c r="D279" s="31"/>
      <c r="E279" s="248"/>
      <c r="F279" s="31"/>
      <c r="G279" s="34"/>
      <c r="H279" s="31"/>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B280" s="233"/>
      <c r="C280" s="41"/>
      <c r="D280" s="31"/>
      <c r="E280" s="249"/>
      <c r="F280" s="31"/>
      <c r="G280" s="34"/>
      <c r="H280" s="31"/>
      <c r="I280" s="9"/>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B281" s="233"/>
      <c r="C281" s="41"/>
      <c r="D281" s="31"/>
      <c r="E281" s="249"/>
      <c r="F281" s="30"/>
      <c r="G281" s="34"/>
      <c r="H281" s="30"/>
      <c r="I281" s="9"/>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B282" s="233"/>
      <c r="C282" s="41"/>
      <c r="D282" s="31"/>
      <c r="E282" s="249"/>
      <c r="F282" s="37"/>
      <c r="G282" s="34"/>
      <c r="H282" s="30"/>
      <c r="I282" s="9"/>
      <c r="J282" s="9"/>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B283" s="233"/>
      <c r="C283" s="41"/>
      <c r="D283" s="31"/>
      <c r="E283" s="248"/>
      <c r="F283" s="31"/>
      <c r="G283" s="34"/>
      <c r="H283" s="31"/>
      <c r="I283" s="9"/>
      <c r="J283" s="9"/>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B284" s="233"/>
      <c r="C284" s="41"/>
      <c r="D284" s="31"/>
      <c r="E284" s="248"/>
      <c r="F284" s="62"/>
      <c r="G284" s="34"/>
      <c r="H284" s="62"/>
      <c r="I284" s="9"/>
      <c r="J284" s="9"/>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233"/>
      <c r="C285" s="39"/>
      <c r="D285" s="31"/>
      <c r="E285" s="248"/>
      <c r="F285" s="31"/>
      <c r="G285" s="34"/>
      <c r="H285" s="31"/>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233"/>
      <c r="C286" s="39"/>
      <c r="D286" s="31"/>
      <c r="E286" s="248"/>
      <c r="F286" s="31"/>
      <c r="G286" s="34"/>
      <c r="H286" s="31"/>
      <c r="I286" s="9"/>
      <c r="J286" s="9"/>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B287" s="233"/>
      <c r="C287" s="39"/>
      <c r="D287" s="31"/>
      <c r="E287" s="248"/>
      <c r="F287" s="31"/>
      <c r="G287" s="34"/>
      <c r="H287" s="31"/>
      <c r="I287" s="9"/>
      <c r="J287" s="9"/>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B288" s="233"/>
      <c r="C288" s="39"/>
      <c r="D288" s="31"/>
      <c r="E288" s="248"/>
      <c r="F288" s="31"/>
      <c r="G288" s="34"/>
      <c r="H288" s="31"/>
      <c r="J288" s="9"/>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B289" s="233"/>
      <c r="C289" s="39"/>
      <c r="D289" s="31"/>
      <c r="E289" s="249"/>
      <c r="F289" s="31"/>
      <c r="G289" s="34"/>
      <c r="H289" s="31"/>
      <c r="I289" s="9"/>
      <c r="J289" s="9"/>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B290" s="233"/>
      <c r="C290" s="39"/>
      <c r="D290" s="31"/>
      <c r="E290" s="249"/>
      <c r="F290" s="30"/>
      <c r="G290" s="34"/>
      <c r="H290" s="30"/>
      <c r="I290" s="9"/>
      <c r="J290" s="9"/>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B291" s="233"/>
      <c r="C291" s="39"/>
      <c r="D291" s="31"/>
      <c r="E291" s="249"/>
      <c r="F291" s="37"/>
      <c r="G291" s="34"/>
      <c r="H291" s="30"/>
      <c r="I291" s="9"/>
      <c r="J291" s="9"/>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B292" s="233"/>
      <c r="C292" s="39"/>
      <c r="D292" s="31"/>
      <c r="E292" s="248"/>
      <c r="F292" s="31"/>
      <c r="G292" s="34"/>
      <c r="H292" s="31"/>
      <c r="I292" s="9"/>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B293" s="233"/>
      <c r="C293" s="39"/>
      <c r="D293" s="31"/>
      <c r="E293" s="248"/>
      <c r="F293" s="62"/>
      <c r="G293" s="34"/>
      <c r="H293" s="62"/>
      <c r="I293" s="9"/>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B294" s="233"/>
      <c r="C294" s="44"/>
      <c r="D294" s="9"/>
      <c r="E294" s="245"/>
      <c r="F294" s="9"/>
      <c r="G294" s="251"/>
      <c r="H294" s="9"/>
      <c r="I294" s="9"/>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B295" s="252"/>
      <c r="C295" s="64"/>
      <c r="E295" s="253"/>
      <c r="G295" s="254"/>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B296" s="233"/>
      <c r="C296" s="64"/>
      <c r="E296" s="253"/>
      <c r="G296" s="254"/>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B297" s="252"/>
      <c r="C297" s="64"/>
      <c r="E297" s="253"/>
      <c r="G297" s="254"/>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B298" s="233"/>
      <c r="C298" s="64"/>
      <c r="E298" s="253"/>
      <c r="G298" s="254"/>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252"/>
      <c r="C299" s="41"/>
      <c r="D299" s="31"/>
      <c r="E299" s="248"/>
      <c r="F299" s="31"/>
      <c r="G299" s="34"/>
      <c r="H299" s="9"/>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233"/>
      <c r="C300" s="41"/>
      <c r="D300" s="31"/>
      <c r="E300" s="248"/>
      <c r="F300" s="31"/>
      <c r="G300" s="34"/>
      <c r="H300" s="31"/>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B301" s="233"/>
      <c r="C301" s="41"/>
      <c r="D301" s="31"/>
      <c r="E301" s="248"/>
      <c r="F301" s="31"/>
      <c r="G301" s="34"/>
      <c r="H301" s="31"/>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B302" s="252"/>
      <c r="C302" s="41"/>
      <c r="D302" s="31"/>
      <c r="E302" s="249"/>
      <c r="F302" s="31"/>
      <c r="G302" s="34"/>
      <c r="H302" s="31"/>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B303" s="233"/>
      <c r="C303" s="41"/>
      <c r="D303" s="31"/>
      <c r="E303" s="249"/>
      <c r="F303" s="30"/>
      <c r="G303" s="34"/>
      <c r="H303" s="30"/>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B304" s="233"/>
      <c r="C304" s="39"/>
      <c r="D304" s="8"/>
      <c r="E304" s="234"/>
      <c r="F304" s="38"/>
      <c r="G304" s="34"/>
      <c r="H304" s="3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B305" s="233"/>
      <c r="C305" s="39"/>
      <c r="D305" s="8"/>
      <c r="E305" s="195"/>
      <c r="F305" s="38"/>
      <c r="G305" s="34"/>
      <c r="H305" s="3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B306" s="233"/>
      <c r="C306" s="39"/>
      <c r="D306" s="8"/>
      <c r="E306" s="255"/>
      <c r="F306" s="35"/>
      <c r="G306" s="34"/>
      <c r="H306" s="35"/>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B307" s="233"/>
      <c r="C307" s="39"/>
      <c r="D307" s="8"/>
      <c r="E307" s="256"/>
      <c r="F307" s="35"/>
      <c r="G307" s="34"/>
      <c r="H307" s="62"/>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B308" s="257"/>
      <c r="C308" s="66"/>
      <c r="D308" s="32"/>
      <c r="E308" s="256"/>
      <c r="F308" s="35"/>
      <c r="G308" s="258"/>
      <c r="H308" s="35"/>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B309" s="257"/>
      <c r="C309" s="66"/>
      <c r="D309" s="32"/>
      <c r="E309" s="230"/>
      <c r="F309" s="35"/>
      <c r="G309" s="258"/>
      <c r="H309" s="35"/>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B310" s="259"/>
      <c r="C310" s="68"/>
      <c r="D310" s="31"/>
      <c r="E310" s="248"/>
      <c r="F310" s="31"/>
      <c r="G310" s="69"/>
      <c r="H310" s="31"/>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B311" s="259"/>
      <c r="C311" s="68"/>
      <c r="D311" s="31"/>
      <c r="E311" s="248"/>
      <c r="F311" s="31"/>
      <c r="G311" s="250"/>
      <c r="H311" s="31"/>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B312" s="259"/>
      <c r="C312" s="68"/>
      <c r="D312" s="31"/>
      <c r="E312" s="248"/>
      <c r="F312" s="31"/>
      <c r="G312" s="250"/>
      <c r="H312" s="31"/>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15"/>
      <c r="B313" s="260"/>
      <c r="C313" s="21"/>
      <c r="D313" s="15"/>
      <c r="E313" s="261"/>
      <c r="F313" s="15"/>
      <c r="G313" s="262"/>
      <c r="H313" s="15"/>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260"/>
      <c r="C314" s="21"/>
      <c r="D314" s="15"/>
      <c r="E314" s="261"/>
      <c r="F314" s="15"/>
      <c r="G314" s="262"/>
      <c r="H314" s="15"/>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260"/>
      <c r="C315" s="21"/>
      <c r="D315" s="15"/>
      <c r="E315" s="261"/>
      <c r="F315" s="15"/>
      <c r="G315" s="262"/>
      <c r="H315" s="15"/>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B316" s="260"/>
      <c r="C316" s="21"/>
      <c r="D316" s="15"/>
      <c r="E316" s="261"/>
      <c r="F316" s="15"/>
      <c r="G316" s="262"/>
      <c r="H316" s="15"/>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B317" s="260"/>
      <c r="C317" s="21"/>
      <c r="D317" s="15"/>
      <c r="E317" s="261"/>
      <c r="F317" s="15"/>
      <c r="G317" s="262"/>
      <c r="H317" s="15"/>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B318" s="260"/>
      <c r="C318" s="21"/>
      <c r="D318" s="15"/>
      <c r="E318" s="261"/>
      <c r="F318" s="15"/>
      <c r="G318" s="262"/>
      <c r="H318" s="15"/>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B319" s="260"/>
      <c r="C319" s="21"/>
      <c r="D319" s="15"/>
      <c r="E319" s="261"/>
      <c r="F319" s="15"/>
      <c r="G319" s="262"/>
      <c r="H319" s="15"/>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B320" s="260"/>
      <c r="C320" s="21"/>
      <c r="D320" s="15"/>
      <c r="E320" s="261"/>
      <c r="F320" s="15"/>
      <c r="G320" s="262"/>
      <c r="H320" s="15"/>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B321" s="260"/>
      <c r="C321" s="21"/>
      <c r="D321" s="15"/>
      <c r="E321" s="261"/>
      <c r="F321" s="15"/>
      <c r="G321" s="262"/>
      <c r="H321" s="1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B322" s="260"/>
      <c r="C322" s="21"/>
      <c r="D322" s="15"/>
      <c r="E322" s="261"/>
      <c r="F322" s="15"/>
      <c r="G322" s="262"/>
      <c r="H322" s="1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B323" s="260"/>
      <c r="C323" s="21"/>
      <c r="D323" s="15"/>
      <c r="E323" s="261"/>
      <c r="F323" s="15"/>
      <c r="G323" s="262"/>
      <c r="H323" s="1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B324" s="260"/>
      <c r="C324" s="21"/>
      <c r="D324" s="15"/>
      <c r="E324" s="261"/>
      <c r="F324" s="15"/>
      <c r="G324" s="262"/>
      <c r="H324" s="15"/>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B325" s="260"/>
      <c r="C325" s="21"/>
      <c r="D325" s="15"/>
      <c r="E325" s="261"/>
      <c r="F325" s="15"/>
      <c r="G325" s="262"/>
      <c r="H325" s="1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B326" s="260"/>
      <c r="C326" s="21"/>
      <c r="D326" s="15"/>
      <c r="E326" s="261"/>
      <c r="F326" s="15"/>
      <c r="G326" s="262"/>
      <c r="H326" s="15"/>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B327" s="260"/>
      <c r="C327" s="21"/>
      <c r="D327" s="15"/>
      <c r="E327" s="261"/>
      <c r="F327" s="15"/>
      <c r="G327" s="262"/>
      <c r="H327" s="15"/>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B328" s="260"/>
      <c r="C328" s="21"/>
      <c r="D328" s="15"/>
      <c r="E328" s="261"/>
      <c r="F328" s="15"/>
      <c r="G328" s="262"/>
      <c r="H328" s="15"/>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B329" s="260"/>
      <c r="C329" s="21"/>
      <c r="D329" s="15"/>
      <c r="E329" s="261"/>
      <c r="F329" s="15"/>
      <c r="G329" s="262"/>
      <c r="H329" s="15"/>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260"/>
      <c r="C330" s="21"/>
      <c r="D330" s="15"/>
      <c r="E330" s="261"/>
      <c r="F330" s="15"/>
      <c r="G330" s="262"/>
      <c r="H330" s="15"/>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260"/>
      <c r="C331" s="21"/>
      <c r="D331" s="15"/>
      <c r="E331" s="261"/>
      <c r="F331" s="15"/>
      <c r="G331" s="262"/>
      <c r="H331" s="15"/>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B332" s="260"/>
      <c r="C332" s="21"/>
      <c r="D332" s="15"/>
      <c r="E332" s="261"/>
      <c r="F332" s="15"/>
      <c r="G332" s="262"/>
      <c r="H332" s="15"/>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B333" s="260"/>
      <c r="C333" s="21"/>
      <c r="D333" s="15"/>
      <c r="E333" s="261"/>
      <c r="F333" s="15"/>
      <c r="G333" s="262"/>
      <c r="H333" s="15"/>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B334" s="260"/>
      <c r="C334" s="21"/>
      <c r="D334" s="15"/>
      <c r="E334" s="261"/>
      <c r="F334" s="15"/>
      <c r="G334" s="262"/>
      <c r="H334" s="15"/>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B335" s="260"/>
      <c r="C335" s="21"/>
      <c r="D335" s="15"/>
      <c r="E335" s="261"/>
      <c r="F335" s="15"/>
      <c r="G335" s="262"/>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B336" s="260"/>
      <c r="C336" s="21"/>
      <c r="D336" s="15"/>
      <c r="E336" s="261"/>
      <c r="F336" s="15"/>
      <c r="G336" s="262"/>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B337" s="260"/>
      <c r="C337" s="21"/>
      <c r="D337" s="15"/>
      <c r="E337" s="261"/>
      <c r="F337" s="15"/>
      <c r="G337" s="262"/>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B338" s="260"/>
      <c r="C338" s="21"/>
      <c r="D338" s="15"/>
      <c r="E338" s="261"/>
      <c r="F338" s="15"/>
      <c r="G338" s="262"/>
      <c r="H338" s="15"/>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B339" s="260"/>
      <c r="C339" s="21"/>
      <c r="D339" s="15"/>
      <c r="E339" s="261"/>
      <c r="F339" s="15"/>
      <c r="G339" s="262"/>
      <c r="H339" s="15"/>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B340" s="260"/>
      <c r="C340" s="21"/>
      <c r="D340" s="15"/>
      <c r="E340" s="261"/>
      <c r="F340" s="15"/>
      <c r="G340" s="262"/>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B341" s="260"/>
      <c r="C341" s="21"/>
      <c r="D341" s="15"/>
      <c r="E341" s="261"/>
      <c r="F341" s="15"/>
      <c r="G341" s="262"/>
      <c r="H341" s="15"/>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B342" s="260"/>
      <c r="C342" s="21"/>
      <c r="D342" s="15"/>
      <c r="E342" s="261"/>
      <c r="F342" s="15"/>
      <c r="G342" s="262"/>
      <c r="H342" s="15"/>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B343" s="260"/>
      <c r="C343" s="21"/>
      <c r="D343" s="15"/>
      <c r="E343" s="261"/>
      <c r="F343" s="15"/>
      <c r="G343" s="262"/>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B344" s="260"/>
      <c r="C344" s="21"/>
      <c r="D344" s="15"/>
      <c r="E344" s="261"/>
      <c r="F344" s="15"/>
      <c r="G344" s="262"/>
      <c r="H344" s="15"/>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B345" s="260"/>
      <c r="C345" s="21"/>
      <c r="D345" s="15"/>
      <c r="E345" s="261"/>
      <c r="F345" s="15"/>
      <c r="G345" s="262"/>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B346" s="260"/>
      <c r="C346" s="21"/>
      <c r="D346" s="15"/>
      <c r="E346" s="261"/>
      <c r="F346" s="15"/>
      <c r="G346" s="262"/>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B347" s="260"/>
      <c r="C347" s="21"/>
      <c r="D347" s="15"/>
      <c r="E347" s="261"/>
      <c r="F347" s="15"/>
      <c r="G347" s="262"/>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B348" s="260"/>
      <c r="C348" s="21"/>
      <c r="D348" s="15"/>
      <c r="E348" s="261"/>
      <c r="F348" s="15"/>
      <c r="G348" s="262"/>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260"/>
      <c r="C349" s="21"/>
      <c r="D349" s="15"/>
      <c r="E349" s="261"/>
      <c r="F349" s="15"/>
      <c r="G349" s="262"/>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260"/>
      <c r="C350" s="21"/>
      <c r="D350" s="15"/>
      <c r="E350" s="261"/>
      <c r="F350" s="15"/>
      <c r="G350" s="262"/>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B351" s="260"/>
      <c r="C351" s="21"/>
      <c r="D351" s="15"/>
      <c r="E351" s="261"/>
      <c r="F351" s="15"/>
      <c r="G351" s="262"/>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B352" s="260"/>
      <c r="C352" s="21"/>
      <c r="D352" s="15"/>
      <c r="E352" s="261"/>
      <c r="F352" s="15"/>
      <c r="G352" s="262"/>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B353" s="260"/>
      <c r="C353" s="21"/>
      <c r="D353" s="15"/>
      <c r="E353" s="261"/>
      <c r="F353" s="15"/>
      <c r="G353" s="262"/>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B354" s="260"/>
      <c r="C354" s="21"/>
      <c r="D354" s="15"/>
      <c r="E354" s="261"/>
      <c r="F354" s="15"/>
      <c r="G354" s="262"/>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B355" s="260"/>
      <c r="C355" s="21"/>
      <c r="D355" s="15"/>
      <c r="E355" s="261"/>
      <c r="F355" s="15"/>
      <c r="G355" s="262"/>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B356" s="260"/>
      <c r="C356" s="21"/>
      <c r="D356" s="15"/>
      <c r="E356" s="261"/>
      <c r="F356" s="15"/>
      <c r="G356" s="262"/>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B357" s="260"/>
      <c r="C357" s="21"/>
      <c r="D357" s="15"/>
      <c r="E357" s="261"/>
      <c r="F357" s="15"/>
      <c r="G357" s="262"/>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B358" s="260"/>
      <c r="C358" s="21"/>
      <c r="D358" s="15"/>
      <c r="E358" s="261"/>
      <c r="F358" s="15"/>
      <c r="G358" s="262"/>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B359" s="260"/>
      <c r="C359" s="21"/>
      <c r="D359" s="15"/>
      <c r="E359" s="261"/>
      <c r="F359" s="15"/>
      <c r="G359" s="262"/>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B360" s="260"/>
      <c r="C360" s="21"/>
      <c r="D360" s="15"/>
      <c r="E360" s="261"/>
      <c r="F360" s="15"/>
      <c r="G360" s="262"/>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B361" s="260"/>
      <c r="C361" s="21"/>
      <c r="D361" s="15"/>
      <c r="E361" s="261"/>
      <c r="F361" s="15"/>
      <c r="G361" s="262"/>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260"/>
      <c r="C362" s="21"/>
      <c r="D362" s="15"/>
      <c r="E362" s="261"/>
      <c r="F362" s="15"/>
      <c r="G362" s="262"/>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260"/>
      <c r="C363" s="21"/>
      <c r="D363" s="15"/>
      <c r="E363" s="261"/>
      <c r="F363" s="15"/>
      <c r="G363" s="262"/>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B364" s="260"/>
      <c r="C364" s="21"/>
      <c r="D364" s="15"/>
      <c r="E364" s="261"/>
      <c r="F364" s="15"/>
      <c r="G364" s="262"/>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B365" s="260"/>
      <c r="C365" s="21"/>
      <c r="D365" s="15"/>
      <c r="E365" s="261"/>
      <c r="F365" s="15"/>
      <c r="G365" s="262"/>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B366" s="260"/>
      <c r="C366" s="21"/>
      <c r="D366" s="15"/>
      <c r="E366" s="261"/>
      <c r="F366" s="15"/>
      <c r="G366" s="262"/>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B367" s="260"/>
      <c r="C367" s="21"/>
      <c r="D367" s="15"/>
      <c r="E367" s="261"/>
      <c r="F367" s="15"/>
      <c r="G367" s="262"/>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B368" s="260"/>
      <c r="C368" s="21"/>
      <c r="D368" s="15"/>
      <c r="E368" s="261"/>
      <c r="F368" s="15"/>
      <c r="G368" s="262"/>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B369" s="260"/>
      <c r="C369" s="21"/>
      <c r="D369" s="15"/>
      <c r="E369" s="261"/>
      <c r="F369" s="15"/>
      <c r="G369" s="262"/>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B370" s="260"/>
      <c r="C370" s="21"/>
      <c r="D370" s="15"/>
      <c r="E370" s="261"/>
      <c r="F370" s="15"/>
      <c r="G370" s="262"/>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B371" s="260"/>
      <c r="C371" s="21"/>
      <c r="D371" s="15"/>
      <c r="E371" s="261"/>
      <c r="F371" s="15"/>
      <c r="G371" s="262"/>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B372" s="260"/>
      <c r="C372" s="21"/>
      <c r="D372" s="15"/>
      <c r="E372" s="261"/>
      <c r="F372" s="15"/>
      <c r="G372" s="262"/>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B373" s="260"/>
      <c r="C373" s="21"/>
      <c r="D373" s="15"/>
      <c r="E373" s="261"/>
      <c r="F373" s="15"/>
      <c r="G373" s="262"/>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B374" s="260"/>
      <c r="C374" s="21"/>
      <c r="D374" s="15"/>
      <c r="E374" s="261"/>
      <c r="F374" s="15"/>
      <c r="G374" s="262"/>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B375" s="260"/>
      <c r="C375" s="21"/>
      <c r="D375" s="15"/>
      <c r="E375" s="261"/>
      <c r="F375" s="15"/>
      <c r="G375" s="262"/>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260"/>
      <c r="C376" s="21"/>
      <c r="D376" s="15"/>
      <c r="E376" s="261"/>
      <c r="F376" s="15"/>
      <c r="G376" s="262"/>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260"/>
      <c r="C377" s="21"/>
      <c r="D377" s="15"/>
      <c r="E377" s="261"/>
      <c r="F377" s="15"/>
      <c r="G377" s="262"/>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B378" s="260"/>
      <c r="C378" s="21"/>
      <c r="D378" s="15"/>
      <c r="E378" s="261"/>
      <c r="F378" s="15"/>
      <c r="G378" s="262"/>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B379" s="260"/>
      <c r="C379" s="21"/>
      <c r="D379" s="15"/>
      <c r="E379" s="261"/>
      <c r="F379" s="15"/>
      <c r="G379" s="262"/>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B380" s="260"/>
      <c r="C380" s="21"/>
      <c r="D380" s="15"/>
      <c r="E380" s="261"/>
      <c r="F380" s="15"/>
      <c r="G380" s="262"/>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B381" s="260"/>
      <c r="C381" s="21"/>
      <c r="D381" s="15"/>
      <c r="E381" s="261"/>
      <c r="F381" s="15"/>
      <c r="G381" s="262"/>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B382" s="260"/>
      <c r="C382" s="21"/>
      <c r="D382" s="15"/>
      <c r="E382" s="261"/>
      <c r="F382" s="15"/>
      <c r="G382" s="262"/>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B383" s="260"/>
      <c r="C383" s="21"/>
      <c r="D383" s="15"/>
      <c r="E383" s="261"/>
      <c r="F383" s="15"/>
      <c r="G383" s="262"/>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B384" s="260"/>
      <c r="C384" s="21"/>
      <c r="D384" s="15"/>
      <c r="E384" s="261"/>
      <c r="F384" s="15"/>
      <c r="G384" s="262"/>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B385" s="260"/>
      <c r="C385" s="21"/>
      <c r="D385" s="15"/>
      <c r="E385" s="261"/>
      <c r="F385" s="15"/>
      <c r="G385" s="262"/>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B386" s="260"/>
      <c r="C386" s="21"/>
      <c r="D386" s="15"/>
      <c r="E386" s="261"/>
      <c r="F386" s="15"/>
      <c r="G386" s="262"/>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B387" s="260"/>
      <c r="C387" s="21"/>
      <c r="D387" s="15"/>
      <c r="E387" s="261"/>
      <c r="F387" s="15"/>
      <c r="G387" s="262"/>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B388" s="260"/>
      <c r="C388" s="21"/>
      <c r="D388" s="15"/>
      <c r="E388" s="261"/>
      <c r="F388" s="15"/>
      <c r="G388" s="262"/>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B389" s="260"/>
      <c r="C389" s="21"/>
      <c r="D389" s="15"/>
      <c r="E389" s="261"/>
      <c r="F389" s="15"/>
      <c r="G389" s="262"/>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B390" s="260"/>
      <c r="C390" s="21"/>
      <c r="D390" s="15"/>
      <c r="E390" s="261"/>
      <c r="F390" s="15"/>
      <c r="G390" s="262"/>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260"/>
      <c r="C391" s="21"/>
      <c r="D391" s="15"/>
      <c r="E391" s="261"/>
      <c r="F391" s="15"/>
      <c r="G391" s="262"/>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260"/>
      <c r="C392" s="21"/>
      <c r="D392" s="15"/>
      <c r="E392" s="261"/>
      <c r="F392" s="15"/>
      <c r="G392" s="262"/>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B393" s="260"/>
      <c r="C393" s="21"/>
      <c r="D393" s="15"/>
      <c r="E393" s="261"/>
      <c r="F393" s="15"/>
      <c r="G393" s="262"/>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B394" s="260"/>
      <c r="C394" s="21"/>
      <c r="D394" s="15"/>
      <c r="E394" s="261"/>
      <c r="F394" s="15"/>
      <c r="G394" s="262"/>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B395" s="260"/>
      <c r="C395" s="21"/>
      <c r="D395" s="15"/>
      <c r="E395" s="261"/>
      <c r="F395" s="15"/>
      <c r="G395" s="262"/>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B396" s="260"/>
      <c r="C396" s="21"/>
      <c r="D396" s="15"/>
      <c r="E396" s="261"/>
      <c r="F396" s="15"/>
      <c r="G396" s="262"/>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B397" s="260"/>
      <c r="C397" s="21"/>
      <c r="D397" s="15"/>
      <c r="E397" s="261"/>
      <c r="F397" s="15"/>
      <c r="G397" s="262"/>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B398" s="260"/>
      <c r="C398" s="21"/>
      <c r="D398" s="15"/>
      <c r="E398" s="261"/>
      <c r="F398" s="15"/>
      <c r="G398" s="262"/>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B399" s="260"/>
      <c r="C399" s="21"/>
      <c r="D399" s="15"/>
      <c r="E399" s="261"/>
      <c r="F399" s="15"/>
      <c r="G399" s="262"/>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B400" s="260"/>
      <c r="C400" s="21"/>
      <c r="D400" s="15"/>
      <c r="E400" s="261"/>
      <c r="F400" s="15"/>
      <c r="G400" s="262"/>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B401" s="260"/>
      <c r="C401" s="21"/>
      <c r="D401" s="15"/>
      <c r="E401" s="261"/>
      <c r="F401" s="15"/>
      <c r="G401" s="262"/>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B402" s="260"/>
      <c r="C402" s="21"/>
      <c r="D402" s="15"/>
      <c r="E402" s="261"/>
      <c r="F402" s="15"/>
      <c r="G402" s="262"/>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B403" s="260"/>
      <c r="C403" s="21"/>
      <c r="D403" s="15"/>
      <c r="E403" s="261"/>
      <c r="F403" s="15"/>
      <c r="G403" s="262"/>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B404" s="260"/>
      <c r="C404" s="21"/>
      <c r="D404" s="15"/>
      <c r="E404" s="261"/>
      <c r="F404" s="15"/>
      <c r="G404" s="262"/>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B405" s="260"/>
      <c r="C405" s="21"/>
      <c r="D405" s="15"/>
      <c r="E405" s="261"/>
      <c r="F405" s="15"/>
      <c r="G405" s="262"/>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B406" s="260"/>
      <c r="C406" s="21"/>
      <c r="D406" s="15"/>
      <c r="E406" s="261"/>
      <c r="F406" s="15"/>
      <c r="G406" s="262"/>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260"/>
      <c r="C407" s="21"/>
      <c r="D407" s="15"/>
      <c r="E407" s="261"/>
      <c r="F407" s="15"/>
      <c r="G407" s="262"/>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260"/>
      <c r="C408" s="21"/>
      <c r="D408" s="15"/>
      <c r="E408" s="261"/>
      <c r="F408" s="15"/>
      <c r="G408" s="262"/>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B409" s="260"/>
      <c r="C409" s="21"/>
      <c r="D409" s="15"/>
      <c r="E409" s="261"/>
      <c r="F409" s="15"/>
      <c r="G409" s="262"/>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B410" s="260"/>
      <c r="C410" s="21"/>
      <c r="D410" s="15"/>
      <c r="E410" s="261"/>
      <c r="F410" s="15"/>
      <c r="G410" s="262"/>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B411" s="260"/>
      <c r="C411" s="21"/>
      <c r="D411" s="15"/>
      <c r="E411" s="261"/>
      <c r="F411" s="15"/>
      <c r="G411" s="262"/>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B412" s="260"/>
      <c r="C412" s="21"/>
      <c r="D412" s="15"/>
      <c r="E412" s="261"/>
      <c r="F412" s="15"/>
      <c r="G412" s="262"/>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B413" s="260"/>
      <c r="C413" s="21"/>
      <c r="D413" s="15"/>
      <c r="E413" s="261"/>
      <c r="F413" s="15"/>
      <c r="G413" s="262"/>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B414" s="260"/>
      <c r="C414" s="21"/>
      <c r="D414" s="15"/>
      <c r="E414" s="261"/>
      <c r="F414" s="15"/>
      <c r="G414" s="262"/>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B415" s="260"/>
      <c r="C415" s="21"/>
      <c r="D415" s="15"/>
      <c r="E415" s="261"/>
      <c r="F415" s="15"/>
      <c r="G415" s="262"/>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B416" s="260"/>
      <c r="C416" s="21"/>
      <c r="D416" s="15"/>
      <c r="E416" s="261"/>
      <c r="F416" s="15"/>
      <c r="G416" s="262"/>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B417" s="260"/>
      <c r="C417" s="21"/>
      <c r="D417" s="15"/>
      <c r="E417" s="261"/>
      <c r="F417" s="15"/>
      <c r="G417" s="262"/>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B418" s="260"/>
      <c r="C418" s="21"/>
      <c r="D418" s="15"/>
      <c r="E418" s="261"/>
      <c r="F418" s="15"/>
      <c r="G418" s="262"/>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B419" s="260"/>
      <c r="C419" s="21"/>
      <c r="D419" s="15"/>
      <c r="E419" s="261"/>
      <c r="F419" s="15"/>
      <c r="G419" s="262"/>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B420" s="260"/>
      <c r="C420" s="21"/>
      <c r="D420" s="15"/>
      <c r="E420" s="261"/>
      <c r="F420" s="15"/>
      <c r="G420" s="262"/>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B421" s="260"/>
      <c r="C421" s="21"/>
      <c r="D421" s="15"/>
      <c r="E421" s="261"/>
      <c r="F421" s="15"/>
      <c r="G421" s="262"/>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B422" s="260"/>
      <c r="C422" s="21"/>
      <c r="D422" s="15"/>
      <c r="E422" s="261"/>
      <c r="F422" s="15"/>
      <c r="G422" s="262"/>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B423" s="260"/>
      <c r="C423" s="21"/>
      <c r="D423" s="15"/>
      <c r="E423" s="261"/>
      <c r="F423" s="15"/>
      <c r="G423" s="262"/>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B424" s="260"/>
      <c r="C424" s="21"/>
      <c r="D424" s="15"/>
      <c r="E424" s="261"/>
      <c r="F424" s="15"/>
      <c r="G424" s="262"/>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260"/>
      <c r="C425" s="21"/>
      <c r="D425" s="15"/>
      <c r="E425" s="261"/>
      <c r="F425" s="15"/>
      <c r="G425" s="262"/>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260"/>
      <c r="C426" s="21"/>
      <c r="D426" s="15"/>
      <c r="E426" s="261"/>
      <c r="F426" s="15"/>
      <c r="G426" s="262"/>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B427" s="260"/>
      <c r="C427" s="21"/>
      <c r="D427" s="15"/>
      <c r="E427" s="261"/>
      <c r="F427" s="15"/>
      <c r="G427" s="262"/>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B428" s="260"/>
      <c r="C428" s="21"/>
      <c r="D428" s="15"/>
      <c r="E428" s="261"/>
      <c r="F428" s="15"/>
      <c r="G428" s="262"/>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B429" s="260"/>
      <c r="C429" s="21"/>
      <c r="D429" s="15"/>
      <c r="E429" s="261"/>
      <c r="F429" s="15"/>
      <c r="G429" s="262"/>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B430" s="260"/>
      <c r="C430" s="21"/>
      <c r="D430" s="15"/>
      <c r="E430" s="261"/>
      <c r="F430" s="15"/>
      <c r="G430" s="262"/>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B431" s="260"/>
      <c r="C431" s="21"/>
      <c r="D431" s="15"/>
      <c r="E431" s="261"/>
      <c r="F431" s="15"/>
      <c r="G431" s="262"/>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B432" s="260"/>
      <c r="C432" s="21"/>
      <c r="D432" s="15"/>
      <c r="E432" s="261"/>
      <c r="F432" s="15"/>
      <c r="G432" s="262"/>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B433" s="260"/>
      <c r="C433" s="21"/>
      <c r="D433" s="15"/>
      <c r="E433" s="261"/>
      <c r="F433" s="15"/>
      <c r="G433" s="262"/>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B434" s="260"/>
      <c r="C434" s="21"/>
      <c r="D434" s="15"/>
      <c r="E434" s="261"/>
      <c r="F434" s="15"/>
      <c r="G434" s="262"/>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15"/>
      <c r="B435" s="260"/>
      <c r="C435" s="21"/>
      <c r="D435" s="15"/>
      <c r="E435" s="261"/>
      <c r="F435" s="15"/>
      <c r="G435" s="262"/>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B436" s="260"/>
      <c r="C436" s="21"/>
      <c r="D436" s="15"/>
      <c r="E436" s="261"/>
      <c r="F436" s="15"/>
      <c r="G436" s="262"/>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B437" s="260"/>
      <c r="C437" s="21"/>
      <c r="D437" s="15"/>
      <c r="E437" s="261"/>
      <c r="F437" s="15"/>
      <c r="G437" s="262"/>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B438" s="260"/>
      <c r="C438" s="21"/>
      <c r="D438" s="15"/>
      <c r="E438" s="261"/>
      <c r="F438" s="15"/>
      <c r="G438" s="262"/>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B439" s="260"/>
      <c r="C439" s="21"/>
      <c r="D439" s="15"/>
      <c r="E439" s="261"/>
      <c r="F439" s="15"/>
      <c r="G439" s="262"/>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B440" s="260"/>
      <c r="C440" s="21"/>
      <c r="D440" s="15"/>
      <c r="E440" s="261"/>
      <c r="F440" s="15"/>
      <c r="G440" s="262"/>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B441" s="260"/>
      <c r="C441" s="21"/>
      <c r="D441" s="15"/>
      <c r="E441" s="261"/>
      <c r="F441" s="15"/>
      <c r="G441" s="262"/>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B442" s="260"/>
      <c r="C442" s="21"/>
      <c r="D442" s="15"/>
      <c r="E442" s="261"/>
      <c r="F442" s="15"/>
      <c r="G442" s="262"/>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B443" s="260"/>
      <c r="C443" s="21"/>
      <c r="D443" s="15"/>
      <c r="E443" s="261"/>
      <c r="F443" s="15"/>
      <c r="G443" s="262"/>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B444" s="260"/>
      <c r="C444" s="21"/>
      <c r="D444" s="15"/>
      <c r="E444" s="261"/>
      <c r="F444" s="15"/>
      <c r="G444" s="262"/>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B445" s="260"/>
      <c r="C445" s="21"/>
      <c r="D445" s="15"/>
      <c r="E445" s="261"/>
      <c r="F445" s="15"/>
      <c r="G445" s="262"/>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B446" s="260"/>
      <c r="C446" s="21"/>
      <c r="D446" s="15"/>
      <c r="E446" s="261"/>
      <c r="F446" s="15"/>
      <c r="G446" s="262"/>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260"/>
      <c r="C447" s="21"/>
      <c r="D447" s="15"/>
      <c r="E447" s="261"/>
      <c r="F447" s="15"/>
      <c r="G447" s="262"/>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260"/>
      <c r="C448" s="21"/>
      <c r="D448" s="15"/>
      <c r="E448" s="261"/>
      <c r="F448" s="15"/>
      <c r="G448" s="262"/>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260"/>
      <c r="C449" s="21"/>
      <c r="D449" s="15"/>
      <c r="E449" s="261"/>
      <c r="F449" s="15"/>
      <c r="G449" s="262"/>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B450" s="260"/>
      <c r="C450" s="21"/>
      <c r="D450" s="15"/>
      <c r="E450" s="261"/>
      <c r="F450" s="15"/>
      <c r="G450" s="262"/>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B451" s="260"/>
      <c r="C451" s="21"/>
      <c r="D451" s="15"/>
      <c r="E451" s="261"/>
      <c r="F451" s="15"/>
      <c r="G451" s="262"/>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B452" s="260"/>
      <c r="C452" s="21"/>
      <c r="D452" s="15"/>
      <c r="E452" s="261"/>
      <c r="F452" s="15"/>
      <c r="G452" s="262"/>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B453" s="260"/>
      <c r="C453" s="21"/>
      <c r="D453" s="15"/>
      <c r="E453" s="261"/>
      <c r="F453" s="15"/>
      <c r="G453" s="262"/>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B454" s="260"/>
      <c r="C454" s="21"/>
      <c r="D454" s="15"/>
      <c r="E454" s="261"/>
      <c r="F454" s="15"/>
      <c r="G454" s="262"/>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B455" s="260"/>
      <c r="C455" s="21"/>
      <c r="D455" s="15"/>
      <c r="E455" s="261"/>
      <c r="F455" s="15"/>
      <c r="G455" s="262"/>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B456" s="260"/>
      <c r="C456" s="21"/>
      <c r="D456" s="15"/>
      <c r="E456" s="261"/>
      <c r="F456" s="15"/>
      <c r="G456" s="262"/>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B457" s="260"/>
      <c r="C457" s="21"/>
      <c r="D457" s="15"/>
      <c r="E457" s="261"/>
      <c r="F457" s="15"/>
      <c r="G457" s="262"/>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B458" s="260"/>
      <c r="C458" s="21"/>
      <c r="D458" s="15"/>
      <c r="E458" s="261"/>
      <c r="F458" s="15"/>
      <c r="G458" s="262"/>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B459" s="260"/>
      <c r="C459" s="21"/>
      <c r="D459" s="15"/>
      <c r="E459" s="261"/>
      <c r="F459" s="15"/>
      <c r="G459" s="262"/>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B460" s="260"/>
      <c r="C460" s="21"/>
      <c r="D460" s="15"/>
      <c r="E460" s="261"/>
      <c r="F460" s="15"/>
      <c r="G460" s="262"/>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B461" s="260"/>
      <c r="C461" s="21"/>
      <c r="D461" s="15"/>
      <c r="E461" s="261"/>
      <c r="F461" s="15"/>
      <c r="G461" s="262"/>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B462" s="260"/>
      <c r="C462" s="21"/>
      <c r="D462" s="15"/>
      <c r="E462" s="261"/>
      <c r="F462" s="15"/>
      <c r="G462" s="262"/>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B463" s="260"/>
      <c r="C463" s="21"/>
      <c r="D463" s="15"/>
      <c r="E463" s="261"/>
      <c r="F463" s="15"/>
      <c r="G463" s="262"/>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B464" s="260"/>
      <c r="C464" s="21"/>
      <c r="D464" s="15"/>
      <c r="E464" s="261"/>
      <c r="F464" s="15"/>
      <c r="G464" s="262"/>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B465" s="260"/>
      <c r="C465" s="21"/>
      <c r="D465" s="15"/>
      <c r="E465" s="261"/>
      <c r="F465" s="15"/>
      <c r="G465" s="262"/>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B466" s="260"/>
      <c r="C466" s="21"/>
      <c r="D466" s="15"/>
      <c r="E466" s="261"/>
      <c r="F466" s="15"/>
      <c r="G466" s="262"/>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B467" s="260"/>
      <c r="C467" s="21"/>
      <c r="D467" s="15"/>
      <c r="E467" s="261"/>
      <c r="F467" s="15"/>
      <c r="G467" s="262"/>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B468" s="260"/>
      <c r="C468" s="21"/>
      <c r="D468" s="15"/>
      <c r="E468" s="261"/>
      <c r="F468" s="15"/>
      <c r="G468" s="262"/>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B469" s="260"/>
      <c r="C469" s="21"/>
      <c r="D469" s="15"/>
      <c r="E469" s="261"/>
      <c r="F469" s="15"/>
      <c r="G469" s="262"/>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B470" s="260"/>
      <c r="C470" s="21"/>
      <c r="D470" s="15"/>
      <c r="E470" s="261"/>
      <c r="F470" s="15"/>
      <c r="G470" s="262"/>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B471" s="260"/>
      <c r="C471" s="21"/>
      <c r="D471" s="15"/>
      <c r="E471" s="261"/>
      <c r="F471" s="15"/>
      <c r="G471" s="262"/>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B472" s="260"/>
      <c r="C472" s="21"/>
      <c r="D472" s="15"/>
      <c r="E472" s="261"/>
      <c r="F472" s="15"/>
      <c r="G472" s="262"/>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B473" s="260"/>
      <c r="C473" s="21"/>
      <c r="D473" s="15"/>
      <c r="E473" s="261"/>
      <c r="F473" s="15"/>
      <c r="G473" s="262"/>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B474" s="260"/>
      <c r="C474" s="21"/>
      <c r="D474" s="15"/>
      <c r="E474" s="261"/>
      <c r="F474" s="15"/>
      <c r="G474" s="262"/>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B475" s="260"/>
      <c r="C475" s="21"/>
      <c r="D475" s="15"/>
      <c r="E475" s="261"/>
      <c r="F475" s="15"/>
      <c r="G475" s="262"/>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260"/>
      <c r="C476" s="21"/>
      <c r="D476" s="15"/>
      <c r="E476" s="261"/>
      <c r="F476" s="15"/>
      <c r="G476" s="262"/>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260"/>
      <c r="C477" s="21"/>
      <c r="D477" s="15"/>
      <c r="E477" s="261"/>
      <c r="F477" s="15"/>
      <c r="G477" s="262"/>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B478" s="260"/>
      <c r="C478" s="21"/>
      <c r="D478" s="15"/>
      <c r="E478" s="261"/>
      <c r="F478" s="15"/>
      <c r="G478" s="262"/>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B479" s="260"/>
      <c r="C479" s="21"/>
      <c r="D479" s="15"/>
      <c r="E479" s="261"/>
      <c r="F479" s="15"/>
      <c r="G479" s="262"/>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B480" s="260"/>
      <c r="C480" s="21"/>
      <c r="D480" s="15"/>
      <c r="E480" s="261"/>
      <c r="F480" s="15"/>
      <c r="G480" s="262"/>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B481" s="260"/>
      <c r="C481" s="21"/>
      <c r="D481" s="15"/>
      <c r="E481" s="261"/>
      <c r="F481" s="15"/>
      <c r="G481" s="262"/>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B482" s="260"/>
      <c r="C482" s="21"/>
      <c r="D482" s="15"/>
      <c r="E482" s="261"/>
      <c r="F482" s="15"/>
      <c r="G482" s="262"/>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B483" s="260"/>
      <c r="C483" s="21"/>
      <c r="D483" s="15"/>
      <c r="E483" s="261"/>
      <c r="F483" s="15"/>
      <c r="G483" s="262"/>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B484" s="260"/>
      <c r="C484" s="21"/>
      <c r="D484" s="15"/>
      <c r="E484" s="261"/>
      <c r="F484" s="15"/>
      <c r="G484" s="262"/>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B485" s="260"/>
      <c r="C485" s="21"/>
      <c r="D485" s="15"/>
      <c r="E485" s="261"/>
      <c r="F485" s="15"/>
      <c r="G485" s="262"/>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B486" s="260"/>
      <c r="C486" s="21"/>
      <c r="D486" s="15"/>
      <c r="E486" s="261"/>
      <c r="F486" s="15"/>
      <c r="G486" s="262"/>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B487" s="260"/>
      <c r="C487" s="21"/>
      <c r="D487" s="15"/>
      <c r="E487" s="261"/>
      <c r="F487" s="15"/>
      <c r="G487" s="262"/>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B488" s="260"/>
      <c r="C488" s="21"/>
      <c r="D488" s="15"/>
      <c r="E488" s="261"/>
      <c r="F488" s="15"/>
      <c r="G488" s="262"/>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B489" s="260"/>
      <c r="C489" s="21"/>
      <c r="D489" s="15"/>
      <c r="E489" s="261"/>
      <c r="F489" s="15"/>
      <c r="G489" s="262"/>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B490" s="260"/>
      <c r="C490" s="21"/>
      <c r="D490" s="15"/>
      <c r="E490" s="261"/>
      <c r="F490" s="15"/>
      <c r="G490" s="262"/>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B491" s="260"/>
      <c r="C491" s="21"/>
      <c r="D491" s="15"/>
      <c r="E491" s="261"/>
      <c r="F491" s="15"/>
      <c r="G491" s="262"/>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B492" s="260"/>
      <c r="C492" s="21"/>
      <c r="D492" s="15"/>
      <c r="E492" s="261"/>
      <c r="F492" s="15"/>
      <c r="G492" s="262"/>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B493" s="260"/>
      <c r="C493" s="21"/>
      <c r="D493" s="15"/>
      <c r="E493" s="261"/>
      <c r="F493" s="15"/>
      <c r="G493" s="262"/>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B494" s="260"/>
      <c r="C494" s="21"/>
      <c r="D494" s="15"/>
      <c r="E494" s="261"/>
      <c r="F494" s="15"/>
      <c r="G494" s="262"/>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B495" s="260"/>
      <c r="C495" s="21"/>
      <c r="D495" s="15"/>
      <c r="E495" s="261"/>
      <c r="F495" s="15"/>
      <c r="G495" s="262"/>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B496" s="260"/>
      <c r="C496" s="21"/>
      <c r="D496" s="15"/>
      <c r="E496" s="261"/>
      <c r="F496" s="15"/>
      <c r="G496" s="262"/>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B497" s="260"/>
      <c r="C497" s="21"/>
      <c r="D497" s="15"/>
      <c r="E497" s="261"/>
      <c r="F497" s="15"/>
      <c r="G497" s="262"/>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B498" s="260"/>
      <c r="C498" s="21"/>
      <c r="D498" s="15"/>
      <c r="E498" s="261"/>
      <c r="F498" s="15"/>
      <c r="G498" s="262"/>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B499" s="260"/>
      <c r="C499" s="21"/>
      <c r="D499" s="15"/>
      <c r="E499" s="261"/>
      <c r="F499" s="15"/>
      <c r="G499" s="262"/>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B500" s="260"/>
      <c r="C500" s="21"/>
      <c r="D500" s="15"/>
      <c r="E500" s="261"/>
      <c r="F500" s="15"/>
      <c r="G500" s="262"/>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B501" s="260"/>
      <c r="C501" s="21"/>
      <c r="D501" s="15"/>
      <c r="E501" s="261"/>
      <c r="F501" s="15"/>
      <c r="G501" s="262"/>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B502" s="260"/>
      <c r="C502" s="21"/>
      <c r="D502" s="15"/>
      <c r="E502" s="261"/>
      <c r="F502" s="15"/>
      <c r="G502" s="262"/>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B503" s="260"/>
      <c r="C503" s="21"/>
      <c r="D503" s="15"/>
      <c r="E503" s="261"/>
      <c r="F503" s="15"/>
      <c r="G503" s="262"/>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260"/>
      <c r="C504" s="21"/>
      <c r="D504" s="15"/>
      <c r="E504" s="261"/>
      <c r="F504" s="15"/>
      <c r="G504" s="262"/>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260"/>
      <c r="C505" s="21"/>
      <c r="D505" s="15"/>
      <c r="E505" s="261"/>
      <c r="F505" s="15"/>
      <c r="G505" s="262"/>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260"/>
      <c r="C506" s="21"/>
      <c r="D506" s="15"/>
      <c r="E506" s="261"/>
      <c r="F506" s="15"/>
      <c r="G506" s="262"/>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B507" s="260"/>
      <c r="C507" s="21"/>
      <c r="D507" s="15"/>
      <c r="E507" s="261"/>
      <c r="F507" s="15"/>
      <c r="G507" s="262"/>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260"/>
      <c r="C508" s="21"/>
      <c r="D508" s="15"/>
      <c r="E508" s="261"/>
      <c r="F508" s="15"/>
      <c r="G508" s="262"/>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B509" s="260"/>
      <c r="C509" s="21"/>
      <c r="D509" s="15"/>
      <c r="E509" s="261"/>
      <c r="F509" s="15"/>
      <c r="G509" s="262"/>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B510" s="260"/>
      <c r="C510" s="21"/>
      <c r="D510" s="15"/>
      <c r="E510" s="261"/>
      <c r="F510" s="15"/>
      <c r="G510" s="262"/>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B511" s="260"/>
      <c r="C511" s="21"/>
      <c r="D511" s="15"/>
      <c r="E511" s="261"/>
      <c r="F511" s="15"/>
      <c r="G511" s="262"/>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B512" s="260"/>
      <c r="C512" s="21"/>
      <c r="D512" s="15"/>
      <c r="E512" s="261"/>
      <c r="F512" s="15"/>
      <c r="G512" s="262"/>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B513" s="260"/>
      <c r="C513" s="21"/>
      <c r="D513" s="15"/>
      <c r="E513" s="261"/>
      <c r="F513" s="15"/>
      <c r="G513" s="262"/>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B514" s="260"/>
      <c r="C514" s="21"/>
      <c r="D514" s="15"/>
      <c r="E514" s="261"/>
      <c r="F514" s="15"/>
      <c r="G514" s="262"/>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B515" s="260"/>
      <c r="C515" s="21"/>
      <c r="D515" s="15"/>
      <c r="E515" s="261"/>
      <c r="F515" s="15"/>
      <c r="G515" s="262"/>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B516" s="260"/>
      <c r="C516" s="21"/>
      <c r="D516" s="15"/>
      <c r="E516" s="261"/>
      <c r="F516" s="15"/>
      <c r="G516" s="262"/>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B517" s="260"/>
      <c r="C517" s="21"/>
      <c r="D517" s="15"/>
      <c r="E517" s="261"/>
      <c r="F517" s="15"/>
      <c r="G517" s="262"/>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B518" s="260"/>
      <c r="C518" s="21"/>
      <c r="D518" s="15"/>
      <c r="E518" s="261"/>
      <c r="F518" s="15"/>
      <c r="G518" s="262"/>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260"/>
      <c r="C519" s="21"/>
      <c r="D519" s="15"/>
      <c r="E519" s="261"/>
      <c r="F519" s="15"/>
      <c r="G519" s="262"/>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260"/>
      <c r="C520" s="21"/>
      <c r="D520" s="15"/>
      <c r="E520" s="261"/>
      <c r="F520" s="15"/>
      <c r="G520" s="262"/>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260"/>
      <c r="C521" s="21"/>
      <c r="D521" s="15"/>
      <c r="E521" s="261"/>
      <c r="F521" s="15"/>
      <c r="G521" s="262"/>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260"/>
      <c r="C522" s="21"/>
      <c r="D522" s="15"/>
      <c r="E522" s="261"/>
      <c r="F522" s="15"/>
      <c r="G522" s="262"/>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260"/>
      <c r="C523" s="21"/>
      <c r="D523" s="15"/>
      <c r="E523" s="261"/>
      <c r="F523" s="15"/>
      <c r="G523" s="262"/>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260"/>
      <c r="C524" s="21"/>
      <c r="D524" s="15"/>
      <c r="E524" s="261"/>
      <c r="F524" s="15"/>
      <c r="G524" s="262"/>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260"/>
      <c r="C525" s="21"/>
      <c r="D525" s="15"/>
      <c r="E525" s="261"/>
      <c r="F525" s="15"/>
      <c r="G525" s="262"/>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260"/>
      <c r="C526" s="21"/>
      <c r="D526" s="15"/>
      <c r="E526" s="261"/>
      <c r="F526" s="15"/>
      <c r="G526" s="262"/>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260"/>
      <c r="C527" s="21"/>
      <c r="D527" s="15"/>
      <c r="E527" s="261"/>
      <c r="F527" s="15"/>
      <c r="G527" s="262"/>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260"/>
      <c r="C528" s="21"/>
      <c r="D528" s="15"/>
      <c r="E528" s="261"/>
      <c r="F528" s="15"/>
      <c r="G528" s="262"/>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260"/>
      <c r="C529" s="21"/>
      <c r="D529" s="15"/>
      <c r="E529" s="261"/>
      <c r="F529" s="15"/>
      <c r="G529" s="262"/>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260"/>
      <c r="C530" s="21"/>
      <c r="D530" s="15"/>
      <c r="E530" s="261"/>
      <c r="F530" s="15"/>
      <c r="G530" s="262"/>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260"/>
      <c r="C531" s="21"/>
      <c r="D531" s="15"/>
      <c r="E531" s="261"/>
      <c r="F531" s="15"/>
      <c r="G531" s="262"/>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260"/>
      <c r="C532" s="21"/>
      <c r="D532" s="15"/>
      <c r="E532" s="261"/>
      <c r="F532" s="15"/>
      <c r="G532" s="262"/>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260"/>
      <c r="C533" s="21"/>
      <c r="D533" s="15"/>
      <c r="E533" s="261"/>
      <c r="F533" s="15"/>
      <c r="G533" s="262"/>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260"/>
      <c r="C534" s="21"/>
      <c r="D534" s="15"/>
      <c r="E534" s="261"/>
      <c r="F534" s="15"/>
      <c r="G534" s="262"/>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260"/>
      <c r="C535" s="21"/>
      <c r="D535" s="15"/>
      <c r="E535" s="261"/>
      <c r="F535" s="15"/>
      <c r="G535" s="262"/>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260"/>
      <c r="C536" s="21"/>
      <c r="D536" s="15"/>
      <c r="E536" s="261"/>
      <c r="F536" s="15"/>
      <c r="G536" s="262"/>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260"/>
      <c r="C537" s="21"/>
      <c r="D537" s="15"/>
      <c r="E537" s="261"/>
      <c r="F537" s="15"/>
      <c r="G537" s="262"/>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260"/>
      <c r="C538" s="21"/>
      <c r="D538" s="15"/>
      <c r="E538" s="261"/>
      <c r="F538" s="15"/>
      <c r="G538" s="262"/>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260"/>
      <c r="C539" s="21"/>
      <c r="D539" s="15"/>
      <c r="E539" s="261"/>
      <c r="F539" s="15"/>
      <c r="G539" s="262"/>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260"/>
      <c r="C540" s="21"/>
      <c r="D540" s="15"/>
      <c r="E540" s="261"/>
      <c r="F540" s="15"/>
      <c r="G540" s="262"/>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260"/>
      <c r="C541" s="21"/>
      <c r="D541" s="15"/>
      <c r="E541" s="261"/>
      <c r="F541" s="15"/>
      <c r="G541" s="262"/>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260"/>
      <c r="C542" s="21"/>
      <c r="D542" s="15"/>
      <c r="E542" s="261"/>
      <c r="F542" s="15"/>
      <c r="G542" s="262"/>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260"/>
      <c r="C543" s="21"/>
      <c r="D543" s="15"/>
      <c r="E543" s="261"/>
      <c r="F543" s="15"/>
      <c r="G543" s="262"/>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260"/>
      <c r="C544" s="21"/>
      <c r="D544" s="15"/>
      <c r="E544" s="261"/>
      <c r="F544" s="15"/>
      <c r="G544" s="262"/>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260"/>
      <c r="C545" s="21"/>
      <c r="D545" s="15"/>
      <c r="E545" s="261"/>
      <c r="F545" s="15"/>
      <c r="G545" s="262"/>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260"/>
      <c r="C546" s="21"/>
      <c r="D546" s="15"/>
      <c r="E546" s="261"/>
      <c r="F546" s="15"/>
      <c r="G546" s="262"/>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260"/>
      <c r="C547" s="21"/>
      <c r="D547" s="15"/>
      <c r="E547" s="261"/>
      <c r="F547" s="15"/>
      <c r="G547" s="262"/>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260"/>
      <c r="C548" s="21"/>
      <c r="D548" s="15"/>
      <c r="E548" s="261"/>
      <c r="F548" s="15"/>
      <c r="G548" s="262"/>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260"/>
      <c r="C549" s="21"/>
      <c r="D549" s="15"/>
      <c r="E549" s="261"/>
      <c r="F549" s="15"/>
      <c r="G549" s="262"/>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260"/>
      <c r="C550" s="21"/>
      <c r="D550" s="15"/>
      <c r="E550" s="261"/>
      <c r="F550" s="15"/>
      <c r="G550" s="262"/>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260"/>
      <c r="C551" s="21"/>
      <c r="D551" s="15"/>
      <c r="E551" s="261"/>
      <c r="F551" s="15"/>
      <c r="G551" s="262"/>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260"/>
      <c r="C552" s="21"/>
      <c r="D552" s="15"/>
      <c r="E552" s="261"/>
      <c r="F552" s="15"/>
      <c r="G552" s="262"/>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260"/>
      <c r="C553" s="21"/>
      <c r="D553" s="15"/>
      <c r="E553" s="261"/>
      <c r="F553" s="15"/>
      <c r="G553" s="262"/>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260"/>
      <c r="C554" s="21"/>
      <c r="D554" s="15"/>
      <c r="E554" s="261"/>
      <c r="F554" s="15"/>
      <c r="G554" s="262"/>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260"/>
      <c r="C555" s="21"/>
      <c r="D555" s="15"/>
      <c r="E555" s="261"/>
      <c r="F555" s="15"/>
      <c r="G555" s="262"/>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260"/>
      <c r="C556" s="21"/>
      <c r="D556" s="15"/>
      <c r="E556" s="261"/>
      <c r="F556" s="15"/>
      <c r="G556" s="262"/>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260"/>
      <c r="C557" s="21"/>
      <c r="D557" s="15"/>
      <c r="E557" s="261"/>
      <c r="F557" s="15"/>
      <c r="G557" s="262"/>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260"/>
      <c r="C558" s="21"/>
      <c r="D558" s="15"/>
      <c r="E558" s="261"/>
      <c r="F558" s="15"/>
      <c r="G558" s="262"/>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260"/>
      <c r="C559" s="21"/>
      <c r="D559" s="15"/>
      <c r="E559" s="261"/>
      <c r="F559" s="15"/>
      <c r="G559" s="262"/>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260"/>
      <c r="C560" s="21"/>
      <c r="D560" s="15"/>
      <c r="E560" s="261"/>
      <c r="F560" s="15"/>
      <c r="G560" s="262"/>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260"/>
      <c r="C561" s="21"/>
      <c r="D561" s="15"/>
      <c r="E561" s="261"/>
      <c r="F561" s="15"/>
      <c r="G561" s="262"/>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260"/>
      <c r="C562" s="21"/>
      <c r="D562" s="15"/>
      <c r="E562" s="261"/>
      <c r="F562" s="15"/>
      <c r="G562" s="262"/>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260"/>
      <c r="C563" s="21"/>
      <c r="D563" s="15"/>
      <c r="E563" s="261"/>
      <c r="F563" s="15"/>
      <c r="G563" s="262"/>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260"/>
      <c r="C564" s="21"/>
      <c r="D564" s="15"/>
      <c r="E564" s="261"/>
      <c r="F564" s="15"/>
      <c r="G564" s="262"/>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260"/>
      <c r="C565" s="21"/>
      <c r="D565" s="15"/>
      <c r="E565" s="261"/>
      <c r="F565" s="15"/>
      <c r="G565" s="262"/>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260"/>
      <c r="C566" s="21"/>
      <c r="D566" s="15"/>
      <c r="E566" s="261"/>
      <c r="F566" s="15"/>
      <c r="G566" s="262"/>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260"/>
      <c r="C567" s="21"/>
      <c r="D567" s="15"/>
      <c r="E567" s="261"/>
      <c r="F567" s="15"/>
      <c r="G567" s="262"/>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260"/>
      <c r="C568" s="21"/>
      <c r="D568" s="15"/>
      <c r="E568" s="261"/>
      <c r="F568" s="15"/>
      <c r="G568" s="262"/>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260"/>
      <c r="C569" s="21"/>
      <c r="D569" s="15"/>
      <c r="E569" s="261"/>
      <c r="F569" s="15"/>
      <c r="G569" s="262"/>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260"/>
      <c r="C570" s="21"/>
      <c r="D570" s="15"/>
      <c r="E570" s="261"/>
      <c r="F570" s="15"/>
      <c r="G570" s="262"/>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260"/>
      <c r="C571" s="21"/>
      <c r="D571" s="15"/>
      <c r="E571" s="261"/>
      <c r="F571" s="15"/>
      <c r="G571" s="262"/>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260"/>
      <c r="C572" s="21"/>
      <c r="D572" s="15"/>
      <c r="E572" s="261"/>
      <c r="F572" s="15"/>
      <c r="G572" s="262"/>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260"/>
      <c r="C573" s="21"/>
      <c r="D573" s="15"/>
      <c r="E573" s="261"/>
      <c r="F573" s="15"/>
      <c r="G573" s="262"/>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260"/>
      <c r="C574" s="21"/>
      <c r="D574" s="15"/>
      <c r="E574" s="261"/>
      <c r="F574" s="15"/>
      <c r="G574" s="262"/>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260"/>
      <c r="C575" s="21"/>
      <c r="D575" s="15"/>
      <c r="E575" s="261"/>
      <c r="F575" s="15"/>
      <c r="G575" s="262"/>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260"/>
      <c r="C576" s="21"/>
      <c r="D576" s="15"/>
      <c r="E576" s="261"/>
      <c r="F576" s="15"/>
      <c r="G576" s="262"/>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260"/>
      <c r="C577" s="21"/>
      <c r="D577" s="15"/>
      <c r="E577" s="261"/>
      <c r="F577" s="15"/>
      <c r="G577" s="262"/>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260"/>
      <c r="C578" s="21"/>
      <c r="D578" s="15"/>
      <c r="E578" s="261"/>
      <c r="F578" s="15"/>
      <c r="G578" s="262"/>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260"/>
      <c r="C579" s="21"/>
      <c r="D579" s="15"/>
      <c r="E579" s="261"/>
      <c r="F579" s="15"/>
      <c r="G579" s="262"/>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260"/>
      <c r="C580" s="21"/>
      <c r="D580" s="15"/>
      <c r="E580" s="261"/>
      <c r="F580" s="15"/>
      <c r="G580" s="262"/>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260"/>
      <c r="C581" s="21"/>
      <c r="D581" s="15"/>
      <c r="E581" s="261"/>
      <c r="F581" s="15"/>
      <c r="G581" s="262"/>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260"/>
      <c r="C582" s="21"/>
      <c r="D582" s="15"/>
      <c r="E582" s="261"/>
      <c r="F582" s="15"/>
      <c r="G582" s="262"/>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260"/>
      <c r="C583" s="21"/>
      <c r="D583" s="15"/>
      <c r="E583" s="261"/>
      <c r="F583" s="15"/>
      <c r="G583" s="262"/>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260"/>
      <c r="C584" s="21"/>
      <c r="D584" s="15"/>
      <c r="E584" s="261"/>
      <c r="F584" s="15"/>
      <c r="G584" s="262"/>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260"/>
      <c r="C585" s="21"/>
      <c r="D585" s="15"/>
      <c r="E585" s="261"/>
      <c r="F585" s="15"/>
      <c r="G585" s="262"/>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260"/>
      <c r="C586" s="21"/>
      <c r="D586" s="15"/>
      <c r="E586" s="261"/>
      <c r="F586" s="15"/>
      <c r="G586" s="262"/>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260"/>
      <c r="C587" s="21"/>
      <c r="D587" s="15"/>
      <c r="E587" s="261"/>
      <c r="F587" s="15"/>
      <c r="G587" s="262"/>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260"/>
      <c r="C588" s="21"/>
      <c r="D588" s="15"/>
      <c r="E588" s="261"/>
      <c r="F588" s="15"/>
      <c r="G588" s="262"/>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260"/>
      <c r="C589" s="21"/>
      <c r="D589" s="15"/>
      <c r="E589" s="261"/>
      <c r="F589" s="15"/>
      <c r="G589" s="262"/>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260"/>
      <c r="C590" s="21"/>
      <c r="D590" s="15"/>
      <c r="E590" s="261"/>
      <c r="F590" s="15"/>
      <c r="G590" s="262"/>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260"/>
      <c r="C591" s="21"/>
      <c r="D591" s="15"/>
      <c r="E591" s="261"/>
      <c r="F591" s="15"/>
      <c r="G591" s="262"/>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260"/>
      <c r="C592" s="21"/>
      <c r="D592" s="15"/>
      <c r="E592" s="261"/>
      <c r="F592" s="15"/>
      <c r="G592" s="262"/>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260"/>
      <c r="C593" s="21"/>
      <c r="D593" s="15"/>
      <c r="E593" s="261"/>
      <c r="F593" s="15"/>
      <c r="G593" s="262"/>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260"/>
      <c r="C594" s="21"/>
      <c r="D594" s="15"/>
      <c r="E594" s="261"/>
      <c r="F594" s="15"/>
      <c r="G594" s="262"/>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260"/>
      <c r="C595" s="21"/>
      <c r="D595" s="15"/>
      <c r="E595" s="261"/>
      <c r="F595" s="15"/>
      <c r="G595" s="262"/>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260"/>
      <c r="C596" s="21"/>
      <c r="D596" s="15"/>
      <c r="E596" s="261"/>
      <c r="F596" s="15"/>
      <c r="G596" s="262"/>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260"/>
      <c r="C597" s="21"/>
      <c r="D597" s="15"/>
      <c r="E597" s="261"/>
      <c r="F597" s="15"/>
      <c r="G597" s="262"/>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260"/>
      <c r="C598" s="21"/>
      <c r="D598" s="15"/>
      <c r="E598" s="261"/>
      <c r="F598" s="15"/>
      <c r="G598" s="262"/>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260"/>
      <c r="C599" s="21"/>
      <c r="D599" s="15"/>
      <c r="E599" s="261"/>
      <c r="F599" s="15"/>
      <c r="G599" s="262"/>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260"/>
      <c r="C600" s="21"/>
      <c r="D600" s="15"/>
      <c r="E600" s="261"/>
      <c r="F600" s="15"/>
      <c r="G600" s="262"/>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260"/>
      <c r="C601" s="21"/>
      <c r="D601" s="15"/>
      <c r="E601" s="261"/>
      <c r="F601" s="15"/>
      <c r="G601" s="262"/>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260"/>
      <c r="C602" s="21"/>
      <c r="D602" s="15"/>
      <c r="E602" s="261"/>
      <c r="F602" s="15"/>
      <c r="G602" s="262"/>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260"/>
      <c r="C603" s="21"/>
      <c r="D603" s="15"/>
      <c r="E603" s="261"/>
      <c r="F603" s="15"/>
      <c r="G603" s="262"/>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260"/>
      <c r="C604" s="21"/>
      <c r="D604" s="15"/>
      <c r="E604" s="261"/>
      <c r="F604" s="15"/>
      <c r="G604" s="262"/>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260"/>
      <c r="C605" s="21"/>
      <c r="D605" s="15"/>
      <c r="E605" s="261"/>
      <c r="F605" s="15"/>
      <c r="G605" s="262"/>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260"/>
      <c r="C606" s="21"/>
      <c r="D606" s="15"/>
      <c r="E606" s="261"/>
      <c r="F606" s="15"/>
      <c r="G606" s="262"/>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260"/>
      <c r="C607" s="21"/>
      <c r="D607" s="15"/>
      <c r="E607" s="261"/>
      <c r="F607" s="15"/>
      <c r="G607" s="262"/>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260"/>
      <c r="C608" s="21"/>
      <c r="D608" s="15"/>
      <c r="E608" s="261"/>
      <c r="F608" s="15"/>
      <c r="G608" s="262"/>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260"/>
      <c r="C609" s="21"/>
      <c r="D609" s="15"/>
      <c r="E609" s="261"/>
      <c r="F609" s="15"/>
      <c r="G609" s="262"/>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260"/>
      <c r="C610" s="21"/>
      <c r="D610" s="15"/>
      <c r="E610" s="261"/>
      <c r="F610" s="15"/>
      <c r="G610" s="262"/>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260"/>
      <c r="C611" s="21"/>
      <c r="D611" s="15"/>
      <c r="E611" s="261"/>
      <c r="F611" s="15"/>
      <c r="G611" s="262"/>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260"/>
      <c r="C612" s="21"/>
      <c r="D612" s="15"/>
      <c r="E612" s="261"/>
      <c r="F612" s="15"/>
      <c r="G612" s="262"/>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260"/>
      <c r="C613" s="21"/>
      <c r="D613" s="15"/>
      <c r="E613" s="261"/>
      <c r="F613" s="15"/>
      <c r="G613" s="262"/>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260"/>
      <c r="C614" s="21"/>
      <c r="D614" s="15"/>
      <c r="E614" s="261"/>
      <c r="F614" s="15"/>
      <c r="G614" s="262"/>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260"/>
      <c r="C615" s="21"/>
      <c r="D615" s="15"/>
      <c r="E615" s="261"/>
      <c r="F615" s="15"/>
      <c r="G615" s="262"/>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260"/>
      <c r="C616" s="21"/>
      <c r="D616" s="15"/>
      <c r="E616" s="261"/>
      <c r="F616" s="15"/>
      <c r="G616" s="262"/>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B617" s="260"/>
      <c r="C617" s="21"/>
      <c r="D617" s="15"/>
      <c r="E617" s="261"/>
      <c r="F617" s="15"/>
      <c r="G617" s="262"/>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260"/>
      <c r="C618" s="21"/>
      <c r="D618" s="15"/>
      <c r="E618" s="261"/>
      <c r="F618" s="15"/>
      <c r="G618" s="262"/>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260"/>
      <c r="C619" s="21"/>
      <c r="D619" s="15"/>
      <c r="E619" s="261"/>
      <c r="F619" s="15"/>
      <c r="G619" s="262"/>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260"/>
      <c r="C620" s="21"/>
      <c r="D620" s="15"/>
      <c r="E620" s="261"/>
      <c r="F620" s="15"/>
      <c r="G620" s="262"/>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260"/>
      <c r="C621" s="21"/>
      <c r="D621" s="15"/>
      <c r="E621" s="261"/>
      <c r="F621" s="15"/>
      <c r="G621" s="262"/>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260"/>
      <c r="C622" s="21"/>
      <c r="D622" s="15"/>
      <c r="E622" s="261"/>
      <c r="F622" s="15"/>
      <c r="G622" s="262"/>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260"/>
      <c r="C623" s="21"/>
      <c r="D623" s="15"/>
      <c r="E623" s="261"/>
      <c r="F623" s="15"/>
      <c r="G623" s="262"/>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260"/>
      <c r="C624" s="21"/>
      <c r="D624" s="15"/>
      <c r="E624" s="261"/>
      <c r="F624" s="15"/>
      <c r="G624" s="262"/>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260"/>
      <c r="C625" s="21"/>
      <c r="D625" s="15"/>
      <c r="E625" s="261"/>
      <c r="F625" s="15"/>
      <c r="G625" s="262"/>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260"/>
      <c r="C626" s="21"/>
      <c r="D626" s="15"/>
      <c r="E626" s="261"/>
      <c r="F626" s="15"/>
      <c r="G626" s="262"/>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260"/>
      <c r="C627" s="21"/>
      <c r="D627" s="15"/>
      <c r="E627" s="261"/>
      <c r="F627" s="15"/>
      <c r="G627" s="262"/>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260"/>
      <c r="C628" s="21"/>
      <c r="D628" s="15"/>
      <c r="E628" s="261"/>
      <c r="F628" s="15"/>
      <c r="G628" s="262"/>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260"/>
      <c r="C629" s="21"/>
      <c r="D629" s="15"/>
      <c r="E629" s="261"/>
      <c r="F629" s="15"/>
      <c r="G629" s="262"/>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260"/>
      <c r="C630" s="21"/>
      <c r="D630" s="15"/>
      <c r="E630" s="261"/>
      <c r="F630" s="15"/>
      <c r="G630" s="262"/>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260"/>
      <c r="C631" s="21"/>
      <c r="D631" s="15"/>
      <c r="E631" s="261"/>
      <c r="F631" s="15"/>
      <c r="G631" s="262"/>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260"/>
      <c r="C632" s="21"/>
      <c r="D632" s="15"/>
      <c r="E632" s="261"/>
      <c r="F632" s="15"/>
      <c r="G632" s="262"/>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260"/>
      <c r="C633" s="21"/>
      <c r="D633" s="15"/>
      <c r="E633" s="261"/>
      <c r="F633" s="15"/>
      <c r="G633" s="262"/>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260"/>
      <c r="C634" s="21"/>
      <c r="D634" s="15"/>
      <c r="E634" s="261"/>
      <c r="F634" s="15"/>
      <c r="G634" s="262"/>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260"/>
      <c r="C635" s="21"/>
      <c r="D635" s="15"/>
      <c r="E635" s="261"/>
      <c r="F635" s="15"/>
      <c r="G635" s="262"/>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260"/>
      <c r="C636" s="21"/>
      <c r="D636" s="15"/>
      <c r="E636" s="261"/>
      <c r="F636" s="15"/>
      <c r="G636" s="262"/>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260"/>
      <c r="C637" s="21"/>
      <c r="D637" s="15"/>
      <c r="E637" s="261"/>
      <c r="F637" s="15"/>
      <c r="G637" s="262"/>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260"/>
      <c r="C638" s="21"/>
      <c r="D638" s="15"/>
      <c r="E638" s="261"/>
      <c r="F638" s="15"/>
      <c r="G638" s="262"/>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260"/>
      <c r="C639" s="21"/>
      <c r="D639" s="15"/>
      <c r="E639" s="261"/>
      <c r="F639" s="15"/>
      <c r="G639" s="262"/>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260"/>
      <c r="C640" s="21"/>
      <c r="D640" s="15"/>
      <c r="E640" s="261"/>
      <c r="F640" s="15"/>
      <c r="G640" s="262"/>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260"/>
      <c r="C641" s="21"/>
      <c r="D641" s="15"/>
      <c r="E641" s="261"/>
      <c r="F641" s="15"/>
      <c r="G641" s="262"/>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260"/>
      <c r="C642" s="21"/>
      <c r="D642" s="15"/>
      <c r="E642" s="261"/>
      <c r="F642" s="15"/>
      <c r="G642" s="262"/>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260"/>
      <c r="C643" s="21"/>
      <c r="D643" s="15"/>
      <c r="E643" s="261"/>
      <c r="F643" s="15"/>
      <c r="G643" s="262"/>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260"/>
      <c r="C644" s="21"/>
      <c r="D644" s="15"/>
      <c r="E644" s="261"/>
      <c r="F644" s="15"/>
      <c r="G644" s="262"/>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260"/>
      <c r="C645" s="21"/>
      <c r="D645" s="15"/>
      <c r="E645" s="261"/>
      <c r="F645" s="15"/>
      <c r="G645" s="262"/>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260"/>
      <c r="C646" s="21"/>
      <c r="D646" s="15"/>
      <c r="E646" s="261"/>
      <c r="F646" s="15"/>
      <c r="G646" s="262"/>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260"/>
      <c r="C647" s="21"/>
      <c r="D647" s="15"/>
      <c r="E647" s="261"/>
      <c r="F647" s="15"/>
      <c r="G647" s="262"/>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260"/>
      <c r="C648" s="21"/>
      <c r="D648" s="15"/>
      <c r="E648" s="261"/>
      <c r="F648" s="15"/>
      <c r="G648" s="262"/>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260"/>
      <c r="C649" s="21"/>
      <c r="D649" s="15"/>
      <c r="E649" s="261"/>
      <c r="F649" s="15"/>
      <c r="G649" s="262"/>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260"/>
      <c r="C650" s="21"/>
      <c r="D650" s="15"/>
      <c r="E650" s="261"/>
      <c r="F650" s="15"/>
      <c r="G650" s="262"/>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260"/>
      <c r="C651" s="21"/>
      <c r="D651" s="15"/>
      <c r="E651" s="261"/>
      <c r="F651" s="15"/>
      <c r="G651" s="262"/>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260"/>
      <c r="C652" s="21"/>
      <c r="D652" s="15"/>
      <c r="E652" s="261"/>
      <c r="F652" s="15"/>
      <c r="G652" s="262"/>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260"/>
      <c r="C653" s="21"/>
      <c r="D653" s="15"/>
      <c r="E653" s="261"/>
      <c r="F653" s="15"/>
      <c r="G653" s="262"/>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260"/>
      <c r="C654" s="21"/>
      <c r="D654" s="15"/>
      <c r="E654" s="261"/>
      <c r="F654" s="15"/>
      <c r="G654" s="262"/>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260"/>
      <c r="C655" s="21"/>
      <c r="D655" s="15"/>
      <c r="E655" s="261"/>
      <c r="F655" s="15"/>
      <c r="G655" s="262"/>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260"/>
      <c r="C656" s="21"/>
      <c r="D656" s="15"/>
      <c r="E656" s="261"/>
      <c r="F656" s="15"/>
      <c r="G656" s="262"/>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260"/>
      <c r="C657" s="21"/>
      <c r="D657" s="15"/>
      <c r="E657" s="261"/>
      <c r="F657" s="15"/>
      <c r="G657" s="262"/>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260"/>
      <c r="C658" s="21"/>
      <c r="D658" s="15"/>
      <c r="E658" s="261"/>
      <c r="F658" s="15"/>
      <c r="G658" s="262"/>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260"/>
      <c r="C659" s="21"/>
      <c r="D659" s="15"/>
      <c r="E659" s="261"/>
      <c r="F659" s="15"/>
      <c r="G659" s="262"/>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260"/>
      <c r="C660" s="21"/>
      <c r="D660" s="15"/>
      <c r="E660" s="261"/>
      <c r="F660" s="15"/>
      <c r="G660" s="262"/>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260"/>
      <c r="C661" s="21"/>
      <c r="D661" s="15"/>
      <c r="E661" s="261"/>
      <c r="F661" s="15"/>
      <c r="G661" s="262"/>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260"/>
      <c r="C662" s="21"/>
      <c r="D662" s="15"/>
      <c r="E662" s="261"/>
      <c r="F662" s="15"/>
      <c r="G662" s="262"/>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260"/>
      <c r="C663" s="21"/>
      <c r="D663" s="15"/>
      <c r="E663" s="261"/>
      <c r="F663" s="15"/>
      <c r="G663" s="262"/>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260"/>
      <c r="C664" s="21"/>
      <c r="D664" s="15"/>
      <c r="E664" s="261"/>
      <c r="F664" s="15"/>
      <c r="G664" s="262"/>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260"/>
      <c r="C665" s="21"/>
      <c r="D665" s="15"/>
      <c r="E665" s="261"/>
      <c r="F665" s="15"/>
      <c r="G665" s="262"/>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260"/>
      <c r="C666" s="21"/>
      <c r="D666" s="15"/>
      <c r="E666" s="261"/>
      <c r="F666" s="15"/>
      <c r="G666" s="262"/>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260"/>
      <c r="C667" s="21"/>
      <c r="D667" s="15"/>
      <c r="E667" s="261"/>
      <c r="F667" s="15"/>
      <c r="G667" s="262"/>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260"/>
      <c r="C668" s="21"/>
      <c r="D668" s="15"/>
      <c r="E668" s="261"/>
      <c r="F668" s="15"/>
      <c r="G668" s="262"/>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260"/>
      <c r="C669" s="21"/>
      <c r="D669" s="15"/>
      <c r="E669" s="261"/>
      <c r="F669" s="15"/>
      <c r="G669" s="262"/>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260"/>
      <c r="C670" s="21"/>
      <c r="D670" s="15"/>
      <c r="E670" s="261"/>
      <c r="F670" s="15"/>
      <c r="G670" s="262"/>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260"/>
      <c r="C671" s="21"/>
      <c r="D671" s="15"/>
      <c r="E671" s="261"/>
      <c r="F671" s="15"/>
      <c r="G671" s="262"/>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260"/>
      <c r="C672" s="21"/>
      <c r="D672" s="15"/>
      <c r="E672" s="261"/>
      <c r="F672" s="15"/>
      <c r="G672" s="262"/>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260"/>
      <c r="C673" s="21"/>
      <c r="D673" s="15"/>
      <c r="E673" s="261"/>
      <c r="F673" s="15"/>
      <c r="G673" s="262"/>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260"/>
      <c r="C674" s="21"/>
      <c r="D674" s="15"/>
      <c r="E674" s="261"/>
      <c r="F674" s="15"/>
      <c r="G674" s="262"/>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260"/>
      <c r="C675" s="21"/>
      <c r="D675" s="15"/>
      <c r="E675" s="261"/>
      <c r="F675" s="15"/>
      <c r="G675" s="262"/>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260"/>
      <c r="C676" s="21"/>
      <c r="D676" s="15"/>
      <c r="E676" s="261"/>
      <c r="F676" s="15"/>
      <c r="G676" s="262"/>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260"/>
      <c r="C677" s="21"/>
      <c r="D677" s="15"/>
      <c r="E677" s="261"/>
      <c r="F677" s="15"/>
      <c r="G677" s="262"/>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260"/>
      <c r="C678" s="21"/>
      <c r="D678" s="15"/>
      <c r="E678" s="261"/>
      <c r="F678" s="15"/>
      <c r="G678" s="262"/>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260"/>
      <c r="C679" s="21"/>
      <c r="D679" s="15"/>
      <c r="E679" s="261"/>
      <c r="F679" s="15"/>
      <c r="G679" s="262"/>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260"/>
      <c r="C680" s="21"/>
      <c r="D680" s="15"/>
      <c r="E680" s="261"/>
      <c r="F680" s="15"/>
      <c r="G680" s="262"/>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260"/>
      <c r="C681" s="21"/>
      <c r="D681" s="15"/>
      <c r="E681" s="261"/>
      <c r="F681" s="15"/>
      <c r="G681" s="262"/>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260"/>
      <c r="C682" s="21"/>
      <c r="D682" s="15"/>
      <c r="E682" s="261"/>
      <c r="F682" s="15"/>
      <c r="G682" s="262"/>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260"/>
      <c r="C683" s="21"/>
      <c r="D683" s="15"/>
      <c r="E683" s="261"/>
      <c r="F683" s="15"/>
      <c r="G683" s="262"/>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260"/>
      <c r="C684" s="21"/>
      <c r="D684" s="15"/>
      <c r="E684" s="261"/>
      <c r="F684" s="15"/>
      <c r="G684" s="262"/>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260"/>
      <c r="C685" s="21"/>
      <c r="D685" s="15"/>
      <c r="E685" s="261"/>
      <c r="F685" s="15"/>
      <c r="G685" s="262"/>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260"/>
      <c r="C686" s="21"/>
      <c r="D686" s="15"/>
      <c r="E686" s="261"/>
      <c r="F686" s="15"/>
      <c r="G686" s="262"/>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260"/>
      <c r="C687" s="21"/>
      <c r="D687" s="15"/>
      <c r="E687" s="261"/>
      <c r="F687" s="15"/>
      <c r="G687" s="262"/>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260"/>
      <c r="C688" s="21"/>
      <c r="D688" s="15"/>
      <c r="E688" s="261"/>
      <c r="F688" s="15"/>
      <c r="G688" s="262"/>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260"/>
      <c r="C689" s="21"/>
      <c r="D689" s="15"/>
      <c r="E689" s="261"/>
      <c r="F689" s="15"/>
      <c r="G689" s="262"/>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260"/>
      <c r="C690" s="21"/>
      <c r="D690" s="15"/>
      <c r="E690" s="261"/>
      <c r="F690" s="15"/>
      <c r="G690" s="262"/>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260"/>
      <c r="C691" s="21"/>
      <c r="D691" s="15"/>
      <c r="E691" s="261"/>
      <c r="F691" s="15"/>
      <c r="G691" s="262"/>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260"/>
      <c r="C692" s="21"/>
      <c r="D692" s="15"/>
      <c r="E692" s="261"/>
      <c r="F692" s="15"/>
      <c r="G692" s="262"/>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260"/>
      <c r="C693" s="21"/>
      <c r="D693" s="15"/>
      <c r="E693" s="261"/>
      <c r="F693" s="15"/>
      <c r="G693" s="262"/>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260"/>
      <c r="C694" s="21"/>
      <c r="D694" s="15"/>
      <c r="E694" s="261"/>
      <c r="F694" s="15"/>
      <c r="G694" s="262"/>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260"/>
      <c r="C695" s="21"/>
      <c r="D695" s="15"/>
      <c r="E695" s="261"/>
      <c r="F695" s="15"/>
      <c r="G695" s="262"/>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260"/>
      <c r="C696" s="21"/>
      <c r="D696" s="15"/>
      <c r="E696" s="261"/>
      <c r="F696" s="15"/>
      <c r="G696" s="262"/>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260"/>
      <c r="C697" s="21"/>
      <c r="D697" s="15"/>
      <c r="E697" s="261"/>
      <c r="F697" s="15"/>
      <c r="G697" s="262"/>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260"/>
      <c r="C698" s="21"/>
      <c r="D698" s="15"/>
      <c r="E698" s="261"/>
      <c r="F698" s="15"/>
      <c r="G698" s="262"/>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260"/>
      <c r="C699" s="21"/>
      <c r="D699" s="15"/>
      <c r="E699" s="261"/>
      <c r="F699" s="15"/>
      <c r="G699" s="262"/>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260"/>
      <c r="C700" s="21"/>
      <c r="D700" s="15"/>
      <c r="E700" s="261"/>
      <c r="F700" s="15"/>
      <c r="G700" s="262"/>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260"/>
      <c r="C701" s="21"/>
      <c r="D701" s="15"/>
      <c r="E701" s="261"/>
      <c r="F701" s="15"/>
      <c r="G701" s="262"/>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260"/>
      <c r="C702" s="21"/>
      <c r="D702" s="15"/>
      <c r="E702" s="261"/>
      <c r="F702" s="15"/>
      <c r="G702" s="262"/>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260"/>
      <c r="C703" s="21"/>
      <c r="D703" s="15"/>
      <c r="E703" s="261"/>
      <c r="F703" s="15"/>
      <c r="G703" s="262"/>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260"/>
      <c r="C704" s="21"/>
      <c r="D704" s="15"/>
      <c r="E704" s="261"/>
      <c r="F704" s="15"/>
      <c r="G704" s="262"/>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260"/>
      <c r="C705" s="21"/>
      <c r="D705" s="15"/>
      <c r="E705" s="261"/>
      <c r="F705" s="15"/>
      <c r="G705" s="262"/>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260"/>
      <c r="C706" s="21"/>
      <c r="D706" s="15"/>
      <c r="E706" s="261"/>
      <c r="F706" s="15"/>
      <c r="G706" s="262"/>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260"/>
      <c r="C707" s="21"/>
      <c r="D707" s="15"/>
      <c r="E707" s="261"/>
      <c r="F707" s="15"/>
      <c r="G707" s="262"/>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260"/>
      <c r="C708" s="21"/>
      <c r="D708" s="15"/>
      <c r="E708" s="261"/>
      <c r="F708" s="15"/>
      <c r="G708" s="262"/>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260"/>
      <c r="C709" s="21"/>
      <c r="D709" s="15"/>
      <c r="E709" s="261"/>
      <c r="F709" s="15"/>
      <c r="G709" s="262"/>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260"/>
      <c r="C710" s="21"/>
      <c r="D710" s="15"/>
      <c r="E710" s="261"/>
      <c r="F710" s="15"/>
      <c r="G710" s="262"/>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260"/>
      <c r="C711" s="21"/>
      <c r="D711" s="15"/>
      <c r="E711" s="261"/>
      <c r="F711" s="15"/>
      <c r="G711" s="262"/>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260"/>
      <c r="C712" s="21"/>
      <c r="D712" s="15"/>
      <c r="E712" s="261"/>
      <c r="F712" s="15"/>
      <c r="G712" s="262"/>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260"/>
      <c r="C713" s="21"/>
      <c r="D713" s="15"/>
      <c r="E713" s="261"/>
      <c r="F713" s="15"/>
      <c r="G713" s="262"/>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260"/>
      <c r="C714" s="21"/>
      <c r="D714" s="15"/>
      <c r="E714" s="261"/>
      <c r="F714" s="15"/>
      <c r="G714" s="262"/>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260"/>
      <c r="C715" s="21"/>
      <c r="D715" s="15"/>
      <c r="E715" s="261"/>
      <c r="F715" s="15"/>
      <c r="G715" s="262"/>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260"/>
      <c r="C716" s="21"/>
      <c r="D716" s="15"/>
      <c r="E716" s="261"/>
      <c r="F716" s="15"/>
      <c r="G716" s="262"/>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260"/>
      <c r="C717" s="21"/>
      <c r="D717" s="15"/>
      <c r="E717" s="261"/>
      <c r="F717" s="15"/>
      <c r="G717" s="262"/>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260"/>
      <c r="C718" s="21"/>
      <c r="D718" s="15"/>
      <c r="E718" s="261"/>
      <c r="F718" s="15"/>
      <c r="G718" s="262"/>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260"/>
      <c r="C719" s="21"/>
      <c r="D719" s="15"/>
      <c r="E719" s="261"/>
      <c r="F719" s="15"/>
      <c r="G719" s="262"/>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260"/>
      <c r="C720" s="21"/>
      <c r="D720" s="15"/>
      <c r="E720" s="261"/>
      <c r="F720" s="15"/>
      <c r="G720" s="262"/>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260"/>
      <c r="C721" s="21"/>
      <c r="D721" s="15"/>
      <c r="E721" s="261"/>
      <c r="F721" s="15"/>
      <c r="G721" s="262"/>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260"/>
      <c r="C722" s="21"/>
      <c r="D722" s="15"/>
      <c r="E722" s="261"/>
      <c r="F722" s="15"/>
      <c r="G722" s="262"/>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260"/>
      <c r="C723" s="21"/>
      <c r="D723" s="15"/>
      <c r="E723" s="261"/>
      <c r="F723" s="15"/>
      <c r="G723" s="262"/>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260"/>
      <c r="C724" s="21"/>
      <c r="D724" s="15"/>
      <c r="E724" s="261"/>
      <c r="F724" s="15"/>
      <c r="G724" s="262"/>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260"/>
      <c r="C725" s="21"/>
      <c r="D725" s="15"/>
      <c r="E725" s="261"/>
      <c r="F725" s="15"/>
      <c r="G725" s="262"/>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260"/>
      <c r="C726" s="21"/>
      <c r="D726" s="15"/>
      <c r="E726" s="261"/>
      <c r="F726" s="15"/>
      <c r="G726" s="262"/>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260"/>
      <c r="C727" s="21"/>
      <c r="D727" s="15"/>
      <c r="E727" s="261"/>
      <c r="F727" s="15"/>
      <c r="G727" s="262"/>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260"/>
      <c r="C728" s="21"/>
      <c r="D728" s="15"/>
      <c r="E728" s="261"/>
      <c r="F728" s="15"/>
      <c r="G728" s="262"/>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260"/>
      <c r="C729" s="21"/>
      <c r="D729" s="15"/>
      <c r="E729" s="261"/>
      <c r="F729" s="15"/>
      <c r="G729" s="262"/>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260"/>
      <c r="C730" s="21"/>
      <c r="D730" s="15"/>
      <c r="E730" s="261"/>
      <c r="F730" s="15"/>
      <c r="G730" s="262"/>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260"/>
      <c r="C731" s="21"/>
      <c r="D731" s="15"/>
      <c r="E731" s="261"/>
      <c r="F731" s="15"/>
      <c r="G731" s="262"/>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260"/>
      <c r="C732" s="21"/>
      <c r="D732" s="15"/>
      <c r="E732" s="261"/>
      <c r="F732" s="15"/>
      <c r="G732" s="262"/>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260"/>
      <c r="C733" s="21"/>
      <c r="D733" s="15"/>
      <c r="E733" s="261"/>
      <c r="F733" s="15"/>
      <c r="G733" s="262"/>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260"/>
      <c r="C734" s="21"/>
      <c r="D734" s="15"/>
      <c r="E734" s="261"/>
      <c r="F734" s="15"/>
      <c r="G734" s="262"/>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260"/>
      <c r="C735" s="21"/>
      <c r="D735" s="15"/>
      <c r="E735" s="261"/>
      <c r="F735" s="15"/>
      <c r="G735" s="262"/>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260"/>
      <c r="C736" s="21"/>
      <c r="D736" s="15"/>
      <c r="E736" s="261"/>
      <c r="F736" s="15"/>
      <c r="G736" s="262"/>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260"/>
      <c r="C737" s="21"/>
      <c r="D737" s="15"/>
      <c r="E737" s="261"/>
      <c r="F737" s="15"/>
      <c r="G737" s="262"/>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260"/>
      <c r="C738" s="21"/>
      <c r="D738" s="15"/>
      <c r="E738" s="261"/>
      <c r="F738" s="15"/>
      <c r="G738" s="262"/>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260"/>
      <c r="C739" s="21"/>
      <c r="D739" s="15"/>
      <c r="E739" s="261"/>
      <c r="F739" s="15"/>
      <c r="G739" s="262"/>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260"/>
      <c r="C740" s="21"/>
      <c r="D740" s="15"/>
      <c r="E740" s="261"/>
      <c r="F740" s="15"/>
      <c r="G740" s="262"/>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260"/>
      <c r="C741" s="21"/>
      <c r="D741" s="15"/>
      <c r="E741" s="261"/>
      <c r="F741" s="15"/>
      <c r="G741" s="262"/>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260"/>
      <c r="C742" s="21"/>
      <c r="D742" s="15"/>
      <c r="E742" s="261"/>
      <c r="F742" s="15"/>
      <c r="G742" s="262"/>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260"/>
      <c r="C743" s="21"/>
      <c r="D743" s="15"/>
      <c r="E743" s="261"/>
      <c r="F743" s="15"/>
      <c r="G743" s="262"/>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260"/>
      <c r="C744" s="21"/>
      <c r="D744" s="15"/>
      <c r="E744" s="261"/>
      <c r="F744" s="15"/>
      <c r="G744" s="262"/>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260"/>
      <c r="C745" s="21"/>
      <c r="D745" s="15"/>
      <c r="E745" s="261"/>
      <c r="F745" s="15"/>
      <c r="G745" s="262"/>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260"/>
      <c r="C746" s="21"/>
      <c r="D746" s="15"/>
      <c r="E746" s="261"/>
      <c r="F746" s="15"/>
      <c r="G746" s="262"/>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260"/>
      <c r="C747" s="21"/>
      <c r="D747" s="15"/>
      <c r="E747" s="261"/>
      <c r="F747" s="15"/>
      <c r="G747" s="262"/>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260"/>
      <c r="C748" s="21"/>
      <c r="D748" s="15"/>
      <c r="E748" s="261"/>
      <c r="F748" s="15"/>
      <c r="G748" s="262"/>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260"/>
      <c r="C749" s="21"/>
      <c r="D749" s="15"/>
      <c r="E749" s="261"/>
      <c r="F749" s="15"/>
      <c r="G749" s="262"/>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260"/>
      <c r="C750" s="21"/>
      <c r="D750" s="15"/>
      <c r="E750" s="261"/>
      <c r="F750" s="15"/>
      <c r="G750" s="262"/>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260"/>
      <c r="C751" s="21"/>
      <c r="D751" s="15"/>
      <c r="E751" s="261"/>
      <c r="F751" s="15"/>
      <c r="G751" s="262"/>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260"/>
      <c r="C752" s="21"/>
      <c r="D752" s="15"/>
      <c r="E752" s="261"/>
      <c r="F752" s="15"/>
      <c r="G752" s="262"/>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260"/>
      <c r="C753" s="21"/>
      <c r="D753" s="15"/>
      <c r="E753" s="261"/>
      <c r="F753" s="15"/>
      <c r="G753" s="262"/>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260"/>
      <c r="C754" s="21"/>
      <c r="D754" s="15"/>
      <c r="E754" s="261"/>
      <c r="F754" s="15"/>
      <c r="G754" s="262"/>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260"/>
      <c r="C755" s="21"/>
      <c r="D755" s="15"/>
      <c r="E755" s="261"/>
      <c r="F755" s="15"/>
      <c r="G755" s="262"/>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260"/>
      <c r="C756" s="21"/>
      <c r="D756" s="15"/>
      <c r="E756" s="261"/>
      <c r="F756" s="15"/>
      <c r="G756" s="262"/>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260"/>
      <c r="C757" s="21"/>
      <c r="D757" s="15"/>
      <c r="E757" s="261"/>
      <c r="F757" s="15"/>
      <c r="G757" s="262"/>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260"/>
      <c r="C758" s="21"/>
      <c r="D758" s="15"/>
      <c r="E758" s="261"/>
      <c r="F758" s="15"/>
      <c r="G758" s="262"/>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260"/>
      <c r="C759" s="21"/>
      <c r="D759" s="15"/>
      <c r="E759" s="261"/>
      <c r="F759" s="15"/>
      <c r="G759" s="262"/>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260"/>
      <c r="C760" s="21"/>
      <c r="D760" s="15"/>
      <c r="E760" s="261"/>
      <c r="F760" s="15"/>
      <c r="G760" s="262"/>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260"/>
      <c r="C761" s="21"/>
      <c r="D761" s="15"/>
      <c r="E761" s="261"/>
      <c r="F761" s="15"/>
      <c r="G761" s="262"/>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260"/>
      <c r="C762" s="21"/>
      <c r="D762" s="15"/>
      <c r="E762" s="261"/>
      <c r="F762" s="15"/>
      <c r="G762" s="262"/>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260"/>
      <c r="C763" s="21"/>
      <c r="D763" s="15"/>
      <c r="E763" s="261"/>
      <c r="F763" s="15"/>
      <c r="G763" s="262"/>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260"/>
      <c r="C764" s="21"/>
      <c r="D764" s="15"/>
      <c r="E764" s="261"/>
      <c r="F764" s="15"/>
      <c r="G764" s="262"/>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260"/>
      <c r="C765" s="21"/>
      <c r="D765" s="15"/>
      <c r="E765" s="261"/>
      <c r="F765" s="15"/>
      <c r="G765" s="262"/>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260"/>
      <c r="C766" s="21"/>
      <c r="D766" s="15"/>
      <c r="E766" s="261"/>
      <c r="F766" s="15"/>
      <c r="G766" s="262"/>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260"/>
      <c r="C767" s="21"/>
      <c r="D767" s="15"/>
      <c r="E767" s="261"/>
      <c r="F767" s="15"/>
      <c r="G767" s="262"/>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260"/>
      <c r="C768" s="21"/>
      <c r="D768" s="15"/>
      <c r="E768" s="261"/>
      <c r="F768" s="15"/>
      <c r="G768" s="262"/>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260"/>
      <c r="C769" s="21"/>
      <c r="D769" s="15"/>
      <c r="E769" s="261"/>
      <c r="F769" s="15"/>
      <c r="G769" s="262"/>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260"/>
      <c r="C770" s="21"/>
      <c r="D770" s="15"/>
      <c r="E770" s="261"/>
      <c r="F770" s="15"/>
      <c r="G770" s="262"/>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260"/>
      <c r="C771" s="21"/>
      <c r="D771" s="15"/>
      <c r="E771" s="261"/>
      <c r="F771" s="15"/>
      <c r="G771" s="262"/>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260"/>
      <c r="C772" s="21"/>
      <c r="D772" s="15"/>
      <c r="E772" s="261"/>
      <c r="F772" s="15"/>
      <c r="G772" s="262"/>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260"/>
      <c r="C773" s="21"/>
      <c r="D773" s="15"/>
      <c r="E773" s="261"/>
      <c r="F773" s="15"/>
      <c r="G773" s="262"/>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260"/>
      <c r="C774" s="21"/>
      <c r="D774" s="15"/>
      <c r="E774" s="261"/>
      <c r="F774" s="15"/>
      <c r="G774" s="262"/>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260"/>
      <c r="C775" s="21"/>
      <c r="D775" s="15"/>
      <c r="E775" s="261"/>
      <c r="F775" s="15"/>
      <c r="G775" s="262"/>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260"/>
      <c r="C776" s="21"/>
      <c r="D776" s="15"/>
      <c r="E776" s="261"/>
      <c r="F776" s="15"/>
      <c r="G776" s="262"/>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260"/>
      <c r="C777" s="21"/>
      <c r="D777" s="15"/>
      <c r="E777" s="261"/>
      <c r="F777" s="15"/>
      <c r="G777" s="262"/>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260"/>
      <c r="C778" s="21"/>
      <c r="D778" s="15"/>
      <c r="E778" s="261"/>
      <c r="F778" s="15"/>
      <c r="G778" s="262"/>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260"/>
      <c r="C779" s="21"/>
      <c r="D779" s="15"/>
      <c r="E779" s="261"/>
      <c r="F779" s="15"/>
      <c r="G779" s="262"/>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260"/>
      <c r="C780" s="21"/>
      <c r="D780" s="15"/>
      <c r="E780" s="261"/>
      <c r="F780" s="15"/>
      <c r="G780" s="262"/>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260"/>
      <c r="C781" s="21"/>
      <c r="D781" s="15"/>
      <c r="E781" s="261"/>
      <c r="F781" s="15"/>
      <c r="G781" s="262"/>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260"/>
      <c r="C782" s="21"/>
      <c r="D782" s="15"/>
      <c r="E782" s="261"/>
      <c r="F782" s="15"/>
      <c r="G782" s="262"/>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260"/>
      <c r="C783" s="21"/>
      <c r="D783" s="15"/>
      <c r="E783" s="261"/>
      <c r="F783" s="15"/>
      <c r="G783" s="262"/>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260"/>
      <c r="C784" s="21"/>
      <c r="D784" s="15"/>
      <c r="E784" s="261"/>
      <c r="F784" s="15"/>
      <c r="G784" s="262"/>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260"/>
      <c r="C785" s="21"/>
      <c r="D785" s="15"/>
      <c r="E785" s="261"/>
      <c r="F785" s="15"/>
      <c r="G785" s="262"/>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260"/>
      <c r="C786" s="21"/>
      <c r="D786" s="15"/>
      <c r="E786" s="261"/>
      <c r="F786" s="15"/>
      <c r="G786" s="262"/>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260"/>
      <c r="C787" s="21"/>
      <c r="D787" s="15"/>
      <c r="E787" s="261"/>
      <c r="F787" s="15"/>
      <c r="G787" s="262"/>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260"/>
      <c r="C788" s="21"/>
      <c r="D788" s="15"/>
      <c r="E788" s="261"/>
      <c r="F788" s="15"/>
      <c r="G788" s="262"/>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260"/>
      <c r="C789" s="21"/>
      <c r="D789" s="15"/>
      <c r="E789" s="261"/>
      <c r="F789" s="15"/>
      <c r="G789" s="262"/>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260"/>
      <c r="C790" s="21"/>
      <c r="D790" s="15"/>
      <c r="E790" s="261"/>
      <c r="F790" s="15"/>
      <c r="G790" s="262"/>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260"/>
      <c r="C791" s="21"/>
      <c r="D791" s="15"/>
      <c r="E791" s="261"/>
      <c r="F791" s="15"/>
      <c r="G791" s="262"/>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260"/>
      <c r="C792" s="21"/>
      <c r="D792" s="15"/>
      <c r="E792" s="261"/>
      <c r="F792" s="15"/>
      <c r="G792" s="262"/>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260"/>
      <c r="C793" s="21"/>
      <c r="D793" s="15"/>
      <c r="E793" s="261"/>
      <c r="F793" s="15"/>
      <c r="G793" s="262"/>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260"/>
      <c r="C794" s="21"/>
      <c r="D794" s="15"/>
      <c r="E794" s="261"/>
      <c r="F794" s="15"/>
      <c r="G794" s="262"/>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260"/>
      <c r="C795" s="21"/>
      <c r="D795" s="15"/>
      <c r="E795" s="261"/>
      <c r="F795" s="15"/>
      <c r="G795" s="262"/>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260"/>
      <c r="C796" s="21"/>
      <c r="D796" s="15"/>
      <c r="E796" s="261"/>
      <c r="F796" s="15"/>
      <c r="G796" s="262"/>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260"/>
      <c r="C797" s="21"/>
      <c r="D797" s="15"/>
      <c r="E797" s="261"/>
      <c r="F797" s="15"/>
      <c r="G797" s="262"/>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260"/>
      <c r="C798" s="21"/>
      <c r="D798" s="15"/>
      <c r="E798" s="261"/>
      <c r="F798" s="15"/>
      <c r="G798" s="262"/>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260"/>
      <c r="C799" s="21"/>
      <c r="D799" s="15"/>
      <c r="E799" s="261"/>
      <c r="F799" s="15"/>
      <c r="G799" s="262"/>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260"/>
      <c r="C800" s="21"/>
      <c r="D800" s="15"/>
      <c r="E800" s="261"/>
      <c r="F800" s="15"/>
      <c r="G800" s="262"/>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260"/>
      <c r="C801" s="21"/>
      <c r="D801" s="15"/>
      <c r="E801" s="261"/>
      <c r="F801" s="15"/>
      <c r="G801" s="262"/>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260"/>
      <c r="C802" s="21"/>
      <c r="D802" s="15"/>
      <c r="E802" s="261"/>
      <c r="F802" s="15"/>
      <c r="G802" s="262"/>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260"/>
      <c r="C803" s="21"/>
      <c r="D803" s="15"/>
      <c r="E803" s="261"/>
      <c r="F803" s="15"/>
      <c r="G803" s="262"/>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260"/>
      <c r="C804" s="21"/>
      <c r="D804" s="15"/>
      <c r="E804" s="261"/>
      <c r="F804" s="15"/>
      <c r="G804" s="262"/>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260"/>
      <c r="C805" s="21"/>
      <c r="D805" s="15"/>
      <c r="E805" s="261"/>
      <c r="F805" s="15"/>
      <c r="G805" s="262"/>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260"/>
      <c r="C806" s="21"/>
      <c r="D806" s="15"/>
      <c r="E806" s="261"/>
      <c r="F806" s="15"/>
      <c r="G806" s="262"/>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260"/>
      <c r="C807" s="21"/>
      <c r="D807" s="15"/>
      <c r="E807" s="261"/>
      <c r="F807" s="15"/>
      <c r="G807" s="262"/>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260"/>
      <c r="C808" s="21"/>
      <c r="D808" s="15"/>
      <c r="E808" s="261"/>
      <c r="F808" s="15"/>
      <c r="G808" s="262"/>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260"/>
      <c r="C809" s="21"/>
      <c r="D809" s="15"/>
      <c r="E809" s="261"/>
      <c r="F809" s="15"/>
      <c r="G809" s="262"/>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260"/>
      <c r="C810" s="21"/>
      <c r="D810" s="15"/>
      <c r="E810" s="261"/>
      <c r="F810" s="15"/>
      <c r="G810" s="262"/>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260"/>
      <c r="C811" s="21"/>
      <c r="D811" s="15"/>
      <c r="E811" s="261"/>
      <c r="F811" s="15"/>
      <c r="G811" s="262"/>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260"/>
      <c r="C812" s="21"/>
      <c r="D812" s="15"/>
      <c r="E812" s="261"/>
      <c r="F812" s="15"/>
      <c r="G812" s="262"/>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260"/>
      <c r="C813" s="21"/>
      <c r="D813" s="15"/>
      <c r="E813" s="261"/>
      <c r="F813" s="15"/>
      <c r="G813" s="262"/>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260"/>
      <c r="C814" s="21"/>
      <c r="D814" s="15"/>
      <c r="E814" s="261"/>
      <c r="F814" s="15"/>
      <c r="G814" s="262"/>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260"/>
      <c r="C815" s="21"/>
      <c r="D815" s="15"/>
      <c r="E815" s="261"/>
      <c r="F815" s="15"/>
      <c r="G815" s="262"/>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260"/>
      <c r="C816" s="21"/>
      <c r="D816" s="15"/>
      <c r="E816" s="261"/>
      <c r="F816" s="15"/>
      <c r="G816" s="262"/>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260"/>
      <c r="C817" s="21"/>
      <c r="D817" s="15"/>
      <c r="E817" s="261"/>
      <c r="F817" s="15"/>
      <c r="G817" s="262"/>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260"/>
      <c r="C818" s="21"/>
      <c r="D818" s="15"/>
      <c r="E818" s="261"/>
      <c r="F818" s="15"/>
      <c r="G818" s="262"/>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260"/>
      <c r="C819" s="21"/>
      <c r="D819" s="15"/>
      <c r="E819" s="261"/>
      <c r="F819" s="15"/>
      <c r="G819" s="262"/>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260"/>
      <c r="C820" s="21"/>
      <c r="D820" s="15"/>
      <c r="E820" s="261"/>
      <c r="F820" s="15"/>
      <c r="G820" s="262"/>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260"/>
      <c r="C821" s="21"/>
      <c r="D821" s="15"/>
      <c r="E821" s="261"/>
      <c r="F821" s="15"/>
      <c r="G821" s="262"/>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260"/>
      <c r="C822" s="21"/>
      <c r="D822" s="15"/>
      <c r="E822" s="261"/>
      <c r="F822" s="15"/>
      <c r="G822" s="262"/>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260"/>
      <c r="C823" s="21"/>
      <c r="D823" s="15"/>
      <c r="E823" s="261"/>
      <c r="F823" s="15"/>
      <c r="G823" s="262"/>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260"/>
      <c r="C824" s="21"/>
      <c r="D824" s="15"/>
      <c r="E824" s="261"/>
      <c r="F824" s="15"/>
      <c r="G824" s="262"/>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260"/>
      <c r="C825" s="21"/>
      <c r="D825" s="15"/>
      <c r="E825" s="261"/>
      <c r="F825" s="15"/>
      <c r="G825" s="262"/>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260"/>
      <c r="C826" s="21"/>
      <c r="D826" s="15"/>
      <c r="E826" s="261"/>
      <c r="F826" s="15"/>
      <c r="G826" s="262"/>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260"/>
      <c r="C827" s="21"/>
      <c r="D827" s="15"/>
      <c r="E827" s="261"/>
      <c r="F827" s="15"/>
      <c r="G827" s="262"/>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260"/>
      <c r="C828" s="21"/>
      <c r="D828" s="15"/>
      <c r="E828" s="261"/>
      <c r="F828" s="15"/>
      <c r="G828" s="262"/>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260"/>
      <c r="C829" s="21"/>
      <c r="D829" s="15"/>
      <c r="E829" s="261"/>
      <c r="F829" s="15"/>
      <c r="G829" s="262"/>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260"/>
      <c r="C830" s="21"/>
      <c r="D830" s="15"/>
      <c r="E830" s="261"/>
      <c r="F830" s="15"/>
      <c r="G830" s="262"/>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260"/>
      <c r="C831" s="21"/>
      <c r="D831" s="15"/>
      <c r="E831" s="261"/>
      <c r="F831" s="15"/>
      <c r="G831" s="262"/>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260"/>
      <c r="C832" s="21"/>
      <c r="D832" s="15"/>
      <c r="E832" s="261"/>
      <c r="F832" s="15"/>
      <c r="G832" s="262"/>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260"/>
      <c r="C833" s="21"/>
      <c r="D833" s="15"/>
      <c r="E833" s="261"/>
      <c r="F833" s="15"/>
      <c r="G833" s="262"/>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260"/>
      <c r="C834" s="21"/>
      <c r="D834" s="15"/>
      <c r="E834" s="261"/>
      <c r="F834" s="15"/>
      <c r="G834" s="262"/>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260"/>
      <c r="C835" s="21"/>
      <c r="D835" s="15"/>
      <c r="E835" s="261"/>
      <c r="F835" s="15"/>
      <c r="G835" s="262"/>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260"/>
      <c r="C836" s="21"/>
      <c r="D836" s="15"/>
      <c r="E836" s="261"/>
      <c r="F836" s="15"/>
      <c r="G836" s="262"/>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260"/>
      <c r="C837" s="21"/>
      <c r="D837" s="15"/>
      <c r="E837" s="261"/>
      <c r="F837" s="15"/>
      <c r="G837" s="262"/>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260"/>
      <c r="C838" s="21"/>
      <c r="D838" s="15"/>
      <c r="E838" s="261"/>
      <c r="F838" s="15"/>
      <c r="G838" s="262"/>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260"/>
      <c r="C839" s="21"/>
      <c r="D839" s="15"/>
      <c r="E839" s="261"/>
      <c r="F839" s="15"/>
      <c r="G839" s="262"/>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260"/>
      <c r="C840" s="21"/>
      <c r="D840" s="15"/>
      <c r="E840" s="261"/>
      <c r="F840" s="15"/>
      <c r="G840" s="262"/>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260"/>
      <c r="C841" s="21"/>
      <c r="D841" s="15"/>
      <c r="E841" s="261"/>
      <c r="F841" s="15"/>
      <c r="G841" s="262"/>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260"/>
      <c r="C842" s="21"/>
      <c r="D842" s="15"/>
      <c r="E842" s="261"/>
      <c r="F842" s="15"/>
      <c r="G842" s="262"/>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260"/>
      <c r="C843" s="21"/>
      <c r="D843" s="15"/>
      <c r="E843" s="261"/>
      <c r="F843" s="15"/>
      <c r="G843" s="262"/>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260"/>
      <c r="C844" s="21"/>
      <c r="D844" s="15"/>
      <c r="E844" s="261"/>
      <c r="F844" s="15"/>
      <c r="G844" s="262"/>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260"/>
      <c r="C845" s="21"/>
      <c r="D845" s="15"/>
      <c r="E845" s="261"/>
      <c r="F845" s="15"/>
      <c r="G845" s="262"/>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260"/>
      <c r="C846" s="21"/>
      <c r="D846" s="15"/>
      <c r="E846" s="261"/>
      <c r="F846" s="15"/>
      <c r="G846" s="262"/>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260"/>
      <c r="C847" s="21"/>
      <c r="D847" s="15"/>
      <c r="E847" s="261"/>
      <c r="F847" s="15"/>
      <c r="G847" s="262"/>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260"/>
      <c r="C848" s="21"/>
      <c r="D848" s="15"/>
      <c r="E848" s="261"/>
      <c r="F848" s="15"/>
      <c r="G848" s="262"/>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260"/>
      <c r="C849" s="21"/>
      <c r="D849" s="15"/>
      <c r="E849" s="261"/>
      <c r="F849" s="15"/>
      <c r="G849" s="262"/>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260"/>
      <c r="C850" s="21"/>
      <c r="D850" s="15"/>
      <c r="E850" s="261"/>
      <c r="F850" s="15"/>
      <c r="G850" s="262"/>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260"/>
      <c r="C851" s="21"/>
      <c r="D851" s="15"/>
      <c r="E851" s="261"/>
      <c r="F851" s="15"/>
      <c r="G851" s="262"/>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260"/>
      <c r="C852" s="21"/>
      <c r="D852" s="15"/>
      <c r="E852" s="261"/>
      <c r="F852" s="15"/>
      <c r="G852" s="262"/>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260"/>
      <c r="C853" s="21"/>
      <c r="D853" s="15"/>
      <c r="E853" s="261"/>
      <c r="F853" s="15"/>
      <c r="G853" s="262"/>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260"/>
      <c r="C854" s="21"/>
      <c r="D854" s="15"/>
      <c r="E854" s="261"/>
      <c r="F854" s="15"/>
      <c r="G854" s="262"/>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260"/>
      <c r="C855" s="21"/>
      <c r="D855" s="15"/>
      <c r="E855" s="261"/>
      <c r="F855" s="15"/>
      <c r="G855" s="262"/>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260"/>
      <c r="C856" s="21"/>
      <c r="D856" s="15"/>
      <c r="E856" s="261"/>
      <c r="F856" s="15"/>
      <c r="G856" s="262"/>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260"/>
      <c r="C857" s="21"/>
      <c r="D857" s="15"/>
      <c r="E857" s="261"/>
      <c r="F857" s="15"/>
      <c r="G857" s="262"/>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260"/>
      <c r="C858" s="21"/>
      <c r="D858" s="15"/>
      <c r="E858" s="261"/>
      <c r="F858" s="15"/>
      <c r="G858" s="262"/>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260"/>
      <c r="C859" s="21"/>
      <c r="D859" s="15"/>
      <c r="E859" s="261"/>
      <c r="F859" s="15"/>
      <c r="G859" s="262"/>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260"/>
      <c r="C860" s="21"/>
      <c r="D860" s="15"/>
      <c r="E860" s="261"/>
      <c r="F860" s="15"/>
      <c r="G860" s="262"/>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260"/>
      <c r="C861" s="21"/>
      <c r="D861" s="15"/>
      <c r="E861" s="261"/>
      <c r="F861" s="15"/>
      <c r="G861" s="262"/>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5.75" customHeight="1">
      <c r="A862" s="15"/>
      <c r="B862" s="260"/>
      <c r="C862" s="21"/>
      <c r="D862" s="15"/>
      <c r="E862" s="261"/>
      <c r="F862" s="15"/>
      <c r="G862" s="262"/>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5.75" customHeight="1">
      <c r="A863" s="15"/>
      <c r="B863" s="260"/>
      <c r="C863" s="21"/>
      <c r="D863" s="15"/>
      <c r="E863" s="261"/>
      <c r="F863" s="15"/>
      <c r="G863" s="262"/>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5.75" customHeight="1">
      <c r="A864" s="15"/>
      <c r="B864" s="260"/>
      <c r="C864" s="21"/>
      <c r="D864" s="15"/>
      <c r="E864" s="261"/>
      <c r="F864" s="15"/>
      <c r="G864" s="262"/>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5.75" customHeight="1">
      <c r="A865" s="15"/>
      <c r="B865" s="260"/>
      <c r="C865" s="21"/>
      <c r="D865" s="15"/>
      <c r="E865" s="261"/>
      <c r="F865" s="15"/>
      <c r="G865" s="262"/>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sheetData>
  <mergeCells count="47">
    <mergeCell ref="C92:C97"/>
    <mergeCell ref="D92:D97"/>
    <mergeCell ref="B98:B115"/>
    <mergeCell ref="C98:C115"/>
    <mergeCell ref="D98:D115"/>
    <mergeCell ref="C118:C134"/>
    <mergeCell ref="B80:B85"/>
    <mergeCell ref="C80:C85"/>
    <mergeCell ref="D80:D85"/>
    <mergeCell ref="B86:B91"/>
    <mergeCell ref="C86:C91"/>
    <mergeCell ref="D86:D91"/>
    <mergeCell ref="B92:B97"/>
    <mergeCell ref="C3:I3"/>
    <mergeCell ref="B6:B17"/>
    <mergeCell ref="C6:C17"/>
    <mergeCell ref="D6:D17"/>
    <mergeCell ref="B18:B24"/>
    <mergeCell ref="C18:C24"/>
    <mergeCell ref="D18:D24"/>
    <mergeCell ref="C37:C42"/>
    <mergeCell ref="D37:D42"/>
    <mergeCell ref="B25:B30"/>
    <mergeCell ref="C25:C30"/>
    <mergeCell ref="D25:D30"/>
    <mergeCell ref="B31:B36"/>
    <mergeCell ref="C31:C36"/>
    <mergeCell ref="D31:D36"/>
    <mergeCell ref="B37:B42"/>
    <mergeCell ref="C55:C60"/>
    <mergeCell ref="D55:D60"/>
    <mergeCell ref="B43:B48"/>
    <mergeCell ref="C43:C48"/>
    <mergeCell ref="D43:D48"/>
    <mergeCell ref="B49:B54"/>
    <mergeCell ref="C49:C54"/>
    <mergeCell ref="D49:D54"/>
    <mergeCell ref="B55:B60"/>
    <mergeCell ref="C74:C79"/>
    <mergeCell ref="D74:D79"/>
    <mergeCell ref="B62:B67"/>
    <mergeCell ref="C62:C67"/>
    <mergeCell ref="D62:D67"/>
    <mergeCell ref="B68:B73"/>
    <mergeCell ref="C68:C73"/>
    <mergeCell ref="D68:D73"/>
    <mergeCell ref="B74:B79"/>
  </mergeCells>
  <dataValidations>
    <dataValidation type="list" allowBlank="1" sqref="H9:K17">
      <formula1>"VerifyWorkingSubs,CreateDoneAwayOrder,CheckUnallocatedGroups,CheckAllocatedGroups,CheckPortfolioManagement,GetDataClosing,VerifyLongPositionsGrid,VerifyShortPositionsGrid,SaveLayoutOrderGrid,VerifyActivity,GetActivityData,VerifySubOrder,VerifyOrder,GetDat"&amp;"aAllocation"</formula1>
    </dataValidation>
    <dataValidation type="list" allowBlank="1" sqref="H128:K128">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WorkingSubs,GetDataAllocation1,CheckAllocatedGroups1,Unallocate1,CheckUnallocatedGroups,VerifyWorkingSubs1,CheckPortfolioManagement1"</formula1>
    </dataValidation>
    <dataValidation type="list" allowBlank="1" sqref="F9 F66">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F22 F28 F34 F40 F46 F52 F58 F65 F71 F77 F83 F89 F95">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H99:K99">
      <formula1>"CreateDoneAwayOrder,VerifyWorkingSubs,CheckUnallocatedGroups,SelectUnallocatedGroup,EnterAllocatePreference,CheckAllocatedGroups,CheckPortfolioManagement,SetGeneralPreferences,Unallocate,CheckUnallocatedGroups1,SelectUnallocatedGroup1,SelectUnallocatedGro"&amp;"up2,EditUnallocatedGroupSidePanel,EnterAllocatePreference1,CheckAllocatedGroups2"</formula1>
    </dataValidation>
    <dataValidation type="list" allowBlank="1" sqref="H141:K141">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Order1,Copy of Data,VerifyWorkingSubs"</formula1>
    </dataValidation>
    <dataValidation type="list" allowBlank="1" sqref="H39:K39">
      <formula1>"TradeBloomberg,VerifyWorkingSubs,CheckUnallocatedGroups,CheckPortfolioManagement,GetDataAllocation,VerifyOrders,VerifyOrder"</formula1>
    </dataValidation>
    <dataValidation type="list" allowBlank="1" sqref="H136:K136">
      <formula1>"ShowMasterFundOnTT,UpdateMasterFundOnTT,CreateStageOrder,TradeNewSubOrder,CreateNewSubOrder,AddFillsSubOrder,EditAddFillsDetails,VerifySubOrder,VerifyOrder,GetDataAllocation,CheckAllocatedGroups,Unallocate,SelectUnallocatedGroup,EnterAccountValuesToAlloca"&amp;"te,VerifySubOrder1,ReplaceSubOrder,CreateReplaceOrder,VerifyOrder1,CheckPortfolioManagement"</formula1>
    </dataValidation>
    <dataValidation type="list" allowBlank="1" sqref="F12">
      <formula1>"CheckDashboardPM,CheckPortfolioManagement,OpenPSTFromPM,ClosePM,FilterPM,GroupRowPM,CheckDashboardWithPM,RemoveFilterPM,,,,,,,,,,,,,,,,,,,,,,,,,,,,,,,,,,,,,,,,,,,,,,,,,,,,,,,,,,,,,,,,,,,,,,,,,,,,,,,,,,,,,,,,,,,,,,,,,,,,,,,,,,,,,,,,,,,,,,,,,,,,,,,,,,,,,,,,"&amp;",,,,,,,,,,,,,,,,,,,,,,,,,,,,,,,,,,,,,,,,,,,,,,,,,,,,,,,,,,,,,,,,,,,,,,,,,,,,,,,,,,,,,,,,,,,,,,,,,,,,,,,,,,,,,,,,,,,,,,,,,,,,,,,,,,,,,,,,,,,,,,,,,,,,,,,,,,,,,,,,,,,,,,,,,,,,,,,,,,,,,,,,,,,,,,,,,,,,,,,,,,,,,,,,,,,,,,,,,,,,,,,,,,,,,,,,,,,,,,,,,,,,,,,,,,,,,,,"&amp;",,,,,,,,,,,,,,,,,,,,,,,,,,,,,,,,,,,,,,,,,,,,,,,,,,,,,,,,,,,,,,,,,,,,,,,,,,,,,,,,,,,,,,,,,,,,,,,,,,"</formula1>
    </dataValidation>
    <dataValidation type="list" allowBlank="1" sqref="F20 F26 F32 F38 F44 F50 F56 F63 F69 F75 F81 F87 F93">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VerifyAlgoDetails,VerifyTransferToUserOrder,VerifyT"&amp;"ransferToUserSubOdr,VerifyTransferToUserWorkSub,SaveLayoutOrderGrid,SaveLayoutOrderGrid,ReplaceStageOrder,,,,,,,,,,,,,,,,,,,,,,,,,,,,,,,,,,,,,,,,,,,,,,,,,,,,,,,,,,,,,,,,,,,,,,,,,,,,,,,,,,,,,,,,,,,,,,,,,,,,,,,,,,,,,,,,,,,,,,,,,,,,,,,,,,,,,,,,,,,,,,,,,,,,,,"&amp;",,,,,,,,,,,,,,,,,,,,,,,,,,,,,,,,,,,,,,,,,,,,,,,,,,,,,,,,,,,,,,,,,,,,,,,,,,,,,,,,,,,,,,,,,,,,,,,,,,,,,,,,,,,,,,,,,,,,,,,,,,,,,,,,,,,,,,,,,,,,,,,,,,,,,,,,,,,,,,,,,,,,,,,,,,,,,,,,,,,,,,,,,,,,,,,,,,,,,,,,,,,,,,,,,,,,,,,,,,,,,,,,,,,,,,,,,,,,,,,,,,,,,,,,,,,,,,,"&amp;",,,,,,,,,,,,,,,,,,,,,,,,,,,,,,,,,,,,,,,,"</formula1>
    </dataValidation>
    <dataValidation type="list" allowBlank="1" sqref="H139:K139">
      <formula1>"ShowMasterFundOnTT,UpdateMasterFundOnTT,CreateStageOrder,TradeNewSubOrder,CreateNewSubOrder,AddFillsSubOrder,EditAddFillsDetails,VerifySubOrder,VerifyOrder,GetDataAllocation,CheckAllocatedGroups,Unallocate,SelectUnallocatedGroup,EnterAccountValuesToAlloca"&amp;"te,VerifySubOrder1,ReplaceSubOrder"</formula1>
    </dataValidation>
    <dataValidation type="list" allowBlank="1" sqref="F121">
      <formula1>"RestartClient,UpdateClientConfig,,,,,,,,,,,,,,,,,,,,,,,,,,,,,,,,,,,,,,,,,,,,,,,,,,,,,,,,,,,,,,,,,,,,,,,,,,,,,,,,,,,,,,,,,,,,,,,,,,,,,,,,,,,,,,,,,,,,,,,,,,,,,,,,,,,,,,,,,,,,,,,,,,,,,,,,,,,,,,,,,,,,,,,,,,,,,,,,,,,,,,,,,,,,,,,,,,,,,,,,,,,,,,,,,,,,,,,,,,,,,,,"&amp;",,,,,,,,,,,,,,,,,,,,,,,,,,,,,,,,,,,,,,,,,,,,,,,,,,,,,,,,,,,,,,,,,,,,,,,,,,,,,,,,,,,,,,,,,,,,,,,,,,,,,,,,,,,,,,,,,,,,,,,,,,,,,,,,,,,,,,,,,,,,,,,,,,,,,,,,,,,,,,,,,,,,,,,,,,,,,,,,,,,,,,,,,,,,,,,,,,,,,,,,,,,,,,,,,,,,,,,,,,,,,,,,,,,,,,,,,,,,,,,,,,,,,,,,,,,,,,,"&amp;",,,,,,,,,,,,,,,,,"</formula1>
    </dataValidation>
    <dataValidation type="list" allowBlank="1" sqref="H21:K21 H33:K33 H45:K45 H51:K51 H57:K57">
      <formula1>"TradeBloomberg,VerifyWorkingSubs,CheckUnallocatedGroups,CheckPortfolioManagement,GetDataAllocation,VerifyOrder"</formula1>
    </dataValidation>
    <dataValidation type="list" allowBlank="1" sqref="H66:K67">
      <formula1>"CreateDoneAwayOrder,VerifyWorkingSubs,VerifyOrder,CheckPortfolioManagement,GetDataAllocation,Copy of Data,CheckUnallocatedGroups,Copy of Data 1_conflict1696060895"</formula1>
    </dataValidation>
    <dataValidation type="list" allowBlank="1" sqref="F147">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37:K38 H40:K44 H47:K48">
      <formula1>"TradeBloomberg,VerifyWorkingSubs,VerifyOrder,VerifySubOrder,CheckUnallocatedGroups,CheckPortfolioManagement,GetDataAllocation"</formula1>
    </dataValidation>
    <dataValidation type="list" allowBlank="1" sqref="F124 F126:F129 F137:F139 F141 F146">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GoToAllocation,,,,,,,,,,,,,,,,,,,,,,,,,,,,,,,,,,,,,,,,,,,,,,,,,,,,,,,,,,,,,,,,,,,,,,,,,,,,,,,,,,,,,,,,,,,,,,,,,,"&amp;",,,,,,,,,,,,,,,,,,,,,,,,,,,,,,,,,,,,,,,,,,,,,,,,,,,,,,,,,,,,,,,,,,,,,,,,,,,,,,,,,,,,,,,,,,,,,,,,,,,,,,,,,,,,,,,,,,,,,,,,,,,,,,,,,,,,,,,,,,,,,,,,,,,,,,,,,,,,,,,,,,,,,,,,,,,,,,,,,,,,,,,,,,,,,,,,,,,,,,,,,,,,,,,,,,,,,,,,,,,,,,,,,,,,,,,,,,,,,,,,,,,,,,,,,,,,,,,"&amp;",,,,,,,,,,,,,,,,,,,,,,,,,,,,,,,,,,,,,,,,,,,,,,,,,,,,,,,,,,,,,,,,,,,,,,,,,,,,,,,,,,,,,,,,,,,,,,,,,,,,,"</formula1>
    </dataValidation>
    <dataValidation type="list" allowBlank="1" sqref="H22:K22 H34:K34 H46:K46 H52:K52 H58:K58">
      <formula1>"TradeBloomberg,VerifyWorkingSubs,CheckUnallocatedGroups,CheckPortfolioManagement,GetDataAllocation"</formula1>
    </dataValidation>
    <dataValidation type="list" allowBlank="1" sqref="H28:K28">
      <formula1>"VerifyWorkingSubs,TradeBloomberg,CheckUnallocatedGroups,CheckPortfolioManagement,GetDataAllocation"</formula1>
    </dataValidation>
    <dataValidation type="list" allowBlank="1" sqref="F122:F123 F125 F140">
      <formula1>"OpenTTFromPST,EnterDetailsOnTT,ValidateSymbolTT,VerifyDataTT,SetUIPreferencesTT,SetBrokerWisePreferencesTT,TradeNewSub,CreateStageOrder,CreateReplaceOrder,SetGeneralPreference,CreateDoneAwayOrder,CreateNewSubOrder,TradeBloomberg,ClickSymbolLookup,VerifyTT"&amp;",CreateLiveOrder,ShowMasterFundOnTT,UpdateMasterFundOnTT,,,,,,,,,,,,,,,,,,,,,,,,,,,,,,,,,,,,,,,,,,,,,,,,,,,,,,,,,,,,,,,,,,,,,,,,,,,,,,,,,,,,,,,,,,,,,,,,,,,,,,,,,,,,,,,,,,,,,,,,,,,,,,,,,,,,,,,,,,,,,,,,,,,,,,,,,,,,,,,,,,,,,,,,,,,,,,,,,,,,,,,,,,,,,,,,,,,,,,,"&amp;",,,,,,,,,,,,,,,,,,,,,,,,,,,,,,,,,,,,,,,,,,,,,,,,,,,,,,,,,,,,,,,,,,,,,,,,,,,,,,,,,,,,,,,,,,,,,,,,,,,,,,,,,,,,,,,,,,,,,,,,,,,,,,,,,,,,,,,,,,,,,,,,,,,,,,,,,,,,,,,,,,,,,,,,,,,,,,,,,,,,,,,,,,,,,,,,,,,,,,,,,,,,,,,,,,,,,,,,,,,,,,,,,,,,,,,,,,,,,,,,,,,,,,,,,,,,,,,"&amp;",,,,,,,,,,,,,,,,,,,,,,,,,"</formula1>
    </dataValidation>
    <dataValidation type="list" allowBlank="1" sqref="H6:K7">
      <formula1>"VerifyWorkingSubs,VerifySubOrder,CreateDoneAwayOrder,VerifyOrder,CheckUnallocatedGroups,CheckAllocatedGroups,CheckPortfolioManagement,GetDataClosing,VerifyLongPositionsGrid,VerifyShortPositionsGrid,VerifyActivity,GetActivityData,GetDataAllocation"</formula1>
    </dataValidation>
    <dataValidation type="list" allowBlank="1" sqref="H133:K133">
      <formula1>"ShowMasterFundOnTT,UpdateMasterFundOnTT,CreateStageOrder,TradeNewSubOrder,CreateNewSubOrder,AddFillsSubOrder,EditAddFillsDetails,VerifySubOrder,VerifyOrder,GetDataAllocation,CheckAllocatedGroups,Unallocate,SelectUnallocatedGroup"</formula1>
    </dataValidation>
    <dataValidation type="list" allowBlank="1" sqref="F24 F30 F36 F42 F48 F54 F60 F67 F73 F79 F85 F91 F97 F136">
      <formula1>"CheckDashboardPM,CheckPortfolioManagement,OpenPSTFromPM,ClosePM,FilterPM,GroupRowPM,CheckDashboardWithPM,RemoveFilterPM,CheckSummaryRowsPM,,,,,,,,,,,,,,,,,,,,,,,,,,,,,,,,,,,,,,,,,,,,,,,,,,,,,,,,,,,,,,,,,,,,,,,,,,,,,,,,,,,,,,,,,,,,,,,,,,,,,,,,,,,,,,,,,,,,,"&amp;",,,,,,,,,,,,,,,,,,,,,,,,,,,,,,,,,,,,,,,,,,,,,,,,,,,,,,,,,,,,,,,,,,,,,,,,,,,,,,,,,,,,,,,,,,,,,,,,,,,,,,,,,,,,,,,,,,,,,,,,,,,,,,,,,,,,,,,,,,,,,,,,,,,,,,,,,,,,,,,,,,,,,,,,,,,,,,,,,,,,,,,,,,,,,,,,,,,,,,,,,,,,,,,,,,,,,,,,,,,,,,,,,,,,,,,,,,,,,,,,,,,,,,,,,,,,,,,"&amp;",,,,,,,,,,,,,,,,,,,,,,,,,,,,,,,,,,,,,,,,,,,,,,,,,,,,,,,,,,,,,,,,,,,,,,,,,,,,,,,,,,,,,,,,,,,,,,,,,,,,,,,,,,,,,,,,,,,,"</formula1>
    </dataValidation>
    <dataValidation type="list" allowBlank="1" sqref="H127:K127">
      <formula1>"ShowMasterFundOnTT,UpdateMasterFundOnTT,CreateStageOrder,TradeNewSubOrder,CreateNewSubOrder,AddFillsSubOrder,EditAddFillsDetails"</formula1>
    </dataValidation>
    <dataValidation type="list" allowBlank="1" sqref="H138:K138">
      <formula1>"ShowMasterFundOnTT,UpdateMasterFundOnTT,CreateStageOrder,TradeNewSubOrder,CreateNewSubOrder,AddFillsSubOrder,EditAddFillsDetails,VerifyOrder,VerifySubOrder,GetDataAllocation,CheckAllocatedGroups,Unallocate,SelectUnallocatedGroup,EnterAccountValuesToAlloca"&amp;"te,CheckPortfolioManagement,VerifySubOrder1,ReplaceSubOrder,CreateReplaceOrder,VerifyWorkingSubs,GetDataAllocation1,CheckAllocatedGroups1,Unallocate1,CheckUnallocatedGroups,VerifyWorkingSubs1,CheckPortfolioManagement1,SelectTradeOnOrderGrid"</formula1>
    </dataValidation>
    <dataValidation type="list" allowBlank="1" sqref="F19 F25 F31 F37 F43 F49 F55">
      <formula1>"TradeUsingTT,OpenTTFromPST,EnterDetailsOnTT,ValidateSymbolTT,VerifyDataTT,SetUIPreferencesTT,SetBrokerWisePreferencesTT,TradeNewSub,CreateStageOrder,CreateReplaceOrder,CreateReplaceOrder,EditOrder,SetGeneralPreference,CreateDoneAwayOrder,CreateNewSubOrder"&amp;",TradeBloomberg,,,,,,,,,,,,,,,,,,,,,,,,,,,,,,,,,,,,,,,,,,,,,,,,,,,,,,,,,,,,,,,,,,,,,,,,,,,,,,,,,,,,,,,,,,,,,,,,,,,,,,,,,,,,,,,,,,,,,,,,,,,,,,,,,,,,,,,,,,,,,,,,,,,,,,,,,,,,,,,,,,,,,,,,,,,,,,,,,,,,,,,,,,,,,,,,,,,,,,,,,,,,,,,,,,,,,,,,,,,,,,,,,,,,,,,,,,,,,,,,"&amp;",,,,,,,,,,,,,,,,,,,,,,,,,,,,,,,,,,,,,,,,,,,,,,,,,,,,,,,,,,,,,,,,,,,,,,,,,,,,,,,,,,,,,,,,,,,,,,,,,,,,,,,,,,,,,,,,,,,,,,,,,,,,,,,,,,,,,,,,,,,,,,,,,,,,,,,,,,,,,,,,,,,,,,,,,,,,,,,,,,,,,,,,,,,,,,,,,,,,,,,,,,,,,,,,,,,,,,,,,,,,,,,,,,,,,,,,,,,,,,,,,"</formula1>
    </dataValidation>
    <dataValidation type="list" allowBlank="1" sqref="H147:K147">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WorkingSubs,GetDataAllocation1,CheckAllocatedGroups1,Unallocate1,CheckUnallocatedGroups,VerifyWorkingSubs1"</formula1>
    </dataValidation>
    <dataValidation type="list" allowBlank="1" sqref="H68:K69 H71:K73">
      <formula1>"CreateDoneAwayOrder,CheckUnallocatedGroups,VerifyWorkingSubs,VerifyOrder,VerifySubOrder,CheckPortfolioManagement,GetDataAllocation"</formula1>
    </dataValidation>
    <dataValidation type="list" allowBlank="1" sqref="H124:K124">
      <formula1>"ShowMasterFundOnTT,UpdateMasterFundOnTT,CreateStageOrder,TradeNewSubOrder"</formula1>
    </dataValidation>
    <dataValidation type="list" allowBlank="1" sqref="F61:F62 F68 F74 F80 F86 F92">
      <formula1>"TradeUsingTT,OpenTTFromPST,EnterDetailsOnTT,ValidateSymbolTT,VerifyDataTT,SetUIPreferencesTT,SetBrokerWisePreferencesTT,TradeNewSub,CreateStageOrder,CreateReplaceOrder,CreateReplaceOrder,EditOrder,SetGeneralPreference,CreateDoneAwayOrder,CreateNewSubOrder"&amp;",TradeBloomberg,ClickSymbolLookup,,,,,,,,,,,,,,,,,,,,,,,,,,,,,,,,,,,,,,,,,,,,,,,,,,,,,,,,,,,,,,,,,,,,,,,,,,,,,,,,,,,,,,,,,,,,,,,,,,,,,,,,,,,,,,,,,,,,,,,,,,,,,,,,,,,,,,,,,,,,,,,,,,,,,,,,,,,,,,,,,,,,,,,,,,,,,,,,,,,,,,,,,,,,,,,,,,,,,,,,,,,,,,,,,,,,,,,,,,,,,,"&amp;",,,,,,,,,,,,,,,,,,,,,,,,,,,,,,,,,,,,,,,,,,,,,,,,,,,,,,,,,,,,,,,,,,,,,,,,,,,,,,,,,,,,,,,,,,,,,,,,,,,,,,,,,,,,,,,,,,,,,,,,,,,,,,,,,,,,,,,,,,,,,,,,,,,,,,,,,,,,,,,,,,,,,,,,,,,,,,,,,,,,,,,,,,,,,,,,,,,,,,,,,,,,,,,,,,,,,,,,,,,,,,,,,,,,,,,,,,,,,,,,,,,,,,,,,,,,,,,"&amp;",,,"</formula1>
    </dataValidation>
    <dataValidation type="list" allowBlank="1" sqref="F13:F15">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amp;",,,,,,,,,,,,,,,,,,,,,,,,,,,,,,,,,,,,,,,,,,,,,,,,,,,,,,,,,,,,,,,,,,,,,,,,,,,,,,,,,,,,,,,,,,,,,,,,,,,,,,,,,,,,,,,,,,,,,,,,,,,,,,,,,,,,,,,,,,,,,,,,,,,,,,,,,,,,,,,,,,,,,,,,,,,,,,,,,,,,,,,,,,,,,,,,,,,,,,,,,,,,,,,,,,,,,,,,,,,,,,,,,,,,,,,,,,,,,,,,,,,,,,,,,,,,,,,"&amp;",,,,,,,,,,,,,,,,,,,,,,,,,,,,,,,,,,,,,,,,,,,,,,,,,,,,,,,,,,,,,,,,,,,,,,,,,,,,,,,,,,,,,,,,,,,,,,,,,,,,,,,,,,,,,,,,,,,,,,,,,,,,,,,,,,,,,,,,,,,,,,,,,,,,,,,,,,,,,,,,,,,,,,,,,,,"</formula1>
    </dataValidation>
    <dataValidation type="list" allowBlank="1" sqref="H70:K70 H76:K76 H81:K85 H88:K88 H94:K94">
      <formula1>"CreateDoneAwayOrder,VerifyWorkingSubs,CheckUnallocatedGroups,CheckPortfolioManagement,GetDataAllocation,VerifyOrder"</formula1>
    </dataValidation>
    <dataValidation type="list" allowBlank="1" sqref="H134:K134 H137:K137">
      <formula1>"ShowMasterFundOnTT,UpdateMasterFundOnTT,CreateStageOrder,TradeNewSubOrder,CreateNewSubOrder,AddFillsSubOrder,EditAddFillsDetails,VerifySubOrder,VerifyOrder,GetDataAllocation,CheckAllocatedGroups,Unallocate,SelectUnallocatedGroup,EnterAccountValuesToAlloca"&amp;"te"</formula1>
    </dataValidation>
    <dataValidation type="list" allowBlank="1" sqref="H144:K144">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WorkingSubs,GetDataAllocation1,CheckAllocatedGroups1"</formula1>
    </dataValidation>
    <dataValidation type="list" allowBlank="1" sqref="H100:K104 H106:K112 H114:K114">
      <formula1>"CreateDoneAwayOrder,VerifyWorkingSubs,CheckUnallocatedGroups,SelectUnallocatedGroup,EnterAllocatePreference,CheckAllocatedGroups,CheckPortfolioManagement,SetGeneralPreferences,Unallocate,CheckUnallocatedGroups1,SelectUnallocatedGroup1,SelectUnallocatedGro"&amp;"up2,EditUnallocatedGroupSidePanel,EnterAllocatePreference1,CheckAllocatedGroups2,VerifyOrder"</formula1>
    </dataValidation>
    <dataValidation type="list" allowBlank="1" sqref="H126:K126">
      <formula1>"ShowMasterFundOnTT,UpdateMasterFundOnTT,CreateStageOrder,TradeNewSubOrder,CreateNewSubOrder,AddFillsSubOrder"</formula1>
    </dataValidation>
    <dataValidation type="list" allowBlank="1" sqref="H140:K140">
      <formula1>"ShowMasterFundOnTT,UpdateMasterFundOnTT,CreateStageOrder,TradeNewSubOrder,CreateNewSubOrder,AddFillsSubOrder,EditAddFillsDetails,VerifySubOrder,VerifyOrder,GetDataAllocation,CheckAllocatedGroups,Unallocate,SelectUnallocatedGroup,EnterAccountValuesToAlloca"&amp;"te,VerifySubOrder1,ReplaceSubOrder,CreateReplaceOrder"</formula1>
    </dataValidation>
    <dataValidation type="list" allowBlank="1" sqref="F8 F21 F27 F33 F39 F45 F51 F57 F64 F70 F76 F82 F88 F94 F100">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F99">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E6:E865">
      <formula1>'_Modules'!$A$4:$A865</formula1>
    </dataValidation>
    <dataValidation type="list" allowBlank="1" sqref="F16:F17">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V"&amp;"erifyAccountDetails,,,,,,,,,,,,,,,,,,,,,,,,,,,,,,,,,,,,,,,,,,,,,,,,,,,,,,,,,,,,,,,,,,,,,,,,,,,,,,,,,,,,,,,,,,,,,,,,,,,,,,,,,,,,,,,,,,,,,,,,,,,,,,,,,,,,,,,,,,,,,,,,,,,,,,,,,,,,,,,,,,,,,,,,,,,,,,,,,,,,,,,,,,,,,,,,,,,,,,,,,,,,,,,,,,,,,,,,,,,,,,,,,,,,,,,,,,,,"&amp;",,,,,,,,,,,,,,,,,,,,,,,,,,,,,,,,,,,,,,,,,,,,,,,,,,,,,,,,,,,,,,,,,,,,,,,,,,,,,,,,,,,,,,,,,,,,,,,,,,,,,,,,,,,,,,,,,,,,,,,,,,,,,,,,,,,,,,,,,,,,,,,,,,,,,,,,,,,,,,,,,,,,,,,,,,,,,,,,,,,,,,,,,,,,,,,,,,"</formula1>
    </dataValidation>
    <dataValidation type="list" allowBlank="1" sqref="H130:K130">
      <formula1>"ShowMasterFundOnTT,UpdateMasterFundOnTT,CreateStageOrder,TradeNewSubOrder,CreateNewSubOrder,AddFillsSubOrder,EditAddFillsDetails,VerifySubOrder,VerifyOrder,GetDataAllocation"</formula1>
    </dataValidation>
    <dataValidation type="list" allowBlank="1" sqref="H31:K32 H35:K36 H49:K50 H53:K54">
      <formula1>"TradeBloomberg,VerifyWorkingSubs,VerifySubOrder,VerifyOrder,CheckUnallocatedGroups,CheckPortfolioManagement,GetDataAllocation"</formula1>
    </dataValidation>
    <dataValidation type="list" allowBlank="1" sqref="F23 F29 F35 F41 F47 F53 F59 F72 F78 F84 F90 F96">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74:K75 H77:K79 H86:K87 H89:K93 H95:K97">
      <formula1>"CreateDoneAwayOrder,VerifyWorkingSubs,CheckUnallocatedGroups,CheckPortfolioManagement,GetDataAllocation,VerifyOrder,VerifySubOrder"</formula1>
    </dataValidation>
    <dataValidation type="list" allowBlank="1" sqref="F118">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61:K61">
      <formula1>"ClickSymbolLookup"</formula1>
    </dataValidation>
    <dataValidation type="list" allowBlank="1" sqref="H18:K18">
      <formula1>"TradeBloomberg,VerifyWorkingSubs,CheckUnallocatedGroups,CheckPortfolioManagement,GetDataAllocation,VerifyOrder,VerifySubOrder,CheckAllocatedGroups,SetGeneralPreference"</formula1>
    </dataValidation>
    <dataValidation type="list" allowBlank="1" sqref="F111">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StrategyValuesToAllocate,SetGeneralRuleCalculatedPref,CopyCalculatedPreferenceToolbar,EnterAllocatePreference,ExportAllCalculatedPreferences,SaveCalculatedPreferences,CloseCalculatedPreferences,ExportCalculatedPreference,EditUnal"&amp;"locatedGroupSidePanel,ImportCalculatedPreferences,OpenAuditTrailUnallocatedGroup,DeleteCalculatedPreferencesTool,ImportCalculatedPreferencesTool,ExportAllCalculatedPreferTool,CheckFixedPreference,DeleteFixedPreference,OpenSymbolLookupUnallocateGroup,OpenS"&amp;"ymbolLookupAllocatedGroup,GetFixedPreference,CheckAllocatedGroups,CheckUnallocatedGroups,SetGeneralPreferences,EditAllocatedGroupSidePanel,OpenAuditTrailAllocatedGroup,GroupTrades,UngroupTrades,DeleteGroup,CloseOrder,Unallocate,CloseAllocation,GeneralPref"&amp;"CompanyUserWise,SetGeneralRuleCalPreference,UpdateGRAccountValue,UpdateGRStrategyValue,UpdateGRDefaultRule,UpdateGeneralRulePref,ModifyGRPreferenceValues,AddMFPreferences,AddMFPreferenceToolbar,DeleteMFPreferences,DeleteMFPreferenceToolbar,RenameMFPrefere"&amp;"nces,SaveCloseMFPreference,SetMFPrefAccountValues,ModifyMFPrefGeneralRuleValues,SetMFPrefStrategyValues,SetMFPrefFundDistribution,SetMFPreferencesDefaultRule,SetMFPrefGeneralRule,SetMFPrefFundDefaultRule,ClearPrefetchFilters,ExpandCollapseAllUnallocated,E"&amp;"xpandCollapseAllAllocated,GenerateCashTransaction,SaveAllocation,UnallocateWithOutSave,,,,,,,,,,,,,,,,,,,,,,,,,,,,,,,,,,,,,,,,,,,,,,,,,,,,,,,,,,,,,,,,,,,,,,,,,,,,,,,,,,,,,,,,,,,,,,,,,,,,,,,,,,,,,,,,,,,,,,,,,,,,,,,,,,,,,,,,,,,,,,,,,,,,,,,,,,,,,,,,,,,,,,,,,"&amp;",,,,,,,,,,,,,,,,,,,,,,,,,,,,,,,,,,,,,,,,,,,,,,,,,,,,,,,,,,,,,,,,,,,,,,,,,,,,,,,,,,,,,,,,,,,,,,,,,,,,,,,,,,,,,,,,,,,,,,,,,,,,,,,,,,,,,,,,,,,,,,,,,,,,,,,,,,,,,,,,,,,,,,,,,,,,,,,,,,,,,,,,,,,,,,,,,,,,,,,,,,,,,,,,,,,,,,,,,,,,,,,,,,"</formula1>
    </dataValidation>
    <dataValidation type="list" allowBlank="1" sqref="F117 F119:F120 F130:F135 F142:F145">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pplyMasterFundFilter,ShowMasterFundOnTT,ShowMasterFundAsClient,SetBrokerA"&amp;"ccountMapping,,,,,,,,,,,,,,,,,,,,,,,,,,,,,,,,,,,,,,,,,,,,,,,,,,,,,,,,,,,,,,,,,,,,,,,,,,,,,,,,,,,,,,,,,,,,,,,,,,,,,,,,,,,,,,,,,,,,,,,,,,,,,,,,,,,,,,,,,,,,,,,,,,,,,,,,,,,,,,,,,,,,,,,,,,,,,,,,,,,,,,,,,,,,,,,,,,,,,,,,,,,,,,,,,,,,,,,,,,,,,,,,,,,,,,,,,,,,,,,,,,"&amp;",,,,,,,,,,,,,,,,,,,,,,,,,,,,,,,,,,,,,,,,,,,,,,,,,,,,,,,,,,,,,,,,,,,,,,,,,,,,,,,,,,,,,,,,,,,,,,,,,,,,,,,,,,,,,,,,,,,,,,,,,,,,,,,,,,,,,,,,,,,,,,,,,,"</formula1>
    </dataValidation>
    <dataValidation type="list" allowBlank="1" sqref="H20:K20 H23:K24">
      <formula1>"TradeBloomberg,VerifyWorkingSubs,CheckUnallocatedGroups,CheckPortfolioManagement,GetDataAllocation,VerifyOrder,VerifySubOrder,CheckAllocatedGroups,tra"</formula1>
    </dataValidation>
    <dataValidation type="list" allowBlank="1" sqref="F10:F11">
      <formula1>"Allocate,CheckAllocation,Unallocate,GetDataAllocation,SelectTradeAllocation,EditTradesAllocated,EditTradesUnallocated,Reallocate,CleanUp,EditTrades,TradeAttributeBulkChange,CommissionBulkChange,GeneralPreferencesDefaultRule,GeneralPreferencesCompanyUserWi"&amp;"se,AttributeRenaming,AutoGroupingRules,MasterFundRatioAllocation,CheckFixedPreferenceScheme,GetFixedScheme,AddCalculatedPreferences,BulkChangeCalculatedPreferences,DeleteCalculatedPreferences,RenameCalculatedPreferences,CopyCalculatedPreferences,RunAutoGr"&amp;"oup,SwapControl,RunProrata,SetDefaultRuleForCalculatedPreference,RenameTradeAttributes,SetAccountValueCalculatedPref,TradeAttributeBulkChange,TradeAttributeBulkChangeGroup,TradeAttributeBulkChangeTaxlots,TradeAttributeBulkChangeGroups,SetMasterFundRatio,A"&amp;"ddCalculatedPreferenceToolbar,SetGroupingRules,ApplyBulkUpdateOnGroups,SetStrategyValueCalculatedPref,ApplyBulkUpdateOnTaxlots,SetDefaultRuleCalculatedPref,CommissionBulkChangeOnGroups,CommissionBulkChangeOnTaxlots,BookOrUpdateSwap,SelectUnallocatedGroup,"&amp;"SelectAllocatedGroup,EnterAccountValuesToAllocate,ApplyPrefetchFilters,EnterAllocatePerference,EnterStrategyValuesToAllocate,CopyCalculatedPreferencesToolbar,SetGeneralRuleCalculatedPref,CopyCalculatedPreferenceToolbar,EnterAllocatePreference,ExportAllCal"&amp;"culatedPreferences,SaveCalculatedPreferences,ExportAllCalculatedPreferences,SaveCalculatedPreferences,CloseCalculatedPreferences,ExportCalculatedPreference,EditUnallocatedGroupSidePanel,ImportCalculatedPreferences,OpenAuditTrailUnallocatedGroup,DeleteCalc"&amp;"ulatedPreferencesTool,ImportCalculatedPreferencesTool,ExportAllCalculatedPreferTool,CheckFixedPreference,DeleteFixedPreference,OpenSymbolLookupUnallocateGroup,OpenSymbolLookupAllocatedGroup,ExportAllCalculatedPreferTool,ExportAllCalculatedPreferences,GetF"&amp;"ixedPreference,CheckAllocatedGroups,CheckUnallocatedGroups,SetGeneralPreferences,EditAllocatedGroupSidePanel,OpenAuditTrailAllocatedGroup,GroupTrades,UngroupTrades,DeleteGroup,CloseOrder,Unallocate,CloseAllocation,,,,,,,,,,,,,,,,,,,,,,,,,,,,,,,,,,,,,,,,,,"&amp;",,,,,,,,,,,,,,,,,,,,,,,,,,,,,,,,,,,,,,,,,,,,,,,,,,,,,,,,,,,,,,,,,,,,,,,,,,,,,,,,,,,,,,,,,,,,,,,,,,,,,,,,,,,,,,,,,,,,,,,,,,,,,,,,,,,,,,,,,,,,,,,,,,,,,,,,,,,,,,,,,,,,,,,,,,,,,,,,,,,,,,,,,,,,,,,,,,,,,,,,,,,,,,,,,,,,,,,,,,,,,,,,,,,,,,,,,,,,,,,,,,,,,,,,,,,,,,,"&amp;",,,,,,,,,,,,,,,,,,,,,,,,,,,,,,,,,,,,,,,,,,,,,,,,,,,,,,,,,,,,,,,,,,,,,,,,,,,,,,,,,,,,,,,,,,,,,,,,,,,,,,,,,,,,,,,,,,,,"</formula1>
    </dataValidation>
    <dataValidation type="list" allowBlank="1" sqref="F7">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SelectTradeWorkingSubsBlotter,VerifyAlgoDetails,Ver"&amp;"ifyTransferToUserOrder,VerifyTransferToUserSubOdr,VerifyTransferToUserWorkSub,SaveLayoutOrderGrid,SaveLayoutOrderGrid,,,,,,,,,,,,,,,,,,,,,,,,,,,,,,,,,,,,,,,,,,,,,,,,,,,,,,,,,,,,,,,,,,,,,,,,,,,,,,,,,,,,,,,,,,,,,,,,,,,,,,,,,,,,,,,,,,,,,,,,,,,,,,,,,,,,,,,,,,"&amp;",,,,,,,,,,,,,,,,,,,,,,,,,,,,,,,,,,,,,,,,,,,,,,,,,,,,,,,,,,,,,,,,,,,,,,,,,,,,,,,,,,,,,,,,,,,,,,,,,,,,,,,,,,,,,,,,,,,,,,,,,,,,,,,,,,,,,,,,,,,,,,,,,,,,,,,,,,,,,,,,,,,,,,,,,,,,,,,,,,,,,,,,,,,,,,,,,,,,,,,,,,,,,,,,,,,,,,,,,,,,,,,,,,,,,,,,,,,,,,,,,,,,,,,,,,,,,,,"&amp;",,,,,,,,,,,,,,,,,,,,,,,,,,,,,,,,,,,,,,,,,,,,,,,,,,,,"</formula1>
    </dataValidation>
    <dataValidation type="list" allowBlank="1" sqref="H55:K56 H59:K60">
      <formula1>"TradeBloomberg,VerifyWorkingSubs,CheckUnallocatedGroups,CheckPortfolioManagement,GetDataAllocation,VerifyOrder,VerifySubOrder"</formula1>
    </dataValidation>
    <dataValidation type="list" allowBlank="1" sqref="H25:K26 H29:K30">
      <formula1>"VerifyWorkingSubs,TradeBloomberg,CheckUnallocatedGroups,CheckPortfolioManagement,GetDataAllocation,VerifySubOrder,VerifyOrder"</formula1>
    </dataValidation>
    <dataValidation type="list" allowBlank="1" sqref="H120:K120">
      <formula1>"CleanUp,ShowMasterFundOnTT"</formula1>
    </dataValidation>
    <dataValidation type="list" allowBlank="1" sqref="H8:K8">
      <formula1>"VerifyWorkingSubs,CreateDoneAwayOrder,CheckUnallocatedGroups,CheckAllocatedGroups,CheckPortfolioManagement,GetDataClosing,VerifyLongPositionsGrid,VerifyShortPositionsGrid,SaveLayoutOrderGrid,VerifyActivity,GetActivityData,GetDataAllocation,VerifySubOrder,"&amp;"VerifyOrder"</formula1>
    </dataValidation>
    <dataValidation type="list" allowBlank="1" sqref="H142:K142">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WorkingSubs"</formula1>
    </dataValidation>
    <dataValidation type="list" allowBlank="1" sqref="H80:K80">
      <formula1>"CreateDoneAwayOrder,VerifyWorkingSubs,CheckUnallocatedGroups,CheckPortfolioManagement,GetDataAllocation,VerifyOrder,VerifySubOrder,Copy of Data"</formula1>
    </dataValidation>
    <dataValidation type="list" allowBlank="1" sqref="H131:K131">
      <formula1>"ShowMasterFundOnTT,UpdateMasterFundOnTT,CreateStageOrder,TradeNewSubOrder,CreateNewSubOrder,AddFillsSubOrder,EditAddFillsDetails,VerifySubOrder,VerifyOrder,GetDataAllocation,CheckAllocatedGroups"</formula1>
    </dataValidation>
    <dataValidation type="list" allowBlank="1" sqref="F18">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27:K27">
      <formula1>"VerifyWorkingSubs,TradeBloomberg,CheckUnallocatedGroups,CheckPortfolioManagement,GetDataAllocation,VerifyOrders,VerifySubOrder,VerifyOrder"</formula1>
    </dataValidation>
    <dataValidation type="list" allowBlank="1" sqref="H122:K122">
      <formula1>"ShowMasterFundOnTT,RestartClient,UpdateMasterFundOnTT"</formula1>
    </dataValidation>
    <dataValidation type="list" allowBlank="1" sqref="H143:K143">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WorkingSubs,GetDataAllocation1"</formula1>
    </dataValidation>
    <dataValidation type="list" allowBlank="1" sqref="H132:K132">
      <formula1>"ShowMasterFundOnTT,UpdateMasterFundOnTT,CreateStageOrder,TradeNewSubOrder,CreateNewSubOrder,AddFillsSubOrder,EditAddFillsDetails,VerifySubOrder,VerifyOrder,GetDataAllocation,CheckAllocatedGroups,Unallocate"</formula1>
    </dataValidation>
    <dataValidation type="list" allowBlank="1" sqref="H125:K125">
      <formula1>"ShowMasterFundOnTT,UpdateMasterFundOnTT,CreateStageOrder,TradeNewSubOrder,CreateNewSubOrder,AddFillsSubOrder,EditAddFillsDetails,VerifyOrder,VerifySubOrder,GetDataAllocation,CheckAllocatedGroups,Unallocate,SelectUnallocatedGroup,EnterAccountValuesToAlloca"&amp;"te,CheckPortfolioManagement,SelectTradeOnOrderGrid,VerifySubOrder1,ReplaceSubOrder,CreateReplaceOrder,VerifyWorkingSubs,GetDataAllocation1,CheckAllocatedGroups1,Unallocate1,CheckUnallocatedGroups,VerifyWorkingSubs1,CheckPortfolioManagement1"</formula1>
    </dataValidation>
    <dataValidation type="list" allowBlank="1" sqref="D6 D18 D25 D31 D37 D43 D49 D55 D61:D62 D68 D74 D80 D86 D92 D98 D116:D865">
      <formula1>'_Categories'!$A$4:$A865</formula1>
    </dataValidation>
    <dataValidation type="list" allowBlank="1" sqref="H63:K65">
      <formula1>"CreateDoneAwayOrder,VerifyWorkingSubs,VerifyOrder,CheckPortfolioManagement,GetDataAllocation,Copy of Data"</formula1>
    </dataValidation>
    <dataValidation type="list" allowBlank="1" sqref="H129:K129">
      <formula1>"ShowMasterFundOnTT,UpdateMasterFundOnTT,CreateStageOrder,TradeNewSubOrder,CreateNewSubOrder,AddFillsSubOrder,EditAddFillsDetails,VerifySubOrder"</formula1>
    </dataValidation>
    <dataValidation type="list" allowBlank="1" sqref="F6">
      <formula1>"TradeUsingTT,OpenTTFromPST,EnterDetailsOnTT,ValidateSymbolTT,VerifyDataTT,SetUIPreferencesTT,SetBrokerWisePreferencesTT,TradeNewSub,CreateStageOrder,CreateReplaceOrder,CreateReplaceOrder,EditOrder,SetGeneralPreference,CreateDoneAwayOrder,,,,,,,,,,,,,,,,,,"&amp;",,,,,,,,,,,,,,,,,,,,,,,,,,,,,,,,,,,,,,,,,,,,,,,,,,,,,,,,,,,,,,,,,,,,,,,,,,,,,,,,,,,,,,,,,,,,,,,,,,,,,,,,,,,,,,,,,,,,,,,,,,,,,,,,,,,,,,,,,,,,,,,,,,,,,,,,,,,,,,,,,,,,,,,,,,,,,,,,,,,,,,,,,,,,,,,,,,,,,,,,,,,,,,,,,,,,,,,,,,,,,,,,,,,,,,,,,,,,,,,,,,,,,,,,,,,,,,,"&amp;",,,,,,,,,,,,,,,,,,,,,,,,,,,,,,,,,,,,,,,,,,,,,,,,,,,,,,,,,,,,,,,,,,,,,,,,,,,,,,,,,,,,,,,,,,,,,,,,,,,,,,,,,,,,,,,,,,,,,,,,,,,,,,,,,,,,,,,,,,,,,,,,,,,,,,,,,,,,,,,,,,,,,,,,,,,,,,,,,,,,,,,,,,,,,,,,,,,,,,,,,,,,,,,,,,"</formula1>
    </dataValidation>
    <dataValidation type="list" allowBlank="1" sqref="H62:K62">
      <formula1>"CreateDoneAwayOrder,VerifyWorkingSubs,VerifyOrder,VerifySubOrder,CheckPortfolioManagement,GetDataAllocation,VerifyOrders,CheckUnallocatedGroups,CheckUnallocatedGroups1,Copy of Data,Copy of Data 1"</formula1>
    </dataValidation>
    <dataValidation type="list" allowBlank="1" sqref="H19:K19">
      <formula1>"TradeBloomberg,VerifyWorkingSubs,CheckUnallocatedGroups,CheckPortfolioManagement,GetDataAllocation,VerifyOrder,VerifySubOrder,CheckAllocatedGroups"</formula1>
    </dataValidation>
    <dataValidation type="list" allowBlank="1" sqref="H123:K123">
      <formula1>"ShowMasterFundOnTT,RestartClient,UpdateMasterFundOnTT,CreateStageOrder"</formula1>
    </dataValidation>
    <dataValidation type="list" allowBlank="1" sqref="H145:K146">
      <formula1>"ShowMasterFundOnTT,UpdateMasterFundOnTT,CreateStageOrder,TradeNewSubOrder,CreateNewSubOrder,AddFillsSubOrder,EditAddFillsDetails,VerifySubOrder,VerifyOrder,GetDataAllocation,CheckAllocatedGroups,Unallocate,SelectUnallocatedGroup,EnterAccountValuesToAlloca"&amp;"te,CheckPortfolioManagement,VerifySubOrder1,ReplaceSubOrder,CreateReplaceOrder,VerifyWorkingSubs,GetDataAllocation1,CheckAllocatedGroups1,Unallocate1,CheckUnallocatedGroups"</formula1>
    </dataValidation>
  </dataValidations>
  <hyperlinks>
    <hyperlink r:id="rId1" location="gid=1167434377" ref="G6"/>
    <hyperlink r:id="rId2" location="gid=1309297537" ref="G7"/>
    <hyperlink r:id="rId3" location="gid=1031820025" ref="G8"/>
    <hyperlink r:id="rId4" location="gid=768069735" ref="G9"/>
    <hyperlink r:id="rId5" location="gid=512948674" ref="G10"/>
    <hyperlink r:id="rId6" location="gid=387096953" ref="G11"/>
    <hyperlink r:id="rId7" location="gid=1054638000" ref="G12"/>
    <hyperlink r:id="rId8" location="gid=1905928988" ref="G13"/>
    <hyperlink r:id="rId9" location="gid=1477304913" ref="G14"/>
    <hyperlink r:id="rId10" location="gid=884380505" ref="G15"/>
    <hyperlink r:id="rId11" location="gid=699751476" ref="G16"/>
    <hyperlink r:id="rId12" location="gid=1445298814" ref="G17"/>
    <hyperlink r:id="rId13" location="gid=1981228724" ref="G18"/>
    <hyperlink r:id="rId14" location="gid=1006019450" ref="G19"/>
    <hyperlink r:id="rId15" location="gid=1426005617" ref="G20"/>
    <hyperlink r:id="rId16" location="gid=2000992650" ref="G21"/>
    <hyperlink r:id="rId17" location="gid=143583677" ref="G22"/>
    <hyperlink r:id="rId18" location="gid=1650368306" ref="G23"/>
    <hyperlink r:id="rId19" location="gid=1166381642" ref="G24"/>
    <hyperlink r:id="rId20" location="gid=838854871" ref="G25"/>
    <hyperlink r:id="rId21" location="gid=1693750808" ref="G26"/>
    <hyperlink r:id="rId22" location="gid=911443097" ref="G27"/>
    <hyperlink r:id="rId23" location="gid=1387374656" ref="G28"/>
    <hyperlink r:id="rId24" location="gid=1438737700" ref="G29"/>
    <hyperlink r:id="rId25" location="gid=1866717358" ref="G30"/>
    <hyperlink r:id="rId26" location="gid=532941364" ref="G31"/>
    <hyperlink r:id="rId27" location="gid=1805695924" ref="G32"/>
    <hyperlink r:id="rId28" location="gid=2008366927" ref="G33"/>
    <hyperlink r:id="rId29" location="gid=229993179" ref="G34"/>
    <hyperlink r:id="rId30" location="gid=1050096984" ref="G35"/>
    <hyperlink r:id="rId31" location="gid=1122629811" ref="G36"/>
    <hyperlink r:id="rId32" location="gid=1552276625" ref="G37"/>
    <hyperlink r:id="rId33" location="gid=1351724106" ref="G38"/>
    <hyperlink r:id="rId34" location="gid=790484465" ref="G39"/>
    <hyperlink r:id="rId35" location="gid=477757158" ref="G40"/>
    <hyperlink r:id="rId36" location="gid=598437434" ref="G41"/>
    <hyperlink r:id="rId37" location="gid=631073395" ref="G42"/>
    <hyperlink r:id="rId38" location="gid=1682730290" ref="G43"/>
    <hyperlink r:id="rId39" location="gid=2044720883" ref="G44"/>
    <hyperlink r:id="rId40" location="gid=1609828423" ref="G45"/>
    <hyperlink r:id="rId41" location="gid=469314476" ref="G46"/>
    <hyperlink r:id="rId42" location="gid=1109095449" ref="G47"/>
    <hyperlink r:id="rId43" location="gid=1955834668" ref="G48"/>
    <hyperlink r:id="rId44" location="gid=1575017429" ref="G49"/>
    <hyperlink r:id="rId45" location="gid=943892467" ref="G50"/>
    <hyperlink r:id="rId46" location="gid=1616786514" ref="G51"/>
    <hyperlink r:id="rId47" location="gid=235330945" ref="G52"/>
    <hyperlink r:id="rId48" location="gid=1917951434" ref="G53"/>
    <hyperlink r:id="rId49" location="gid=1564892843" ref="G54"/>
    <hyperlink r:id="rId50" location="gid=1788505843" ref="G55"/>
    <hyperlink r:id="rId51" location="gid=1552084655" ref="G56"/>
    <hyperlink r:id="rId52" location="gid=695961609" ref="G57"/>
    <hyperlink r:id="rId53" location="gid=1192754862" ref="G58"/>
    <hyperlink r:id="rId54" location="gid=1094926558" ref="G59"/>
    <hyperlink r:id="rId55" location="gid=2052488015" ref="G60"/>
    <hyperlink r:id="rId56" location="gid=1077433604" ref="G61"/>
    <hyperlink r:id="rId57" location="gid=454102211" ref="G62"/>
    <hyperlink r:id="rId58" location="gid=403047704" ref="G63"/>
    <hyperlink r:id="rId59" location="gid=665575562" ref="G64"/>
    <hyperlink r:id="rId60" location="gid=1488512692" ref="G65"/>
    <hyperlink r:id="rId61" location="gid=39928843" ref="G66"/>
    <hyperlink r:id="rId62" location="gid=1016543244" ref="G67"/>
    <hyperlink r:id="rId63" location="gid=1037346093" ref="G68"/>
    <hyperlink r:id="rId64" location="gid=977001644" ref="G69"/>
    <hyperlink r:id="rId65" location="gid=1088644630" ref="G70"/>
    <hyperlink r:id="rId66" location="gid=712052654" ref="G71"/>
    <hyperlink r:id="rId67" location="gid=707341911" ref="G72"/>
    <hyperlink r:id="rId68" location="gid=511828577" ref="G73"/>
    <hyperlink r:id="rId69" location="gid=1887569374" ref="G74"/>
    <hyperlink r:id="rId70" location="gid=382885420" ref="G75"/>
    <hyperlink r:id="rId71" location="gid=151966383" ref="G76"/>
    <hyperlink r:id="rId72" location="gid=2104584998" ref="G77"/>
    <hyperlink r:id="rId73" location="gid=831633884" ref="G78"/>
    <hyperlink r:id="rId74" location="gid=1564020294" ref="G79"/>
    <hyperlink r:id="rId75" location="gid=281095197" ref="G80"/>
    <hyperlink r:id="rId76" location="gid=1733572302" ref="G81"/>
    <hyperlink r:id="rId77" location="gid=564558805" ref="G82"/>
    <hyperlink r:id="rId78" location="gid=1587375514" ref="G83"/>
    <hyperlink r:id="rId79" location="gid=136941344" ref="G84"/>
    <hyperlink r:id="rId80" location="gid=414658303" ref="G85"/>
    <hyperlink r:id="rId81" location="gid=297702562" ref="G86"/>
    <hyperlink r:id="rId82" location="gid=273242010" ref="G87"/>
    <hyperlink r:id="rId83" location="gid=99545557" ref="G88"/>
    <hyperlink r:id="rId84" location="gid=1070808209" ref="G89"/>
    <hyperlink r:id="rId85" location="gid=888513143" ref="G90"/>
    <hyperlink r:id="rId86" location="gid=1725883936" ref="G91"/>
    <hyperlink r:id="rId87" location="gid=1656971742" ref="G92"/>
    <hyperlink r:id="rId88" location="gid=467853004" ref="G93"/>
    <hyperlink r:id="rId89" location="gid=1743009163" ref="G94"/>
    <hyperlink r:id="rId90" location="gid=960353081" ref="G95"/>
    <hyperlink r:id="rId91" location="gid=947202599" ref="G96"/>
    <hyperlink r:id="rId92" location="gid=295289018" ref="G97"/>
    <hyperlink r:id="rId93" location="gid=575292666" ref="G99"/>
    <hyperlink r:id="rId94" location="gid=1615658876" ref="G100"/>
    <hyperlink r:id="rId95" location="gid=1457939597" ref="G101"/>
    <hyperlink r:id="rId96" location="gid=2062577321" ref="G102"/>
    <hyperlink r:id="rId97" location="gid=1157386603" ref="G103"/>
    <hyperlink r:id="rId98" location="gid=20859070" ref="G104"/>
    <hyperlink r:id="rId99" location="gid=1745697766" ref="G106"/>
    <hyperlink r:id="rId100" location="gid=1718721670" ref="G107"/>
    <hyperlink r:id="rId101" location="gid=1476672529" ref="G108"/>
    <hyperlink r:id="rId102" location="gid=2015381939" ref="G109"/>
    <hyperlink r:id="rId103" location="gid=1292588815" ref="G110"/>
    <hyperlink r:id="rId104" location="gid=328920363" ref="G111"/>
    <hyperlink r:id="rId105" location="gid=537059985" ref="G112"/>
    <hyperlink r:id="rId106" location="gid=1464498609" ref="G114"/>
  </hyperlinks>
  <drawing r:id="rId10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26.29"/>
    <col customWidth="1" min="4" max="4" width="16.86"/>
    <col customWidth="1" min="5" max="5" width="24.71"/>
    <col customWidth="1" min="6" max="6" width="27.86"/>
    <col customWidth="1" min="7" max="7" width="90.14"/>
    <col customWidth="1" min="8" max="8" width="26.29"/>
    <col customWidth="1" min="9" max="12" width="18.0"/>
    <col customWidth="1" min="13" max="32" width="14.43"/>
  </cols>
  <sheetData>
    <row r="1" ht="1.5" customHeight="1">
      <c r="A1" s="12"/>
      <c r="B1" s="12"/>
      <c r="C1" s="13"/>
      <c r="D1" s="14"/>
      <c r="E1" s="223"/>
      <c r="F1" s="223"/>
      <c r="G1" s="224"/>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2"/>
      <c r="B2" s="12"/>
      <c r="C2" s="13"/>
      <c r="D2" s="14"/>
      <c r="E2" s="223"/>
      <c r="F2" s="223"/>
      <c r="G2" s="224"/>
      <c r="H2" s="14"/>
      <c r="I2" s="14"/>
      <c r="J2" s="12"/>
      <c r="K2" s="12"/>
      <c r="L2" s="12"/>
      <c r="M2" s="15"/>
      <c r="N2" s="15"/>
      <c r="O2" s="15"/>
      <c r="P2" s="15"/>
      <c r="Q2" s="15"/>
      <c r="R2" s="15"/>
      <c r="S2" s="15"/>
      <c r="T2" s="15"/>
      <c r="U2" s="15"/>
      <c r="V2" s="15"/>
      <c r="W2" s="15"/>
      <c r="X2" s="15"/>
      <c r="Y2" s="15"/>
      <c r="Z2" s="15"/>
      <c r="AA2" s="15"/>
      <c r="AB2" s="15"/>
      <c r="AC2" s="15"/>
      <c r="AD2" s="15"/>
      <c r="AE2" s="15"/>
      <c r="AF2" s="15"/>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25"/>
      <c r="C4" s="21"/>
      <c r="D4" s="20"/>
      <c r="E4" s="226"/>
      <c r="F4" s="226"/>
      <c r="G4" s="227"/>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28" t="s">
        <v>8</v>
      </c>
      <c r="D5" s="22" t="s">
        <v>9</v>
      </c>
      <c r="E5" s="22" t="s">
        <v>10</v>
      </c>
      <c r="F5" s="263" t="s">
        <v>11</v>
      </c>
      <c r="G5" s="22" t="s">
        <v>12</v>
      </c>
      <c r="H5" s="229" t="s">
        <v>13</v>
      </c>
      <c r="I5" s="22" t="s">
        <v>14</v>
      </c>
      <c r="J5" s="22" t="s">
        <v>15</v>
      </c>
      <c r="K5" s="22" t="s">
        <v>16</v>
      </c>
      <c r="L5" s="22" t="s">
        <v>17</v>
      </c>
      <c r="M5" s="15"/>
      <c r="N5" s="15"/>
      <c r="O5" s="15"/>
      <c r="P5" s="15"/>
      <c r="Q5" s="15"/>
      <c r="R5" s="15"/>
      <c r="S5" s="15"/>
      <c r="T5" s="15"/>
      <c r="U5" s="15"/>
      <c r="V5" s="15"/>
      <c r="W5" s="15"/>
      <c r="X5" s="15"/>
      <c r="Y5" s="15"/>
      <c r="Z5" s="15"/>
      <c r="AA5" s="15"/>
      <c r="AB5" s="15"/>
      <c r="AC5" s="15"/>
      <c r="AD5" s="15"/>
      <c r="AE5" s="15"/>
      <c r="AF5" s="15"/>
    </row>
    <row r="6" ht="15.75" customHeight="1">
      <c r="A6" s="28" t="s">
        <v>5</v>
      </c>
      <c r="B6" s="33" t="s">
        <v>2613</v>
      </c>
      <c r="C6" s="264" t="s">
        <v>2614</v>
      </c>
      <c r="D6" s="28" t="s">
        <v>20</v>
      </c>
      <c r="E6" s="230" t="s">
        <v>88</v>
      </c>
      <c r="F6" s="230" t="s">
        <v>89</v>
      </c>
      <c r="G6" s="265"/>
      <c r="L6" s="20"/>
      <c r="M6" s="15"/>
      <c r="N6" s="15"/>
      <c r="O6" s="15"/>
      <c r="P6" s="15"/>
      <c r="Q6" s="15"/>
      <c r="R6" s="15"/>
      <c r="S6" s="15"/>
      <c r="T6" s="15"/>
      <c r="U6" s="15"/>
      <c r="V6" s="15"/>
      <c r="W6" s="15"/>
      <c r="X6" s="15"/>
      <c r="Y6" s="15"/>
      <c r="Z6" s="15"/>
      <c r="AA6" s="15"/>
      <c r="AB6" s="15"/>
      <c r="AC6" s="15"/>
      <c r="AD6" s="15"/>
      <c r="AE6" s="15"/>
      <c r="AF6" s="15"/>
    </row>
    <row r="7" ht="15.75" customHeight="1">
      <c r="A7" s="28" t="s">
        <v>5</v>
      </c>
      <c r="D7" s="28" t="s">
        <v>5</v>
      </c>
      <c r="E7" s="230" t="s">
        <v>172</v>
      </c>
      <c r="F7" s="230" t="s">
        <v>194</v>
      </c>
      <c r="G7" s="232" t="s">
        <v>2615</v>
      </c>
      <c r="H7" s="35" t="s">
        <v>194</v>
      </c>
      <c r="L7" s="20"/>
      <c r="M7" s="15"/>
      <c r="N7" s="15"/>
      <c r="O7" s="15"/>
      <c r="P7" s="15"/>
      <c r="Q7" s="15"/>
      <c r="R7" s="15"/>
      <c r="S7" s="15"/>
      <c r="T7" s="15"/>
      <c r="U7" s="15"/>
      <c r="V7" s="15"/>
      <c r="W7" s="15"/>
      <c r="X7" s="15"/>
      <c r="Y7" s="15"/>
      <c r="Z7" s="15"/>
      <c r="AA7" s="15"/>
      <c r="AB7" s="15"/>
      <c r="AC7" s="15"/>
      <c r="AD7" s="15"/>
      <c r="AE7" s="15"/>
      <c r="AF7" s="15"/>
    </row>
    <row r="8" ht="15.75" customHeight="1">
      <c r="A8" s="28" t="s">
        <v>5</v>
      </c>
      <c r="D8" s="28" t="s">
        <v>5</v>
      </c>
      <c r="E8" s="230" t="s">
        <v>172</v>
      </c>
      <c r="F8" s="230" t="s">
        <v>195</v>
      </c>
      <c r="G8" s="232" t="s">
        <v>2616</v>
      </c>
      <c r="H8" s="35" t="s">
        <v>195</v>
      </c>
      <c r="L8" s="20"/>
      <c r="M8" s="15"/>
      <c r="N8" s="15"/>
      <c r="O8" s="15"/>
      <c r="P8" s="15"/>
      <c r="Q8" s="15"/>
      <c r="R8" s="15"/>
      <c r="S8" s="15"/>
      <c r="T8" s="15"/>
      <c r="U8" s="15"/>
      <c r="V8" s="15"/>
      <c r="W8" s="15"/>
      <c r="X8" s="15"/>
      <c r="Y8" s="15"/>
      <c r="Z8" s="15"/>
      <c r="AA8" s="15"/>
      <c r="AB8" s="15"/>
      <c r="AC8" s="15"/>
      <c r="AD8" s="15"/>
      <c r="AE8" s="15"/>
      <c r="AF8" s="15"/>
    </row>
    <row r="9" ht="15.75" customHeight="1">
      <c r="A9" s="28" t="s">
        <v>5</v>
      </c>
      <c r="D9" s="28" t="s">
        <v>5</v>
      </c>
      <c r="E9" s="230" t="s">
        <v>21</v>
      </c>
      <c r="F9" s="230" t="s">
        <v>51</v>
      </c>
      <c r="G9" s="232" t="s">
        <v>2617</v>
      </c>
      <c r="H9" s="35" t="s">
        <v>51</v>
      </c>
      <c r="L9" s="20"/>
      <c r="M9" s="15"/>
      <c r="N9" s="15"/>
      <c r="O9" s="15"/>
      <c r="P9" s="15"/>
      <c r="Q9" s="15"/>
      <c r="R9" s="15"/>
      <c r="S9" s="15"/>
      <c r="T9" s="15"/>
      <c r="U9" s="15"/>
      <c r="V9" s="15"/>
      <c r="W9" s="15"/>
      <c r="X9" s="15"/>
      <c r="Y9" s="15"/>
      <c r="Z9" s="15"/>
      <c r="AA9" s="15"/>
      <c r="AB9" s="15"/>
      <c r="AC9" s="15"/>
      <c r="AD9" s="15"/>
      <c r="AE9" s="15"/>
      <c r="AF9" s="15"/>
    </row>
    <row r="10" ht="15.75" customHeight="1">
      <c r="A10" s="32" t="s">
        <v>5</v>
      </c>
      <c r="D10" s="8" t="s">
        <v>5</v>
      </c>
      <c r="E10" s="234" t="s">
        <v>408</v>
      </c>
      <c r="F10" s="234" t="s">
        <v>408</v>
      </c>
      <c r="G10" s="34" t="s">
        <v>2618</v>
      </c>
      <c r="H10" s="35" t="s">
        <v>408</v>
      </c>
      <c r="L10" s="11"/>
      <c r="M10" s="15"/>
      <c r="N10" s="15"/>
      <c r="O10" s="15"/>
      <c r="P10" s="15"/>
      <c r="Q10" s="15"/>
      <c r="R10" s="15"/>
      <c r="S10" s="15"/>
      <c r="T10" s="15"/>
      <c r="U10" s="15"/>
      <c r="V10" s="15"/>
      <c r="W10" s="15"/>
      <c r="X10" s="15"/>
      <c r="Y10" s="15"/>
      <c r="Z10" s="15"/>
      <c r="AA10" s="15"/>
      <c r="AB10" s="15"/>
      <c r="AC10" s="15"/>
      <c r="AD10" s="15"/>
      <c r="AE10" s="15"/>
      <c r="AF10" s="15"/>
    </row>
    <row r="11" ht="15.75" customHeight="1">
      <c r="A11" s="32" t="s">
        <v>5</v>
      </c>
      <c r="D11" s="8" t="s">
        <v>5</v>
      </c>
      <c r="E11" s="234" t="s">
        <v>139</v>
      </c>
      <c r="F11" s="234" t="s">
        <v>1025</v>
      </c>
      <c r="G11" s="34" t="s">
        <v>2619</v>
      </c>
      <c r="H11" s="35" t="s">
        <v>1025</v>
      </c>
      <c r="L11" s="11"/>
      <c r="M11" s="15"/>
      <c r="N11" s="15"/>
      <c r="O11" s="15"/>
      <c r="P11" s="15"/>
      <c r="Q11" s="15"/>
      <c r="R11" s="15"/>
      <c r="S11" s="15"/>
      <c r="T11" s="15"/>
      <c r="U11" s="15"/>
      <c r="V11" s="15"/>
      <c r="W11" s="15"/>
      <c r="X11" s="15"/>
      <c r="Y11" s="15"/>
      <c r="Z11" s="15"/>
      <c r="AA11" s="15"/>
      <c r="AB11" s="15"/>
      <c r="AC11" s="15"/>
      <c r="AD11" s="15"/>
      <c r="AE11" s="15"/>
      <c r="AF11" s="15"/>
    </row>
    <row r="12" ht="15.75" customHeight="1">
      <c r="A12" s="32" t="s">
        <v>5</v>
      </c>
      <c r="D12" s="8" t="s">
        <v>5</v>
      </c>
      <c r="E12" s="234" t="s">
        <v>139</v>
      </c>
      <c r="F12" s="266" t="s">
        <v>140</v>
      </c>
      <c r="G12" s="34" t="s">
        <v>2620</v>
      </c>
      <c r="H12" s="35" t="s">
        <v>140</v>
      </c>
      <c r="L12" s="11"/>
      <c r="M12" s="15"/>
      <c r="N12" s="15"/>
      <c r="O12" s="15"/>
      <c r="P12" s="15"/>
      <c r="Q12" s="15"/>
      <c r="R12" s="15"/>
      <c r="S12" s="15"/>
      <c r="T12" s="15"/>
      <c r="U12" s="15"/>
      <c r="V12" s="15"/>
      <c r="W12" s="15"/>
      <c r="X12" s="15"/>
      <c r="Y12" s="15"/>
      <c r="Z12" s="15"/>
      <c r="AA12" s="15"/>
      <c r="AB12" s="15"/>
      <c r="AC12" s="15"/>
      <c r="AD12" s="15"/>
      <c r="AE12" s="15"/>
      <c r="AF12" s="15"/>
    </row>
    <row r="13" ht="15.75" customHeight="1">
      <c r="A13" s="32" t="s">
        <v>5</v>
      </c>
      <c r="D13" s="8" t="s">
        <v>5</v>
      </c>
      <c r="E13" s="234" t="s">
        <v>139</v>
      </c>
      <c r="F13" s="234" t="s">
        <v>1030</v>
      </c>
      <c r="G13" s="34" t="s">
        <v>2621</v>
      </c>
      <c r="H13" s="38" t="s">
        <v>1030</v>
      </c>
      <c r="I13" s="31"/>
      <c r="J13" s="31"/>
      <c r="K13" s="11"/>
      <c r="L13" s="11"/>
      <c r="M13" s="15"/>
      <c r="N13" s="15"/>
      <c r="O13" s="15"/>
      <c r="P13" s="15"/>
      <c r="Q13" s="15"/>
      <c r="R13" s="15"/>
      <c r="S13" s="15"/>
      <c r="T13" s="15"/>
      <c r="U13" s="15"/>
      <c r="V13" s="15"/>
      <c r="W13" s="15"/>
      <c r="X13" s="15"/>
      <c r="Y13" s="15"/>
      <c r="Z13" s="15"/>
      <c r="AA13" s="15"/>
      <c r="AB13" s="15"/>
      <c r="AC13" s="15"/>
      <c r="AD13" s="15"/>
      <c r="AE13" s="15"/>
      <c r="AF13" s="15"/>
    </row>
    <row r="14" ht="15.75" customHeight="1">
      <c r="A14" s="32" t="s">
        <v>5</v>
      </c>
      <c r="D14" s="8" t="s">
        <v>5</v>
      </c>
      <c r="E14" s="234" t="s">
        <v>139</v>
      </c>
      <c r="F14" s="234" t="s">
        <v>1028</v>
      </c>
      <c r="G14" s="34" t="s">
        <v>2622</v>
      </c>
      <c r="H14" s="38" t="s">
        <v>1028</v>
      </c>
      <c r="I14" s="31"/>
      <c r="J14" s="31"/>
      <c r="K14" s="11"/>
      <c r="L14" s="11"/>
      <c r="M14" s="15"/>
      <c r="N14" s="15"/>
      <c r="O14" s="15"/>
      <c r="P14" s="15"/>
      <c r="Q14" s="15"/>
      <c r="R14" s="15"/>
      <c r="S14" s="15"/>
      <c r="T14" s="15"/>
      <c r="U14" s="15"/>
      <c r="V14" s="15"/>
      <c r="W14" s="15"/>
      <c r="X14" s="15"/>
      <c r="Y14" s="15"/>
      <c r="Z14" s="15"/>
      <c r="AA14" s="15"/>
      <c r="AB14" s="15"/>
      <c r="AC14" s="15"/>
      <c r="AD14" s="15"/>
      <c r="AE14" s="15"/>
      <c r="AF14" s="15"/>
    </row>
    <row r="15" ht="15.75" customHeight="1">
      <c r="A15" s="32" t="s">
        <v>5</v>
      </c>
      <c r="B15" s="233"/>
      <c r="C15" s="33"/>
      <c r="D15" s="8"/>
      <c r="E15" s="234" t="s">
        <v>139</v>
      </c>
      <c r="F15" s="266" t="s">
        <v>2623</v>
      </c>
      <c r="G15" s="34" t="str">
        <f>HYPERLINK("https://docs.google.com/spreadsheets/d/1Gyc1g4iw6-vii166cMKNxF2RgqBitlGrmCjGVpYU8vE/edit#gid=1159416746", "https://docs.google.com/spreadsheets/d/1Gyc1g4iw6-vii166cMKNxF2RgqBitlGrmCjGVpYU8vE/edit#gid=1159416746")</f>
        <v>https://docs.google.com/spreadsheets/d/1Gyc1g4iw6-vii166cMKNxF2RgqBitlGrmCjGVpYU8vE/edit#gid=1159416746</v>
      </c>
      <c r="H15" s="35" t="s">
        <v>2623</v>
      </c>
      <c r="L15" s="11"/>
      <c r="M15" s="15"/>
      <c r="N15" s="15"/>
      <c r="O15" s="15"/>
      <c r="P15" s="15"/>
      <c r="Q15" s="15"/>
      <c r="R15" s="15"/>
      <c r="S15" s="15"/>
      <c r="T15" s="15"/>
      <c r="U15" s="15"/>
      <c r="V15" s="15"/>
      <c r="W15" s="15"/>
      <c r="X15" s="15"/>
      <c r="Y15" s="15"/>
      <c r="Z15" s="15"/>
      <c r="AA15" s="15"/>
      <c r="AB15" s="15"/>
      <c r="AC15" s="15"/>
      <c r="AD15" s="15"/>
      <c r="AE15" s="15"/>
      <c r="AF15" s="15"/>
    </row>
    <row r="16" ht="15.75" customHeight="1">
      <c r="A16" s="32"/>
      <c r="B16" s="233"/>
      <c r="C16" s="33"/>
      <c r="D16" s="8"/>
      <c r="E16" s="234"/>
      <c r="F16" s="234"/>
      <c r="G16" s="34"/>
      <c r="H16" s="36"/>
      <c r="L16" s="11"/>
      <c r="M16" s="15"/>
      <c r="N16" s="15"/>
      <c r="O16" s="15"/>
      <c r="P16" s="15"/>
      <c r="Q16" s="15"/>
      <c r="R16" s="15"/>
      <c r="S16" s="15"/>
      <c r="T16" s="15"/>
      <c r="U16" s="15"/>
      <c r="V16" s="15"/>
      <c r="W16" s="15"/>
      <c r="X16" s="15"/>
      <c r="Y16" s="15"/>
      <c r="Z16" s="15"/>
      <c r="AA16" s="15"/>
      <c r="AB16" s="15"/>
      <c r="AC16" s="15"/>
      <c r="AD16" s="15"/>
      <c r="AE16" s="15"/>
      <c r="AF16" s="15"/>
    </row>
    <row r="17" ht="15.75" customHeight="1">
      <c r="A17" s="32" t="s">
        <v>5</v>
      </c>
      <c r="B17" s="267" t="s">
        <v>2624</v>
      </c>
      <c r="C17" s="33" t="s">
        <v>2625</v>
      </c>
      <c r="D17" s="8" t="s">
        <v>20</v>
      </c>
      <c r="E17" s="234" t="s">
        <v>88</v>
      </c>
      <c r="F17" s="234" t="s">
        <v>89</v>
      </c>
      <c r="G17" s="34"/>
      <c r="H17" s="36"/>
      <c r="L17" s="11"/>
      <c r="M17" s="15"/>
      <c r="N17" s="15"/>
      <c r="O17" s="15"/>
      <c r="P17" s="15"/>
      <c r="Q17" s="15"/>
      <c r="R17" s="15"/>
      <c r="S17" s="15"/>
      <c r="T17" s="15"/>
      <c r="U17" s="15"/>
      <c r="V17" s="15"/>
      <c r="W17" s="15"/>
      <c r="X17" s="15"/>
      <c r="Y17" s="15"/>
      <c r="Z17" s="15"/>
      <c r="AA17" s="15"/>
      <c r="AB17" s="15"/>
      <c r="AC17" s="15"/>
      <c r="AD17" s="15"/>
      <c r="AE17" s="15"/>
      <c r="AF17" s="15"/>
    </row>
    <row r="18" ht="15.75" customHeight="1">
      <c r="A18" s="32" t="s">
        <v>5</v>
      </c>
      <c r="D18" s="8"/>
      <c r="E18" s="195" t="s">
        <v>172</v>
      </c>
      <c r="F18" s="195" t="s">
        <v>194</v>
      </c>
      <c r="G18" s="34" t="str">
        <f>HYPERLINK("https://docs.google.com/spreadsheets/d/1mSkYxvMwOW4hdZxs96j23xJepBQh0wBflCTVi4JSB7A/edit#gid=1246073472", "https://docs.google.com/spreadsheets/d/1mSkYxvMwOW4hdZxs96j23xJepBQh0wBflCTVi4JSB7A/edit#gid=1246073472")</f>
        <v>https://docs.google.com/spreadsheets/d/1mSkYxvMwOW4hdZxs96j23xJepBQh0wBflCTVi4JSB7A/edit#gid=1246073472</v>
      </c>
      <c r="H18" s="8" t="s">
        <v>194</v>
      </c>
      <c r="I18" s="31"/>
      <c r="J18" s="9"/>
      <c r="K18" s="11"/>
      <c r="L18" s="11"/>
      <c r="M18" s="15"/>
      <c r="N18" s="15"/>
      <c r="O18" s="15"/>
      <c r="P18" s="15"/>
      <c r="Q18" s="15"/>
      <c r="R18" s="15"/>
      <c r="S18" s="15"/>
      <c r="T18" s="15"/>
      <c r="U18" s="15"/>
      <c r="V18" s="15"/>
      <c r="W18" s="15"/>
      <c r="X18" s="15"/>
      <c r="Y18" s="15"/>
      <c r="Z18" s="15"/>
      <c r="AA18" s="15"/>
      <c r="AB18" s="15"/>
      <c r="AC18" s="15"/>
      <c r="AD18" s="15"/>
      <c r="AE18" s="15"/>
      <c r="AF18" s="15"/>
    </row>
    <row r="19" ht="15.75" customHeight="1">
      <c r="A19" s="32" t="s">
        <v>5</v>
      </c>
      <c r="D19" s="8"/>
      <c r="E19" s="234" t="s">
        <v>172</v>
      </c>
      <c r="F19" s="195" t="s">
        <v>195</v>
      </c>
      <c r="G19" s="34" t="str">
        <f>HYPERLINK("https://docs.google.com/spreadsheets/d/1mSkYxvMwOW4hdZxs96j23xJepBQh0wBflCTVi4JSB7A/edit#gid=1451108159", "https://docs.google.com/spreadsheets/d/1mSkYxvMwOW4hdZxs96j23xJepBQh0wBflCTVi4JSB7A/edit#gid=1451108159")</f>
        <v>https://docs.google.com/spreadsheets/d/1mSkYxvMwOW4hdZxs96j23xJepBQh0wBflCTVi4JSB7A/edit#gid=1451108159</v>
      </c>
      <c r="H19" s="8" t="s">
        <v>195</v>
      </c>
      <c r="I19" s="9"/>
      <c r="J19" s="9"/>
      <c r="K19" s="11"/>
      <c r="L19" s="11"/>
      <c r="M19" s="15"/>
      <c r="N19" s="15"/>
      <c r="O19" s="15"/>
      <c r="P19" s="15"/>
      <c r="Q19" s="15"/>
      <c r="R19" s="15"/>
      <c r="S19" s="15"/>
      <c r="T19" s="15"/>
      <c r="U19" s="15"/>
      <c r="V19" s="15"/>
      <c r="W19" s="15"/>
      <c r="X19" s="15"/>
      <c r="Y19" s="15"/>
      <c r="Z19" s="15"/>
      <c r="AA19" s="15"/>
      <c r="AB19" s="15"/>
      <c r="AC19" s="15"/>
      <c r="AD19" s="15"/>
      <c r="AE19" s="15"/>
      <c r="AF19" s="15"/>
    </row>
    <row r="20" ht="15.75" customHeight="1">
      <c r="A20" s="32" t="s">
        <v>5</v>
      </c>
      <c r="D20" s="8"/>
      <c r="E20" s="234" t="s">
        <v>21</v>
      </c>
      <c r="F20" s="195" t="s">
        <v>51</v>
      </c>
      <c r="G20" s="34" t="str">
        <f>HYPERLINK("https://docs.google.com/spreadsheets/d/1mSkYxvMwOW4hdZxs96j23xJepBQh0wBflCTVi4JSB7A/edit#gid=911143745", "https://docs.google.com/spreadsheets/d/1mSkYxvMwOW4hdZxs96j23xJepBQh0wBflCTVi4JSB7A/edit#gid=911143745")</f>
        <v>https://docs.google.com/spreadsheets/d/1mSkYxvMwOW4hdZxs96j23xJepBQh0wBflCTVi4JSB7A/edit#gid=911143745</v>
      </c>
      <c r="H20" s="35" t="s">
        <v>51</v>
      </c>
      <c r="L20" s="11"/>
      <c r="M20" s="15"/>
      <c r="N20" s="15"/>
      <c r="O20" s="15"/>
      <c r="P20" s="15"/>
      <c r="Q20" s="15"/>
      <c r="R20" s="15"/>
      <c r="S20" s="15"/>
      <c r="T20" s="15"/>
      <c r="U20" s="15"/>
      <c r="V20" s="15"/>
      <c r="W20" s="15"/>
      <c r="X20" s="15"/>
      <c r="Y20" s="15"/>
      <c r="Z20" s="15"/>
      <c r="AA20" s="15"/>
      <c r="AB20" s="15"/>
      <c r="AC20" s="15"/>
      <c r="AD20" s="15"/>
      <c r="AE20" s="15"/>
      <c r="AF20" s="15"/>
    </row>
    <row r="21" ht="15.75" customHeight="1">
      <c r="A21" s="32" t="s">
        <v>5</v>
      </c>
      <c r="D21" s="8"/>
      <c r="E21" s="234" t="s">
        <v>408</v>
      </c>
      <c r="F21" s="266" t="s">
        <v>408</v>
      </c>
      <c r="G21" s="235" t="str">
        <f>HYPERLINK("https://docs.google.com/spreadsheets/d/1mSkYxvMwOW4hdZxs96j23xJepBQh0wBflCTVi4JSB7A/edit#gid=768728425", "https://docs.google.com/spreadsheets/d/1mSkYxvMwOW4hdZxs96j23xJepBQh0wBflCTVi4JSB7A/edit#gid=768728425")</f>
        <v>https://docs.google.com/spreadsheets/d/1mSkYxvMwOW4hdZxs96j23xJepBQh0wBflCTVi4JSB7A/edit#gid=768728425</v>
      </c>
      <c r="H21" s="35" t="s">
        <v>408</v>
      </c>
      <c r="L21" s="11"/>
      <c r="M21" s="15"/>
      <c r="N21" s="15"/>
      <c r="O21" s="15"/>
      <c r="P21" s="15"/>
      <c r="Q21" s="15"/>
      <c r="R21" s="15"/>
      <c r="S21" s="15"/>
      <c r="T21" s="15"/>
      <c r="U21" s="15"/>
      <c r="V21" s="15"/>
      <c r="W21" s="15"/>
      <c r="X21" s="15"/>
      <c r="Y21" s="15"/>
      <c r="Z21" s="15"/>
      <c r="AA21" s="15"/>
      <c r="AB21" s="15"/>
      <c r="AC21" s="15"/>
      <c r="AD21" s="15"/>
      <c r="AE21" s="15"/>
      <c r="AF21" s="15"/>
    </row>
    <row r="22" ht="15.75" customHeight="1">
      <c r="A22" s="32" t="s">
        <v>5</v>
      </c>
      <c r="D22" s="8"/>
      <c r="E22" s="234" t="s">
        <v>139</v>
      </c>
      <c r="F22" s="234" t="s">
        <v>1025</v>
      </c>
      <c r="G22" s="34" t="str">
        <f>HYPERLINK("https://docs.google.com/spreadsheets/d/1mSkYxvMwOW4hdZxs96j23xJepBQh0wBflCTVi4JSB7A/edit#gid=1516984644", "https://docs.google.com/spreadsheets/d/1mSkYxvMwOW4hdZxs96j23xJepBQh0wBflCTVi4JSB7A/edit#gid=1516984644")</f>
        <v>https://docs.google.com/spreadsheets/d/1mSkYxvMwOW4hdZxs96j23xJepBQh0wBflCTVi4JSB7A/edit#gid=1516984644</v>
      </c>
      <c r="H22" s="35" t="s">
        <v>1025</v>
      </c>
      <c r="L22" s="11"/>
      <c r="M22" s="15"/>
      <c r="N22" s="15"/>
      <c r="O22" s="15"/>
      <c r="P22" s="15"/>
      <c r="Q22" s="15"/>
      <c r="R22" s="15"/>
      <c r="S22" s="15"/>
      <c r="T22" s="15"/>
      <c r="U22" s="15"/>
      <c r="V22" s="15"/>
      <c r="W22" s="15"/>
      <c r="X22" s="15"/>
      <c r="Y22" s="15"/>
      <c r="Z22" s="15"/>
      <c r="AA22" s="15"/>
      <c r="AB22" s="15"/>
      <c r="AC22" s="15"/>
      <c r="AD22" s="15"/>
      <c r="AE22" s="15"/>
      <c r="AF22" s="15"/>
    </row>
    <row r="23" ht="15.75" customHeight="1">
      <c r="A23" s="32" t="s">
        <v>5</v>
      </c>
      <c r="D23" s="8"/>
      <c r="E23" s="234" t="s">
        <v>139</v>
      </c>
      <c r="F23" s="234" t="s">
        <v>140</v>
      </c>
      <c r="G23" s="34" t="str">
        <f>HYPERLINK("https://docs.google.com/spreadsheets/d/1mSkYxvMwOW4hdZxs96j23xJepBQh0wBflCTVi4JSB7A/edit#gid=2096562218", "https://docs.google.com/spreadsheets/d/1mSkYxvMwOW4hdZxs96j23xJepBQh0wBflCTVi4JSB7A/edit#gid=2096562218")</f>
        <v>https://docs.google.com/spreadsheets/d/1mSkYxvMwOW4hdZxs96j23xJepBQh0wBflCTVi4JSB7A/edit#gid=2096562218</v>
      </c>
      <c r="H23" s="35" t="s">
        <v>140</v>
      </c>
      <c r="L23" s="11"/>
      <c r="M23" s="15"/>
      <c r="N23" s="15"/>
      <c r="O23" s="15"/>
      <c r="P23" s="15"/>
      <c r="Q23" s="15"/>
      <c r="R23" s="15"/>
      <c r="S23" s="15"/>
      <c r="T23" s="15"/>
      <c r="U23" s="15"/>
      <c r="V23" s="15"/>
      <c r="W23" s="15"/>
      <c r="X23" s="15"/>
      <c r="Y23" s="15"/>
      <c r="Z23" s="15"/>
      <c r="AA23" s="15"/>
      <c r="AB23" s="15"/>
      <c r="AC23" s="15"/>
      <c r="AD23" s="15"/>
      <c r="AE23" s="15"/>
      <c r="AF23" s="15"/>
    </row>
    <row r="24" ht="15.75" customHeight="1">
      <c r="A24" s="32" t="s">
        <v>5</v>
      </c>
      <c r="D24" s="8"/>
      <c r="E24" s="234" t="s">
        <v>139</v>
      </c>
      <c r="F24" s="266" t="s">
        <v>1030</v>
      </c>
      <c r="G24" s="34" t="str">
        <f>HYPERLINK("https://docs.google.com/spreadsheets/d/1mSkYxvMwOW4hdZxs96j23xJepBQh0wBflCTVi4JSB7A/edit#gid=1162296507", "https://docs.google.com/spreadsheets/d/1mSkYxvMwOW4hdZxs96j23xJepBQh0wBflCTVi4JSB7A/edit#gid=1162296507")</f>
        <v>https://docs.google.com/spreadsheets/d/1mSkYxvMwOW4hdZxs96j23xJepBQh0wBflCTVi4JSB7A/edit#gid=1162296507</v>
      </c>
      <c r="H24" s="38" t="s">
        <v>1030</v>
      </c>
      <c r="I24" s="9"/>
      <c r="J24" s="9"/>
      <c r="K24" s="11"/>
      <c r="L24" s="11"/>
      <c r="M24" s="15"/>
      <c r="N24" s="15"/>
      <c r="O24" s="15"/>
      <c r="P24" s="15"/>
      <c r="Q24" s="15"/>
      <c r="R24" s="15"/>
      <c r="S24" s="15"/>
      <c r="T24" s="15"/>
      <c r="U24" s="15"/>
      <c r="V24" s="15"/>
      <c r="W24" s="15"/>
      <c r="X24" s="15"/>
      <c r="Y24" s="15"/>
      <c r="Z24" s="15"/>
      <c r="AA24" s="15"/>
      <c r="AB24" s="15"/>
      <c r="AC24" s="15"/>
      <c r="AD24" s="15"/>
      <c r="AE24" s="15"/>
      <c r="AF24" s="15"/>
    </row>
    <row r="25" ht="15.75" customHeight="1">
      <c r="A25" s="32"/>
      <c r="D25" s="8"/>
      <c r="E25" s="234" t="s">
        <v>139</v>
      </c>
      <c r="F25" s="266" t="s">
        <v>1028</v>
      </c>
      <c r="G25" s="34" t="str">
        <f>HYPERLINK("https://docs.google.com/spreadsheets/d/1mSkYxvMwOW4hdZxs96j23xJepBQh0wBflCTVi4JSB7A/edit#gid=957917507", "https://docs.google.com/spreadsheets/d/1mSkYxvMwOW4hdZxs96j23xJepBQh0wBflCTVi4JSB7A/edit#gid=957917507")</f>
        <v>https://docs.google.com/spreadsheets/d/1mSkYxvMwOW4hdZxs96j23xJepBQh0wBflCTVi4JSB7A/edit#gid=957917507</v>
      </c>
      <c r="H25" s="38" t="s">
        <v>1028</v>
      </c>
      <c r="I25" s="9"/>
      <c r="J25" s="9"/>
      <c r="K25" s="11"/>
      <c r="L25" s="11"/>
      <c r="M25" s="15"/>
      <c r="N25" s="15"/>
      <c r="O25" s="15"/>
      <c r="P25" s="15"/>
      <c r="Q25" s="15"/>
      <c r="R25" s="15"/>
      <c r="S25" s="15"/>
      <c r="T25" s="15"/>
      <c r="U25" s="15"/>
      <c r="V25" s="15"/>
      <c r="W25" s="15"/>
      <c r="X25" s="15"/>
      <c r="Y25" s="15"/>
      <c r="Z25" s="15"/>
      <c r="AA25" s="15"/>
      <c r="AB25" s="15"/>
      <c r="AC25" s="15"/>
      <c r="AD25" s="15"/>
      <c r="AE25" s="15"/>
      <c r="AF25" s="15"/>
    </row>
    <row r="26" ht="15.75" customHeight="1">
      <c r="A26" s="32"/>
      <c r="D26" s="8"/>
      <c r="E26" s="234" t="s">
        <v>139</v>
      </c>
      <c r="F26" s="195" t="s">
        <v>2623</v>
      </c>
      <c r="G26" s="34" t="str">
        <f>HYPERLINK("https://docs.google.com/spreadsheets/d/1mSkYxvMwOW4hdZxs96j23xJepBQh0wBflCTVi4JSB7A/edit#gid=1119125781", "https://docs.google.com/spreadsheets/d/1mSkYxvMwOW4hdZxs96j23xJepBQh0wBflCTVi4JSB7A/edit#gid=1119125781")</f>
        <v>https://docs.google.com/spreadsheets/d/1mSkYxvMwOW4hdZxs96j23xJepBQh0wBflCTVi4JSB7A/edit#gid=1119125781</v>
      </c>
      <c r="H26" s="35" t="s">
        <v>2623</v>
      </c>
      <c r="L26" s="11"/>
      <c r="M26" s="15"/>
      <c r="N26" s="15"/>
      <c r="O26" s="15"/>
      <c r="P26" s="15"/>
      <c r="Q26" s="15"/>
      <c r="R26" s="15"/>
      <c r="S26" s="15"/>
      <c r="T26" s="15"/>
      <c r="U26" s="15"/>
      <c r="V26" s="15"/>
      <c r="W26" s="15"/>
      <c r="X26" s="15"/>
      <c r="Y26" s="15"/>
      <c r="Z26" s="15"/>
      <c r="AA26" s="15"/>
      <c r="AB26" s="15"/>
      <c r="AC26" s="15"/>
      <c r="AD26" s="15"/>
      <c r="AE26" s="15"/>
      <c r="AF26" s="15"/>
    </row>
    <row r="27" ht="15.75" customHeight="1">
      <c r="A27" s="32"/>
      <c r="D27" s="8"/>
      <c r="E27" s="234" t="s">
        <v>139</v>
      </c>
      <c r="F27" s="195" t="s">
        <v>1043</v>
      </c>
      <c r="G27" s="34" t="str">
        <f>HYPERLINK("https://docs.google.com/spreadsheets/d/1mSkYxvMwOW4hdZxs96j23xJepBQh0wBflCTVi4JSB7A/edit#gid=989481642", "https://docs.google.com/spreadsheets/d/1mSkYxvMwOW4hdZxs96j23xJepBQh0wBflCTVi4JSB7A/edit#gid=989481642")</f>
        <v>https://docs.google.com/spreadsheets/d/1mSkYxvMwOW4hdZxs96j23xJepBQh0wBflCTVi4JSB7A/edit#gid=989481642</v>
      </c>
      <c r="H27" s="35" t="s">
        <v>1043</v>
      </c>
      <c r="L27" s="11"/>
      <c r="M27" s="15"/>
      <c r="N27" s="15"/>
      <c r="O27" s="15"/>
      <c r="P27" s="15"/>
      <c r="Q27" s="15"/>
      <c r="R27" s="15"/>
      <c r="S27" s="15"/>
      <c r="T27" s="15"/>
      <c r="U27" s="15"/>
      <c r="V27" s="15"/>
      <c r="W27" s="15"/>
      <c r="X27" s="15"/>
      <c r="Y27" s="15"/>
      <c r="Z27" s="15"/>
      <c r="AA27" s="15"/>
      <c r="AB27" s="15"/>
      <c r="AC27" s="15"/>
      <c r="AD27" s="15"/>
      <c r="AE27" s="15"/>
      <c r="AF27" s="15"/>
    </row>
    <row r="28" ht="15.75" customHeight="1">
      <c r="A28" s="32"/>
      <c r="D28" s="8"/>
      <c r="E28" s="234" t="s">
        <v>139</v>
      </c>
      <c r="F28" s="195" t="s">
        <v>141</v>
      </c>
      <c r="G28" s="34" t="str">
        <f>HYPERLINK("https://docs.google.com/spreadsheets/d/1mSkYxvMwOW4hdZxs96j23xJepBQh0wBflCTVi4JSB7A/edit#gid=881706265", "https://docs.google.com/spreadsheets/d/1mSkYxvMwOW4hdZxs96j23xJepBQh0wBflCTVi4JSB7A/edit#gid=881706265")</f>
        <v>https://docs.google.com/spreadsheets/d/1mSkYxvMwOW4hdZxs96j23xJepBQh0wBflCTVi4JSB7A/edit#gid=881706265</v>
      </c>
      <c r="H28" s="35" t="s">
        <v>141</v>
      </c>
      <c r="L28" s="11"/>
      <c r="M28" s="15"/>
      <c r="N28" s="15"/>
      <c r="O28" s="15"/>
      <c r="P28" s="15"/>
      <c r="Q28" s="15"/>
      <c r="R28" s="15"/>
      <c r="S28" s="15"/>
      <c r="T28" s="15"/>
      <c r="U28" s="15"/>
      <c r="V28" s="15"/>
      <c r="W28" s="15"/>
      <c r="X28" s="15"/>
      <c r="Y28" s="15"/>
      <c r="Z28" s="15"/>
      <c r="AA28" s="15"/>
      <c r="AB28" s="15"/>
      <c r="AC28" s="15"/>
      <c r="AD28" s="15"/>
      <c r="AE28" s="15"/>
      <c r="AF28" s="15"/>
    </row>
    <row r="29" ht="15.75" customHeight="1">
      <c r="A29" s="32"/>
      <c r="B29" s="233"/>
      <c r="C29" s="33"/>
      <c r="D29" s="8"/>
      <c r="E29" s="234"/>
      <c r="F29" s="195"/>
      <c r="G29" s="34"/>
      <c r="H29" s="35"/>
      <c r="L29" s="11"/>
      <c r="M29" s="15"/>
      <c r="N29" s="15"/>
      <c r="O29" s="15"/>
      <c r="P29" s="15"/>
      <c r="Q29" s="15"/>
      <c r="R29" s="15"/>
      <c r="S29" s="15"/>
      <c r="T29" s="15"/>
      <c r="U29" s="15"/>
      <c r="V29" s="15"/>
      <c r="W29" s="15"/>
      <c r="X29" s="15"/>
      <c r="Y29" s="15"/>
      <c r="Z29" s="15"/>
      <c r="AA29" s="15"/>
      <c r="AB29" s="15"/>
      <c r="AC29" s="15"/>
      <c r="AD29" s="15"/>
      <c r="AE29" s="15"/>
      <c r="AF29" s="15"/>
    </row>
    <row r="30" ht="15.75" customHeight="1">
      <c r="A30" s="32" t="s">
        <v>5</v>
      </c>
      <c r="B30" s="233" t="s">
        <v>2626</v>
      </c>
      <c r="C30" s="33" t="s">
        <v>2627</v>
      </c>
      <c r="D30" s="8" t="s">
        <v>20</v>
      </c>
      <c r="E30" s="195" t="s">
        <v>88</v>
      </c>
      <c r="F30" s="195" t="s">
        <v>89</v>
      </c>
      <c r="G30" s="34"/>
      <c r="L30" s="11"/>
      <c r="M30" s="15"/>
      <c r="N30" s="15"/>
      <c r="O30" s="15"/>
      <c r="P30" s="15"/>
      <c r="Q30" s="15"/>
      <c r="R30" s="15"/>
      <c r="S30" s="15"/>
      <c r="T30" s="15"/>
      <c r="U30" s="15"/>
      <c r="V30" s="15"/>
      <c r="W30" s="15"/>
      <c r="X30" s="15"/>
      <c r="Y30" s="15"/>
      <c r="Z30" s="15"/>
      <c r="AA30" s="15"/>
      <c r="AB30" s="15"/>
      <c r="AC30" s="15"/>
      <c r="AD30" s="15"/>
      <c r="AE30" s="15"/>
      <c r="AF30" s="15"/>
    </row>
    <row r="31" ht="15.75" customHeight="1">
      <c r="A31" s="32"/>
      <c r="B31" s="233"/>
      <c r="D31" s="8"/>
      <c r="E31" s="195" t="s">
        <v>172</v>
      </c>
      <c r="F31" s="195" t="s">
        <v>194</v>
      </c>
      <c r="G31" s="34" t="str">
        <f>HYPERLINK("https://docs.google.com/spreadsheets/d/1654jLd08Kjw5Li801X6VwlxEJzxcl9R_M6MuQZUWjhQ/edit#gid=1919457840", "https://docs.google.com/spreadsheets/d/1654jLd08Kjw5Li801X6VwlxEJzxcl9R_M6MuQZUWjhQ/edit#gid=1919457840")</f>
        <v>https://docs.google.com/spreadsheets/d/1654jLd08Kjw5Li801X6VwlxEJzxcl9R_M6MuQZUWjhQ/edit#gid=1919457840</v>
      </c>
      <c r="H31" s="8" t="s">
        <v>194</v>
      </c>
      <c r="I31" s="9"/>
      <c r="J31" s="9"/>
      <c r="K31" s="11"/>
      <c r="L31" s="11"/>
      <c r="M31" s="15"/>
      <c r="N31" s="15"/>
      <c r="O31" s="15"/>
      <c r="P31" s="15"/>
      <c r="Q31" s="15"/>
      <c r="R31" s="15"/>
      <c r="S31" s="15"/>
      <c r="T31" s="15"/>
      <c r="U31" s="15"/>
      <c r="V31" s="15"/>
      <c r="W31" s="15"/>
      <c r="X31" s="15"/>
      <c r="Y31" s="15"/>
      <c r="Z31" s="15"/>
      <c r="AA31" s="15"/>
      <c r="AB31" s="15"/>
      <c r="AC31" s="15"/>
      <c r="AD31" s="15"/>
      <c r="AE31" s="15"/>
      <c r="AF31" s="15"/>
    </row>
    <row r="32" ht="15.75" customHeight="1">
      <c r="A32" s="32"/>
      <c r="B32" s="233"/>
      <c r="D32" s="8"/>
      <c r="E32" s="195" t="s">
        <v>172</v>
      </c>
      <c r="F32" s="195" t="s">
        <v>195</v>
      </c>
      <c r="G32" s="34" t="str">
        <f>HYPERLINK("https://docs.google.com/spreadsheets/d/1654jLd08Kjw5Li801X6VwlxEJzxcl9R_M6MuQZUWjhQ/edit#gid=1385618262", "https://docs.google.com/spreadsheets/d/1654jLd08Kjw5Li801X6VwlxEJzxcl9R_M6MuQZUWjhQ/edit#gid=1385618262")</f>
        <v>https://docs.google.com/spreadsheets/d/1654jLd08Kjw5Li801X6VwlxEJzxcl9R_M6MuQZUWjhQ/edit#gid=1385618262</v>
      </c>
      <c r="H32" s="8" t="s">
        <v>195</v>
      </c>
      <c r="I32" s="9"/>
      <c r="J32" s="9"/>
      <c r="K32" s="11"/>
      <c r="L32" s="11"/>
      <c r="M32" s="15"/>
      <c r="N32" s="15"/>
      <c r="O32" s="15"/>
      <c r="P32" s="15"/>
      <c r="Q32" s="15"/>
      <c r="R32" s="15"/>
      <c r="S32" s="15"/>
      <c r="T32" s="15"/>
      <c r="U32" s="15"/>
      <c r="V32" s="15"/>
      <c r="W32" s="15"/>
      <c r="X32" s="15"/>
      <c r="Y32" s="15"/>
      <c r="Z32" s="15"/>
      <c r="AA32" s="15"/>
      <c r="AB32" s="15"/>
      <c r="AC32" s="15"/>
      <c r="AD32" s="15"/>
      <c r="AE32" s="15"/>
      <c r="AF32" s="15"/>
    </row>
    <row r="33" ht="15.75" customHeight="1">
      <c r="A33" s="32"/>
      <c r="B33" s="233"/>
      <c r="D33" s="8"/>
      <c r="E33" s="195" t="s">
        <v>21</v>
      </c>
      <c r="F33" s="195" t="s">
        <v>51</v>
      </c>
      <c r="G33" s="34" t="str">
        <f>HYPERLINK("https://docs.google.com/spreadsheets/d/1654jLd08Kjw5Li801X6VwlxEJzxcl9R_M6MuQZUWjhQ/edit#gid=1669232246", "https://docs.google.com/spreadsheets/d/1654jLd08Kjw5Li801X6VwlxEJzxcl9R_M6MuQZUWjhQ/edit#gid=1669232246")</f>
        <v>https://docs.google.com/spreadsheets/d/1654jLd08Kjw5Li801X6VwlxEJzxcl9R_M6MuQZUWjhQ/edit#gid=1669232246</v>
      </c>
      <c r="H33" s="8" t="s">
        <v>51</v>
      </c>
      <c r="I33" s="9"/>
      <c r="J33" s="9"/>
      <c r="K33" s="11"/>
      <c r="L33" s="11"/>
      <c r="M33" s="15"/>
      <c r="N33" s="15"/>
      <c r="O33" s="15"/>
      <c r="P33" s="15"/>
      <c r="Q33" s="15"/>
      <c r="R33" s="15"/>
      <c r="S33" s="15"/>
      <c r="T33" s="15"/>
      <c r="U33" s="15"/>
      <c r="V33" s="15"/>
      <c r="W33" s="15"/>
      <c r="X33" s="15"/>
      <c r="Y33" s="15"/>
      <c r="Z33" s="15"/>
      <c r="AA33" s="15"/>
      <c r="AB33" s="15"/>
      <c r="AC33" s="15"/>
      <c r="AD33" s="15"/>
      <c r="AE33" s="15"/>
      <c r="AF33" s="15"/>
    </row>
    <row r="34" ht="15.75" customHeight="1">
      <c r="A34" s="32"/>
      <c r="B34" s="233"/>
      <c r="D34" s="8"/>
      <c r="E34" s="195" t="s">
        <v>408</v>
      </c>
      <c r="F34" s="195" t="s">
        <v>408</v>
      </c>
      <c r="G34" s="34" t="str">
        <f>HYPERLINK("https://docs.google.com/spreadsheets/d/1654jLd08Kjw5Li801X6VwlxEJzxcl9R_M6MuQZUWjhQ/edit#gid=1876145102", "https://docs.google.com/spreadsheets/d/1654jLd08Kjw5Li801X6VwlxEJzxcl9R_M6MuQZUWjhQ/edit#gid=1876145102")</f>
        <v>https://docs.google.com/spreadsheets/d/1654jLd08Kjw5Li801X6VwlxEJzxcl9R_M6MuQZUWjhQ/edit#gid=1876145102</v>
      </c>
      <c r="H34" s="8" t="s">
        <v>408</v>
      </c>
      <c r="I34" s="9"/>
      <c r="J34" s="9"/>
      <c r="K34" s="11"/>
      <c r="L34" s="11"/>
      <c r="M34" s="15"/>
      <c r="N34" s="15"/>
      <c r="O34" s="15"/>
      <c r="P34" s="15"/>
      <c r="Q34" s="15"/>
      <c r="R34" s="15"/>
      <c r="S34" s="15"/>
      <c r="T34" s="15"/>
      <c r="U34" s="15"/>
      <c r="V34" s="15"/>
      <c r="W34" s="15"/>
      <c r="X34" s="15"/>
      <c r="Y34" s="15"/>
      <c r="Z34" s="15"/>
      <c r="AA34" s="15"/>
      <c r="AB34" s="15"/>
      <c r="AC34" s="15"/>
      <c r="AD34" s="15"/>
      <c r="AE34" s="15"/>
      <c r="AF34" s="15"/>
    </row>
    <row r="35" ht="15.75" customHeight="1">
      <c r="A35" s="32"/>
      <c r="B35" s="233"/>
      <c r="D35" s="8"/>
      <c r="E35" s="195" t="s">
        <v>139</v>
      </c>
      <c r="F35" s="195" t="s">
        <v>1025</v>
      </c>
      <c r="G35" s="34" t="str">
        <f>HYPERLINK("https://docs.google.com/spreadsheets/d/1654jLd08Kjw5Li801X6VwlxEJzxcl9R_M6MuQZUWjhQ/edit#gid=1007637070", "https://docs.google.com/spreadsheets/d/1654jLd08Kjw5Li801X6VwlxEJzxcl9R_M6MuQZUWjhQ/edit#gid=1007637070")</f>
        <v>https://docs.google.com/spreadsheets/d/1654jLd08Kjw5Li801X6VwlxEJzxcl9R_M6MuQZUWjhQ/edit#gid=1007637070</v>
      </c>
      <c r="H35" s="8" t="s">
        <v>1025</v>
      </c>
      <c r="I35" s="9"/>
      <c r="J35" s="9"/>
      <c r="K35" s="11"/>
      <c r="L35" s="11"/>
      <c r="M35" s="15"/>
      <c r="N35" s="15"/>
      <c r="O35" s="15"/>
      <c r="P35" s="15"/>
      <c r="Q35" s="15"/>
      <c r="R35" s="15"/>
      <c r="S35" s="15"/>
      <c r="T35" s="15"/>
      <c r="U35" s="15"/>
      <c r="V35" s="15"/>
      <c r="W35" s="15"/>
      <c r="X35" s="15"/>
      <c r="Y35" s="15"/>
      <c r="Z35" s="15"/>
      <c r="AA35" s="15"/>
      <c r="AB35" s="15"/>
      <c r="AC35" s="15"/>
      <c r="AD35" s="15"/>
      <c r="AE35" s="15"/>
      <c r="AF35" s="15"/>
    </row>
    <row r="36" ht="15.75" customHeight="1">
      <c r="A36" s="32"/>
      <c r="B36" s="233"/>
      <c r="D36" s="8"/>
      <c r="E36" s="195" t="s">
        <v>139</v>
      </c>
      <c r="F36" s="195" t="s">
        <v>140</v>
      </c>
      <c r="G36" s="34" t="str">
        <f>HYPERLINK("https://docs.google.com/spreadsheets/d/1654jLd08Kjw5Li801X6VwlxEJzxcl9R_M6MuQZUWjhQ/edit#gid=1216321330", "https://docs.google.com/spreadsheets/d/1654jLd08Kjw5Li801X6VwlxEJzxcl9R_M6MuQZUWjhQ/edit#gid=1216321330")</f>
        <v>https://docs.google.com/spreadsheets/d/1654jLd08Kjw5Li801X6VwlxEJzxcl9R_M6MuQZUWjhQ/edit#gid=1216321330</v>
      </c>
      <c r="H36" s="8" t="s">
        <v>140</v>
      </c>
      <c r="I36" s="9"/>
      <c r="J36" s="9"/>
      <c r="K36" s="11"/>
      <c r="L36" s="11"/>
      <c r="M36" s="15"/>
      <c r="N36" s="15"/>
      <c r="O36" s="15"/>
      <c r="P36" s="15"/>
      <c r="Q36" s="15"/>
      <c r="R36" s="15"/>
      <c r="S36" s="15"/>
      <c r="T36" s="15"/>
      <c r="U36" s="15"/>
      <c r="V36" s="15"/>
      <c r="W36" s="15"/>
      <c r="X36" s="15"/>
      <c r="Y36" s="15"/>
      <c r="Z36" s="15"/>
      <c r="AA36" s="15"/>
      <c r="AB36" s="15"/>
      <c r="AC36" s="15"/>
      <c r="AD36" s="15"/>
      <c r="AE36" s="15"/>
      <c r="AF36" s="15"/>
    </row>
    <row r="37" ht="15.75" customHeight="1">
      <c r="A37" s="32"/>
      <c r="B37" s="233"/>
      <c r="D37" s="8"/>
      <c r="E37" s="195" t="s">
        <v>139</v>
      </c>
      <c r="F37" s="195" t="s">
        <v>1030</v>
      </c>
      <c r="G37" s="34" t="str">
        <f>HYPERLINK("https://docs.google.com/spreadsheets/d/1654jLd08Kjw5Li801X6VwlxEJzxcl9R_M6MuQZUWjhQ/edit#gid=39001135", "https://docs.google.com/spreadsheets/d/1654jLd08Kjw5Li801X6VwlxEJzxcl9R_M6MuQZUWjhQ/edit#gid=39001135")</f>
        <v>https://docs.google.com/spreadsheets/d/1654jLd08Kjw5Li801X6VwlxEJzxcl9R_M6MuQZUWjhQ/edit#gid=39001135</v>
      </c>
      <c r="H37" s="8" t="s">
        <v>1030</v>
      </c>
      <c r="I37" s="9"/>
      <c r="J37" s="9"/>
      <c r="K37" s="11"/>
      <c r="L37" s="11"/>
      <c r="M37" s="15"/>
      <c r="N37" s="15"/>
      <c r="O37" s="15"/>
      <c r="P37" s="15"/>
      <c r="Q37" s="15"/>
      <c r="R37" s="15"/>
      <c r="S37" s="15"/>
      <c r="T37" s="15"/>
      <c r="U37" s="15"/>
      <c r="V37" s="15"/>
      <c r="W37" s="15"/>
      <c r="X37" s="15"/>
      <c r="Y37" s="15"/>
      <c r="Z37" s="15"/>
      <c r="AA37" s="15"/>
      <c r="AB37" s="15"/>
      <c r="AC37" s="15"/>
      <c r="AD37" s="15"/>
      <c r="AE37" s="15"/>
      <c r="AF37" s="15"/>
    </row>
    <row r="38" ht="15.75" customHeight="1">
      <c r="A38" s="32"/>
      <c r="B38" s="233"/>
      <c r="C38" s="33"/>
      <c r="D38" s="8"/>
      <c r="E38" s="195" t="s">
        <v>139</v>
      </c>
      <c r="F38" s="195" t="s">
        <v>1028</v>
      </c>
      <c r="G38" s="34" t="str">
        <f>HYPERLINK("https://docs.google.com/spreadsheets/d/1654jLd08Kjw5Li801X6VwlxEJzxcl9R_M6MuQZUWjhQ/edit#gid=1453903699", "https://docs.google.com/spreadsheets/d/1654jLd08Kjw5Li801X6VwlxEJzxcl9R_M6MuQZUWjhQ/edit#gid=1453903699")</f>
        <v>https://docs.google.com/spreadsheets/d/1654jLd08Kjw5Li801X6VwlxEJzxcl9R_M6MuQZUWjhQ/edit#gid=1453903699</v>
      </c>
      <c r="H38" s="8" t="s">
        <v>1028</v>
      </c>
      <c r="I38" s="9"/>
      <c r="J38" s="9"/>
      <c r="K38" s="11"/>
      <c r="L38" s="11"/>
      <c r="M38" s="15"/>
      <c r="N38" s="15"/>
      <c r="O38" s="15"/>
      <c r="P38" s="15"/>
      <c r="Q38" s="15"/>
      <c r="R38" s="15"/>
      <c r="S38" s="15"/>
      <c r="T38" s="15"/>
      <c r="U38" s="15"/>
      <c r="V38" s="15"/>
      <c r="W38" s="15"/>
      <c r="X38" s="15"/>
      <c r="Y38" s="15"/>
      <c r="Z38" s="15"/>
      <c r="AA38" s="15"/>
      <c r="AB38" s="15"/>
      <c r="AC38" s="15"/>
      <c r="AD38" s="15"/>
      <c r="AE38" s="15"/>
      <c r="AF38" s="15"/>
    </row>
    <row r="39" ht="15.75" customHeight="1">
      <c r="A39" s="32"/>
      <c r="B39" s="233"/>
      <c r="C39" s="33"/>
      <c r="D39" s="8"/>
      <c r="E39" s="195"/>
      <c r="F39" s="195"/>
      <c r="G39" s="34"/>
      <c r="H39" s="8"/>
      <c r="I39" s="9"/>
      <c r="J39" s="9"/>
      <c r="K39" s="11"/>
      <c r="L39" s="11"/>
      <c r="M39" s="15"/>
      <c r="N39" s="15"/>
      <c r="O39" s="15"/>
      <c r="P39" s="15"/>
      <c r="Q39" s="15"/>
      <c r="R39" s="15"/>
      <c r="S39" s="15"/>
      <c r="T39" s="15"/>
      <c r="U39" s="15"/>
      <c r="V39" s="15"/>
      <c r="W39" s="15"/>
      <c r="X39" s="15"/>
      <c r="Y39" s="15"/>
      <c r="Z39" s="15"/>
      <c r="AA39" s="15"/>
      <c r="AB39" s="15"/>
      <c r="AC39" s="15"/>
      <c r="AD39" s="15"/>
      <c r="AE39" s="15"/>
      <c r="AF39" s="15"/>
    </row>
    <row r="40" ht="15.75" customHeight="1">
      <c r="A40" s="32" t="s">
        <v>5</v>
      </c>
      <c r="B40" s="233" t="s">
        <v>2628</v>
      </c>
      <c r="C40" s="264" t="s">
        <v>2629</v>
      </c>
      <c r="D40" s="8" t="s">
        <v>20</v>
      </c>
      <c r="E40" s="234" t="s">
        <v>172</v>
      </c>
      <c r="F40" s="195" t="s">
        <v>194</v>
      </c>
      <c r="G40" s="34" t="str">
        <f>HYPERLINK("https://docs.google.com/spreadsheets/d/15GSQ06f-MMG7vvbbjriG7oVWDBuG39QcuHU9j4mJvwM/edit#gid=615042495", "https://docs.google.com/spreadsheets/d/15GSQ06f-MMG7vvbbjriG7oVWDBuG39QcuHU9j4mJvwM/edit#gid=615042495")</f>
        <v>https://docs.google.com/spreadsheets/d/15GSQ06f-MMG7vvbbjriG7oVWDBuG39QcuHU9j4mJvwM/edit#gid=615042495</v>
      </c>
      <c r="H40" s="35" t="s">
        <v>194</v>
      </c>
      <c r="L40" s="11"/>
      <c r="M40" s="15"/>
      <c r="N40" s="15"/>
      <c r="O40" s="15"/>
      <c r="P40" s="15"/>
      <c r="Q40" s="15"/>
      <c r="R40" s="15"/>
      <c r="S40" s="15"/>
      <c r="T40" s="15"/>
      <c r="U40" s="15"/>
      <c r="V40" s="15"/>
      <c r="W40" s="15"/>
      <c r="X40" s="15"/>
      <c r="Y40" s="15"/>
      <c r="Z40" s="15"/>
      <c r="AA40" s="15"/>
      <c r="AB40" s="15"/>
      <c r="AC40" s="15"/>
      <c r="AD40" s="15"/>
      <c r="AE40" s="15"/>
      <c r="AF40" s="15"/>
    </row>
    <row r="41" ht="15.75" customHeight="1">
      <c r="A41" s="32" t="s">
        <v>5</v>
      </c>
      <c r="B41" s="233"/>
      <c r="D41" s="8"/>
      <c r="E41" s="234" t="s">
        <v>172</v>
      </c>
      <c r="F41" s="195" t="s">
        <v>195</v>
      </c>
      <c r="G41" s="34" t="str">
        <f>HYPERLINK("https://docs.google.com/spreadsheets/d/15GSQ06f-MMG7vvbbjriG7oVWDBuG39QcuHU9j4mJvwM/edit#gid=1727367533", "https://docs.google.com/spreadsheets/d/15GSQ06f-MMG7vvbbjriG7oVWDBuG39QcuHU9j4mJvwM/edit#gid=1727367533")</f>
        <v>https://docs.google.com/spreadsheets/d/15GSQ06f-MMG7vvbbjriG7oVWDBuG39QcuHU9j4mJvwM/edit#gid=1727367533</v>
      </c>
      <c r="H41" s="35" t="s">
        <v>195</v>
      </c>
      <c r="L41" s="11"/>
      <c r="M41" s="15"/>
      <c r="N41" s="15"/>
      <c r="O41" s="15"/>
      <c r="P41" s="15"/>
      <c r="Q41" s="15"/>
      <c r="R41" s="15"/>
      <c r="S41" s="15"/>
      <c r="T41" s="15"/>
      <c r="U41" s="15"/>
      <c r="V41" s="15"/>
      <c r="W41" s="15"/>
      <c r="X41" s="15"/>
      <c r="Y41" s="15"/>
      <c r="Z41" s="15"/>
      <c r="AA41" s="15"/>
      <c r="AB41" s="15"/>
      <c r="AC41" s="15"/>
      <c r="AD41" s="15"/>
      <c r="AE41" s="15"/>
      <c r="AF41" s="15"/>
    </row>
    <row r="42" ht="15.75" customHeight="1">
      <c r="A42" s="32" t="s">
        <v>5</v>
      </c>
      <c r="B42" s="233"/>
      <c r="D42" s="8"/>
      <c r="E42" s="195" t="s">
        <v>21</v>
      </c>
      <c r="F42" s="195" t="s">
        <v>51</v>
      </c>
      <c r="G42" s="34" t="str">
        <f>HYPERLINK("https://docs.google.com/spreadsheets/d/15GSQ06f-MMG7vvbbjriG7oVWDBuG39QcuHU9j4mJvwM/edit#gid=1353357875", "https://docs.google.com/spreadsheets/d/15GSQ06f-MMG7vvbbjriG7oVWDBuG39QcuHU9j4mJvwM/edit#gid=1353357875")</f>
        <v>https://docs.google.com/spreadsheets/d/15GSQ06f-MMG7vvbbjriG7oVWDBuG39QcuHU9j4mJvwM/edit#gid=1353357875</v>
      </c>
      <c r="H42" s="35" t="s">
        <v>51</v>
      </c>
      <c r="L42" s="11"/>
      <c r="M42" s="15"/>
      <c r="N42" s="15"/>
      <c r="O42" s="15"/>
      <c r="P42" s="15"/>
      <c r="Q42" s="15"/>
      <c r="R42" s="15"/>
      <c r="S42" s="15"/>
      <c r="T42" s="15"/>
      <c r="U42" s="15"/>
      <c r="V42" s="15"/>
      <c r="W42" s="15"/>
      <c r="X42" s="15"/>
      <c r="Y42" s="15"/>
      <c r="Z42" s="15"/>
      <c r="AA42" s="15"/>
      <c r="AB42" s="15"/>
      <c r="AC42" s="15"/>
      <c r="AD42" s="15"/>
      <c r="AE42" s="15"/>
      <c r="AF42" s="15"/>
    </row>
    <row r="43" ht="15.75" customHeight="1">
      <c r="A43" s="32" t="s">
        <v>5</v>
      </c>
      <c r="B43" s="233"/>
      <c r="D43" s="8"/>
      <c r="E43" s="195" t="s">
        <v>408</v>
      </c>
      <c r="F43" s="195" t="s">
        <v>408</v>
      </c>
      <c r="G43" s="34" t="str">
        <f>HYPERLINK("https://docs.google.com/spreadsheets/d/15GSQ06f-MMG7vvbbjriG7oVWDBuG39QcuHU9j4mJvwM/edit#gid=1538684575", "https://docs.google.com/spreadsheets/d/15GSQ06f-MMG7vvbbjriG7oVWDBuG39QcuHU9j4mJvwM/edit#gid=1538684575")</f>
        <v>https://docs.google.com/spreadsheets/d/15GSQ06f-MMG7vvbbjriG7oVWDBuG39QcuHU9j4mJvwM/edit#gid=1538684575</v>
      </c>
      <c r="H43" s="35" t="s">
        <v>408</v>
      </c>
      <c r="L43" s="11"/>
      <c r="M43" s="15"/>
      <c r="N43" s="15"/>
      <c r="O43" s="15"/>
      <c r="P43" s="15"/>
      <c r="Q43" s="15"/>
      <c r="R43" s="15"/>
      <c r="S43" s="15"/>
      <c r="T43" s="15"/>
      <c r="U43" s="15"/>
      <c r="V43" s="15"/>
      <c r="W43" s="15"/>
      <c r="X43" s="15"/>
      <c r="Y43" s="15"/>
      <c r="Z43" s="15"/>
      <c r="AA43" s="15"/>
      <c r="AB43" s="15"/>
      <c r="AC43" s="15"/>
      <c r="AD43" s="15"/>
      <c r="AE43" s="15"/>
      <c r="AF43" s="15"/>
    </row>
    <row r="44" ht="15.75" customHeight="1">
      <c r="A44" s="32" t="s">
        <v>5</v>
      </c>
      <c r="B44" s="233"/>
      <c r="D44" s="8"/>
      <c r="E44" s="234" t="s">
        <v>139</v>
      </c>
      <c r="F44" s="195" t="s">
        <v>1025</v>
      </c>
      <c r="G44" s="34" t="str">
        <f>HYPERLINK("https://docs.google.com/spreadsheets/d/15GSQ06f-MMG7vvbbjriG7oVWDBuG39QcuHU9j4mJvwM/edit#gid=1285627542", "https://docs.google.com/spreadsheets/d/15GSQ06f-MMG7vvbbjriG7oVWDBuG39QcuHU9j4mJvwM/edit#gid=1285627542")</f>
        <v>https://docs.google.com/spreadsheets/d/15GSQ06f-MMG7vvbbjriG7oVWDBuG39QcuHU9j4mJvwM/edit#gid=1285627542</v>
      </c>
      <c r="H44" s="35" t="s">
        <v>1025</v>
      </c>
      <c r="L44" s="11"/>
      <c r="M44" s="15"/>
      <c r="N44" s="15"/>
      <c r="O44" s="15"/>
      <c r="P44" s="15"/>
      <c r="Q44" s="15"/>
      <c r="R44" s="15"/>
      <c r="S44" s="15"/>
      <c r="T44" s="15"/>
      <c r="U44" s="15"/>
      <c r="V44" s="15"/>
      <c r="W44" s="15"/>
      <c r="X44" s="15"/>
      <c r="Y44" s="15"/>
      <c r="Z44" s="15"/>
      <c r="AA44" s="15"/>
      <c r="AB44" s="15"/>
      <c r="AC44" s="15"/>
      <c r="AD44" s="15"/>
      <c r="AE44" s="15"/>
      <c r="AF44" s="15"/>
    </row>
    <row r="45" ht="15.75" customHeight="1">
      <c r="A45" s="32" t="s">
        <v>5</v>
      </c>
      <c r="B45" s="233"/>
      <c r="D45" s="8"/>
      <c r="E45" s="234" t="s">
        <v>139</v>
      </c>
      <c r="F45" s="195" t="s">
        <v>140</v>
      </c>
      <c r="G45" s="34" t="str">
        <f>HYPERLINK("https://docs.google.com/spreadsheets/d/15GSQ06f-MMG7vvbbjriG7oVWDBuG39QcuHU9j4mJvwM/edit#gid=239332394", "https://docs.google.com/spreadsheets/d/15GSQ06f-MMG7vvbbjriG7oVWDBuG39QcuHU9j4mJvwM/edit#gid=239332394")</f>
        <v>https://docs.google.com/spreadsheets/d/15GSQ06f-MMG7vvbbjriG7oVWDBuG39QcuHU9j4mJvwM/edit#gid=239332394</v>
      </c>
      <c r="H45" s="8" t="s">
        <v>140</v>
      </c>
      <c r="I45" s="31"/>
      <c r="J45" s="9"/>
      <c r="K45" s="11"/>
      <c r="L45" s="11"/>
      <c r="M45" s="15"/>
      <c r="N45" s="15"/>
      <c r="O45" s="15"/>
      <c r="P45" s="15"/>
      <c r="Q45" s="15"/>
      <c r="R45" s="15"/>
      <c r="S45" s="15"/>
      <c r="T45" s="15"/>
      <c r="U45" s="15"/>
      <c r="V45" s="15"/>
      <c r="W45" s="15"/>
      <c r="X45" s="15"/>
      <c r="Y45" s="15"/>
      <c r="Z45" s="15"/>
      <c r="AA45" s="15"/>
      <c r="AB45" s="15"/>
      <c r="AC45" s="15"/>
      <c r="AD45" s="15"/>
      <c r="AE45" s="15"/>
      <c r="AF45" s="15"/>
    </row>
    <row r="46" ht="15.75" customHeight="1">
      <c r="A46" s="32" t="s">
        <v>5</v>
      </c>
      <c r="B46" s="233"/>
      <c r="D46" s="8"/>
      <c r="E46" s="234" t="s">
        <v>139</v>
      </c>
      <c r="F46" s="266" t="s">
        <v>1030</v>
      </c>
      <c r="G46" s="34" t="str">
        <f>HYPERLINK("https://docs.google.com/spreadsheets/d/15GSQ06f-MMG7vvbbjriG7oVWDBuG39QcuHU9j4mJvwM/edit#gid=2017281293", "https://docs.google.com/spreadsheets/d/15GSQ06f-MMG7vvbbjriG7oVWDBuG39QcuHU9j4mJvwM/edit#gid=2017281293")</f>
        <v>https://docs.google.com/spreadsheets/d/15GSQ06f-MMG7vvbbjriG7oVWDBuG39QcuHU9j4mJvwM/edit#gid=2017281293</v>
      </c>
      <c r="H46" s="38" t="s">
        <v>1030</v>
      </c>
      <c r="I46" s="31"/>
      <c r="J46" s="9"/>
      <c r="K46" s="11"/>
      <c r="L46" s="11"/>
      <c r="M46" s="15"/>
      <c r="N46" s="15"/>
      <c r="O46" s="15"/>
      <c r="P46" s="15"/>
      <c r="Q46" s="15"/>
      <c r="R46" s="15"/>
      <c r="S46" s="15"/>
      <c r="T46" s="15"/>
      <c r="U46" s="15"/>
      <c r="V46" s="15"/>
      <c r="W46" s="15"/>
      <c r="X46" s="15"/>
      <c r="Y46" s="15"/>
      <c r="Z46" s="15"/>
      <c r="AA46" s="15"/>
      <c r="AB46" s="15"/>
      <c r="AC46" s="15"/>
      <c r="AD46" s="15"/>
      <c r="AE46" s="15"/>
      <c r="AF46" s="15"/>
    </row>
    <row r="47" ht="15.75" customHeight="1">
      <c r="A47" s="32" t="s">
        <v>5</v>
      </c>
      <c r="B47" s="233"/>
      <c r="D47" s="8"/>
      <c r="E47" s="234" t="s">
        <v>139</v>
      </c>
      <c r="F47" s="266" t="s">
        <v>1028</v>
      </c>
      <c r="G47" s="34" t="str">
        <f>HYPERLINK("https://docs.google.com/spreadsheets/d/15GSQ06f-MMG7vvbbjriG7oVWDBuG39QcuHU9j4mJvwM/edit#gid=1831682345", "https://docs.google.com/spreadsheets/d/15GSQ06f-MMG7vvbbjriG7oVWDBuG39QcuHU9j4mJvwM/edit#gid=1831682345")</f>
        <v>https://docs.google.com/spreadsheets/d/15GSQ06f-MMG7vvbbjriG7oVWDBuG39QcuHU9j4mJvwM/edit#gid=1831682345</v>
      </c>
      <c r="H47" s="35" t="s">
        <v>1028</v>
      </c>
      <c r="L47" s="11"/>
      <c r="M47" s="15"/>
      <c r="N47" s="15"/>
      <c r="O47" s="15"/>
      <c r="P47" s="15"/>
      <c r="Q47" s="15"/>
      <c r="R47" s="15"/>
      <c r="S47" s="15"/>
      <c r="T47" s="15"/>
      <c r="U47" s="15"/>
      <c r="V47" s="15"/>
      <c r="W47" s="15"/>
      <c r="X47" s="15"/>
      <c r="Y47" s="15"/>
      <c r="Z47" s="15"/>
      <c r="AA47" s="15"/>
      <c r="AB47" s="15"/>
      <c r="AC47" s="15"/>
      <c r="AD47" s="15"/>
      <c r="AE47" s="15"/>
      <c r="AF47" s="15"/>
    </row>
    <row r="48" ht="15.75" customHeight="1">
      <c r="A48" s="32" t="s">
        <v>5</v>
      </c>
      <c r="B48" s="233"/>
      <c r="D48" s="8"/>
      <c r="E48" s="234" t="s">
        <v>139</v>
      </c>
      <c r="F48" s="234" t="s">
        <v>141</v>
      </c>
      <c r="G48" s="34" t="str">
        <f>HYPERLINK("https://docs.google.com/spreadsheets/d/15GSQ06f-MMG7vvbbjriG7oVWDBuG39QcuHU9j4mJvwM/edit#gid=754135838", "https://docs.google.com/spreadsheets/d/15GSQ06f-MMG7vvbbjriG7oVWDBuG39QcuHU9j4mJvwM/edit#gid=754135838")</f>
        <v>https://docs.google.com/spreadsheets/d/15GSQ06f-MMG7vvbbjriG7oVWDBuG39QcuHU9j4mJvwM/edit#gid=754135838</v>
      </c>
      <c r="H48" s="35" t="s">
        <v>141</v>
      </c>
      <c r="L48" s="11"/>
      <c r="M48" s="15"/>
      <c r="N48" s="15"/>
      <c r="O48" s="15"/>
      <c r="P48" s="15"/>
      <c r="Q48" s="15"/>
      <c r="R48" s="15"/>
      <c r="S48" s="15"/>
      <c r="T48" s="15"/>
      <c r="U48" s="15"/>
      <c r="V48" s="15"/>
      <c r="W48" s="15"/>
      <c r="X48" s="15"/>
      <c r="Y48" s="15"/>
      <c r="Z48" s="15"/>
      <c r="AA48" s="15"/>
      <c r="AB48" s="15"/>
      <c r="AC48" s="15"/>
      <c r="AD48" s="15"/>
      <c r="AE48" s="15"/>
      <c r="AF48" s="15"/>
    </row>
    <row r="49" ht="15.75" customHeight="1">
      <c r="A49" s="32" t="s">
        <v>5</v>
      </c>
      <c r="B49" s="233"/>
      <c r="C49" s="39"/>
      <c r="D49" s="8"/>
      <c r="E49" s="195"/>
      <c r="F49" s="195"/>
      <c r="G49" s="34"/>
      <c r="H49" s="36"/>
      <c r="L49" s="11"/>
      <c r="M49" s="15"/>
      <c r="N49" s="15"/>
      <c r="O49" s="15"/>
      <c r="P49" s="15"/>
      <c r="Q49" s="15"/>
      <c r="R49" s="15"/>
      <c r="S49" s="15"/>
      <c r="T49" s="15"/>
      <c r="U49" s="15"/>
      <c r="V49" s="15"/>
      <c r="W49" s="15"/>
      <c r="X49" s="15"/>
      <c r="Y49" s="15"/>
      <c r="Z49" s="15"/>
      <c r="AA49" s="15"/>
      <c r="AB49" s="15"/>
      <c r="AC49" s="15"/>
      <c r="AD49" s="15"/>
      <c r="AE49" s="15"/>
      <c r="AF49" s="15"/>
    </row>
    <row r="50" ht="15.75" customHeight="1">
      <c r="A50" s="32" t="s">
        <v>5</v>
      </c>
      <c r="B50" s="233" t="s">
        <v>2630</v>
      </c>
      <c r="C50" s="268" t="s">
        <v>2631</v>
      </c>
      <c r="D50" s="8" t="s">
        <v>20</v>
      </c>
      <c r="E50" s="195" t="s">
        <v>88</v>
      </c>
      <c r="F50" s="195" t="s">
        <v>89</v>
      </c>
      <c r="G50" s="34"/>
      <c r="L50" s="11"/>
      <c r="M50" s="15"/>
      <c r="N50" s="15"/>
      <c r="O50" s="15"/>
      <c r="P50" s="15"/>
      <c r="Q50" s="15"/>
      <c r="R50" s="15"/>
      <c r="S50" s="15"/>
      <c r="T50" s="15"/>
      <c r="U50" s="15"/>
      <c r="V50" s="15"/>
      <c r="W50" s="15"/>
      <c r="X50" s="15"/>
      <c r="Y50" s="15"/>
      <c r="Z50" s="15"/>
      <c r="AA50" s="15"/>
      <c r="AB50" s="15"/>
      <c r="AC50" s="15"/>
      <c r="AD50" s="15"/>
      <c r="AE50" s="15"/>
      <c r="AF50" s="15"/>
    </row>
    <row r="51" ht="15.75" customHeight="1">
      <c r="A51" s="32"/>
      <c r="B51" s="233"/>
      <c r="C51" s="269"/>
      <c r="D51" s="8"/>
      <c r="E51" s="195" t="s">
        <v>172</v>
      </c>
      <c r="F51" s="195" t="s">
        <v>194</v>
      </c>
      <c r="G51" s="34" t="str">
        <f>HYPERLINK("https://docs.google.com/spreadsheets/d/121cJM5v58NhDVS2FZXht402cEPJ13d_T3qIgItKL2_s/edit#gid=2146020215", "https://docs.google.com/spreadsheets/d/121cJM5v58NhDVS2FZXht402cEPJ13d_T3qIgItKL2_s/edit#gid=2146020215")</f>
        <v>https://docs.google.com/spreadsheets/d/121cJM5v58NhDVS2FZXht402cEPJ13d_T3qIgItKL2_s/edit#gid=2146020215</v>
      </c>
      <c r="H51" s="35" t="s">
        <v>194</v>
      </c>
      <c r="L51" s="11"/>
      <c r="M51" s="15"/>
      <c r="N51" s="15"/>
      <c r="O51" s="15"/>
      <c r="P51" s="15"/>
      <c r="Q51" s="15"/>
      <c r="R51" s="15"/>
      <c r="S51" s="15"/>
      <c r="T51" s="15"/>
      <c r="U51" s="15"/>
      <c r="V51" s="15"/>
      <c r="W51" s="15"/>
      <c r="X51" s="15"/>
      <c r="Y51" s="15"/>
      <c r="Z51" s="15"/>
      <c r="AA51" s="15"/>
      <c r="AB51" s="15"/>
      <c r="AC51" s="15"/>
      <c r="AD51" s="15"/>
      <c r="AE51" s="15"/>
      <c r="AF51" s="15"/>
    </row>
    <row r="52" ht="15.75" customHeight="1">
      <c r="A52" s="32" t="s">
        <v>5</v>
      </c>
      <c r="B52" s="233"/>
      <c r="C52" s="269"/>
      <c r="D52" s="8"/>
      <c r="E52" s="234" t="s">
        <v>172</v>
      </c>
      <c r="F52" s="195" t="s">
        <v>195</v>
      </c>
      <c r="G52" s="34" t="str">
        <f>HYPERLINK("https://docs.google.com/spreadsheets/d/121cJM5v58NhDVS2FZXht402cEPJ13d_T3qIgItKL2_s/edit#gid=1852914157", "https://docs.google.com/spreadsheets/d/121cJM5v58NhDVS2FZXht402cEPJ13d_T3qIgItKL2_s/edit#gid=1852914157")</f>
        <v>https://docs.google.com/spreadsheets/d/121cJM5v58NhDVS2FZXht402cEPJ13d_T3qIgItKL2_s/edit#gid=1852914157</v>
      </c>
      <c r="H52" s="35" t="s">
        <v>195</v>
      </c>
      <c r="L52" s="11"/>
      <c r="M52" s="15"/>
      <c r="N52" s="15"/>
      <c r="O52" s="15"/>
      <c r="P52" s="15"/>
      <c r="Q52" s="15"/>
      <c r="R52" s="15"/>
      <c r="S52" s="15"/>
      <c r="T52" s="15"/>
      <c r="U52" s="15"/>
      <c r="V52" s="15"/>
      <c r="W52" s="15"/>
      <c r="X52" s="15"/>
      <c r="Y52" s="15"/>
      <c r="Z52" s="15"/>
      <c r="AA52" s="15"/>
      <c r="AB52" s="15"/>
      <c r="AC52" s="15"/>
      <c r="AD52" s="15"/>
      <c r="AE52" s="15"/>
      <c r="AF52" s="15"/>
    </row>
    <row r="53" ht="15.75" customHeight="1">
      <c r="A53" s="32" t="s">
        <v>5</v>
      </c>
      <c r="B53" s="233"/>
      <c r="C53" s="269"/>
      <c r="D53" s="8"/>
      <c r="E53" s="234" t="s">
        <v>21</v>
      </c>
      <c r="F53" s="195" t="s">
        <v>51</v>
      </c>
      <c r="G53" s="34" t="str">
        <f>HYPERLINK("https://docs.google.com/spreadsheets/d/121cJM5v58NhDVS2FZXht402cEPJ13d_T3qIgItKL2_s/edit#gid=3717305", "https://docs.google.com/spreadsheets/d/121cJM5v58NhDVS2FZXht402cEPJ13d_T3qIgItKL2_s/edit#gid=3717305")</f>
        <v>https://docs.google.com/spreadsheets/d/121cJM5v58NhDVS2FZXht402cEPJ13d_T3qIgItKL2_s/edit#gid=3717305</v>
      </c>
      <c r="H53" s="35" t="s">
        <v>51</v>
      </c>
      <c r="L53" s="11"/>
      <c r="M53" s="15"/>
      <c r="N53" s="15"/>
      <c r="O53" s="15"/>
      <c r="P53" s="15"/>
      <c r="Q53" s="15"/>
      <c r="R53" s="15"/>
      <c r="S53" s="15"/>
      <c r="T53" s="15"/>
      <c r="U53" s="15"/>
      <c r="V53" s="15"/>
      <c r="W53" s="15"/>
      <c r="X53" s="15"/>
      <c r="Y53" s="15"/>
      <c r="Z53" s="15"/>
      <c r="AA53" s="15"/>
      <c r="AB53" s="15"/>
      <c r="AC53" s="15"/>
      <c r="AD53" s="15"/>
      <c r="AE53" s="15"/>
      <c r="AF53" s="15"/>
    </row>
    <row r="54" ht="15.75" customHeight="1">
      <c r="A54" s="32" t="s">
        <v>5</v>
      </c>
      <c r="B54" s="233"/>
      <c r="C54" s="269"/>
      <c r="D54" s="8"/>
      <c r="E54" s="234" t="s">
        <v>408</v>
      </c>
      <c r="F54" s="266" t="s">
        <v>408</v>
      </c>
      <c r="G54" s="34" t="str">
        <f>HYPERLINK("https://docs.google.com/spreadsheets/d/121cJM5v58NhDVS2FZXht402cEPJ13d_T3qIgItKL2_s/edit#gid=1253521461", "https://docs.google.com/spreadsheets/d/121cJM5v58NhDVS2FZXht402cEPJ13d_T3qIgItKL2_s/edit#gid=1253521461")</f>
        <v>https://docs.google.com/spreadsheets/d/121cJM5v58NhDVS2FZXht402cEPJ13d_T3qIgItKL2_s/edit#gid=1253521461</v>
      </c>
      <c r="H54" s="38" t="s">
        <v>408</v>
      </c>
      <c r="I54" s="31"/>
      <c r="J54" s="9"/>
      <c r="K54" s="11"/>
      <c r="L54" s="11"/>
      <c r="M54" s="15"/>
      <c r="N54" s="15"/>
      <c r="O54" s="15"/>
      <c r="P54" s="15"/>
      <c r="Q54" s="15"/>
      <c r="R54" s="15"/>
      <c r="S54" s="15"/>
      <c r="T54" s="15"/>
      <c r="U54" s="15"/>
      <c r="V54" s="15"/>
      <c r="W54" s="15"/>
      <c r="X54" s="15"/>
      <c r="Y54" s="15"/>
      <c r="Z54" s="15"/>
      <c r="AA54" s="15"/>
      <c r="AB54" s="15"/>
      <c r="AC54" s="15"/>
      <c r="AD54" s="15"/>
      <c r="AE54" s="15"/>
      <c r="AF54" s="15"/>
    </row>
    <row r="55" ht="15.75" customHeight="1">
      <c r="A55" s="32" t="s">
        <v>5</v>
      </c>
      <c r="B55" s="233"/>
      <c r="C55" s="270"/>
      <c r="D55" s="8"/>
      <c r="E55" s="234" t="s">
        <v>139</v>
      </c>
      <c r="F55" s="266" t="s">
        <v>1025</v>
      </c>
      <c r="G55" s="34" t="str">
        <f>HYPERLINK("https://docs.google.com/spreadsheets/d/121cJM5v58NhDVS2FZXht402cEPJ13d_T3qIgItKL2_s/edit#gid=2061704876", "https://docs.google.com/spreadsheets/d/121cJM5v58NhDVS2FZXht402cEPJ13d_T3qIgItKL2_s/edit#gid=2061704876")</f>
        <v>https://docs.google.com/spreadsheets/d/121cJM5v58NhDVS2FZXht402cEPJ13d_T3qIgItKL2_s/edit#gid=2061704876</v>
      </c>
      <c r="H55" s="38" t="s">
        <v>1025</v>
      </c>
      <c r="I55" s="31"/>
      <c r="J55" s="9"/>
      <c r="K55" s="11"/>
      <c r="L55" s="11"/>
      <c r="M55" s="15"/>
      <c r="N55" s="15"/>
      <c r="O55" s="15"/>
      <c r="P55" s="15"/>
      <c r="Q55" s="15"/>
      <c r="R55" s="15"/>
      <c r="S55" s="15"/>
      <c r="T55" s="15"/>
      <c r="U55" s="15"/>
      <c r="V55" s="15"/>
      <c r="W55" s="15"/>
      <c r="X55" s="15"/>
      <c r="Y55" s="15"/>
      <c r="Z55" s="15"/>
      <c r="AA55" s="15"/>
      <c r="AB55" s="15"/>
      <c r="AC55" s="15"/>
      <c r="AD55" s="15"/>
      <c r="AE55" s="15"/>
      <c r="AF55" s="15"/>
    </row>
    <row r="56" ht="15.75" customHeight="1">
      <c r="A56" s="32" t="s">
        <v>5</v>
      </c>
      <c r="B56" s="233"/>
      <c r="C56" s="39"/>
      <c r="D56" s="8"/>
      <c r="E56" s="234" t="s">
        <v>139</v>
      </c>
      <c r="F56" s="234" t="s">
        <v>140</v>
      </c>
      <c r="G56" s="34" t="str">
        <f>HYPERLINK("https://docs.google.com/spreadsheets/d/121cJM5v58NhDVS2FZXht402cEPJ13d_T3qIgItKL2_s/edit#gid=74047382", "https://docs.google.com/spreadsheets/d/121cJM5v58NhDVS2FZXht402cEPJ13d_T3qIgItKL2_s/edit#gid=74047382")</f>
        <v>https://docs.google.com/spreadsheets/d/121cJM5v58NhDVS2FZXht402cEPJ13d_T3qIgItKL2_s/edit#gid=74047382</v>
      </c>
      <c r="H56" s="35" t="s">
        <v>140</v>
      </c>
      <c r="L56" s="11"/>
      <c r="M56" s="15"/>
      <c r="N56" s="15"/>
      <c r="O56" s="15"/>
      <c r="P56" s="15"/>
      <c r="Q56" s="15"/>
      <c r="R56" s="15"/>
      <c r="S56" s="15"/>
      <c r="T56" s="15"/>
      <c r="U56" s="15"/>
      <c r="V56" s="15"/>
      <c r="W56" s="15"/>
      <c r="X56" s="15"/>
      <c r="Y56" s="15"/>
      <c r="Z56" s="15"/>
      <c r="AA56" s="15"/>
      <c r="AB56" s="15"/>
      <c r="AC56" s="15"/>
      <c r="AD56" s="15"/>
      <c r="AE56" s="15"/>
      <c r="AF56" s="15"/>
    </row>
    <row r="57" ht="15.75" customHeight="1">
      <c r="A57" s="32" t="s">
        <v>5</v>
      </c>
      <c r="B57" s="233"/>
      <c r="C57" s="39"/>
      <c r="D57" s="8"/>
      <c r="E57" s="195" t="s">
        <v>139</v>
      </c>
      <c r="F57" s="195" t="s">
        <v>1030</v>
      </c>
      <c r="G57" s="34" t="str">
        <f>HYPERLINK("https://docs.google.com/spreadsheets/d/121cJM5v58NhDVS2FZXht402cEPJ13d_T3qIgItKL2_s/edit#gid=810712631", "https://docs.google.com/spreadsheets/d/121cJM5v58NhDVS2FZXht402cEPJ13d_T3qIgItKL2_s/edit#gid=810712631")</f>
        <v>https://docs.google.com/spreadsheets/d/121cJM5v58NhDVS2FZXht402cEPJ13d_T3qIgItKL2_s/edit#gid=810712631</v>
      </c>
      <c r="H57" s="35" t="s">
        <v>1030</v>
      </c>
      <c r="L57" s="11"/>
      <c r="M57" s="15"/>
      <c r="N57" s="15"/>
      <c r="O57" s="15"/>
      <c r="P57" s="15"/>
      <c r="Q57" s="15"/>
      <c r="R57" s="15"/>
      <c r="S57" s="15"/>
      <c r="T57" s="15"/>
      <c r="U57" s="15"/>
      <c r="V57" s="15"/>
      <c r="W57" s="15"/>
      <c r="X57" s="15"/>
      <c r="Y57" s="15"/>
      <c r="Z57" s="15"/>
      <c r="AA57" s="15"/>
      <c r="AB57" s="15"/>
      <c r="AC57" s="15"/>
      <c r="AD57" s="15"/>
      <c r="AE57" s="15"/>
      <c r="AF57" s="15"/>
    </row>
    <row r="58" ht="15.75" customHeight="1">
      <c r="A58" s="32" t="s">
        <v>5</v>
      </c>
      <c r="B58" s="233"/>
      <c r="C58" s="39"/>
      <c r="D58" s="8"/>
      <c r="E58" s="195" t="s">
        <v>139</v>
      </c>
      <c r="F58" s="195" t="s">
        <v>1028</v>
      </c>
      <c r="G58" s="34" t="str">
        <f>HYPERLINK("https://docs.google.com/spreadsheets/d/121cJM5v58NhDVS2FZXht402cEPJ13d_T3qIgItKL2_s/edit#gid=1686218535", "https://docs.google.com/spreadsheets/d/121cJM5v58NhDVS2FZXht402cEPJ13d_T3qIgItKL2_s/edit#gid=1686218535")</f>
        <v>https://docs.google.com/spreadsheets/d/121cJM5v58NhDVS2FZXht402cEPJ13d_T3qIgItKL2_s/edit#gid=1686218535</v>
      </c>
      <c r="H58" s="35" t="s">
        <v>1028</v>
      </c>
      <c r="L58" s="11"/>
      <c r="M58" s="15"/>
      <c r="N58" s="15"/>
      <c r="O58" s="15"/>
      <c r="P58" s="15"/>
      <c r="Q58" s="15"/>
      <c r="R58" s="15"/>
      <c r="S58" s="15"/>
      <c r="T58" s="15"/>
      <c r="U58" s="15"/>
      <c r="V58" s="15"/>
      <c r="W58" s="15"/>
      <c r="X58" s="15"/>
      <c r="Y58" s="15"/>
      <c r="Z58" s="15"/>
      <c r="AA58" s="15"/>
      <c r="AB58" s="15"/>
      <c r="AC58" s="15"/>
      <c r="AD58" s="15"/>
      <c r="AE58" s="15"/>
      <c r="AF58" s="15"/>
    </row>
    <row r="59" ht="15.75" customHeight="1">
      <c r="A59" s="32" t="s">
        <v>5</v>
      </c>
      <c r="B59" s="233"/>
      <c r="C59" s="39"/>
      <c r="D59" s="8"/>
      <c r="E59" s="195"/>
      <c r="F59" s="195"/>
      <c r="G59" s="34"/>
      <c r="L59" s="11"/>
      <c r="M59" s="15"/>
      <c r="N59" s="15"/>
      <c r="O59" s="15"/>
      <c r="P59" s="15"/>
      <c r="Q59" s="15"/>
      <c r="R59" s="15"/>
      <c r="S59" s="15"/>
      <c r="T59" s="15"/>
      <c r="U59" s="15"/>
      <c r="V59" s="15"/>
      <c r="W59" s="15"/>
      <c r="X59" s="15"/>
      <c r="Y59" s="15"/>
      <c r="Z59" s="15"/>
      <c r="AA59" s="15"/>
      <c r="AB59" s="15"/>
      <c r="AC59" s="15"/>
      <c r="AD59" s="15"/>
      <c r="AE59" s="15"/>
      <c r="AF59" s="15"/>
    </row>
    <row r="60" ht="15.75" customHeight="1">
      <c r="A60" s="32" t="s">
        <v>5</v>
      </c>
      <c r="B60" s="233" t="s">
        <v>2632</v>
      </c>
      <c r="C60" s="271" t="s">
        <v>2633</v>
      </c>
      <c r="D60" s="8"/>
      <c r="E60" s="195" t="s">
        <v>88</v>
      </c>
      <c r="F60" s="195" t="s">
        <v>89</v>
      </c>
      <c r="G60" s="34"/>
      <c r="H60" s="36"/>
      <c r="L60" s="11"/>
      <c r="M60" s="15"/>
      <c r="N60" s="15"/>
      <c r="O60" s="15"/>
      <c r="P60" s="15"/>
      <c r="Q60" s="15"/>
      <c r="R60" s="15"/>
      <c r="S60" s="15"/>
      <c r="T60" s="15"/>
      <c r="U60" s="15"/>
      <c r="V60" s="15"/>
      <c r="W60" s="15"/>
      <c r="X60" s="15"/>
      <c r="Y60" s="15"/>
      <c r="Z60" s="15"/>
      <c r="AA60" s="15"/>
      <c r="AB60" s="15"/>
      <c r="AC60" s="15"/>
      <c r="AD60" s="15"/>
      <c r="AE60" s="15"/>
      <c r="AF60" s="15"/>
    </row>
    <row r="61" ht="15.75" customHeight="1">
      <c r="A61" s="32" t="s">
        <v>5</v>
      </c>
      <c r="B61" s="233"/>
      <c r="D61" s="8"/>
      <c r="E61" s="195" t="s">
        <v>172</v>
      </c>
      <c r="F61" s="195" t="s">
        <v>194</v>
      </c>
      <c r="G61" s="34" t="str">
        <f>HYPERLINK("https://docs.google.com/spreadsheets/d/1Dg7kng78x9KMIfrRGSPzCLTPN85sQk2emHwZbpBoe_w/edit#gid=1317373116", "https://docs.google.com/spreadsheets/d/1Dg7kng78x9KMIfrRGSPzCLTPN85sQk2emHwZbpBoe_w/edit#gid=1317373116")</f>
        <v>https://docs.google.com/spreadsheets/d/1Dg7kng78x9KMIfrRGSPzCLTPN85sQk2emHwZbpBoe_w/edit#gid=1317373116</v>
      </c>
      <c r="H61" s="35" t="s">
        <v>194</v>
      </c>
      <c r="L61" s="11"/>
      <c r="M61" s="15"/>
      <c r="N61" s="15"/>
      <c r="O61" s="15"/>
      <c r="P61" s="15"/>
      <c r="Q61" s="15"/>
      <c r="R61" s="15"/>
      <c r="S61" s="15"/>
      <c r="T61" s="15"/>
      <c r="U61" s="15"/>
      <c r="V61" s="15"/>
      <c r="W61" s="15"/>
      <c r="X61" s="15"/>
      <c r="Y61" s="15"/>
      <c r="Z61" s="15"/>
      <c r="AA61" s="15"/>
      <c r="AB61" s="15"/>
      <c r="AC61" s="15"/>
      <c r="AD61" s="15"/>
      <c r="AE61" s="15"/>
      <c r="AF61" s="15"/>
    </row>
    <row r="62" ht="15.75" customHeight="1">
      <c r="A62" s="32" t="s">
        <v>5</v>
      </c>
      <c r="B62" s="233"/>
      <c r="D62" s="8"/>
      <c r="E62" s="234" t="s">
        <v>172</v>
      </c>
      <c r="F62" s="195" t="s">
        <v>195</v>
      </c>
      <c r="G62" s="34" t="str">
        <f>HYPERLINK("https://docs.google.com/spreadsheets/d/1Dg7kng78x9KMIfrRGSPzCLTPN85sQk2emHwZbpBoe_w/edit#gid=1900263549", "https://docs.google.com/spreadsheets/d/1Dg7kng78x9KMIfrRGSPzCLTPN85sQk2emHwZbpBoe_w/edit#gid=1900263549")</f>
        <v>https://docs.google.com/spreadsheets/d/1Dg7kng78x9KMIfrRGSPzCLTPN85sQk2emHwZbpBoe_w/edit#gid=1900263549</v>
      </c>
      <c r="H62" s="35" t="s">
        <v>195</v>
      </c>
      <c r="L62" s="11"/>
      <c r="M62" s="15"/>
      <c r="N62" s="15"/>
      <c r="O62" s="15"/>
      <c r="P62" s="15"/>
      <c r="Q62" s="15"/>
      <c r="R62" s="15"/>
      <c r="S62" s="15"/>
      <c r="T62" s="15"/>
      <c r="U62" s="15"/>
      <c r="V62" s="15"/>
      <c r="W62" s="15"/>
      <c r="X62" s="15"/>
      <c r="Y62" s="15"/>
      <c r="Z62" s="15"/>
      <c r="AA62" s="15"/>
      <c r="AB62" s="15"/>
      <c r="AC62" s="15"/>
      <c r="AD62" s="15"/>
      <c r="AE62" s="15"/>
      <c r="AF62" s="15"/>
    </row>
    <row r="63" ht="15.75" customHeight="1">
      <c r="A63" s="32" t="s">
        <v>5</v>
      </c>
      <c r="B63" s="233"/>
      <c r="D63" s="8"/>
      <c r="E63" s="234" t="s">
        <v>21</v>
      </c>
      <c r="F63" s="195" t="s">
        <v>51</v>
      </c>
      <c r="G63" s="34" t="str">
        <f>HYPERLINK("https://docs.google.com/spreadsheets/d/1Dg7kng78x9KMIfrRGSPzCLTPN85sQk2emHwZbpBoe_w/edit#gid=642350001", "https://docs.google.com/spreadsheets/d/1Dg7kng78x9KMIfrRGSPzCLTPN85sQk2emHwZbpBoe_w/edit#gid=642350001")</f>
        <v>https://docs.google.com/spreadsheets/d/1Dg7kng78x9KMIfrRGSPzCLTPN85sQk2emHwZbpBoe_w/edit#gid=642350001</v>
      </c>
      <c r="H63" s="8" t="s">
        <v>51</v>
      </c>
      <c r="I63" s="31"/>
      <c r="J63" s="9"/>
      <c r="K63" s="11"/>
      <c r="L63" s="11"/>
      <c r="M63" s="15"/>
      <c r="N63" s="15"/>
      <c r="O63" s="15"/>
      <c r="P63" s="15"/>
      <c r="Q63" s="15"/>
      <c r="R63" s="15"/>
      <c r="S63" s="15"/>
      <c r="T63" s="15"/>
      <c r="U63" s="15"/>
      <c r="V63" s="15"/>
      <c r="W63" s="15"/>
      <c r="X63" s="15"/>
      <c r="Y63" s="15"/>
      <c r="Z63" s="15"/>
      <c r="AA63" s="15"/>
      <c r="AB63" s="15"/>
      <c r="AC63" s="15"/>
      <c r="AD63" s="15"/>
      <c r="AE63" s="15"/>
      <c r="AF63" s="15"/>
    </row>
    <row r="64" ht="15.75" customHeight="1">
      <c r="A64" s="32"/>
      <c r="B64" s="233"/>
      <c r="D64" s="8"/>
      <c r="E64" s="234" t="s">
        <v>408</v>
      </c>
      <c r="F64" s="195" t="s">
        <v>408</v>
      </c>
      <c r="G64" s="34" t="str">
        <f>HYPERLINK("https://docs.google.com/spreadsheets/d/1Dg7kng78x9KMIfrRGSPzCLTPN85sQk2emHwZbpBoe_w/edit#gid=1564485148", "https://docs.google.com/spreadsheets/d/1Dg7kng78x9KMIfrRGSPzCLTPN85sQk2emHwZbpBoe_w/edit#gid=1564485148")</f>
        <v>https://docs.google.com/spreadsheets/d/1Dg7kng78x9KMIfrRGSPzCLTPN85sQk2emHwZbpBoe_w/edit#gid=1564485148</v>
      </c>
      <c r="H64" s="8" t="s">
        <v>408</v>
      </c>
      <c r="I64" s="31"/>
      <c r="J64" s="9"/>
      <c r="K64" s="11"/>
      <c r="L64" s="11"/>
      <c r="M64" s="15"/>
      <c r="N64" s="15"/>
      <c r="O64" s="15"/>
      <c r="P64" s="15"/>
      <c r="Q64" s="15"/>
      <c r="R64" s="15"/>
      <c r="S64" s="15"/>
      <c r="T64" s="15"/>
      <c r="U64" s="15"/>
      <c r="V64" s="15"/>
      <c r="W64" s="15"/>
      <c r="X64" s="15"/>
      <c r="Y64" s="15"/>
      <c r="Z64" s="15"/>
      <c r="AA64" s="15"/>
      <c r="AB64" s="15"/>
      <c r="AC64" s="15"/>
      <c r="AD64" s="15"/>
      <c r="AE64" s="15"/>
      <c r="AF64" s="15"/>
    </row>
    <row r="65" ht="15.75" customHeight="1">
      <c r="A65" s="32"/>
      <c r="B65" s="233"/>
      <c r="D65" s="8"/>
      <c r="E65" s="234" t="s">
        <v>139</v>
      </c>
      <c r="F65" s="195" t="s">
        <v>1025</v>
      </c>
      <c r="G65" s="34" t="str">
        <f>HYPERLINK("https://docs.google.com/spreadsheets/d/1Dg7kng78x9KMIfrRGSPzCLTPN85sQk2emHwZbpBoe_w/edit#gid=1286109894", "https://docs.google.com/spreadsheets/d/1Dg7kng78x9KMIfrRGSPzCLTPN85sQk2emHwZbpBoe_w/edit#gid=1286109894")</f>
        <v>https://docs.google.com/spreadsheets/d/1Dg7kng78x9KMIfrRGSPzCLTPN85sQk2emHwZbpBoe_w/edit#gid=1286109894</v>
      </c>
      <c r="H65" s="8" t="s">
        <v>1025</v>
      </c>
      <c r="I65" s="31"/>
      <c r="J65" s="9"/>
      <c r="K65" s="11"/>
      <c r="L65" s="11"/>
      <c r="M65" s="15"/>
      <c r="N65" s="15"/>
      <c r="O65" s="15"/>
      <c r="P65" s="15"/>
      <c r="Q65" s="15"/>
      <c r="R65" s="15"/>
      <c r="S65" s="15"/>
      <c r="T65" s="15"/>
      <c r="U65" s="15"/>
      <c r="V65" s="15"/>
      <c r="W65" s="15"/>
      <c r="X65" s="15"/>
      <c r="Y65" s="15"/>
      <c r="Z65" s="15"/>
      <c r="AA65" s="15"/>
      <c r="AB65" s="15"/>
      <c r="AC65" s="15"/>
      <c r="AD65" s="15"/>
      <c r="AE65" s="15"/>
      <c r="AF65" s="15"/>
    </row>
    <row r="66" ht="15.75" customHeight="1">
      <c r="A66" s="32" t="s">
        <v>5</v>
      </c>
      <c r="B66" s="233"/>
      <c r="D66" s="8"/>
      <c r="E66" s="195" t="s">
        <v>139</v>
      </c>
      <c r="F66" s="195" t="s">
        <v>1043</v>
      </c>
      <c r="G66" s="34" t="str">
        <f>HYPERLINK("https://docs.google.com/spreadsheets/d/1Dg7kng78x9KMIfrRGSPzCLTPN85sQk2emHwZbpBoe_w/edit#gid=2099158170", "https://docs.google.com/spreadsheets/d/1Dg7kng78x9KMIfrRGSPzCLTPN85sQk2emHwZbpBoe_w/edit#gid=2099158170")</f>
        <v>https://docs.google.com/spreadsheets/d/1Dg7kng78x9KMIfrRGSPzCLTPN85sQk2emHwZbpBoe_w/edit#gid=2099158170</v>
      </c>
      <c r="H66" s="35" t="s">
        <v>1043</v>
      </c>
      <c r="L66" s="11"/>
      <c r="M66" s="15"/>
      <c r="N66" s="15"/>
      <c r="O66" s="15"/>
      <c r="P66" s="15"/>
      <c r="Q66" s="15"/>
      <c r="R66" s="15"/>
      <c r="S66" s="15"/>
      <c r="T66" s="15"/>
      <c r="U66" s="15"/>
      <c r="V66" s="15"/>
      <c r="W66" s="15"/>
      <c r="X66" s="15"/>
      <c r="Y66" s="15"/>
      <c r="Z66" s="15"/>
      <c r="AA66" s="15"/>
      <c r="AB66" s="15"/>
      <c r="AC66" s="15"/>
      <c r="AD66" s="15"/>
      <c r="AE66" s="15"/>
      <c r="AF66" s="15"/>
    </row>
    <row r="67" ht="15.75" customHeight="1">
      <c r="A67" s="32" t="s">
        <v>5</v>
      </c>
      <c r="B67" s="233"/>
      <c r="D67" s="8"/>
      <c r="E67" s="234" t="s">
        <v>139</v>
      </c>
      <c r="F67" s="266" t="s">
        <v>1030</v>
      </c>
      <c r="G67" s="34" t="str">
        <f>HYPERLINK("https://docs.google.com/spreadsheets/d/1Dg7kng78x9KMIfrRGSPzCLTPN85sQk2emHwZbpBoe_w/edit#gid=1944853838", "https://docs.google.com/spreadsheets/d/1Dg7kng78x9KMIfrRGSPzCLTPN85sQk2emHwZbpBoe_w/edit#gid=1944853838")</f>
        <v>https://docs.google.com/spreadsheets/d/1Dg7kng78x9KMIfrRGSPzCLTPN85sQk2emHwZbpBoe_w/edit#gid=1944853838</v>
      </c>
      <c r="H67" s="35" t="s">
        <v>1030</v>
      </c>
      <c r="L67" s="11"/>
      <c r="M67" s="15"/>
      <c r="N67" s="15"/>
      <c r="O67" s="15"/>
      <c r="P67" s="15"/>
      <c r="Q67" s="15"/>
      <c r="R67" s="15"/>
      <c r="S67" s="15"/>
      <c r="T67" s="15"/>
      <c r="U67" s="15"/>
      <c r="V67" s="15"/>
      <c r="W67" s="15"/>
      <c r="X67" s="15"/>
      <c r="Y67" s="15"/>
      <c r="Z67" s="15"/>
      <c r="AA67" s="15"/>
      <c r="AB67" s="15"/>
      <c r="AC67" s="15"/>
      <c r="AD67" s="15"/>
      <c r="AE67" s="15"/>
      <c r="AF67" s="15"/>
    </row>
    <row r="68" ht="15.75" customHeight="1">
      <c r="A68" s="32" t="s">
        <v>5</v>
      </c>
      <c r="B68" s="233"/>
      <c r="D68" s="8"/>
      <c r="E68" s="234" t="s">
        <v>139</v>
      </c>
      <c r="F68" s="234" t="s">
        <v>1028</v>
      </c>
      <c r="G68" s="34" t="str">
        <f>HYPERLINK("https://docs.google.com/spreadsheets/d/1Dg7kng78x9KMIfrRGSPzCLTPN85sQk2emHwZbpBoe_w/edit#gid=412129062", "https://docs.google.com/spreadsheets/d/1Dg7kng78x9KMIfrRGSPzCLTPN85sQk2emHwZbpBoe_w/edit#gid=412129062")</f>
        <v>https://docs.google.com/spreadsheets/d/1Dg7kng78x9KMIfrRGSPzCLTPN85sQk2emHwZbpBoe_w/edit#gid=412129062</v>
      </c>
      <c r="H68" s="35" t="s">
        <v>1028</v>
      </c>
      <c r="L68" s="11"/>
      <c r="M68" s="15"/>
      <c r="N68" s="15"/>
      <c r="O68" s="15"/>
      <c r="P68" s="15"/>
      <c r="Q68" s="15"/>
      <c r="R68" s="15"/>
      <c r="S68" s="15"/>
      <c r="T68" s="15"/>
      <c r="U68" s="15"/>
      <c r="V68" s="15"/>
      <c r="W68" s="15"/>
      <c r="X68" s="15"/>
      <c r="Y68" s="15"/>
      <c r="Z68" s="15"/>
      <c r="AA68" s="15"/>
      <c r="AB68" s="15"/>
      <c r="AC68" s="15"/>
      <c r="AD68" s="15"/>
      <c r="AE68" s="15"/>
      <c r="AF68" s="15"/>
    </row>
    <row r="69" ht="15.75" customHeight="1">
      <c r="A69" s="32" t="s">
        <v>5</v>
      </c>
      <c r="B69" s="233"/>
      <c r="C69" s="39"/>
      <c r="D69" s="8"/>
      <c r="E69" s="195"/>
      <c r="F69" s="195"/>
      <c r="G69" s="34"/>
      <c r="L69" s="11"/>
      <c r="M69" s="15"/>
      <c r="N69" s="15"/>
      <c r="O69" s="15"/>
      <c r="P69" s="15"/>
      <c r="Q69" s="15"/>
      <c r="R69" s="15"/>
      <c r="S69" s="15"/>
      <c r="T69" s="15"/>
      <c r="U69" s="15"/>
      <c r="V69" s="15"/>
      <c r="W69" s="15"/>
      <c r="X69" s="15"/>
      <c r="Y69" s="15"/>
      <c r="Z69" s="15"/>
      <c r="AA69" s="15"/>
      <c r="AB69" s="15"/>
      <c r="AC69" s="15"/>
      <c r="AD69" s="15"/>
      <c r="AE69" s="15"/>
      <c r="AF69" s="15"/>
    </row>
    <row r="70" ht="15.75" customHeight="1">
      <c r="A70" s="32" t="s">
        <v>5</v>
      </c>
      <c r="B70" s="233" t="s">
        <v>2634</v>
      </c>
      <c r="C70" s="39" t="s">
        <v>2635</v>
      </c>
      <c r="D70" s="8" t="s">
        <v>20</v>
      </c>
      <c r="E70" s="195" t="s">
        <v>88</v>
      </c>
      <c r="F70" s="195" t="s">
        <v>89</v>
      </c>
      <c r="G70" s="34"/>
      <c r="H70" s="36"/>
      <c r="L70" s="11"/>
      <c r="M70" s="15"/>
      <c r="N70" s="15"/>
      <c r="O70" s="15"/>
      <c r="P70" s="15"/>
      <c r="Q70" s="15"/>
      <c r="R70" s="15"/>
      <c r="S70" s="15"/>
      <c r="T70" s="15"/>
      <c r="U70" s="15"/>
      <c r="V70" s="15"/>
      <c r="W70" s="15"/>
      <c r="X70" s="15"/>
      <c r="Y70" s="15"/>
      <c r="Z70" s="15"/>
      <c r="AA70" s="15"/>
      <c r="AB70" s="15"/>
      <c r="AC70" s="15"/>
      <c r="AD70" s="15"/>
      <c r="AE70" s="15"/>
      <c r="AF70" s="15"/>
    </row>
    <row r="71" ht="15.75" customHeight="1">
      <c r="A71" s="32" t="s">
        <v>5</v>
      </c>
      <c r="B71" s="233"/>
      <c r="D71" s="8"/>
      <c r="E71" s="195" t="s">
        <v>172</v>
      </c>
      <c r="F71" s="195" t="s">
        <v>194</v>
      </c>
      <c r="G71" s="34" t="str">
        <f>HYPERLINK("https://docs.google.com/spreadsheets/d/1WeVD7Wbwa2-JiJLPac_YMDFn5dQtG_qCfulA_RZpJCc/edit#gid=1465138253", "https://docs.google.com/spreadsheets/d/1WeVD7Wbwa2-JiJLPac_YMDFn5dQtG_qCfulA_RZpJCc/edit#gid=1465138253")</f>
        <v>https://docs.google.com/spreadsheets/d/1WeVD7Wbwa2-JiJLPac_YMDFn5dQtG_qCfulA_RZpJCc/edit#gid=1465138253</v>
      </c>
      <c r="H71" s="35" t="s">
        <v>194</v>
      </c>
      <c r="L71" s="11"/>
      <c r="M71" s="15"/>
      <c r="N71" s="15"/>
      <c r="O71" s="15"/>
      <c r="P71" s="15"/>
      <c r="Q71" s="15"/>
      <c r="R71" s="15"/>
      <c r="S71" s="15"/>
      <c r="T71" s="15"/>
      <c r="U71" s="15"/>
      <c r="V71" s="15"/>
      <c r="W71" s="15"/>
      <c r="X71" s="15"/>
      <c r="Y71" s="15"/>
      <c r="Z71" s="15"/>
      <c r="AA71" s="15"/>
      <c r="AB71" s="15"/>
      <c r="AC71" s="15"/>
      <c r="AD71" s="15"/>
      <c r="AE71" s="15"/>
      <c r="AF71" s="15"/>
    </row>
    <row r="72" ht="15.75" customHeight="1">
      <c r="A72" s="32" t="s">
        <v>5</v>
      </c>
      <c r="B72" s="233"/>
      <c r="D72" s="8"/>
      <c r="E72" s="195" t="s">
        <v>172</v>
      </c>
      <c r="F72" s="195" t="s">
        <v>195</v>
      </c>
      <c r="G72" s="34" t="str">
        <f>HYPERLINK("https://docs.google.com/spreadsheets/d/1WeVD7Wbwa2-JiJLPac_YMDFn5dQtG_qCfulA_RZpJCc/edit#gid=945292268", "https://docs.google.com/spreadsheets/d/1WeVD7Wbwa2-JiJLPac_YMDFn5dQtG_qCfulA_RZpJCc/edit#gid=945292268")</f>
        <v>https://docs.google.com/spreadsheets/d/1WeVD7Wbwa2-JiJLPac_YMDFn5dQtG_qCfulA_RZpJCc/edit#gid=945292268</v>
      </c>
      <c r="H72" s="35" t="s">
        <v>195</v>
      </c>
      <c r="L72" s="11"/>
      <c r="M72" s="15"/>
      <c r="N72" s="15"/>
      <c r="O72" s="15"/>
      <c r="P72" s="15"/>
      <c r="Q72" s="15"/>
      <c r="R72" s="15"/>
      <c r="S72" s="15"/>
      <c r="T72" s="15"/>
      <c r="U72" s="15"/>
      <c r="V72" s="15"/>
      <c r="W72" s="15"/>
      <c r="X72" s="15"/>
      <c r="Y72" s="15"/>
      <c r="Z72" s="15"/>
      <c r="AA72" s="15"/>
      <c r="AB72" s="15"/>
      <c r="AC72" s="15"/>
      <c r="AD72" s="15"/>
      <c r="AE72" s="15"/>
      <c r="AF72" s="15"/>
    </row>
    <row r="73" ht="15.75" customHeight="1">
      <c r="A73" s="32" t="s">
        <v>5</v>
      </c>
      <c r="B73" s="233"/>
      <c r="D73" s="8"/>
      <c r="E73" s="195" t="s">
        <v>21</v>
      </c>
      <c r="F73" s="195" t="s">
        <v>51</v>
      </c>
      <c r="G73" s="34" t="str">
        <f>HYPERLINK("https://docs.google.com/spreadsheets/d/1WeVD7Wbwa2-JiJLPac_YMDFn5dQtG_qCfulA_RZpJCc/edit#gid=337662357", "https://docs.google.com/spreadsheets/d/1WeVD7Wbwa2-JiJLPac_YMDFn5dQtG_qCfulA_RZpJCc/edit#gid=337662357")</f>
        <v>https://docs.google.com/spreadsheets/d/1WeVD7Wbwa2-JiJLPac_YMDFn5dQtG_qCfulA_RZpJCc/edit#gid=337662357</v>
      </c>
      <c r="H73" s="35" t="s">
        <v>51</v>
      </c>
      <c r="L73" s="11"/>
      <c r="M73" s="15"/>
      <c r="N73" s="15"/>
      <c r="O73" s="15"/>
      <c r="P73" s="15"/>
      <c r="Q73" s="15"/>
      <c r="R73" s="15"/>
      <c r="S73" s="15"/>
      <c r="T73" s="15"/>
      <c r="U73" s="15"/>
      <c r="V73" s="15"/>
      <c r="W73" s="15"/>
      <c r="X73" s="15"/>
      <c r="Y73" s="15"/>
      <c r="Z73" s="15"/>
      <c r="AA73" s="15"/>
      <c r="AB73" s="15"/>
      <c r="AC73" s="15"/>
      <c r="AD73" s="15"/>
      <c r="AE73" s="15"/>
      <c r="AF73" s="15"/>
    </row>
    <row r="74" ht="15.75" customHeight="1">
      <c r="A74" s="32" t="s">
        <v>5</v>
      </c>
      <c r="B74" s="233"/>
      <c r="D74" s="8"/>
      <c r="E74" s="195" t="s">
        <v>408</v>
      </c>
      <c r="F74" s="195" t="s">
        <v>408</v>
      </c>
      <c r="G74" s="34" t="str">
        <f>HYPERLINK("https://docs.google.com/spreadsheets/d/1WeVD7Wbwa2-JiJLPac_YMDFn5dQtG_qCfulA_RZpJCc/edit#gid=1093037855", "https://docs.google.com/spreadsheets/d/1WeVD7Wbwa2-JiJLPac_YMDFn5dQtG_qCfulA_RZpJCc/edit#gid=1093037855")</f>
        <v>https://docs.google.com/spreadsheets/d/1WeVD7Wbwa2-JiJLPac_YMDFn5dQtG_qCfulA_RZpJCc/edit#gid=1093037855</v>
      </c>
      <c r="H74" s="35" t="s">
        <v>408</v>
      </c>
      <c r="L74" s="11"/>
      <c r="M74" s="15"/>
      <c r="N74" s="15"/>
      <c r="O74" s="15"/>
      <c r="P74" s="15"/>
      <c r="Q74" s="15"/>
      <c r="R74" s="15"/>
      <c r="S74" s="15"/>
      <c r="T74" s="15"/>
      <c r="U74" s="15"/>
      <c r="V74" s="15"/>
      <c r="W74" s="15"/>
      <c r="X74" s="15"/>
      <c r="Y74" s="15"/>
      <c r="Z74" s="15"/>
      <c r="AA74" s="15"/>
      <c r="AB74" s="15"/>
      <c r="AC74" s="15"/>
      <c r="AD74" s="15"/>
      <c r="AE74" s="15"/>
      <c r="AF74" s="15"/>
    </row>
    <row r="75" ht="15.75" customHeight="1">
      <c r="A75" s="32" t="s">
        <v>5</v>
      </c>
      <c r="B75" s="233"/>
      <c r="D75" s="8"/>
      <c r="E75" s="195" t="s">
        <v>139</v>
      </c>
      <c r="F75" s="195" t="s">
        <v>1025</v>
      </c>
      <c r="G75" s="34" t="str">
        <f>HYPERLINK("https://docs.google.com/spreadsheets/d/1WeVD7Wbwa2-JiJLPac_YMDFn5dQtG_qCfulA_RZpJCc/edit#gid=1026486800", "https://docs.google.com/spreadsheets/d/1WeVD7Wbwa2-JiJLPac_YMDFn5dQtG_qCfulA_RZpJCc/edit#gid=1026486800")</f>
        <v>https://docs.google.com/spreadsheets/d/1WeVD7Wbwa2-JiJLPac_YMDFn5dQtG_qCfulA_RZpJCc/edit#gid=1026486800</v>
      </c>
      <c r="H75" s="35" t="s">
        <v>1025</v>
      </c>
      <c r="L75" s="11"/>
      <c r="M75" s="15"/>
      <c r="N75" s="15"/>
      <c r="O75" s="15"/>
      <c r="P75" s="15"/>
      <c r="Q75" s="15"/>
      <c r="R75" s="15"/>
      <c r="S75" s="15"/>
      <c r="T75" s="15"/>
      <c r="U75" s="15"/>
      <c r="V75" s="15"/>
      <c r="W75" s="15"/>
      <c r="X75" s="15"/>
      <c r="Y75" s="15"/>
      <c r="Z75" s="15"/>
      <c r="AA75" s="15"/>
      <c r="AB75" s="15"/>
      <c r="AC75" s="15"/>
      <c r="AD75" s="15"/>
      <c r="AE75" s="15"/>
      <c r="AF75" s="15"/>
    </row>
    <row r="76" ht="15.75" customHeight="1">
      <c r="A76" s="32" t="s">
        <v>5</v>
      </c>
      <c r="B76" s="233"/>
      <c r="C76" s="39"/>
      <c r="D76" s="8"/>
      <c r="E76" s="234" t="s">
        <v>139</v>
      </c>
      <c r="F76" s="195" t="s">
        <v>1043</v>
      </c>
      <c r="G76" s="34" t="str">
        <f>HYPERLINK("https://docs.google.com/spreadsheets/d/1WeVD7Wbwa2-JiJLPac_YMDFn5dQtG_qCfulA_RZpJCc/edit#gid=1655111161", "https://docs.google.com/spreadsheets/d/1WeVD7Wbwa2-JiJLPac_YMDFn5dQtG_qCfulA_RZpJCc/edit#gid=1655111161")</f>
        <v>https://docs.google.com/spreadsheets/d/1WeVD7Wbwa2-JiJLPac_YMDFn5dQtG_qCfulA_RZpJCc/edit#gid=1655111161</v>
      </c>
      <c r="H76" s="35" t="s">
        <v>1043</v>
      </c>
      <c r="L76" s="11"/>
      <c r="M76" s="15"/>
      <c r="N76" s="15"/>
      <c r="O76" s="15"/>
      <c r="P76" s="15"/>
      <c r="Q76" s="15"/>
      <c r="R76" s="15"/>
      <c r="S76" s="15"/>
      <c r="T76" s="15"/>
      <c r="U76" s="15"/>
      <c r="V76" s="15"/>
      <c r="W76" s="15"/>
      <c r="X76" s="15"/>
      <c r="Y76" s="15"/>
      <c r="Z76" s="15"/>
      <c r="AA76" s="15"/>
      <c r="AB76" s="15"/>
      <c r="AC76" s="15"/>
      <c r="AD76" s="15"/>
      <c r="AE76" s="15"/>
      <c r="AF76" s="15"/>
    </row>
    <row r="77" ht="15.75" customHeight="1">
      <c r="A77" s="32" t="s">
        <v>5</v>
      </c>
      <c r="B77" s="233"/>
      <c r="C77" s="39"/>
      <c r="D77" s="8"/>
      <c r="E77" s="234" t="s">
        <v>139</v>
      </c>
      <c r="F77" s="195" t="s">
        <v>1030</v>
      </c>
      <c r="G77" s="34" t="str">
        <f>HYPERLINK("https://docs.google.com/spreadsheets/d/1WeVD7Wbwa2-JiJLPac_YMDFn5dQtG_qCfulA_RZpJCc/edit#gid=71639717", "https://docs.google.com/spreadsheets/d/1WeVD7Wbwa2-JiJLPac_YMDFn5dQtG_qCfulA_RZpJCc/edit#gid=71639717")</f>
        <v>https://docs.google.com/spreadsheets/d/1WeVD7Wbwa2-JiJLPac_YMDFn5dQtG_qCfulA_RZpJCc/edit#gid=71639717</v>
      </c>
      <c r="H77" s="8" t="s">
        <v>1030</v>
      </c>
      <c r="I77" s="31"/>
      <c r="J77" s="9"/>
      <c r="K77" s="11"/>
      <c r="L77" s="11"/>
      <c r="M77" s="15"/>
      <c r="N77" s="15"/>
      <c r="O77" s="15"/>
      <c r="P77" s="15"/>
      <c r="Q77" s="15"/>
      <c r="R77" s="15"/>
      <c r="S77" s="15"/>
      <c r="T77" s="15"/>
      <c r="U77" s="15"/>
      <c r="V77" s="15"/>
      <c r="W77" s="15"/>
      <c r="X77" s="15"/>
      <c r="Y77" s="15"/>
      <c r="Z77" s="15"/>
      <c r="AA77" s="15"/>
      <c r="AB77" s="15"/>
      <c r="AC77" s="15"/>
      <c r="AD77" s="15"/>
      <c r="AE77" s="15"/>
      <c r="AF77" s="15"/>
    </row>
    <row r="78" ht="15.75" customHeight="1">
      <c r="A78" s="32" t="s">
        <v>5</v>
      </c>
      <c r="B78" s="233"/>
      <c r="C78" s="39"/>
      <c r="D78" s="8"/>
      <c r="E78" s="234" t="s">
        <v>139</v>
      </c>
      <c r="F78" s="266" t="s">
        <v>1028</v>
      </c>
      <c r="G78" s="34" t="str">
        <f>HYPERLINK("https://docs.google.com/spreadsheets/d/1WeVD7Wbwa2-JiJLPac_YMDFn5dQtG_qCfulA_RZpJCc/edit#gid=1361808996", "https://docs.google.com/spreadsheets/d/1WeVD7Wbwa2-JiJLPac_YMDFn5dQtG_qCfulA_RZpJCc/edit#gid=1361808996")</f>
        <v>https://docs.google.com/spreadsheets/d/1WeVD7Wbwa2-JiJLPac_YMDFn5dQtG_qCfulA_RZpJCc/edit#gid=1361808996</v>
      </c>
      <c r="H78" s="35" t="s">
        <v>1028</v>
      </c>
      <c r="L78" s="11"/>
      <c r="M78" s="15"/>
      <c r="N78" s="15"/>
      <c r="O78" s="15"/>
      <c r="P78" s="15"/>
      <c r="Q78" s="15"/>
      <c r="R78" s="15"/>
      <c r="S78" s="15"/>
      <c r="T78" s="15"/>
      <c r="U78" s="15"/>
      <c r="V78" s="15"/>
      <c r="W78" s="15"/>
      <c r="X78" s="15"/>
      <c r="Y78" s="15"/>
      <c r="Z78" s="15"/>
      <c r="AA78" s="15"/>
      <c r="AB78" s="15"/>
      <c r="AC78" s="15"/>
      <c r="AD78" s="15"/>
      <c r="AE78" s="15"/>
      <c r="AF78" s="15"/>
    </row>
    <row r="79" ht="15.75" customHeight="1">
      <c r="A79" s="32" t="s">
        <v>5</v>
      </c>
      <c r="B79" s="233"/>
      <c r="C79" s="39"/>
      <c r="D79" s="8"/>
      <c r="E79" s="234"/>
      <c r="F79" s="266"/>
      <c r="G79" s="34"/>
      <c r="L79" s="11"/>
      <c r="M79" s="15"/>
      <c r="N79" s="15"/>
      <c r="O79" s="15"/>
      <c r="P79" s="15"/>
      <c r="Q79" s="15"/>
      <c r="R79" s="15"/>
      <c r="S79" s="15"/>
      <c r="T79" s="15"/>
      <c r="U79" s="15"/>
      <c r="V79" s="15"/>
      <c r="W79" s="15"/>
      <c r="X79" s="15"/>
      <c r="Y79" s="15"/>
      <c r="Z79" s="15"/>
      <c r="AA79" s="15"/>
      <c r="AB79" s="15"/>
      <c r="AC79" s="15"/>
      <c r="AD79" s="15"/>
      <c r="AE79" s="15"/>
      <c r="AF79" s="15"/>
    </row>
    <row r="80" ht="15.75" customHeight="1">
      <c r="A80" s="32" t="s">
        <v>5</v>
      </c>
      <c r="B80" s="233" t="s">
        <v>2636</v>
      </c>
      <c r="C80" s="39" t="s">
        <v>2637</v>
      </c>
      <c r="D80" s="8"/>
      <c r="E80" s="234" t="s">
        <v>88</v>
      </c>
      <c r="F80" s="234" t="s">
        <v>89</v>
      </c>
      <c r="G80" s="34"/>
      <c r="H80" s="36"/>
      <c r="L80" s="11"/>
      <c r="M80" s="15"/>
      <c r="N80" s="15"/>
      <c r="O80" s="15"/>
      <c r="P80" s="15"/>
      <c r="Q80" s="15"/>
      <c r="R80" s="15"/>
      <c r="S80" s="15"/>
      <c r="T80" s="15"/>
      <c r="U80" s="15"/>
      <c r="V80" s="15"/>
      <c r="W80" s="15"/>
      <c r="X80" s="15"/>
      <c r="Y80" s="15"/>
      <c r="Z80" s="15"/>
      <c r="AA80" s="15"/>
      <c r="AB80" s="15"/>
      <c r="AC80" s="15"/>
      <c r="AD80" s="15"/>
      <c r="AE80" s="15"/>
      <c r="AF80" s="15"/>
    </row>
    <row r="81" ht="15.75" customHeight="1">
      <c r="A81" s="32" t="s">
        <v>5</v>
      </c>
      <c r="B81" s="233"/>
      <c r="D81" s="8"/>
      <c r="E81" s="195" t="s">
        <v>172</v>
      </c>
      <c r="F81" s="195" t="s">
        <v>194</v>
      </c>
      <c r="G81" s="34" t="str">
        <f>HYPERLINK("https://docs.google.com/spreadsheets/d/1jLK43l_WtdB-3VxdZTCwutnAO8EyJmDh_v4xDNFjU9c/edit#gid=1060274803", "https://docs.google.com/spreadsheets/d/1jLK43l_WtdB-3VxdZTCwutnAO8EyJmDh_v4xDNFjU9c/edit#gid=1060274803")</f>
        <v>https://docs.google.com/spreadsheets/d/1jLK43l_WtdB-3VxdZTCwutnAO8EyJmDh_v4xDNFjU9c/edit#gid=1060274803</v>
      </c>
      <c r="H81" s="35" t="s">
        <v>194</v>
      </c>
      <c r="L81" s="11"/>
      <c r="M81" s="15"/>
      <c r="N81" s="15"/>
      <c r="O81" s="15"/>
      <c r="P81" s="15"/>
      <c r="Q81" s="15"/>
      <c r="R81" s="15"/>
      <c r="S81" s="15"/>
      <c r="T81" s="15"/>
      <c r="U81" s="15"/>
      <c r="V81" s="15"/>
      <c r="W81" s="15"/>
      <c r="X81" s="15"/>
      <c r="Y81" s="15"/>
      <c r="Z81" s="15"/>
      <c r="AA81" s="15"/>
      <c r="AB81" s="15"/>
      <c r="AC81" s="15"/>
      <c r="AD81" s="15"/>
      <c r="AE81" s="15"/>
      <c r="AF81" s="15"/>
    </row>
    <row r="82" ht="15.75" customHeight="1">
      <c r="A82" s="32" t="s">
        <v>5</v>
      </c>
      <c r="B82" s="233"/>
      <c r="D82" s="8"/>
      <c r="E82" s="195" t="s">
        <v>172</v>
      </c>
      <c r="F82" s="195" t="s">
        <v>195</v>
      </c>
      <c r="G82" s="34" t="str">
        <f>HYPERLINK("https://docs.google.com/spreadsheets/d/1jLK43l_WtdB-3VxdZTCwutnAO8EyJmDh_v4xDNFjU9c/edit#gid=225770236", "https://docs.google.com/spreadsheets/d/1jLK43l_WtdB-3VxdZTCwutnAO8EyJmDh_v4xDNFjU9c/edit#gid=225770236")</f>
        <v>https://docs.google.com/spreadsheets/d/1jLK43l_WtdB-3VxdZTCwutnAO8EyJmDh_v4xDNFjU9c/edit#gid=225770236</v>
      </c>
      <c r="H82" s="35" t="s">
        <v>195</v>
      </c>
      <c r="L82" s="11"/>
      <c r="M82" s="15"/>
      <c r="N82" s="15"/>
      <c r="O82" s="15"/>
      <c r="P82" s="15"/>
      <c r="Q82" s="15"/>
      <c r="R82" s="15"/>
      <c r="S82" s="15"/>
      <c r="T82" s="15"/>
      <c r="U82" s="15"/>
      <c r="V82" s="15"/>
      <c r="W82" s="15"/>
      <c r="X82" s="15"/>
      <c r="Y82" s="15"/>
      <c r="Z82" s="15"/>
      <c r="AA82" s="15"/>
      <c r="AB82" s="15"/>
      <c r="AC82" s="15"/>
      <c r="AD82" s="15"/>
      <c r="AE82" s="15"/>
      <c r="AF82" s="15"/>
    </row>
    <row r="83" ht="15.75" customHeight="1">
      <c r="A83" s="32" t="s">
        <v>5</v>
      </c>
      <c r="B83" s="233"/>
      <c r="D83" s="8"/>
      <c r="E83" s="195" t="s">
        <v>21</v>
      </c>
      <c r="F83" s="195" t="s">
        <v>51</v>
      </c>
      <c r="G83" s="34" t="str">
        <f>HYPERLINK("https://docs.google.com/spreadsheets/d/1jLK43l_WtdB-3VxdZTCwutnAO8EyJmDh_v4xDNFjU9c/edit#gid=1240485759", "https://docs.google.com/spreadsheets/d/1jLK43l_WtdB-3VxdZTCwutnAO8EyJmDh_v4xDNFjU9c/edit#gid=1240485759")</f>
        <v>https://docs.google.com/spreadsheets/d/1jLK43l_WtdB-3VxdZTCwutnAO8EyJmDh_v4xDNFjU9c/edit#gid=1240485759</v>
      </c>
      <c r="H83" s="8" t="s">
        <v>51</v>
      </c>
      <c r="I83" s="9"/>
      <c r="J83" s="9"/>
      <c r="K83" s="11"/>
      <c r="L83" s="11"/>
      <c r="M83" s="15"/>
      <c r="N83" s="15"/>
      <c r="O83" s="15"/>
      <c r="P83" s="15"/>
      <c r="Q83" s="15"/>
      <c r="R83" s="15"/>
      <c r="S83" s="15"/>
      <c r="T83" s="15"/>
      <c r="U83" s="15"/>
      <c r="V83" s="15"/>
      <c r="W83" s="15"/>
      <c r="X83" s="15"/>
      <c r="Y83" s="15"/>
      <c r="Z83" s="15"/>
      <c r="AA83" s="15"/>
      <c r="AB83" s="15"/>
      <c r="AC83" s="15"/>
      <c r="AD83" s="15"/>
      <c r="AE83" s="15"/>
      <c r="AF83" s="15"/>
    </row>
    <row r="84" ht="15.75" customHeight="1">
      <c r="A84" s="32" t="s">
        <v>5</v>
      </c>
      <c r="B84" s="233"/>
      <c r="D84" s="8"/>
      <c r="E84" s="195" t="s">
        <v>408</v>
      </c>
      <c r="F84" s="195" t="s">
        <v>408</v>
      </c>
      <c r="G84" s="34" t="str">
        <f>HYPERLINK("https://docs.google.com/spreadsheets/d/1jLK43l_WtdB-3VxdZTCwutnAO8EyJmDh_v4xDNFjU9c/edit#gid=1064037726", "https://docs.google.com/spreadsheets/d/1jLK43l_WtdB-3VxdZTCwutnAO8EyJmDh_v4xDNFjU9c/edit#gid=1064037726")</f>
        <v>https://docs.google.com/spreadsheets/d/1jLK43l_WtdB-3VxdZTCwutnAO8EyJmDh_v4xDNFjU9c/edit#gid=1064037726</v>
      </c>
      <c r="H84" s="35" t="s">
        <v>408</v>
      </c>
      <c r="L84" s="11"/>
      <c r="M84" s="15"/>
      <c r="N84" s="15"/>
      <c r="O84" s="15"/>
      <c r="P84" s="15"/>
      <c r="Q84" s="15"/>
      <c r="R84" s="15"/>
      <c r="S84" s="15"/>
      <c r="T84" s="15"/>
      <c r="U84" s="15"/>
      <c r="V84" s="15"/>
      <c r="W84" s="15"/>
      <c r="X84" s="15"/>
      <c r="Y84" s="15"/>
      <c r="Z84" s="15"/>
      <c r="AA84" s="15"/>
      <c r="AB84" s="15"/>
      <c r="AC84" s="15"/>
      <c r="AD84" s="15"/>
      <c r="AE84" s="15"/>
      <c r="AF84" s="15"/>
    </row>
    <row r="85" ht="15.75" customHeight="1">
      <c r="A85" s="32" t="s">
        <v>5</v>
      </c>
      <c r="B85" s="233"/>
      <c r="D85" s="8"/>
      <c r="E85" s="195" t="s">
        <v>139</v>
      </c>
      <c r="F85" s="195" t="s">
        <v>1025</v>
      </c>
      <c r="G85" s="34" t="str">
        <f>HYPERLINK("https://docs.google.com/spreadsheets/d/1jLK43l_WtdB-3VxdZTCwutnAO8EyJmDh_v4xDNFjU9c/edit#gid=1717479766", "https://docs.google.com/spreadsheets/d/1jLK43l_WtdB-3VxdZTCwutnAO8EyJmDh_v4xDNFjU9c/edit#gid=1717479766")</f>
        <v>https://docs.google.com/spreadsheets/d/1jLK43l_WtdB-3VxdZTCwutnAO8EyJmDh_v4xDNFjU9c/edit#gid=1717479766</v>
      </c>
      <c r="H85" s="35" t="s">
        <v>1025</v>
      </c>
      <c r="L85" s="11"/>
      <c r="M85" s="15"/>
      <c r="N85" s="15"/>
      <c r="O85" s="15"/>
      <c r="P85" s="15"/>
      <c r="Q85" s="15"/>
      <c r="R85" s="15"/>
      <c r="S85" s="15"/>
      <c r="T85" s="15"/>
      <c r="U85" s="15"/>
      <c r="V85" s="15"/>
      <c r="W85" s="15"/>
      <c r="X85" s="15"/>
      <c r="Y85" s="15"/>
      <c r="Z85" s="15"/>
      <c r="AA85" s="15"/>
      <c r="AB85" s="15"/>
      <c r="AC85" s="15"/>
      <c r="AD85" s="15"/>
      <c r="AE85" s="15"/>
      <c r="AF85" s="15"/>
    </row>
    <row r="86" ht="15.75" customHeight="1">
      <c r="A86" s="32" t="s">
        <v>5</v>
      </c>
      <c r="B86" s="233"/>
      <c r="D86" s="8"/>
      <c r="E86" s="195" t="s">
        <v>139</v>
      </c>
      <c r="F86" s="195" t="s">
        <v>1043</v>
      </c>
      <c r="G86" s="34" t="str">
        <f>HYPERLINK("https://docs.google.com/spreadsheets/d/1jLK43l_WtdB-3VxdZTCwutnAO8EyJmDh_v4xDNFjU9c/edit#gid=360701137", "https://docs.google.com/spreadsheets/d/1jLK43l_WtdB-3VxdZTCwutnAO8EyJmDh_v4xDNFjU9c/edit#gid=360701137")</f>
        <v>https://docs.google.com/spreadsheets/d/1jLK43l_WtdB-3VxdZTCwutnAO8EyJmDh_v4xDNFjU9c/edit#gid=360701137</v>
      </c>
      <c r="H86" s="35" t="s">
        <v>1043</v>
      </c>
      <c r="L86" s="11"/>
      <c r="M86" s="15"/>
      <c r="N86" s="15"/>
      <c r="O86" s="15"/>
      <c r="P86" s="15"/>
      <c r="Q86" s="15"/>
      <c r="R86" s="15"/>
      <c r="S86" s="15"/>
      <c r="T86" s="15"/>
      <c r="U86" s="15"/>
      <c r="V86" s="15"/>
      <c r="W86" s="15"/>
      <c r="X86" s="15"/>
      <c r="Y86" s="15"/>
      <c r="Z86" s="15"/>
      <c r="AA86" s="15"/>
      <c r="AB86" s="15"/>
      <c r="AC86" s="15"/>
      <c r="AD86" s="15"/>
      <c r="AE86" s="15"/>
      <c r="AF86" s="15"/>
    </row>
    <row r="87" ht="15.75" customHeight="1">
      <c r="A87" s="176" t="s">
        <v>5</v>
      </c>
      <c r="B87" s="272"/>
      <c r="C87" s="238"/>
      <c r="D87" s="176"/>
      <c r="E87" s="239" t="s">
        <v>139</v>
      </c>
      <c r="F87" s="239" t="s">
        <v>1030</v>
      </c>
      <c r="G87" s="273" t="str">
        <f>HYPERLINK("https://docs.google.com/spreadsheets/d/1jLK43l_WtdB-3VxdZTCwutnAO8EyJmDh_v4xDNFjU9c/edit#gid=258057425", "https://docs.google.com/spreadsheets/d/1jLK43l_WtdB-3VxdZTCwutnAO8EyJmDh_v4xDNFjU9c/edit#gid=258057425")</f>
        <v>https://docs.google.com/spreadsheets/d/1jLK43l_WtdB-3VxdZTCwutnAO8EyJmDh_v4xDNFjU9c/edit#gid=258057425</v>
      </c>
      <c r="H87" s="8" t="s">
        <v>1030</v>
      </c>
      <c r="I87" s="31"/>
      <c r="J87" s="9"/>
      <c r="K87" s="9"/>
      <c r="L87" s="199"/>
      <c r="M87" s="199"/>
      <c r="N87" s="199"/>
      <c r="O87" s="199"/>
      <c r="P87" s="199"/>
      <c r="Q87" s="199"/>
      <c r="R87" s="199"/>
      <c r="S87" s="199"/>
      <c r="T87" s="199"/>
      <c r="U87" s="199"/>
      <c r="V87" s="199"/>
      <c r="W87" s="199"/>
      <c r="X87" s="199"/>
      <c r="Y87" s="199"/>
      <c r="Z87" s="199"/>
      <c r="AA87" s="199"/>
      <c r="AB87" s="199"/>
      <c r="AC87" s="199"/>
      <c r="AD87" s="199"/>
      <c r="AE87" s="199"/>
      <c r="AF87" s="199"/>
    </row>
    <row r="88" ht="15.75" customHeight="1">
      <c r="A88" s="176"/>
      <c r="B88" s="272"/>
      <c r="C88" s="274"/>
      <c r="D88" s="176"/>
      <c r="E88" s="239" t="s">
        <v>139</v>
      </c>
      <c r="F88" s="275" t="s">
        <v>1028</v>
      </c>
      <c r="G88" s="242" t="str">
        <f>HYPERLINK("https://docs.google.com/spreadsheets/d/1jLK43l_WtdB-3VxdZTCwutnAO8EyJmDh_v4xDNFjU9c/edit#gid=2101652429", "https://docs.google.com/spreadsheets/d/1jLK43l_WtdB-3VxdZTCwutnAO8EyJmDh_v4xDNFjU9c/edit#gid=2101652429")</f>
        <v>https://docs.google.com/spreadsheets/d/1jLK43l_WtdB-3VxdZTCwutnAO8EyJmDh_v4xDNFjU9c/edit#gid=2101652429</v>
      </c>
      <c r="H88" s="35" t="s">
        <v>1028</v>
      </c>
      <c r="L88" s="199"/>
      <c r="M88" s="199"/>
      <c r="N88" s="199"/>
      <c r="O88" s="199"/>
      <c r="P88" s="199"/>
      <c r="Q88" s="199"/>
      <c r="R88" s="199"/>
      <c r="S88" s="199"/>
      <c r="T88" s="199"/>
      <c r="U88" s="199"/>
      <c r="V88" s="199"/>
      <c r="W88" s="199"/>
      <c r="X88" s="199"/>
      <c r="Y88" s="199"/>
      <c r="Z88" s="199"/>
      <c r="AA88" s="199"/>
      <c r="AB88" s="199"/>
      <c r="AC88" s="199"/>
      <c r="AD88" s="199"/>
      <c r="AE88" s="199"/>
      <c r="AF88" s="199"/>
    </row>
    <row r="89" ht="15.75" customHeight="1">
      <c r="A89" s="176" t="s">
        <v>5</v>
      </c>
      <c r="B89" s="272" t="s">
        <v>2638</v>
      </c>
      <c r="C89" s="39" t="s">
        <v>2639</v>
      </c>
      <c r="D89" s="176"/>
      <c r="E89" s="239" t="s">
        <v>88</v>
      </c>
      <c r="F89" s="239" t="s">
        <v>89</v>
      </c>
      <c r="G89" s="242"/>
      <c r="L89" s="199"/>
      <c r="M89" s="199"/>
      <c r="N89" s="199"/>
      <c r="O89" s="199"/>
      <c r="P89" s="199"/>
      <c r="Q89" s="199"/>
      <c r="R89" s="199"/>
      <c r="S89" s="199"/>
      <c r="T89" s="199"/>
      <c r="U89" s="199"/>
      <c r="V89" s="199"/>
      <c r="W89" s="199"/>
      <c r="X89" s="199"/>
      <c r="Y89" s="199"/>
      <c r="Z89" s="199"/>
      <c r="AA89" s="199"/>
      <c r="AB89" s="199"/>
      <c r="AC89" s="199"/>
      <c r="AD89" s="199"/>
      <c r="AE89" s="199"/>
      <c r="AF89" s="199"/>
    </row>
    <row r="90" ht="15.75" customHeight="1">
      <c r="A90" s="176" t="s">
        <v>5</v>
      </c>
      <c r="B90" s="272"/>
      <c r="D90" s="176"/>
      <c r="E90" s="239" t="s">
        <v>172</v>
      </c>
      <c r="F90" s="239" t="s">
        <v>194</v>
      </c>
      <c r="G90" s="242" t="str">
        <f>HYPERLINK("https://docs.google.com/spreadsheets/d/1KkAnk7FXEJ-iVs8jgZOICxUO-iJ-nnFCqHdG5KeAmqQ/edit#gid=1852987397", "https://docs.google.com/spreadsheets/d/1KkAnk7FXEJ-iVs8jgZOICxUO-iJ-nnFCqHdG5KeAmqQ/edit#gid=1852987397")</f>
        <v>https://docs.google.com/spreadsheets/d/1KkAnk7FXEJ-iVs8jgZOICxUO-iJ-nnFCqHdG5KeAmqQ/edit#gid=1852987397</v>
      </c>
      <c r="H90" s="35" t="s">
        <v>194</v>
      </c>
      <c r="L90" s="199"/>
      <c r="M90" s="199"/>
      <c r="N90" s="199"/>
      <c r="O90" s="199"/>
      <c r="P90" s="199"/>
      <c r="Q90" s="199"/>
      <c r="R90" s="199"/>
      <c r="S90" s="199"/>
      <c r="T90" s="199"/>
      <c r="U90" s="199"/>
      <c r="V90" s="199"/>
      <c r="W90" s="199"/>
      <c r="X90" s="199"/>
      <c r="Y90" s="199"/>
      <c r="Z90" s="199"/>
      <c r="AA90" s="199"/>
      <c r="AB90" s="199"/>
      <c r="AC90" s="199"/>
      <c r="AD90" s="199"/>
      <c r="AE90" s="199"/>
      <c r="AF90" s="199"/>
    </row>
    <row r="91" ht="15.75" customHeight="1">
      <c r="A91" s="176" t="s">
        <v>5</v>
      </c>
      <c r="B91" s="272"/>
      <c r="D91" s="176"/>
      <c r="E91" s="239" t="s">
        <v>172</v>
      </c>
      <c r="F91" s="239" t="s">
        <v>195</v>
      </c>
      <c r="G91" s="242" t="str">
        <f>HYPERLINK("https://docs.google.com/spreadsheets/d/1KkAnk7FXEJ-iVs8jgZOICxUO-iJ-nnFCqHdG5KeAmqQ/edit#gid=1076391694", "https://docs.google.com/spreadsheets/d/1KkAnk7FXEJ-iVs8jgZOICxUO-iJ-nnFCqHdG5KeAmqQ/edit#gid=1076391694")</f>
        <v>https://docs.google.com/spreadsheets/d/1KkAnk7FXEJ-iVs8jgZOICxUO-iJ-nnFCqHdG5KeAmqQ/edit#gid=1076391694</v>
      </c>
      <c r="H91" s="35" t="s">
        <v>195</v>
      </c>
      <c r="L91" s="199"/>
      <c r="M91" s="199"/>
      <c r="N91" s="199"/>
      <c r="O91" s="199"/>
      <c r="P91" s="199"/>
      <c r="Q91" s="199"/>
      <c r="R91" s="199"/>
      <c r="S91" s="199"/>
      <c r="T91" s="199"/>
      <c r="U91" s="199"/>
      <c r="V91" s="199"/>
      <c r="W91" s="199"/>
      <c r="X91" s="199"/>
      <c r="Y91" s="199"/>
      <c r="Z91" s="199"/>
      <c r="AA91" s="199"/>
      <c r="AB91" s="199"/>
      <c r="AC91" s="199"/>
      <c r="AD91" s="199"/>
      <c r="AE91" s="199"/>
      <c r="AF91" s="199"/>
    </row>
    <row r="92" ht="15.75" customHeight="1">
      <c r="A92" s="176" t="s">
        <v>5</v>
      </c>
      <c r="B92" s="272"/>
      <c r="D92" s="176"/>
      <c r="E92" s="239" t="s">
        <v>21</v>
      </c>
      <c r="F92" s="239" t="s">
        <v>51</v>
      </c>
      <c r="G92" s="242" t="str">
        <f>HYPERLINK("https://docs.google.com/spreadsheets/d/1KkAnk7FXEJ-iVs8jgZOICxUO-iJ-nnFCqHdG5KeAmqQ/edit#gid=1113556758", "https://docs.google.com/spreadsheets/d/1KkAnk7FXEJ-iVs8jgZOICxUO-iJ-nnFCqHdG5KeAmqQ/edit#gid=1113556758")</f>
        <v>https://docs.google.com/spreadsheets/d/1KkAnk7FXEJ-iVs8jgZOICxUO-iJ-nnFCqHdG5KeAmqQ/edit#gid=1113556758</v>
      </c>
      <c r="H92" s="35" t="s">
        <v>51</v>
      </c>
      <c r="L92" s="199"/>
      <c r="M92" s="199"/>
      <c r="N92" s="199"/>
      <c r="O92" s="199"/>
      <c r="P92" s="199"/>
      <c r="Q92" s="199"/>
      <c r="R92" s="199"/>
      <c r="S92" s="199"/>
      <c r="T92" s="199"/>
      <c r="U92" s="199"/>
      <c r="V92" s="199"/>
      <c r="W92" s="199"/>
      <c r="X92" s="199"/>
      <c r="Y92" s="199"/>
      <c r="Z92" s="199"/>
      <c r="AA92" s="199"/>
      <c r="AB92" s="199"/>
      <c r="AC92" s="199"/>
      <c r="AD92" s="199"/>
      <c r="AE92" s="199"/>
      <c r="AF92" s="199"/>
    </row>
    <row r="93" ht="15.75" customHeight="1">
      <c r="A93" s="176" t="s">
        <v>5</v>
      </c>
      <c r="B93" s="272"/>
      <c r="D93" s="176"/>
      <c r="E93" s="239" t="s">
        <v>408</v>
      </c>
      <c r="F93" s="239" t="s">
        <v>408</v>
      </c>
      <c r="G93" s="242" t="str">
        <f>HYPERLINK("https://docs.google.com/spreadsheets/d/1KkAnk7FXEJ-iVs8jgZOICxUO-iJ-nnFCqHdG5KeAmqQ/edit#gid=75998529", "https://docs.google.com/spreadsheets/d/1KkAnk7FXEJ-iVs8jgZOICxUO-iJ-nnFCqHdG5KeAmqQ/edit#gid=75998529")</f>
        <v>https://docs.google.com/spreadsheets/d/1KkAnk7FXEJ-iVs8jgZOICxUO-iJ-nnFCqHdG5KeAmqQ/edit#gid=75998529</v>
      </c>
      <c r="H93" s="35" t="s">
        <v>408</v>
      </c>
      <c r="L93" s="199"/>
      <c r="M93" s="199"/>
      <c r="N93" s="199"/>
      <c r="O93" s="199"/>
      <c r="P93" s="199"/>
      <c r="Q93" s="199"/>
      <c r="R93" s="199"/>
      <c r="S93" s="199"/>
      <c r="T93" s="199"/>
      <c r="U93" s="199"/>
      <c r="V93" s="199"/>
      <c r="W93" s="199"/>
      <c r="X93" s="199"/>
      <c r="Y93" s="199"/>
      <c r="Z93" s="199"/>
      <c r="AA93" s="199"/>
      <c r="AB93" s="199"/>
      <c r="AC93" s="199"/>
      <c r="AD93" s="199"/>
      <c r="AE93" s="199"/>
      <c r="AF93" s="199"/>
    </row>
    <row r="94" ht="15.75" customHeight="1">
      <c r="A94" s="176" t="s">
        <v>5</v>
      </c>
      <c r="B94" s="272"/>
      <c r="D94" s="176"/>
      <c r="E94" s="239" t="s">
        <v>139</v>
      </c>
      <c r="F94" s="239" t="s">
        <v>1025</v>
      </c>
      <c r="G94" s="273" t="str">
        <f>HYPERLINK("https://docs.google.com/spreadsheets/d/1KkAnk7FXEJ-iVs8jgZOICxUO-iJ-nnFCqHdG5KeAmqQ/edit#gid=1255791142", "https://docs.google.com/spreadsheets/d/1KkAnk7FXEJ-iVs8jgZOICxUO-iJ-nnFCqHdG5KeAmqQ/edit#gid=1255791142")</f>
        <v>https://docs.google.com/spreadsheets/d/1KkAnk7FXEJ-iVs8jgZOICxUO-iJ-nnFCqHdG5KeAmqQ/edit#gid=1255791142</v>
      </c>
      <c r="H94" s="35" t="s">
        <v>1025</v>
      </c>
      <c r="I94" s="9"/>
      <c r="J94" s="9"/>
      <c r="K94" s="9"/>
      <c r="L94" s="199"/>
      <c r="M94" s="199"/>
      <c r="N94" s="199"/>
      <c r="O94" s="199"/>
      <c r="P94" s="199"/>
      <c r="Q94" s="199"/>
      <c r="R94" s="199"/>
      <c r="S94" s="199"/>
      <c r="T94" s="199"/>
      <c r="U94" s="199"/>
      <c r="V94" s="199"/>
      <c r="W94" s="199"/>
      <c r="X94" s="199"/>
      <c r="Y94" s="199"/>
      <c r="Z94" s="199"/>
      <c r="AA94" s="199"/>
      <c r="AB94" s="199"/>
      <c r="AC94" s="199"/>
      <c r="AD94" s="199"/>
      <c r="AE94" s="199"/>
      <c r="AF94" s="199"/>
    </row>
    <row r="95" ht="15.75" customHeight="1">
      <c r="A95" s="176" t="s">
        <v>5</v>
      </c>
      <c r="B95" s="272"/>
      <c r="D95" s="176"/>
      <c r="E95" s="239" t="s">
        <v>139</v>
      </c>
      <c r="F95" s="239" t="s">
        <v>1043</v>
      </c>
      <c r="G95" s="242" t="str">
        <f>HYPERLINK("https://docs.google.com/spreadsheets/d/1KkAnk7FXEJ-iVs8jgZOICxUO-iJ-nnFCqHdG5KeAmqQ/edit#gid=1757594828", "https://docs.google.com/spreadsheets/d/1KkAnk7FXEJ-iVs8jgZOICxUO-iJ-nnFCqHdG5KeAmqQ/edit#gid=1757594828")</f>
        <v>https://docs.google.com/spreadsheets/d/1KkAnk7FXEJ-iVs8jgZOICxUO-iJ-nnFCqHdG5KeAmqQ/edit#gid=1757594828</v>
      </c>
      <c r="H95" s="35" t="s">
        <v>1043</v>
      </c>
      <c r="L95" s="199"/>
      <c r="M95" s="199"/>
      <c r="N95" s="199"/>
      <c r="O95" s="199"/>
      <c r="P95" s="199"/>
      <c r="Q95" s="199"/>
      <c r="R95" s="199"/>
      <c r="S95" s="199"/>
      <c r="T95" s="199"/>
      <c r="U95" s="199"/>
      <c r="V95" s="199"/>
      <c r="W95" s="199"/>
      <c r="X95" s="199"/>
      <c r="Y95" s="199"/>
      <c r="Z95" s="199"/>
      <c r="AA95" s="199"/>
      <c r="AB95" s="199"/>
      <c r="AC95" s="199"/>
      <c r="AD95" s="199"/>
      <c r="AE95" s="199"/>
      <c r="AF95" s="199"/>
    </row>
    <row r="96" ht="15.75" customHeight="1">
      <c r="A96" s="176" t="s">
        <v>5</v>
      </c>
      <c r="B96" s="272"/>
      <c r="C96" s="274"/>
      <c r="D96" s="176"/>
      <c r="E96" s="239" t="s">
        <v>139</v>
      </c>
      <c r="F96" s="239" t="s">
        <v>1030</v>
      </c>
      <c r="G96" s="242" t="str">
        <f>HYPERLINK("https://docs.google.com/spreadsheets/d/1KkAnk7FXEJ-iVs8jgZOICxUO-iJ-nnFCqHdG5KeAmqQ/edit#gid=1599372830", "https://docs.google.com/spreadsheets/d/1KkAnk7FXEJ-iVs8jgZOICxUO-iJ-nnFCqHdG5KeAmqQ/edit#gid=1599372830")</f>
        <v>https://docs.google.com/spreadsheets/d/1KkAnk7FXEJ-iVs8jgZOICxUO-iJ-nnFCqHdG5KeAmqQ/edit#gid=1599372830</v>
      </c>
      <c r="H96" s="35" t="s">
        <v>1030</v>
      </c>
      <c r="L96" s="199"/>
      <c r="M96" s="199"/>
      <c r="N96" s="199"/>
      <c r="O96" s="199"/>
      <c r="P96" s="199"/>
      <c r="Q96" s="199"/>
      <c r="R96" s="199"/>
      <c r="S96" s="199"/>
      <c r="T96" s="199"/>
      <c r="U96" s="199"/>
      <c r="V96" s="199"/>
      <c r="W96" s="199"/>
      <c r="X96" s="199"/>
      <c r="Y96" s="199"/>
      <c r="Z96" s="199"/>
      <c r="AA96" s="199"/>
      <c r="AB96" s="199"/>
      <c r="AC96" s="199"/>
      <c r="AD96" s="199"/>
      <c r="AE96" s="199"/>
      <c r="AF96" s="199"/>
    </row>
    <row r="97" ht="15.75" customHeight="1">
      <c r="A97" s="176" t="s">
        <v>5</v>
      </c>
      <c r="B97" s="272"/>
      <c r="C97" s="274"/>
      <c r="D97" s="176"/>
      <c r="E97" s="239" t="s">
        <v>139</v>
      </c>
      <c r="F97" s="239" t="s">
        <v>1028</v>
      </c>
      <c r="G97" s="242" t="str">
        <f>HYPERLINK("https://docs.google.com/spreadsheets/d/1KkAnk7FXEJ-iVs8jgZOICxUO-iJ-nnFCqHdG5KeAmqQ/edit#gid=964198165", "https://docs.google.com/spreadsheets/d/1KkAnk7FXEJ-iVs8jgZOICxUO-iJ-nnFCqHdG5KeAmqQ/edit#gid=964198165")</f>
        <v>https://docs.google.com/spreadsheets/d/1KkAnk7FXEJ-iVs8jgZOICxUO-iJ-nnFCqHdG5KeAmqQ/edit#gid=964198165</v>
      </c>
      <c r="H97" s="35" t="s">
        <v>1028</v>
      </c>
      <c r="L97" s="199"/>
      <c r="M97" s="199"/>
      <c r="N97" s="199"/>
      <c r="O97" s="199"/>
      <c r="P97" s="199"/>
      <c r="Q97" s="199"/>
      <c r="R97" s="199"/>
      <c r="S97" s="199"/>
      <c r="T97" s="199"/>
      <c r="U97" s="199"/>
      <c r="V97" s="199"/>
      <c r="W97" s="199"/>
      <c r="X97" s="199"/>
      <c r="Y97" s="199"/>
      <c r="Z97" s="199"/>
      <c r="AA97" s="199"/>
      <c r="AB97" s="199"/>
      <c r="AC97" s="199"/>
      <c r="AD97" s="199"/>
      <c r="AE97" s="199"/>
      <c r="AF97" s="199"/>
    </row>
    <row r="98" ht="15.75" customHeight="1">
      <c r="A98" s="176" t="s">
        <v>5</v>
      </c>
      <c r="B98" s="272"/>
      <c r="C98" s="274"/>
      <c r="D98" s="176"/>
      <c r="E98" s="239"/>
      <c r="F98" s="239"/>
      <c r="G98" s="242"/>
      <c r="L98" s="199"/>
      <c r="M98" s="199"/>
      <c r="N98" s="199"/>
      <c r="O98" s="199"/>
      <c r="P98" s="199"/>
      <c r="Q98" s="199"/>
      <c r="R98" s="199"/>
      <c r="S98" s="199"/>
      <c r="T98" s="199"/>
      <c r="U98" s="199"/>
      <c r="V98" s="199"/>
      <c r="W98" s="199"/>
      <c r="X98" s="199"/>
      <c r="Y98" s="199"/>
      <c r="Z98" s="199"/>
      <c r="AA98" s="199"/>
      <c r="AB98" s="199"/>
      <c r="AC98" s="199"/>
      <c r="AD98" s="199"/>
      <c r="AE98" s="199"/>
      <c r="AF98" s="199"/>
    </row>
    <row r="99" ht="15.75" customHeight="1">
      <c r="A99" s="176" t="s">
        <v>5</v>
      </c>
      <c r="B99" s="272" t="s">
        <v>2640</v>
      </c>
      <c r="C99" s="276" t="s">
        <v>2641</v>
      </c>
      <c r="D99" s="176"/>
      <c r="E99" s="239" t="s">
        <v>88</v>
      </c>
      <c r="F99" s="239" t="s">
        <v>89</v>
      </c>
      <c r="G99" s="242"/>
      <c r="L99" s="199"/>
      <c r="M99" s="199"/>
      <c r="N99" s="199"/>
      <c r="O99" s="199"/>
      <c r="P99" s="199"/>
      <c r="Q99" s="199"/>
      <c r="R99" s="199"/>
      <c r="S99" s="199"/>
      <c r="T99" s="199"/>
      <c r="U99" s="199"/>
      <c r="V99" s="199"/>
      <c r="W99" s="199"/>
      <c r="X99" s="199"/>
      <c r="Y99" s="199"/>
      <c r="Z99" s="199"/>
      <c r="AA99" s="199"/>
      <c r="AB99" s="199"/>
      <c r="AC99" s="199"/>
      <c r="AD99" s="199"/>
      <c r="AE99" s="199"/>
      <c r="AF99" s="199"/>
    </row>
    <row r="100" ht="15.75" customHeight="1">
      <c r="A100" s="176" t="s">
        <v>5</v>
      </c>
      <c r="B100" s="272"/>
      <c r="D100" s="176"/>
      <c r="E100" s="239" t="s">
        <v>172</v>
      </c>
      <c r="F100" s="239" t="s">
        <v>194</v>
      </c>
      <c r="G100" s="242" t="str">
        <f>HYPERLINK("https://docs.google.com/spreadsheets/d/1STYDxn07AHClxoFL54bcINsAmnQZkrv6wme89aLzV_c/edit#gid=877021536", "https://docs.google.com/spreadsheets/d/1STYDxn07AHClxoFL54bcINsAmnQZkrv6wme89aLzV_c/edit#gid=877021536")</f>
        <v>https://docs.google.com/spreadsheets/d/1STYDxn07AHClxoFL54bcINsAmnQZkrv6wme89aLzV_c/edit#gid=877021536</v>
      </c>
      <c r="H100" s="35" t="s">
        <v>194</v>
      </c>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row>
    <row r="101" ht="15.75" customHeight="1">
      <c r="A101" s="176" t="s">
        <v>5</v>
      </c>
      <c r="B101" s="272"/>
      <c r="D101" s="176"/>
      <c r="E101" s="239" t="s">
        <v>172</v>
      </c>
      <c r="F101" s="239" t="s">
        <v>195</v>
      </c>
      <c r="G101" s="242" t="str">
        <f>HYPERLINK("https://docs.google.com/spreadsheets/d/1STYDxn07AHClxoFL54bcINsAmnQZkrv6wme89aLzV_c/edit#gid=580750465", "https://docs.google.com/spreadsheets/d/1STYDxn07AHClxoFL54bcINsAmnQZkrv6wme89aLzV_c/edit#gid=580750465")</f>
        <v>https://docs.google.com/spreadsheets/d/1STYDxn07AHClxoFL54bcINsAmnQZkrv6wme89aLzV_c/edit#gid=580750465</v>
      </c>
      <c r="H101" s="35" t="s">
        <v>195</v>
      </c>
      <c r="L101" s="199"/>
      <c r="M101" s="199"/>
      <c r="N101" s="199"/>
      <c r="O101" s="199"/>
      <c r="P101" s="199"/>
      <c r="Q101" s="199"/>
      <c r="R101" s="199"/>
      <c r="S101" s="199"/>
      <c r="T101" s="199"/>
      <c r="U101" s="199"/>
      <c r="V101" s="199"/>
      <c r="W101" s="199"/>
      <c r="X101" s="199"/>
      <c r="Y101" s="199"/>
      <c r="Z101" s="199"/>
      <c r="AA101" s="199"/>
      <c r="AB101" s="199"/>
      <c r="AC101" s="199"/>
      <c r="AD101" s="199"/>
      <c r="AE101" s="199"/>
      <c r="AF101" s="199"/>
    </row>
    <row r="102" ht="15.75" customHeight="1">
      <c r="A102" s="176" t="s">
        <v>5</v>
      </c>
      <c r="B102" s="272"/>
      <c r="D102" s="176"/>
      <c r="E102" s="239" t="s">
        <v>21</v>
      </c>
      <c r="F102" s="239" t="s">
        <v>51</v>
      </c>
      <c r="G102" s="273" t="str">
        <f>HYPERLINK("https://docs.google.com/spreadsheets/d/1STYDxn07AHClxoFL54bcINsAmnQZkrv6wme89aLzV_c/edit#gid=491700815", "https://docs.google.com/spreadsheets/d/1STYDxn07AHClxoFL54bcINsAmnQZkrv6wme89aLzV_c/edit#gid=491700815")</f>
        <v>https://docs.google.com/spreadsheets/d/1STYDxn07AHClxoFL54bcINsAmnQZkrv6wme89aLzV_c/edit#gid=491700815</v>
      </c>
      <c r="H102" s="8" t="s">
        <v>51</v>
      </c>
      <c r="I102" s="9"/>
      <c r="J102" s="9"/>
      <c r="K102" s="9"/>
      <c r="L102" s="199"/>
      <c r="M102" s="199"/>
      <c r="N102" s="199"/>
      <c r="O102" s="199"/>
      <c r="P102" s="199"/>
      <c r="Q102" s="199"/>
      <c r="R102" s="199"/>
      <c r="S102" s="199"/>
      <c r="T102" s="199"/>
      <c r="U102" s="199"/>
      <c r="V102" s="199"/>
      <c r="W102" s="199"/>
      <c r="X102" s="199"/>
      <c r="Y102" s="199"/>
      <c r="Z102" s="199"/>
      <c r="AA102" s="199"/>
      <c r="AB102" s="199"/>
      <c r="AC102" s="199"/>
      <c r="AD102" s="199"/>
      <c r="AE102" s="199"/>
      <c r="AF102" s="199"/>
    </row>
    <row r="103" ht="15.75" customHeight="1">
      <c r="A103" s="176" t="s">
        <v>5</v>
      </c>
      <c r="B103" s="272"/>
      <c r="D103" s="176"/>
      <c r="E103" s="239" t="s">
        <v>408</v>
      </c>
      <c r="F103" s="239" t="s">
        <v>408</v>
      </c>
      <c r="G103" s="242" t="str">
        <f>HYPERLINK("https://docs.google.com/spreadsheets/d/1STYDxn07AHClxoFL54bcINsAmnQZkrv6wme89aLzV_c/edit#gid=1708150020", "https://docs.google.com/spreadsheets/d/1STYDxn07AHClxoFL54bcINsAmnQZkrv6wme89aLzV_c/edit#gid=1708150020")</f>
        <v>https://docs.google.com/spreadsheets/d/1STYDxn07AHClxoFL54bcINsAmnQZkrv6wme89aLzV_c/edit#gid=1708150020</v>
      </c>
      <c r="H103" s="35" t="s">
        <v>408</v>
      </c>
      <c r="L103" s="199"/>
      <c r="M103" s="199"/>
      <c r="N103" s="199"/>
      <c r="O103" s="199"/>
      <c r="P103" s="199"/>
      <c r="Q103" s="199"/>
      <c r="R103" s="199"/>
      <c r="S103" s="199"/>
      <c r="T103" s="199"/>
      <c r="U103" s="199"/>
      <c r="V103" s="199"/>
      <c r="W103" s="199"/>
      <c r="X103" s="199"/>
      <c r="Y103" s="199"/>
      <c r="Z103" s="199"/>
      <c r="AA103" s="199"/>
      <c r="AB103" s="199"/>
      <c r="AC103" s="199"/>
      <c r="AD103" s="199"/>
      <c r="AE103" s="199"/>
      <c r="AF103" s="199"/>
    </row>
    <row r="104" ht="15.75" customHeight="1">
      <c r="A104" s="176" t="s">
        <v>5</v>
      </c>
      <c r="B104" s="272"/>
      <c r="D104" s="176"/>
      <c r="E104" s="239" t="s">
        <v>139</v>
      </c>
      <c r="F104" s="239" t="s">
        <v>1025</v>
      </c>
      <c r="G104" s="273" t="str">
        <f>HYPERLINK("https://docs.google.com/spreadsheets/d/1STYDxn07AHClxoFL54bcINsAmnQZkrv6wme89aLzV_c/edit#gid=1906862119", "https://docs.google.com/spreadsheets/d/1STYDxn07AHClxoFL54bcINsAmnQZkrv6wme89aLzV_c/edit#gid=1906862119")</f>
        <v>https://docs.google.com/spreadsheets/d/1STYDxn07AHClxoFL54bcINsAmnQZkrv6wme89aLzV_c/edit#gid=1906862119</v>
      </c>
      <c r="H104" s="8" t="s">
        <v>1025</v>
      </c>
      <c r="I104" s="9"/>
      <c r="J104" s="9"/>
      <c r="K104" s="9"/>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row>
    <row r="105" ht="15.75" customHeight="1">
      <c r="A105" s="15"/>
      <c r="B105" s="244"/>
      <c r="D105" s="50"/>
      <c r="E105" s="234" t="s">
        <v>139</v>
      </c>
      <c r="F105" s="266" t="s">
        <v>1043</v>
      </c>
      <c r="G105" s="42" t="str">
        <f>HYPERLINK("https://docs.google.com/spreadsheets/d/1STYDxn07AHClxoFL54bcINsAmnQZkrv6wme89aLzV_c/edit#gid=1014455055", "https://docs.google.com/spreadsheets/d/1STYDxn07AHClxoFL54bcINsAmnQZkrv6wme89aLzV_c/edit#gid=1014455055")</f>
        <v>https://docs.google.com/spreadsheets/d/1STYDxn07AHClxoFL54bcINsAmnQZkrv6wme89aLzV_c/edit#gid=1014455055</v>
      </c>
      <c r="H105" s="38" t="s">
        <v>1043</v>
      </c>
      <c r="I105" s="9"/>
      <c r="J105" s="9"/>
      <c r="K105" s="11"/>
      <c r="L105" s="11"/>
      <c r="M105" s="15"/>
      <c r="N105" s="15"/>
      <c r="O105" s="15"/>
      <c r="P105" s="15"/>
      <c r="Q105" s="15"/>
      <c r="R105" s="15"/>
      <c r="S105" s="15"/>
      <c r="T105" s="15"/>
      <c r="U105" s="15"/>
      <c r="V105" s="15"/>
      <c r="W105" s="15"/>
      <c r="X105" s="15"/>
      <c r="Y105" s="15"/>
      <c r="Z105" s="15"/>
      <c r="AA105" s="15"/>
      <c r="AB105" s="15"/>
      <c r="AC105" s="15"/>
      <c r="AD105" s="15"/>
      <c r="AE105" s="15"/>
      <c r="AF105" s="15"/>
    </row>
    <row r="106" ht="15.75" customHeight="1">
      <c r="A106" s="15"/>
      <c r="B106" s="244"/>
      <c r="D106" s="50"/>
      <c r="E106" s="234" t="s">
        <v>139</v>
      </c>
      <c r="F106" s="234" t="s">
        <v>1030</v>
      </c>
      <c r="G106" s="42" t="str">
        <f>HYPERLINK("https://docs.google.com/spreadsheets/d/1STYDxn07AHClxoFL54bcINsAmnQZkrv6wme89aLzV_c/edit#gid=235631261", "https://docs.google.com/spreadsheets/d/1STYDxn07AHClxoFL54bcINsAmnQZkrv6wme89aLzV_c/edit#gid=235631261")</f>
        <v>https://docs.google.com/spreadsheets/d/1STYDxn07AHClxoFL54bcINsAmnQZkrv6wme89aLzV_c/edit#gid=235631261</v>
      </c>
      <c r="H106" s="38" t="s">
        <v>1030</v>
      </c>
      <c r="I106" s="9"/>
      <c r="J106" s="9"/>
      <c r="K106" s="11"/>
      <c r="L106" s="11"/>
      <c r="M106" s="15"/>
      <c r="N106" s="15"/>
      <c r="O106" s="15"/>
      <c r="P106" s="15"/>
      <c r="Q106" s="15"/>
      <c r="R106" s="15"/>
      <c r="S106" s="15"/>
      <c r="T106" s="15"/>
      <c r="U106" s="15"/>
      <c r="V106" s="15"/>
      <c r="W106" s="15"/>
      <c r="X106" s="15"/>
      <c r="Y106" s="15"/>
      <c r="Z106" s="15"/>
      <c r="AA106" s="15"/>
      <c r="AB106" s="15"/>
      <c r="AC106" s="15"/>
      <c r="AD106" s="15"/>
      <c r="AE106" s="15"/>
      <c r="AF106" s="15"/>
    </row>
    <row r="107" ht="15.75" customHeight="1">
      <c r="A107" s="15"/>
      <c r="B107" s="244"/>
      <c r="D107" s="50"/>
      <c r="E107" s="195" t="s">
        <v>139</v>
      </c>
      <c r="F107" s="195" t="s">
        <v>1028</v>
      </c>
      <c r="G107" s="42" t="str">
        <f>HYPERLINK("https://docs.google.com/spreadsheets/d/1STYDxn07AHClxoFL54bcINsAmnQZkrv6wme89aLzV_c/edit#gid=518267068", "https://docs.google.com/spreadsheets/d/1STYDxn07AHClxoFL54bcINsAmnQZkrv6wme89aLzV_c/edit#gid=518267068")</f>
        <v>https://docs.google.com/spreadsheets/d/1STYDxn07AHClxoFL54bcINsAmnQZkrv6wme89aLzV_c/edit#gid=518267068</v>
      </c>
      <c r="H107" s="8" t="s">
        <v>1028</v>
      </c>
      <c r="I107" s="9"/>
      <c r="J107" s="9"/>
      <c r="K107" s="11"/>
      <c r="L107" s="11"/>
      <c r="M107" s="15"/>
      <c r="N107" s="15"/>
      <c r="O107" s="15"/>
      <c r="P107" s="15"/>
      <c r="Q107" s="15"/>
      <c r="R107" s="15"/>
      <c r="S107" s="15"/>
      <c r="T107" s="15"/>
      <c r="U107" s="15"/>
      <c r="V107" s="15"/>
      <c r="W107" s="15"/>
      <c r="X107" s="15"/>
      <c r="Y107" s="15"/>
      <c r="Z107" s="15"/>
      <c r="AA107" s="15"/>
      <c r="AB107" s="15"/>
      <c r="AC107" s="15"/>
      <c r="AD107" s="15"/>
      <c r="AE107" s="15"/>
      <c r="AF107" s="15"/>
    </row>
    <row r="108" ht="15.75" customHeight="1">
      <c r="A108" s="15"/>
      <c r="B108" s="244"/>
      <c r="D108" s="50"/>
      <c r="E108" s="277"/>
      <c r="F108" s="277"/>
      <c r="G108" s="42"/>
      <c r="H108" s="9"/>
      <c r="I108" s="9"/>
      <c r="J108" s="9"/>
      <c r="K108" s="11"/>
      <c r="L108" s="11"/>
      <c r="M108" s="15"/>
      <c r="N108" s="15"/>
      <c r="O108" s="15"/>
      <c r="P108" s="15"/>
      <c r="Q108" s="15"/>
      <c r="R108" s="15"/>
      <c r="S108" s="15"/>
      <c r="T108" s="15"/>
      <c r="U108" s="15"/>
      <c r="V108" s="15"/>
      <c r="W108" s="15"/>
      <c r="X108" s="15"/>
      <c r="Y108" s="15"/>
      <c r="Z108" s="15"/>
      <c r="AA108" s="15"/>
      <c r="AB108" s="15"/>
      <c r="AC108" s="15"/>
      <c r="AD108" s="15"/>
      <c r="AE108" s="15"/>
      <c r="AF108" s="15"/>
    </row>
    <row r="109" ht="15.75" customHeight="1">
      <c r="A109" s="15"/>
      <c r="B109" s="244"/>
      <c r="C109" s="49"/>
      <c r="D109" s="50"/>
      <c r="E109" s="277"/>
      <c r="F109" s="277"/>
      <c r="G109" s="42"/>
      <c r="H109" s="9"/>
      <c r="I109" s="9"/>
      <c r="J109" s="9"/>
      <c r="K109" s="11"/>
      <c r="L109" s="11"/>
      <c r="M109" s="15"/>
      <c r="N109" s="15"/>
      <c r="O109" s="15"/>
      <c r="P109" s="15"/>
      <c r="Q109" s="15"/>
      <c r="R109" s="15"/>
      <c r="S109" s="15"/>
      <c r="T109" s="15"/>
      <c r="U109" s="15"/>
      <c r="V109" s="15"/>
      <c r="W109" s="15"/>
      <c r="X109" s="15"/>
      <c r="Y109" s="15"/>
      <c r="Z109" s="15"/>
      <c r="AA109" s="15"/>
      <c r="AB109" s="15"/>
      <c r="AC109" s="15"/>
      <c r="AD109" s="15"/>
      <c r="AE109" s="15"/>
      <c r="AF109" s="15"/>
    </row>
    <row r="110" ht="15.75" customHeight="1">
      <c r="A110" s="15"/>
      <c r="B110" s="233" t="s">
        <v>2642</v>
      </c>
      <c r="C110" s="278" t="s">
        <v>2643</v>
      </c>
      <c r="D110" s="50"/>
      <c r="E110" s="195" t="s">
        <v>88</v>
      </c>
      <c r="F110" s="195" t="s">
        <v>89</v>
      </c>
      <c r="G110" s="42"/>
      <c r="H110" s="36"/>
      <c r="L110" s="11"/>
      <c r="M110" s="15"/>
      <c r="N110" s="15"/>
      <c r="O110" s="15"/>
      <c r="P110" s="15"/>
      <c r="Q110" s="15"/>
      <c r="R110" s="15"/>
      <c r="S110" s="15"/>
      <c r="T110" s="15"/>
      <c r="U110" s="15"/>
      <c r="V110" s="15"/>
      <c r="W110" s="15"/>
      <c r="X110" s="15"/>
      <c r="Y110" s="15"/>
      <c r="Z110" s="15"/>
      <c r="AA110" s="15"/>
      <c r="AB110" s="15"/>
      <c r="AC110" s="15"/>
      <c r="AD110" s="15"/>
      <c r="AE110" s="15"/>
      <c r="AF110" s="15"/>
    </row>
    <row r="111" ht="15.75" customHeight="1">
      <c r="A111" s="15"/>
      <c r="B111" s="244"/>
      <c r="D111" s="50"/>
      <c r="E111" s="195" t="s">
        <v>172</v>
      </c>
      <c r="F111" s="195" t="s">
        <v>194</v>
      </c>
      <c r="G111" s="42" t="str">
        <f>HYPERLINK("https://docs.google.com/spreadsheets/d/1l7r4ztYau80BzrLoVs17MRGtrX3miGcFDG9kRY3ju0o/edit#gid=1931368525", "https://docs.google.com/spreadsheets/d/1l7r4ztYau80BzrLoVs17MRGtrX3miGcFDG9kRY3ju0o/edit#gid=1931368525")</f>
        <v>https://docs.google.com/spreadsheets/d/1l7r4ztYau80BzrLoVs17MRGtrX3miGcFDG9kRY3ju0o/edit#gid=1931368525</v>
      </c>
      <c r="H111" s="8" t="s">
        <v>194</v>
      </c>
      <c r="I111" s="9"/>
      <c r="J111" s="9"/>
      <c r="K111" s="11"/>
      <c r="L111" s="11"/>
      <c r="M111" s="15"/>
      <c r="N111" s="15"/>
      <c r="O111" s="15"/>
      <c r="P111" s="15"/>
      <c r="Q111" s="15"/>
      <c r="R111" s="15"/>
      <c r="S111" s="15"/>
      <c r="T111" s="15"/>
      <c r="U111" s="15"/>
      <c r="V111" s="15"/>
      <c r="W111" s="15"/>
      <c r="X111" s="15"/>
      <c r="Y111" s="15"/>
      <c r="Z111" s="15"/>
      <c r="AA111" s="15"/>
      <c r="AB111" s="15"/>
      <c r="AC111" s="15"/>
      <c r="AD111" s="15"/>
      <c r="AE111" s="15"/>
      <c r="AF111" s="15"/>
    </row>
    <row r="112" ht="15.75" customHeight="1">
      <c r="A112" s="15"/>
      <c r="B112" s="244"/>
      <c r="D112" s="50"/>
      <c r="E112" s="234" t="s">
        <v>172</v>
      </c>
      <c r="F112" s="195" t="s">
        <v>195</v>
      </c>
      <c r="G112" s="42" t="str">
        <f>HYPERLINK("https://docs.google.com/spreadsheets/d/1l7r4ztYau80BzrLoVs17MRGtrX3miGcFDG9kRY3ju0o/edit#gid=1231401052", "https://docs.google.com/spreadsheets/d/1l7r4ztYau80BzrLoVs17MRGtrX3miGcFDG9kRY3ju0o/edit#gid=1231401052")</f>
        <v>https://docs.google.com/spreadsheets/d/1l7r4ztYau80BzrLoVs17MRGtrX3miGcFDG9kRY3ju0o/edit#gid=1231401052</v>
      </c>
      <c r="H112" s="8" t="s">
        <v>195</v>
      </c>
      <c r="I112" s="9"/>
      <c r="J112" s="9"/>
      <c r="K112" s="11"/>
      <c r="L112" s="11"/>
      <c r="M112" s="15"/>
      <c r="N112" s="15"/>
      <c r="O112" s="15"/>
      <c r="P112" s="15"/>
      <c r="Q112" s="15"/>
      <c r="R112" s="15"/>
      <c r="S112" s="15"/>
      <c r="T112" s="15"/>
      <c r="U112" s="15"/>
      <c r="V112" s="15"/>
      <c r="W112" s="15"/>
      <c r="X112" s="15"/>
      <c r="Y112" s="15"/>
      <c r="Z112" s="15"/>
      <c r="AA112" s="15"/>
      <c r="AB112" s="15"/>
      <c r="AC112" s="15"/>
      <c r="AD112" s="15"/>
      <c r="AE112" s="15"/>
      <c r="AF112" s="15"/>
    </row>
    <row r="113" ht="15.75" customHeight="1">
      <c r="A113" s="15"/>
      <c r="B113" s="244"/>
      <c r="D113" s="50"/>
      <c r="E113" s="234" t="s">
        <v>21</v>
      </c>
      <c r="F113" s="266" t="s">
        <v>51</v>
      </c>
      <c r="G113" s="42" t="str">
        <f>HYPERLINK("https://docs.google.com/spreadsheets/d/1l7r4ztYau80BzrLoVs17MRGtrX3miGcFDG9kRY3ju0o/edit#gid=1224488055", "https://docs.google.com/spreadsheets/d/1l7r4ztYau80BzrLoVs17MRGtrX3miGcFDG9kRY3ju0o/edit#gid=1224488055")</f>
        <v>https://docs.google.com/spreadsheets/d/1l7r4ztYau80BzrLoVs17MRGtrX3miGcFDG9kRY3ju0o/edit#gid=1224488055</v>
      </c>
      <c r="H113" s="38" t="s">
        <v>51</v>
      </c>
      <c r="I113" s="9"/>
      <c r="J113" s="9"/>
      <c r="K113" s="11"/>
      <c r="L113" s="11"/>
      <c r="M113" s="15"/>
      <c r="N113" s="15"/>
      <c r="O113" s="15"/>
      <c r="P113" s="15"/>
      <c r="Q113" s="15"/>
      <c r="R113" s="15"/>
      <c r="S113" s="15"/>
      <c r="T113" s="15"/>
      <c r="U113" s="15"/>
      <c r="V113" s="15"/>
      <c r="W113" s="15"/>
      <c r="X113" s="15"/>
      <c r="Y113" s="15"/>
      <c r="Z113" s="15"/>
      <c r="AA113" s="15"/>
      <c r="AB113" s="15"/>
      <c r="AC113" s="15"/>
      <c r="AD113" s="15"/>
      <c r="AE113" s="15"/>
      <c r="AF113" s="15"/>
    </row>
    <row r="114" ht="15.75" customHeight="1">
      <c r="A114" s="15"/>
      <c r="B114" s="244"/>
      <c r="D114" s="50"/>
      <c r="E114" s="234" t="s">
        <v>408</v>
      </c>
      <c r="F114" s="234" t="s">
        <v>408</v>
      </c>
      <c r="G114" s="42" t="str">
        <f>HYPERLINK("https://docs.google.com/spreadsheets/d/1l7r4ztYau80BzrLoVs17MRGtrX3miGcFDG9kRY3ju0o/edit#gid=916778846", "https://docs.google.com/spreadsheets/d/1l7r4ztYau80BzrLoVs17MRGtrX3miGcFDG9kRY3ju0o/edit#gid=916778846")</f>
        <v>https://docs.google.com/spreadsheets/d/1l7r4ztYau80BzrLoVs17MRGtrX3miGcFDG9kRY3ju0o/edit#gid=916778846</v>
      </c>
      <c r="H114" s="38" t="s">
        <v>408</v>
      </c>
      <c r="I114" s="9"/>
      <c r="J114" s="9"/>
      <c r="K114" s="11"/>
      <c r="L114" s="11"/>
      <c r="M114" s="15"/>
      <c r="N114" s="15"/>
      <c r="O114" s="15"/>
      <c r="P114" s="15"/>
      <c r="Q114" s="15"/>
      <c r="R114" s="15"/>
      <c r="S114" s="15"/>
      <c r="T114" s="15"/>
      <c r="U114" s="15"/>
      <c r="V114" s="15"/>
      <c r="W114" s="15"/>
      <c r="X114" s="15"/>
      <c r="Y114" s="15"/>
      <c r="Z114" s="15"/>
      <c r="AA114" s="15"/>
      <c r="AB114" s="15"/>
      <c r="AC114" s="15"/>
      <c r="AD114" s="15"/>
      <c r="AE114" s="15"/>
      <c r="AF114" s="15"/>
    </row>
    <row r="115" ht="15.75" customHeight="1">
      <c r="A115" s="15"/>
      <c r="B115" s="244"/>
      <c r="D115" s="50"/>
      <c r="E115" s="195" t="s">
        <v>139</v>
      </c>
      <c r="F115" s="195" t="s">
        <v>1025</v>
      </c>
      <c r="G115" s="42" t="str">
        <f>HYPERLINK("https://docs.google.com/spreadsheets/d/1l7r4ztYau80BzrLoVs17MRGtrX3miGcFDG9kRY3ju0o/edit#gid=604222192", "https://docs.google.com/spreadsheets/d/1l7r4ztYau80BzrLoVs17MRGtrX3miGcFDG9kRY3ju0o/edit#gid=604222192")</f>
        <v>https://docs.google.com/spreadsheets/d/1l7r4ztYau80BzrLoVs17MRGtrX3miGcFDG9kRY3ju0o/edit#gid=604222192</v>
      </c>
      <c r="H115" s="35" t="s">
        <v>1025</v>
      </c>
      <c r="L115" s="11"/>
      <c r="M115" s="15"/>
      <c r="N115" s="15"/>
      <c r="O115" s="15"/>
      <c r="P115" s="15"/>
      <c r="Q115" s="15"/>
      <c r="R115" s="15"/>
      <c r="S115" s="15"/>
      <c r="T115" s="15"/>
      <c r="U115" s="15"/>
      <c r="V115" s="15"/>
      <c r="W115" s="15"/>
      <c r="X115" s="15"/>
      <c r="Y115" s="15"/>
      <c r="Z115" s="15"/>
      <c r="AA115" s="15"/>
      <c r="AB115" s="15"/>
      <c r="AC115" s="15"/>
      <c r="AD115" s="15"/>
      <c r="AE115" s="15"/>
      <c r="AF115" s="15"/>
    </row>
    <row r="116" ht="15.75" customHeight="1">
      <c r="A116" s="15"/>
      <c r="B116" s="244"/>
      <c r="D116" s="50"/>
      <c r="E116" s="195" t="s">
        <v>139</v>
      </c>
      <c r="F116" s="195" t="s">
        <v>1043</v>
      </c>
      <c r="G116" s="42" t="str">
        <f>HYPERLINK("https://docs.google.com/spreadsheets/d/1l7r4ztYau80BzrLoVs17MRGtrX3miGcFDG9kRY3ju0o/edit#gid=496960365", "https://docs.google.com/spreadsheets/d/1l7r4ztYau80BzrLoVs17MRGtrX3miGcFDG9kRY3ju0o/edit#gid=496960365")</f>
        <v>https://docs.google.com/spreadsheets/d/1l7r4ztYau80BzrLoVs17MRGtrX3miGcFDG9kRY3ju0o/edit#gid=496960365</v>
      </c>
      <c r="H116" s="8" t="s">
        <v>1043</v>
      </c>
      <c r="I116" s="9"/>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244"/>
      <c r="D117" s="50"/>
      <c r="E117" s="195" t="s">
        <v>139</v>
      </c>
      <c r="F117" s="195" t="s">
        <v>1030</v>
      </c>
      <c r="G117" s="42" t="str">
        <f>HYPERLINK("https://docs.google.com/spreadsheets/d/1l7r4ztYau80BzrLoVs17MRGtrX3miGcFDG9kRY3ju0o/edit#gid=841636681", "https://docs.google.com/spreadsheets/d/1l7r4ztYau80BzrLoVs17MRGtrX3miGcFDG9kRY3ju0o/edit#gid=841636681")</f>
        <v>https://docs.google.com/spreadsheets/d/1l7r4ztYau80BzrLoVs17MRGtrX3miGcFDG9kRY3ju0o/edit#gid=841636681</v>
      </c>
      <c r="H117" s="8" t="s">
        <v>1030</v>
      </c>
      <c r="I117" s="9"/>
      <c r="J117" s="9"/>
      <c r="K117" s="11"/>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244"/>
      <c r="D118" s="50"/>
      <c r="E118" s="195" t="s">
        <v>139</v>
      </c>
      <c r="F118" s="195" t="s">
        <v>1028</v>
      </c>
      <c r="G118" s="42" t="str">
        <f>HYPERLINK("https://docs.google.com/spreadsheets/d/1l7r4ztYau80BzrLoVs17MRGtrX3miGcFDG9kRY3ju0o/edit#gid=1726943182", "https://docs.google.com/spreadsheets/d/1l7r4ztYau80BzrLoVs17MRGtrX3miGcFDG9kRY3ju0o/edit#gid=1726943182")</f>
        <v>https://docs.google.com/spreadsheets/d/1l7r4ztYau80BzrLoVs17MRGtrX3miGcFDG9kRY3ju0o/edit#gid=1726943182</v>
      </c>
      <c r="H118" s="35" t="s">
        <v>1028</v>
      </c>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244"/>
      <c r="C119" s="49"/>
      <c r="D119" s="50"/>
      <c r="E119" s="277"/>
      <c r="F119" s="277"/>
      <c r="G119" s="42"/>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244"/>
      <c r="C120" s="49"/>
      <c r="D120" s="50"/>
      <c r="E120" s="245"/>
      <c r="F120" s="277"/>
      <c r="G120" s="42"/>
      <c r="H120" s="9"/>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233" t="s">
        <v>2644</v>
      </c>
      <c r="C121" s="278" t="s">
        <v>2645</v>
      </c>
      <c r="D121" s="53" t="s">
        <v>20</v>
      </c>
      <c r="E121" s="234" t="s">
        <v>88</v>
      </c>
      <c r="F121" s="266" t="s">
        <v>89</v>
      </c>
      <c r="G121" s="42"/>
      <c r="H121" s="36"/>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244"/>
      <c r="D122" s="50"/>
      <c r="E122" s="234" t="s">
        <v>172</v>
      </c>
      <c r="F122" s="234" t="s">
        <v>194</v>
      </c>
      <c r="G122" s="29" t="str">
        <f>HYPERLINK("https://docs.google.com/spreadsheets/d/1afXcG1Ln54B-nJDQ1CoHhSuEQ5uFWmtWl8Hv0rWEKF0/edit#gid=1944249975", "https://docs.google.com/spreadsheets/d/1afXcG1Ln54B-nJDQ1CoHhSuEQ5uFWmtWl8Hv0rWEKF0/edit#gid=1944249975")</f>
        <v>https://docs.google.com/spreadsheets/d/1afXcG1Ln54B-nJDQ1CoHhSuEQ5uFWmtWl8Hv0rWEKF0/edit#gid=1944249975</v>
      </c>
      <c r="H122" s="38" t="s">
        <v>194</v>
      </c>
      <c r="I122" s="9"/>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244"/>
      <c r="D123" s="50"/>
      <c r="E123" s="195" t="s">
        <v>172</v>
      </c>
      <c r="F123" s="195" t="s">
        <v>195</v>
      </c>
      <c r="G123" s="29" t="str">
        <f>HYPERLINK("https://docs.google.com/spreadsheets/d/1afXcG1Ln54B-nJDQ1CoHhSuEQ5uFWmtWl8Hv0rWEKF0/edit#gid=434247926", "https://docs.google.com/spreadsheets/d/1afXcG1Ln54B-nJDQ1CoHhSuEQ5uFWmtWl8Hv0rWEKF0/edit#gid=434247926")</f>
        <v>https://docs.google.com/spreadsheets/d/1afXcG1Ln54B-nJDQ1CoHhSuEQ5uFWmtWl8Hv0rWEKF0/edit#gid=434247926</v>
      </c>
      <c r="H123" s="8" t="s">
        <v>195</v>
      </c>
      <c r="I123" s="9"/>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244"/>
      <c r="D124" s="50"/>
      <c r="E124" s="195" t="s">
        <v>139</v>
      </c>
      <c r="F124" s="195" t="s">
        <v>1025</v>
      </c>
      <c r="G124" s="29" t="str">
        <f>HYPERLINK("https://docs.google.com/spreadsheets/d/1afXcG1Ln54B-nJDQ1CoHhSuEQ5uFWmtWl8Hv0rWEKF0/edit#gid=981407270", "https://docs.google.com/spreadsheets/d/1afXcG1Ln54B-nJDQ1CoHhSuEQ5uFWmtWl8Hv0rWEKF0/edit#gid=981407270")</f>
        <v>https://docs.google.com/spreadsheets/d/1afXcG1Ln54B-nJDQ1CoHhSuEQ5uFWmtWl8Hv0rWEKF0/edit#gid=981407270</v>
      </c>
      <c r="H124" s="8" t="s">
        <v>1025</v>
      </c>
      <c r="I124" s="9"/>
      <c r="J124" s="9"/>
      <c r="K124" s="11"/>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247"/>
      <c r="D125" s="31"/>
      <c r="E125" s="195" t="s">
        <v>139</v>
      </c>
      <c r="F125" s="195" t="s">
        <v>1043</v>
      </c>
      <c r="G125" s="29" t="str">
        <f>HYPERLINK("https://docs.google.com/spreadsheets/d/1afXcG1Ln54B-nJDQ1CoHhSuEQ5uFWmtWl8Hv0rWEKF0/edit#gid=1594405953", "https://docs.google.com/spreadsheets/d/1afXcG1Ln54B-nJDQ1CoHhSuEQ5uFWmtWl8Hv0rWEKF0/edit#gid=1594405953")</f>
        <v>https://docs.google.com/spreadsheets/d/1afXcG1Ln54B-nJDQ1CoHhSuEQ5uFWmtWl8Hv0rWEKF0/edit#gid=1594405953</v>
      </c>
      <c r="H125" s="8" t="s">
        <v>1043</v>
      </c>
      <c r="I125" s="9"/>
      <c r="J125" s="9"/>
      <c r="K125" s="11"/>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247"/>
      <c r="D126" s="31"/>
      <c r="E126" s="195" t="s">
        <v>139</v>
      </c>
      <c r="F126" s="195" t="s">
        <v>1030</v>
      </c>
      <c r="G126" s="29" t="str">
        <f>HYPERLINK("https://docs.google.com/spreadsheets/d/1afXcG1Ln54B-nJDQ1CoHhSuEQ5uFWmtWl8Hv0rWEKF0/edit#gid=1006485209", "https://docs.google.com/spreadsheets/d/1afXcG1Ln54B-nJDQ1CoHhSuEQ5uFWmtWl8Hv0rWEKF0/edit#gid=1006485209")</f>
        <v>https://docs.google.com/spreadsheets/d/1afXcG1Ln54B-nJDQ1CoHhSuEQ5uFWmtWl8Hv0rWEKF0/edit#gid=1006485209</v>
      </c>
      <c r="H126" s="8" t="s">
        <v>1030</v>
      </c>
      <c r="I126" s="9"/>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15"/>
      <c r="B127" s="247"/>
      <c r="D127" s="31"/>
      <c r="E127" s="195" t="s">
        <v>139</v>
      </c>
      <c r="F127" s="195" t="s">
        <v>1028</v>
      </c>
      <c r="G127" s="29" t="str">
        <f>HYPERLINK("https://docs.google.com/spreadsheets/d/1afXcG1Ln54B-nJDQ1CoHhSuEQ5uFWmtWl8Hv0rWEKF0/edit#gid=1700811066", "https://docs.google.com/spreadsheets/d/1afXcG1Ln54B-nJDQ1CoHhSuEQ5uFWmtWl8Hv0rWEKF0/edit#gid=1700811066")</f>
        <v>https://docs.google.com/spreadsheets/d/1afXcG1Ln54B-nJDQ1CoHhSuEQ5uFWmtWl8Hv0rWEKF0/edit#gid=1700811066</v>
      </c>
      <c r="H127" s="35" t="s">
        <v>1028</v>
      </c>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15"/>
      <c r="B128" s="247"/>
      <c r="C128" s="41"/>
      <c r="D128" s="31"/>
      <c r="E128" s="248"/>
      <c r="F128" s="248"/>
      <c r="G128" s="29"/>
      <c r="H128" s="31"/>
      <c r="I128" s="31"/>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15"/>
      <c r="B129" s="233" t="s">
        <v>2646</v>
      </c>
      <c r="C129" s="278" t="s">
        <v>2647</v>
      </c>
      <c r="D129" s="53" t="s">
        <v>20</v>
      </c>
      <c r="E129" s="195" t="s">
        <v>88</v>
      </c>
      <c r="F129" s="195" t="s">
        <v>89</v>
      </c>
      <c r="G129" s="29"/>
      <c r="H129" s="36"/>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15"/>
      <c r="B130" s="247"/>
      <c r="D130" s="55"/>
      <c r="E130" s="195" t="s">
        <v>172</v>
      </c>
      <c r="F130" s="195" t="s">
        <v>194</v>
      </c>
      <c r="G130" s="29" t="str">
        <f>HYPERLINK("https://docs.google.com/spreadsheets/d/1hknGh7mHmGvmYQlIVERg8ZjPfg8MbJJm2ulT-FUzoi8/edit#gid=1893873550", "https://docs.google.com/spreadsheets/d/1hknGh7mHmGvmYQlIVERg8ZjPfg8MbJJm2ulT-FUzoi8/edit#gid=1893873550")</f>
        <v>https://docs.google.com/spreadsheets/d/1hknGh7mHmGvmYQlIVERg8ZjPfg8MbJJm2ulT-FUzoi8/edit#gid=1893873550</v>
      </c>
      <c r="H130" s="8" t="s">
        <v>194</v>
      </c>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15"/>
      <c r="B131" s="247"/>
      <c r="D131" s="55"/>
      <c r="E131" s="195" t="s">
        <v>172</v>
      </c>
      <c r="F131" s="195" t="s">
        <v>195</v>
      </c>
      <c r="G131" s="29" t="str">
        <f>HYPERLINK("https://docs.google.com/spreadsheets/d/1hknGh7mHmGvmYQlIVERg8ZjPfg8MbJJm2ulT-FUzoi8/edit#gid=3328099", "https://docs.google.com/spreadsheets/d/1hknGh7mHmGvmYQlIVERg8ZjPfg8MbJJm2ulT-FUzoi8/edit#gid=3328099")</f>
        <v>https://docs.google.com/spreadsheets/d/1hknGh7mHmGvmYQlIVERg8ZjPfg8MbJJm2ulT-FUzoi8/edit#gid=3328099</v>
      </c>
      <c r="H131" s="8" t="s">
        <v>195</v>
      </c>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15"/>
      <c r="B132" s="247"/>
      <c r="D132" s="55"/>
      <c r="E132" s="234" t="s">
        <v>21</v>
      </c>
      <c r="F132" s="195" t="s">
        <v>51</v>
      </c>
      <c r="G132" s="29" t="str">
        <f>HYPERLINK("https://docs.google.com/spreadsheets/d/1hknGh7mHmGvmYQlIVERg8ZjPfg8MbJJm2ulT-FUzoi8/edit#gid=426093296", "https://docs.google.com/spreadsheets/d/1hknGh7mHmGvmYQlIVERg8ZjPfg8MbJJm2ulT-FUzoi8/edit#gid=426093296")</f>
        <v>https://docs.google.com/spreadsheets/d/1hknGh7mHmGvmYQlIVERg8ZjPfg8MbJJm2ulT-FUzoi8/edit#gid=426093296</v>
      </c>
      <c r="H132" s="8" t="s">
        <v>51</v>
      </c>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15"/>
      <c r="B133" s="247"/>
      <c r="D133" s="55"/>
      <c r="E133" s="234" t="s">
        <v>408</v>
      </c>
      <c r="F133" s="266" t="s">
        <v>408</v>
      </c>
      <c r="G133" s="29" t="str">
        <f>HYPERLINK("https://docs.google.com/spreadsheets/d/1hknGh7mHmGvmYQlIVERg8ZjPfg8MbJJm2ulT-FUzoi8/edit#gid=198338293", "https://docs.google.com/spreadsheets/d/1hknGh7mHmGvmYQlIVERg8ZjPfg8MbJJm2ulT-FUzoi8/edit#gid=198338293")</f>
        <v>https://docs.google.com/spreadsheets/d/1hknGh7mHmGvmYQlIVERg8ZjPfg8MbJJm2ulT-FUzoi8/edit#gid=198338293</v>
      </c>
      <c r="H133" s="38" t="s">
        <v>408</v>
      </c>
      <c r="I133" s="9"/>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15"/>
      <c r="B134" s="247"/>
      <c r="D134" s="55"/>
      <c r="E134" s="234" t="s">
        <v>139</v>
      </c>
      <c r="F134" s="234" t="s">
        <v>1025</v>
      </c>
      <c r="G134" s="29" t="str">
        <f>HYPERLINK("https://docs.google.com/spreadsheets/d/1hknGh7mHmGvmYQlIVERg8ZjPfg8MbJJm2ulT-FUzoi8/edit#gid=913020186", "https://docs.google.com/spreadsheets/d/1hknGh7mHmGvmYQlIVERg8ZjPfg8MbJJm2ulT-FUzoi8/edit#gid=913020186")</f>
        <v>https://docs.google.com/spreadsheets/d/1hknGh7mHmGvmYQlIVERg8ZjPfg8MbJJm2ulT-FUzoi8/edit#gid=913020186</v>
      </c>
      <c r="H134" s="38" t="s">
        <v>1025</v>
      </c>
      <c r="I134" s="9"/>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15"/>
      <c r="B135" s="247"/>
      <c r="D135" s="55"/>
      <c r="E135" s="195" t="s">
        <v>139</v>
      </c>
      <c r="F135" s="195" t="s">
        <v>1043</v>
      </c>
      <c r="G135" s="29" t="str">
        <f>HYPERLINK("https://docs.google.com/spreadsheets/d/1hknGh7mHmGvmYQlIVERg8ZjPfg8MbJJm2ulT-FUzoi8/edit#gid=2008248356", "https://docs.google.com/spreadsheets/d/1hknGh7mHmGvmYQlIVERg8ZjPfg8MbJJm2ulT-FUzoi8/edit#gid=2008248356")</f>
        <v>https://docs.google.com/spreadsheets/d/1hknGh7mHmGvmYQlIVERg8ZjPfg8MbJJm2ulT-FUzoi8/edit#gid=2008248356</v>
      </c>
      <c r="H135" s="8" t="s">
        <v>1043</v>
      </c>
      <c r="I135" s="31"/>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15"/>
      <c r="B136" s="247"/>
      <c r="D136" s="55"/>
      <c r="E136" s="195" t="s">
        <v>139</v>
      </c>
      <c r="F136" s="195" t="s">
        <v>1030</v>
      </c>
      <c r="G136" s="29" t="str">
        <f>HYPERLINK("https://docs.google.com/spreadsheets/d/1hknGh7mHmGvmYQlIVERg8ZjPfg8MbJJm2ulT-FUzoi8/edit#gid=1706015907", "https://docs.google.com/spreadsheets/d/1hknGh7mHmGvmYQlIVERg8ZjPfg8MbJJm2ulT-FUzoi8/edit#gid=1706015907")</f>
        <v>https://docs.google.com/spreadsheets/d/1hknGh7mHmGvmYQlIVERg8ZjPfg8MbJJm2ulT-FUzoi8/edit#gid=1706015907</v>
      </c>
      <c r="H136" s="8" t="s">
        <v>1030</v>
      </c>
      <c r="I136" s="31"/>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15"/>
      <c r="B137" s="247"/>
      <c r="D137" s="55"/>
      <c r="E137" s="195" t="s">
        <v>139</v>
      </c>
      <c r="F137" s="195" t="s">
        <v>1028</v>
      </c>
      <c r="G137" s="29" t="str">
        <f>HYPERLINK("https://docs.google.com/spreadsheets/d/1hknGh7mHmGvmYQlIVERg8ZjPfg8MbJJm2ulT-FUzoi8/edit#gid=327299509", "https://docs.google.com/spreadsheets/d/1hknGh7mHmGvmYQlIVERg8ZjPfg8MbJJm2ulT-FUzoi8/edit#gid=327299509")</f>
        <v>https://docs.google.com/spreadsheets/d/1hknGh7mHmGvmYQlIVERg8ZjPfg8MbJJm2ulT-FUzoi8/edit#gid=327299509</v>
      </c>
      <c r="H137" s="8" t="s">
        <v>1028</v>
      </c>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15"/>
      <c r="B138" s="247"/>
      <c r="C138" s="54"/>
      <c r="D138" s="55"/>
      <c r="E138" s="248"/>
      <c r="F138" s="248"/>
      <c r="G138" s="29"/>
      <c r="H138" s="31"/>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15"/>
      <c r="B139" s="247"/>
      <c r="C139" s="54"/>
      <c r="D139" s="55"/>
      <c r="E139" s="248"/>
      <c r="F139" s="248"/>
      <c r="G139" s="29"/>
      <c r="H139" s="31"/>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15"/>
      <c r="B140" s="233" t="s">
        <v>2648</v>
      </c>
      <c r="C140" s="278" t="s">
        <v>2649</v>
      </c>
      <c r="D140" s="53" t="s">
        <v>20</v>
      </c>
      <c r="E140" s="234" t="s">
        <v>88</v>
      </c>
      <c r="F140" s="195" t="s">
        <v>89</v>
      </c>
      <c r="G140" s="29"/>
      <c r="H140" s="36"/>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15"/>
      <c r="B141" s="247"/>
      <c r="D141" s="55"/>
      <c r="E141" s="234" t="s">
        <v>172</v>
      </c>
      <c r="F141" s="266" t="s">
        <v>194</v>
      </c>
      <c r="G141" s="29" t="str">
        <f>HYPERLINK("https://docs.google.com/spreadsheets/d/1LiOiaRmigGz_8RZylZl14_DlXo76i5BEcZfQAVyYNNw/edit#gid=1062374704", "https://docs.google.com/spreadsheets/d/1LiOiaRmigGz_8RZylZl14_DlXo76i5BEcZfQAVyYNNw/edit#gid=1062374704")</f>
        <v>https://docs.google.com/spreadsheets/d/1LiOiaRmigGz_8RZylZl14_DlXo76i5BEcZfQAVyYNNw/edit#gid=1062374704</v>
      </c>
      <c r="H141" s="38" t="s">
        <v>194</v>
      </c>
      <c r="I141" s="9"/>
      <c r="J141" s="9"/>
      <c r="K141" s="11"/>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15"/>
      <c r="B142" s="247"/>
      <c r="D142" s="55"/>
      <c r="E142" s="234" t="s">
        <v>172</v>
      </c>
      <c r="F142" s="234" t="s">
        <v>195</v>
      </c>
      <c r="G142" s="29" t="str">
        <f>HYPERLINK("https://docs.google.com/spreadsheets/d/1LiOiaRmigGz_8RZylZl14_DlXo76i5BEcZfQAVyYNNw/edit#gid=1150976262", "https://docs.google.com/spreadsheets/d/1LiOiaRmigGz_8RZylZl14_DlXo76i5BEcZfQAVyYNNw/edit#gid=1150976262")</f>
        <v>https://docs.google.com/spreadsheets/d/1LiOiaRmigGz_8RZylZl14_DlXo76i5BEcZfQAVyYNNw/edit#gid=1150976262</v>
      </c>
      <c r="H142" s="38" t="s">
        <v>195</v>
      </c>
      <c r="I142" s="9"/>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15"/>
      <c r="B143" s="247"/>
      <c r="D143" s="55"/>
      <c r="E143" s="195" t="s">
        <v>21</v>
      </c>
      <c r="F143" s="195" t="s">
        <v>51</v>
      </c>
      <c r="G143" s="29" t="str">
        <f>HYPERLINK("https://docs.google.com/spreadsheets/d/1LiOiaRmigGz_8RZylZl14_DlXo76i5BEcZfQAVyYNNw/edit#gid=11300925", "https://docs.google.com/spreadsheets/d/1LiOiaRmigGz_8RZylZl14_DlXo76i5BEcZfQAVyYNNw/edit#gid=11300925")</f>
        <v>https://docs.google.com/spreadsheets/d/1LiOiaRmigGz_8RZylZl14_DlXo76i5BEcZfQAVyYNNw/edit#gid=11300925</v>
      </c>
      <c r="H143" s="8" t="s">
        <v>51</v>
      </c>
      <c r="I143" s="31"/>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15"/>
      <c r="B144" s="247"/>
      <c r="D144" s="55"/>
      <c r="E144" s="195" t="s">
        <v>408</v>
      </c>
      <c r="F144" s="195" t="s">
        <v>408</v>
      </c>
      <c r="G144" s="29" t="str">
        <f>HYPERLINK("https://docs.google.com/spreadsheets/d/1LiOiaRmigGz_8RZylZl14_DlXo76i5BEcZfQAVyYNNw/edit#gid=1030746876", "https://docs.google.com/spreadsheets/d/1LiOiaRmigGz_8RZylZl14_DlXo76i5BEcZfQAVyYNNw/edit#gid=1030746876")</f>
        <v>https://docs.google.com/spreadsheets/d/1LiOiaRmigGz_8RZylZl14_DlXo76i5BEcZfQAVyYNNw/edit#gid=1030746876</v>
      </c>
      <c r="H144" s="8" t="s">
        <v>408</v>
      </c>
      <c r="I144" s="31"/>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15"/>
      <c r="B145" s="247"/>
      <c r="D145" s="31"/>
      <c r="E145" s="195" t="s">
        <v>139</v>
      </c>
      <c r="F145" s="195" t="s">
        <v>1025</v>
      </c>
      <c r="G145" s="29" t="str">
        <f>HYPERLINK("https://docs.google.com/spreadsheets/d/1LiOiaRmigGz_8RZylZl14_DlXo76i5BEcZfQAVyYNNw/edit#gid=1627845184", "https://docs.google.com/spreadsheets/d/1LiOiaRmigGz_8RZylZl14_DlXo76i5BEcZfQAVyYNNw/edit#gid=1627845184")</f>
        <v>https://docs.google.com/spreadsheets/d/1LiOiaRmigGz_8RZylZl14_DlXo76i5BEcZfQAVyYNNw/edit#gid=1627845184</v>
      </c>
      <c r="H145" s="8" t="s">
        <v>1025</v>
      </c>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15"/>
      <c r="B146" s="247"/>
      <c r="D146" s="31"/>
      <c r="E146" s="195" t="s">
        <v>139</v>
      </c>
      <c r="F146" s="195" t="s">
        <v>1043</v>
      </c>
      <c r="G146" s="29" t="str">
        <f>HYPERLINK("https://docs.google.com/spreadsheets/d/1LiOiaRmigGz_8RZylZl14_DlXo76i5BEcZfQAVyYNNw/edit#gid=1120529585", "https://docs.google.com/spreadsheets/d/1LiOiaRmigGz_8RZylZl14_DlXo76i5BEcZfQAVyYNNw/edit#gid=1120529585")</f>
        <v>https://docs.google.com/spreadsheets/d/1LiOiaRmigGz_8RZylZl14_DlXo76i5BEcZfQAVyYNNw/edit#gid=1120529585</v>
      </c>
      <c r="H146" s="8" t="s">
        <v>1043</v>
      </c>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15"/>
      <c r="B147" s="247"/>
      <c r="D147" s="31"/>
      <c r="E147" s="195" t="s">
        <v>139</v>
      </c>
      <c r="F147" s="195" t="s">
        <v>1030</v>
      </c>
      <c r="G147" s="29" t="str">
        <f>HYPERLINK("https://docs.google.com/spreadsheets/d/1LiOiaRmigGz_8RZylZl14_DlXo76i5BEcZfQAVyYNNw/edit#gid=658362347", "https://docs.google.com/spreadsheets/d/1LiOiaRmigGz_8RZylZl14_DlXo76i5BEcZfQAVyYNNw/edit#gid=658362347")</f>
        <v>https://docs.google.com/spreadsheets/d/1LiOiaRmigGz_8RZylZl14_DlXo76i5BEcZfQAVyYNNw/edit#gid=658362347</v>
      </c>
      <c r="H147" s="8" t="s">
        <v>1030</v>
      </c>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15"/>
      <c r="B148" s="247"/>
      <c r="D148" s="31"/>
      <c r="E148" s="234" t="s">
        <v>139</v>
      </c>
      <c r="F148" s="195" t="s">
        <v>1028</v>
      </c>
      <c r="G148" s="29" t="str">
        <f>HYPERLINK("https://docs.google.com/spreadsheets/d/1LiOiaRmigGz_8RZylZl14_DlXo76i5BEcZfQAVyYNNw/edit#gid=2129663940", "https://docs.google.com/spreadsheets/d/1LiOiaRmigGz_8RZylZl14_DlXo76i5BEcZfQAVyYNNw/edit#gid=2129663940")</f>
        <v>https://docs.google.com/spreadsheets/d/1LiOiaRmigGz_8RZylZl14_DlXo76i5BEcZfQAVyYNNw/edit#gid=2129663940</v>
      </c>
      <c r="H148" s="8" t="s">
        <v>1028</v>
      </c>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15"/>
      <c r="B149" s="247"/>
      <c r="C149" s="41"/>
      <c r="D149" s="31"/>
      <c r="E149" s="249"/>
      <c r="F149" s="279"/>
      <c r="G149" s="29"/>
      <c r="H149" s="30"/>
      <c r="I149" s="9"/>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15"/>
      <c r="B150" s="247"/>
      <c r="C150" s="41"/>
      <c r="D150" s="31"/>
      <c r="E150" s="249"/>
      <c r="F150" s="249"/>
      <c r="G150" s="29"/>
      <c r="H150" s="30"/>
      <c r="I150" s="9"/>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15"/>
      <c r="B151" s="233" t="s">
        <v>2650</v>
      </c>
      <c r="C151" s="39" t="s">
        <v>2651</v>
      </c>
      <c r="D151" s="31"/>
      <c r="E151" s="195" t="s">
        <v>88</v>
      </c>
      <c r="F151" s="195" t="s">
        <v>89</v>
      </c>
      <c r="G151" s="29"/>
      <c r="H151" s="36"/>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15"/>
      <c r="B152" s="247"/>
      <c r="D152" s="55"/>
      <c r="E152" s="195" t="s">
        <v>172</v>
      </c>
      <c r="F152" s="195" t="s">
        <v>194</v>
      </c>
      <c r="G152" s="29" t="str">
        <f>HYPERLINK("https://docs.google.com/spreadsheets/d/13NErCyIb9Tc_PBHkQh5DKW00xFFmaX1XKOUnfVKJNv8/edit#gid=367401110", "https://docs.google.com/spreadsheets/d/13NErCyIb9Tc_PBHkQh5DKW00xFFmaX1XKOUnfVKJNv8/edit#gid=367401110")</f>
        <v>https://docs.google.com/spreadsheets/d/13NErCyIb9Tc_PBHkQh5DKW00xFFmaX1XKOUnfVKJNv8/edit#gid=367401110</v>
      </c>
      <c r="H152" s="8" t="s">
        <v>194</v>
      </c>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15"/>
      <c r="B153" s="247"/>
      <c r="D153" s="55"/>
      <c r="E153" s="195" t="s">
        <v>172</v>
      </c>
      <c r="F153" s="195" t="s">
        <v>195</v>
      </c>
      <c r="G153" s="29" t="str">
        <f>HYPERLINK("https://docs.google.com/spreadsheets/d/13NErCyIb9Tc_PBHkQh5DKW00xFFmaX1XKOUnfVKJNv8/edit#gid=1131618244", "https://docs.google.com/spreadsheets/d/13NErCyIb9Tc_PBHkQh5DKW00xFFmaX1XKOUnfVKJNv8/edit#gid=1131618244")</f>
        <v>https://docs.google.com/spreadsheets/d/13NErCyIb9Tc_PBHkQh5DKW00xFFmaX1XKOUnfVKJNv8/edit#gid=1131618244</v>
      </c>
      <c r="H153" s="8" t="s">
        <v>195</v>
      </c>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15"/>
      <c r="B154" s="247"/>
      <c r="D154" s="55"/>
      <c r="E154" s="195" t="s">
        <v>21</v>
      </c>
      <c r="F154" s="195" t="s">
        <v>51</v>
      </c>
      <c r="G154" s="29" t="str">
        <f>HYPERLINK("https://docs.google.com/spreadsheets/d/13NErCyIb9Tc_PBHkQh5DKW00xFFmaX1XKOUnfVKJNv8/edit#gid=801340348", "https://docs.google.com/spreadsheets/d/13NErCyIb9Tc_PBHkQh5DKW00xFFmaX1XKOUnfVKJNv8/edit#gid=801340348")</f>
        <v>https://docs.google.com/spreadsheets/d/13NErCyIb9Tc_PBHkQh5DKW00xFFmaX1XKOUnfVKJNv8/edit#gid=801340348</v>
      </c>
      <c r="H154" s="8" t="s">
        <v>51</v>
      </c>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15"/>
      <c r="B155" s="247"/>
      <c r="D155" s="55"/>
      <c r="E155" s="234" t="s">
        <v>408</v>
      </c>
      <c r="F155" s="195" t="s">
        <v>408</v>
      </c>
      <c r="G155" s="29" t="str">
        <f>HYPERLINK("https://docs.google.com/spreadsheets/d/13NErCyIb9Tc_PBHkQh5DKW00xFFmaX1XKOUnfVKJNv8/edit#gid=931520868", "https://docs.google.com/spreadsheets/d/13NErCyIb9Tc_PBHkQh5DKW00xFFmaX1XKOUnfVKJNv8/edit#gid=931520868")</f>
        <v>https://docs.google.com/spreadsheets/d/13NErCyIb9Tc_PBHkQh5DKW00xFFmaX1XKOUnfVKJNv8/edit#gid=931520868</v>
      </c>
      <c r="H155" s="8" t="s">
        <v>408</v>
      </c>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15"/>
      <c r="B156" s="247"/>
      <c r="D156" s="55"/>
      <c r="E156" s="234" t="s">
        <v>139</v>
      </c>
      <c r="F156" s="266" t="s">
        <v>1025</v>
      </c>
      <c r="G156" s="29" t="str">
        <f>HYPERLINK("https://docs.google.com/spreadsheets/d/13NErCyIb9Tc_PBHkQh5DKW00xFFmaX1XKOUnfVKJNv8/edit#gid=306259961", "https://docs.google.com/spreadsheets/d/13NErCyIb9Tc_PBHkQh5DKW00xFFmaX1XKOUnfVKJNv8/edit#gid=306259961")</f>
        <v>https://docs.google.com/spreadsheets/d/13NErCyIb9Tc_PBHkQh5DKW00xFFmaX1XKOUnfVKJNv8/edit#gid=306259961</v>
      </c>
      <c r="H156" s="38" t="s">
        <v>1025</v>
      </c>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15"/>
      <c r="B157" s="247"/>
      <c r="D157" s="55"/>
      <c r="E157" s="234" t="s">
        <v>139</v>
      </c>
      <c r="F157" s="234" t="s">
        <v>1043</v>
      </c>
      <c r="G157" s="29" t="str">
        <f>HYPERLINK("https://docs.google.com/spreadsheets/d/13NErCyIb9Tc_PBHkQh5DKW00xFFmaX1XKOUnfVKJNv8/edit#gid=1107315460", "https://docs.google.com/spreadsheets/d/13NErCyIb9Tc_PBHkQh5DKW00xFFmaX1XKOUnfVKJNv8/edit#gid=1107315460")</f>
        <v>https://docs.google.com/spreadsheets/d/13NErCyIb9Tc_PBHkQh5DKW00xFFmaX1XKOUnfVKJNv8/edit#gid=1107315460</v>
      </c>
      <c r="H157" s="38" t="s">
        <v>1043</v>
      </c>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15"/>
      <c r="B158" s="247"/>
      <c r="D158" s="55"/>
      <c r="E158" s="195" t="s">
        <v>139</v>
      </c>
      <c r="F158" s="195" t="s">
        <v>1030</v>
      </c>
      <c r="G158" s="29" t="str">
        <f>HYPERLINK("https://docs.google.com/spreadsheets/d/13NErCyIb9Tc_PBHkQh5DKW00xFFmaX1XKOUnfVKJNv8/edit#gid=451957946", "https://docs.google.com/spreadsheets/d/13NErCyIb9Tc_PBHkQh5DKW00xFFmaX1XKOUnfVKJNv8/edit#gid=451957946")</f>
        <v>https://docs.google.com/spreadsheets/d/13NErCyIb9Tc_PBHkQh5DKW00xFFmaX1XKOUnfVKJNv8/edit#gid=451957946</v>
      </c>
      <c r="H158" s="8" t="s">
        <v>1030</v>
      </c>
      <c r="I158" s="31"/>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15"/>
      <c r="B159" s="247"/>
      <c r="D159" s="55"/>
      <c r="E159" s="195" t="s">
        <v>139</v>
      </c>
      <c r="F159" s="195" t="s">
        <v>1028</v>
      </c>
      <c r="G159" s="29" t="str">
        <f>HYPERLINK("https://docs.google.com/spreadsheets/d/13NErCyIb9Tc_PBHkQh5DKW00xFFmaX1XKOUnfVKJNv8/edit#gid=1142967311", "https://docs.google.com/spreadsheets/d/13NErCyIb9Tc_PBHkQh5DKW00xFFmaX1XKOUnfVKJNv8/edit#gid=1142967311")</f>
        <v>https://docs.google.com/spreadsheets/d/13NErCyIb9Tc_PBHkQh5DKW00xFFmaX1XKOUnfVKJNv8/edit#gid=1142967311</v>
      </c>
      <c r="H159" s="8" t="s">
        <v>1028</v>
      </c>
      <c r="I159" s="31"/>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15"/>
      <c r="B160" s="247"/>
      <c r="D160" s="55"/>
      <c r="E160" s="248"/>
      <c r="F160" s="248"/>
      <c r="G160" s="29"/>
      <c r="H160" s="31"/>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15"/>
      <c r="B161" s="247"/>
      <c r="C161" s="54"/>
      <c r="D161" s="55"/>
      <c r="E161" s="248"/>
      <c r="F161" s="248"/>
      <c r="G161" s="29"/>
      <c r="H161" s="31"/>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15"/>
      <c r="B162" s="233" t="s">
        <v>2652</v>
      </c>
      <c r="C162" s="278" t="s">
        <v>2653</v>
      </c>
      <c r="D162" s="55"/>
      <c r="E162" s="195" t="s">
        <v>88</v>
      </c>
      <c r="F162" s="195" t="s">
        <v>89</v>
      </c>
      <c r="G162" s="29"/>
      <c r="H162" s="36"/>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15"/>
      <c r="B163" s="247"/>
      <c r="D163" s="55"/>
      <c r="E163" s="234" t="s">
        <v>172</v>
      </c>
      <c r="F163" s="195" t="s">
        <v>194</v>
      </c>
      <c r="G163" s="29" t="str">
        <f>HYPERLINK("https://docs.google.com/spreadsheets/d/12HrUXaxK6RyAtBEIqnMP76-JFD1EBXvG1KQVTWs013w/edit#gid=1178439879", "https://docs.google.com/spreadsheets/d/12HrUXaxK6RyAtBEIqnMP76-JFD1EBXvG1KQVTWs013w/edit#gid=1178439879")</f>
        <v>https://docs.google.com/spreadsheets/d/12HrUXaxK6RyAtBEIqnMP76-JFD1EBXvG1KQVTWs013w/edit#gid=1178439879</v>
      </c>
      <c r="H163" s="8" t="s">
        <v>194</v>
      </c>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15"/>
      <c r="B164" s="247"/>
      <c r="D164" s="55"/>
      <c r="E164" s="234" t="s">
        <v>172</v>
      </c>
      <c r="F164" s="266" t="s">
        <v>195</v>
      </c>
      <c r="G164" s="29" t="str">
        <f>HYPERLINK("https://docs.google.com/spreadsheets/d/12HrUXaxK6RyAtBEIqnMP76-JFD1EBXvG1KQVTWs013w/edit#gid=220434166", "https://docs.google.com/spreadsheets/d/12HrUXaxK6RyAtBEIqnMP76-JFD1EBXvG1KQVTWs013w/edit#gid=220434166")</f>
        <v>https://docs.google.com/spreadsheets/d/12HrUXaxK6RyAtBEIqnMP76-JFD1EBXvG1KQVTWs013w/edit#gid=220434166</v>
      </c>
      <c r="H164" s="38" t="s">
        <v>195</v>
      </c>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15"/>
      <c r="B165" s="247"/>
      <c r="D165" s="55"/>
      <c r="E165" s="234" t="s">
        <v>21</v>
      </c>
      <c r="F165" s="234" t="s">
        <v>51</v>
      </c>
      <c r="G165" s="29" t="str">
        <f>HYPERLINK("https://docs.google.com/spreadsheets/d/12HrUXaxK6RyAtBEIqnMP76-JFD1EBXvG1KQVTWs013w/edit#gid=1451094949", "https://docs.google.com/spreadsheets/d/12HrUXaxK6RyAtBEIqnMP76-JFD1EBXvG1KQVTWs013w/edit#gid=1451094949")</f>
        <v>https://docs.google.com/spreadsheets/d/12HrUXaxK6RyAtBEIqnMP76-JFD1EBXvG1KQVTWs013w/edit#gid=1451094949</v>
      </c>
      <c r="H165" s="38" t="s">
        <v>51</v>
      </c>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15"/>
      <c r="B166" s="247"/>
      <c r="D166" s="55"/>
      <c r="E166" s="195" t="s">
        <v>408</v>
      </c>
      <c r="F166" s="195" t="s">
        <v>408</v>
      </c>
      <c r="G166" s="29" t="str">
        <f>HYPERLINK("https://docs.google.com/spreadsheets/d/12HrUXaxK6RyAtBEIqnMP76-JFD1EBXvG1KQVTWs013w/edit#gid=1286388712", "https://docs.google.com/spreadsheets/d/12HrUXaxK6RyAtBEIqnMP76-JFD1EBXvG1KQVTWs013w/edit#gid=1286388712")</f>
        <v>https://docs.google.com/spreadsheets/d/12HrUXaxK6RyAtBEIqnMP76-JFD1EBXvG1KQVTWs013w/edit#gid=1286388712</v>
      </c>
      <c r="H166" s="8" t="s">
        <v>408</v>
      </c>
      <c r="I166" s="31"/>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15"/>
      <c r="B167" s="247"/>
      <c r="D167" s="55"/>
      <c r="E167" s="195" t="s">
        <v>139</v>
      </c>
      <c r="F167" s="195" t="s">
        <v>1025</v>
      </c>
      <c r="G167" s="29" t="str">
        <f>HYPERLINK("https://docs.google.com/spreadsheets/d/12HrUXaxK6RyAtBEIqnMP76-JFD1EBXvG1KQVTWs013w/edit#gid=1150071970", "https://docs.google.com/spreadsheets/d/12HrUXaxK6RyAtBEIqnMP76-JFD1EBXvG1KQVTWs013w/edit#gid=1150071970")</f>
        <v>https://docs.google.com/spreadsheets/d/12HrUXaxK6RyAtBEIqnMP76-JFD1EBXvG1KQVTWs013w/edit#gid=1150071970</v>
      </c>
      <c r="H167" s="8" t="s">
        <v>1025</v>
      </c>
      <c r="I167" s="31"/>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15"/>
      <c r="B168" s="247"/>
      <c r="D168" s="55"/>
      <c r="E168" s="195" t="s">
        <v>139</v>
      </c>
      <c r="F168" s="195" t="s">
        <v>1043</v>
      </c>
      <c r="G168" s="29" t="str">
        <f>HYPERLINK("https://docs.google.com/spreadsheets/d/12HrUXaxK6RyAtBEIqnMP76-JFD1EBXvG1KQVTWs013w/edit#gid=2025641983", "https://docs.google.com/spreadsheets/d/12HrUXaxK6RyAtBEIqnMP76-JFD1EBXvG1KQVTWs013w/edit#gid=2025641983")</f>
        <v>https://docs.google.com/spreadsheets/d/12HrUXaxK6RyAtBEIqnMP76-JFD1EBXvG1KQVTWs013w/edit#gid=2025641983</v>
      </c>
      <c r="H168" s="8" t="s">
        <v>1043</v>
      </c>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15"/>
      <c r="B169" s="247"/>
      <c r="D169" s="55"/>
      <c r="E169" s="195" t="s">
        <v>139</v>
      </c>
      <c r="F169" s="195" t="s">
        <v>1030</v>
      </c>
      <c r="G169" s="29" t="str">
        <f>HYPERLINK("https://docs.google.com/spreadsheets/d/12HrUXaxK6RyAtBEIqnMP76-JFD1EBXvG1KQVTWs013w/edit#gid=2033745764", "https://docs.google.com/spreadsheets/d/12HrUXaxK6RyAtBEIqnMP76-JFD1EBXvG1KQVTWs013w/edit#gid=2033745764")</f>
        <v>https://docs.google.com/spreadsheets/d/12HrUXaxK6RyAtBEIqnMP76-JFD1EBXvG1KQVTWs013w/edit#gid=2033745764</v>
      </c>
      <c r="H169" s="8" t="s">
        <v>1030</v>
      </c>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15"/>
      <c r="B170" s="247"/>
      <c r="D170" s="55"/>
      <c r="E170" s="195" t="s">
        <v>139</v>
      </c>
      <c r="F170" s="195" t="s">
        <v>1028</v>
      </c>
      <c r="G170" s="29" t="str">
        <f>HYPERLINK("https://docs.google.com/spreadsheets/d/12HrUXaxK6RyAtBEIqnMP76-JFD1EBXvG1KQVTWs013w/edit#gid=511496560", "https://docs.google.com/spreadsheets/d/12HrUXaxK6RyAtBEIqnMP76-JFD1EBXvG1KQVTWs013w/edit#gid=511496560")</f>
        <v>https://docs.google.com/spreadsheets/d/12HrUXaxK6RyAtBEIqnMP76-JFD1EBXvG1KQVTWs013w/edit#gid=511496560</v>
      </c>
      <c r="H170" s="8" t="s">
        <v>1028</v>
      </c>
      <c r="I170" s="9"/>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15"/>
      <c r="B171" s="247"/>
      <c r="C171" s="54"/>
      <c r="D171" s="55"/>
      <c r="E171" s="249"/>
      <c r="F171" s="248"/>
      <c r="G171" s="29"/>
      <c r="H171" s="31"/>
      <c r="I171" s="9"/>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15"/>
      <c r="B172" s="233" t="s">
        <v>2654</v>
      </c>
      <c r="C172" s="278" t="s">
        <v>2655</v>
      </c>
      <c r="D172" s="55"/>
      <c r="E172" s="234" t="s">
        <v>88</v>
      </c>
      <c r="F172" s="266" t="s">
        <v>89</v>
      </c>
      <c r="G172" s="29"/>
      <c r="H172" s="36"/>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15"/>
      <c r="B173" s="247"/>
      <c r="D173" s="55"/>
      <c r="E173" s="234" t="s">
        <v>172</v>
      </c>
      <c r="F173" s="234" t="s">
        <v>194</v>
      </c>
      <c r="G173" s="29" t="str">
        <f>HYPERLINK("https://docs.google.com/spreadsheets/d/1JPlwfzR7nDRXOECMiqbba2a7GLMl7Z0iEoT8QyNJHr8/edit#gid=1193413143", "https://docs.google.com/spreadsheets/d/1JPlwfzR7nDRXOECMiqbba2a7GLMl7Z0iEoT8QyNJHr8/edit#gid=1193413143")</f>
        <v>https://docs.google.com/spreadsheets/d/1JPlwfzR7nDRXOECMiqbba2a7GLMl7Z0iEoT8QyNJHr8/edit#gid=1193413143</v>
      </c>
      <c r="H173" s="38" t="s">
        <v>194</v>
      </c>
      <c r="I173" s="9"/>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15"/>
      <c r="B174" s="247"/>
      <c r="D174" s="55"/>
      <c r="E174" s="195" t="s">
        <v>172</v>
      </c>
      <c r="F174" s="195" t="s">
        <v>195</v>
      </c>
      <c r="G174" s="29" t="str">
        <f>HYPERLINK("https://docs.google.com/spreadsheets/d/1JPlwfzR7nDRXOECMiqbba2a7GLMl7Z0iEoT8QyNJHr8/edit#gid=1422916541", "https://docs.google.com/spreadsheets/d/1JPlwfzR7nDRXOECMiqbba2a7GLMl7Z0iEoT8QyNJHr8/edit#gid=1422916541")</f>
        <v>https://docs.google.com/spreadsheets/d/1JPlwfzR7nDRXOECMiqbba2a7GLMl7Z0iEoT8QyNJHr8/edit#gid=1422916541</v>
      </c>
      <c r="H174" s="8" t="s">
        <v>195</v>
      </c>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15"/>
      <c r="B175" s="247"/>
      <c r="D175" s="55"/>
      <c r="E175" s="195" t="s">
        <v>21</v>
      </c>
      <c r="F175" s="195" t="s">
        <v>51</v>
      </c>
      <c r="G175" s="29" t="str">
        <f>HYPERLINK("https://docs.google.com/spreadsheets/d/1JPlwfzR7nDRXOECMiqbba2a7GLMl7Z0iEoT8QyNJHr8/edit#gid=1086886428", "https://docs.google.com/spreadsheets/d/1JPlwfzR7nDRXOECMiqbba2a7GLMl7Z0iEoT8QyNJHr8/edit#gid=1086886428")</f>
        <v>https://docs.google.com/spreadsheets/d/1JPlwfzR7nDRXOECMiqbba2a7GLMl7Z0iEoT8QyNJHr8/edit#gid=1086886428</v>
      </c>
      <c r="H175" s="8" t="s">
        <v>51</v>
      </c>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B176" s="247"/>
      <c r="D176" s="55"/>
      <c r="E176" s="195" t="s">
        <v>408</v>
      </c>
      <c r="F176" s="195" t="s">
        <v>408</v>
      </c>
      <c r="G176" s="29" t="str">
        <f>HYPERLINK("https://docs.google.com/spreadsheets/d/1JPlwfzR7nDRXOECMiqbba2a7GLMl7Z0iEoT8QyNJHr8/edit#gid=1613853409", "https://docs.google.com/spreadsheets/d/1JPlwfzR7nDRXOECMiqbba2a7GLMl7Z0iEoT8QyNJHr8/edit#gid=1613853409")</f>
        <v>https://docs.google.com/spreadsheets/d/1JPlwfzR7nDRXOECMiqbba2a7GLMl7Z0iEoT8QyNJHr8/edit#gid=1613853409</v>
      </c>
      <c r="H176" s="8" t="s">
        <v>408</v>
      </c>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15"/>
      <c r="B177" s="247"/>
      <c r="D177" s="55"/>
      <c r="E177" s="195" t="s">
        <v>139</v>
      </c>
      <c r="F177" s="195" t="s">
        <v>1025</v>
      </c>
      <c r="G177" s="29" t="str">
        <f>HYPERLINK("https://docs.google.com/spreadsheets/d/1JPlwfzR7nDRXOECMiqbba2a7GLMl7Z0iEoT8QyNJHr8/edit#gid=864517378", "https://docs.google.com/spreadsheets/d/1JPlwfzR7nDRXOECMiqbba2a7GLMl7Z0iEoT8QyNJHr8/edit#gid=864517378")</f>
        <v>https://docs.google.com/spreadsheets/d/1JPlwfzR7nDRXOECMiqbba2a7GLMl7Z0iEoT8QyNJHr8/edit#gid=864517378</v>
      </c>
      <c r="H177" s="8" t="s">
        <v>1025</v>
      </c>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B178" s="247"/>
      <c r="D178" s="55"/>
      <c r="E178" s="195" t="s">
        <v>139</v>
      </c>
      <c r="F178" s="195" t="s">
        <v>1043</v>
      </c>
      <c r="G178" s="29" t="str">
        <f>HYPERLINK("https://docs.google.com/spreadsheets/d/1JPlwfzR7nDRXOECMiqbba2a7GLMl7Z0iEoT8QyNJHr8/edit#gid=1215381956", "https://docs.google.com/spreadsheets/d/1JPlwfzR7nDRXOECMiqbba2a7GLMl7Z0iEoT8QyNJHr8/edit#gid=1215381956")</f>
        <v>https://docs.google.com/spreadsheets/d/1JPlwfzR7nDRXOECMiqbba2a7GLMl7Z0iEoT8QyNJHr8/edit#gid=1215381956</v>
      </c>
      <c r="H178" s="8" t="s">
        <v>1043</v>
      </c>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15"/>
      <c r="B179" s="247"/>
      <c r="D179" s="55"/>
      <c r="E179" s="234" t="s">
        <v>139</v>
      </c>
      <c r="F179" s="195" t="s">
        <v>1030</v>
      </c>
      <c r="G179" s="29" t="str">
        <f>HYPERLINK("https://docs.google.com/spreadsheets/d/1JPlwfzR7nDRXOECMiqbba2a7GLMl7Z0iEoT8QyNJHr8/edit#gid=108437139", "https://docs.google.com/spreadsheets/d/1JPlwfzR7nDRXOECMiqbba2a7GLMl7Z0iEoT8QyNJHr8/edit#gid=108437139")</f>
        <v>https://docs.google.com/spreadsheets/d/1JPlwfzR7nDRXOECMiqbba2a7GLMl7Z0iEoT8QyNJHr8/edit#gid=108437139</v>
      </c>
      <c r="H179" s="8" t="s">
        <v>1030</v>
      </c>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15"/>
      <c r="B180" s="247"/>
      <c r="D180" s="55"/>
      <c r="E180" s="234" t="s">
        <v>139</v>
      </c>
      <c r="F180" s="266" t="s">
        <v>1028</v>
      </c>
      <c r="G180" s="29" t="str">
        <f>HYPERLINK("https://docs.google.com/spreadsheets/d/1JPlwfzR7nDRXOECMiqbba2a7GLMl7Z0iEoT8QyNJHr8/edit#gid=2079860245", "https://docs.google.com/spreadsheets/d/1JPlwfzR7nDRXOECMiqbba2a7GLMl7Z0iEoT8QyNJHr8/edit#gid=2079860245")</f>
        <v>https://docs.google.com/spreadsheets/d/1JPlwfzR7nDRXOECMiqbba2a7GLMl7Z0iEoT8QyNJHr8/edit#gid=2079860245</v>
      </c>
      <c r="H180" s="38" t="s">
        <v>1028</v>
      </c>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15"/>
      <c r="B181" s="247"/>
      <c r="C181" s="54"/>
      <c r="D181" s="55"/>
      <c r="E181" s="249"/>
      <c r="F181" s="249"/>
      <c r="G181" s="29"/>
      <c r="H181" s="30"/>
      <c r="I181" s="31"/>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15"/>
      <c r="B182" s="233" t="s">
        <v>2656</v>
      </c>
      <c r="C182" s="278" t="s">
        <v>2657</v>
      </c>
      <c r="D182" s="53" t="s">
        <v>20</v>
      </c>
      <c r="E182" s="195" t="s">
        <v>88</v>
      </c>
      <c r="F182" s="195" t="s">
        <v>89</v>
      </c>
      <c r="G182" s="29"/>
      <c r="H182" s="36"/>
      <c r="I182" s="36"/>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15"/>
      <c r="B183" s="247"/>
      <c r="D183" s="55"/>
      <c r="E183" s="195" t="s">
        <v>172</v>
      </c>
      <c r="F183" s="195" t="s">
        <v>194</v>
      </c>
      <c r="G183" s="29" t="str">
        <f>HYPERLINK("https://docs.google.com/spreadsheets/d/1UYtE5jbq376S5N_WIQ2zCeFmH10GNpqHOF2bAYbR-sA/edit#gid=632225176", "https://docs.google.com/spreadsheets/d/1UYtE5jbq376S5N_WIQ2zCeFmH10GNpqHOF2bAYbR-sA/edit#gid=632225176")</f>
        <v>https://docs.google.com/spreadsheets/d/1UYtE5jbq376S5N_WIQ2zCeFmH10GNpqHOF2bAYbR-sA/edit#gid=632225176</v>
      </c>
      <c r="H183" s="8" t="s">
        <v>194</v>
      </c>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15"/>
      <c r="B184" s="247"/>
      <c r="D184" s="31"/>
      <c r="E184" s="195" t="s">
        <v>172</v>
      </c>
      <c r="F184" s="195" t="s">
        <v>195</v>
      </c>
      <c r="G184" s="29" t="str">
        <f>HYPERLINK("https://docs.google.com/spreadsheets/d/1UYtE5jbq376S5N_WIQ2zCeFmH10GNpqHOF2bAYbR-sA/edit#gid=1654400482", "https://docs.google.com/spreadsheets/d/1UYtE5jbq376S5N_WIQ2zCeFmH10GNpqHOF2bAYbR-sA/edit#gid=1654400482")</f>
        <v>https://docs.google.com/spreadsheets/d/1UYtE5jbq376S5N_WIQ2zCeFmH10GNpqHOF2bAYbR-sA/edit#gid=1654400482</v>
      </c>
      <c r="H184" s="8" t="s">
        <v>195</v>
      </c>
      <c r="I184" s="9"/>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15"/>
      <c r="B185" s="247"/>
      <c r="D185" s="31"/>
      <c r="E185" s="195" t="s">
        <v>21</v>
      </c>
      <c r="F185" s="195" t="s">
        <v>51</v>
      </c>
      <c r="G185" s="29" t="str">
        <f>HYPERLINK("https://docs.google.com/spreadsheets/d/1UYtE5jbq376S5N_WIQ2zCeFmH10GNpqHOF2bAYbR-sA/edit#gid=1492869112", "https://docs.google.com/spreadsheets/d/1UYtE5jbq376S5N_WIQ2zCeFmH10GNpqHOF2bAYbR-sA/edit#gid=1492869112")</f>
        <v>https://docs.google.com/spreadsheets/d/1UYtE5jbq376S5N_WIQ2zCeFmH10GNpqHOF2bAYbR-sA/edit#gid=1492869112</v>
      </c>
      <c r="H185" s="8" t="s">
        <v>51</v>
      </c>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15"/>
      <c r="B186" s="247"/>
      <c r="D186" s="31"/>
      <c r="E186" s="195" t="s">
        <v>408</v>
      </c>
      <c r="F186" s="195" t="s">
        <v>408</v>
      </c>
      <c r="G186" s="29" t="str">
        <f>HYPERLINK("https://docs.google.com/spreadsheets/d/1UYtE5jbq376S5N_WIQ2zCeFmH10GNpqHOF2bAYbR-sA/edit#gid=1468450845", "https://docs.google.com/spreadsheets/d/1UYtE5jbq376S5N_WIQ2zCeFmH10GNpqHOF2bAYbR-sA/edit#gid=1468450845")</f>
        <v>https://docs.google.com/spreadsheets/d/1UYtE5jbq376S5N_WIQ2zCeFmH10GNpqHOF2bAYbR-sA/edit#gid=1468450845</v>
      </c>
      <c r="H186" s="8" t="s">
        <v>408</v>
      </c>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15"/>
      <c r="B187" s="247"/>
      <c r="D187" s="31"/>
      <c r="E187" s="234" t="s">
        <v>139</v>
      </c>
      <c r="F187" s="195" t="s">
        <v>1025</v>
      </c>
      <c r="G187" s="29" t="str">
        <f>HYPERLINK("https://docs.google.com/spreadsheets/d/1UYtE5jbq376S5N_WIQ2zCeFmH10GNpqHOF2bAYbR-sA/edit#gid=62999567", "https://docs.google.com/spreadsheets/d/1UYtE5jbq376S5N_WIQ2zCeFmH10GNpqHOF2bAYbR-sA/edit#gid=62999567")</f>
        <v>https://docs.google.com/spreadsheets/d/1UYtE5jbq376S5N_WIQ2zCeFmH10GNpqHOF2bAYbR-sA/edit#gid=62999567</v>
      </c>
      <c r="H187" s="8" t="s">
        <v>1025</v>
      </c>
      <c r="I187" s="9"/>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15"/>
      <c r="B188" s="247"/>
      <c r="D188" s="31"/>
      <c r="E188" s="234" t="s">
        <v>139</v>
      </c>
      <c r="F188" s="266" t="s">
        <v>1043</v>
      </c>
      <c r="G188" s="29" t="str">
        <f>HYPERLINK("https://docs.google.com/spreadsheets/d/1UYtE5jbq376S5N_WIQ2zCeFmH10GNpqHOF2bAYbR-sA/edit#gid=2145506871", "https://docs.google.com/spreadsheets/d/1UYtE5jbq376S5N_WIQ2zCeFmH10GNpqHOF2bAYbR-sA/edit#gid=2145506871")</f>
        <v>https://docs.google.com/spreadsheets/d/1UYtE5jbq376S5N_WIQ2zCeFmH10GNpqHOF2bAYbR-sA/edit#gid=2145506871</v>
      </c>
      <c r="H188" s="38" t="s">
        <v>1043</v>
      </c>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15"/>
      <c r="B189" s="247"/>
      <c r="D189" s="31"/>
      <c r="E189" s="234" t="s">
        <v>139</v>
      </c>
      <c r="F189" s="234" t="s">
        <v>1030</v>
      </c>
      <c r="G189" s="29" t="str">
        <f>HYPERLINK("https://docs.google.com/spreadsheets/d/1UYtE5jbq376S5N_WIQ2zCeFmH10GNpqHOF2bAYbR-sA/edit#gid=1810211986", "https://docs.google.com/spreadsheets/d/1UYtE5jbq376S5N_WIQ2zCeFmH10GNpqHOF2bAYbR-sA/edit#gid=1810211986")</f>
        <v>https://docs.google.com/spreadsheets/d/1UYtE5jbq376S5N_WIQ2zCeFmH10GNpqHOF2bAYbR-sA/edit#gid=1810211986</v>
      </c>
      <c r="H189" s="38" t="s">
        <v>1030</v>
      </c>
      <c r="I189" s="31"/>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15"/>
      <c r="B190" s="247"/>
      <c r="D190" s="31"/>
      <c r="E190" s="195" t="s">
        <v>139</v>
      </c>
      <c r="F190" s="195" t="s">
        <v>1028</v>
      </c>
      <c r="G190" s="29" t="str">
        <f>HYPERLINK("https://docs.google.com/spreadsheets/d/1UYtE5jbq376S5N_WIQ2zCeFmH10GNpqHOF2bAYbR-sA/edit#gid=311850754", "https://docs.google.com/spreadsheets/d/1UYtE5jbq376S5N_WIQ2zCeFmH10GNpqHOF2bAYbR-sA/edit#gid=311850754")</f>
        <v>https://docs.google.com/spreadsheets/d/1UYtE5jbq376S5N_WIQ2zCeFmH10GNpqHOF2bAYbR-sA/edit#gid=311850754</v>
      </c>
      <c r="H190" s="8" t="s">
        <v>1028</v>
      </c>
      <c r="I190" s="31"/>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B191" s="247"/>
      <c r="C191" s="54"/>
      <c r="D191" s="55"/>
      <c r="E191" s="248"/>
      <c r="F191" s="248"/>
      <c r="G191" s="29"/>
      <c r="H191" s="31"/>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B192" s="233" t="s">
        <v>2658</v>
      </c>
      <c r="C192" s="278" t="s">
        <v>2659</v>
      </c>
      <c r="D192" s="55"/>
      <c r="E192" s="195" t="s">
        <v>88</v>
      </c>
      <c r="F192" s="195" t="s">
        <v>89</v>
      </c>
      <c r="G192" s="29"/>
      <c r="H192" s="36"/>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15"/>
      <c r="B193" s="247"/>
      <c r="D193" s="55"/>
      <c r="E193" s="195" t="s">
        <v>172</v>
      </c>
      <c r="F193" s="195" t="s">
        <v>194</v>
      </c>
      <c r="G193" s="29" t="str">
        <f>HYPERLINK("https://docs.google.com/spreadsheets/d/1-e5ZAAqYdfUEukuoJU90ZKOncjCv4vWZar9ptZ_2xFM/edit#gid=424617854", "https://docs.google.com/spreadsheets/d/1-e5ZAAqYdfUEukuoJU90ZKOncjCv4vWZar9ptZ_2xFM/edit#gid=424617854")</f>
        <v>https://docs.google.com/spreadsheets/d/1-e5ZAAqYdfUEukuoJU90ZKOncjCv4vWZar9ptZ_2xFM/edit#gid=424617854</v>
      </c>
      <c r="H193" s="8" t="s">
        <v>194</v>
      </c>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15"/>
      <c r="B194" s="247"/>
      <c r="D194" s="55"/>
      <c r="E194" s="234" t="s">
        <v>172</v>
      </c>
      <c r="F194" s="195" t="s">
        <v>195</v>
      </c>
      <c r="G194" s="29" t="str">
        <f>HYPERLINK("https://docs.google.com/spreadsheets/d/1-e5ZAAqYdfUEukuoJU90ZKOncjCv4vWZar9ptZ_2xFM/edit#gid=1248968398", "https://docs.google.com/spreadsheets/d/1-e5ZAAqYdfUEukuoJU90ZKOncjCv4vWZar9ptZ_2xFM/edit#gid=1248968398")</f>
        <v>https://docs.google.com/spreadsheets/d/1-e5ZAAqYdfUEukuoJU90ZKOncjCv4vWZar9ptZ_2xFM/edit#gid=1248968398</v>
      </c>
      <c r="H194" s="8" t="s">
        <v>195</v>
      </c>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15"/>
      <c r="B195" s="247"/>
      <c r="D195" s="55"/>
      <c r="E195" s="234" t="s">
        <v>21</v>
      </c>
      <c r="F195" s="266" t="s">
        <v>51</v>
      </c>
      <c r="G195" s="29" t="str">
        <f>HYPERLINK("https://docs.google.com/spreadsheets/d/1-e5ZAAqYdfUEukuoJU90ZKOncjCv4vWZar9ptZ_2xFM/edit#gid=2047622831", "https://docs.google.com/spreadsheets/d/1-e5ZAAqYdfUEukuoJU90ZKOncjCv4vWZar9ptZ_2xFM/edit#gid=2047622831")</f>
        <v>https://docs.google.com/spreadsheets/d/1-e5ZAAqYdfUEukuoJU90ZKOncjCv4vWZar9ptZ_2xFM/edit#gid=2047622831</v>
      </c>
      <c r="H195" s="38" t="s">
        <v>51</v>
      </c>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15"/>
      <c r="B196" s="247"/>
      <c r="D196" s="55"/>
      <c r="E196" s="234" t="s">
        <v>408</v>
      </c>
      <c r="F196" s="234" t="s">
        <v>408</v>
      </c>
      <c r="G196" s="29" t="str">
        <f>HYPERLINK("https://docs.google.com/spreadsheets/d/1-e5ZAAqYdfUEukuoJU90ZKOncjCv4vWZar9ptZ_2xFM/edit#gid=1799381902", "https://docs.google.com/spreadsheets/d/1-e5ZAAqYdfUEukuoJU90ZKOncjCv4vWZar9ptZ_2xFM/edit#gid=1799381902")</f>
        <v>https://docs.google.com/spreadsheets/d/1-e5ZAAqYdfUEukuoJU90ZKOncjCv4vWZar9ptZ_2xFM/edit#gid=1799381902</v>
      </c>
      <c r="H196" s="38" t="s">
        <v>408</v>
      </c>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15"/>
      <c r="B197" s="247"/>
      <c r="D197" s="55"/>
      <c r="E197" s="195" t="s">
        <v>139</v>
      </c>
      <c r="F197" s="195" t="s">
        <v>1025</v>
      </c>
      <c r="G197" s="29" t="str">
        <f>HYPERLINK("https://docs.google.com/spreadsheets/d/1-e5ZAAqYdfUEukuoJU90ZKOncjCv4vWZar9ptZ_2xFM/edit#gid=177381383", "https://docs.google.com/spreadsheets/d/1-e5ZAAqYdfUEukuoJU90ZKOncjCv4vWZar9ptZ_2xFM/edit#gid=177381383")</f>
        <v>https://docs.google.com/spreadsheets/d/1-e5ZAAqYdfUEukuoJU90ZKOncjCv4vWZar9ptZ_2xFM/edit#gid=177381383</v>
      </c>
      <c r="H197" s="8" t="s">
        <v>1025</v>
      </c>
      <c r="I197" s="31"/>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15"/>
      <c r="B198" s="247"/>
      <c r="D198" s="55"/>
      <c r="E198" s="195" t="s">
        <v>139</v>
      </c>
      <c r="F198" s="195" t="s">
        <v>1043</v>
      </c>
      <c r="G198" s="29" t="str">
        <f>HYPERLINK("https://docs.google.com/spreadsheets/d/1-e5ZAAqYdfUEukuoJU90ZKOncjCv4vWZar9ptZ_2xFM/edit#gid=1540040564", "https://docs.google.com/spreadsheets/d/1-e5ZAAqYdfUEukuoJU90ZKOncjCv4vWZar9ptZ_2xFM/edit#gid=1540040564")</f>
        <v>https://docs.google.com/spreadsheets/d/1-e5ZAAqYdfUEukuoJU90ZKOncjCv4vWZar9ptZ_2xFM/edit#gid=1540040564</v>
      </c>
      <c r="H198" s="8" t="s">
        <v>1043</v>
      </c>
      <c r="I198" s="31"/>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15"/>
      <c r="B199" s="247"/>
      <c r="D199" s="55"/>
      <c r="E199" s="195" t="s">
        <v>139</v>
      </c>
      <c r="F199" s="195" t="s">
        <v>1030</v>
      </c>
      <c r="G199" s="29" t="str">
        <f>HYPERLINK("https://docs.google.com/spreadsheets/d/1-e5ZAAqYdfUEukuoJU90ZKOncjCv4vWZar9ptZ_2xFM/edit#gid=928380883", "https://docs.google.com/spreadsheets/d/1-e5ZAAqYdfUEukuoJU90ZKOncjCv4vWZar9ptZ_2xFM/edit#gid=928380883")</f>
        <v>https://docs.google.com/spreadsheets/d/1-e5ZAAqYdfUEukuoJU90ZKOncjCv4vWZar9ptZ_2xFM/edit#gid=928380883</v>
      </c>
      <c r="H199" s="8" t="s">
        <v>1030</v>
      </c>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15"/>
      <c r="B200" s="247"/>
      <c r="D200" s="55"/>
      <c r="E200" s="195" t="s">
        <v>139</v>
      </c>
      <c r="F200" s="195" t="s">
        <v>1028</v>
      </c>
      <c r="G200" s="29" t="str">
        <f>HYPERLINK("https://docs.google.com/spreadsheets/d/1-e5ZAAqYdfUEukuoJU90ZKOncjCv4vWZar9ptZ_2xFM/edit#gid=1543302058", "https://docs.google.com/spreadsheets/d/1-e5ZAAqYdfUEukuoJU90ZKOncjCv4vWZar9ptZ_2xFM/edit#gid=1543302058")</f>
        <v>https://docs.google.com/spreadsheets/d/1-e5ZAAqYdfUEukuoJU90ZKOncjCv4vWZar9ptZ_2xFM/edit#gid=1543302058</v>
      </c>
      <c r="H200" s="8" t="s">
        <v>1028</v>
      </c>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B201" s="247"/>
      <c r="C201" s="54"/>
      <c r="D201" s="55"/>
      <c r="E201" s="248"/>
      <c r="F201" s="248"/>
      <c r="G201" s="29"/>
      <c r="H201" s="31"/>
      <c r="I201" s="9"/>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15"/>
      <c r="B202" s="233" t="s">
        <v>2660</v>
      </c>
      <c r="C202" s="52" t="s">
        <v>2661</v>
      </c>
      <c r="D202" s="55"/>
      <c r="E202" s="234" t="s">
        <v>88</v>
      </c>
      <c r="F202" s="195" t="s">
        <v>89</v>
      </c>
      <c r="H202" s="36"/>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B203" s="247"/>
      <c r="D203" s="55"/>
      <c r="E203" s="234" t="s">
        <v>172</v>
      </c>
      <c r="F203" s="234" t="s">
        <v>194</v>
      </c>
      <c r="G203" s="29" t="str">
        <f>HYPERLINK("https://docs.google.com/spreadsheets/d/1GT1tWunKb8qCmLFybQBUnkjDOUpJjciy0h220nRUuzY/edit#gid=1271396378", "https://docs.google.com/spreadsheets/d/1GT1tWunKb8qCmLFybQBUnkjDOUpJjciy0h220nRUuzY/edit#gid=1271396378")</f>
        <v>https://docs.google.com/spreadsheets/d/1GT1tWunKb8qCmLFybQBUnkjDOUpJjciy0h220nRUuzY/edit#gid=1271396378</v>
      </c>
      <c r="H203" s="35" t="s">
        <v>194</v>
      </c>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15"/>
      <c r="B204" s="247"/>
      <c r="D204" s="55"/>
      <c r="E204" s="195" t="s">
        <v>172</v>
      </c>
      <c r="F204" s="195" t="s">
        <v>195</v>
      </c>
      <c r="G204" s="29" t="str">
        <f>HYPERLINK("https://docs.google.com/spreadsheets/d/1GT1tWunKb8qCmLFybQBUnkjDOUpJjciy0h220nRUuzY/edit#gid=1422023388", "https://docs.google.com/spreadsheets/d/1GT1tWunKb8qCmLFybQBUnkjDOUpJjciy0h220nRUuzY/edit#gid=1422023388")</f>
        <v>https://docs.google.com/spreadsheets/d/1GT1tWunKb8qCmLFybQBUnkjDOUpJjciy0h220nRUuzY/edit#gid=1422023388</v>
      </c>
      <c r="H204" s="8" t="s">
        <v>195</v>
      </c>
      <c r="I204" s="31"/>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B205" s="247"/>
      <c r="D205" s="55"/>
      <c r="E205" s="195" t="s">
        <v>21</v>
      </c>
      <c r="F205" s="195" t="s">
        <v>51</v>
      </c>
      <c r="G205" s="29" t="str">
        <f>HYPERLINK("https://docs.google.com/spreadsheets/d/1GT1tWunKb8qCmLFybQBUnkjDOUpJjciy0h220nRUuzY/edit#gid=1581116969", "https://docs.google.com/spreadsheets/d/1GT1tWunKb8qCmLFybQBUnkjDOUpJjciy0h220nRUuzY/edit#gid=1581116969")</f>
        <v>https://docs.google.com/spreadsheets/d/1GT1tWunKb8qCmLFybQBUnkjDOUpJjciy0h220nRUuzY/edit#gid=1581116969</v>
      </c>
      <c r="H205" s="8" t="s">
        <v>51</v>
      </c>
      <c r="I205" s="31"/>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247"/>
      <c r="D206" s="55"/>
      <c r="E206" s="195" t="s">
        <v>408</v>
      </c>
      <c r="F206" s="195" t="s">
        <v>408</v>
      </c>
      <c r="G206" s="29" t="str">
        <f>HYPERLINK("https://docs.google.com/spreadsheets/d/1GT1tWunKb8qCmLFybQBUnkjDOUpJjciy0h220nRUuzY/edit#gid=1168526557", "https://docs.google.com/spreadsheets/d/1GT1tWunKb8qCmLFybQBUnkjDOUpJjciy0h220nRUuzY/edit#gid=1168526557")</f>
        <v>https://docs.google.com/spreadsheets/d/1GT1tWunKb8qCmLFybQBUnkjDOUpJjciy0h220nRUuzY/edit#gid=1168526557</v>
      </c>
      <c r="H206" s="8" t="s">
        <v>408</v>
      </c>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247"/>
      <c r="D207" s="55"/>
      <c r="E207" s="195" t="s">
        <v>139</v>
      </c>
      <c r="F207" s="195" t="s">
        <v>1025</v>
      </c>
      <c r="G207" s="29" t="str">
        <f>HYPERLINK("https://docs.google.com/spreadsheets/d/1GT1tWunKb8qCmLFybQBUnkjDOUpJjciy0h220nRUuzY/edit#gid=743691000", "https://docs.google.com/spreadsheets/d/1GT1tWunKb8qCmLFybQBUnkjDOUpJjciy0h220nRUuzY/edit#gid=743691000")</f>
        <v>https://docs.google.com/spreadsheets/d/1GT1tWunKb8qCmLFybQBUnkjDOUpJjciy0h220nRUuzY/edit#gid=743691000</v>
      </c>
      <c r="H207" s="8" t="s">
        <v>1025</v>
      </c>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B208" s="247"/>
      <c r="D208" s="55"/>
      <c r="E208" s="234" t="s">
        <v>139</v>
      </c>
      <c r="F208" s="195" t="s">
        <v>1043</v>
      </c>
      <c r="G208" s="29" t="str">
        <f>HYPERLINK("https://docs.google.com/spreadsheets/d/1GT1tWunKb8qCmLFybQBUnkjDOUpJjciy0h220nRUuzY/edit#gid=271367940", "https://docs.google.com/spreadsheets/d/1GT1tWunKb8qCmLFybQBUnkjDOUpJjciy0h220nRUuzY/edit#gid=271367940")</f>
        <v>https://docs.google.com/spreadsheets/d/1GT1tWunKb8qCmLFybQBUnkjDOUpJjciy0h220nRUuzY/edit#gid=271367940</v>
      </c>
      <c r="H208" s="8" t="s">
        <v>1043</v>
      </c>
      <c r="I208" s="9"/>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B209" s="247"/>
      <c r="D209" s="55"/>
      <c r="E209" s="234" t="s">
        <v>139</v>
      </c>
      <c r="F209" s="195" t="s">
        <v>1030</v>
      </c>
      <c r="G209" s="29" t="str">
        <f>HYPERLINK("https://docs.google.com/spreadsheets/d/1GT1tWunKb8qCmLFybQBUnkjDOUpJjciy0h220nRUuzY/edit#gid=1537122593", "https://docs.google.com/spreadsheets/d/1GT1tWunKb8qCmLFybQBUnkjDOUpJjciy0h220nRUuzY/edit#gid=1537122593")</f>
        <v>https://docs.google.com/spreadsheets/d/1GT1tWunKb8qCmLFybQBUnkjDOUpJjciy0h220nRUuzY/edit#gid=1537122593</v>
      </c>
      <c r="H209" s="8" t="s">
        <v>1030</v>
      </c>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B210" s="247"/>
      <c r="D210" s="55"/>
      <c r="E210" s="234" t="s">
        <v>139</v>
      </c>
      <c r="F210" s="266" t="s">
        <v>1028</v>
      </c>
      <c r="G210" s="29" t="str">
        <f>HYPERLINK("https://docs.google.com/spreadsheets/d/1GT1tWunKb8qCmLFybQBUnkjDOUpJjciy0h220nRUuzY/edit#gid=515369853", "https://docs.google.com/spreadsheets/d/1GT1tWunKb8qCmLFybQBUnkjDOUpJjciy0h220nRUuzY/edit#gid=515369853")</f>
        <v>https://docs.google.com/spreadsheets/d/1GT1tWunKb8qCmLFybQBUnkjDOUpJjciy0h220nRUuzY/edit#gid=515369853</v>
      </c>
      <c r="H210" s="38" t="s">
        <v>1028</v>
      </c>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B211" s="247"/>
      <c r="C211" s="54"/>
      <c r="D211" s="55"/>
      <c r="E211" s="249"/>
      <c r="F211" s="249"/>
      <c r="G211" s="29"/>
      <c r="H211" s="30"/>
      <c r="I211" s="9"/>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B212" s="233" t="s">
        <v>2662</v>
      </c>
      <c r="C212" s="52" t="s">
        <v>2663</v>
      </c>
      <c r="D212" s="55"/>
      <c r="E212" s="195" t="s">
        <v>88</v>
      </c>
      <c r="F212" s="195" t="s">
        <v>89</v>
      </c>
      <c r="G212" s="29"/>
      <c r="H212" s="36"/>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B213" s="247"/>
      <c r="D213" s="55"/>
      <c r="E213" s="195" t="s">
        <v>172</v>
      </c>
      <c r="F213" s="195" t="s">
        <v>194</v>
      </c>
      <c r="G213" s="29" t="str">
        <f>HYPERLINK("https://docs.google.com/spreadsheets/d/1qd62z59D75YOUO1oO2YJJyW-oDv40-nuGoiNzFWxenM/edit#gid=923780849", "https://docs.google.com/spreadsheets/d/1qd62z59D75YOUO1oO2YJJyW-oDv40-nuGoiNzFWxenM/edit#gid=923780849")</f>
        <v>https://docs.google.com/spreadsheets/d/1qd62z59D75YOUO1oO2YJJyW-oDv40-nuGoiNzFWxenM/edit#gid=923780849</v>
      </c>
      <c r="H213" s="8" t="s">
        <v>194</v>
      </c>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B214" s="247"/>
      <c r="D214" s="55"/>
      <c r="E214" s="195" t="s">
        <v>172</v>
      </c>
      <c r="F214" s="195" t="s">
        <v>195</v>
      </c>
      <c r="G214" s="29" t="str">
        <f>HYPERLINK("https://docs.google.com/spreadsheets/d/1qd62z59D75YOUO1oO2YJJyW-oDv40-nuGoiNzFWxenM/edit#gid=1469171745", "https://docs.google.com/spreadsheets/d/1qd62z59D75YOUO1oO2YJJyW-oDv40-nuGoiNzFWxenM/edit#gid=1469171745")</f>
        <v>https://docs.google.com/spreadsheets/d/1qd62z59D75YOUO1oO2YJJyW-oDv40-nuGoiNzFWxenM/edit#gid=1469171745</v>
      </c>
      <c r="H214" s="8" t="s">
        <v>195</v>
      </c>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B215" s="247"/>
      <c r="D215" s="55"/>
      <c r="E215" s="195" t="s">
        <v>21</v>
      </c>
      <c r="F215" s="195" t="s">
        <v>51</v>
      </c>
      <c r="G215" s="29" t="str">
        <f>HYPERLINK("https://docs.google.com/spreadsheets/d/1qd62z59D75YOUO1oO2YJJyW-oDv40-nuGoiNzFWxenM/edit#gid=1667391463", "https://docs.google.com/spreadsheets/d/1qd62z59D75YOUO1oO2YJJyW-oDv40-nuGoiNzFWxenM/edit#gid=1667391463")</f>
        <v>https://docs.google.com/spreadsheets/d/1qd62z59D75YOUO1oO2YJJyW-oDv40-nuGoiNzFWxenM/edit#gid=1667391463</v>
      </c>
      <c r="H215" s="8" t="s">
        <v>51</v>
      </c>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B216" s="247"/>
      <c r="D216" s="55"/>
      <c r="E216" s="195" t="s">
        <v>408</v>
      </c>
      <c r="F216" s="195" t="s">
        <v>408</v>
      </c>
      <c r="G216" s="29" t="str">
        <f>HYPERLINK("https://docs.google.com/spreadsheets/d/1qd62z59D75YOUO1oO2YJJyW-oDv40-nuGoiNzFWxenM/edit#gid=1756447024", "https://docs.google.com/spreadsheets/d/1qd62z59D75YOUO1oO2YJJyW-oDv40-nuGoiNzFWxenM/edit#gid=1756447024")</f>
        <v>https://docs.google.com/spreadsheets/d/1qd62z59D75YOUO1oO2YJJyW-oDv40-nuGoiNzFWxenM/edit#gid=1756447024</v>
      </c>
      <c r="H216" s="8" t="s">
        <v>408</v>
      </c>
      <c r="I216" s="9"/>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247"/>
      <c r="D217" s="55"/>
      <c r="E217" s="195" t="s">
        <v>139</v>
      </c>
      <c r="F217" s="195" t="s">
        <v>1025</v>
      </c>
      <c r="G217" s="29" t="str">
        <f>HYPERLINK("https://docs.google.com/spreadsheets/d/1qd62z59D75YOUO1oO2YJJyW-oDv40-nuGoiNzFWxenM/edit#gid=907141962", "https://docs.google.com/spreadsheets/d/1qd62z59D75YOUO1oO2YJJyW-oDv40-nuGoiNzFWxenM/edit#gid=907141962")</f>
        <v>https://docs.google.com/spreadsheets/d/1qd62z59D75YOUO1oO2YJJyW-oDv40-nuGoiNzFWxenM/edit#gid=907141962</v>
      </c>
      <c r="H217" s="8" t="s">
        <v>1025</v>
      </c>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247"/>
      <c r="D218" s="55"/>
      <c r="E218" s="234" t="s">
        <v>139</v>
      </c>
      <c r="F218" s="266" t="s">
        <v>1043</v>
      </c>
      <c r="G218" s="29" t="str">
        <f>HYPERLINK("https://docs.google.com/spreadsheets/d/1qd62z59D75YOUO1oO2YJJyW-oDv40-nuGoiNzFWxenM/edit#gid=1816850977", "https://docs.google.com/spreadsheets/d/1qd62z59D75YOUO1oO2YJJyW-oDv40-nuGoiNzFWxenM/edit#gid=1816850977")</f>
        <v>https://docs.google.com/spreadsheets/d/1qd62z59D75YOUO1oO2YJJyW-oDv40-nuGoiNzFWxenM/edit#gid=1816850977</v>
      </c>
      <c r="H218" s="38" t="s">
        <v>1043</v>
      </c>
      <c r="I218" s="31"/>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247"/>
      <c r="D219" s="55"/>
      <c r="E219" s="234" t="s">
        <v>139</v>
      </c>
      <c r="F219" s="234" t="s">
        <v>1030</v>
      </c>
      <c r="G219" s="29" t="str">
        <f>HYPERLINK("https://docs.google.com/spreadsheets/d/1qd62z59D75YOUO1oO2YJJyW-oDv40-nuGoiNzFWxenM/edit#gid=1988737368", "https://docs.google.com/spreadsheets/d/1qd62z59D75YOUO1oO2YJJyW-oDv40-nuGoiNzFWxenM/edit#gid=1988737368")</f>
        <v>https://docs.google.com/spreadsheets/d/1qd62z59D75YOUO1oO2YJJyW-oDv40-nuGoiNzFWxenM/edit#gid=1988737368</v>
      </c>
      <c r="H219" s="38" t="s">
        <v>1030</v>
      </c>
      <c r="I219" s="31"/>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B220" s="247"/>
      <c r="D220" s="55"/>
      <c r="E220" s="195" t="s">
        <v>139</v>
      </c>
      <c r="F220" s="280" t="s">
        <v>1028</v>
      </c>
      <c r="G220" s="29" t="str">
        <f>HYPERLINK("https://docs.google.com/spreadsheets/d/1qd62z59D75YOUO1oO2YJJyW-oDv40-nuGoiNzFWxenM/edit#gid=706053746", "https://docs.google.com/spreadsheets/d/1qd62z59D75YOUO1oO2YJJyW-oDv40-nuGoiNzFWxenM/edit#gid=706053746")</f>
        <v>https://docs.google.com/spreadsheets/d/1qd62z59D75YOUO1oO2YJJyW-oDv40-nuGoiNzFWxenM/edit#gid=706053746</v>
      </c>
      <c r="H220" s="58" t="s">
        <v>1028</v>
      </c>
      <c r="I220" s="9"/>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B221" s="247"/>
      <c r="C221" s="54"/>
      <c r="D221" s="55"/>
      <c r="E221" s="248"/>
      <c r="F221" s="248"/>
      <c r="G221" s="29"/>
      <c r="H221" s="31"/>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B222" s="233" t="s">
        <v>2664</v>
      </c>
      <c r="C222" s="39" t="s">
        <v>2665</v>
      </c>
      <c r="D222" s="31"/>
      <c r="E222" s="195" t="s">
        <v>88</v>
      </c>
      <c r="F222" s="195" t="s">
        <v>89</v>
      </c>
      <c r="G222" s="29"/>
      <c r="H222" s="36"/>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B223" s="247"/>
      <c r="D223" s="31"/>
      <c r="E223" s="195" t="s">
        <v>172</v>
      </c>
      <c r="F223" s="195" t="s">
        <v>194</v>
      </c>
      <c r="G223" s="29" t="str">
        <f>HYPERLINK("https://docs.google.com/spreadsheets/d/1UL7WtH8e1zf7LO5iw4RA1CagnWlmmx5D8GcXkwvXIm4/edit#gid=2088549431", "https://docs.google.com/spreadsheets/d/1UL7WtH8e1zf7LO5iw4RA1CagnWlmmx5D8GcXkwvXIm4/edit#gid=2088549431")</f>
        <v>https://docs.google.com/spreadsheets/d/1UL7WtH8e1zf7LO5iw4RA1CagnWlmmx5D8GcXkwvXIm4/edit#gid=2088549431</v>
      </c>
      <c r="H223" s="8" t="s">
        <v>194</v>
      </c>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B224" s="247"/>
      <c r="D224" s="31"/>
      <c r="E224" s="195" t="s">
        <v>172</v>
      </c>
      <c r="F224" s="195" t="s">
        <v>195</v>
      </c>
      <c r="G224" s="29" t="str">
        <f>HYPERLINK("https://docs.google.com/spreadsheets/d/1UL7WtH8e1zf7LO5iw4RA1CagnWlmmx5D8GcXkwvXIm4/edit#gid=1849048734", "https://docs.google.com/spreadsheets/d/1UL7WtH8e1zf7LO5iw4RA1CagnWlmmx5D8GcXkwvXIm4/edit#gid=1849048734")</f>
        <v>https://docs.google.com/spreadsheets/d/1UL7WtH8e1zf7LO5iw4RA1CagnWlmmx5D8GcXkwvXIm4/edit#gid=1849048734</v>
      </c>
      <c r="H224" s="8" t="s">
        <v>195</v>
      </c>
      <c r="I224" s="9"/>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B225" s="247"/>
      <c r="D225" s="31"/>
      <c r="E225" s="195" t="s">
        <v>21</v>
      </c>
      <c r="F225" s="195" t="s">
        <v>51</v>
      </c>
      <c r="G225" s="29" t="str">
        <f>HYPERLINK("https://docs.google.com/spreadsheets/d/1UL7WtH8e1zf7LO5iw4RA1CagnWlmmx5D8GcXkwvXIm4/edit#gid=571248365", "https://docs.google.com/spreadsheets/d/1UL7WtH8e1zf7LO5iw4RA1CagnWlmmx5D8GcXkwvXIm4/edit#gid=571248365")</f>
        <v>https://docs.google.com/spreadsheets/d/1UL7WtH8e1zf7LO5iw4RA1CagnWlmmx5D8GcXkwvXIm4/edit#gid=571248365</v>
      </c>
      <c r="H225" s="8" t="s">
        <v>51</v>
      </c>
      <c r="I225" s="31"/>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B226" s="247"/>
      <c r="D226" s="31"/>
      <c r="E226" s="234" t="s">
        <v>408</v>
      </c>
      <c r="F226" s="195" t="s">
        <v>408</v>
      </c>
      <c r="G226" s="29" t="str">
        <f>HYPERLINK("https://docs.google.com/spreadsheets/d/1UL7WtH8e1zf7LO5iw4RA1CagnWlmmx5D8GcXkwvXIm4/edit#gid=1861435574", "https://docs.google.com/spreadsheets/d/1UL7WtH8e1zf7LO5iw4RA1CagnWlmmx5D8GcXkwvXIm4/edit#gid=1861435574")</f>
        <v>https://docs.google.com/spreadsheets/d/1UL7WtH8e1zf7LO5iw4RA1CagnWlmmx5D8GcXkwvXIm4/edit#gid=1861435574</v>
      </c>
      <c r="H226" s="8" t="s">
        <v>408</v>
      </c>
      <c r="I226" s="31"/>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B227" s="247"/>
      <c r="D227" s="31"/>
      <c r="E227" s="234" t="s">
        <v>139</v>
      </c>
      <c r="F227" s="266" t="s">
        <v>1025</v>
      </c>
      <c r="G227" s="29" t="str">
        <f>HYPERLINK("https://docs.google.com/spreadsheets/d/1UL7WtH8e1zf7LO5iw4RA1CagnWlmmx5D8GcXkwvXIm4/edit#gid=258489412", "https://docs.google.com/spreadsheets/d/1UL7WtH8e1zf7LO5iw4RA1CagnWlmmx5D8GcXkwvXIm4/edit#gid=258489412")</f>
        <v>https://docs.google.com/spreadsheets/d/1UL7WtH8e1zf7LO5iw4RA1CagnWlmmx5D8GcXkwvXIm4/edit#gid=258489412</v>
      </c>
      <c r="H227" s="38" t="s">
        <v>1025</v>
      </c>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B228" s="247"/>
      <c r="D228" s="31"/>
      <c r="E228" s="234" t="s">
        <v>139</v>
      </c>
      <c r="F228" s="234" t="s">
        <v>1043</v>
      </c>
      <c r="G228" s="29" t="str">
        <f>HYPERLINK("https://docs.google.com/spreadsheets/d/1UL7WtH8e1zf7LO5iw4RA1CagnWlmmx5D8GcXkwvXIm4/edit#gid=694553271", "https://docs.google.com/spreadsheets/d/1UL7WtH8e1zf7LO5iw4RA1CagnWlmmx5D8GcXkwvXIm4/edit#gid=694553271")</f>
        <v>https://docs.google.com/spreadsheets/d/1UL7WtH8e1zf7LO5iw4RA1CagnWlmmx5D8GcXkwvXIm4/edit#gid=694553271</v>
      </c>
      <c r="H228" s="38" t="s">
        <v>1043</v>
      </c>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B229" s="247"/>
      <c r="D229" s="31"/>
      <c r="E229" s="195" t="s">
        <v>139</v>
      </c>
      <c r="F229" s="280" t="s">
        <v>1030</v>
      </c>
      <c r="G229" s="29" t="str">
        <f>HYPERLINK("https://docs.google.com/spreadsheets/d/1UL7WtH8e1zf7LO5iw4RA1CagnWlmmx5D8GcXkwvXIm4/edit#gid=1667754794", "https://docs.google.com/spreadsheets/d/1UL7WtH8e1zf7LO5iw4RA1CagnWlmmx5D8GcXkwvXIm4/edit#gid=1667754794")</f>
        <v>https://docs.google.com/spreadsheets/d/1UL7WtH8e1zf7LO5iw4RA1CagnWlmmx5D8GcXkwvXIm4/edit#gid=1667754794</v>
      </c>
      <c r="H229" s="58" t="s">
        <v>1030</v>
      </c>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247"/>
      <c r="C230" s="54"/>
      <c r="D230" s="55"/>
      <c r="E230" s="195" t="s">
        <v>139</v>
      </c>
      <c r="F230" s="195" t="s">
        <v>1028</v>
      </c>
      <c r="G230" s="29" t="str">
        <f>HYPERLINK("https://docs.google.com/spreadsheets/d/1UL7WtH8e1zf7LO5iw4RA1CagnWlmmx5D8GcXkwvXIm4/edit#gid=1045025189", "https://docs.google.com/spreadsheets/d/1UL7WtH8e1zf7LO5iw4RA1CagnWlmmx5D8GcXkwvXIm4/edit#gid=1045025189")</f>
        <v>https://docs.google.com/spreadsheets/d/1UL7WtH8e1zf7LO5iw4RA1CagnWlmmx5D8GcXkwvXIm4/edit#gid=1045025189</v>
      </c>
      <c r="H230" s="8" t="s">
        <v>1028</v>
      </c>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247"/>
      <c r="C231" s="54"/>
      <c r="D231" s="55"/>
      <c r="E231" s="195"/>
      <c r="F231" s="195"/>
      <c r="G231" s="29"/>
      <c r="H231" s="31"/>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B232" s="233" t="s">
        <v>2666</v>
      </c>
      <c r="C232" s="52" t="s">
        <v>2667</v>
      </c>
      <c r="D232" s="55"/>
      <c r="E232" s="195" t="s">
        <v>88</v>
      </c>
      <c r="F232" s="195" t="s">
        <v>89</v>
      </c>
      <c r="G232" s="29"/>
      <c r="H232" s="36"/>
      <c r="I232" s="36"/>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B233" s="247"/>
      <c r="D233" s="55"/>
      <c r="E233" s="195" t="s">
        <v>172</v>
      </c>
      <c r="F233" s="195" t="s">
        <v>194</v>
      </c>
      <c r="G233" s="29" t="str">
        <f>HYPERLINK("https://docs.google.com/spreadsheets/d/1gDaO68ymb2cBM-qKqwmZGHGhUNB9YYBIa_VOuZEYNkY/edit#gid=1655197219", "https://docs.google.com/spreadsheets/d/1gDaO68ymb2cBM-qKqwmZGHGhUNB9YYBIa_VOuZEYNkY/edit#gid=1655197219")</f>
        <v>https://docs.google.com/spreadsheets/d/1gDaO68ymb2cBM-qKqwmZGHGhUNB9YYBIa_VOuZEYNkY/edit#gid=1655197219</v>
      </c>
      <c r="H233" s="8" t="s">
        <v>194</v>
      </c>
      <c r="I233" s="31"/>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B234" s="247"/>
      <c r="D234" s="55"/>
      <c r="E234" s="234" t="s">
        <v>172</v>
      </c>
      <c r="F234" s="195" t="s">
        <v>195</v>
      </c>
      <c r="G234" s="29" t="str">
        <f>HYPERLINK("https://docs.google.com/spreadsheets/d/1gDaO68ymb2cBM-qKqwmZGHGhUNB9YYBIa_VOuZEYNkY/edit#gid=403969700", "https://docs.google.com/spreadsheets/d/1gDaO68ymb2cBM-qKqwmZGHGhUNB9YYBIa_VOuZEYNkY/edit#gid=403969700")</f>
        <v>https://docs.google.com/spreadsheets/d/1gDaO68ymb2cBM-qKqwmZGHGhUNB9YYBIa_VOuZEYNkY/edit#gid=403969700</v>
      </c>
      <c r="H234" s="8" t="s">
        <v>195</v>
      </c>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B235" s="247"/>
      <c r="D235" s="55"/>
      <c r="E235" s="234" t="s">
        <v>21</v>
      </c>
      <c r="F235" s="266" t="s">
        <v>51</v>
      </c>
      <c r="G235" s="29" t="str">
        <f>HYPERLINK("https://docs.google.com/spreadsheets/d/1gDaO68ymb2cBM-qKqwmZGHGhUNB9YYBIa_VOuZEYNkY/edit#gid=130407546", "https://docs.google.com/spreadsheets/d/1gDaO68ymb2cBM-qKqwmZGHGhUNB9YYBIa_VOuZEYNkY/edit#gid=130407546")</f>
        <v>https://docs.google.com/spreadsheets/d/1gDaO68ymb2cBM-qKqwmZGHGhUNB9YYBIa_VOuZEYNkY/edit#gid=130407546</v>
      </c>
      <c r="H235" s="38" t="s">
        <v>51</v>
      </c>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B236" s="247"/>
      <c r="D236" s="55"/>
      <c r="E236" s="234" t="s">
        <v>408</v>
      </c>
      <c r="F236" s="234" t="s">
        <v>408</v>
      </c>
      <c r="G236" s="29" t="str">
        <f>HYPERLINK("https://docs.google.com/spreadsheets/d/1gDaO68ymb2cBM-qKqwmZGHGhUNB9YYBIa_VOuZEYNkY/edit#gid=289741183", "https://docs.google.com/spreadsheets/d/1gDaO68ymb2cBM-qKqwmZGHGhUNB9YYBIa_VOuZEYNkY/edit#gid=289741183")</f>
        <v>https://docs.google.com/spreadsheets/d/1gDaO68ymb2cBM-qKqwmZGHGhUNB9YYBIa_VOuZEYNkY/edit#gid=289741183</v>
      </c>
      <c r="H236" s="38" t="s">
        <v>408</v>
      </c>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B237" s="247"/>
      <c r="D237" s="55"/>
      <c r="E237" s="195" t="s">
        <v>139</v>
      </c>
      <c r="F237" s="280" t="s">
        <v>1025</v>
      </c>
      <c r="G237" s="29" t="str">
        <f>HYPERLINK("https://docs.google.com/spreadsheets/d/1gDaO68ymb2cBM-qKqwmZGHGhUNB9YYBIa_VOuZEYNkY/edit#gid=10691013", "https://docs.google.com/spreadsheets/d/1gDaO68ymb2cBM-qKqwmZGHGhUNB9YYBIa_VOuZEYNkY/edit#gid=10691013")</f>
        <v>https://docs.google.com/spreadsheets/d/1gDaO68ymb2cBM-qKqwmZGHGhUNB9YYBIa_VOuZEYNkY/edit#gid=10691013</v>
      </c>
      <c r="H237" s="58" t="s">
        <v>1025</v>
      </c>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B238" s="247"/>
      <c r="D238" s="31"/>
      <c r="E238" s="234" t="s">
        <v>139</v>
      </c>
      <c r="F238" s="195" t="s">
        <v>1043</v>
      </c>
      <c r="G238" s="29" t="str">
        <f>HYPERLINK("https://docs.google.com/spreadsheets/d/1gDaO68ymb2cBM-qKqwmZGHGhUNB9YYBIa_VOuZEYNkY/edit#gid=1355291681", "https://docs.google.com/spreadsheets/d/1gDaO68ymb2cBM-qKqwmZGHGhUNB9YYBIa_VOuZEYNkY/edit#gid=1355291681")</f>
        <v>https://docs.google.com/spreadsheets/d/1gDaO68ymb2cBM-qKqwmZGHGhUNB9YYBIa_VOuZEYNkY/edit#gid=1355291681</v>
      </c>
      <c r="H238" s="8" t="s">
        <v>1043</v>
      </c>
      <c r="I238" s="9"/>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B239" s="233"/>
      <c r="D239" s="55"/>
      <c r="E239" s="195" t="s">
        <v>139</v>
      </c>
      <c r="F239" s="195" t="s">
        <v>1030</v>
      </c>
      <c r="G239" s="34" t="str">
        <f>HYPERLINK("https://docs.google.com/spreadsheets/d/1gDaO68ymb2cBM-qKqwmZGHGhUNB9YYBIa_VOuZEYNkY/edit#gid=285418804", "https://docs.google.com/spreadsheets/d/1gDaO68ymb2cBM-qKqwmZGHGhUNB9YYBIa_VOuZEYNkY/edit#gid=285418804")</f>
        <v>https://docs.google.com/spreadsheets/d/1gDaO68ymb2cBM-qKqwmZGHGhUNB9YYBIa_VOuZEYNkY/edit#gid=285418804</v>
      </c>
      <c r="H239" s="8" t="s">
        <v>1030</v>
      </c>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B240" s="233"/>
      <c r="D240" s="55"/>
      <c r="E240" s="195" t="s">
        <v>139</v>
      </c>
      <c r="F240" s="195" t="s">
        <v>1028</v>
      </c>
      <c r="G240" s="34" t="str">
        <f>HYPERLINK("https://docs.google.com/spreadsheets/d/1gDaO68ymb2cBM-qKqwmZGHGhUNB9YYBIa_VOuZEYNkY/edit#gid=269703583", "https://docs.google.com/spreadsheets/d/1gDaO68ymb2cBM-qKqwmZGHGhUNB9YYBIa_VOuZEYNkY/edit#gid=269703583")</f>
        <v>https://docs.google.com/spreadsheets/d/1gDaO68ymb2cBM-qKqwmZGHGhUNB9YYBIa_VOuZEYNkY/edit#gid=269703583</v>
      </c>
      <c r="H240" s="8" t="s">
        <v>1028</v>
      </c>
      <c r="I240" s="9"/>
      <c r="J240" s="9"/>
      <c r="K240" s="61"/>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B241" s="233"/>
      <c r="C241" s="54"/>
      <c r="D241" s="55"/>
      <c r="E241" s="248"/>
      <c r="F241" s="248"/>
      <c r="G241" s="34"/>
      <c r="H241" s="31"/>
      <c r="I241" s="31"/>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B242" s="233" t="s">
        <v>2668</v>
      </c>
      <c r="C242" s="52" t="s">
        <v>2669</v>
      </c>
      <c r="D242" s="55"/>
      <c r="E242" s="234" t="s">
        <v>88</v>
      </c>
      <c r="F242" s="195" t="s">
        <v>89</v>
      </c>
      <c r="G242" s="34"/>
      <c r="H242" s="36"/>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233"/>
      <c r="D243" s="55"/>
      <c r="E243" s="234" t="s">
        <v>172</v>
      </c>
      <c r="F243" s="266" t="s">
        <v>194</v>
      </c>
      <c r="G243" s="34" t="str">
        <f>HYPERLINK("https://docs.google.com/spreadsheets/d/1OcBgsSB5lli5ZQclvWUfxrPcyvJ2N0HfVDKCyR3RQZk/edit#gid=1579958514", "https://docs.google.com/spreadsheets/d/1OcBgsSB5lli5ZQclvWUfxrPcyvJ2N0HfVDKCyR3RQZk/edit#gid=1579958514")</f>
        <v>https://docs.google.com/spreadsheets/d/1OcBgsSB5lli5ZQclvWUfxrPcyvJ2N0HfVDKCyR3RQZk/edit#gid=1579958514</v>
      </c>
      <c r="H243" s="38" t="s">
        <v>194</v>
      </c>
      <c r="I243" s="31"/>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233"/>
      <c r="D244" s="55"/>
      <c r="E244" s="234" t="s">
        <v>172</v>
      </c>
      <c r="F244" s="234" t="s">
        <v>195</v>
      </c>
      <c r="G244" s="34" t="str">
        <f>HYPERLINK("https://docs.google.com/spreadsheets/d/1OcBgsSB5lli5ZQclvWUfxrPcyvJ2N0HfVDKCyR3RQZk/edit#gid=717255021", "https://docs.google.com/spreadsheets/d/1OcBgsSB5lli5ZQclvWUfxrPcyvJ2N0HfVDKCyR3RQZk/edit#gid=717255021")</f>
        <v>https://docs.google.com/spreadsheets/d/1OcBgsSB5lli5ZQclvWUfxrPcyvJ2N0HfVDKCyR3RQZk/edit#gid=717255021</v>
      </c>
      <c r="H244" s="38" t="s">
        <v>195</v>
      </c>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B245" s="233"/>
      <c r="D245" s="55"/>
      <c r="E245" s="195" t="s">
        <v>21</v>
      </c>
      <c r="F245" s="195" t="s">
        <v>51</v>
      </c>
      <c r="G245" s="34" t="str">
        <f>HYPERLINK("https://docs.google.com/spreadsheets/d/1OcBgsSB5lli5ZQclvWUfxrPcyvJ2N0HfVDKCyR3RQZk/edit#gid=933553539", "https://docs.google.com/spreadsheets/d/1OcBgsSB5lli5ZQclvWUfxrPcyvJ2N0HfVDKCyR3RQZk/edit#gid=933553539")</f>
        <v>https://docs.google.com/spreadsheets/d/1OcBgsSB5lli5ZQclvWUfxrPcyvJ2N0HfVDKCyR3RQZk/edit#gid=933553539</v>
      </c>
      <c r="H245" s="8" t="s">
        <v>51</v>
      </c>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B246" s="233"/>
      <c r="D246" s="55"/>
      <c r="E246" s="195" t="s">
        <v>408</v>
      </c>
      <c r="F246" s="281" t="s">
        <v>408</v>
      </c>
      <c r="G246" s="34" t="str">
        <f>HYPERLINK("https://docs.google.com/spreadsheets/d/1OcBgsSB5lli5ZQclvWUfxrPcyvJ2N0HfVDKCyR3RQZk/edit#gid=1410689830", "https://docs.google.com/spreadsheets/d/1OcBgsSB5lli5ZQclvWUfxrPcyvJ2N0HfVDKCyR3RQZk/edit#gid=1410689830")</f>
        <v>https://docs.google.com/spreadsheets/d/1OcBgsSB5lli5ZQclvWUfxrPcyvJ2N0HfVDKCyR3RQZk/edit#gid=1410689830</v>
      </c>
      <c r="H246" s="62" t="s">
        <v>408</v>
      </c>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B247" s="233"/>
      <c r="D247" s="55"/>
      <c r="E247" s="195" t="s">
        <v>139</v>
      </c>
      <c r="F247" s="195" t="s">
        <v>1025</v>
      </c>
      <c r="G247" s="34" t="str">
        <f>HYPERLINK("https://docs.google.com/spreadsheets/d/1OcBgsSB5lli5ZQclvWUfxrPcyvJ2N0HfVDKCyR3RQZk/edit#gid=572617448", "https://docs.google.com/spreadsheets/d/1OcBgsSB5lli5ZQclvWUfxrPcyvJ2N0HfVDKCyR3RQZk/edit#gid=572617448")</f>
        <v>https://docs.google.com/spreadsheets/d/1OcBgsSB5lli5ZQclvWUfxrPcyvJ2N0HfVDKCyR3RQZk/edit#gid=572617448</v>
      </c>
      <c r="H247" s="8" t="s">
        <v>1025</v>
      </c>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B248" s="233"/>
      <c r="D248" s="31"/>
      <c r="E248" s="195" t="s">
        <v>139</v>
      </c>
      <c r="F248" s="195" t="s">
        <v>1043</v>
      </c>
      <c r="G248" s="34" t="str">
        <f>HYPERLINK("https://docs.google.com/spreadsheets/d/1OcBgsSB5lli5ZQclvWUfxrPcyvJ2N0HfVDKCyR3RQZk/edit#gid=1806400688", "https://docs.google.com/spreadsheets/d/1OcBgsSB5lli5ZQclvWUfxrPcyvJ2N0HfVDKCyR3RQZk/edit#gid=1806400688")</f>
        <v>https://docs.google.com/spreadsheets/d/1OcBgsSB5lli5ZQclvWUfxrPcyvJ2N0HfVDKCyR3RQZk/edit#gid=1806400688</v>
      </c>
      <c r="H248" s="8" t="s">
        <v>1043</v>
      </c>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B249" s="233"/>
      <c r="D249" s="31"/>
      <c r="E249" s="195" t="s">
        <v>139</v>
      </c>
      <c r="F249" s="195" t="s">
        <v>1030</v>
      </c>
      <c r="G249" s="34" t="str">
        <f>HYPERLINK("https://docs.google.com/spreadsheets/d/1OcBgsSB5lli5ZQclvWUfxrPcyvJ2N0HfVDKCyR3RQZk/edit#gid=390544188", "https://docs.google.com/spreadsheets/d/1OcBgsSB5lli5ZQclvWUfxrPcyvJ2N0HfVDKCyR3RQZk/edit#gid=390544188")</f>
        <v>https://docs.google.com/spreadsheets/d/1OcBgsSB5lli5ZQclvWUfxrPcyvJ2N0HfVDKCyR3RQZk/edit#gid=390544188</v>
      </c>
      <c r="H249" s="8" t="s">
        <v>1030</v>
      </c>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B250" s="233"/>
      <c r="D250" s="31"/>
      <c r="E250" s="195" t="s">
        <v>139</v>
      </c>
      <c r="F250" s="195" t="s">
        <v>1028</v>
      </c>
      <c r="G250" s="34" t="str">
        <f>HYPERLINK("https://docs.google.com/spreadsheets/d/1OcBgsSB5lli5ZQclvWUfxrPcyvJ2N0HfVDKCyR3RQZk/edit#gid=471106177", "https://docs.google.com/spreadsheets/d/1OcBgsSB5lli5ZQclvWUfxrPcyvJ2N0HfVDKCyR3RQZk/edit#gid=471106177")</f>
        <v>https://docs.google.com/spreadsheets/d/1OcBgsSB5lli5ZQclvWUfxrPcyvJ2N0HfVDKCyR3RQZk/edit#gid=471106177</v>
      </c>
      <c r="H250" s="8" t="s">
        <v>1028</v>
      </c>
      <c r="I250" s="9"/>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B251" s="233"/>
      <c r="C251" s="41"/>
      <c r="D251" s="31"/>
      <c r="E251" s="249"/>
      <c r="F251" s="248"/>
      <c r="G251" s="34"/>
      <c r="H251" s="31"/>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B252" s="233" t="s">
        <v>2670</v>
      </c>
      <c r="C252" s="39" t="s">
        <v>2671</v>
      </c>
      <c r="D252" s="31"/>
      <c r="E252" s="234" t="s">
        <v>88</v>
      </c>
      <c r="F252" s="266" t="s">
        <v>89</v>
      </c>
      <c r="G252" s="34"/>
      <c r="H252" s="36"/>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B253" s="233"/>
      <c r="D253" s="31"/>
      <c r="E253" s="234" t="s">
        <v>172</v>
      </c>
      <c r="F253" s="234" t="s">
        <v>194</v>
      </c>
      <c r="G253" s="34" t="str">
        <f>HYPERLINK("https://docs.google.com/spreadsheets/d/1_B5bkDImSUeXZucormt808G-ZMTaDn1CL2JhpljbsAE/edit#gid=1471180935", "https://docs.google.com/spreadsheets/d/1_B5bkDImSUeXZucormt808G-ZMTaDn1CL2JhpljbsAE/edit#gid=1471180935")</f>
        <v>https://docs.google.com/spreadsheets/d/1_B5bkDImSUeXZucormt808G-ZMTaDn1CL2JhpljbsAE/edit#gid=1471180935</v>
      </c>
      <c r="H253" s="38" t="s">
        <v>194</v>
      </c>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B254" s="233"/>
      <c r="D254" s="31"/>
      <c r="E254" s="195" t="s">
        <v>172</v>
      </c>
      <c r="F254" s="195" t="s">
        <v>195</v>
      </c>
      <c r="G254" s="34" t="str">
        <f>HYPERLINK("https://docs.google.com/spreadsheets/d/1_B5bkDImSUeXZucormt808G-ZMTaDn1CL2JhpljbsAE/edit#gid=1406852500", "https://docs.google.com/spreadsheets/d/1_B5bkDImSUeXZucormt808G-ZMTaDn1CL2JhpljbsAE/edit#gid=1406852500")</f>
        <v>https://docs.google.com/spreadsheets/d/1_B5bkDImSUeXZucormt808G-ZMTaDn1CL2JhpljbsAE/edit#gid=1406852500</v>
      </c>
      <c r="H254" s="8" t="s">
        <v>195</v>
      </c>
      <c r="I254" s="9"/>
      <c r="J254" s="9"/>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B255" s="233"/>
      <c r="D255" s="31"/>
      <c r="E255" s="195" t="s">
        <v>21</v>
      </c>
      <c r="F255" s="281" t="s">
        <v>51</v>
      </c>
      <c r="G255" s="34" t="str">
        <f>HYPERLINK("https://docs.google.com/spreadsheets/d/1_B5bkDImSUeXZucormt808G-ZMTaDn1CL2JhpljbsAE/edit#gid=421170349", "https://docs.google.com/spreadsheets/d/1_B5bkDImSUeXZucormt808G-ZMTaDn1CL2JhpljbsAE/edit#gid=421170349")</f>
        <v>https://docs.google.com/spreadsheets/d/1_B5bkDImSUeXZucormt808G-ZMTaDn1CL2JhpljbsAE/edit#gid=421170349</v>
      </c>
      <c r="H255" s="62" t="s">
        <v>51</v>
      </c>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B256" s="233"/>
      <c r="D256" s="31"/>
      <c r="E256" s="195" t="s">
        <v>408</v>
      </c>
      <c r="F256" s="195" t="s">
        <v>408</v>
      </c>
      <c r="G256" s="34" t="str">
        <f>HYPERLINK("https://docs.google.com/spreadsheets/d/1_B5bkDImSUeXZucormt808G-ZMTaDn1CL2JhpljbsAE/edit#gid=1026235988", "https://docs.google.com/spreadsheets/d/1_B5bkDImSUeXZucormt808G-ZMTaDn1CL2JhpljbsAE/edit#gid=1026235988")</f>
        <v>https://docs.google.com/spreadsheets/d/1_B5bkDImSUeXZucormt808G-ZMTaDn1CL2JhpljbsAE/edit#gid=1026235988</v>
      </c>
      <c r="H256" s="8" t="s">
        <v>408</v>
      </c>
      <c r="I256" s="9"/>
      <c r="J256" s="9"/>
      <c r="K256" s="11"/>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233"/>
      <c r="D257" s="31"/>
      <c r="E257" s="195" t="s">
        <v>139</v>
      </c>
      <c r="F257" s="195" t="s">
        <v>1025</v>
      </c>
      <c r="G257" s="34" t="str">
        <f>HYPERLINK("https://docs.google.com/spreadsheets/d/1_B5bkDImSUeXZucormt808G-ZMTaDn1CL2JhpljbsAE/edit#gid=1233125363", "https://docs.google.com/spreadsheets/d/1_B5bkDImSUeXZucormt808G-ZMTaDn1CL2JhpljbsAE/edit#gid=1233125363")</f>
        <v>https://docs.google.com/spreadsheets/d/1_B5bkDImSUeXZucormt808G-ZMTaDn1CL2JhpljbsAE/edit#gid=1233125363</v>
      </c>
      <c r="H257" s="8" t="s">
        <v>1025</v>
      </c>
      <c r="I257" s="9"/>
      <c r="J257" s="9"/>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233"/>
      <c r="D258" s="31"/>
      <c r="E258" s="195" t="s">
        <v>139</v>
      </c>
      <c r="F258" s="195" t="s">
        <v>1043</v>
      </c>
      <c r="G258" s="34" t="str">
        <f>HYPERLINK("https://docs.google.com/spreadsheets/d/1_B5bkDImSUeXZucormt808G-ZMTaDn1CL2JhpljbsAE/edit#gid=533272304", "https://docs.google.com/spreadsheets/d/1_B5bkDImSUeXZucormt808G-ZMTaDn1CL2JhpljbsAE/edit#gid=533272304")</f>
        <v>https://docs.google.com/spreadsheets/d/1_B5bkDImSUeXZucormt808G-ZMTaDn1CL2JhpljbsAE/edit#gid=533272304</v>
      </c>
      <c r="H258" s="8" t="s">
        <v>1043</v>
      </c>
      <c r="I258" s="9"/>
      <c r="J258" s="9"/>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B259" s="233"/>
      <c r="D259" s="31"/>
      <c r="E259" s="195" t="s">
        <v>139</v>
      </c>
      <c r="F259" s="195" t="s">
        <v>1030</v>
      </c>
      <c r="G259" s="34" t="str">
        <f>HYPERLINK("https://docs.google.com/spreadsheets/d/1_B5bkDImSUeXZucormt808G-ZMTaDn1CL2JhpljbsAE/edit#gid=1786938634", "https://docs.google.com/spreadsheets/d/1_B5bkDImSUeXZucormt808G-ZMTaDn1CL2JhpljbsAE/edit#gid=1786938634")</f>
        <v>https://docs.google.com/spreadsheets/d/1_B5bkDImSUeXZucormt808G-ZMTaDn1CL2JhpljbsAE/edit#gid=1786938634</v>
      </c>
      <c r="H259" s="8" t="s">
        <v>1030</v>
      </c>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B260" s="233"/>
      <c r="C260" s="41"/>
      <c r="D260" s="31"/>
      <c r="E260" s="234" t="s">
        <v>139</v>
      </c>
      <c r="F260" s="266" t="s">
        <v>1028</v>
      </c>
      <c r="G260" s="34" t="str">
        <f>HYPERLINK("https://docs.google.com/spreadsheets/d/1_B5bkDImSUeXZucormt808G-ZMTaDn1CL2JhpljbsAE/edit#gid=1596960498", "https://docs.google.com/spreadsheets/d/1_B5bkDImSUeXZucormt808G-ZMTaDn1CL2JhpljbsAE/edit#gid=1596960498")</f>
        <v>https://docs.google.com/spreadsheets/d/1_B5bkDImSUeXZucormt808G-ZMTaDn1CL2JhpljbsAE/edit#gid=1596960498</v>
      </c>
      <c r="H260" s="38" t="s">
        <v>1028</v>
      </c>
      <c r="I260" s="9"/>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B261" s="233"/>
      <c r="C261" s="39"/>
      <c r="D261" s="31"/>
      <c r="E261" s="234"/>
      <c r="F261" s="234"/>
      <c r="G261" s="34"/>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B262" s="233"/>
      <c r="C262" s="41"/>
      <c r="D262" s="31"/>
      <c r="E262" s="195"/>
      <c r="F262" s="195"/>
      <c r="G262" s="34"/>
      <c r="H262" s="8"/>
      <c r="I262" s="9"/>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B263" s="233" t="s">
        <v>2672</v>
      </c>
      <c r="C263" s="282" t="s">
        <v>2673</v>
      </c>
      <c r="D263" s="8" t="s">
        <v>20</v>
      </c>
      <c r="E263" s="195" t="s">
        <v>88</v>
      </c>
      <c r="F263" s="281" t="s">
        <v>89</v>
      </c>
      <c r="G263" s="34"/>
      <c r="H263" s="36"/>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B264" s="233"/>
      <c r="D264" s="31"/>
      <c r="E264" s="195" t="s">
        <v>172</v>
      </c>
      <c r="F264" s="195" t="s">
        <v>194</v>
      </c>
      <c r="G264" s="34" t="str">
        <f>HYPERLINK("https://docs.google.com/spreadsheets/d/10sJqYwuVLZFNJwKnwJdi9qd7jHpKGvqgcsxQlSm5p78/edit#gid=1529858948", "https://docs.google.com/spreadsheets/d/10sJqYwuVLZFNJwKnwJdi9qd7jHpKGvqgcsxQlSm5p78/edit#gid=1529858948")</f>
        <v>https://docs.google.com/spreadsheets/d/10sJqYwuVLZFNJwKnwJdi9qd7jHpKGvqgcsxQlSm5p78/edit#gid=1529858948</v>
      </c>
      <c r="H264" s="8" t="s">
        <v>194</v>
      </c>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B265" s="233"/>
      <c r="D265" s="31"/>
      <c r="E265" s="195" t="s">
        <v>172</v>
      </c>
      <c r="F265" s="195" t="s">
        <v>195</v>
      </c>
      <c r="G265" s="34" t="str">
        <f>HYPERLINK("https://docs.google.com/spreadsheets/d/10sJqYwuVLZFNJwKnwJdi9qd7jHpKGvqgcsxQlSm5p78/edit#gid=1933953653", "https://docs.google.com/spreadsheets/d/10sJqYwuVLZFNJwKnwJdi9qd7jHpKGvqgcsxQlSm5p78/edit#gid=1933953653")</f>
        <v>https://docs.google.com/spreadsheets/d/10sJqYwuVLZFNJwKnwJdi9qd7jHpKGvqgcsxQlSm5p78/edit#gid=1933953653</v>
      </c>
      <c r="H265" s="8" t="s">
        <v>195</v>
      </c>
      <c r="I265" s="9"/>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B266" s="233"/>
      <c r="D266" s="31"/>
      <c r="E266" s="195" t="s">
        <v>21</v>
      </c>
      <c r="F266" s="195" t="s">
        <v>51</v>
      </c>
      <c r="G266" s="34" t="str">
        <f>HYPERLINK("https://docs.google.com/spreadsheets/d/10sJqYwuVLZFNJwKnwJdi9qd7jHpKGvqgcsxQlSm5p78/edit#gid=744085905", "https://docs.google.com/spreadsheets/d/10sJqYwuVLZFNJwKnwJdi9qd7jHpKGvqgcsxQlSm5p78/edit#gid=744085905")</f>
        <v>https://docs.google.com/spreadsheets/d/10sJqYwuVLZFNJwKnwJdi9qd7jHpKGvqgcsxQlSm5p78/edit#gid=744085905</v>
      </c>
      <c r="H266" s="8" t="s">
        <v>51</v>
      </c>
      <c r="I266" s="9"/>
      <c r="J266" s="9"/>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B267" s="233"/>
      <c r="D267" s="31"/>
      <c r="E267" s="195" t="s">
        <v>408</v>
      </c>
      <c r="F267" s="195" t="s">
        <v>408</v>
      </c>
      <c r="G267" s="34" t="str">
        <f>HYPERLINK("https://docs.google.com/spreadsheets/d/10sJqYwuVLZFNJwKnwJdi9qd7jHpKGvqgcsxQlSm5p78/edit#gid=633103975", "https://docs.google.com/spreadsheets/d/10sJqYwuVLZFNJwKnwJdi9qd7jHpKGvqgcsxQlSm5p78/edit#gid=633103975")</f>
        <v>https://docs.google.com/spreadsheets/d/10sJqYwuVLZFNJwKnwJdi9qd7jHpKGvqgcsxQlSm5p78/edit#gid=633103975</v>
      </c>
      <c r="H267" s="8" t="s">
        <v>408</v>
      </c>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B268" s="233"/>
      <c r="D268" s="31"/>
      <c r="E268" s="234" t="s">
        <v>139</v>
      </c>
      <c r="F268" s="195" t="s">
        <v>1025</v>
      </c>
      <c r="G268" s="34" t="str">
        <f>HYPERLINK("https://docs.google.com/spreadsheets/d/10sJqYwuVLZFNJwKnwJdi9qd7jHpKGvqgcsxQlSm5p78/edit#gid=1429704793", "https://docs.google.com/spreadsheets/d/10sJqYwuVLZFNJwKnwJdi9qd7jHpKGvqgcsxQlSm5p78/edit#gid=1429704793")</f>
        <v>https://docs.google.com/spreadsheets/d/10sJqYwuVLZFNJwKnwJdi9qd7jHpKGvqgcsxQlSm5p78/edit#gid=1429704793</v>
      </c>
      <c r="H268" s="8" t="s">
        <v>1025</v>
      </c>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B269" s="233"/>
      <c r="D269" s="31"/>
      <c r="E269" s="234" t="s">
        <v>139</v>
      </c>
      <c r="F269" s="266" t="s">
        <v>140</v>
      </c>
      <c r="G269" s="34" t="str">
        <f>HYPERLINK("https://docs.google.com/spreadsheets/d/10sJqYwuVLZFNJwKnwJdi9qd7jHpKGvqgcsxQlSm5p78/edit#gid=535072568", "https://docs.google.com/spreadsheets/d/10sJqYwuVLZFNJwKnwJdi9qd7jHpKGvqgcsxQlSm5p78/edit#gid=535072568")</f>
        <v>https://docs.google.com/spreadsheets/d/10sJqYwuVLZFNJwKnwJdi9qd7jHpKGvqgcsxQlSm5p78/edit#gid=535072568</v>
      </c>
      <c r="H269" s="38" t="s">
        <v>140</v>
      </c>
      <c r="I269" s="9"/>
      <c r="J269" s="9"/>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B270" s="233"/>
      <c r="D270" s="31"/>
      <c r="E270" s="234" t="s">
        <v>139</v>
      </c>
      <c r="F270" s="234" t="s">
        <v>1030</v>
      </c>
      <c r="G270" s="34" t="str">
        <f>HYPERLINK("https://docs.google.com/spreadsheets/d/10sJqYwuVLZFNJwKnwJdi9qd7jHpKGvqgcsxQlSm5p78/edit#gid=931604907", "https://docs.google.com/spreadsheets/d/10sJqYwuVLZFNJwKnwJdi9qd7jHpKGvqgcsxQlSm5p78/edit#gid=931604907")</f>
        <v>https://docs.google.com/spreadsheets/d/10sJqYwuVLZFNJwKnwJdi9qd7jHpKGvqgcsxQlSm5p78/edit#gid=931604907</v>
      </c>
      <c r="H270" s="35" t="s">
        <v>1030</v>
      </c>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B271" s="233"/>
      <c r="D271" s="31"/>
      <c r="E271" s="195" t="s">
        <v>139</v>
      </c>
      <c r="F271" s="195" t="s">
        <v>1028</v>
      </c>
      <c r="G271" s="34" t="str">
        <f>HYPERLINK("https://docs.google.com/spreadsheets/d/10sJqYwuVLZFNJwKnwJdi9qd7jHpKGvqgcsxQlSm5p78/edit#gid=796164138", "https://docs.google.com/spreadsheets/d/10sJqYwuVLZFNJwKnwJdi9qd7jHpKGvqgcsxQlSm5p78/edit#gid=796164138")</f>
        <v>https://docs.google.com/spreadsheets/d/10sJqYwuVLZFNJwKnwJdi9qd7jHpKGvqgcsxQlSm5p78/edit#gid=796164138</v>
      </c>
      <c r="H271" s="8" t="s">
        <v>1028</v>
      </c>
      <c r="I271" s="9"/>
      <c r="J271" s="11"/>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233"/>
      <c r="C272" s="39"/>
      <c r="D272" s="31"/>
      <c r="E272" s="248"/>
      <c r="F272" s="281"/>
      <c r="G272" s="34"/>
      <c r="H272" s="62"/>
      <c r="I272" s="9"/>
      <c r="J272" s="11"/>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233" t="s">
        <v>2674</v>
      </c>
      <c r="C273" s="282" t="s">
        <v>2675</v>
      </c>
      <c r="D273" s="8" t="s">
        <v>20</v>
      </c>
      <c r="E273" s="234" t="s">
        <v>88</v>
      </c>
      <c r="F273" s="195" t="s">
        <v>89</v>
      </c>
      <c r="G273" s="251"/>
      <c r="H273" s="36"/>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B274" s="252"/>
      <c r="E274" s="255" t="s">
        <v>172</v>
      </c>
      <c r="F274" s="255" t="s">
        <v>194</v>
      </c>
      <c r="G274" s="283" t="str">
        <f>HYPERLINK("https://docs.google.com/spreadsheets/d/1hM5uHKdv9rzlBpPcQCMW5XqvNGrujwKSa8CsdO46xKk/edit#gid=662997444", "https://docs.google.com/spreadsheets/d/1hM5uHKdv9rzlBpPcQCMW5XqvNGrujwKSa8CsdO46xKk/edit#gid=662997444")</f>
        <v>https://docs.google.com/spreadsheets/d/1hM5uHKdv9rzlBpPcQCMW5XqvNGrujwKSa8CsdO46xKk/edit#gid=662997444</v>
      </c>
      <c r="H274" s="35" t="s">
        <v>194</v>
      </c>
      <c r="I274" s="11"/>
      <c r="J274" s="11"/>
      <c r="K274" s="11"/>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B275" s="252"/>
      <c r="E275" s="255" t="s">
        <v>172</v>
      </c>
      <c r="F275" s="255" t="s">
        <v>195</v>
      </c>
      <c r="G275" s="283" t="str">
        <f>HYPERLINK("https://docs.google.com/spreadsheets/d/1hM5uHKdv9rzlBpPcQCMW5XqvNGrujwKSa8CsdO46xKk/edit#gid=508428476", "https://docs.google.com/spreadsheets/d/1hM5uHKdv9rzlBpPcQCMW5XqvNGrujwKSa8CsdO46xKk/edit#gid=508428476")</f>
        <v>https://docs.google.com/spreadsheets/d/1hM5uHKdv9rzlBpPcQCMW5XqvNGrujwKSa8CsdO46xKk/edit#gid=508428476</v>
      </c>
      <c r="H275" s="35" t="s">
        <v>195</v>
      </c>
      <c r="I275" s="11"/>
      <c r="J275" s="11"/>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B276" s="252"/>
      <c r="E276" s="255" t="s">
        <v>21</v>
      </c>
      <c r="F276" s="255" t="s">
        <v>51</v>
      </c>
      <c r="G276" s="283" t="str">
        <f>HYPERLINK("https://docs.google.com/spreadsheets/d/1hM5uHKdv9rzlBpPcQCMW5XqvNGrujwKSa8CsdO46xKk/edit#gid=1982283532", "https://docs.google.com/spreadsheets/d/1hM5uHKdv9rzlBpPcQCMW5XqvNGrujwKSa8CsdO46xKk/edit#gid=1982283532")</f>
        <v>https://docs.google.com/spreadsheets/d/1hM5uHKdv9rzlBpPcQCMW5XqvNGrujwKSa8CsdO46xKk/edit#gid=1982283532</v>
      </c>
      <c r="H276" s="35" t="s">
        <v>51</v>
      </c>
      <c r="I276" s="11"/>
      <c r="J276" s="11"/>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B277" s="233"/>
      <c r="E277" s="255" t="s">
        <v>408</v>
      </c>
      <c r="F277" s="255" t="s">
        <v>408</v>
      </c>
      <c r="G277" s="283" t="str">
        <f>HYPERLINK("https://docs.google.com/spreadsheets/d/1hM5uHKdv9rzlBpPcQCMW5XqvNGrujwKSa8CsdO46xKk/edit#gid=397616639", "https://docs.google.com/spreadsheets/d/1hM5uHKdv9rzlBpPcQCMW5XqvNGrujwKSa8CsdO46xKk/edit#gid=397616639")</f>
        <v>https://docs.google.com/spreadsheets/d/1hM5uHKdv9rzlBpPcQCMW5XqvNGrujwKSa8CsdO46xKk/edit#gid=397616639</v>
      </c>
      <c r="H277" s="35" t="s">
        <v>408</v>
      </c>
      <c r="I277" s="11"/>
      <c r="J277" s="11"/>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B278" s="252"/>
      <c r="E278" s="255" t="s">
        <v>139</v>
      </c>
      <c r="F278" s="255" t="s">
        <v>1025</v>
      </c>
      <c r="G278" s="283" t="str">
        <f>HYPERLINK("https://docs.google.com/spreadsheets/d/1hM5uHKdv9rzlBpPcQCMW5XqvNGrujwKSa8CsdO46xKk/edit#gid=2034236906", "https://docs.google.com/spreadsheets/d/1hM5uHKdv9rzlBpPcQCMW5XqvNGrujwKSa8CsdO46xKk/edit#gid=2034236906")</f>
        <v>https://docs.google.com/spreadsheets/d/1hM5uHKdv9rzlBpPcQCMW5XqvNGrujwKSa8CsdO46xKk/edit#gid=2034236906</v>
      </c>
      <c r="H278" s="35" t="s">
        <v>1025</v>
      </c>
      <c r="I278" s="11"/>
      <c r="J278" s="11"/>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B279" s="233"/>
      <c r="E279" s="255" t="s">
        <v>139</v>
      </c>
      <c r="F279" s="255" t="s">
        <v>140</v>
      </c>
      <c r="G279" s="283" t="str">
        <f>HYPERLINK("https://docs.google.com/spreadsheets/d/1hM5uHKdv9rzlBpPcQCMW5XqvNGrujwKSa8CsdO46xKk/edit#gid=366297524", "https://docs.google.com/spreadsheets/d/1hM5uHKdv9rzlBpPcQCMW5XqvNGrujwKSa8CsdO46xKk/edit#gid=366297524")</f>
        <v>https://docs.google.com/spreadsheets/d/1hM5uHKdv9rzlBpPcQCMW5XqvNGrujwKSa8CsdO46xKk/edit#gid=366297524</v>
      </c>
      <c r="H279" s="35" t="s">
        <v>140</v>
      </c>
      <c r="I279" s="11"/>
      <c r="J279" s="11"/>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B280" s="252"/>
      <c r="D280" s="31"/>
      <c r="E280" s="195" t="s">
        <v>139</v>
      </c>
      <c r="F280" s="195" t="s">
        <v>1030</v>
      </c>
      <c r="G280" s="34" t="str">
        <f>HYPERLINK("https://docs.google.com/spreadsheets/d/1hM5uHKdv9rzlBpPcQCMW5XqvNGrujwKSa8CsdO46xKk/edit#gid=107443891", "https://docs.google.com/spreadsheets/d/1hM5uHKdv9rzlBpPcQCMW5XqvNGrujwKSa8CsdO46xKk/edit#gid=107443891")</f>
        <v>https://docs.google.com/spreadsheets/d/1hM5uHKdv9rzlBpPcQCMW5XqvNGrujwKSa8CsdO46xKk/edit#gid=107443891</v>
      </c>
      <c r="H280" s="8" t="s">
        <v>1030</v>
      </c>
      <c r="I280" s="11"/>
      <c r="J280" s="11"/>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B281" s="233"/>
      <c r="D281" s="31"/>
      <c r="E281" s="195" t="s">
        <v>139</v>
      </c>
      <c r="F281" s="195" t="s">
        <v>1028</v>
      </c>
      <c r="G281" s="34" t="str">
        <f>HYPERLINK("https://docs.google.com/spreadsheets/d/1hM5uHKdv9rzlBpPcQCMW5XqvNGrujwKSa8CsdO46xKk/edit#gid=2014881977", "https://docs.google.com/spreadsheets/d/1hM5uHKdv9rzlBpPcQCMW5XqvNGrujwKSa8CsdO46xKk/edit#gid=2014881977")</f>
        <v>https://docs.google.com/spreadsheets/d/1hM5uHKdv9rzlBpPcQCMW5XqvNGrujwKSa8CsdO46xKk/edit#gid=2014881977</v>
      </c>
      <c r="H281" s="8" t="s">
        <v>1028</v>
      </c>
      <c r="I281" s="11"/>
      <c r="J281" s="11"/>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B282" s="233"/>
      <c r="C282" s="41"/>
      <c r="D282" s="31"/>
      <c r="E282" s="248"/>
      <c r="F282" s="248"/>
      <c r="G282" s="34"/>
      <c r="H282" s="31"/>
      <c r="I282" s="11"/>
      <c r="J282" s="11"/>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B283" s="252"/>
      <c r="C283" s="41"/>
      <c r="D283" s="31"/>
      <c r="E283" s="249"/>
      <c r="F283" s="248"/>
      <c r="G283" s="34"/>
      <c r="H283" s="31"/>
      <c r="I283" s="11"/>
      <c r="J283" s="11"/>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B284" s="233" t="s">
        <v>2676</v>
      </c>
      <c r="C284" s="282" t="s">
        <v>2677</v>
      </c>
      <c r="D284" s="8" t="s">
        <v>20</v>
      </c>
      <c r="E284" s="234" t="s">
        <v>88</v>
      </c>
      <c r="F284" s="266" t="s">
        <v>89</v>
      </c>
      <c r="G284" s="34"/>
      <c r="H284" s="36"/>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233"/>
      <c r="D285" s="8"/>
      <c r="E285" s="234" t="s">
        <v>172</v>
      </c>
      <c r="F285" s="266" t="s">
        <v>194</v>
      </c>
      <c r="G285" s="34" t="str">
        <f>HYPERLINK("https://docs.google.com/spreadsheets/d/1uXSbyZ10SLH7HHg_kxNjtS3STjAvxW2LLLyh9aautB4/edit#gid=1857578994", "https://docs.google.com/spreadsheets/d/1uXSbyZ10SLH7HHg_kxNjtS3STjAvxW2LLLyh9aautB4/edit#gid=1857578994")</f>
        <v>https://docs.google.com/spreadsheets/d/1uXSbyZ10SLH7HHg_kxNjtS3STjAvxW2LLLyh9aautB4/edit#gid=1857578994</v>
      </c>
      <c r="H285" s="35" t="s">
        <v>194</v>
      </c>
      <c r="I285" s="11"/>
      <c r="J285" s="11"/>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233"/>
      <c r="D286" s="8"/>
      <c r="E286" s="195" t="s">
        <v>172</v>
      </c>
      <c r="F286" s="266" t="s">
        <v>195</v>
      </c>
      <c r="G286" s="34" t="str">
        <f>HYPERLINK("https://docs.google.com/spreadsheets/d/1uXSbyZ10SLH7HHg_kxNjtS3STjAvxW2LLLyh9aautB4/edit#gid=313790373", "https://docs.google.com/spreadsheets/d/1uXSbyZ10SLH7HHg_kxNjtS3STjAvxW2LLLyh9aautB4/edit#gid=313790373")</f>
        <v>https://docs.google.com/spreadsheets/d/1uXSbyZ10SLH7HHg_kxNjtS3STjAvxW2LLLyh9aautB4/edit#gid=313790373</v>
      </c>
      <c r="H286" s="35" t="s">
        <v>195</v>
      </c>
      <c r="I286" s="11"/>
      <c r="J286" s="11"/>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B287" s="233"/>
      <c r="D287" s="8"/>
      <c r="E287" s="255" t="s">
        <v>21</v>
      </c>
      <c r="F287" s="255" t="s">
        <v>51</v>
      </c>
      <c r="G287" s="34" t="str">
        <f>HYPERLINK("https://docs.google.com/spreadsheets/d/1uXSbyZ10SLH7HHg_kxNjtS3STjAvxW2LLLyh9aautB4/edit#gid=1550777204", "https://docs.google.com/spreadsheets/d/1uXSbyZ10SLH7HHg_kxNjtS3STjAvxW2LLLyh9aautB4/edit#gid=1550777204")</f>
        <v>https://docs.google.com/spreadsheets/d/1uXSbyZ10SLH7HHg_kxNjtS3STjAvxW2LLLyh9aautB4/edit#gid=1550777204</v>
      </c>
      <c r="H287" s="35" t="s">
        <v>51</v>
      </c>
      <c r="I287" s="11"/>
      <c r="J287" s="11"/>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B288" s="233"/>
      <c r="D288" s="8"/>
      <c r="E288" s="256" t="s">
        <v>408</v>
      </c>
      <c r="F288" s="255" t="s">
        <v>408</v>
      </c>
      <c r="G288" s="34" t="str">
        <f>HYPERLINK("https://docs.google.com/spreadsheets/d/1uXSbyZ10SLH7HHg_kxNjtS3STjAvxW2LLLyh9aautB4/edit#gid=13316028", "https://docs.google.com/spreadsheets/d/1uXSbyZ10SLH7HHg_kxNjtS3STjAvxW2LLLyh9aautB4/edit#gid=13316028")</f>
        <v>https://docs.google.com/spreadsheets/d/1uXSbyZ10SLH7HHg_kxNjtS3STjAvxW2LLLyh9aautB4/edit#gid=13316028</v>
      </c>
      <c r="H288" s="62" t="s">
        <v>408</v>
      </c>
      <c r="I288" s="11"/>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B289" s="257"/>
      <c r="D289" s="32"/>
      <c r="E289" s="256" t="s">
        <v>139</v>
      </c>
      <c r="F289" s="255" t="s">
        <v>1025</v>
      </c>
      <c r="G289" s="284" t="str">
        <f>HYPERLINK("https://docs.google.com/spreadsheets/d/1uXSbyZ10SLH7HHg_kxNjtS3STjAvxW2LLLyh9aautB4/edit#gid=917421410", "https://docs.google.com/spreadsheets/d/1uXSbyZ10SLH7HHg_kxNjtS3STjAvxW2LLLyh9aautB4/edit#gid=917421410")</f>
        <v>https://docs.google.com/spreadsheets/d/1uXSbyZ10SLH7HHg_kxNjtS3STjAvxW2LLLyh9aautB4/edit#gid=917421410</v>
      </c>
      <c r="H289" s="35" t="s">
        <v>1025</v>
      </c>
      <c r="I289" s="11"/>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B290" s="257"/>
      <c r="D290" s="32"/>
      <c r="E290" s="230" t="s">
        <v>139</v>
      </c>
      <c r="F290" s="255" t="s">
        <v>140</v>
      </c>
      <c r="G290" s="284" t="str">
        <f>HYPERLINK("https://docs.google.com/spreadsheets/d/1uXSbyZ10SLH7HHg_kxNjtS3STjAvxW2LLLyh9aautB4/edit#gid=1463860122", "https://docs.google.com/spreadsheets/d/1uXSbyZ10SLH7HHg_kxNjtS3STjAvxW2LLLyh9aautB4/edit#gid=1463860122")</f>
        <v>https://docs.google.com/spreadsheets/d/1uXSbyZ10SLH7HHg_kxNjtS3STjAvxW2LLLyh9aautB4/edit#gid=1463860122</v>
      </c>
      <c r="H290" s="35" t="s">
        <v>140</v>
      </c>
      <c r="I290" s="11"/>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B291" s="259"/>
      <c r="D291" s="31"/>
      <c r="E291" s="195" t="s">
        <v>139</v>
      </c>
      <c r="F291" s="195" t="s">
        <v>1030</v>
      </c>
      <c r="G291" s="69" t="str">
        <f>HYPERLINK("https://docs.google.com/spreadsheets/d/1uXSbyZ10SLH7HHg_kxNjtS3STjAvxW2LLLyh9aautB4/edit#gid=1194177508", "https://docs.google.com/spreadsheets/d/1uXSbyZ10SLH7HHg_kxNjtS3STjAvxW2LLLyh9aautB4/edit#gid=1194177508")</f>
        <v>https://docs.google.com/spreadsheets/d/1uXSbyZ10SLH7HHg_kxNjtS3STjAvxW2LLLyh9aautB4/edit#gid=1194177508</v>
      </c>
      <c r="H291" s="8" t="s">
        <v>1030</v>
      </c>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B292" s="259"/>
      <c r="D292" s="31"/>
      <c r="E292" s="195" t="s">
        <v>139</v>
      </c>
      <c r="F292" s="195" t="s">
        <v>1028</v>
      </c>
      <c r="G292" s="29" t="str">
        <f>HYPERLINK("https://docs.google.com/spreadsheets/d/1uXSbyZ10SLH7HHg_kxNjtS3STjAvxW2LLLyh9aautB4/edit#gid=172132592", "https://docs.google.com/spreadsheets/d/1uXSbyZ10SLH7HHg_kxNjtS3STjAvxW2LLLyh9aautB4/edit#gid=172132592")</f>
        <v>https://docs.google.com/spreadsheets/d/1uXSbyZ10SLH7HHg_kxNjtS3STjAvxW2LLLyh9aautB4/edit#gid=172132592</v>
      </c>
      <c r="H292" s="8" t="s">
        <v>1028</v>
      </c>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B293" s="259"/>
      <c r="C293" s="68"/>
      <c r="D293" s="31"/>
      <c r="E293" s="248"/>
      <c r="F293" s="248"/>
      <c r="G293" s="250"/>
      <c r="H293" s="31"/>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B294" s="257" t="s">
        <v>2678</v>
      </c>
      <c r="C294" s="282" t="s">
        <v>2679</v>
      </c>
      <c r="D294" s="32" t="s">
        <v>20</v>
      </c>
      <c r="E294" s="256" t="s">
        <v>88</v>
      </c>
      <c r="F294" s="256" t="s">
        <v>89</v>
      </c>
      <c r="G294" s="262"/>
      <c r="H294" s="36"/>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B295" s="260"/>
      <c r="D295" s="15"/>
      <c r="E295" s="256" t="s">
        <v>172</v>
      </c>
      <c r="F295" s="256" t="s">
        <v>194</v>
      </c>
      <c r="G295" s="285" t="str">
        <f>HYPERLINK("https://docs.google.com/spreadsheets/d/1ZZll5xykuY9qep1ry-JhRbwuQjsahOvrd0GZc6K6JKw/edit#gid=1763680075", "https://docs.google.com/spreadsheets/d/1ZZll5xykuY9qep1ry-JhRbwuQjsahOvrd0GZc6K6JKw/edit#gid=1763680075")</f>
        <v>https://docs.google.com/spreadsheets/d/1ZZll5xykuY9qep1ry-JhRbwuQjsahOvrd0GZc6K6JKw/edit#gid=1763680075</v>
      </c>
      <c r="H295" s="32" t="s">
        <v>194</v>
      </c>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B296" s="260"/>
      <c r="D296" s="15"/>
      <c r="E296" s="256" t="s">
        <v>172</v>
      </c>
      <c r="F296" s="256" t="s">
        <v>195</v>
      </c>
      <c r="G296" s="285" t="str">
        <f>HYPERLINK("https://docs.google.com/spreadsheets/d/1ZZll5xykuY9qep1ry-JhRbwuQjsahOvrd0GZc6K6JKw/edit#gid=574342701", "https://docs.google.com/spreadsheets/d/1ZZll5xykuY9qep1ry-JhRbwuQjsahOvrd0GZc6K6JKw/edit#gid=574342701")</f>
        <v>https://docs.google.com/spreadsheets/d/1ZZll5xykuY9qep1ry-JhRbwuQjsahOvrd0GZc6K6JKw/edit#gid=574342701</v>
      </c>
      <c r="H296" s="32" t="s">
        <v>195</v>
      </c>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B297" s="260"/>
      <c r="D297" s="15"/>
      <c r="E297" s="256" t="s">
        <v>21</v>
      </c>
      <c r="F297" s="256" t="s">
        <v>51</v>
      </c>
      <c r="G297" s="285" t="str">
        <f>HYPERLINK("https://docs.google.com/spreadsheets/d/1ZZll5xykuY9qep1ry-JhRbwuQjsahOvrd0GZc6K6JKw/edit#gid=606102149", "https://docs.google.com/spreadsheets/d/1ZZll5xykuY9qep1ry-JhRbwuQjsahOvrd0GZc6K6JKw/edit#gid=606102149")</f>
        <v>https://docs.google.com/spreadsheets/d/1ZZll5xykuY9qep1ry-JhRbwuQjsahOvrd0GZc6K6JKw/edit#gid=606102149</v>
      </c>
      <c r="H297" s="32" t="s">
        <v>51</v>
      </c>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B298" s="260"/>
      <c r="D298" s="15"/>
      <c r="E298" s="256" t="s">
        <v>408</v>
      </c>
      <c r="F298" s="256" t="s">
        <v>408</v>
      </c>
      <c r="G298" s="285" t="str">
        <f>HYPERLINK("https://docs.google.com/spreadsheets/d/1ZZll5xykuY9qep1ry-JhRbwuQjsahOvrd0GZc6K6JKw/edit#gid=1551264230", "https://docs.google.com/spreadsheets/d/1ZZll5xykuY9qep1ry-JhRbwuQjsahOvrd0GZc6K6JKw/edit#gid=1551264230")</f>
        <v>https://docs.google.com/spreadsheets/d/1ZZll5xykuY9qep1ry-JhRbwuQjsahOvrd0GZc6K6JKw/edit#gid=1551264230</v>
      </c>
      <c r="H298" s="32" t="s">
        <v>408</v>
      </c>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260"/>
      <c r="D299" s="15"/>
      <c r="E299" s="256" t="s">
        <v>139</v>
      </c>
      <c r="F299" s="256" t="s">
        <v>1025</v>
      </c>
      <c r="G299" s="285" t="str">
        <f>HYPERLINK("https://docs.google.com/spreadsheets/d/1ZZll5xykuY9qep1ry-JhRbwuQjsahOvrd0GZc6K6JKw/edit#gid=893484645", "https://docs.google.com/spreadsheets/d/1ZZll5xykuY9qep1ry-JhRbwuQjsahOvrd0GZc6K6JKw/edit#gid=893484645")</f>
        <v>https://docs.google.com/spreadsheets/d/1ZZll5xykuY9qep1ry-JhRbwuQjsahOvrd0GZc6K6JKw/edit#gid=893484645</v>
      </c>
      <c r="H299" s="32" t="s">
        <v>1025</v>
      </c>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260"/>
      <c r="D300" s="15"/>
      <c r="E300" s="256" t="s">
        <v>139</v>
      </c>
      <c r="F300" s="256" t="s">
        <v>140</v>
      </c>
      <c r="G300" s="285" t="str">
        <f>HYPERLINK("https://docs.google.com/spreadsheets/d/1ZZll5xykuY9qep1ry-JhRbwuQjsahOvrd0GZc6K6JKw/edit#gid=869661693", "https://docs.google.com/spreadsheets/d/1ZZll5xykuY9qep1ry-JhRbwuQjsahOvrd0GZc6K6JKw/edit#gid=869661693")</f>
        <v>https://docs.google.com/spreadsheets/d/1ZZll5xykuY9qep1ry-JhRbwuQjsahOvrd0GZc6K6JKw/edit#gid=869661693</v>
      </c>
      <c r="H300" s="32" t="s">
        <v>140</v>
      </c>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B301" s="260"/>
      <c r="D301" s="15"/>
      <c r="E301" s="256" t="s">
        <v>139</v>
      </c>
      <c r="F301" s="256" t="s">
        <v>1043</v>
      </c>
      <c r="G301" s="285" t="str">
        <f>HYPERLINK("https://docs.google.com/spreadsheets/d/1ZZll5xykuY9qep1ry-JhRbwuQjsahOvrd0GZc6K6JKw/edit#gid=357657928", "https://docs.google.com/spreadsheets/d/1ZZll5xykuY9qep1ry-JhRbwuQjsahOvrd0GZc6K6JKw/edit#gid=357657928")</f>
        <v>https://docs.google.com/spreadsheets/d/1ZZll5xykuY9qep1ry-JhRbwuQjsahOvrd0GZc6K6JKw/edit#gid=357657928</v>
      </c>
      <c r="H301" s="32" t="s">
        <v>1043</v>
      </c>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B302" s="260"/>
      <c r="D302" s="15"/>
      <c r="E302" s="256" t="s">
        <v>139</v>
      </c>
      <c r="F302" s="256" t="s">
        <v>1030</v>
      </c>
      <c r="G302" s="285" t="str">
        <f>HYPERLINK("https://docs.google.com/spreadsheets/d/1ZZll5xykuY9qep1ry-JhRbwuQjsahOvrd0GZc6K6JKw/edit#gid=439708146", "https://docs.google.com/spreadsheets/d/1ZZll5xykuY9qep1ry-JhRbwuQjsahOvrd0GZc6K6JKw/edit#gid=439708146")</f>
        <v>https://docs.google.com/spreadsheets/d/1ZZll5xykuY9qep1ry-JhRbwuQjsahOvrd0GZc6K6JKw/edit#gid=439708146</v>
      </c>
      <c r="H302" s="32" t="s">
        <v>1030</v>
      </c>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B303" s="260"/>
      <c r="D303" s="15"/>
      <c r="E303" s="256" t="s">
        <v>139</v>
      </c>
      <c r="F303" s="256" t="s">
        <v>1028</v>
      </c>
      <c r="G303" s="285" t="str">
        <f>HYPERLINK("https://docs.google.com/spreadsheets/d/1ZZll5xykuY9qep1ry-JhRbwuQjsahOvrd0GZc6K6JKw/edit#gid=700205301", "https://docs.google.com/spreadsheets/d/1ZZll5xykuY9qep1ry-JhRbwuQjsahOvrd0GZc6K6JKw/edit#gid=700205301")</f>
        <v>https://docs.google.com/spreadsheets/d/1ZZll5xykuY9qep1ry-JhRbwuQjsahOvrd0GZc6K6JKw/edit#gid=700205301</v>
      </c>
      <c r="H303" s="32" t="s">
        <v>1028</v>
      </c>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B304" s="260"/>
      <c r="C304" s="21"/>
      <c r="D304" s="15"/>
      <c r="E304" s="261"/>
      <c r="F304" s="261"/>
      <c r="G304" s="262"/>
      <c r="H304" s="1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B305" s="260"/>
      <c r="C305" s="21"/>
      <c r="D305" s="15"/>
      <c r="E305" s="261"/>
      <c r="F305" s="261"/>
      <c r="G305" s="262"/>
      <c r="H305" s="1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B306" s="257" t="s">
        <v>2680</v>
      </c>
      <c r="C306" s="87" t="s">
        <v>2681</v>
      </c>
      <c r="D306" s="32" t="s">
        <v>20</v>
      </c>
      <c r="E306" s="256" t="s">
        <v>88</v>
      </c>
      <c r="F306" s="256" t="s">
        <v>89</v>
      </c>
      <c r="G306" s="262"/>
      <c r="H306" s="36"/>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B307" s="260"/>
      <c r="D307" s="32"/>
      <c r="E307" s="256" t="s">
        <v>172</v>
      </c>
      <c r="F307" s="256" t="s">
        <v>194</v>
      </c>
      <c r="G307" s="285" t="str">
        <f>HYPERLINK("https://docs.google.com/spreadsheets/d/1X_cmfjGl8aSTxeBf0hFZNsVALp4kFtyCXB3eMjFGnc0/edit#gid=1565895530", "https://docs.google.com/spreadsheets/d/1X_cmfjGl8aSTxeBf0hFZNsVALp4kFtyCXB3eMjFGnc0/edit#gid=1565895530")</f>
        <v>https://docs.google.com/spreadsheets/d/1X_cmfjGl8aSTxeBf0hFZNsVALp4kFtyCXB3eMjFGnc0/edit#gid=1565895530</v>
      </c>
      <c r="H307" s="32" t="s">
        <v>194</v>
      </c>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B308" s="260"/>
      <c r="D308" s="15"/>
      <c r="E308" s="256" t="s">
        <v>172</v>
      </c>
      <c r="F308" s="256" t="s">
        <v>195</v>
      </c>
      <c r="G308" s="285" t="str">
        <f>HYPERLINK("https://docs.google.com/spreadsheets/d/1X_cmfjGl8aSTxeBf0hFZNsVALp4kFtyCXB3eMjFGnc0/edit#gid=14417801", "https://docs.google.com/spreadsheets/d/1X_cmfjGl8aSTxeBf0hFZNsVALp4kFtyCXB3eMjFGnc0/edit#gid=14417801")</f>
        <v>https://docs.google.com/spreadsheets/d/1X_cmfjGl8aSTxeBf0hFZNsVALp4kFtyCXB3eMjFGnc0/edit#gid=14417801</v>
      </c>
      <c r="H308" s="32" t="s">
        <v>195</v>
      </c>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B309" s="260"/>
      <c r="D309" s="15"/>
      <c r="E309" s="256" t="s">
        <v>21</v>
      </c>
      <c r="F309" s="256" t="s">
        <v>51</v>
      </c>
      <c r="G309" s="285" t="str">
        <f>HYPERLINK("https://docs.google.com/spreadsheets/d/1X_cmfjGl8aSTxeBf0hFZNsVALp4kFtyCXB3eMjFGnc0/edit#gid=832711778", "https://docs.google.com/spreadsheets/d/1X_cmfjGl8aSTxeBf0hFZNsVALp4kFtyCXB3eMjFGnc0/edit#gid=832711778")</f>
        <v>https://docs.google.com/spreadsheets/d/1X_cmfjGl8aSTxeBf0hFZNsVALp4kFtyCXB3eMjFGnc0/edit#gid=832711778</v>
      </c>
      <c r="H309" s="32" t="s">
        <v>51</v>
      </c>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B310" s="260"/>
      <c r="D310" s="15"/>
      <c r="E310" s="256" t="s">
        <v>408</v>
      </c>
      <c r="F310" s="256" t="s">
        <v>408</v>
      </c>
      <c r="G310" s="285" t="str">
        <f>HYPERLINK("https://docs.google.com/spreadsheets/d/1X_cmfjGl8aSTxeBf0hFZNsVALp4kFtyCXB3eMjFGnc0/edit#gid=2037057819", "https://docs.google.com/spreadsheets/d/1X_cmfjGl8aSTxeBf0hFZNsVALp4kFtyCXB3eMjFGnc0/edit#gid=2037057819")</f>
        <v>https://docs.google.com/spreadsheets/d/1X_cmfjGl8aSTxeBf0hFZNsVALp4kFtyCXB3eMjFGnc0/edit#gid=2037057819</v>
      </c>
      <c r="H310" s="32" t="s">
        <v>408</v>
      </c>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B311" s="260"/>
      <c r="D311" s="15"/>
      <c r="E311" s="256" t="s">
        <v>139</v>
      </c>
      <c r="F311" s="256" t="s">
        <v>1025</v>
      </c>
      <c r="G311" s="285" t="str">
        <f>HYPERLINK("https://docs.google.com/spreadsheets/d/1X_cmfjGl8aSTxeBf0hFZNsVALp4kFtyCXB3eMjFGnc0/edit#gid=2108091439", "https://docs.google.com/spreadsheets/d/1X_cmfjGl8aSTxeBf0hFZNsVALp4kFtyCXB3eMjFGnc0/edit#gid=2108091439")</f>
        <v>https://docs.google.com/spreadsheets/d/1X_cmfjGl8aSTxeBf0hFZNsVALp4kFtyCXB3eMjFGnc0/edit#gid=2108091439</v>
      </c>
      <c r="H311" s="32" t="s">
        <v>1025</v>
      </c>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B312" s="260"/>
      <c r="D312" s="15"/>
      <c r="E312" s="256" t="s">
        <v>139</v>
      </c>
      <c r="F312" s="256" t="s">
        <v>140</v>
      </c>
      <c r="G312" s="285" t="str">
        <f>HYPERLINK("https://docs.google.com/spreadsheets/d/1X_cmfjGl8aSTxeBf0hFZNsVALp4kFtyCXB3eMjFGnc0/edit#gid=2039098180", "https://docs.google.com/spreadsheets/d/1X_cmfjGl8aSTxeBf0hFZNsVALp4kFtyCXB3eMjFGnc0/edit#gid=2039098180")</f>
        <v>https://docs.google.com/spreadsheets/d/1X_cmfjGl8aSTxeBf0hFZNsVALp4kFtyCXB3eMjFGnc0/edit#gid=2039098180</v>
      </c>
      <c r="H312" s="32" t="s">
        <v>140</v>
      </c>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15"/>
      <c r="B313" s="260"/>
      <c r="D313" s="15"/>
      <c r="E313" s="256" t="s">
        <v>139</v>
      </c>
      <c r="F313" s="256" t="s">
        <v>1043</v>
      </c>
      <c r="G313" s="285" t="str">
        <f>HYPERLINK("https://docs.google.com/spreadsheets/d/1X_cmfjGl8aSTxeBf0hFZNsVALp4kFtyCXB3eMjFGnc0/edit#gid=926719838", "https://docs.google.com/spreadsheets/d/1X_cmfjGl8aSTxeBf0hFZNsVALp4kFtyCXB3eMjFGnc0/edit#gid=926719838")</f>
        <v>https://docs.google.com/spreadsheets/d/1X_cmfjGl8aSTxeBf0hFZNsVALp4kFtyCXB3eMjFGnc0/edit#gid=926719838</v>
      </c>
      <c r="H313" s="32" t="s">
        <v>1043</v>
      </c>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260"/>
      <c r="D314" s="15"/>
      <c r="E314" s="256" t="s">
        <v>139</v>
      </c>
      <c r="F314" s="256" t="s">
        <v>1030</v>
      </c>
      <c r="G314" s="285" t="str">
        <f>HYPERLINK("https://docs.google.com/spreadsheets/d/1X_cmfjGl8aSTxeBf0hFZNsVALp4kFtyCXB3eMjFGnc0/edit#gid=585726196", "https://docs.google.com/spreadsheets/d/1X_cmfjGl8aSTxeBf0hFZNsVALp4kFtyCXB3eMjFGnc0/edit#gid=585726196")</f>
        <v>https://docs.google.com/spreadsheets/d/1X_cmfjGl8aSTxeBf0hFZNsVALp4kFtyCXB3eMjFGnc0/edit#gid=585726196</v>
      </c>
      <c r="H314" s="32" t="s">
        <v>1030</v>
      </c>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260"/>
      <c r="D315" s="15"/>
      <c r="E315" s="256" t="s">
        <v>139</v>
      </c>
      <c r="F315" s="256" t="s">
        <v>1028</v>
      </c>
      <c r="G315" s="285" t="str">
        <f>HYPERLINK("https://docs.google.com/spreadsheets/d/1X_cmfjGl8aSTxeBf0hFZNsVALp4kFtyCXB3eMjFGnc0/edit#gid=1375364977", "https://docs.google.com/spreadsheets/d/1X_cmfjGl8aSTxeBf0hFZNsVALp4kFtyCXB3eMjFGnc0/edit#gid=1375364977")</f>
        <v>https://docs.google.com/spreadsheets/d/1X_cmfjGl8aSTxeBf0hFZNsVALp4kFtyCXB3eMjFGnc0/edit#gid=1375364977</v>
      </c>
      <c r="H315" s="32" t="s">
        <v>1028</v>
      </c>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B316" s="260"/>
      <c r="C316" s="21"/>
      <c r="D316" s="15"/>
      <c r="E316" s="261"/>
      <c r="F316" s="261"/>
      <c r="G316" s="262"/>
      <c r="H316" s="15"/>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B317" s="257" t="s">
        <v>2682</v>
      </c>
      <c r="C317" s="282" t="s">
        <v>2683</v>
      </c>
      <c r="D317" s="32" t="s">
        <v>20</v>
      </c>
      <c r="E317" s="256" t="s">
        <v>88</v>
      </c>
      <c r="F317" s="256" t="s">
        <v>89</v>
      </c>
      <c r="G317" s="262"/>
      <c r="H317" s="36"/>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B318" s="260"/>
      <c r="D318" s="15"/>
      <c r="E318" s="256" t="s">
        <v>21</v>
      </c>
      <c r="F318" s="256" t="s">
        <v>51</v>
      </c>
      <c r="G318" s="285" t="str">
        <f>HYPERLINK("https://docs.google.com/spreadsheets/d/1ogL02o2Clhvw-14TaMNozJue8N21jiAyIoItveCzAZw/edit#gid=340054208", "https://docs.google.com/spreadsheets/d/1ogL02o2Clhvw-14TaMNozJue8N21jiAyIoItveCzAZw/edit#gid=340054208")</f>
        <v>https://docs.google.com/spreadsheets/d/1ogL02o2Clhvw-14TaMNozJue8N21jiAyIoItveCzAZw/edit#gid=340054208</v>
      </c>
      <c r="H318" s="35" t="s">
        <v>51</v>
      </c>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B319" s="260"/>
      <c r="D319" s="15"/>
      <c r="E319" s="256" t="s">
        <v>408</v>
      </c>
      <c r="F319" s="256" t="s">
        <v>408</v>
      </c>
      <c r="G319" s="285" t="str">
        <f>HYPERLINK("https://docs.google.com/spreadsheets/d/1ogL02o2Clhvw-14TaMNozJue8N21jiAyIoItveCzAZw/edit#gid=886508158", "https://docs.google.com/spreadsheets/d/1ogL02o2Clhvw-14TaMNozJue8N21jiAyIoItveCzAZw/edit#gid=886508158")</f>
        <v>https://docs.google.com/spreadsheets/d/1ogL02o2Clhvw-14TaMNozJue8N21jiAyIoItveCzAZw/edit#gid=886508158</v>
      </c>
      <c r="H319" s="35" t="s">
        <v>408</v>
      </c>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B320" s="260"/>
      <c r="D320" s="15"/>
      <c r="E320" s="256" t="s">
        <v>139</v>
      </c>
      <c r="F320" s="256" t="s">
        <v>1025</v>
      </c>
      <c r="G320" s="285" t="str">
        <f>HYPERLINK("https://docs.google.com/spreadsheets/d/1ogL02o2Clhvw-14TaMNozJue8N21jiAyIoItveCzAZw/edit#gid=262950829", "https://docs.google.com/spreadsheets/d/1ogL02o2Clhvw-14TaMNozJue8N21jiAyIoItveCzAZw/edit#gid=262950829")</f>
        <v>https://docs.google.com/spreadsheets/d/1ogL02o2Clhvw-14TaMNozJue8N21jiAyIoItveCzAZw/edit#gid=262950829</v>
      </c>
      <c r="H320" s="35" t="s">
        <v>1025</v>
      </c>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B321" s="260"/>
      <c r="D321" s="15"/>
      <c r="E321" s="256" t="s">
        <v>139</v>
      </c>
      <c r="F321" s="256" t="s">
        <v>140</v>
      </c>
      <c r="G321" s="285" t="str">
        <f>HYPERLINK("https://docs.google.com/spreadsheets/d/1ogL02o2Clhvw-14TaMNozJue8N21jiAyIoItveCzAZw/edit#gid=2073463061", "https://docs.google.com/spreadsheets/d/1ogL02o2Clhvw-14TaMNozJue8N21jiAyIoItveCzAZw/edit#gid=2073463061")</f>
        <v>https://docs.google.com/spreadsheets/d/1ogL02o2Clhvw-14TaMNozJue8N21jiAyIoItveCzAZw/edit#gid=2073463061</v>
      </c>
      <c r="H321" s="35" t="s">
        <v>140</v>
      </c>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B322" s="260"/>
      <c r="D322" s="15"/>
      <c r="E322" s="256" t="s">
        <v>139</v>
      </c>
      <c r="F322" s="256" t="s">
        <v>1030</v>
      </c>
      <c r="G322" s="285" t="str">
        <f>HYPERLINK("https://docs.google.com/spreadsheets/d/1ogL02o2Clhvw-14TaMNozJue8N21jiAyIoItveCzAZw/edit#gid=687374236", "https://docs.google.com/spreadsheets/d/1ogL02o2Clhvw-14TaMNozJue8N21jiAyIoItveCzAZw/edit#gid=687374236")</f>
        <v>https://docs.google.com/spreadsheets/d/1ogL02o2Clhvw-14TaMNozJue8N21jiAyIoItveCzAZw/edit#gid=687374236</v>
      </c>
      <c r="H322" s="35" t="s">
        <v>1030</v>
      </c>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B323" s="260"/>
      <c r="D323" s="15"/>
      <c r="E323" s="256" t="s">
        <v>139</v>
      </c>
      <c r="F323" s="256" t="s">
        <v>1028</v>
      </c>
      <c r="G323" s="285" t="str">
        <f>HYPERLINK("https://docs.google.com/spreadsheets/d/1ogL02o2Clhvw-14TaMNozJue8N21jiAyIoItveCzAZw/edit#gid=1030464752", "https://docs.google.com/spreadsheets/d/1ogL02o2Clhvw-14TaMNozJue8N21jiAyIoItveCzAZw/edit#gid=1030464752")</f>
        <v>https://docs.google.com/spreadsheets/d/1ogL02o2Clhvw-14TaMNozJue8N21jiAyIoItveCzAZw/edit#gid=1030464752</v>
      </c>
      <c r="H323" s="35" t="s">
        <v>1028</v>
      </c>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B324" s="260"/>
      <c r="C324" s="21"/>
      <c r="D324" s="15"/>
      <c r="E324" s="256"/>
      <c r="F324" s="256"/>
      <c r="G324" s="262"/>
      <c r="H324" s="36"/>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B325" s="257" t="s">
        <v>2684</v>
      </c>
      <c r="C325" s="282" t="s">
        <v>2685</v>
      </c>
      <c r="D325" s="32" t="s">
        <v>20</v>
      </c>
      <c r="E325" s="256" t="s">
        <v>88</v>
      </c>
      <c r="F325" s="256" t="s">
        <v>89</v>
      </c>
      <c r="G325" s="262"/>
      <c r="H325" s="36"/>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B326" s="260"/>
      <c r="D326" s="15"/>
      <c r="E326" s="256" t="s">
        <v>172</v>
      </c>
      <c r="F326" s="256" t="s">
        <v>194</v>
      </c>
      <c r="G326" s="285" t="str">
        <f>HYPERLINK("https://docs.google.com/spreadsheets/d/1W6Bbzonij2XNW2N6mBgnLLMaLWAvcOFfWdlQJ1cxLjg/edit#gid=1648833071", "https://docs.google.com/spreadsheets/d/1W6Bbzonij2XNW2N6mBgnLLMaLWAvcOFfWdlQJ1cxLjg/edit#gid=1648833071")</f>
        <v>https://docs.google.com/spreadsheets/d/1W6Bbzonij2XNW2N6mBgnLLMaLWAvcOFfWdlQJ1cxLjg/edit#gid=1648833071</v>
      </c>
      <c r="H326" s="32" t="s">
        <v>194</v>
      </c>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B327" s="260"/>
      <c r="D327" s="15"/>
      <c r="E327" s="256" t="s">
        <v>172</v>
      </c>
      <c r="F327" s="256" t="s">
        <v>195</v>
      </c>
      <c r="G327" s="285" t="str">
        <f>HYPERLINK("https://docs.google.com/spreadsheets/d/1W6Bbzonij2XNW2N6mBgnLLMaLWAvcOFfWdlQJ1cxLjg/edit#gid=1804609259", "https://docs.google.com/spreadsheets/d/1W6Bbzonij2XNW2N6mBgnLLMaLWAvcOFfWdlQJ1cxLjg/edit#gid=1804609259")</f>
        <v>https://docs.google.com/spreadsheets/d/1W6Bbzonij2XNW2N6mBgnLLMaLWAvcOFfWdlQJ1cxLjg/edit#gid=1804609259</v>
      </c>
      <c r="H327" s="32" t="s">
        <v>195</v>
      </c>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B328" s="260"/>
      <c r="D328" s="15"/>
      <c r="E328" s="256" t="s">
        <v>21</v>
      </c>
      <c r="F328" s="256" t="s">
        <v>51</v>
      </c>
      <c r="G328" s="285" t="str">
        <f>HYPERLINK("https://docs.google.com/spreadsheets/d/1W6Bbzonij2XNW2N6mBgnLLMaLWAvcOFfWdlQJ1cxLjg/edit#gid=370534360", "https://docs.google.com/spreadsheets/d/1W6Bbzonij2XNW2N6mBgnLLMaLWAvcOFfWdlQJ1cxLjg/edit#gid=370534360")</f>
        <v>https://docs.google.com/spreadsheets/d/1W6Bbzonij2XNW2N6mBgnLLMaLWAvcOFfWdlQJ1cxLjg/edit#gid=370534360</v>
      </c>
      <c r="H328" s="32" t="s">
        <v>51</v>
      </c>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B329" s="260"/>
      <c r="D329" s="15"/>
      <c r="E329" s="256" t="s">
        <v>408</v>
      </c>
      <c r="F329" s="256" t="s">
        <v>408</v>
      </c>
      <c r="G329" s="285" t="str">
        <f>HYPERLINK("https://docs.google.com/spreadsheets/d/1W6Bbzonij2XNW2N6mBgnLLMaLWAvcOFfWdlQJ1cxLjg/edit#gid=649721247", "https://docs.google.com/spreadsheets/d/1W6Bbzonij2XNW2N6mBgnLLMaLWAvcOFfWdlQJ1cxLjg/edit#gid=649721247")</f>
        <v>https://docs.google.com/spreadsheets/d/1W6Bbzonij2XNW2N6mBgnLLMaLWAvcOFfWdlQJ1cxLjg/edit#gid=649721247</v>
      </c>
      <c r="H329" s="32" t="s">
        <v>408</v>
      </c>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260"/>
      <c r="D330" s="15"/>
      <c r="E330" s="256" t="s">
        <v>139</v>
      </c>
      <c r="F330" s="256" t="s">
        <v>1025</v>
      </c>
      <c r="G330" s="285" t="str">
        <f>HYPERLINK("https://docs.google.com/spreadsheets/d/1W6Bbzonij2XNW2N6mBgnLLMaLWAvcOFfWdlQJ1cxLjg/edit#gid=1265091892", "https://docs.google.com/spreadsheets/d/1W6Bbzonij2XNW2N6mBgnLLMaLWAvcOFfWdlQJ1cxLjg/edit#gid=1265091892")</f>
        <v>https://docs.google.com/spreadsheets/d/1W6Bbzonij2XNW2N6mBgnLLMaLWAvcOFfWdlQJ1cxLjg/edit#gid=1265091892</v>
      </c>
      <c r="H330" s="32" t="s">
        <v>1025</v>
      </c>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260"/>
      <c r="D331" s="15"/>
      <c r="E331" s="256" t="s">
        <v>139</v>
      </c>
      <c r="F331" s="256" t="s">
        <v>140</v>
      </c>
      <c r="G331" s="285" t="str">
        <f>HYPERLINK("https://docs.google.com/spreadsheets/d/1W6Bbzonij2XNW2N6mBgnLLMaLWAvcOFfWdlQJ1cxLjg/edit#gid=1813817921", "https://docs.google.com/spreadsheets/d/1W6Bbzonij2XNW2N6mBgnLLMaLWAvcOFfWdlQJ1cxLjg/edit#gid=1813817921")</f>
        <v>https://docs.google.com/spreadsheets/d/1W6Bbzonij2XNW2N6mBgnLLMaLWAvcOFfWdlQJ1cxLjg/edit#gid=1813817921</v>
      </c>
      <c r="H331" s="32" t="s">
        <v>140</v>
      </c>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B332" s="260"/>
      <c r="D332" s="15"/>
      <c r="E332" s="256" t="s">
        <v>139</v>
      </c>
      <c r="F332" s="256" t="s">
        <v>1043</v>
      </c>
      <c r="G332" s="285" t="str">
        <f>HYPERLINK("https://docs.google.com/spreadsheets/d/1W6Bbzonij2XNW2N6mBgnLLMaLWAvcOFfWdlQJ1cxLjg/edit#gid=784870576", "https://docs.google.com/spreadsheets/d/1W6Bbzonij2XNW2N6mBgnLLMaLWAvcOFfWdlQJ1cxLjg/edit#gid=784870576")</f>
        <v>https://docs.google.com/spreadsheets/d/1W6Bbzonij2XNW2N6mBgnLLMaLWAvcOFfWdlQJ1cxLjg/edit#gid=784870576</v>
      </c>
      <c r="H332" s="32" t="s">
        <v>1043</v>
      </c>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B333" s="260"/>
      <c r="D333" s="15"/>
      <c r="E333" s="256" t="s">
        <v>139</v>
      </c>
      <c r="F333" s="256" t="s">
        <v>1030</v>
      </c>
      <c r="G333" s="285" t="str">
        <f>HYPERLINK("https://docs.google.com/spreadsheets/d/1W6Bbzonij2XNW2N6mBgnLLMaLWAvcOFfWdlQJ1cxLjg/edit#gid=1035131069", "https://docs.google.com/spreadsheets/d/1W6Bbzonij2XNW2N6mBgnLLMaLWAvcOFfWdlQJ1cxLjg/edit#gid=1035131069")</f>
        <v>https://docs.google.com/spreadsheets/d/1W6Bbzonij2XNW2N6mBgnLLMaLWAvcOFfWdlQJ1cxLjg/edit#gid=1035131069</v>
      </c>
      <c r="H333" s="32" t="s">
        <v>1030</v>
      </c>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B334" s="260"/>
      <c r="D334" s="15"/>
      <c r="E334" s="256" t="s">
        <v>139</v>
      </c>
      <c r="F334" s="256" t="s">
        <v>1028</v>
      </c>
      <c r="G334" s="285" t="str">
        <f>HYPERLINK("https://docs.google.com/spreadsheets/d/1W6Bbzonij2XNW2N6mBgnLLMaLWAvcOFfWdlQJ1cxLjg/edit#gid=1281422996", "https://docs.google.com/spreadsheets/d/1W6Bbzonij2XNW2N6mBgnLLMaLWAvcOFfWdlQJ1cxLjg/edit#gid=1281422996")</f>
        <v>https://docs.google.com/spreadsheets/d/1W6Bbzonij2XNW2N6mBgnLLMaLWAvcOFfWdlQJ1cxLjg/edit#gid=1281422996</v>
      </c>
      <c r="H334" s="32" t="s">
        <v>1028</v>
      </c>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B335" s="260"/>
      <c r="C335" s="21"/>
      <c r="D335" s="15"/>
      <c r="E335" s="261"/>
      <c r="F335" s="261"/>
      <c r="G335" s="262"/>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B336" s="260"/>
      <c r="C336" s="21"/>
      <c r="D336" s="15"/>
      <c r="E336" s="261"/>
      <c r="F336" s="261"/>
      <c r="G336" s="262"/>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B337" s="257" t="s">
        <v>2686</v>
      </c>
      <c r="C337" s="282" t="s">
        <v>2687</v>
      </c>
      <c r="D337" s="32" t="s">
        <v>20</v>
      </c>
      <c r="E337" s="256" t="s">
        <v>88</v>
      </c>
      <c r="F337" s="256" t="s">
        <v>89</v>
      </c>
      <c r="G337" s="262"/>
      <c r="H337" s="36"/>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B338" s="260"/>
      <c r="D338" s="15"/>
      <c r="E338" s="256" t="s">
        <v>172</v>
      </c>
      <c r="F338" s="256" t="s">
        <v>194</v>
      </c>
      <c r="G338" s="285" t="str">
        <f>HYPERLINK("https://docs.google.com/spreadsheets/d/16A2i4AZtp6Bw4StY9J_qoxixbFMHScweSMxhbCgs1KM/edit#gid=690596840", "https://docs.google.com/spreadsheets/d/16A2i4AZtp6Bw4StY9J_qoxixbFMHScweSMxhbCgs1KM/edit#gid=690596840")</f>
        <v>https://docs.google.com/spreadsheets/d/16A2i4AZtp6Bw4StY9J_qoxixbFMHScweSMxhbCgs1KM/edit#gid=690596840</v>
      </c>
      <c r="H338" s="32" t="s">
        <v>194</v>
      </c>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B339" s="260"/>
      <c r="D339" s="15"/>
      <c r="E339" s="256" t="s">
        <v>172</v>
      </c>
      <c r="F339" s="256" t="s">
        <v>195</v>
      </c>
      <c r="G339" s="285" t="str">
        <f>HYPERLINK("https://docs.google.com/spreadsheets/d/16A2i4AZtp6Bw4StY9J_qoxixbFMHScweSMxhbCgs1KM/edit#gid=1248702403", "https://docs.google.com/spreadsheets/d/16A2i4AZtp6Bw4StY9J_qoxixbFMHScweSMxhbCgs1KM/edit#gid=1248702403")</f>
        <v>https://docs.google.com/spreadsheets/d/16A2i4AZtp6Bw4StY9J_qoxixbFMHScweSMxhbCgs1KM/edit#gid=1248702403</v>
      </c>
      <c r="H339" s="32" t="s">
        <v>195</v>
      </c>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B340" s="260"/>
      <c r="D340" s="15"/>
      <c r="E340" s="256" t="s">
        <v>21</v>
      </c>
      <c r="F340" s="256" t="s">
        <v>51</v>
      </c>
      <c r="G340" s="285" t="str">
        <f>HYPERLINK("https://docs.google.com/spreadsheets/d/16A2i4AZtp6Bw4StY9J_qoxixbFMHScweSMxhbCgs1KM/edit#gid=330643412", "https://docs.google.com/spreadsheets/d/16A2i4AZtp6Bw4StY9J_qoxixbFMHScweSMxhbCgs1KM/edit#gid=330643412")</f>
        <v>https://docs.google.com/spreadsheets/d/16A2i4AZtp6Bw4StY9J_qoxixbFMHScweSMxhbCgs1KM/edit#gid=330643412</v>
      </c>
      <c r="H340" s="32" t="s">
        <v>51</v>
      </c>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B341" s="260"/>
      <c r="D341" s="15"/>
      <c r="E341" s="256" t="s">
        <v>408</v>
      </c>
      <c r="F341" s="256" t="s">
        <v>408</v>
      </c>
      <c r="G341" s="285" t="str">
        <f>HYPERLINK("https://docs.google.com/spreadsheets/d/16A2i4AZtp6Bw4StY9J_qoxixbFMHScweSMxhbCgs1KM/edit#gid=1893687099", "https://docs.google.com/spreadsheets/d/16A2i4AZtp6Bw4StY9J_qoxixbFMHScweSMxhbCgs1KM/edit#gid=1893687099")</f>
        <v>https://docs.google.com/spreadsheets/d/16A2i4AZtp6Bw4StY9J_qoxixbFMHScweSMxhbCgs1KM/edit#gid=1893687099</v>
      </c>
      <c r="H341" s="32" t="s">
        <v>408</v>
      </c>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B342" s="260"/>
      <c r="D342" s="15"/>
      <c r="E342" s="256" t="s">
        <v>139</v>
      </c>
      <c r="F342" s="256" t="s">
        <v>1025</v>
      </c>
      <c r="G342" s="285" t="str">
        <f>HYPERLINK("https://docs.google.com/spreadsheets/d/16A2i4AZtp6Bw4StY9J_qoxixbFMHScweSMxhbCgs1KM/edit#gid=943312336", "https://docs.google.com/spreadsheets/d/16A2i4AZtp6Bw4StY9J_qoxixbFMHScweSMxhbCgs1KM/edit#gid=943312336")</f>
        <v>https://docs.google.com/spreadsheets/d/16A2i4AZtp6Bw4StY9J_qoxixbFMHScweSMxhbCgs1KM/edit#gid=943312336</v>
      </c>
      <c r="H342" s="32" t="s">
        <v>1025</v>
      </c>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B343" s="260"/>
      <c r="D343" s="15"/>
      <c r="E343" s="256" t="s">
        <v>139</v>
      </c>
      <c r="F343" s="256" t="s">
        <v>140</v>
      </c>
      <c r="G343" s="285" t="str">
        <f>HYPERLINK("https://docs.google.com/spreadsheets/d/16A2i4AZtp6Bw4StY9J_qoxixbFMHScweSMxhbCgs1KM/edit#gid=1941582790", "https://docs.google.com/spreadsheets/d/16A2i4AZtp6Bw4StY9J_qoxixbFMHScweSMxhbCgs1KM/edit#gid=1941582790")</f>
        <v>https://docs.google.com/spreadsheets/d/16A2i4AZtp6Bw4StY9J_qoxixbFMHScweSMxhbCgs1KM/edit#gid=1941582790</v>
      </c>
      <c r="H343" s="32" t="s">
        <v>140</v>
      </c>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B344" s="260"/>
      <c r="D344" s="15"/>
      <c r="E344" s="256" t="s">
        <v>139</v>
      </c>
      <c r="F344" s="256" t="s">
        <v>1043</v>
      </c>
      <c r="G344" s="285" t="str">
        <f>HYPERLINK("https://docs.google.com/spreadsheets/d/16A2i4AZtp6Bw4StY9J_qoxixbFMHScweSMxhbCgs1KM/edit#gid=717805441", "https://docs.google.com/spreadsheets/d/16A2i4AZtp6Bw4StY9J_qoxixbFMHScweSMxhbCgs1KM/edit#gid=717805441")</f>
        <v>https://docs.google.com/spreadsheets/d/16A2i4AZtp6Bw4StY9J_qoxixbFMHScweSMxhbCgs1KM/edit#gid=717805441</v>
      </c>
      <c r="H344" s="32" t="s">
        <v>1043</v>
      </c>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B345" s="260"/>
      <c r="D345" s="15"/>
      <c r="E345" s="256" t="s">
        <v>139</v>
      </c>
      <c r="F345" s="256" t="s">
        <v>1030</v>
      </c>
      <c r="G345" s="285" t="str">
        <f>HYPERLINK("https://docs.google.com/spreadsheets/d/16A2i4AZtp6Bw4StY9J_qoxixbFMHScweSMxhbCgs1KM/edit#gid=2028190218", "https://docs.google.com/spreadsheets/d/16A2i4AZtp6Bw4StY9J_qoxixbFMHScweSMxhbCgs1KM/edit#gid=2028190218")</f>
        <v>https://docs.google.com/spreadsheets/d/16A2i4AZtp6Bw4StY9J_qoxixbFMHScweSMxhbCgs1KM/edit#gid=2028190218</v>
      </c>
      <c r="H345" s="32" t="s">
        <v>1030</v>
      </c>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B346" s="260"/>
      <c r="D346" s="15"/>
      <c r="E346" s="256" t="s">
        <v>139</v>
      </c>
      <c r="F346" s="256" t="s">
        <v>1028</v>
      </c>
      <c r="G346" s="285" t="str">
        <f>HYPERLINK("https://docs.google.com/spreadsheets/d/16A2i4AZtp6Bw4StY9J_qoxixbFMHScweSMxhbCgs1KM/edit#gid=1845042078", "https://docs.google.com/spreadsheets/d/16A2i4AZtp6Bw4StY9J_qoxixbFMHScweSMxhbCgs1KM/edit#gid=1845042078")</f>
        <v>https://docs.google.com/spreadsheets/d/16A2i4AZtp6Bw4StY9J_qoxixbFMHScweSMxhbCgs1KM/edit#gid=1845042078</v>
      </c>
      <c r="H346" s="32" t="s">
        <v>1028</v>
      </c>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B347" s="260"/>
      <c r="C347" s="21"/>
      <c r="D347" s="15"/>
      <c r="E347" s="261"/>
      <c r="F347" s="261"/>
      <c r="G347" s="262"/>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B348" s="260"/>
      <c r="C348" s="21"/>
      <c r="D348" s="15"/>
      <c r="E348" s="261"/>
      <c r="F348" s="261"/>
      <c r="G348" s="262"/>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260"/>
      <c r="C349" s="21"/>
      <c r="D349" s="15"/>
      <c r="E349" s="261"/>
      <c r="F349" s="261"/>
      <c r="G349" s="262"/>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260"/>
      <c r="C350" s="21"/>
      <c r="D350" s="15"/>
      <c r="E350" s="261"/>
      <c r="F350" s="261"/>
      <c r="G350" s="262"/>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B351" s="260"/>
      <c r="C351" s="21"/>
      <c r="D351" s="15"/>
      <c r="E351" s="261"/>
      <c r="F351" s="261"/>
      <c r="G351" s="262"/>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B352" s="260"/>
      <c r="C352" s="21"/>
      <c r="D352" s="15"/>
      <c r="E352" s="261"/>
      <c r="F352" s="261"/>
      <c r="G352" s="262"/>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B353" s="260"/>
      <c r="C353" s="21"/>
      <c r="D353" s="15"/>
      <c r="E353" s="261"/>
      <c r="F353" s="261"/>
      <c r="G353" s="262"/>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B354" s="260"/>
      <c r="C354" s="21"/>
      <c r="D354" s="15"/>
      <c r="E354" s="261"/>
      <c r="F354" s="261"/>
      <c r="G354" s="262"/>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B355" s="260"/>
      <c r="C355" s="21"/>
      <c r="D355" s="15"/>
      <c r="E355" s="261"/>
      <c r="F355" s="261"/>
      <c r="G355" s="262"/>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B356" s="260"/>
      <c r="C356" s="21"/>
      <c r="D356" s="15"/>
      <c r="E356" s="261"/>
      <c r="F356" s="261"/>
      <c r="G356" s="262"/>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B357" s="260"/>
      <c r="C357" s="21"/>
      <c r="D357" s="15"/>
      <c r="E357" s="261"/>
      <c r="F357" s="261"/>
      <c r="G357" s="262"/>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B358" s="260"/>
      <c r="C358" s="21"/>
      <c r="D358" s="15"/>
      <c r="E358" s="261"/>
      <c r="F358" s="261"/>
      <c r="G358" s="262"/>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B359" s="260"/>
      <c r="C359" s="21"/>
      <c r="D359" s="15"/>
      <c r="E359" s="261"/>
      <c r="F359" s="261"/>
      <c r="G359" s="262"/>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B360" s="260"/>
      <c r="C360" s="21"/>
      <c r="D360" s="15"/>
      <c r="E360" s="261"/>
      <c r="F360" s="261"/>
      <c r="G360" s="262"/>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B361" s="260"/>
      <c r="C361" s="21"/>
      <c r="D361" s="15"/>
      <c r="E361" s="261"/>
      <c r="F361" s="261"/>
      <c r="G361" s="262"/>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260"/>
      <c r="C362" s="21"/>
      <c r="D362" s="15"/>
      <c r="E362" s="261"/>
      <c r="F362" s="261"/>
      <c r="G362" s="262"/>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260"/>
      <c r="C363" s="21"/>
      <c r="D363" s="15"/>
      <c r="E363" s="261"/>
      <c r="F363" s="261"/>
      <c r="G363" s="262"/>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B364" s="260"/>
      <c r="C364" s="21"/>
      <c r="D364" s="15"/>
      <c r="E364" s="261"/>
      <c r="F364" s="261"/>
      <c r="G364" s="262"/>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B365" s="260"/>
      <c r="C365" s="21"/>
      <c r="D365" s="15"/>
      <c r="E365" s="261"/>
      <c r="F365" s="261"/>
      <c r="G365" s="262"/>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B366" s="260"/>
      <c r="C366" s="21"/>
      <c r="D366" s="15"/>
      <c r="E366" s="261"/>
      <c r="F366" s="261"/>
      <c r="G366" s="262"/>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B367" s="260"/>
      <c r="C367" s="21"/>
      <c r="D367" s="15"/>
      <c r="E367" s="261"/>
      <c r="F367" s="261"/>
      <c r="G367" s="262"/>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B368" s="260"/>
      <c r="C368" s="21"/>
      <c r="D368" s="15"/>
      <c r="E368" s="261"/>
      <c r="F368" s="261"/>
      <c r="G368" s="262"/>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B369" s="260"/>
      <c r="C369" s="21"/>
      <c r="D369" s="15"/>
      <c r="E369" s="261"/>
      <c r="F369" s="261"/>
      <c r="G369" s="262"/>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B370" s="260"/>
      <c r="C370" s="21"/>
      <c r="D370" s="15"/>
      <c r="E370" s="261"/>
      <c r="F370" s="261"/>
      <c r="G370" s="262"/>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B371" s="260"/>
      <c r="C371" s="21"/>
      <c r="D371" s="15"/>
      <c r="E371" s="261"/>
      <c r="F371" s="261"/>
      <c r="G371" s="262"/>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B372" s="260"/>
      <c r="C372" s="21"/>
      <c r="D372" s="15"/>
      <c r="E372" s="261"/>
      <c r="F372" s="261"/>
      <c r="G372" s="262"/>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B373" s="260"/>
      <c r="C373" s="21"/>
      <c r="D373" s="15"/>
      <c r="E373" s="261"/>
      <c r="F373" s="261"/>
      <c r="G373" s="262"/>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B374" s="260"/>
      <c r="C374" s="21"/>
      <c r="D374" s="15"/>
      <c r="E374" s="261"/>
      <c r="F374" s="261"/>
      <c r="G374" s="262"/>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B375" s="260"/>
      <c r="C375" s="21"/>
      <c r="D375" s="15"/>
      <c r="E375" s="261"/>
      <c r="F375" s="261"/>
      <c r="G375" s="262"/>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260"/>
      <c r="C376" s="21"/>
      <c r="D376" s="15"/>
      <c r="E376" s="261"/>
      <c r="F376" s="261"/>
      <c r="G376" s="262"/>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260"/>
      <c r="C377" s="21"/>
      <c r="D377" s="15"/>
      <c r="E377" s="261"/>
      <c r="F377" s="261"/>
      <c r="G377" s="262"/>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B378" s="260"/>
      <c r="C378" s="21"/>
      <c r="D378" s="15"/>
      <c r="E378" s="261"/>
      <c r="F378" s="261"/>
      <c r="G378" s="262"/>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B379" s="260"/>
      <c r="C379" s="21"/>
      <c r="D379" s="15"/>
      <c r="E379" s="261"/>
      <c r="F379" s="261"/>
      <c r="G379" s="262"/>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B380" s="260"/>
      <c r="C380" s="21"/>
      <c r="D380" s="15"/>
      <c r="E380" s="261"/>
      <c r="F380" s="261"/>
      <c r="G380" s="262"/>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B381" s="260"/>
      <c r="C381" s="21"/>
      <c r="D381" s="15"/>
      <c r="E381" s="261"/>
      <c r="F381" s="261"/>
      <c r="G381" s="262"/>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B382" s="260"/>
      <c r="C382" s="21"/>
      <c r="D382" s="15"/>
      <c r="E382" s="261"/>
      <c r="F382" s="261"/>
      <c r="G382" s="262"/>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B383" s="260"/>
      <c r="C383" s="21"/>
      <c r="D383" s="15"/>
      <c r="E383" s="261"/>
      <c r="F383" s="261"/>
      <c r="G383" s="262"/>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B384" s="260"/>
      <c r="C384" s="21"/>
      <c r="D384" s="15"/>
      <c r="E384" s="261"/>
      <c r="F384" s="261"/>
      <c r="G384" s="262"/>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B385" s="260"/>
      <c r="C385" s="21"/>
      <c r="D385" s="15"/>
      <c r="E385" s="261"/>
      <c r="F385" s="261"/>
      <c r="G385" s="262"/>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B386" s="260"/>
      <c r="C386" s="21"/>
      <c r="D386" s="15"/>
      <c r="E386" s="261"/>
      <c r="F386" s="261"/>
      <c r="G386" s="262"/>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B387" s="260"/>
      <c r="C387" s="21"/>
      <c r="D387" s="15"/>
      <c r="E387" s="261"/>
      <c r="F387" s="261"/>
      <c r="G387" s="262"/>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B388" s="260"/>
      <c r="C388" s="21"/>
      <c r="D388" s="15"/>
      <c r="E388" s="261"/>
      <c r="F388" s="261"/>
      <c r="G388" s="262"/>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B389" s="260"/>
      <c r="C389" s="21"/>
      <c r="D389" s="15"/>
      <c r="E389" s="261"/>
      <c r="F389" s="261"/>
      <c r="G389" s="262"/>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B390" s="260"/>
      <c r="C390" s="21"/>
      <c r="D390" s="15"/>
      <c r="E390" s="261"/>
      <c r="F390" s="261"/>
      <c r="G390" s="262"/>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260"/>
      <c r="C391" s="21"/>
      <c r="D391" s="15"/>
      <c r="E391" s="261"/>
      <c r="F391" s="261"/>
      <c r="G391" s="262"/>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260"/>
      <c r="C392" s="21"/>
      <c r="D392" s="15"/>
      <c r="E392" s="261"/>
      <c r="F392" s="261"/>
      <c r="G392" s="262"/>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B393" s="260"/>
      <c r="C393" s="21"/>
      <c r="D393" s="15"/>
      <c r="E393" s="261"/>
      <c r="F393" s="261"/>
      <c r="G393" s="262"/>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B394" s="260"/>
      <c r="C394" s="21"/>
      <c r="D394" s="15"/>
      <c r="E394" s="261"/>
      <c r="F394" s="261"/>
      <c r="G394" s="262"/>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B395" s="260"/>
      <c r="C395" s="21"/>
      <c r="D395" s="15"/>
      <c r="E395" s="261"/>
      <c r="F395" s="261"/>
      <c r="G395" s="262"/>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B396" s="260"/>
      <c r="C396" s="21"/>
      <c r="D396" s="15"/>
      <c r="E396" s="261"/>
      <c r="F396" s="261"/>
      <c r="G396" s="262"/>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B397" s="260"/>
      <c r="C397" s="21"/>
      <c r="D397" s="15"/>
      <c r="E397" s="261"/>
      <c r="F397" s="261"/>
      <c r="G397" s="262"/>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B398" s="260"/>
      <c r="C398" s="21"/>
      <c r="D398" s="15"/>
      <c r="E398" s="261"/>
      <c r="F398" s="261"/>
      <c r="G398" s="262"/>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B399" s="260"/>
      <c r="C399" s="21"/>
      <c r="D399" s="15"/>
      <c r="E399" s="261"/>
      <c r="F399" s="261"/>
      <c r="G399" s="262"/>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B400" s="260"/>
      <c r="C400" s="21"/>
      <c r="D400" s="15"/>
      <c r="E400" s="261"/>
      <c r="F400" s="261"/>
      <c r="G400" s="262"/>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B401" s="260"/>
      <c r="C401" s="21"/>
      <c r="D401" s="15"/>
      <c r="E401" s="261"/>
      <c r="F401" s="261"/>
      <c r="G401" s="262"/>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B402" s="260"/>
      <c r="C402" s="21"/>
      <c r="D402" s="15"/>
      <c r="E402" s="261"/>
      <c r="F402" s="261"/>
      <c r="G402" s="262"/>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B403" s="260"/>
      <c r="C403" s="21"/>
      <c r="D403" s="15"/>
      <c r="E403" s="261"/>
      <c r="F403" s="261"/>
      <c r="G403" s="262"/>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B404" s="260"/>
      <c r="C404" s="21"/>
      <c r="D404" s="15"/>
      <c r="E404" s="261"/>
      <c r="F404" s="261"/>
      <c r="G404" s="262"/>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B405" s="260"/>
      <c r="C405" s="21"/>
      <c r="D405" s="15"/>
      <c r="E405" s="261"/>
      <c r="F405" s="261"/>
      <c r="G405" s="262"/>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B406" s="260"/>
      <c r="C406" s="21"/>
      <c r="D406" s="15"/>
      <c r="E406" s="261"/>
      <c r="F406" s="261"/>
      <c r="G406" s="262"/>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260"/>
      <c r="C407" s="21"/>
      <c r="D407" s="15"/>
      <c r="E407" s="261"/>
      <c r="F407" s="261"/>
      <c r="G407" s="262"/>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260"/>
      <c r="C408" s="21"/>
      <c r="D408" s="15"/>
      <c r="E408" s="261"/>
      <c r="F408" s="261"/>
      <c r="G408" s="262"/>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B409" s="260"/>
      <c r="C409" s="21"/>
      <c r="D409" s="15"/>
      <c r="E409" s="261"/>
      <c r="F409" s="261"/>
      <c r="G409" s="262"/>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B410" s="260"/>
      <c r="C410" s="21"/>
      <c r="D410" s="15"/>
      <c r="E410" s="261"/>
      <c r="F410" s="261"/>
      <c r="G410" s="262"/>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B411" s="260"/>
      <c r="C411" s="21"/>
      <c r="D411" s="15"/>
      <c r="E411" s="261"/>
      <c r="F411" s="261"/>
      <c r="G411" s="262"/>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B412" s="260"/>
      <c r="C412" s="21"/>
      <c r="D412" s="15"/>
      <c r="E412" s="261"/>
      <c r="F412" s="261"/>
      <c r="G412" s="262"/>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B413" s="260"/>
      <c r="C413" s="21"/>
      <c r="D413" s="15"/>
      <c r="E413" s="261"/>
      <c r="F413" s="261"/>
      <c r="G413" s="262"/>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B414" s="260"/>
      <c r="C414" s="21"/>
      <c r="D414" s="15"/>
      <c r="E414" s="261"/>
      <c r="F414" s="261"/>
      <c r="G414" s="262"/>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B415" s="260"/>
      <c r="C415" s="21"/>
      <c r="D415" s="15"/>
      <c r="E415" s="261"/>
      <c r="F415" s="261"/>
      <c r="G415" s="262"/>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B416" s="260"/>
      <c r="C416" s="21"/>
      <c r="D416" s="15"/>
      <c r="E416" s="261"/>
      <c r="F416" s="261"/>
      <c r="G416" s="262"/>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B417" s="260"/>
      <c r="C417" s="21"/>
      <c r="D417" s="15"/>
      <c r="E417" s="261"/>
      <c r="F417" s="261"/>
      <c r="G417" s="262"/>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B418" s="260"/>
      <c r="C418" s="21"/>
      <c r="D418" s="15"/>
      <c r="E418" s="261"/>
      <c r="F418" s="261"/>
      <c r="G418" s="262"/>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B419" s="260"/>
      <c r="C419" s="21"/>
      <c r="D419" s="15"/>
      <c r="E419" s="261"/>
      <c r="F419" s="261"/>
      <c r="G419" s="262"/>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B420" s="260"/>
      <c r="C420" s="21"/>
      <c r="D420" s="15"/>
      <c r="E420" s="261"/>
      <c r="F420" s="261"/>
      <c r="G420" s="262"/>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B421" s="260"/>
      <c r="C421" s="21"/>
      <c r="D421" s="15"/>
      <c r="E421" s="261"/>
      <c r="F421" s="261"/>
      <c r="G421" s="262"/>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B422" s="260"/>
      <c r="C422" s="21"/>
      <c r="D422" s="15"/>
      <c r="E422" s="261"/>
      <c r="F422" s="261"/>
      <c r="G422" s="262"/>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B423" s="260"/>
      <c r="C423" s="21"/>
      <c r="D423" s="15"/>
      <c r="E423" s="261"/>
      <c r="F423" s="261"/>
      <c r="G423" s="262"/>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B424" s="260"/>
      <c r="C424" s="21"/>
      <c r="D424" s="15"/>
      <c r="E424" s="261"/>
      <c r="F424" s="261"/>
      <c r="G424" s="262"/>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260"/>
      <c r="C425" s="21"/>
      <c r="D425" s="15"/>
      <c r="E425" s="261"/>
      <c r="F425" s="261"/>
      <c r="G425" s="262"/>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260"/>
      <c r="C426" s="21"/>
      <c r="D426" s="15"/>
      <c r="E426" s="261"/>
      <c r="F426" s="261"/>
      <c r="G426" s="262"/>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B427" s="260"/>
      <c r="C427" s="21"/>
      <c r="D427" s="15"/>
      <c r="E427" s="261"/>
      <c r="F427" s="261"/>
      <c r="G427" s="262"/>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B428" s="260"/>
      <c r="C428" s="21"/>
      <c r="D428" s="15"/>
      <c r="E428" s="261"/>
      <c r="F428" s="261"/>
      <c r="G428" s="262"/>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B429" s="260"/>
      <c r="C429" s="21"/>
      <c r="D429" s="15"/>
      <c r="E429" s="261"/>
      <c r="F429" s="261"/>
      <c r="G429" s="262"/>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B430" s="260"/>
      <c r="C430" s="21"/>
      <c r="D430" s="15"/>
      <c r="E430" s="261"/>
      <c r="F430" s="261"/>
      <c r="G430" s="262"/>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B431" s="260"/>
      <c r="C431" s="21"/>
      <c r="D431" s="15"/>
      <c r="E431" s="261"/>
      <c r="F431" s="261"/>
      <c r="G431" s="262"/>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B432" s="260"/>
      <c r="C432" s="21"/>
      <c r="D432" s="15"/>
      <c r="E432" s="261"/>
      <c r="F432" s="261"/>
      <c r="G432" s="262"/>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B433" s="260"/>
      <c r="C433" s="21"/>
      <c r="D433" s="15"/>
      <c r="E433" s="261"/>
      <c r="F433" s="261"/>
      <c r="G433" s="262"/>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B434" s="260"/>
      <c r="C434" s="21"/>
      <c r="D434" s="15"/>
      <c r="E434" s="261"/>
      <c r="F434" s="261"/>
      <c r="G434" s="262"/>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15"/>
      <c r="B435" s="260"/>
      <c r="C435" s="21"/>
      <c r="D435" s="15"/>
      <c r="E435" s="261"/>
      <c r="F435" s="261"/>
      <c r="G435" s="262"/>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B436" s="260"/>
      <c r="C436" s="21"/>
      <c r="D436" s="15"/>
      <c r="E436" s="261"/>
      <c r="F436" s="261"/>
      <c r="G436" s="262"/>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B437" s="260"/>
      <c r="C437" s="21"/>
      <c r="D437" s="15"/>
      <c r="E437" s="261"/>
      <c r="F437" s="261"/>
      <c r="G437" s="262"/>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B438" s="260"/>
      <c r="C438" s="21"/>
      <c r="D438" s="15"/>
      <c r="E438" s="261"/>
      <c r="F438" s="261"/>
      <c r="G438" s="262"/>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B439" s="260"/>
      <c r="C439" s="21"/>
      <c r="D439" s="15"/>
      <c r="E439" s="261"/>
      <c r="F439" s="261"/>
      <c r="G439" s="262"/>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B440" s="260"/>
      <c r="C440" s="21"/>
      <c r="D440" s="15"/>
      <c r="E440" s="261"/>
      <c r="F440" s="261"/>
      <c r="G440" s="262"/>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B441" s="260"/>
      <c r="C441" s="21"/>
      <c r="D441" s="15"/>
      <c r="E441" s="261"/>
      <c r="F441" s="261"/>
      <c r="G441" s="262"/>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B442" s="260"/>
      <c r="C442" s="21"/>
      <c r="D442" s="15"/>
      <c r="E442" s="261"/>
      <c r="F442" s="261"/>
      <c r="G442" s="262"/>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B443" s="260"/>
      <c r="C443" s="21"/>
      <c r="D443" s="15"/>
      <c r="E443" s="261"/>
      <c r="F443" s="261"/>
      <c r="G443" s="262"/>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B444" s="260"/>
      <c r="C444" s="21"/>
      <c r="D444" s="15"/>
      <c r="E444" s="261"/>
      <c r="F444" s="261"/>
      <c r="G444" s="262"/>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B445" s="260"/>
      <c r="C445" s="21"/>
      <c r="D445" s="15"/>
      <c r="E445" s="261"/>
      <c r="F445" s="261"/>
      <c r="G445" s="262"/>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B446" s="260"/>
      <c r="C446" s="21"/>
      <c r="D446" s="15"/>
      <c r="E446" s="261"/>
      <c r="F446" s="261"/>
      <c r="G446" s="262"/>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260"/>
      <c r="C447" s="21"/>
      <c r="D447" s="15"/>
      <c r="E447" s="261"/>
      <c r="F447" s="261"/>
      <c r="G447" s="262"/>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260"/>
      <c r="C448" s="21"/>
      <c r="D448" s="15"/>
      <c r="E448" s="261"/>
      <c r="F448" s="261"/>
      <c r="G448" s="262"/>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260"/>
      <c r="C449" s="21"/>
      <c r="D449" s="15"/>
      <c r="E449" s="261"/>
      <c r="F449" s="261"/>
      <c r="G449" s="262"/>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B450" s="260"/>
      <c r="C450" s="21"/>
      <c r="D450" s="15"/>
      <c r="E450" s="261"/>
      <c r="F450" s="261"/>
      <c r="G450" s="262"/>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B451" s="260"/>
      <c r="C451" s="21"/>
      <c r="D451" s="15"/>
      <c r="E451" s="261"/>
      <c r="F451" s="261"/>
      <c r="G451" s="262"/>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B452" s="260"/>
      <c r="C452" s="21"/>
      <c r="D452" s="15"/>
      <c r="E452" s="261"/>
      <c r="F452" s="261"/>
      <c r="G452" s="262"/>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B453" s="260"/>
      <c r="C453" s="21"/>
      <c r="D453" s="15"/>
      <c r="E453" s="261"/>
      <c r="F453" s="261"/>
      <c r="G453" s="262"/>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B454" s="260"/>
      <c r="C454" s="21"/>
      <c r="D454" s="15"/>
      <c r="E454" s="261"/>
      <c r="F454" s="261"/>
      <c r="G454" s="262"/>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B455" s="260"/>
      <c r="C455" s="21"/>
      <c r="D455" s="15"/>
      <c r="E455" s="261"/>
      <c r="F455" s="261"/>
      <c r="G455" s="262"/>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B456" s="260"/>
      <c r="C456" s="21"/>
      <c r="D456" s="15"/>
      <c r="E456" s="261"/>
      <c r="F456" s="261"/>
      <c r="G456" s="262"/>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B457" s="260"/>
      <c r="C457" s="21"/>
      <c r="D457" s="15"/>
      <c r="E457" s="261"/>
      <c r="F457" s="261"/>
      <c r="G457" s="262"/>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B458" s="260"/>
      <c r="C458" s="21"/>
      <c r="D458" s="15"/>
      <c r="E458" s="261"/>
      <c r="F458" s="261"/>
      <c r="G458" s="262"/>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B459" s="260"/>
      <c r="C459" s="21"/>
      <c r="D459" s="15"/>
      <c r="E459" s="261"/>
      <c r="F459" s="261"/>
      <c r="G459" s="262"/>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B460" s="260"/>
      <c r="C460" s="21"/>
      <c r="D460" s="15"/>
      <c r="E460" s="261"/>
      <c r="F460" s="261"/>
      <c r="G460" s="262"/>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B461" s="260"/>
      <c r="C461" s="21"/>
      <c r="D461" s="15"/>
      <c r="E461" s="261"/>
      <c r="F461" s="261"/>
      <c r="G461" s="262"/>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B462" s="260"/>
      <c r="C462" s="21"/>
      <c r="D462" s="15"/>
      <c r="E462" s="261"/>
      <c r="F462" s="261"/>
      <c r="G462" s="262"/>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B463" s="260"/>
      <c r="C463" s="21"/>
      <c r="D463" s="15"/>
      <c r="E463" s="261"/>
      <c r="F463" s="261"/>
      <c r="G463" s="262"/>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B464" s="260"/>
      <c r="C464" s="21"/>
      <c r="D464" s="15"/>
      <c r="E464" s="261"/>
      <c r="F464" s="261"/>
      <c r="G464" s="262"/>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B465" s="260"/>
      <c r="C465" s="21"/>
      <c r="D465" s="15"/>
      <c r="E465" s="261"/>
      <c r="F465" s="261"/>
      <c r="G465" s="262"/>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B466" s="260"/>
      <c r="C466" s="21"/>
      <c r="D466" s="15"/>
      <c r="E466" s="261"/>
      <c r="F466" s="261"/>
      <c r="G466" s="262"/>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B467" s="260"/>
      <c r="C467" s="21"/>
      <c r="D467" s="15"/>
      <c r="E467" s="261"/>
      <c r="F467" s="261"/>
      <c r="G467" s="262"/>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B468" s="260"/>
      <c r="C468" s="21"/>
      <c r="D468" s="15"/>
      <c r="E468" s="261"/>
      <c r="F468" s="261"/>
      <c r="G468" s="262"/>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B469" s="260"/>
      <c r="C469" s="21"/>
      <c r="D469" s="15"/>
      <c r="E469" s="261"/>
      <c r="F469" s="261"/>
      <c r="G469" s="262"/>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B470" s="260"/>
      <c r="C470" s="21"/>
      <c r="D470" s="15"/>
      <c r="E470" s="261"/>
      <c r="F470" s="261"/>
      <c r="G470" s="262"/>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B471" s="260"/>
      <c r="C471" s="21"/>
      <c r="D471" s="15"/>
      <c r="E471" s="261"/>
      <c r="F471" s="261"/>
      <c r="G471" s="262"/>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B472" s="260"/>
      <c r="C472" s="21"/>
      <c r="D472" s="15"/>
      <c r="E472" s="261"/>
      <c r="F472" s="261"/>
      <c r="G472" s="262"/>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B473" s="260"/>
      <c r="C473" s="21"/>
      <c r="D473" s="15"/>
      <c r="E473" s="261"/>
      <c r="F473" s="261"/>
      <c r="G473" s="262"/>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B474" s="260"/>
      <c r="C474" s="21"/>
      <c r="D474" s="15"/>
      <c r="E474" s="261"/>
      <c r="F474" s="261"/>
      <c r="G474" s="262"/>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B475" s="260"/>
      <c r="C475" s="21"/>
      <c r="D475" s="15"/>
      <c r="E475" s="261"/>
      <c r="F475" s="261"/>
      <c r="G475" s="262"/>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260"/>
      <c r="C476" s="21"/>
      <c r="D476" s="15"/>
      <c r="E476" s="261"/>
      <c r="F476" s="261"/>
      <c r="G476" s="262"/>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260"/>
      <c r="C477" s="21"/>
      <c r="D477" s="15"/>
      <c r="E477" s="261"/>
      <c r="F477" s="261"/>
      <c r="G477" s="262"/>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B478" s="260"/>
      <c r="C478" s="21"/>
      <c r="D478" s="15"/>
      <c r="E478" s="261"/>
      <c r="F478" s="261"/>
      <c r="G478" s="262"/>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B479" s="260"/>
      <c r="C479" s="21"/>
      <c r="D479" s="15"/>
      <c r="E479" s="261"/>
      <c r="F479" s="261"/>
      <c r="G479" s="262"/>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B480" s="260"/>
      <c r="C480" s="21"/>
      <c r="D480" s="15"/>
      <c r="E480" s="261"/>
      <c r="F480" s="261"/>
      <c r="G480" s="262"/>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B481" s="260"/>
      <c r="C481" s="21"/>
      <c r="D481" s="15"/>
      <c r="E481" s="261"/>
      <c r="F481" s="261"/>
      <c r="G481" s="262"/>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B482" s="260"/>
      <c r="C482" s="21"/>
      <c r="D482" s="15"/>
      <c r="E482" s="261"/>
      <c r="F482" s="261"/>
      <c r="G482" s="262"/>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B483" s="260"/>
      <c r="C483" s="21"/>
      <c r="D483" s="15"/>
      <c r="E483" s="261"/>
      <c r="F483" s="261"/>
      <c r="G483" s="262"/>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B484" s="260"/>
      <c r="C484" s="21"/>
      <c r="D484" s="15"/>
      <c r="E484" s="261"/>
      <c r="F484" s="261"/>
      <c r="G484" s="262"/>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B485" s="260"/>
      <c r="C485" s="21"/>
      <c r="D485" s="15"/>
      <c r="E485" s="261"/>
      <c r="F485" s="261"/>
      <c r="G485" s="262"/>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B486" s="260"/>
      <c r="C486" s="21"/>
      <c r="D486" s="15"/>
      <c r="E486" s="261"/>
      <c r="F486" s="261"/>
      <c r="G486" s="262"/>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B487" s="260"/>
      <c r="C487" s="21"/>
      <c r="D487" s="15"/>
      <c r="E487" s="261"/>
      <c r="F487" s="261"/>
      <c r="G487" s="262"/>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B488" s="260"/>
      <c r="C488" s="21"/>
      <c r="D488" s="15"/>
      <c r="E488" s="261"/>
      <c r="F488" s="261"/>
      <c r="G488" s="262"/>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B489" s="260"/>
      <c r="C489" s="21"/>
      <c r="D489" s="15"/>
      <c r="E489" s="261"/>
      <c r="F489" s="261"/>
      <c r="G489" s="262"/>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B490" s="260"/>
      <c r="C490" s="21"/>
      <c r="D490" s="15"/>
      <c r="E490" s="261"/>
      <c r="F490" s="261"/>
      <c r="G490" s="262"/>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B491" s="260"/>
      <c r="C491" s="21"/>
      <c r="D491" s="15"/>
      <c r="E491" s="261"/>
      <c r="F491" s="261"/>
      <c r="G491" s="262"/>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B492" s="260"/>
      <c r="C492" s="21"/>
      <c r="D492" s="15"/>
      <c r="E492" s="261"/>
      <c r="F492" s="261"/>
      <c r="G492" s="262"/>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B493" s="260"/>
      <c r="C493" s="21"/>
      <c r="D493" s="15"/>
      <c r="E493" s="261"/>
      <c r="F493" s="261"/>
      <c r="G493" s="262"/>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B494" s="260"/>
      <c r="C494" s="21"/>
      <c r="D494" s="15"/>
      <c r="E494" s="261"/>
      <c r="F494" s="261"/>
      <c r="G494" s="262"/>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B495" s="260"/>
      <c r="C495" s="21"/>
      <c r="D495" s="15"/>
      <c r="E495" s="261"/>
      <c r="F495" s="261"/>
      <c r="G495" s="262"/>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B496" s="260"/>
      <c r="C496" s="21"/>
      <c r="D496" s="15"/>
      <c r="E496" s="261"/>
      <c r="F496" s="261"/>
      <c r="G496" s="262"/>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B497" s="260"/>
      <c r="C497" s="21"/>
      <c r="D497" s="15"/>
      <c r="E497" s="261"/>
      <c r="F497" s="261"/>
      <c r="G497" s="262"/>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B498" s="260"/>
      <c r="C498" s="21"/>
      <c r="D498" s="15"/>
      <c r="E498" s="261"/>
      <c r="F498" s="261"/>
      <c r="G498" s="262"/>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B499" s="260"/>
      <c r="C499" s="21"/>
      <c r="D499" s="15"/>
      <c r="E499" s="261"/>
      <c r="F499" s="261"/>
      <c r="G499" s="262"/>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B500" s="260"/>
      <c r="C500" s="21"/>
      <c r="D500" s="15"/>
      <c r="E500" s="261"/>
      <c r="F500" s="261"/>
      <c r="G500" s="262"/>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B501" s="260"/>
      <c r="C501" s="21"/>
      <c r="D501" s="15"/>
      <c r="E501" s="261"/>
      <c r="F501" s="261"/>
      <c r="G501" s="262"/>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B502" s="260"/>
      <c r="C502" s="21"/>
      <c r="D502" s="15"/>
      <c r="E502" s="261"/>
      <c r="F502" s="261"/>
      <c r="G502" s="262"/>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B503" s="260"/>
      <c r="C503" s="21"/>
      <c r="D503" s="15"/>
      <c r="E503" s="261"/>
      <c r="F503" s="261"/>
      <c r="G503" s="262"/>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260"/>
      <c r="C504" s="21"/>
      <c r="D504" s="15"/>
      <c r="E504" s="261"/>
      <c r="F504" s="261"/>
      <c r="G504" s="262"/>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260"/>
      <c r="C505" s="21"/>
      <c r="D505" s="15"/>
      <c r="E505" s="261"/>
      <c r="F505" s="261"/>
      <c r="G505" s="262"/>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260"/>
      <c r="C506" s="21"/>
      <c r="D506" s="15"/>
      <c r="E506" s="261"/>
      <c r="F506" s="261"/>
      <c r="G506" s="262"/>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B507" s="260"/>
      <c r="C507" s="21"/>
      <c r="D507" s="15"/>
      <c r="E507" s="261"/>
      <c r="F507" s="261"/>
      <c r="G507" s="262"/>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260"/>
      <c r="C508" s="21"/>
      <c r="D508" s="15"/>
      <c r="E508" s="261"/>
      <c r="F508" s="261"/>
      <c r="G508" s="262"/>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B509" s="260"/>
      <c r="C509" s="21"/>
      <c r="D509" s="15"/>
      <c r="E509" s="261"/>
      <c r="F509" s="261"/>
      <c r="G509" s="262"/>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B510" s="260"/>
      <c r="C510" s="21"/>
      <c r="D510" s="15"/>
      <c r="E510" s="261"/>
      <c r="F510" s="261"/>
      <c r="G510" s="262"/>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B511" s="260"/>
      <c r="C511" s="21"/>
      <c r="D511" s="15"/>
      <c r="E511" s="261"/>
      <c r="F511" s="261"/>
      <c r="G511" s="262"/>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B512" s="260"/>
      <c r="C512" s="21"/>
      <c r="D512" s="15"/>
      <c r="E512" s="261"/>
      <c r="F512" s="261"/>
      <c r="G512" s="262"/>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B513" s="260"/>
      <c r="C513" s="21"/>
      <c r="D513" s="15"/>
      <c r="E513" s="261"/>
      <c r="F513" s="261"/>
      <c r="G513" s="262"/>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B514" s="260"/>
      <c r="C514" s="21"/>
      <c r="D514" s="15"/>
      <c r="E514" s="261"/>
      <c r="F514" s="261"/>
      <c r="G514" s="262"/>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B515" s="260"/>
      <c r="C515" s="21"/>
      <c r="D515" s="15"/>
      <c r="E515" s="261"/>
      <c r="F515" s="261"/>
      <c r="G515" s="262"/>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B516" s="260"/>
      <c r="C516" s="21"/>
      <c r="D516" s="15"/>
      <c r="E516" s="261"/>
      <c r="F516" s="261"/>
      <c r="G516" s="262"/>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B517" s="260"/>
      <c r="C517" s="21"/>
      <c r="D517" s="15"/>
      <c r="E517" s="261"/>
      <c r="F517" s="261"/>
      <c r="G517" s="262"/>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B518" s="260"/>
      <c r="C518" s="21"/>
      <c r="D518" s="15"/>
      <c r="E518" s="261"/>
      <c r="F518" s="261"/>
      <c r="G518" s="262"/>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260"/>
      <c r="C519" s="21"/>
      <c r="D519" s="15"/>
      <c r="E519" s="261"/>
      <c r="F519" s="261"/>
      <c r="G519" s="262"/>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260"/>
      <c r="C520" s="21"/>
      <c r="D520" s="15"/>
      <c r="E520" s="261"/>
      <c r="F520" s="261"/>
      <c r="G520" s="262"/>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260"/>
      <c r="C521" s="21"/>
      <c r="D521" s="15"/>
      <c r="E521" s="261"/>
      <c r="F521" s="261"/>
      <c r="G521" s="262"/>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260"/>
      <c r="C522" s="21"/>
      <c r="D522" s="15"/>
      <c r="E522" s="261"/>
      <c r="F522" s="261"/>
      <c r="G522" s="262"/>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260"/>
      <c r="C523" s="21"/>
      <c r="D523" s="15"/>
      <c r="E523" s="261"/>
      <c r="F523" s="261"/>
      <c r="G523" s="262"/>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260"/>
      <c r="C524" s="21"/>
      <c r="D524" s="15"/>
      <c r="E524" s="261"/>
      <c r="F524" s="261"/>
      <c r="G524" s="262"/>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260"/>
      <c r="C525" s="21"/>
      <c r="D525" s="15"/>
      <c r="E525" s="261"/>
      <c r="F525" s="261"/>
      <c r="G525" s="262"/>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260"/>
      <c r="C526" s="21"/>
      <c r="D526" s="15"/>
      <c r="E526" s="261"/>
      <c r="F526" s="261"/>
      <c r="G526" s="262"/>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260"/>
      <c r="C527" s="21"/>
      <c r="D527" s="15"/>
      <c r="E527" s="261"/>
      <c r="F527" s="261"/>
      <c r="G527" s="262"/>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260"/>
      <c r="C528" s="21"/>
      <c r="D528" s="15"/>
      <c r="E528" s="261"/>
      <c r="F528" s="261"/>
      <c r="G528" s="262"/>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260"/>
      <c r="C529" s="21"/>
      <c r="D529" s="15"/>
      <c r="E529" s="261"/>
      <c r="F529" s="261"/>
      <c r="G529" s="262"/>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260"/>
      <c r="C530" s="21"/>
      <c r="D530" s="15"/>
      <c r="E530" s="261"/>
      <c r="F530" s="261"/>
      <c r="G530" s="262"/>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260"/>
      <c r="C531" s="21"/>
      <c r="D531" s="15"/>
      <c r="E531" s="261"/>
      <c r="F531" s="261"/>
      <c r="G531" s="262"/>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260"/>
      <c r="C532" s="21"/>
      <c r="D532" s="15"/>
      <c r="E532" s="261"/>
      <c r="F532" s="261"/>
      <c r="G532" s="262"/>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260"/>
      <c r="C533" s="21"/>
      <c r="D533" s="15"/>
      <c r="E533" s="261"/>
      <c r="F533" s="261"/>
      <c r="G533" s="262"/>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260"/>
      <c r="C534" s="21"/>
      <c r="D534" s="15"/>
      <c r="E534" s="261"/>
      <c r="F534" s="261"/>
      <c r="G534" s="262"/>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260"/>
      <c r="C535" s="21"/>
      <c r="D535" s="15"/>
      <c r="E535" s="261"/>
      <c r="F535" s="261"/>
      <c r="G535" s="262"/>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260"/>
      <c r="C536" s="21"/>
      <c r="D536" s="15"/>
      <c r="E536" s="261"/>
      <c r="F536" s="261"/>
      <c r="G536" s="262"/>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260"/>
      <c r="C537" s="21"/>
      <c r="D537" s="15"/>
      <c r="E537" s="261"/>
      <c r="F537" s="261"/>
      <c r="G537" s="262"/>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260"/>
      <c r="C538" s="21"/>
      <c r="D538" s="15"/>
      <c r="E538" s="261"/>
      <c r="F538" s="261"/>
      <c r="G538" s="262"/>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260"/>
      <c r="C539" s="21"/>
      <c r="D539" s="15"/>
      <c r="E539" s="261"/>
      <c r="F539" s="261"/>
      <c r="G539" s="262"/>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260"/>
      <c r="C540" s="21"/>
      <c r="D540" s="15"/>
      <c r="E540" s="261"/>
      <c r="F540" s="261"/>
      <c r="G540" s="262"/>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260"/>
      <c r="C541" s="21"/>
      <c r="D541" s="15"/>
      <c r="E541" s="261"/>
      <c r="F541" s="261"/>
      <c r="G541" s="262"/>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260"/>
      <c r="C542" s="21"/>
      <c r="D542" s="15"/>
      <c r="E542" s="261"/>
      <c r="F542" s="261"/>
      <c r="G542" s="262"/>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260"/>
      <c r="C543" s="21"/>
      <c r="D543" s="15"/>
      <c r="E543" s="261"/>
      <c r="F543" s="261"/>
      <c r="G543" s="262"/>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260"/>
      <c r="C544" s="21"/>
      <c r="D544" s="15"/>
      <c r="E544" s="261"/>
      <c r="F544" s="261"/>
      <c r="G544" s="262"/>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260"/>
      <c r="C545" s="21"/>
      <c r="D545" s="15"/>
      <c r="E545" s="261"/>
      <c r="F545" s="261"/>
      <c r="G545" s="262"/>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260"/>
      <c r="C546" s="21"/>
      <c r="D546" s="15"/>
      <c r="E546" s="261"/>
      <c r="F546" s="261"/>
      <c r="G546" s="262"/>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260"/>
      <c r="C547" s="21"/>
      <c r="D547" s="15"/>
      <c r="E547" s="261"/>
      <c r="F547" s="261"/>
      <c r="G547" s="262"/>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260"/>
      <c r="C548" s="21"/>
      <c r="D548" s="15"/>
      <c r="E548" s="261"/>
      <c r="F548" s="261"/>
      <c r="G548" s="262"/>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260"/>
      <c r="C549" s="21"/>
      <c r="D549" s="15"/>
      <c r="E549" s="261"/>
      <c r="F549" s="261"/>
      <c r="G549" s="262"/>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260"/>
      <c r="C550" s="21"/>
      <c r="D550" s="15"/>
      <c r="E550" s="261"/>
      <c r="F550" s="261"/>
      <c r="G550" s="262"/>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260"/>
      <c r="C551" s="21"/>
      <c r="D551" s="15"/>
      <c r="E551" s="261"/>
      <c r="F551" s="261"/>
      <c r="G551" s="262"/>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260"/>
      <c r="C552" s="21"/>
      <c r="D552" s="15"/>
      <c r="E552" s="261"/>
      <c r="F552" s="261"/>
      <c r="G552" s="262"/>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260"/>
      <c r="C553" s="21"/>
      <c r="D553" s="15"/>
      <c r="E553" s="261"/>
      <c r="F553" s="261"/>
      <c r="G553" s="262"/>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260"/>
      <c r="C554" s="21"/>
      <c r="D554" s="15"/>
      <c r="E554" s="261"/>
      <c r="F554" s="261"/>
      <c r="G554" s="262"/>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260"/>
      <c r="C555" s="21"/>
      <c r="D555" s="15"/>
      <c r="E555" s="261"/>
      <c r="F555" s="261"/>
      <c r="G555" s="262"/>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260"/>
      <c r="C556" s="21"/>
      <c r="D556" s="15"/>
      <c r="E556" s="261"/>
      <c r="F556" s="261"/>
      <c r="G556" s="262"/>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260"/>
      <c r="C557" s="21"/>
      <c r="D557" s="15"/>
      <c r="E557" s="261"/>
      <c r="F557" s="261"/>
      <c r="G557" s="262"/>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260"/>
      <c r="C558" s="21"/>
      <c r="D558" s="15"/>
      <c r="E558" s="261"/>
      <c r="F558" s="261"/>
      <c r="G558" s="262"/>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260"/>
      <c r="C559" s="21"/>
      <c r="D559" s="15"/>
      <c r="E559" s="261"/>
      <c r="F559" s="261"/>
      <c r="G559" s="262"/>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260"/>
      <c r="C560" s="21"/>
      <c r="D560" s="15"/>
      <c r="E560" s="261"/>
      <c r="F560" s="261"/>
      <c r="G560" s="262"/>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260"/>
      <c r="C561" s="21"/>
      <c r="D561" s="15"/>
      <c r="E561" s="261"/>
      <c r="F561" s="261"/>
      <c r="G561" s="262"/>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260"/>
      <c r="C562" s="21"/>
      <c r="D562" s="15"/>
      <c r="E562" s="261"/>
      <c r="F562" s="261"/>
      <c r="G562" s="262"/>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260"/>
      <c r="C563" s="21"/>
      <c r="D563" s="15"/>
      <c r="E563" s="261"/>
      <c r="F563" s="261"/>
      <c r="G563" s="262"/>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260"/>
      <c r="C564" s="21"/>
      <c r="D564" s="15"/>
      <c r="E564" s="261"/>
      <c r="F564" s="261"/>
      <c r="G564" s="262"/>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260"/>
      <c r="C565" s="21"/>
      <c r="D565" s="15"/>
      <c r="E565" s="261"/>
      <c r="F565" s="261"/>
      <c r="G565" s="262"/>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260"/>
      <c r="C566" s="21"/>
      <c r="D566" s="15"/>
      <c r="E566" s="261"/>
      <c r="F566" s="261"/>
      <c r="G566" s="262"/>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260"/>
      <c r="C567" s="21"/>
      <c r="D567" s="15"/>
      <c r="E567" s="261"/>
      <c r="F567" s="261"/>
      <c r="G567" s="262"/>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260"/>
      <c r="C568" s="21"/>
      <c r="D568" s="15"/>
      <c r="E568" s="261"/>
      <c r="F568" s="261"/>
      <c r="G568" s="262"/>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260"/>
      <c r="C569" s="21"/>
      <c r="D569" s="15"/>
      <c r="E569" s="261"/>
      <c r="F569" s="261"/>
      <c r="G569" s="262"/>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260"/>
      <c r="C570" s="21"/>
      <c r="D570" s="15"/>
      <c r="E570" s="261"/>
      <c r="F570" s="261"/>
      <c r="G570" s="262"/>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260"/>
      <c r="C571" s="21"/>
      <c r="D571" s="15"/>
      <c r="E571" s="261"/>
      <c r="F571" s="261"/>
      <c r="G571" s="262"/>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260"/>
      <c r="C572" s="21"/>
      <c r="D572" s="15"/>
      <c r="E572" s="261"/>
      <c r="F572" s="261"/>
      <c r="G572" s="262"/>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260"/>
      <c r="C573" s="21"/>
      <c r="D573" s="15"/>
      <c r="E573" s="261"/>
      <c r="F573" s="261"/>
      <c r="G573" s="262"/>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260"/>
      <c r="C574" s="21"/>
      <c r="D574" s="15"/>
      <c r="E574" s="261"/>
      <c r="F574" s="261"/>
      <c r="G574" s="262"/>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260"/>
      <c r="C575" s="21"/>
      <c r="D575" s="15"/>
      <c r="E575" s="261"/>
      <c r="F575" s="261"/>
      <c r="G575" s="262"/>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260"/>
      <c r="C576" s="21"/>
      <c r="D576" s="15"/>
      <c r="E576" s="261"/>
      <c r="F576" s="261"/>
      <c r="G576" s="262"/>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260"/>
      <c r="C577" s="21"/>
      <c r="D577" s="15"/>
      <c r="E577" s="261"/>
      <c r="F577" s="261"/>
      <c r="G577" s="262"/>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260"/>
      <c r="C578" s="21"/>
      <c r="D578" s="15"/>
      <c r="E578" s="261"/>
      <c r="F578" s="261"/>
      <c r="G578" s="262"/>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260"/>
      <c r="C579" s="21"/>
      <c r="D579" s="15"/>
      <c r="E579" s="261"/>
      <c r="F579" s="261"/>
      <c r="G579" s="262"/>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260"/>
      <c r="C580" s="21"/>
      <c r="D580" s="15"/>
      <c r="E580" s="261"/>
      <c r="F580" s="261"/>
      <c r="G580" s="262"/>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260"/>
      <c r="C581" s="21"/>
      <c r="D581" s="15"/>
      <c r="E581" s="261"/>
      <c r="F581" s="261"/>
      <c r="G581" s="262"/>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260"/>
      <c r="C582" s="21"/>
      <c r="D582" s="15"/>
      <c r="E582" s="261"/>
      <c r="F582" s="261"/>
      <c r="G582" s="262"/>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260"/>
      <c r="C583" s="21"/>
      <c r="D583" s="15"/>
      <c r="E583" s="261"/>
      <c r="F583" s="261"/>
      <c r="G583" s="262"/>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260"/>
      <c r="C584" s="21"/>
      <c r="D584" s="15"/>
      <c r="E584" s="261"/>
      <c r="F584" s="261"/>
      <c r="G584" s="262"/>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260"/>
      <c r="C585" s="21"/>
      <c r="D585" s="15"/>
      <c r="E585" s="261"/>
      <c r="F585" s="261"/>
      <c r="G585" s="262"/>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260"/>
      <c r="C586" s="21"/>
      <c r="D586" s="15"/>
      <c r="E586" s="261"/>
      <c r="F586" s="261"/>
      <c r="G586" s="262"/>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260"/>
      <c r="C587" s="21"/>
      <c r="D587" s="15"/>
      <c r="E587" s="261"/>
      <c r="F587" s="261"/>
      <c r="G587" s="262"/>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260"/>
      <c r="C588" s="21"/>
      <c r="D588" s="15"/>
      <c r="E588" s="261"/>
      <c r="F588" s="261"/>
      <c r="G588" s="262"/>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260"/>
      <c r="C589" s="21"/>
      <c r="D589" s="15"/>
      <c r="E589" s="261"/>
      <c r="F589" s="261"/>
      <c r="G589" s="262"/>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260"/>
      <c r="C590" s="21"/>
      <c r="D590" s="15"/>
      <c r="E590" s="261"/>
      <c r="F590" s="261"/>
      <c r="G590" s="262"/>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260"/>
      <c r="C591" s="21"/>
      <c r="D591" s="15"/>
      <c r="E591" s="261"/>
      <c r="F591" s="261"/>
      <c r="G591" s="262"/>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260"/>
      <c r="C592" s="21"/>
      <c r="D592" s="15"/>
      <c r="E592" s="261"/>
      <c r="F592" s="261"/>
      <c r="G592" s="262"/>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260"/>
      <c r="C593" s="21"/>
      <c r="D593" s="15"/>
      <c r="E593" s="261"/>
      <c r="F593" s="261"/>
      <c r="G593" s="262"/>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260"/>
      <c r="C594" s="21"/>
      <c r="D594" s="15"/>
      <c r="E594" s="261"/>
      <c r="F594" s="261"/>
      <c r="G594" s="262"/>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260"/>
      <c r="C595" s="21"/>
      <c r="D595" s="15"/>
      <c r="E595" s="261"/>
      <c r="F595" s="261"/>
      <c r="G595" s="262"/>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260"/>
      <c r="C596" s="21"/>
      <c r="D596" s="15"/>
      <c r="E596" s="261"/>
      <c r="F596" s="261"/>
      <c r="G596" s="262"/>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260"/>
      <c r="C597" s="21"/>
      <c r="D597" s="15"/>
      <c r="E597" s="261"/>
      <c r="F597" s="261"/>
      <c r="G597" s="262"/>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260"/>
      <c r="C598" s="21"/>
      <c r="D598" s="15"/>
      <c r="E598" s="261"/>
      <c r="F598" s="261"/>
      <c r="G598" s="262"/>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260"/>
      <c r="C599" s="21"/>
      <c r="D599" s="15"/>
      <c r="E599" s="261"/>
      <c r="F599" s="261"/>
      <c r="G599" s="262"/>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260"/>
      <c r="C600" s="21"/>
      <c r="D600" s="15"/>
      <c r="E600" s="261"/>
      <c r="F600" s="261"/>
      <c r="G600" s="262"/>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260"/>
      <c r="C601" s="21"/>
      <c r="D601" s="15"/>
      <c r="E601" s="261"/>
      <c r="F601" s="261"/>
      <c r="G601" s="262"/>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260"/>
      <c r="C602" s="21"/>
      <c r="D602" s="15"/>
      <c r="E602" s="261"/>
      <c r="F602" s="261"/>
      <c r="G602" s="262"/>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260"/>
      <c r="C603" s="21"/>
      <c r="D603" s="15"/>
      <c r="E603" s="261"/>
      <c r="F603" s="261"/>
      <c r="G603" s="262"/>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260"/>
      <c r="C604" s="21"/>
      <c r="D604" s="15"/>
      <c r="E604" s="261"/>
      <c r="F604" s="261"/>
      <c r="G604" s="262"/>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260"/>
      <c r="C605" s="21"/>
      <c r="D605" s="15"/>
      <c r="E605" s="261"/>
      <c r="F605" s="261"/>
      <c r="G605" s="262"/>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260"/>
      <c r="C606" s="21"/>
      <c r="D606" s="15"/>
      <c r="E606" s="261"/>
      <c r="F606" s="261"/>
      <c r="G606" s="262"/>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260"/>
      <c r="C607" s="21"/>
      <c r="D607" s="15"/>
      <c r="E607" s="261"/>
      <c r="F607" s="261"/>
      <c r="G607" s="262"/>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260"/>
      <c r="C608" s="21"/>
      <c r="D608" s="15"/>
      <c r="E608" s="261"/>
      <c r="F608" s="261"/>
      <c r="G608" s="262"/>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260"/>
      <c r="C609" s="21"/>
      <c r="D609" s="15"/>
      <c r="E609" s="261"/>
      <c r="F609" s="261"/>
      <c r="G609" s="262"/>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260"/>
      <c r="C610" s="21"/>
      <c r="D610" s="15"/>
      <c r="E610" s="261"/>
      <c r="F610" s="261"/>
      <c r="G610" s="262"/>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260"/>
      <c r="C611" s="21"/>
      <c r="D611" s="15"/>
      <c r="E611" s="261"/>
      <c r="F611" s="261"/>
      <c r="G611" s="262"/>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260"/>
      <c r="C612" s="21"/>
      <c r="D612" s="15"/>
      <c r="E612" s="261"/>
      <c r="F612" s="261"/>
      <c r="G612" s="262"/>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260"/>
      <c r="C613" s="21"/>
      <c r="D613" s="15"/>
      <c r="E613" s="261"/>
      <c r="F613" s="261"/>
      <c r="G613" s="262"/>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260"/>
      <c r="C614" s="21"/>
      <c r="D614" s="15"/>
      <c r="E614" s="261"/>
      <c r="F614" s="261"/>
      <c r="G614" s="262"/>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260"/>
      <c r="C615" s="21"/>
      <c r="D615" s="15"/>
      <c r="E615" s="261"/>
      <c r="F615" s="261"/>
      <c r="G615" s="262"/>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260"/>
      <c r="C616" s="21"/>
      <c r="D616" s="15"/>
      <c r="E616" s="261"/>
      <c r="F616" s="261"/>
      <c r="G616" s="262"/>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B617" s="260"/>
      <c r="C617" s="21"/>
      <c r="D617" s="15"/>
      <c r="E617" s="261"/>
      <c r="F617" s="261"/>
      <c r="G617" s="262"/>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260"/>
      <c r="C618" s="21"/>
      <c r="D618" s="15"/>
      <c r="E618" s="261"/>
      <c r="F618" s="261"/>
      <c r="G618" s="262"/>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260"/>
      <c r="C619" s="21"/>
      <c r="D619" s="15"/>
      <c r="E619" s="261"/>
      <c r="F619" s="261"/>
      <c r="G619" s="262"/>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260"/>
      <c r="C620" s="21"/>
      <c r="D620" s="15"/>
      <c r="E620" s="261"/>
      <c r="F620" s="261"/>
      <c r="G620" s="262"/>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260"/>
      <c r="C621" s="21"/>
      <c r="D621" s="15"/>
      <c r="E621" s="261"/>
      <c r="F621" s="261"/>
      <c r="G621" s="262"/>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260"/>
      <c r="C622" s="21"/>
      <c r="D622" s="15"/>
      <c r="E622" s="261"/>
      <c r="F622" s="261"/>
      <c r="G622" s="262"/>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260"/>
      <c r="C623" s="21"/>
      <c r="D623" s="15"/>
      <c r="E623" s="261"/>
      <c r="F623" s="261"/>
      <c r="G623" s="262"/>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260"/>
      <c r="C624" s="21"/>
      <c r="D624" s="15"/>
      <c r="E624" s="261"/>
      <c r="F624" s="261"/>
      <c r="G624" s="262"/>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260"/>
      <c r="C625" s="21"/>
      <c r="D625" s="15"/>
      <c r="E625" s="261"/>
      <c r="F625" s="261"/>
      <c r="G625" s="262"/>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260"/>
      <c r="C626" s="21"/>
      <c r="D626" s="15"/>
      <c r="E626" s="261"/>
      <c r="F626" s="261"/>
      <c r="G626" s="262"/>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260"/>
      <c r="C627" s="21"/>
      <c r="D627" s="15"/>
      <c r="E627" s="261"/>
      <c r="F627" s="261"/>
      <c r="G627" s="262"/>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260"/>
      <c r="C628" s="21"/>
      <c r="D628" s="15"/>
      <c r="E628" s="261"/>
      <c r="F628" s="261"/>
      <c r="G628" s="262"/>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260"/>
      <c r="C629" s="21"/>
      <c r="D629" s="15"/>
      <c r="E629" s="261"/>
      <c r="F629" s="261"/>
      <c r="G629" s="262"/>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260"/>
      <c r="C630" s="21"/>
      <c r="D630" s="15"/>
      <c r="E630" s="261"/>
      <c r="F630" s="261"/>
      <c r="G630" s="262"/>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260"/>
      <c r="C631" s="21"/>
      <c r="D631" s="15"/>
      <c r="E631" s="261"/>
      <c r="F631" s="261"/>
      <c r="G631" s="262"/>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260"/>
      <c r="C632" s="21"/>
      <c r="D632" s="15"/>
      <c r="E632" s="261"/>
      <c r="F632" s="261"/>
      <c r="G632" s="262"/>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260"/>
      <c r="C633" s="21"/>
      <c r="D633" s="15"/>
      <c r="E633" s="261"/>
      <c r="F633" s="261"/>
      <c r="G633" s="262"/>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260"/>
      <c r="C634" s="21"/>
      <c r="D634" s="15"/>
      <c r="E634" s="261"/>
      <c r="F634" s="261"/>
      <c r="G634" s="262"/>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260"/>
      <c r="C635" s="21"/>
      <c r="D635" s="15"/>
      <c r="E635" s="261"/>
      <c r="F635" s="261"/>
      <c r="G635" s="262"/>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260"/>
      <c r="C636" s="21"/>
      <c r="D636" s="15"/>
      <c r="E636" s="261"/>
      <c r="F636" s="261"/>
      <c r="G636" s="262"/>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260"/>
      <c r="C637" s="21"/>
      <c r="D637" s="15"/>
      <c r="E637" s="261"/>
      <c r="F637" s="261"/>
      <c r="G637" s="262"/>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260"/>
      <c r="C638" s="21"/>
      <c r="D638" s="15"/>
      <c r="E638" s="261"/>
      <c r="F638" s="261"/>
      <c r="G638" s="262"/>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260"/>
      <c r="C639" s="21"/>
      <c r="D639" s="15"/>
      <c r="E639" s="261"/>
      <c r="F639" s="261"/>
      <c r="G639" s="262"/>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260"/>
      <c r="C640" s="21"/>
      <c r="D640" s="15"/>
      <c r="E640" s="261"/>
      <c r="F640" s="261"/>
      <c r="G640" s="262"/>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260"/>
      <c r="C641" s="21"/>
      <c r="D641" s="15"/>
      <c r="E641" s="261"/>
      <c r="F641" s="261"/>
      <c r="G641" s="262"/>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260"/>
      <c r="C642" s="21"/>
      <c r="D642" s="15"/>
      <c r="E642" s="261"/>
      <c r="F642" s="261"/>
      <c r="G642" s="262"/>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260"/>
      <c r="C643" s="21"/>
      <c r="D643" s="15"/>
      <c r="E643" s="261"/>
      <c r="F643" s="261"/>
      <c r="G643" s="262"/>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260"/>
      <c r="C644" s="21"/>
      <c r="D644" s="15"/>
      <c r="E644" s="261"/>
      <c r="F644" s="261"/>
      <c r="G644" s="262"/>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260"/>
      <c r="C645" s="21"/>
      <c r="D645" s="15"/>
      <c r="E645" s="261"/>
      <c r="F645" s="261"/>
      <c r="G645" s="262"/>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260"/>
      <c r="C646" s="21"/>
      <c r="D646" s="15"/>
      <c r="E646" s="261"/>
      <c r="F646" s="261"/>
      <c r="G646" s="262"/>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260"/>
      <c r="C647" s="21"/>
      <c r="D647" s="15"/>
      <c r="E647" s="261"/>
      <c r="F647" s="261"/>
      <c r="G647" s="262"/>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260"/>
      <c r="C648" s="21"/>
      <c r="D648" s="15"/>
      <c r="E648" s="261"/>
      <c r="F648" s="261"/>
      <c r="G648" s="262"/>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260"/>
      <c r="C649" s="21"/>
      <c r="D649" s="15"/>
      <c r="E649" s="261"/>
      <c r="F649" s="261"/>
      <c r="G649" s="262"/>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260"/>
      <c r="C650" s="21"/>
      <c r="D650" s="15"/>
      <c r="E650" s="261"/>
      <c r="F650" s="261"/>
      <c r="G650" s="262"/>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260"/>
      <c r="C651" s="21"/>
      <c r="D651" s="15"/>
      <c r="E651" s="261"/>
      <c r="F651" s="261"/>
      <c r="G651" s="262"/>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260"/>
      <c r="C652" s="21"/>
      <c r="D652" s="15"/>
      <c r="E652" s="261"/>
      <c r="F652" s="261"/>
      <c r="G652" s="262"/>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260"/>
      <c r="C653" s="21"/>
      <c r="D653" s="15"/>
      <c r="E653" s="261"/>
      <c r="F653" s="261"/>
      <c r="G653" s="262"/>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260"/>
      <c r="C654" s="21"/>
      <c r="D654" s="15"/>
      <c r="E654" s="261"/>
      <c r="F654" s="261"/>
      <c r="G654" s="262"/>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260"/>
      <c r="C655" s="21"/>
      <c r="D655" s="15"/>
      <c r="E655" s="261"/>
      <c r="F655" s="261"/>
      <c r="G655" s="262"/>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260"/>
      <c r="C656" s="21"/>
      <c r="D656" s="15"/>
      <c r="E656" s="261"/>
      <c r="F656" s="261"/>
      <c r="G656" s="262"/>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260"/>
      <c r="C657" s="21"/>
      <c r="D657" s="15"/>
      <c r="E657" s="261"/>
      <c r="F657" s="261"/>
      <c r="G657" s="262"/>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260"/>
      <c r="C658" s="21"/>
      <c r="D658" s="15"/>
      <c r="E658" s="261"/>
      <c r="F658" s="261"/>
      <c r="G658" s="262"/>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260"/>
      <c r="C659" s="21"/>
      <c r="D659" s="15"/>
      <c r="E659" s="261"/>
      <c r="F659" s="261"/>
      <c r="G659" s="262"/>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260"/>
      <c r="C660" s="21"/>
      <c r="D660" s="15"/>
      <c r="E660" s="261"/>
      <c r="F660" s="261"/>
      <c r="G660" s="262"/>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260"/>
      <c r="C661" s="21"/>
      <c r="D661" s="15"/>
      <c r="E661" s="261"/>
      <c r="F661" s="261"/>
      <c r="G661" s="262"/>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260"/>
      <c r="C662" s="21"/>
      <c r="D662" s="15"/>
      <c r="E662" s="261"/>
      <c r="F662" s="261"/>
      <c r="G662" s="262"/>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260"/>
      <c r="C663" s="21"/>
      <c r="D663" s="15"/>
      <c r="E663" s="261"/>
      <c r="F663" s="261"/>
      <c r="G663" s="262"/>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260"/>
      <c r="C664" s="21"/>
      <c r="D664" s="15"/>
      <c r="E664" s="261"/>
      <c r="F664" s="261"/>
      <c r="G664" s="262"/>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260"/>
      <c r="C665" s="21"/>
      <c r="D665" s="15"/>
      <c r="E665" s="261"/>
      <c r="F665" s="261"/>
      <c r="G665" s="262"/>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260"/>
      <c r="C666" s="21"/>
      <c r="D666" s="15"/>
      <c r="E666" s="261"/>
      <c r="F666" s="261"/>
      <c r="G666" s="262"/>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260"/>
      <c r="C667" s="21"/>
      <c r="D667" s="15"/>
      <c r="E667" s="261"/>
      <c r="F667" s="261"/>
      <c r="G667" s="262"/>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260"/>
      <c r="C668" s="21"/>
      <c r="D668" s="15"/>
      <c r="E668" s="261"/>
      <c r="F668" s="261"/>
      <c r="G668" s="262"/>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260"/>
      <c r="C669" s="21"/>
      <c r="D669" s="15"/>
      <c r="E669" s="261"/>
      <c r="F669" s="261"/>
      <c r="G669" s="262"/>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260"/>
      <c r="C670" s="21"/>
      <c r="D670" s="15"/>
      <c r="E670" s="261"/>
      <c r="F670" s="261"/>
      <c r="G670" s="262"/>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260"/>
      <c r="C671" s="21"/>
      <c r="D671" s="15"/>
      <c r="E671" s="261"/>
      <c r="F671" s="261"/>
      <c r="G671" s="262"/>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260"/>
      <c r="C672" s="21"/>
      <c r="D672" s="15"/>
      <c r="E672" s="261"/>
      <c r="F672" s="261"/>
      <c r="G672" s="262"/>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260"/>
      <c r="C673" s="21"/>
      <c r="D673" s="15"/>
      <c r="E673" s="261"/>
      <c r="F673" s="261"/>
      <c r="G673" s="262"/>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260"/>
      <c r="C674" s="21"/>
      <c r="D674" s="15"/>
      <c r="E674" s="261"/>
      <c r="F674" s="261"/>
      <c r="G674" s="262"/>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260"/>
      <c r="C675" s="21"/>
      <c r="D675" s="15"/>
      <c r="E675" s="261"/>
      <c r="F675" s="261"/>
      <c r="G675" s="262"/>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260"/>
      <c r="C676" s="21"/>
      <c r="D676" s="15"/>
      <c r="E676" s="261"/>
      <c r="F676" s="261"/>
      <c r="G676" s="262"/>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260"/>
      <c r="C677" s="21"/>
      <c r="D677" s="15"/>
      <c r="E677" s="261"/>
      <c r="F677" s="261"/>
      <c r="G677" s="262"/>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260"/>
      <c r="C678" s="21"/>
      <c r="D678" s="15"/>
      <c r="E678" s="261"/>
      <c r="F678" s="261"/>
      <c r="G678" s="262"/>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260"/>
      <c r="C679" s="21"/>
      <c r="D679" s="15"/>
      <c r="E679" s="261"/>
      <c r="F679" s="261"/>
      <c r="G679" s="262"/>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260"/>
      <c r="C680" s="21"/>
      <c r="D680" s="15"/>
      <c r="E680" s="261"/>
      <c r="F680" s="261"/>
      <c r="G680" s="262"/>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260"/>
      <c r="C681" s="21"/>
      <c r="D681" s="15"/>
      <c r="E681" s="261"/>
      <c r="F681" s="261"/>
      <c r="G681" s="262"/>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260"/>
      <c r="C682" s="21"/>
      <c r="D682" s="15"/>
      <c r="E682" s="261"/>
      <c r="F682" s="261"/>
      <c r="G682" s="262"/>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260"/>
      <c r="C683" s="21"/>
      <c r="D683" s="15"/>
      <c r="E683" s="261"/>
      <c r="F683" s="261"/>
      <c r="G683" s="262"/>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260"/>
      <c r="C684" s="21"/>
      <c r="D684" s="15"/>
      <c r="E684" s="261"/>
      <c r="F684" s="261"/>
      <c r="G684" s="262"/>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260"/>
      <c r="C685" s="21"/>
      <c r="D685" s="15"/>
      <c r="E685" s="261"/>
      <c r="F685" s="261"/>
      <c r="G685" s="262"/>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260"/>
      <c r="C686" s="21"/>
      <c r="D686" s="15"/>
      <c r="E686" s="261"/>
      <c r="F686" s="261"/>
      <c r="G686" s="262"/>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260"/>
      <c r="C687" s="21"/>
      <c r="D687" s="15"/>
      <c r="E687" s="261"/>
      <c r="F687" s="261"/>
      <c r="G687" s="262"/>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260"/>
      <c r="C688" s="21"/>
      <c r="D688" s="15"/>
      <c r="E688" s="261"/>
      <c r="F688" s="261"/>
      <c r="G688" s="262"/>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260"/>
      <c r="C689" s="21"/>
      <c r="D689" s="15"/>
      <c r="E689" s="261"/>
      <c r="F689" s="261"/>
      <c r="G689" s="262"/>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260"/>
      <c r="C690" s="21"/>
      <c r="D690" s="15"/>
      <c r="E690" s="261"/>
      <c r="F690" s="261"/>
      <c r="G690" s="262"/>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260"/>
      <c r="C691" s="21"/>
      <c r="D691" s="15"/>
      <c r="E691" s="261"/>
      <c r="F691" s="261"/>
      <c r="G691" s="262"/>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260"/>
      <c r="C692" s="21"/>
      <c r="D692" s="15"/>
      <c r="E692" s="261"/>
      <c r="F692" s="261"/>
      <c r="G692" s="262"/>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260"/>
      <c r="C693" s="21"/>
      <c r="D693" s="15"/>
      <c r="E693" s="261"/>
      <c r="F693" s="261"/>
      <c r="G693" s="262"/>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260"/>
      <c r="C694" s="21"/>
      <c r="D694" s="15"/>
      <c r="E694" s="261"/>
      <c r="F694" s="261"/>
      <c r="G694" s="262"/>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260"/>
      <c r="C695" s="21"/>
      <c r="D695" s="15"/>
      <c r="E695" s="261"/>
      <c r="F695" s="261"/>
      <c r="G695" s="262"/>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260"/>
      <c r="C696" s="21"/>
      <c r="D696" s="15"/>
      <c r="E696" s="261"/>
      <c r="F696" s="261"/>
      <c r="G696" s="262"/>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260"/>
      <c r="C697" s="21"/>
      <c r="D697" s="15"/>
      <c r="E697" s="261"/>
      <c r="F697" s="261"/>
      <c r="G697" s="262"/>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260"/>
      <c r="C698" s="21"/>
      <c r="D698" s="15"/>
      <c r="E698" s="261"/>
      <c r="F698" s="261"/>
      <c r="G698" s="262"/>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260"/>
      <c r="C699" s="21"/>
      <c r="D699" s="15"/>
      <c r="E699" s="261"/>
      <c r="F699" s="261"/>
      <c r="G699" s="262"/>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260"/>
      <c r="C700" s="21"/>
      <c r="D700" s="15"/>
      <c r="E700" s="261"/>
      <c r="F700" s="261"/>
      <c r="G700" s="262"/>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260"/>
      <c r="C701" s="21"/>
      <c r="D701" s="15"/>
      <c r="E701" s="261"/>
      <c r="F701" s="261"/>
      <c r="G701" s="262"/>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260"/>
      <c r="C702" s="21"/>
      <c r="D702" s="15"/>
      <c r="E702" s="261"/>
      <c r="F702" s="261"/>
      <c r="G702" s="262"/>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260"/>
      <c r="C703" s="21"/>
      <c r="D703" s="15"/>
      <c r="E703" s="261"/>
      <c r="F703" s="261"/>
      <c r="G703" s="262"/>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260"/>
      <c r="C704" s="21"/>
      <c r="D704" s="15"/>
      <c r="E704" s="261"/>
      <c r="F704" s="261"/>
      <c r="G704" s="262"/>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260"/>
      <c r="C705" s="21"/>
      <c r="D705" s="15"/>
      <c r="E705" s="261"/>
      <c r="F705" s="261"/>
      <c r="G705" s="262"/>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260"/>
      <c r="C706" s="21"/>
      <c r="D706" s="15"/>
      <c r="E706" s="261"/>
      <c r="F706" s="261"/>
      <c r="G706" s="262"/>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260"/>
      <c r="C707" s="21"/>
      <c r="D707" s="15"/>
      <c r="E707" s="261"/>
      <c r="F707" s="261"/>
      <c r="G707" s="262"/>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260"/>
      <c r="C708" s="21"/>
      <c r="D708" s="15"/>
      <c r="E708" s="261"/>
      <c r="F708" s="261"/>
      <c r="G708" s="262"/>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260"/>
      <c r="C709" s="21"/>
      <c r="D709" s="15"/>
      <c r="E709" s="261"/>
      <c r="F709" s="261"/>
      <c r="G709" s="262"/>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260"/>
      <c r="C710" s="21"/>
      <c r="D710" s="15"/>
      <c r="E710" s="261"/>
      <c r="F710" s="261"/>
      <c r="G710" s="262"/>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260"/>
      <c r="C711" s="21"/>
      <c r="D711" s="15"/>
      <c r="E711" s="261"/>
      <c r="F711" s="261"/>
      <c r="G711" s="262"/>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260"/>
      <c r="C712" s="21"/>
      <c r="D712" s="15"/>
      <c r="E712" s="261"/>
      <c r="F712" s="261"/>
      <c r="G712" s="262"/>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260"/>
      <c r="C713" s="21"/>
      <c r="D713" s="15"/>
      <c r="E713" s="261"/>
      <c r="F713" s="261"/>
      <c r="G713" s="262"/>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260"/>
      <c r="C714" s="21"/>
      <c r="D714" s="15"/>
      <c r="E714" s="261"/>
      <c r="F714" s="261"/>
      <c r="G714" s="262"/>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260"/>
      <c r="C715" s="21"/>
      <c r="D715" s="15"/>
      <c r="E715" s="261"/>
      <c r="F715" s="261"/>
      <c r="G715" s="262"/>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260"/>
      <c r="C716" s="21"/>
      <c r="D716" s="15"/>
      <c r="E716" s="261"/>
      <c r="F716" s="261"/>
      <c r="G716" s="262"/>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260"/>
      <c r="C717" s="21"/>
      <c r="D717" s="15"/>
      <c r="E717" s="261"/>
      <c r="F717" s="261"/>
      <c r="G717" s="262"/>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260"/>
      <c r="C718" s="21"/>
      <c r="D718" s="15"/>
      <c r="E718" s="261"/>
      <c r="F718" s="261"/>
      <c r="G718" s="262"/>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260"/>
      <c r="C719" s="21"/>
      <c r="D719" s="15"/>
      <c r="E719" s="261"/>
      <c r="F719" s="261"/>
      <c r="G719" s="262"/>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260"/>
      <c r="C720" s="21"/>
      <c r="D720" s="15"/>
      <c r="E720" s="261"/>
      <c r="F720" s="261"/>
      <c r="G720" s="262"/>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260"/>
      <c r="C721" s="21"/>
      <c r="D721" s="15"/>
      <c r="E721" s="261"/>
      <c r="F721" s="261"/>
      <c r="G721" s="262"/>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260"/>
      <c r="C722" s="21"/>
      <c r="D722" s="15"/>
      <c r="E722" s="261"/>
      <c r="F722" s="261"/>
      <c r="G722" s="262"/>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260"/>
      <c r="C723" s="21"/>
      <c r="D723" s="15"/>
      <c r="E723" s="261"/>
      <c r="F723" s="261"/>
      <c r="G723" s="262"/>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260"/>
      <c r="C724" s="21"/>
      <c r="D724" s="15"/>
      <c r="E724" s="261"/>
      <c r="F724" s="261"/>
      <c r="G724" s="262"/>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260"/>
      <c r="C725" s="21"/>
      <c r="D725" s="15"/>
      <c r="E725" s="261"/>
      <c r="F725" s="261"/>
      <c r="G725" s="262"/>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260"/>
      <c r="C726" s="21"/>
      <c r="D726" s="15"/>
      <c r="E726" s="261"/>
      <c r="F726" s="261"/>
      <c r="G726" s="262"/>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260"/>
      <c r="C727" s="21"/>
      <c r="D727" s="15"/>
      <c r="E727" s="261"/>
      <c r="F727" s="261"/>
      <c r="G727" s="262"/>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260"/>
      <c r="C728" s="21"/>
      <c r="D728" s="15"/>
      <c r="E728" s="261"/>
      <c r="F728" s="261"/>
      <c r="G728" s="262"/>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260"/>
      <c r="C729" s="21"/>
      <c r="D729" s="15"/>
      <c r="E729" s="261"/>
      <c r="F729" s="261"/>
      <c r="G729" s="262"/>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260"/>
      <c r="C730" s="21"/>
      <c r="D730" s="15"/>
      <c r="E730" s="261"/>
      <c r="F730" s="261"/>
      <c r="G730" s="262"/>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260"/>
      <c r="C731" s="21"/>
      <c r="D731" s="15"/>
      <c r="E731" s="261"/>
      <c r="F731" s="261"/>
      <c r="G731" s="262"/>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260"/>
      <c r="C732" s="21"/>
      <c r="D732" s="15"/>
      <c r="E732" s="261"/>
      <c r="F732" s="261"/>
      <c r="G732" s="262"/>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260"/>
      <c r="C733" s="21"/>
      <c r="D733" s="15"/>
      <c r="E733" s="261"/>
      <c r="F733" s="261"/>
      <c r="G733" s="262"/>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260"/>
      <c r="C734" s="21"/>
      <c r="D734" s="15"/>
      <c r="E734" s="261"/>
      <c r="F734" s="261"/>
      <c r="G734" s="262"/>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260"/>
      <c r="C735" s="21"/>
      <c r="D735" s="15"/>
      <c r="E735" s="261"/>
      <c r="F735" s="261"/>
      <c r="G735" s="262"/>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260"/>
      <c r="C736" s="21"/>
      <c r="D736" s="15"/>
      <c r="E736" s="261"/>
      <c r="F736" s="261"/>
      <c r="G736" s="262"/>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260"/>
      <c r="C737" s="21"/>
      <c r="D737" s="15"/>
      <c r="E737" s="261"/>
      <c r="F737" s="261"/>
      <c r="G737" s="262"/>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260"/>
      <c r="C738" s="21"/>
      <c r="D738" s="15"/>
      <c r="E738" s="261"/>
      <c r="F738" s="261"/>
      <c r="G738" s="262"/>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260"/>
      <c r="C739" s="21"/>
      <c r="D739" s="15"/>
      <c r="E739" s="261"/>
      <c r="F739" s="261"/>
      <c r="G739" s="262"/>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260"/>
      <c r="C740" s="21"/>
      <c r="D740" s="15"/>
      <c r="E740" s="261"/>
      <c r="F740" s="261"/>
      <c r="G740" s="262"/>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260"/>
      <c r="C741" s="21"/>
      <c r="D741" s="15"/>
      <c r="E741" s="261"/>
      <c r="F741" s="261"/>
      <c r="G741" s="262"/>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260"/>
      <c r="C742" s="21"/>
      <c r="D742" s="15"/>
      <c r="E742" s="261"/>
      <c r="F742" s="261"/>
      <c r="G742" s="262"/>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260"/>
      <c r="C743" s="21"/>
      <c r="D743" s="15"/>
      <c r="E743" s="261"/>
      <c r="F743" s="261"/>
      <c r="G743" s="262"/>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260"/>
      <c r="C744" s="21"/>
      <c r="D744" s="15"/>
      <c r="E744" s="261"/>
      <c r="F744" s="261"/>
      <c r="G744" s="262"/>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260"/>
      <c r="C745" s="21"/>
      <c r="D745" s="15"/>
      <c r="E745" s="261"/>
      <c r="F745" s="261"/>
      <c r="G745" s="262"/>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260"/>
      <c r="C746" s="21"/>
      <c r="D746" s="15"/>
      <c r="E746" s="261"/>
      <c r="F746" s="261"/>
      <c r="G746" s="262"/>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260"/>
      <c r="C747" s="21"/>
      <c r="D747" s="15"/>
      <c r="E747" s="261"/>
      <c r="F747" s="261"/>
      <c r="G747" s="262"/>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260"/>
      <c r="C748" s="21"/>
      <c r="D748" s="15"/>
      <c r="E748" s="261"/>
      <c r="F748" s="261"/>
      <c r="G748" s="262"/>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260"/>
      <c r="C749" s="21"/>
      <c r="D749" s="15"/>
      <c r="E749" s="261"/>
      <c r="F749" s="261"/>
      <c r="G749" s="262"/>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260"/>
      <c r="C750" s="21"/>
      <c r="D750" s="15"/>
      <c r="E750" s="261"/>
      <c r="F750" s="261"/>
      <c r="G750" s="262"/>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260"/>
      <c r="C751" s="21"/>
      <c r="D751" s="15"/>
      <c r="E751" s="261"/>
      <c r="F751" s="261"/>
      <c r="G751" s="262"/>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260"/>
      <c r="C752" s="21"/>
      <c r="D752" s="15"/>
      <c r="E752" s="261"/>
      <c r="F752" s="261"/>
      <c r="G752" s="262"/>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260"/>
      <c r="C753" s="21"/>
      <c r="D753" s="15"/>
      <c r="E753" s="261"/>
      <c r="F753" s="261"/>
      <c r="G753" s="262"/>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260"/>
      <c r="C754" s="21"/>
      <c r="D754" s="15"/>
      <c r="E754" s="261"/>
      <c r="F754" s="261"/>
      <c r="G754" s="262"/>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260"/>
      <c r="C755" s="21"/>
      <c r="D755" s="15"/>
      <c r="E755" s="261"/>
      <c r="F755" s="261"/>
      <c r="G755" s="262"/>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260"/>
      <c r="C756" s="21"/>
      <c r="D756" s="15"/>
      <c r="E756" s="261"/>
      <c r="F756" s="261"/>
      <c r="G756" s="262"/>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260"/>
      <c r="C757" s="21"/>
      <c r="D757" s="15"/>
      <c r="E757" s="261"/>
      <c r="F757" s="261"/>
      <c r="G757" s="262"/>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260"/>
      <c r="C758" s="21"/>
      <c r="D758" s="15"/>
      <c r="E758" s="261"/>
      <c r="F758" s="261"/>
      <c r="G758" s="262"/>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260"/>
      <c r="C759" s="21"/>
      <c r="D759" s="15"/>
      <c r="E759" s="261"/>
      <c r="F759" s="261"/>
      <c r="G759" s="262"/>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260"/>
      <c r="C760" s="21"/>
      <c r="D760" s="15"/>
      <c r="E760" s="261"/>
      <c r="F760" s="261"/>
      <c r="G760" s="262"/>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260"/>
      <c r="C761" s="21"/>
      <c r="D761" s="15"/>
      <c r="E761" s="261"/>
      <c r="F761" s="261"/>
      <c r="G761" s="262"/>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260"/>
      <c r="C762" s="21"/>
      <c r="D762" s="15"/>
      <c r="E762" s="261"/>
      <c r="F762" s="261"/>
      <c r="G762" s="262"/>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260"/>
      <c r="C763" s="21"/>
      <c r="D763" s="15"/>
      <c r="E763" s="261"/>
      <c r="F763" s="261"/>
      <c r="G763" s="262"/>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260"/>
      <c r="C764" s="21"/>
      <c r="D764" s="15"/>
      <c r="E764" s="261"/>
      <c r="F764" s="261"/>
      <c r="G764" s="262"/>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260"/>
      <c r="C765" s="21"/>
      <c r="D765" s="15"/>
      <c r="E765" s="261"/>
      <c r="F765" s="261"/>
      <c r="G765" s="262"/>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260"/>
      <c r="C766" s="21"/>
      <c r="D766" s="15"/>
      <c r="E766" s="261"/>
      <c r="F766" s="261"/>
      <c r="G766" s="262"/>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260"/>
      <c r="C767" s="21"/>
      <c r="D767" s="15"/>
      <c r="E767" s="261"/>
      <c r="F767" s="261"/>
      <c r="G767" s="262"/>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260"/>
      <c r="C768" s="21"/>
      <c r="D768" s="15"/>
      <c r="E768" s="261"/>
      <c r="F768" s="261"/>
      <c r="G768" s="262"/>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260"/>
      <c r="C769" s="21"/>
      <c r="D769" s="15"/>
      <c r="E769" s="261"/>
      <c r="F769" s="261"/>
      <c r="G769" s="262"/>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260"/>
      <c r="C770" s="21"/>
      <c r="D770" s="15"/>
      <c r="E770" s="261"/>
      <c r="F770" s="261"/>
      <c r="G770" s="262"/>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260"/>
      <c r="C771" s="21"/>
      <c r="D771" s="15"/>
      <c r="E771" s="261"/>
      <c r="F771" s="261"/>
      <c r="G771" s="262"/>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260"/>
      <c r="C772" s="21"/>
      <c r="D772" s="15"/>
      <c r="E772" s="261"/>
      <c r="F772" s="261"/>
      <c r="G772" s="262"/>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260"/>
      <c r="C773" s="21"/>
      <c r="D773" s="15"/>
      <c r="E773" s="261"/>
      <c r="F773" s="261"/>
      <c r="G773" s="262"/>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260"/>
      <c r="C774" s="21"/>
      <c r="D774" s="15"/>
      <c r="E774" s="261"/>
      <c r="F774" s="261"/>
      <c r="G774" s="262"/>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260"/>
      <c r="C775" s="21"/>
      <c r="D775" s="15"/>
      <c r="E775" s="261"/>
      <c r="F775" s="261"/>
      <c r="G775" s="262"/>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260"/>
      <c r="C776" s="21"/>
      <c r="D776" s="15"/>
      <c r="E776" s="261"/>
      <c r="F776" s="261"/>
      <c r="G776" s="262"/>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260"/>
      <c r="C777" s="21"/>
      <c r="D777" s="15"/>
      <c r="E777" s="261"/>
      <c r="F777" s="261"/>
      <c r="G777" s="262"/>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260"/>
      <c r="C778" s="21"/>
      <c r="D778" s="15"/>
      <c r="E778" s="261"/>
      <c r="F778" s="261"/>
      <c r="G778" s="262"/>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260"/>
      <c r="C779" s="21"/>
      <c r="D779" s="15"/>
      <c r="E779" s="261"/>
      <c r="F779" s="261"/>
      <c r="G779" s="262"/>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260"/>
      <c r="C780" s="21"/>
      <c r="D780" s="15"/>
      <c r="E780" s="261"/>
      <c r="F780" s="261"/>
      <c r="G780" s="262"/>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260"/>
      <c r="C781" s="21"/>
      <c r="D781" s="15"/>
      <c r="E781" s="261"/>
      <c r="F781" s="261"/>
      <c r="G781" s="262"/>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260"/>
      <c r="C782" s="21"/>
      <c r="D782" s="15"/>
      <c r="E782" s="261"/>
      <c r="F782" s="261"/>
      <c r="G782" s="262"/>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260"/>
      <c r="C783" s="21"/>
      <c r="D783" s="15"/>
      <c r="E783" s="261"/>
      <c r="F783" s="261"/>
      <c r="G783" s="262"/>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260"/>
      <c r="C784" s="21"/>
      <c r="D784" s="15"/>
      <c r="E784" s="261"/>
      <c r="F784" s="261"/>
      <c r="G784" s="262"/>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260"/>
      <c r="C785" s="21"/>
      <c r="D785" s="15"/>
      <c r="E785" s="261"/>
      <c r="F785" s="261"/>
      <c r="G785" s="262"/>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260"/>
      <c r="C786" s="21"/>
      <c r="D786" s="15"/>
      <c r="E786" s="261"/>
      <c r="F786" s="261"/>
      <c r="G786" s="262"/>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260"/>
      <c r="C787" s="21"/>
      <c r="D787" s="15"/>
      <c r="E787" s="261"/>
      <c r="F787" s="261"/>
      <c r="G787" s="262"/>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260"/>
      <c r="C788" s="21"/>
      <c r="D788" s="15"/>
      <c r="E788" s="261"/>
      <c r="F788" s="261"/>
      <c r="G788" s="262"/>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260"/>
      <c r="C789" s="21"/>
      <c r="D789" s="15"/>
      <c r="E789" s="261"/>
      <c r="F789" s="261"/>
      <c r="G789" s="262"/>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260"/>
      <c r="C790" s="21"/>
      <c r="D790" s="15"/>
      <c r="E790" s="261"/>
      <c r="F790" s="261"/>
      <c r="G790" s="262"/>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260"/>
      <c r="C791" s="21"/>
      <c r="D791" s="15"/>
      <c r="E791" s="261"/>
      <c r="F791" s="261"/>
      <c r="G791" s="262"/>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260"/>
      <c r="C792" s="21"/>
      <c r="D792" s="15"/>
      <c r="E792" s="261"/>
      <c r="F792" s="261"/>
      <c r="G792" s="262"/>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260"/>
      <c r="C793" s="21"/>
      <c r="D793" s="15"/>
      <c r="E793" s="261"/>
      <c r="F793" s="261"/>
      <c r="G793" s="262"/>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260"/>
      <c r="C794" s="21"/>
      <c r="D794" s="15"/>
      <c r="E794" s="261"/>
      <c r="F794" s="261"/>
      <c r="G794" s="262"/>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260"/>
      <c r="C795" s="21"/>
      <c r="D795" s="15"/>
      <c r="E795" s="261"/>
      <c r="F795" s="261"/>
      <c r="G795" s="262"/>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260"/>
      <c r="C796" s="21"/>
      <c r="D796" s="15"/>
      <c r="E796" s="261"/>
      <c r="F796" s="261"/>
      <c r="G796" s="262"/>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260"/>
      <c r="C797" s="21"/>
      <c r="D797" s="15"/>
      <c r="E797" s="261"/>
      <c r="F797" s="261"/>
      <c r="G797" s="262"/>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260"/>
      <c r="C798" s="21"/>
      <c r="D798" s="15"/>
      <c r="E798" s="261"/>
      <c r="F798" s="261"/>
      <c r="G798" s="262"/>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260"/>
      <c r="C799" s="21"/>
      <c r="D799" s="15"/>
      <c r="E799" s="261"/>
      <c r="F799" s="261"/>
      <c r="G799" s="262"/>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260"/>
      <c r="C800" s="21"/>
      <c r="D800" s="15"/>
      <c r="E800" s="261"/>
      <c r="F800" s="261"/>
      <c r="G800" s="262"/>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260"/>
      <c r="C801" s="21"/>
      <c r="D801" s="15"/>
      <c r="E801" s="261"/>
      <c r="F801" s="261"/>
      <c r="G801" s="262"/>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260"/>
      <c r="C802" s="21"/>
      <c r="D802" s="15"/>
      <c r="E802" s="261"/>
      <c r="F802" s="261"/>
      <c r="G802" s="262"/>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260"/>
      <c r="C803" s="21"/>
      <c r="D803" s="15"/>
      <c r="E803" s="261"/>
      <c r="F803" s="261"/>
      <c r="G803" s="262"/>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260"/>
      <c r="C804" s="21"/>
      <c r="D804" s="15"/>
      <c r="E804" s="261"/>
      <c r="F804" s="261"/>
      <c r="G804" s="262"/>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260"/>
      <c r="C805" s="21"/>
      <c r="D805" s="15"/>
      <c r="E805" s="261"/>
      <c r="F805" s="261"/>
      <c r="G805" s="262"/>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260"/>
      <c r="C806" s="21"/>
      <c r="D806" s="15"/>
      <c r="E806" s="261"/>
      <c r="F806" s="261"/>
      <c r="G806" s="262"/>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260"/>
      <c r="C807" s="21"/>
      <c r="D807" s="15"/>
      <c r="E807" s="261"/>
      <c r="F807" s="261"/>
      <c r="G807" s="262"/>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260"/>
      <c r="C808" s="21"/>
      <c r="D808" s="15"/>
      <c r="E808" s="261"/>
      <c r="F808" s="261"/>
      <c r="G808" s="262"/>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260"/>
      <c r="C809" s="21"/>
      <c r="D809" s="15"/>
      <c r="E809" s="261"/>
      <c r="F809" s="261"/>
      <c r="G809" s="262"/>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260"/>
      <c r="C810" s="21"/>
      <c r="D810" s="15"/>
      <c r="E810" s="261"/>
      <c r="F810" s="261"/>
      <c r="G810" s="262"/>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260"/>
      <c r="C811" s="21"/>
      <c r="D811" s="15"/>
      <c r="E811" s="261"/>
      <c r="F811" s="261"/>
      <c r="G811" s="262"/>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260"/>
      <c r="C812" s="21"/>
      <c r="D812" s="15"/>
      <c r="E812" s="261"/>
      <c r="F812" s="261"/>
      <c r="G812" s="262"/>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260"/>
      <c r="C813" s="21"/>
      <c r="D813" s="15"/>
      <c r="E813" s="261"/>
      <c r="F813" s="261"/>
      <c r="G813" s="262"/>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260"/>
      <c r="C814" s="21"/>
      <c r="D814" s="15"/>
      <c r="E814" s="261"/>
      <c r="F814" s="261"/>
      <c r="G814" s="262"/>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260"/>
      <c r="C815" s="21"/>
      <c r="D815" s="15"/>
      <c r="E815" s="261"/>
      <c r="F815" s="261"/>
      <c r="G815" s="262"/>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260"/>
      <c r="C816" s="21"/>
      <c r="D816" s="15"/>
      <c r="E816" s="261"/>
      <c r="F816" s="261"/>
      <c r="G816" s="262"/>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260"/>
      <c r="C817" s="21"/>
      <c r="D817" s="15"/>
      <c r="E817" s="261"/>
      <c r="F817" s="261"/>
      <c r="G817" s="262"/>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260"/>
      <c r="C818" s="21"/>
      <c r="D818" s="15"/>
      <c r="E818" s="261"/>
      <c r="F818" s="261"/>
      <c r="G818" s="262"/>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260"/>
      <c r="C819" s="21"/>
      <c r="D819" s="15"/>
      <c r="E819" s="261"/>
      <c r="F819" s="261"/>
      <c r="G819" s="262"/>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260"/>
      <c r="C820" s="21"/>
      <c r="D820" s="15"/>
      <c r="E820" s="261"/>
      <c r="F820" s="261"/>
      <c r="G820" s="262"/>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260"/>
      <c r="C821" s="21"/>
      <c r="D821" s="15"/>
      <c r="E821" s="261"/>
      <c r="F821" s="261"/>
      <c r="G821" s="262"/>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260"/>
      <c r="C822" s="21"/>
      <c r="D822" s="15"/>
      <c r="E822" s="261"/>
      <c r="F822" s="261"/>
      <c r="G822" s="262"/>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260"/>
      <c r="C823" s="21"/>
      <c r="D823" s="15"/>
      <c r="E823" s="261"/>
      <c r="F823" s="261"/>
      <c r="G823" s="262"/>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260"/>
      <c r="C824" s="21"/>
      <c r="D824" s="15"/>
      <c r="E824" s="261"/>
      <c r="F824" s="261"/>
      <c r="G824" s="262"/>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260"/>
      <c r="C825" s="21"/>
      <c r="D825" s="15"/>
      <c r="E825" s="261"/>
      <c r="F825" s="261"/>
      <c r="G825" s="262"/>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260"/>
      <c r="C826" s="21"/>
      <c r="D826" s="15"/>
      <c r="E826" s="261"/>
      <c r="F826" s="261"/>
      <c r="G826" s="262"/>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260"/>
      <c r="C827" s="21"/>
      <c r="D827" s="15"/>
      <c r="E827" s="261"/>
      <c r="F827" s="261"/>
      <c r="G827" s="262"/>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260"/>
      <c r="C828" s="21"/>
      <c r="D828" s="15"/>
      <c r="E828" s="261"/>
      <c r="F828" s="261"/>
      <c r="G828" s="262"/>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260"/>
      <c r="C829" s="21"/>
      <c r="D829" s="15"/>
      <c r="E829" s="261"/>
      <c r="F829" s="261"/>
      <c r="G829" s="262"/>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260"/>
      <c r="C830" s="21"/>
      <c r="D830" s="15"/>
      <c r="E830" s="261"/>
      <c r="F830" s="261"/>
      <c r="G830" s="262"/>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260"/>
      <c r="C831" s="21"/>
      <c r="D831" s="15"/>
      <c r="E831" s="261"/>
      <c r="F831" s="261"/>
      <c r="G831" s="262"/>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260"/>
      <c r="C832" s="21"/>
      <c r="D832" s="15"/>
      <c r="E832" s="261"/>
      <c r="F832" s="261"/>
      <c r="G832" s="262"/>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260"/>
      <c r="C833" s="21"/>
      <c r="D833" s="15"/>
      <c r="E833" s="261"/>
      <c r="F833" s="261"/>
      <c r="G833" s="262"/>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260"/>
      <c r="C834" s="21"/>
      <c r="D834" s="15"/>
      <c r="E834" s="261"/>
      <c r="F834" s="261"/>
      <c r="G834" s="262"/>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260"/>
      <c r="C835" s="21"/>
      <c r="D835" s="15"/>
      <c r="E835" s="261"/>
      <c r="F835" s="261"/>
      <c r="G835" s="262"/>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260"/>
      <c r="C836" s="21"/>
      <c r="D836" s="15"/>
      <c r="E836" s="261"/>
      <c r="F836" s="261"/>
      <c r="G836" s="262"/>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260"/>
      <c r="C837" s="21"/>
      <c r="D837" s="15"/>
      <c r="E837" s="261"/>
      <c r="F837" s="261"/>
      <c r="G837" s="262"/>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260"/>
      <c r="C838" s="21"/>
      <c r="D838" s="15"/>
      <c r="E838" s="261"/>
      <c r="F838" s="261"/>
      <c r="G838" s="262"/>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260"/>
      <c r="C839" s="21"/>
      <c r="D839" s="15"/>
      <c r="E839" s="261"/>
      <c r="F839" s="261"/>
      <c r="G839" s="262"/>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260"/>
      <c r="C840" s="21"/>
      <c r="D840" s="15"/>
      <c r="E840" s="261"/>
      <c r="F840" s="261"/>
      <c r="G840" s="262"/>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260"/>
      <c r="C841" s="21"/>
      <c r="D841" s="15"/>
      <c r="E841" s="261"/>
      <c r="F841" s="261"/>
      <c r="G841" s="262"/>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260"/>
      <c r="C842" s="21"/>
      <c r="D842" s="15"/>
      <c r="E842" s="261"/>
      <c r="F842" s="261"/>
      <c r="G842" s="262"/>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260"/>
      <c r="C843" s="21"/>
      <c r="D843" s="15"/>
      <c r="E843" s="261"/>
      <c r="F843" s="261"/>
      <c r="G843" s="262"/>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260"/>
      <c r="C844" s="21"/>
      <c r="D844" s="15"/>
      <c r="E844" s="261"/>
      <c r="F844" s="261"/>
      <c r="G844" s="262"/>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260"/>
      <c r="C845" s="21"/>
      <c r="D845" s="15"/>
      <c r="E845" s="261"/>
      <c r="F845" s="261"/>
      <c r="G845" s="262"/>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260"/>
      <c r="C846" s="21"/>
      <c r="D846" s="15"/>
      <c r="E846" s="261"/>
      <c r="F846" s="261"/>
      <c r="G846" s="262"/>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260"/>
      <c r="C847" s="21"/>
      <c r="D847" s="15"/>
      <c r="E847" s="261"/>
      <c r="F847" s="261"/>
      <c r="G847" s="262"/>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260"/>
      <c r="C848" s="21"/>
      <c r="D848" s="15"/>
      <c r="E848" s="261"/>
      <c r="F848" s="261"/>
      <c r="G848" s="262"/>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260"/>
      <c r="C849" s="21"/>
      <c r="D849" s="15"/>
      <c r="E849" s="261"/>
      <c r="F849" s="261"/>
      <c r="G849" s="262"/>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sheetData>
  <mergeCells count="36">
    <mergeCell ref="C3:I3"/>
    <mergeCell ref="B6:B14"/>
    <mergeCell ref="C6:C14"/>
    <mergeCell ref="B17:B28"/>
    <mergeCell ref="C17:C28"/>
    <mergeCell ref="C30:C37"/>
    <mergeCell ref="C40:C48"/>
    <mergeCell ref="C50:C55"/>
    <mergeCell ref="C60:C68"/>
    <mergeCell ref="C70:C75"/>
    <mergeCell ref="C80:C86"/>
    <mergeCell ref="C89:C95"/>
    <mergeCell ref="C99:C108"/>
    <mergeCell ref="C110:C118"/>
    <mergeCell ref="C121:C127"/>
    <mergeCell ref="C129:C137"/>
    <mergeCell ref="C140:C148"/>
    <mergeCell ref="C151:C160"/>
    <mergeCell ref="C162:C170"/>
    <mergeCell ref="C172:C180"/>
    <mergeCell ref="C182:C190"/>
    <mergeCell ref="C263:C271"/>
    <mergeCell ref="C273:C281"/>
    <mergeCell ref="C284:C292"/>
    <mergeCell ref="C294:C303"/>
    <mergeCell ref="C306:C315"/>
    <mergeCell ref="C317:C323"/>
    <mergeCell ref="C325:C334"/>
    <mergeCell ref="C337:C346"/>
    <mergeCell ref="C192:C200"/>
    <mergeCell ref="C202:C210"/>
    <mergeCell ref="C212:C220"/>
    <mergeCell ref="C222:C229"/>
    <mergeCell ref="C232:C240"/>
    <mergeCell ref="C242:C250"/>
    <mergeCell ref="C252:C259"/>
  </mergeCells>
  <dataValidations>
    <dataValidation type="list" allowBlank="1" sqref="H198:K198">
      <formula1>"CleanUp,GetDailyCash,UpdateDailyCash,SetGeneralPreference,CreateDoneAwayOrder,PricingInput,FetchAccountPositions,RebalanceAcrossSecurities"</formula1>
    </dataValidation>
    <dataValidation type="list" allowBlank="1" sqref="H302:K302 H314:K314 H345:K345">
      <formula1>"CleanUp,GetDailyCash,UpdateDailyCash,CreateDoneAwayOrder,PricingInput,FetchAccountPositions,AddCash,RebalanceAcrossSecurities,RunRebalance"</formula1>
    </dataValidation>
    <dataValidation type="list" allowBlank="1" sqref="H276:K276">
      <formula1>"CleanUp,CreateDoneAwayOrder"</formula1>
    </dataValidation>
    <dataValidation type="list" allowBlank="1" sqref="H106:K106">
      <formula1>"CleanUp,GetDailyCash,Copy of Data,UpdateDailyCash,CreateDoneAwayOrder,PricingInput,FetchAccountPositions,RebalanceAcrossSecurities,RunRebalance"</formula1>
    </dataValidation>
    <dataValidation type="list" allowBlank="1" sqref="H25:K25">
      <formula1>"GetDailyCash,UpdateDailyCash,CreateDoneAwayOrder,PricingInput,FetchAccountPositions,AddCash,RunRebalance,VerifyGridData,ClearCalculations"</formula1>
    </dataValidation>
    <dataValidation type="list" allowBlank="1" sqref="H94:K94">
      <formula1>"CleanUp,Copy of Data,GetDailyCash,UpdateDailyCash,CreateDoneAwayOrder,PricingInput,FetchAccountPositions"</formula1>
    </dataValidation>
    <dataValidation type="list" allowBlank="1" sqref="H127:K127">
      <formula1>"GetDailyCash,UpdateDailyCash,FetchAccountPositions,RebalanceAcrossSecurities,RunRebalance,VerifyGridData"</formula1>
    </dataValidation>
    <dataValidation type="list" allowBlank="1" sqref="H205:K205">
      <formula1>"RunRebalance,Copy of Data,CleanUp,GetDailyCash,UpdateDailyCash,CreateDoneAwayOrder"</formula1>
    </dataValidation>
    <dataValidation type="list" allowBlank="1" sqref="H24:K24 H46:K46">
      <formula1>"GetDailyCash,UpdateDailyCash,CreateDoneAwayOrder,PricingInput,FetchAccountPositions,AddCash,RunRebalance"</formula1>
    </dataValidation>
    <dataValidation type="list" allowBlank="1" sqref="H63:K64">
      <formula1>"RebalanceAcrossSecurities,CleanUp,GetDailyCash,GetDailyDelta,UpdateDailyCash,CreateDoneAwayOrder,PricingInput,Copy of Data 1"</formula1>
    </dataValidation>
    <dataValidation type="list" allowBlank="1" sqref="H266:K266">
      <formula1>"SetGeneralPreferences,CleanUp,GetDailyCash,UpdateDailyCash,CreateDoneAwayOrder"</formula1>
    </dataValidation>
    <dataValidation type="list" allowBlank="1" sqref="H334:K334">
      <formula1>"CleanUp,UpdateDailyCash,GetDailyCash,CreateDoneAwayOrder,PricingInput,FetchAccountPositions,AddCash,RebalanceAcrossSecurities,RunRebalance,VerifyGridData"</formula1>
    </dataValidation>
    <dataValidation type="list" allowBlank="1" sqref="H48:K48">
      <formula1>"GetDailyCash,UpdateDailyCash,CreateDoneAwayOrder,PricingInput,FetchAccountPositions,AddCash,RunRebalance,VerifyGridData,ModifyRebalance"</formula1>
    </dataValidation>
    <dataValidation type="list" allowBlank="1" sqref="H208:K208">
      <formula1>"RunRebalance,Copy of Data,CleanUp,GetDailyCash,UpdateDailyCash,CreateDoneAwayOrder,PricingInput,FetchAccountPositions,VerifyGridData,RebalanceAcrossSecurities"</formula1>
    </dataValidation>
    <dataValidation type="list" allowBlank="1" sqref="H195:K195">
      <formula1>"CleanUp,GetDailyCash,UpdateDailyCash,SetGeneralPreference,CreateDoneAwayOrder"</formula1>
    </dataValidation>
    <dataValidation type="list" allowBlank="1" sqref="H318:K318">
      <formula1>"FetchAccountPositions,AddCash,RunRebalance,VerifyGridData,CreateDoneAwayOrder"</formula1>
    </dataValidation>
    <dataValidation type="list" allowBlank="1" sqref="H107:K107">
      <formula1>"CleanUp,GetDailyCash,Copy of Data,UpdateDailyCash,CreateDoneAwayOrder,PricingInput,FetchAccountPositions,RebalanceAcrossSecurities,RunRebalance,VerifyGridData"</formula1>
    </dataValidation>
    <dataValidation type="list" allowBlank="1" sqref="H269:K269">
      <formula1>"SetGeneralPreferences,GetDailyCash,CreateDoneAwayOrder,PricingInput,FetchAccountPositions,AddCash"</formula1>
    </dataValidation>
    <dataValidation type="list" allowBlank="1" sqref="H61:K61">
      <formula1>"RebalanceAcrossSecurities,CleanUp,GetDailyCash,GetDailyDelta"</formula1>
    </dataValidation>
    <dataValidation type="list" allowBlank="1" sqref="H117:K117">
      <formula1>"CleanUp,GetDailyCash,UpdateDailyCash,CreateDoneAwayOrder,PricingInput,Copy of Data_conflict1826880514,RebalanceAcrossSecurities,RunRebalance"</formula1>
    </dataValidation>
    <dataValidation type="list" allowBlank="1" sqref="H323:K323">
      <formula1>"CleanUp,GetDailyCash,`,Copy of Data_conflict509563149,UpdateDailyCash,CreateDoneAwayOrder,PricingInput,FetchAccountPositions,Copy of Data 1,Copy of Data 1_conflict27245522,Copy of Data 2,AddCash,RunRebalance,VerifyGridData"</formula1>
    </dataValidation>
    <dataValidation type="list" allowBlank="1" sqref="H41:K41">
      <formula1>"get,GetDailyCash,UpdateBeta,UpdateDailyCash"</formula1>
    </dataValidation>
    <dataValidation type="list" allowBlank="1" sqref="H68:K68 H78:K78 H87:K88 H97:K97 H200:K200 H230:K230 H260:K260">
      <formula1>"GetDailyCash,UpdateDailyCash,CreateDoneAwayOrder,PricingInput,FetchAccountPositions,RebalanceAcrossSecurities,RunRebalance,VerifyGridData"</formula1>
    </dataValidation>
    <dataValidation type="list" allowBlank="1" sqref="H303:K303 H315:K315 H346:K346">
      <formula1>"CleanUp,GetDailyCash,UpdateDailyCash,CreateDoneAwayOrder,PricingInput,FetchAccountPositions,AddCash,RebalanceAcrossSecurities,RunRebalance,VerifyGridData"</formula1>
    </dataValidation>
    <dataValidation type="list" allowBlank="1" sqref="H125:K125">
      <formula1>"CleanUp,GetDailyCash,UpdateDailyCash,FetchAccountPositions,RebalanceAcrossSecurities"</formula1>
    </dataValidation>
    <dataValidation type="list" allowBlank="1" sqref="H328:K328">
      <formula1>"CleanUp,UpdateDailyCash,GetDailyCash,CreateDoneAwayOrder"</formula1>
    </dataValidation>
    <dataValidation type="list" allowBlank="1" sqref="H114:K114">
      <formula1>"CleanUp,GetDailyCash,UpdateDailyCash,CreateDoneAwayOrder,PricingInput,Copy of Data_conflict1826880514"</formula1>
    </dataValidation>
    <dataValidation type="list" allowBlank="1" sqref="H59:K59">
      <formula1>"CreateDoneAwayOrder,CheckUnallocatedGroups,VerifyWorkingSubs,VerifyOrder,VerifySubOrder,CheckPortfolioManagement,GetDataAllocation"</formula1>
    </dataValidation>
    <dataValidation type="list" allowBlank="1" sqref="H281:K281">
      <formula1>"CleanUp,CreateDoneAwayOrder,PricingInput,FetchAccountPositions,AddCash,RunRebalance,VerifyGridData"</formula1>
    </dataValidation>
    <dataValidation type="list" allowBlank="1" sqref="F6">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UngroupTrades,DeleteGroup,CloseOrder,Unallocate,"&amp;"CloseAllocation,UpdateGRAccountValue,UpdateGRStrategyValue,UpdateGRDefaultRule,UpdateGeneralRulePref,ModifyGRPreferenceValues,AddMFPreferences,AddMFPreferenceToolbar,DeleteMFPreferences,DeleteMFPreferenceToolbar,RenameMFPreferences,SaveCloseMFPreference,S"&amp;"etMFPrefAccountValues,ModifyMFPrefGeneralRuleValues,SetMFPrefStrategyValues,SetMFPrefGeneralRule,SetMFPrefFundDistribution,SetMFPreferencesDefaultRule,SetMFPrefFundDefaultRule,ClearPrefetchFilters,ExpandCollapseAllUnallocated,ExpandCollapseAllAllocated,Ge"&amp;"nerateCashTransaction,SaveAllocation,UnallocateWithOutSave,EditUnallocatedGrid,EditAllocatedGrid,SaveLayoutAllocatedGrid,SaveLayoutUnallocatedGrid,SaveLayoutAllocationUI,ClearFiltersAllocatedGrid,ClearFiltersUnallocatedGrid,VerifyLayoutAllocatedGrid,Verif"&amp;"yLayoutUnallocatedGrid,CleanUp,CheckAllocatedTaxlots,,,,,,,,,,,,,,,,,,,,,,,,,,,,,,,,,,,,,,,,,,,,,,,,,,,,,,,,,,,,,,,,,,,,,,,,,,,,,,,,,,,,,,,,,,,,,,,,,,,,,,,,,,,,,,,,,,,,,,,,,,,,,,,,,,,,,,,,,,,,,,,,,,,,,,,,,,,,,,,,,,,,,,,,,,,,,,,,,,,,,,,,,,,,,,,,,,,,,,,,,,,"&amp;",,,,,,,,,,,,,,,,,,,,,,,,,,,,,,,,,,,,,,,,,,,,,,,,,,,,,,,,,,,,,,,,,,,,,,,,,,,,,,,,,,,,,,,,,,,,,,,,,,,,,,,,,,,,,,,,,,,,,,,,,,,,,,,,,,,,,,,,,,,,,,,,,,,,,,,,,,,,,,,,,,,,,,,,,,,,,,,,,,,,,,,,,,,,,,,,"</formula1>
    </dataValidation>
    <dataValidation type="list" allowBlank="1" sqref="H18:K18 H71:K71 H100:K100 H111:K111 H122:K122 H130:K130 H141:K141 H152:K152 H163:K163 H173:K173 H183:K183 H193:K193 H213:K213 H223:K223 H233:K233 H243:K243 H253:K253 H285:K285 H295:K295 H307:K307 H338:K338">
      <formula1>"CleanUp,GetDailyCash"</formula1>
    </dataValidation>
    <dataValidation type="list" allowBlank="1" sqref="F10 F21 F34 F43 F54 F64 F74 F84 F93 F103 F114 F133 F144 F155 F166 F176 F186 F196 F206 F216 F226 F236 F246 F256 F267 F277 F288 F298 F310 F319 F329 F341">
      <formula1>"PricingInput,UpdateSharesOutstanding,EODTPreferences,LiveData,,,,,,,,,,,,,,,,,,,,,,,,,,,,,,,,,,,,,,,,,,,,,,,,,,,,,,,,,,,,,,,,,,,,,,,,,,,,,,,,,,,,,,,,,,,,,,,,,,,,,,,,,,,,,,,,,,,,,,,,,,,,,,,,,,,,,,,,,,,,,,,,,,,,,,,,,,,,,,,,,,,,,,,,,,,,,,,,,,,,,,,,,,,,,,,,,,"&amp;",,,,,,,,,,,,,,,,,,,,,,,,,,,,,,,,,,,,,,,,,,,,,,,,,,,,,,,,,,,,,,,,,,,,,,,,,,,,,,,,,,,,,,,,,,,,,,,,,,,,,,,,,,,,,,,,,,,,,,,,,,,,,,,,,,,,,,,,,,,,,,,,,,,,,,,,,,,,,,,,,,,,,,,,,,,,,,,,,,,,,,,,,,,,,,,,,,,,,,,,,,,,,,,,,,,,,,,,,,,,,,,,,,,,,,,,,,,,,,,,,,,,,,,,,,,,,,,"&amp;",,,,,,,,,,,,,,,,,,,,,,,,,,,,,,,,,,,,,,,,,,,,"</formula1>
    </dataValidation>
    <dataValidation type="list" allowBlank="1" sqref="H271:K271">
      <formula1>"CreateDoneAwayOrder,PricingInput,FetchAccountPositions,AddCash,RunRebalance,VerifyGridData"</formula1>
    </dataValidation>
    <dataValidation type="list" allowBlank="1" sqref="H92:K92">
      <formula1>"CleanUp,Copy of Data,GetDailyCash,UpdateDailyCash,CreateDoneAwayOrder"</formula1>
    </dataValidation>
    <dataValidation type="list" allowBlank="1" sqref="H82:K82">
      <formula1>"cleanup,GetDailyCash,UpdateDailyCash"</formula1>
    </dataValidation>
    <dataValidation type="list" allowBlank="1" sqref="F39">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H9:K9 H20:K20 H42:K42">
      <formula1>"GetDailyCash,UpdateDailyCash,CreateDoneAwayOrder"</formula1>
    </dataValidation>
    <dataValidation type="list" allowBlank="1" sqref="I66:K66">
      <formula1>"RebalanceAcrossSecurities"</formula1>
    </dataValidation>
    <dataValidation type="list" allowBlank="1" sqref="H93:K93">
      <formula1>"CleanUp,Copy of Data,GetDailyCash,UpdateDailyCash,CreateDoneAwayOrder,PricingInput"</formula1>
    </dataValidation>
    <dataValidation type="list" allowBlank="1" sqref="E6:E849">
      <formula1>'_Modules'!$A$4:$A849</formula1>
    </dataValidation>
    <dataValidation type="list" allowBlank="1" sqref="H135:K135 H146:K146 H157:K157 H168:K168 H178:K178 H218:K218 H228:K228 H238:K238 H248:K248 H258:K258">
      <formula1>"CleanUp,GetDailyCash,UpdateDailyCash,CreateDoneAwayOrder,PricingInput,FetchAccountPositions,RebalanceAcrossSecurities"</formula1>
    </dataValidation>
    <dataValidation type="list" allowBlank="1" sqref="H188:K188">
      <formula1>"CleanUp,GetDailyCash,UpdateDailyCash,CreateDoneAwayOrder,PricingInput,FetchAccountPositions,Copy of Data,RebalanceAcrossSecurities"</formula1>
    </dataValidation>
    <dataValidation type="list" allowBlank="1" sqref="H11:K11 H22:K22 H44:K44 H75:K75">
      <formula1>"GetDailyCash,UpdateDailyCash,CreateDoneAwayOrder,PricingInput,FetchAccountPositions"</formula1>
    </dataValidation>
    <dataValidation type="list" allowBlank="1" sqref="H264:K264 H274:K274">
      <formula1>"CreateDoneAwayOrder,PricingInput,FetchAccountPositions,AddCash,RunRebalance,VerifyGridData,GetDailyCash"</formula1>
    </dataValidation>
    <dataValidation type="list" allowBlank="1" sqref="H62:K62">
      <formula1>"RebalanceAcrossSecurities,CleanUp,GetDailyCash,GetDailyDelta,UpdateDailyCash"</formula1>
    </dataValidation>
    <dataValidation type="list" allowBlank="1" sqref="H292:K292">
      <formula1>"CleanUp,GetDailyCash,UpdateDailyCash,CreateDoneAwayOrder,PricingInput,FetchAccountPositions,AddCash,RunRebalance,VerifyGridData"</formula1>
    </dataValidation>
    <dataValidation type="list" allowBlank="1" sqref="H74:K74 H133:K133 H144:K144 H155:K155 H166:K166 H176:K176 H186:K186 H216:K216 H226:K226 H236:K236 H246:K246 H256:K256 H288:K288 H298:K298 H310:K310 H341:K341">
      <formula1>"CleanUp,GetDailyCash,UpdateDailyCash,CreateDoneAwayOrder,PricingInput"</formula1>
    </dataValidation>
    <dataValidation type="list" allowBlank="1" sqref="F15 F25:F28 F48 F227:F231 F237:F240 F247:F250 F257:F259">
      <formula1>"FetchAccountPositions,AddCash,VerifyGridData,RunRebalance,RebalanceAcrossSecurities,ModifyRebalance,ClearCalculations,,,,,,,,,,,,,,,,,,,,,,,,,,,,,,,,,,,,,,,,,,,,,,,,,,,,,,,,,,,,,,,,,,,,,,,,,,,,,,,,,,,,,,,,,,,,,,,,,,,,,,,,,,,,,,,,,,,,,,,,,,,,,,,,,,,,,,,,,,"&amp;",,,,,,,,,,,,,,,,,,,,,,,,,,,,,,,,,,,,,,,,,,,,,,,,,,,,,,,,,,,,,,,,,,,,,,,,,,,,,,,,,,,,,,,,,,,,,,,,,,,,,,,,,,,,,,,,,,,,,,,,,,,,,,,,,,,,,,,,,,,,,,,,,,,,,,,,,,,,,,,,,,,,,,,,,,,,,,,,,,,,,,,,,,,,,,,,,,,,,,,,,,,,,,,,,,,,,,,,,,,,,,,,,,,,,,,,,,,,,,,,,,,,,,,,,,,,,,,"&amp;",,,,,,,,,,,,,,,,,,,,,,,,,,,,,,,,,,,,,,,,,,,,,,,,,,,,,,,,,,,,,,,,,,,,,,,,,,,,,,,,,,,,,,,,,,,,,,,,,"</formula1>
    </dataValidation>
    <dataValidation type="list" allowBlank="1" sqref="H210:K210">
      <formula1>"RunRebalance,Copy of Data,CleanUp,GetDailyCash,UpdateDailyCash,CreateDoneAwayOrder,PricingInput,FetchAccountPositions,VerifyGridData"</formula1>
    </dataValidation>
    <dataValidation type="list" allowBlank="1" sqref="H265:K265 H275:K275">
      <formula1>"CreateDoneAwayOrder,PricingInput,FetchAccountPositions,AddCash,RunRebalance,VerifyGridData,GetDailyCash,UpdateDailyCash"</formula1>
    </dataValidation>
    <dataValidation type="list" allowBlank="1" sqref="H7:K7 H29:K29 H90:K90">
      <formula1>"CleanUp,Copy of Data,GetDailyCash"</formula1>
    </dataValidation>
    <dataValidation type="list" allowBlank="1" sqref="F35:F37 F44:F47 F55:F58 F65:F68 F75:F78 F85:F87 F94:F97 F104:F107 F115:F118 F124:F126 F134:F137 F145:F148 F156:F159 F167:F170 F177:F180 F187:F190 F197:F200 F207:F210 F217:F220">
      <formula1>"FetchAccountPositions,AddCash,VerifyGridData,RunRebalance,RebalanceAcrossSecurities,,,,,,,,,,,,,,,,,,,,,,,,,,,,,,,,,,,,,,,,,,,,,,,,,,,,,,,,,,,,,,,,,,,,,,,,,,,,,,,,,,,,,,,,,,,,,,,,,,,,,,,,,,,,,,,,,,,,,,,,,,,,,,,,,,,,,,,,,,,,,,,,,,,,,,,,,,,,,,,,,,,,,,,,,,,,"&amp;",,,,,,,,,,,,,,,,,,,,,,,,,,,,,,,,,,,,,,,,,,,,,,,,,,,,,,,,,,,,,,,,,,,,,,,,,,,,,,,,,,,,,,,,,,,,,,,,,,,,,,,,,,,,,,,,,,,,,,,,,,,,,,,,,,,,,,,,,,,,,,,,,,,,,,,,,,,,,,,,,,,,,,,,,,,,,,,,,,,,,,,,,,,,,,,,,,,,,,,,,,,,,,,,,,,,,,,,,,,,,,,,,,,,,,,,,,,,,,,,,,,,,,,,,,,,,,,"&amp;",,,,,,,,,,,,,,,,,,,,,,,,,,,,,,,,,,,,,,,,,,,,,,,,,,,,,,,,,,,,,,,,,"</formula1>
    </dataValidation>
    <dataValidation type="list" allowBlank="1" sqref="H66">
      <formula1>"Copy of Data,RebalanceAcrossSecurities"</formula1>
    </dataValidation>
    <dataValidation type="list" allowBlank="1" sqref="F30 F50 F60 F70 F80 F89 F99 F110 F121 F129 F140 F151 F162 F172 F182 F192 F202 F212 F222 F232 F242 F252 F261:F263 F273 F284 F294 F306 F317 F325 F33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13:K13">
      <formula1>"GetDailyCash,UpdateDailyCash,CreateDoneAwayOrder,PricingInput,FetchAccountPositions,A,AddCash,RunRebalance"</formula1>
    </dataValidation>
    <dataValidation type="list" allowBlank="1" sqref="H86:K86">
      <formula1>"cleanup,GetDailyCash,UpdateDailyCash,CreateDoneAwayOrder,PricingInput,FetchAccountPositions,RebalanceAcrossSecurities"</formula1>
    </dataValidation>
    <dataValidation type="list" allowBlank="1" sqref="D6:D849">
      <formula1>'_Categories'!$A$4:$A849</formula1>
    </dataValidation>
    <dataValidation type="list" allowBlank="1" sqref="F38 F88 F127 F260 F268:F271 F278:F281 F289:F292 F299:F303 F311:F315 F320:F324 F330:F334 F342:F346">
      <formula1>"FetchAccountPositions,AddCash,VerifyGridData,RunRebalance,RebalanceAcrossSecurities,ModifyRebalance,ClearCalculations,ModelPortfolio,,,,,,,,,,,,,,,,,,,,,,,,,,,,,,,,,,,,,,,,,,,,,,,,,,,,,,,,,,,,,,,,,,,,,,,,,,,,,,,,,,,,,,,,,,,,,,,,,,,,,,,,,,,,,,,,,,,,,,,,,,,"&amp;",,,,,,,,,,,,,,,,,,,,,,,,,,,,,,,,,,,,,,,,,,,,,,,,,,,,,,,,,,,,,,,,,,,,,,,,,,,,,,,,,,,,,,,,,,,,,,,,,,,,,,,,,,,,,,,,,,,,,,,,,,,,,,,,,,,,,,,,,,,,,,,,,,,,,,,,,,,,,,,,,,,,,,,,,,,,,,,,,,,,,,,,,,,,,,,,,,,,,,,,,,,,,,,,,,,,,,,,,,,,,,,,,,,,,,,,,,,,,,,,,,,,,,,,,,,,,,,"&amp;",,,,,,,,,,,,,,,,,,,,,,,,,,,,,,,,,,,,,,,,,,,,,,,,,,,,,,,,,,,,,,,,,,,,,,,,,,,,,,,,,,,,,,,,,,,,,,,,,,,,,,,,,,,,,,,"</formula1>
    </dataValidation>
    <dataValidation type="list" allowBlank="1" sqref="H197:K197">
      <formula1>"CleanUp,GetDailyCash,UpdateDailyCash,SetGeneralPreference,CreateDoneAwayOrder,PricingInput,FetchAccountPositions"</formula1>
    </dataValidation>
    <dataValidation type="list" allowBlank="1" sqref="H332:K332">
      <formula1>"CleanUp,UpdateDailyCash,GetDailyCash,CreateDoneAwayOrder,PricingInput,FetchAccountPositions,AddCash,RebalanceAcrossSecurities"</formula1>
    </dataValidation>
    <dataValidation type="list" allowBlank="1" sqref="H134:K134 H145:K145 H156:K156 H167:K167 H177:K177 H187:K187 H217:K217 H227:K227 H237:K237 H247:K247 H257:K257 H289:K289 H299:K299 H311:K311 H342:K342">
      <formula1>"CleanUp,GetDailyCash,UpdateDailyCash,CreateDoneAwayOrder,PricingInput,FetchAccountPositions"</formula1>
    </dataValidation>
    <dataValidation type="list" allowBlank="1" sqref="H189:K189">
      <formula1>"CleanUp,GetDailyCash,UpdateDailyCash,CreateDoneAwayOrder,PricingInput,FetchAccountPositions,Copy of Data,RebalanceAcrossSecurities,RunRebalance"</formula1>
    </dataValidation>
    <dataValidation type="list" allowBlank="1" sqref="H136:K136 H147:K147 H158:K158 H169:K169 H179:K179 H219:K219 H229:K229 H239:K239 H249:K249 H259:K259">
      <formula1>"CleanUp,GetDailyCash,UpdateDailyCash,CreateDoneAwayOrder,PricingInput,FetchAccountPositions,RebalanceAcrossSecurities,RunRebalance"</formula1>
    </dataValidation>
    <dataValidation type="list" allowBlank="1" sqref="H38:K38 H47:K47">
      <formula1>"GetDailyCash,UpdateDailyCash,CreateDoneAwayOrder,PricingInput,FetchAccountPositions,AddCash,RunRebalance,VerifyGridData"</formula1>
    </dataValidation>
    <dataValidation type="list" allowBlank="1" sqref="H85:K85">
      <formula1>"cleanup,GetDailyCash,UpdateDailyCash,CreateDoneAwayOrder,PricingInput,FetchAccountPositions"</formula1>
    </dataValidation>
    <dataValidation type="list" allowBlank="1" sqref="H279:K279">
      <formula1>"CleanUp,CreateDoneAwayOrder,PricingInput,FetchAccountPositions,AddCash"</formula1>
    </dataValidation>
    <dataValidation type="list" allowBlank="1" sqref="H190:K190">
      <formula1>"CleanUp,GetDailyCash,UpdateDailyCash,CreateDoneAwayOrder,PricingInput,FetchAccountPositions,Copy of Data,RebalanceAcrossSecurities,RunRebalance,VerifyGridData"</formula1>
    </dataValidation>
    <dataValidation type="list" allowBlank="1" sqref="H104:K104">
      <formula1>"CleanUp,GetDailyCash,Copy of Data,UpdateDailyCash,CreateDoneAwayOrder,PricingInput,FetchAccountPositions"</formula1>
    </dataValidation>
    <dataValidation type="list" allowBlank="1" sqref="F59">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H77:K77">
      <formula1>"GetDailyCash,UpdateDailyCash,CreateDoneAwayOrder,PricingInput,FetchAccountPositions,RebalanceAcrossSecurities,RunRebalance"</formula1>
    </dataValidation>
    <dataValidation type="list" allowBlank="1" sqref="F9 F20">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14:K14">
      <formula1>"GetDailyCash,UpdateDailyCash,CreateDoneAwayOrder,PricingInput,FetchAccountPositions,A,AddCash,RunRebalance,VerifyGridData"</formula1>
    </dataValidation>
    <dataValidation type="list" allowBlank="1" sqref="H196:K196">
      <formula1>"CleanUp,GetDailyCash,UpdateDailyCash,SetGeneralPreference,CreateDoneAwayOrder,PricingInput"</formula1>
    </dataValidation>
    <dataValidation type="list" allowBlank="1" sqref="H330:K330">
      <formula1>"CleanUp,UpdateDailyCash,GetDailyCash,CreateDoneAwayOrder,PricingInput,FetchAccountPositions"</formula1>
    </dataValidation>
    <dataValidation type="list" allowBlank="1" sqref="H331:K331">
      <formula1>"CleanUp,UpdateDailyCash,GetDailyCash,CreateDoneAwayOrder,PricingInput,FetchAccountPositions,AddCash"</formula1>
    </dataValidation>
    <dataValidation type="list" allowBlank="1" sqref="H91:K91">
      <formula1>"CleanUp,Copy of Data,GetDailyCash,UpdateDailyCash"</formula1>
    </dataValidation>
    <dataValidation type="list" allowBlank="1" sqref="H67:K67">
      <formula1>"RebalanceAcrossSecurities,CleanUp,GetDailyCash,GetDailyDelta,UpdateDailyCash,CreateDoneAwayOrder,PricingInput,FetchAccountPositions,RunRebalance"</formula1>
    </dataValidation>
    <dataValidation type="list" allowBlank="1" sqref="H65:K65">
      <formula1>"RebalanceAcrossSecurities,CleanUp,GetDailyCash,GetDailyDelta,UpdateDailyCash,CreateDoneAwayOrder,PricingInput,FetchAccountPositions"</formula1>
    </dataValidation>
    <dataValidation type="list" allowBlank="1" sqref="H301:K301 H313:K313 H344:K344">
      <formula1>"CleanUp,GetDailyCash,UpdateDailyCash,CreateDoneAwayOrder,PricingInput,FetchAccountPositions,AddCash,RebalanceAcrossSecurities"</formula1>
    </dataValidation>
    <dataValidation type="list" allowBlank="1" sqref="H116:K116">
      <formula1>"CleanUp,GetDailyCash,UpdateDailyCash,CreateDoneAwayOrder,PricingInput,Copy of Data_conflict1826880514,RebalanceAcrossSecurities"</formula1>
    </dataValidation>
    <dataValidation type="list" allowBlank="1" sqref="H56:K58">
      <formula1>"GetDailyCash,UpdateDailyCash,CreateDoneAwayOrder,PricingInput,FetchAccountPositions,RebalanceAcrossSecurities,RunRebalance,VerifyGridData,CleanUp,AddCash"</formula1>
    </dataValidation>
    <dataValidation type="list" allowBlank="1" sqref="H39:K39">
      <formula1>"TradeBloomberg,VerifyWorkingSubs,CheckUnallocatedGroups,CheckPortfolioManagement,GetDataAllocation,VerifyOrder"</formula1>
    </dataValidation>
    <dataValidation type="list" allowBlank="1" sqref="H118:K118">
      <formula1>"GetDailyCash,UpdateDailyCash,CreateDoneAwayOrder,PricingInput,FetchAccountPositions,RebalanceAcrossSecurities,RunRebalance,Copy of Data,Copy of Data 1,VerifyGridData"</formula1>
    </dataValidation>
    <dataValidation type="list" allowBlank="1" sqref="H81:K81">
      <formula1>"cleanup,GetDailyCash"</formula1>
    </dataValidation>
    <dataValidation type="list" allowBlank="1" sqref="H319:K319">
      <formula1>"CreateDoneAwayOrder,FetchAccountPositions,AddCash,RunRebalance,VerifyGridData,PricingInput"</formula1>
    </dataValidation>
    <dataValidation type="list" allowBlank="1" sqref="H72:K72 H112:K112 H123:K123 H131:K131 H142:K142 H153:K153 H164:K164 H174:K174 H184:K184 H194:K194 H214:K214 H224:K224 H234:K234 H244:K244 H254:K254 H286:K286 H296:K296 H308:K308 H339:K339">
      <formula1>"CleanUp,GetDailyCash,UpdateDailyCash"</formula1>
    </dataValidation>
    <dataValidation type="list" allowBlank="1" sqref="H76:K76">
      <formula1>"GetDailyCash,UpdateDailyCash,CreateDoneAwayOrder,PricingInput,FetchAccountPositions,RebalanceAcrossSecurities"</formula1>
    </dataValidation>
    <dataValidation type="list" allowBlank="1" sqref="H326:K327">
      <formula1>"CleanUp,UpdateDailyCash,GetDailyCash"</formula1>
    </dataValidation>
    <dataValidation type="list" allowBlank="1" sqref="H199:K199">
      <formula1>"CleanUp,GetDailyCash,UpdateDailyCash,SetGeneralPreference,CreateDoneAwayOrder,PricingInput,FetchAccountPositions,RebalanceAcrossSecurities,Copy of Data,RunRebalance"</formula1>
    </dataValidation>
    <dataValidation type="list" allowBlank="1" sqref="H278:K278">
      <formula1>"CleanUp,CreateDoneAwayOrder,PricingInput,FetchAccountPositions"</formula1>
    </dataValidation>
    <dataValidation type="list" allowBlank="1" sqref="H84:K84">
      <formula1>"cleanup,GetDailyCash,UpdateDailyCash,CreateDoneAwayOrder,PricingInput"</formula1>
    </dataValidation>
    <dataValidation type="list" allowBlank="1" sqref="F7:F8 F18:F19">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UpdateBeta,UpdateDailyCash,UpdateForexConversion,UpdateMarkPrice,CleanUp,GetMarkPriceData,GetForwardPoints,UpdateForwardPoints,GetForexConversion,DeleteNAV,GetDailyCash,GetDailyBeta,GetDailyVolatility,GetDailyDividendYield"&amp;",GetDailyTradingVolume,GetDailyOutstandings,GetDailyDelta,UpdateDailyVolatility,UpdateDividendYield,UpdateTradingVolume,UpdateDailyDelta,UpdateDailyOutstandings,UpdateBeta,UpdateNAV,UpdateDailyCash,UpdateDailyCreditLimt,RemoveDailyCreditLimit,RemoveDailyC"&amp;"ash,RemoveNAV,UpdateForexConversionMonthly,UpdateMarkPriceMonthly,,,,,,,,,,,,,,,,,,,,,,,,,,,,,,,,,,,,,,,,,,,,,,,,,,,,,,,,,,,,,,,,,,,,,,,,,,,,,,,,,,,,,,,,,,,,,,,,,,,,,,,,,,,,,,,,,,,,,,,,,,,,,,,,,,,,,,,,,,,,,,,,,,,,,,,,,,,,,,,,,,,,,,,,,,,,,,,,,,,,,,,,,,,,,,"&amp;",,,,,,,,,,,,,,,,,,,,,,,,,,,,,,,,,,,,,,,,,,,,,,,,,,,,,,,,,,,,,,,,,,,,,,,,,,,,,,,,,,,,,,,,,,,,,,,,,,,,,,,,,,,,,,,,,,,,,,,,,,,,,,,,,,,,,,,,,,,,,,,,,,,,,,,,,,,,,,,,,,,,,,,,,,,,,,,,,,,,,,,,,,,,,,,,,,,,,,,,,,,,,,,,,,,,,,,,,,,,,,,,,,,,,,,,,,,,,,,,,,,,,"</formula1>
    </dataValidation>
    <dataValidation type="list" allowBlank="1" sqref="H267:K267">
      <formula1>"SetGeneralPreferences,CleanUp,GetDailyCash,UpdateDailyCash,CreateDoneAwayOrder,PricingInput"</formula1>
    </dataValidation>
    <dataValidation type="list" allowBlank="1" sqref="H103:K103">
      <formula1>"CleanUp,GetDailyCash,Copy of Data,UpdateDailyCash,CreateDoneAwayOrder,PricingInput"</formula1>
    </dataValidation>
    <dataValidation type="list" allowBlank="1" sqref="H10:K10 H21:K21 H43:K43">
      <formula1>"GetDailyCash,UpdateDailyCash,CreateDoneAwayOrder,PricingInput"</formula1>
    </dataValidation>
    <dataValidation type="list" allowBlank="1" sqref="H206:K206">
      <formula1>"RunRebalance,Copy of Data,CleanUp,GetDailyCash,UpdateDailyCash,CreateDoneAwayOrder,PricingInput"</formula1>
    </dataValidation>
    <dataValidation type="list" allowBlank="1" sqref="H329:K329">
      <formula1>"CleanUp,UpdateDailyCash,GetDailyCash,CreateDoneAwayOrder,PricingInput"</formula1>
    </dataValidation>
    <dataValidation type="list" allowBlank="1" sqref="H124:K124">
      <formula1>"CleanUp,GetDailyCash,UpdateDailyCash,FetchAccountPositions"</formula1>
    </dataValidation>
    <dataValidation type="list" allowBlank="1" sqref="H95:K95">
      <formula1>"CleanUp,Copy of Data,GetDailyCash,UpdateDailyCash,CreateDoneAwayOrder,PricingInput,FetchAccountPositions,RebalanceAcrossSecurities"</formula1>
    </dataValidation>
    <dataValidation type="list" allowBlank="1" sqref="H203:K203">
      <formula1>"RunRebalance,Copy of Data,CleanUp,GetDailyCash"</formula1>
    </dataValidation>
    <dataValidation type="list" allowBlank="1" sqref="H290:K291">
      <formula1>"CleanUp,GetDailyCash,UpdateDailyCash,CreateDoneAwayOrder,PricingInput,FetchAccountPositions,AddCash,RunRebalance"</formula1>
    </dataValidation>
    <dataValidation type="list" allowBlank="1" sqref="H115:K115">
      <formula1>"GetDailyCash,UpdateDailyCash,CreateDoneAwayOrder,PricingInput,RebalanceAcrossSecurities,RunRebalance,VerifyGridData,FetchAccountPositions"</formula1>
    </dataValidation>
    <dataValidation type="list" allowBlank="1" sqref="H96:K96">
      <formula1>"CleanUp,Copy of Data,GetDailyCash,UpdateDailyCash,CreateDoneAwayOrder,PricingInput,FetchAccountPositions,RebalanceAcrossSecurities,RunRebalance"</formula1>
    </dataValidation>
    <dataValidation type="list" allowBlank="1" sqref="H32:K35">
      <formula1>"GetDailyCash,UpdateDailyCash,CreateDoneAwayOrder,PricingInput,FetchAccountPositions,RebalanceAcrossSecurities,RunRebalance,VerifyGridData,CleanUp,Copy of Data"</formula1>
    </dataValidation>
    <dataValidation type="list" allowBlank="1" sqref="H105:K105">
      <formula1>"CleanUp,GetDailyCash,Copy of Data,UpdateDailyCash,CreateDoneAwayOrder,PricingInput,FetchAccountPositions,RebalanceAcrossSecurities"</formula1>
    </dataValidation>
    <dataValidation type="list" allowBlank="1" sqref="F49 F69">
      <formula1>"TradeUsingTT,OpenTTFromPST,EnterDetailsOnTT,ValidateSymbolTT,VerifyDataTT,SetUIPreferencesTT,SetBrokerWisePreferencesTT,TradeNewSub,CreateStageOrder,CreateReplaceOrder,CreateReplaceOrder,EditOrder,SetGeneralPreference,CreateDoneAwayOrder,CreateNewSubOrder"&amp;",TradeBloomberg,ClickSymbolLookup,,,,,,,,,,,,,,,,,,,,,,,,,,,,,,,,,,,,,,,,,,,,,,,,,,,,,,,,,,,,,,,,,,,,,,,,,,,,,,,,,,,,,,,,,,,,,,,,,,,,,,,,,,,,,,,,,,,,,,,,,,,,,,,,,,,,,,,,,,,,,,,,,,,,,,,,,,,,,,,,,,,,,,,,,,,,,,,,,,,,,,,,,,,,,,,,,,,,,,,,,,,,,,,,,,,,,,,,,,,,,,"&amp;",,,,,,,,,,,,,,,,,,,,,,,,,,,,,,,,,,,,,,,,,,,,,,,,,,,,,,,,,,,,,,,,,,,,,,,,,,,,,,,,,,,,,,,,,,,,,,,,,,,,,,,,,,,,,,,,,,,,,,,,,,,,,,,,,,,,,,,,,,,,,,,,,,,,,,,,,,,,,,,,,,,,,,,,,,,,,,,,,,,,,,,,,,,,,,,,,,,,,,,,,,,,,,,,,,,,,,,,,,,,,,,,,,,,,,,,,,,,,,,,,,,,,,,,,,,,,,,"&amp;",,,"</formula1>
    </dataValidation>
    <dataValidation type="list" allowBlank="1" sqref="F29 F31:F32 F40:F41 F51:F52 F61:F62 F71:F72 F81:F82 F90:F91 F100:F101 F111:F112 F122:F123 F130:F131 F141:F142 F152:F153 F163:F164 F173:F174 F183:F184 F193:F194 F203:F204 F213:F214 F223:F224 F233:F234 F243:F244 F253:F254 F264:F265 F274:F275 F285:F286 F295:F296 F307:F308 F326:F327 F338:F339">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270:K270">
      <formula1>"CreateDoneAwayOrder,PricingInput,FetchAccountPositions,AddCash,RebalanceAcrossSecurities,Copy of Data,RunRebalance"</formula1>
    </dataValidation>
    <dataValidation type="list" allowBlank="1" sqref="H36:K37">
      <formula1>"GetDailyCash,UpdateDailyCash,CreateDoneAwayOrder,PricingInput,FetchAccountPositions,RebalanceAcrossSecurities,RunRebalance,VerifyGridData,CleanUp,Copy of Data,AddCash"</formula1>
    </dataValidation>
    <dataValidation type="list" allowBlank="1" sqref="H23:K23 H45:K45">
      <formula1>"GetDailyCash,UpdateDailyCash,CreateDoneAwayOrder,PricingInput,FetchAccountPositions,AddCash"</formula1>
    </dataValidation>
    <dataValidation type="list" allowBlank="1" sqref="H98:K98">
      <formula1>"CreateDoneAwayOrder,VerifyWorkingSubs,CheckUnallocatedGroups,SelectUnallocatedGroup,EnterAllocatePreference,CheckAllocatedGroups,CheckPortfolioManagement,SetGeneralPreferences,Unallocate,CheckUnallocatedGroups1,SelectUnallocatedGroup1,SelectUnallocatedGro"&amp;"up2,EditUnallocatedGroupSidePanel,EnterAllocatePreference1,CheckAllocatedGroups2,VerifyOrder"</formula1>
    </dataValidation>
    <dataValidation type="list" allowBlank="1" sqref="F11:F14 F22:F24">
      <formula1>"FetchAccountPositions,AddCash,VerifyGridData,RunRebalance,,,,,,,,,,,,,,,,,,,,,,,,,,,,,,,,,,,,,,,,,,,,,,,,,,,,,,,,,,,,,,,,,,,,,,,,,,,,,,,,,,,,,,,,,,,,,,,,,,,,,,,,,,,,,,,,,,,,,,,,,,,,,,,,,,,,,,,,,,,,,,,,,,,,,,,,,,,,,,,,,,,,,,,,,,,,,,,,,,,,,,,,,,,,,,,,,,,,,,"&amp;",,,,,,,,,,,,,,,,,,,,,,,,,,,,,,,,,,,,,,,,,,,,,,,,,,,,,,,,,,,,,,,,,,,,,,,,,,,,,,,,,,,,,,,,,,,,,,,,,,,,,,,,,,,,,,,,,,,,,,,,,,,,,,,,,,,,,,,,,,,,,,,,,,,,,,,,,,,,,,,,,,,,,,,,,,,,,,,,,,,,,,,,,,,,,,,,,,,,,,,,,,,,,,,,,,,,,,,,,,,,,,,,,,,,,,,,,,,,,,,,,,,,,,,,,,,,,,,"&amp;",,,,,,,,,,,,,,,,,,,,,,,,,,,,,,,,,,,,,,,,"</formula1>
    </dataValidation>
    <dataValidation type="list" allowBlank="1" sqref="H268:K268">
      <formula1>"SetGeneralPreferences,CleanUp,GetDailyCash,UpdateDailyCash,CreateDoneAwayOrder,PricingInput,FetchAccountPositions"</formula1>
    </dataValidation>
    <dataValidation type="list" allowBlank="1" sqref="F33 F42 F53 F63 F73 F83 F92 F102 F113 F132 F143 F154 F165 F175 F185 F195 F205 F215 F225 F235 F245 F255 F266 F276 F287 F297 F309 F318 F328 F340">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137:K137 H148:K148 H159:K159 H170:K170 H180:K180 H220:K220 H240:K240 H250:K250">
      <formula1>"CleanUp,GetDailyCash,UpdateDailyCash,CreateDoneAwayOrder,PricingInput,FetchAccountPositions,RebalanceAcrossSecurities,RunRebalance,VerifyGridData"</formula1>
    </dataValidation>
    <dataValidation type="list" allowBlank="1" sqref="H19:K19">
      <formula1>"GetDailyCash,u,Copy of Data,UpdateDailyCash"</formula1>
    </dataValidation>
    <dataValidation type="list" allowBlank="1" sqref="F79">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101:K101">
      <formula1>"CleanUp,GetDailyCash,Copy of Data,UpdateDailyCash"</formula1>
    </dataValidation>
    <dataValidation type="list" allowBlank="1" sqref="H207:K207 H209:K209">
      <formula1>"RunRebalance,Copy of Data,CleanUp,GetDailyCash,UpdateDailyCash,CreateDoneAwayOrder,PricingInput,FetchAccountPositions"</formula1>
    </dataValidation>
    <dataValidation type="list" allowBlank="1" sqref="H300:K300 H312:K312 H343:K343">
      <formula1>"CleanUp,GetDailyCash,UpdateDailyCash,CreateDoneAwayOrder,PricingInput,FetchAccountPositions,AddCash"</formula1>
    </dataValidation>
    <dataValidation type="list" allowBlank="1" sqref="F16:F1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UngroupTrades,DeleteGroup,CloseOrder,Unallocate,"&amp;"CloseAllocation,UpdateGRAccountValue,UpdateGRStrategyValue,UpdateGRDefaultRule,UpdateGeneralRulePref,ModifyGRPreferenceValues,AddMFPreferences,AddMFPreferenceToolbar,DeleteMFPreferences,DeleteMFPreferenceToolbar,RenameMFPreferences,SaveCloseMFPreference,S"&amp;"etMFPrefAccountValues,ModifyMFPrefGeneralRuleValues,SetMFPrefStrategyValues,SetMFPrefGeneralRule,SetMFPrefFundDistribution,SetMFPreferencesDefaultRule,SetMFPrefFundDefaultRule,ClearPrefetchFilters,ExpandCollapseAllUnallocated,ExpandCollapseAllAllocated,Ge"&amp;"nerateCashTransaction,SaveAllocation,UnallocateWithOutSave,EditUnallocatedGrid,EditAllocatedGrid,SaveLayoutAllocatedGrid,SaveLayoutUnallocatedGrid,SaveLayoutAllocationUI,ClearFiltersAllocatedGrid,ClearFiltersUnallocatedGrid,VerifyLayoutAllocatedGrid,Verif"&amp;"yLayoutUnallocatedGrid,CleanUp,CheckAllocatedTaxlots,Allocate,Unallocate,CheckAllocatedGroups,Unallocate,Reallocate,CheckAllocatedGroups,,,,,,,,,,,,,,,,,,,,,,,,,,,,,,,,,,,,,,,,,,,,,,,,,,,,,,,,,,,,,,,,,,,,,,,,,,,,,,,,,,,,,,,,,,,,,,,,,,,,,,,,,,,,,,,,,,,,,,,"&amp;",,,,,,,,,,,,,,,,,,,,,,,,,,,,,,,,,,,,,,,,,,,,,,,,,,,,,,,,,,,,,,,,,,,,,,,,,,,,,,,,,,,,,,,,,,,,,,,,,,,,,,,,,,,,,,,,,,,,,,,,,,,,,,,,,,,,,,,,,,,,,,,,,,,,,,,,,,,,,,,,,,,,,,,,,,,,,,,,,,,,,,,,,,,,,,,,,,,,,,,,,,,,,,,,,,,,,,,,,,,,,,,,,,,,,,,,,,,,,,,,,,,,,,,,,,,,,,,"&amp;",,,,,,,,,,,,,,,"</formula1>
    </dataValidation>
    <dataValidation type="list" allowBlank="1" sqref="H277:K277">
      <formula1>"CleanUp,CreateDoneAwayOrder,PricingInput"</formula1>
    </dataValidation>
    <dataValidation type="list" allowBlank="1" sqref="H79:K79">
      <formula1>"CreateDoneAwayOrder,VerifyWorkingSubs,CheckUnallocatedGroups,CheckPortfolioManagement,GetDataAllocation,VerifyOrder,VerifySubOrder"</formula1>
    </dataValidation>
    <dataValidation type="list" allowBlank="1" sqref="H320:K320">
      <formula1>"CleanUp,GetDailyCash,`,Copy of Data_conflict509563149,UpdateDailyCash,CreateDoneAwayOrder,PricingInput,FetchAccountPositions,Copy of Data 1,Copy of Data 1_conflict27245522,Copy of Data 2"</formula1>
    </dataValidation>
    <dataValidation type="list" allowBlank="1" sqref="H102:K102">
      <formula1>"CleanUp,GetDailyCash,Copy of Data,UpdateDailyCash,CreateDoneAwayOrder"</formula1>
    </dataValidation>
    <dataValidation type="list" allowBlank="1" sqref="H321:K321">
      <formula1>"CleanUp,GetDailyCash,`,Copy of Data_conflict509563149,UpdateDailyCash,CreateDoneAwayOrder,PricingInput,FetchAccountPositions,Copy of Data 1,Copy of Data 1_conflict27245522,Copy of Data 2,AddCash"</formula1>
    </dataValidation>
    <dataValidation type="list" allowBlank="1" sqref="H12:K12">
      <formula1>"GetDailyCash,UpdateDailyCash,CreateDoneAwayOrder,PricingInput,FetchAccountPositions,A,AddCash"</formula1>
    </dataValidation>
    <dataValidation type="list" allowBlank="1" sqref="H8:K8">
      <formula1>"GetDailyCash,Update,UpdateDailyCash"</formula1>
    </dataValidation>
    <dataValidation type="list" allowBlank="1" sqref="H15:K15">
      <formula1>"GetDailyCash,UpdateDailyCash,CreateDoneAwayOrder,PricingInput,FetchAccountPositions,AddCash,RunRebalance,VerifyGridData,ClearClaculations,Copy of Data,Copy of Data 1,ClearCalculations,Copy of Data 2,Copy of Data 3"</formula1>
    </dataValidation>
    <dataValidation type="list" allowBlank="1" sqref="H333:K333">
      <formula1>"CleanUp,UpdateDailyCash,GetDailyCash,CreateDoneAwayOrder,PricingInput,FetchAccountPositions,AddCash,RebalanceAcrossSecurities,RunRebalance"</formula1>
    </dataValidation>
    <dataValidation type="list" allowBlank="1" sqref="H69:K69">
      <formula1>"CreateDoneAwayOrder,VerifyWorkingSubs,CheckUnallocatedGroups,CheckPortfolioManagement,GetDataAllocation,VerifyOrder,VerifySubOrder,Copy of Data"</formula1>
    </dataValidation>
    <dataValidation type="list" allowBlank="1" sqref="H40:K40">
      <formula1>"UpdateDailyCash,Allocate,GetDailyCash"</formula1>
    </dataValidation>
    <dataValidation type="list" allowBlank="1" sqref="H31:K31 H51:K55">
      <formula1>"GetDailyCash,UpdateDailyCash,CreateDoneAwayOrder,PricingInput,FetchAccountPositions,RebalanceAcrossSecurities,RunRebalance,VerifyGridData,CleanUp"</formula1>
    </dataValidation>
    <dataValidation type="list" allowBlank="1" sqref="H126:K126">
      <formula1>"CleanUp,GetDailyCash,UpdateDailyCash,FetchAccountPositions,RebalanceAcrossSecurities,RunRebalance"</formula1>
    </dataValidation>
    <dataValidation type="list" allowBlank="1" sqref="H27:K28">
      <formula1>"GetDailyCash,UpdateDailyCash,CreateDoneAwayOrder,PricingInput,FetchAccountPositions,AddCash,RunRebalance,VerifyGridData,ClearCalculations,ModifyRebalance,RebalanceAcrossSecurities"</formula1>
    </dataValidation>
    <dataValidation type="list" allowBlank="1" sqref="H322:K322">
      <formula1>"CleanUp,GetDailyCash,`,Copy of Data_conflict509563149,UpdateDailyCash,CreateDoneAwayOrder,PricingInput,FetchAccountPositions,Copy of Data 1,Copy of Data 1_conflict27245522,Copy of Data 2,AddCash,RunRebalance"</formula1>
    </dataValidation>
    <dataValidation type="list" allowBlank="1" sqref="H83:K83">
      <formula1>"cleanup,GetDailyCash,UpdateDailyCash,CreateDoneAwayOrder"</formula1>
    </dataValidation>
    <dataValidation type="list" allowBlank="1" sqref="H26:K26">
      <formula1>"GetDailyCash,UpdateDailyCash,CreateDoneAwayOrder,PricingInput,FetchAccountPositions,AddCash,RunRebalance,VerifyGridData,RebalanceAcrossSecurities,ModifyRebalance,ClearCalculations,Copy of Data_conflict123232861"</formula1>
    </dataValidation>
    <dataValidation type="list" allowBlank="1" sqref="H204:K204">
      <formula1>"RunRebalance,Copy of Data,CleanUp,GetDailyCash,UpdateDailyCash"</formula1>
    </dataValidation>
    <dataValidation type="list" allowBlank="1" sqref="H262:K262">
      <formula1>"CleanUp,SetGeneralPreferences"</formula1>
    </dataValidation>
    <dataValidation type="list" allowBlank="1" sqref="H280:K280">
      <formula1>"CleanUp,CreateDoneAwayOrder,PricingInput,FetchAccountPositions,AddCash,RunRebalance"</formula1>
    </dataValidation>
    <dataValidation type="list" allowBlank="1" sqref="H73:K73 H113:K113 H132:K132 H143:K143 H154:K154 H165:K165 H175:K175 H185:K185 H215:K215 H225:K225 H235:K235 H245:K245 H255:K255 H287:K287 H297:K297 H309:K309 H340:K340">
      <formula1>"CleanUp,GetDailyCash,UpdateDailyCash,CreateDoneAwayOrder"</formula1>
    </dataValidation>
  </dataValidations>
  <hyperlinks>
    <hyperlink r:id="rId1" location="gid=298532607" ref="G7"/>
    <hyperlink r:id="rId2" location="gid=602436116" ref="G8"/>
    <hyperlink r:id="rId3" location="gid=1240194036" ref="G9"/>
    <hyperlink r:id="rId4" location="gid=808715589" ref="G10"/>
    <hyperlink r:id="rId5" location="gid=1437034089" ref="G11"/>
    <hyperlink r:id="rId6" location="gid=264850066" ref="G12"/>
    <hyperlink r:id="rId7" location="gid=640892279" ref="G13"/>
    <hyperlink r:id="rId8" location="gid=2054570782" ref="G14"/>
  </hyperlinks>
  <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26.29"/>
    <col customWidth="1" min="4" max="4" width="16.86"/>
    <col customWidth="1" min="5" max="5" width="24.71"/>
    <col customWidth="1" min="6" max="6" width="27.86"/>
    <col customWidth="1" min="7" max="7" width="90.14"/>
    <col customWidth="1" min="8" max="8" width="26.29"/>
    <col customWidth="1" min="9" max="12" width="18.0"/>
    <col customWidth="1" min="13" max="32" width="14.43"/>
  </cols>
  <sheetData>
    <row r="1" ht="1.5" customHeight="1">
      <c r="A1" s="12"/>
      <c r="B1" s="12"/>
      <c r="C1" s="13"/>
      <c r="D1" s="14"/>
      <c r="E1" s="223"/>
      <c r="F1" s="14"/>
      <c r="G1" s="224"/>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2"/>
      <c r="B2" s="12"/>
      <c r="C2" s="13"/>
      <c r="D2" s="14"/>
      <c r="E2" s="223"/>
      <c r="F2" s="14"/>
      <c r="G2" s="224"/>
      <c r="H2" s="14"/>
      <c r="I2" s="14"/>
      <c r="J2" s="12"/>
      <c r="K2" s="12"/>
      <c r="L2" s="12"/>
      <c r="M2" s="15"/>
      <c r="N2" s="15"/>
      <c r="O2" s="15"/>
      <c r="P2" s="15"/>
      <c r="Q2" s="15"/>
      <c r="R2" s="15"/>
      <c r="S2" s="15"/>
      <c r="T2" s="15"/>
      <c r="U2" s="15"/>
      <c r="V2" s="15"/>
      <c r="W2" s="15"/>
      <c r="X2" s="15"/>
      <c r="Y2" s="15"/>
      <c r="Z2" s="15"/>
      <c r="AA2" s="15"/>
      <c r="AB2" s="15"/>
      <c r="AC2" s="15"/>
      <c r="AD2" s="15"/>
      <c r="AE2" s="15"/>
      <c r="AF2" s="15"/>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25"/>
      <c r="C4" s="21"/>
      <c r="D4" s="20"/>
      <c r="E4" s="226"/>
      <c r="F4" s="20"/>
      <c r="G4" s="227"/>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28" t="s">
        <v>8</v>
      </c>
      <c r="D5" s="22" t="s">
        <v>9</v>
      </c>
      <c r="E5" s="22" t="s">
        <v>10</v>
      </c>
      <c r="F5" s="22" t="s">
        <v>11</v>
      </c>
      <c r="G5" s="22" t="s">
        <v>12</v>
      </c>
      <c r="H5" s="229" t="s">
        <v>13</v>
      </c>
      <c r="I5" s="22" t="s">
        <v>14</v>
      </c>
      <c r="J5" s="22" t="s">
        <v>15</v>
      </c>
      <c r="K5" s="22" t="s">
        <v>16</v>
      </c>
      <c r="L5" s="22" t="s">
        <v>17</v>
      </c>
      <c r="M5" s="15"/>
      <c r="N5" s="15"/>
      <c r="O5" s="15"/>
      <c r="P5" s="15"/>
      <c r="Q5" s="15"/>
      <c r="R5" s="15"/>
      <c r="S5" s="15"/>
      <c r="T5" s="15"/>
      <c r="U5" s="15"/>
      <c r="V5" s="15"/>
      <c r="W5" s="15"/>
      <c r="X5" s="15"/>
      <c r="Y5" s="15"/>
      <c r="Z5" s="15"/>
      <c r="AA5" s="15"/>
      <c r="AB5" s="15"/>
      <c r="AC5" s="15"/>
      <c r="AD5" s="15"/>
      <c r="AE5" s="15"/>
      <c r="AF5" s="15"/>
    </row>
    <row r="6" ht="15.75" customHeight="1">
      <c r="A6" s="28" t="s">
        <v>5</v>
      </c>
      <c r="B6" s="33"/>
      <c r="C6" s="33"/>
      <c r="D6" s="28"/>
      <c r="E6" s="230"/>
      <c r="F6" s="62"/>
      <c r="G6" s="286"/>
      <c r="L6" s="20"/>
      <c r="M6" s="15"/>
      <c r="N6" s="15"/>
      <c r="O6" s="15"/>
      <c r="P6" s="15"/>
      <c r="Q6" s="15"/>
      <c r="R6" s="15"/>
      <c r="S6" s="15"/>
      <c r="T6" s="15"/>
      <c r="U6" s="15"/>
      <c r="V6" s="15"/>
      <c r="W6" s="15"/>
      <c r="X6" s="15"/>
      <c r="Y6" s="15"/>
      <c r="Z6" s="15"/>
      <c r="AA6" s="15"/>
      <c r="AB6" s="15"/>
      <c r="AC6" s="15"/>
      <c r="AD6" s="15"/>
      <c r="AE6" s="15"/>
      <c r="AF6" s="15"/>
    </row>
    <row r="7" ht="15.75" customHeight="1">
      <c r="A7" s="28" t="s">
        <v>5</v>
      </c>
      <c r="B7" s="33"/>
      <c r="C7" s="33"/>
      <c r="D7" s="28"/>
      <c r="E7" s="230"/>
      <c r="F7" s="65"/>
      <c r="G7" s="287"/>
      <c r="L7" s="20"/>
      <c r="M7" s="15"/>
      <c r="N7" s="15"/>
      <c r="O7" s="15"/>
      <c r="P7" s="15"/>
      <c r="Q7" s="15"/>
      <c r="R7" s="15"/>
      <c r="S7" s="15"/>
      <c r="T7" s="15"/>
      <c r="U7" s="15"/>
      <c r="V7" s="15"/>
      <c r="W7" s="15"/>
      <c r="X7" s="15"/>
      <c r="Y7" s="15"/>
      <c r="Z7" s="15"/>
      <c r="AA7" s="15"/>
      <c r="AB7" s="15"/>
      <c r="AC7" s="15"/>
      <c r="AD7" s="15"/>
      <c r="AE7" s="15"/>
      <c r="AF7" s="15"/>
    </row>
    <row r="8" ht="15.75" customHeight="1">
      <c r="A8" s="28" t="s">
        <v>5</v>
      </c>
      <c r="B8" s="33"/>
      <c r="C8" s="33"/>
      <c r="D8" s="28"/>
      <c r="E8" s="230"/>
      <c r="F8" s="65"/>
      <c r="G8" s="265"/>
      <c r="H8" s="65"/>
      <c r="I8" s="65"/>
      <c r="L8" s="20"/>
      <c r="M8" s="15"/>
      <c r="N8" s="15"/>
      <c r="O8" s="15"/>
      <c r="P8" s="15"/>
      <c r="Q8" s="15"/>
      <c r="R8" s="15"/>
      <c r="S8" s="15"/>
      <c r="T8" s="15"/>
      <c r="U8" s="15"/>
      <c r="V8" s="15"/>
      <c r="W8" s="15"/>
      <c r="X8" s="15"/>
      <c r="Y8" s="15"/>
      <c r="Z8" s="15"/>
      <c r="AA8" s="15"/>
      <c r="AB8" s="15"/>
      <c r="AC8" s="15"/>
      <c r="AD8" s="15"/>
      <c r="AE8" s="15"/>
      <c r="AF8" s="15"/>
    </row>
    <row r="9" ht="15.75" customHeight="1">
      <c r="A9" s="28" t="s">
        <v>5</v>
      </c>
      <c r="B9" s="33"/>
      <c r="C9" s="33"/>
      <c r="D9" s="28"/>
      <c r="E9" s="230"/>
      <c r="F9" s="65"/>
      <c r="G9" s="265"/>
      <c r="L9" s="20"/>
      <c r="M9" s="15"/>
      <c r="N9" s="15"/>
      <c r="O9" s="15"/>
      <c r="P9" s="15"/>
      <c r="Q9" s="15"/>
      <c r="R9" s="15"/>
      <c r="S9" s="15"/>
      <c r="T9" s="15"/>
      <c r="U9" s="15"/>
      <c r="V9" s="15"/>
      <c r="W9" s="15"/>
      <c r="X9" s="15"/>
      <c r="Y9" s="15"/>
      <c r="Z9" s="15"/>
      <c r="AA9" s="15"/>
      <c r="AB9" s="15"/>
      <c r="AC9" s="15"/>
      <c r="AD9" s="15"/>
      <c r="AE9" s="15"/>
      <c r="AF9" s="15"/>
    </row>
    <row r="10" ht="15.75" customHeight="1">
      <c r="A10" s="28" t="s">
        <v>5</v>
      </c>
      <c r="B10" s="33"/>
      <c r="C10" s="33"/>
      <c r="D10" s="28"/>
      <c r="E10" s="230"/>
      <c r="F10" s="65"/>
      <c r="G10" s="265"/>
      <c r="L10" s="20"/>
      <c r="M10" s="15"/>
      <c r="N10" s="15"/>
      <c r="O10" s="15"/>
      <c r="P10" s="15"/>
      <c r="Q10" s="15"/>
      <c r="R10" s="15"/>
      <c r="S10" s="15"/>
      <c r="T10" s="15"/>
      <c r="U10" s="15"/>
      <c r="V10" s="15"/>
      <c r="W10" s="15"/>
      <c r="X10" s="15"/>
      <c r="Y10" s="15"/>
      <c r="Z10" s="15"/>
      <c r="AA10" s="15"/>
      <c r="AB10" s="15"/>
      <c r="AC10" s="15"/>
      <c r="AD10" s="15"/>
      <c r="AE10" s="15"/>
      <c r="AF10" s="15"/>
    </row>
    <row r="11" ht="15.75" customHeight="1">
      <c r="A11" s="28" t="s">
        <v>5</v>
      </c>
      <c r="B11" s="33"/>
      <c r="C11" s="33"/>
      <c r="D11" s="28"/>
      <c r="E11" s="230"/>
      <c r="F11" s="65"/>
      <c r="G11" s="265"/>
      <c r="L11" s="20"/>
      <c r="M11" s="15"/>
      <c r="N11" s="15"/>
      <c r="O11" s="15"/>
      <c r="P11" s="15"/>
      <c r="Q11" s="15"/>
      <c r="R11" s="15"/>
      <c r="S11" s="15"/>
      <c r="T11" s="15"/>
      <c r="U11" s="15"/>
      <c r="V11" s="15"/>
      <c r="W11" s="15"/>
      <c r="X11" s="15"/>
      <c r="Y11" s="15"/>
      <c r="Z11" s="15"/>
      <c r="AA11" s="15"/>
      <c r="AB11" s="15"/>
      <c r="AC11" s="15"/>
      <c r="AD11" s="15"/>
      <c r="AE11" s="15"/>
      <c r="AF11" s="15"/>
    </row>
    <row r="12" ht="15.75" customHeight="1">
      <c r="A12" s="28" t="s">
        <v>5</v>
      </c>
      <c r="B12" s="33"/>
      <c r="C12" s="33"/>
      <c r="D12" s="28"/>
      <c r="E12" s="230"/>
      <c r="F12" s="65"/>
      <c r="G12" s="265"/>
      <c r="L12" s="20"/>
      <c r="M12" s="15"/>
      <c r="N12" s="15"/>
      <c r="O12" s="15"/>
      <c r="P12" s="15"/>
      <c r="Q12" s="15"/>
      <c r="R12" s="15"/>
      <c r="S12" s="15"/>
      <c r="T12" s="15"/>
      <c r="U12" s="15"/>
      <c r="V12" s="15"/>
      <c r="W12" s="15"/>
      <c r="X12" s="15"/>
      <c r="Y12" s="15"/>
      <c r="Z12" s="15"/>
      <c r="AA12" s="15"/>
      <c r="AB12" s="15"/>
      <c r="AC12" s="15"/>
      <c r="AD12" s="15"/>
      <c r="AE12" s="15"/>
      <c r="AF12" s="15"/>
    </row>
    <row r="13" ht="15.75" customHeight="1">
      <c r="A13" s="28" t="s">
        <v>5</v>
      </c>
      <c r="B13" s="33"/>
      <c r="C13" s="33"/>
      <c r="D13" s="28"/>
      <c r="E13" s="230"/>
      <c r="F13" s="65"/>
      <c r="G13" s="265"/>
      <c r="L13" s="20"/>
      <c r="M13" s="15"/>
      <c r="N13" s="15"/>
      <c r="O13" s="15"/>
      <c r="P13" s="15"/>
      <c r="Q13" s="15"/>
      <c r="R13" s="15"/>
      <c r="S13" s="15"/>
      <c r="T13" s="15"/>
      <c r="U13" s="15"/>
      <c r="V13" s="15"/>
      <c r="W13" s="15"/>
      <c r="X13" s="15"/>
      <c r="Y13" s="15"/>
      <c r="Z13" s="15"/>
      <c r="AA13" s="15"/>
      <c r="AB13" s="15"/>
      <c r="AC13" s="15"/>
      <c r="AD13" s="15"/>
      <c r="AE13" s="15"/>
      <c r="AF13" s="15"/>
    </row>
    <row r="14" ht="15.75" customHeight="1">
      <c r="A14" s="28" t="s">
        <v>5</v>
      </c>
      <c r="B14" s="33"/>
      <c r="C14" s="33"/>
      <c r="D14" s="28"/>
      <c r="E14" s="230"/>
      <c r="F14" s="65"/>
      <c r="G14" s="265"/>
      <c r="L14" s="20"/>
      <c r="M14" s="15"/>
      <c r="N14" s="15"/>
      <c r="O14" s="15"/>
      <c r="P14" s="15"/>
      <c r="Q14" s="15"/>
      <c r="R14" s="15"/>
      <c r="S14" s="15"/>
      <c r="T14" s="15"/>
      <c r="U14" s="15"/>
      <c r="V14" s="15"/>
      <c r="W14" s="15"/>
      <c r="X14" s="15"/>
      <c r="Y14" s="15"/>
      <c r="Z14" s="15"/>
      <c r="AA14" s="15"/>
      <c r="AB14" s="15"/>
      <c r="AC14" s="15"/>
      <c r="AD14" s="15"/>
      <c r="AE14" s="15"/>
      <c r="AF14" s="15"/>
    </row>
    <row r="15" ht="15.75" customHeight="1">
      <c r="A15" s="28" t="s">
        <v>5</v>
      </c>
      <c r="B15" s="33"/>
      <c r="C15" s="33"/>
      <c r="D15" s="28"/>
      <c r="E15" s="230"/>
      <c r="F15" s="65"/>
      <c r="G15" s="265"/>
      <c r="L15" s="20"/>
      <c r="M15" s="15"/>
      <c r="N15" s="15"/>
      <c r="O15" s="15"/>
      <c r="P15" s="15"/>
      <c r="Q15" s="15"/>
      <c r="R15" s="15"/>
      <c r="S15" s="15"/>
      <c r="T15" s="15"/>
      <c r="U15" s="15"/>
      <c r="V15" s="15"/>
      <c r="W15" s="15"/>
      <c r="X15" s="15"/>
      <c r="Y15" s="15"/>
      <c r="Z15" s="15"/>
      <c r="AA15" s="15"/>
      <c r="AB15" s="15"/>
      <c r="AC15" s="15"/>
      <c r="AD15" s="15"/>
      <c r="AE15" s="15"/>
      <c r="AF15" s="15"/>
    </row>
    <row r="16" ht="15.75" customHeight="1">
      <c r="A16" s="28" t="s">
        <v>5</v>
      </c>
      <c r="B16" s="33"/>
      <c r="C16" s="33"/>
      <c r="D16" s="28"/>
      <c r="E16" s="230"/>
      <c r="F16" s="65"/>
      <c r="G16" s="265"/>
      <c r="L16" s="20"/>
      <c r="M16" s="15"/>
      <c r="N16" s="15"/>
      <c r="O16" s="15"/>
      <c r="P16" s="15"/>
      <c r="Q16" s="15"/>
      <c r="R16" s="15"/>
      <c r="S16" s="15"/>
      <c r="T16" s="15"/>
      <c r="U16" s="15"/>
      <c r="V16" s="15"/>
      <c r="W16" s="15"/>
      <c r="X16" s="15"/>
      <c r="Y16" s="15"/>
      <c r="Z16" s="15"/>
      <c r="AA16" s="15"/>
      <c r="AB16" s="15"/>
      <c r="AC16" s="15"/>
      <c r="AD16" s="15"/>
      <c r="AE16" s="15"/>
      <c r="AF16" s="15"/>
    </row>
    <row r="17" ht="15.75" customHeight="1">
      <c r="A17" s="28" t="s">
        <v>5</v>
      </c>
      <c r="B17" s="33"/>
      <c r="C17" s="33"/>
      <c r="D17" s="28"/>
      <c r="E17" s="230"/>
      <c r="F17" s="65"/>
      <c r="G17" s="265"/>
      <c r="L17" s="20"/>
      <c r="M17" s="15"/>
      <c r="N17" s="15"/>
      <c r="O17" s="15"/>
      <c r="P17" s="15"/>
      <c r="Q17" s="15"/>
      <c r="R17" s="15"/>
      <c r="S17" s="15"/>
      <c r="T17" s="15"/>
      <c r="U17" s="15"/>
      <c r="V17" s="15"/>
      <c r="W17" s="15"/>
      <c r="X17" s="15"/>
      <c r="Y17" s="15"/>
      <c r="Z17" s="15"/>
      <c r="AA17" s="15"/>
      <c r="AB17" s="15"/>
      <c r="AC17" s="15"/>
      <c r="AD17" s="15"/>
      <c r="AE17" s="15"/>
      <c r="AF17" s="15"/>
    </row>
    <row r="18" ht="15.75" customHeight="1">
      <c r="A18" s="32" t="s">
        <v>5</v>
      </c>
      <c r="B18" s="233"/>
      <c r="C18" s="33"/>
      <c r="D18" s="8"/>
      <c r="E18" s="234"/>
      <c r="F18" s="28"/>
      <c r="G18" s="34"/>
      <c r="L18" s="11"/>
      <c r="M18" s="15"/>
      <c r="N18" s="15"/>
      <c r="O18" s="15"/>
      <c r="P18" s="15"/>
      <c r="Q18" s="15"/>
      <c r="R18" s="15"/>
      <c r="S18" s="15"/>
      <c r="T18" s="15"/>
      <c r="U18" s="15"/>
      <c r="V18" s="15"/>
      <c r="W18" s="15"/>
      <c r="X18" s="15"/>
      <c r="Y18" s="15"/>
      <c r="Z18" s="15"/>
      <c r="AA18" s="15"/>
      <c r="AB18" s="15"/>
      <c r="AC18" s="15"/>
      <c r="AD18" s="15"/>
      <c r="AE18" s="15"/>
      <c r="AF18" s="15"/>
    </row>
    <row r="19" ht="15.75" customHeight="1">
      <c r="A19" s="32" t="s">
        <v>5</v>
      </c>
      <c r="B19" s="233"/>
      <c r="C19" s="33"/>
      <c r="D19" s="8"/>
      <c r="E19" s="234"/>
      <c r="F19" s="28"/>
      <c r="G19" s="34"/>
      <c r="L19" s="11"/>
      <c r="M19" s="15"/>
      <c r="N19" s="15"/>
      <c r="O19" s="15"/>
      <c r="P19" s="15"/>
      <c r="Q19" s="15"/>
      <c r="R19" s="15"/>
      <c r="S19" s="15"/>
      <c r="T19" s="15"/>
      <c r="U19" s="15"/>
      <c r="V19" s="15"/>
      <c r="W19" s="15"/>
      <c r="X19" s="15"/>
      <c r="Y19" s="15"/>
      <c r="Z19" s="15"/>
      <c r="AA19" s="15"/>
      <c r="AB19" s="15"/>
      <c r="AC19" s="15"/>
      <c r="AD19" s="15"/>
      <c r="AE19" s="15"/>
      <c r="AF19" s="15"/>
    </row>
    <row r="20" ht="15.75" customHeight="1">
      <c r="A20" s="32" t="s">
        <v>5</v>
      </c>
      <c r="B20" s="233"/>
      <c r="C20" s="33"/>
      <c r="D20" s="8"/>
      <c r="E20" s="234"/>
      <c r="F20" s="38"/>
      <c r="G20" s="34"/>
      <c r="L20" s="11"/>
      <c r="M20" s="15"/>
      <c r="N20" s="15"/>
      <c r="O20" s="15"/>
      <c r="P20" s="15"/>
      <c r="Q20" s="15"/>
      <c r="R20" s="15"/>
      <c r="S20" s="15"/>
      <c r="T20" s="15"/>
      <c r="U20" s="15"/>
      <c r="V20" s="15"/>
      <c r="W20" s="15"/>
      <c r="X20" s="15"/>
      <c r="Y20" s="15"/>
      <c r="Z20" s="15"/>
      <c r="AA20" s="15"/>
      <c r="AB20" s="15"/>
      <c r="AC20" s="15"/>
      <c r="AD20" s="15"/>
      <c r="AE20" s="15"/>
      <c r="AF20" s="15"/>
    </row>
    <row r="21" ht="15.75" customHeight="1">
      <c r="A21" s="32" t="s">
        <v>5</v>
      </c>
      <c r="B21" s="233"/>
      <c r="C21" s="33"/>
      <c r="D21" s="8"/>
      <c r="E21" s="234"/>
      <c r="F21" s="28"/>
      <c r="G21" s="34"/>
      <c r="H21" s="38"/>
      <c r="I21" s="31"/>
      <c r="J21" s="31"/>
      <c r="K21" s="11"/>
      <c r="L21" s="11"/>
      <c r="M21" s="15"/>
      <c r="N21" s="15"/>
      <c r="O21" s="15"/>
      <c r="P21" s="15"/>
      <c r="Q21" s="15"/>
      <c r="R21" s="15"/>
      <c r="S21" s="15"/>
      <c r="T21" s="15"/>
      <c r="U21" s="15"/>
      <c r="V21" s="15"/>
      <c r="W21" s="15"/>
      <c r="X21" s="15"/>
      <c r="Y21" s="15"/>
      <c r="Z21" s="15"/>
      <c r="AA21" s="15"/>
      <c r="AB21" s="15"/>
      <c r="AC21" s="15"/>
      <c r="AD21" s="15"/>
      <c r="AE21" s="15"/>
      <c r="AF21" s="15"/>
    </row>
    <row r="22" ht="15.75" customHeight="1">
      <c r="A22" s="32" t="s">
        <v>5</v>
      </c>
      <c r="B22" s="233"/>
      <c r="C22" s="33"/>
      <c r="D22" s="8"/>
      <c r="E22" s="234"/>
      <c r="F22" s="28"/>
      <c r="G22" s="34"/>
      <c r="H22" s="38"/>
      <c r="I22" s="31"/>
      <c r="J22" s="31"/>
      <c r="K22" s="11"/>
      <c r="L22" s="11"/>
      <c r="M22" s="15"/>
      <c r="N22" s="15"/>
      <c r="O22" s="15"/>
      <c r="P22" s="15"/>
      <c r="Q22" s="15"/>
      <c r="R22" s="15"/>
      <c r="S22" s="15"/>
      <c r="T22" s="15"/>
      <c r="U22" s="15"/>
      <c r="V22" s="15"/>
      <c r="W22" s="15"/>
      <c r="X22" s="15"/>
      <c r="Y22" s="15"/>
      <c r="Z22" s="15"/>
      <c r="AA22" s="15"/>
      <c r="AB22" s="15"/>
      <c r="AC22" s="15"/>
      <c r="AD22" s="15"/>
      <c r="AE22" s="15"/>
      <c r="AF22" s="15"/>
    </row>
    <row r="23" ht="15.75" customHeight="1">
      <c r="A23" s="32" t="s">
        <v>5</v>
      </c>
      <c r="B23" s="233"/>
      <c r="C23" s="33"/>
      <c r="D23" s="8"/>
      <c r="E23" s="234"/>
      <c r="F23" s="28"/>
      <c r="G23" s="34"/>
      <c r="L23" s="11"/>
      <c r="M23" s="15"/>
      <c r="N23" s="15"/>
      <c r="O23" s="15"/>
      <c r="P23" s="15"/>
      <c r="Q23" s="15"/>
      <c r="R23" s="15"/>
      <c r="S23" s="15"/>
      <c r="T23" s="15"/>
      <c r="U23" s="15"/>
      <c r="V23" s="15"/>
      <c r="W23" s="15"/>
      <c r="X23" s="15"/>
      <c r="Y23" s="15"/>
      <c r="Z23" s="15"/>
      <c r="AA23" s="15"/>
      <c r="AB23" s="15"/>
      <c r="AC23" s="15"/>
      <c r="AD23" s="15"/>
      <c r="AE23" s="15"/>
      <c r="AF23" s="15"/>
    </row>
    <row r="24" ht="15.75" customHeight="1">
      <c r="A24" s="32" t="s">
        <v>5</v>
      </c>
      <c r="B24" s="233"/>
      <c r="C24" s="33"/>
      <c r="D24" s="8"/>
      <c r="E24" s="234"/>
      <c r="F24" s="38"/>
      <c r="G24" s="34"/>
      <c r="L24" s="11"/>
      <c r="M24" s="15"/>
      <c r="N24" s="15"/>
      <c r="O24" s="15"/>
      <c r="P24" s="15"/>
      <c r="Q24" s="15"/>
      <c r="R24" s="15"/>
      <c r="S24" s="15"/>
      <c r="T24" s="15"/>
      <c r="U24" s="15"/>
      <c r="V24" s="15"/>
      <c r="W24" s="15"/>
      <c r="X24" s="15"/>
      <c r="Y24" s="15"/>
      <c r="Z24" s="15"/>
      <c r="AA24" s="15"/>
      <c r="AB24" s="15"/>
      <c r="AC24" s="15"/>
      <c r="AD24" s="15"/>
      <c r="AE24" s="15"/>
      <c r="AF24" s="15"/>
    </row>
    <row r="25" ht="15.75" customHeight="1">
      <c r="A25" s="32" t="s">
        <v>5</v>
      </c>
      <c r="B25" s="233"/>
      <c r="C25" s="33"/>
      <c r="D25" s="8"/>
      <c r="E25" s="234"/>
      <c r="F25" s="28"/>
      <c r="G25" s="34"/>
      <c r="L25" s="11"/>
      <c r="M25" s="15"/>
      <c r="N25" s="15"/>
      <c r="O25" s="15"/>
      <c r="P25" s="15"/>
      <c r="Q25" s="15"/>
      <c r="R25" s="15"/>
      <c r="S25" s="15"/>
      <c r="T25" s="15"/>
      <c r="U25" s="15"/>
      <c r="V25" s="15"/>
      <c r="W25" s="15"/>
      <c r="X25" s="15"/>
      <c r="Y25" s="15"/>
      <c r="Z25" s="15"/>
      <c r="AA25" s="15"/>
      <c r="AB25" s="15"/>
      <c r="AC25" s="15"/>
      <c r="AD25" s="15"/>
      <c r="AE25" s="15"/>
      <c r="AF25" s="15"/>
    </row>
    <row r="26" ht="15.75" customHeight="1">
      <c r="A26" s="32" t="s">
        <v>5</v>
      </c>
      <c r="B26" s="233"/>
      <c r="C26" s="33"/>
      <c r="D26" s="8"/>
      <c r="E26" s="195"/>
      <c r="F26" s="8"/>
      <c r="G26" s="34"/>
      <c r="L26" s="11"/>
      <c r="M26" s="15"/>
      <c r="N26" s="15"/>
      <c r="O26" s="15"/>
      <c r="P26" s="15"/>
      <c r="Q26" s="15"/>
      <c r="R26" s="15"/>
      <c r="S26" s="15"/>
      <c r="T26" s="15"/>
      <c r="U26" s="15"/>
      <c r="V26" s="15"/>
      <c r="W26" s="15"/>
      <c r="X26" s="15"/>
      <c r="Y26" s="15"/>
      <c r="Z26" s="15"/>
      <c r="AA26" s="15"/>
      <c r="AB26" s="15"/>
      <c r="AC26" s="15"/>
      <c r="AD26" s="15"/>
      <c r="AE26" s="15"/>
      <c r="AF26" s="15"/>
    </row>
    <row r="27" ht="15.75" customHeight="1">
      <c r="A27" s="32" t="s">
        <v>5</v>
      </c>
      <c r="B27" s="233"/>
      <c r="C27" s="33"/>
      <c r="D27" s="8"/>
      <c r="E27" s="195"/>
      <c r="F27" s="8"/>
      <c r="G27" s="34"/>
      <c r="H27" s="8"/>
      <c r="I27" s="31"/>
      <c r="J27" s="9"/>
      <c r="K27" s="11"/>
      <c r="L27" s="11"/>
      <c r="M27" s="15"/>
      <c r="N27" s="15"/>
      <c r="O27" s="15"/>
      <c r="P27" s="15"/>
      <c r="Q27" s="15"/>
      <c r="R27" s="15"/>
      <c r="S27" s="15"/>
      <c r="T27" s="15"/>
      <c r="U27" s="15"/>
      <c r="V27" s="15"/>
      <c r="W27" s="15"/>
      <c r="X27" s="15"/>
      <c r="Y27" s="15"/>
      <c r="Z27" s="15"/>
      <c r="AA27" s="15"/>
      <c r="AB27" s="15"/>
      <c r="AC27" s="15"/>
      <c r="AD27" s="15"/>
      <c r="AE27" s="15"/>
      <c r="AF27" s="15"/>
    </row>
    <row r="28" ht="15.75" customHeight="1">
      <c r="A28" s="32" t="s">
        <v>5</v>
      </c>
      <c r="B28" s="233"/>
      <c r="C28" s="33"/>
      <c r="D28" s="8"/>
      <c r="E28" s="234"/>
      <c r="F28" s="8"/>
      <c r="G28" s="34"/>
      <c r="H28" s="8"/>
      <c r="I28" s="9"/>
      <c r="J28" s="9"/>
      <c r="K28" s="11"/>
      <c r="L28" s="11"/>
      <c r="M28" s="15"/>
      <c r="N28" s="15"/>
      <c r="O28" s="15"/>
      <c r="P28" s="15"/>
      <c r="Q28" s="15"/>
      <c r="R28" s="15"/>
      <c r="S28" s="15"/>
      <c r="T28" s="15"/>
      <c r="U28" s="15"/>
      <c r="V28" s="15"/>
      <c r="W28" s="15"/>
      <c r="X28" s="15"/>
      <c r="Y28" s="15"/>
      <c r="Z28" s="15"/>
      <c r="AA28" s="15"/>
      <c r="AB28" s="15"/>
      <c r="AC28" s="15"/>
      <c r="AD28" s="15"/>
      <c r="AE28" s="15"/>
      <c r="AF28" s="15"/>
    </row>
    <row r="29" ht="15.75" customHeight="1">
      <c r="A29" s="32" t="s">
        <v>5</v>
      </c>
      <c r="B29" s="233"/>
      <c r="C29" s="33"/>
      <c r="D29" s="8"/>
      <c r="E29" s="234"/>
      <c r="F29" s="8"/>
      <c r="G29" s="34"/>
      <c r="L29" s="11"/>
      <c r="M29" s="15"/>
      <c r="N29" s="15"/>
      <c r="O29" s="15"/>
      <c r="P29" s="15"/>
      <c r="Q29" s="15"/>
      <c r="R29" s="15"/>
      <c r="S29" s="15"/>
      <c r="T29" s="15"/>
      <c r="U29" s="15"/>
      <c r="V29" s="15"/>
      <c r="W29" s="15"/>
      <c r="X29" s="15"/>
      <c r="Y29" s="15"/>
      <c r="Z29" s="15"/>
      <c r="AA29" s="15"/>
      <c r="AB29" s="15"/>
      <c r="AC29" s="15"/>
      <c r="AD29" s="15"/>
      <c r="AE29" s="15"/>
      <c r="AF29" s="15"/>
    </row>
    <row r="30" ht="15.75" customHeight="1">
      <c r="A30" s="32" t="s">
        <v>5</v>
      </c>
      <c r="B30" s="233"/>
      <c r="C30" s="33"/>
      <c r="D30" s="8"/>
      <c r="E30" s="234"/>
      <c r="F30" s="38"/>
      <c r="G30" s="235"/>
      <c r="L30" s="11"/>
      <c r="M30" s="15"/>
      <c r="N30" s="15"/>
      <c r="O30" s="15"/>
      <c r="P30" s="15"/>
      <c r="Q30" s="15"/>
      <c r="R30" s="15"/>
      <c r="S30" s="15"/>
      <c r="T30" s="15"/>
      <c r="U30" s="15"/>
      <c r="V30" s="15"/>
      <c r="W30" s="15"/>
      <c r="X30" s="15"/>
      <c r="Y30" s="15"/>
      <c r="Z30" s="15"/>
      <c r="AA30" s="15"/>
      <c r="AB30" s="15"/>
      <c r="AC30" s="15"/>
      <c r="AD30" s="15"/>
      <c r="AE30" s="15"/>
      <c r="AF30" s="15"/>
    </row>
    <row r="31" ht="15.75" customHeight="1">
      <c r="A31" s="32" t="s">
        <v>5</v>
      </c>
      <c r="B31" s="233"/>
      <c r="C31" s="33"/>
      <c r="D31" s="8"/>
      <c r="E31" s="234"/>
      <c r="F31" s="28"/>
      <c r="G31" s="34"/>
      <c r="L31" s="11"/>
      <c r="M31" s="15"/>
      <c r="N31" s="15"/>
      <c r="O31" s="15"/>
      <c r="P31" s="15"/>
      <c r="Q31" s="15"/>
      <c r="R31" s="15"/>
      <c r="S31" s="15"/>
      <c r="T31" s="15"/>
      <c r="U31" s="15"/>
      <c r="V31" s="15"/>
      <c r="W31" s="15"/>
      <c r="X31" s="15"/>
      <c r="Y31" s="15"/>
      <c r="Z31" s="15"/>
      <c r="AA31" s="15"/>
      <c r="AB31" s="15"/>
      <c r="AC31" s="15"/>
      <c r="AD31" s="15"/>
      <c r="AE31" s="15"/>
      <c r="AF31" s="15"/>
    </row>
    <row r="32" ht="15.75" customHeight="1">
      <c r="A32" s="32" t="s">
        <v>5</v>
      </c>
      <c r="B32" s="233"/>
      <c r="C32" s="33"/>
      <c r="D32" s="8"/>
      <c r="E32" s="234"/>
      <c r="F32" s="28"/>
      <c r="G32" s="34"/>
      <c r="L32" s="11"/>
      <c r="M32" s="15"/>
      <c r="N32" s="15"/>
      <c r="O32" s="15"/>
      <c r="P32" s="15"/>
      <c r="Q32" s="15"/>
      <c r="R32" s="15"/>
      <c r="S32" s="15"/>
      <c r="T32" s="15"/>
      <c r="U32" s="15"/>
      <c r="V32" s="15"/>
      <c r="W32" s="15"/>
      <c r="X32" s="15"/>
      <c r="Y32" s="15"/>
      <c r="Z32" s="15"/>
      <c r="AA32" s="15"/>
      <c r="AB32" s="15"/>
      <c r="AC32" s="15"/>
      <c r="AD32" s="15"/>
      <c r="AE32" s="15"/>
      <c r="AF32" s="15"/>
    </row>
    <row r="33" ht="15.75" customHeight="1">
      <c r="A33" s="32" t="s">
        <v>5</v>
      </c>
      <c r="B33" s="233"/>
      <c r="C33" s="33"/>
      <c r="D33" s="8"/>
      <c r="E33" s="234"/>
      <c r="F33" s="28"/>
      <c r="G33" s="34"/>
      <c r="H33" s="28"/>
      <c r="I33" s="9"/>
      <c r="J33" s="9"/>
      <c r="K33" s="11"/>
      <c r="L33" s="11"/>
      <c r="M33" s="15"/>
      <c r="N33" s="15"/>
      <c r="O33" s="15"/>
      <c r="P33" s="15"/>
      <c r="Q33" s="15"/>
      <c r="R33" s="15"/>
      <c r="S33" s="15"/>
      <c r="T33" s="15"/>
      <c r="U33" s="15"/>
      <c r="V33" s="15"/>
      <c r="W33" s="15"/>
      <c r="X33" s="15"/>
      <c r="Y33" s="15"/>
      <c r="Z33" s="15"/>
      <c r="AA33" s="15"/>
      <c r="AB33" s="15"/>
      <c r="AC33" s="15"/>
      <c r="AD33" s="15"/>
      <c r="AE33" s="15"/>
      <c r="AF33" s="15"/>
    </row>
    <row r="34" ht="15.75" customHeight="1">
      <c r="A34" s="32" t="s">
        <v>5</v>
      </c>
      <c r="B34" s="233"/>
      <c r="C34" s="33"/>
      <c r="D34" s="8"/>
      <c r="E34" s="234"/>
      <c r="F34" s="38"/>
      <c r="G34" s="34"/>
      <c r="H34" s="38"/>
      <c r="I34" s="9"/>
      <c r="J34" s="9"/>
      <c r="K34" s="11"/>
      <c r="L34" s="11"/>
      <c r="M34" s="15"/>
      <c r="N34" s="15"/>
      <c r="O34" s="15"/>
      <c r="P34" s="15"/>
      <c r="Q34" s="15"/>
      <c r="R34" s="15"/>
      <c r="S34" s="15"/>
      <c r="T34" s="15"/>
      <c r="U34" s="15"/>
      <c r="V34" s="15"/>
      <c r="W34" s="15"/>
      <c r="X34" s="15"/>
      <c r="Y34" s="15"/>
      <c r="Z34" s="15"/>
      <c r="AA34" s="15"/>
      <c r="AB34" s="15"/>
      <c r="AC34" s="15"/>
      <c r="AD34" s="15"/>
      <c r="AE34" s="15"/>
      <c r="AF34" s="15"/>
    </row>
    <row r="35" ht="15.75" customHeight="1">
      <c r="A35" s="32" t="s">
        <v>5</v>
      </c>
      <c r="B35" s="233"/>
      <c r="C35" s="33"/>
      <c r="D35" s="8"/>
      <c r="E35" s="234"/>
      <c r="F35" s="38"/>
      <c r="G35" s="34"/>
      <c r="L35" s="11"/>
      <c r="M35" s="15"/>
      <c r="N35" s="15"/>
      <c r="O35" s="15"/>
      <c r="P35" s="15"/>
      <c r="Q35" s="15"/>
      <c r="R35" s="15"/>
      <c r="S35" s="15"/>
      <c r="T35" s="15"/>
      <c r="U35" s="15"/>
      <c r="V35" s="15"/>
      <c r="W35" s="15"/>
      <c r="X35" s="15"/>
      <c r="Y35" s="15"/>
      <c r="Z35" s="15"/>
      <c r="AA35" s="15"/>
      <c r="AB35" s="15"/>
      <c r="AC35" s="15"/>
      <c r="AD35" s="15"/>
      <c r="AE35" s="15"/>
      <c r="AF35" s="15"/>
    </row>
    <row r="36" ht="15.75" customHeight="1">
      <c r="A36" s="32" t="s">
        <v>5</v>
      </c>
      <c r="B36" s="233"/>
      <c r="C36" s="33"/>
      <c r="D36" s="8"/>
      <c r="E36" s="234"/>
      <c r="F36" s="28"/>
      <c r="G36" s="34"/>
      <c r="L36" s="11"/>
      <c r="M36" s="15"/>
      <c r="N36" s="15"/>
      <c r="O36" s="15"/>
      <c r="P36" s="15"/>
      <c r="Q36" s="15"/>
      <c r="R36" s="15"/>
      <c r="S36" s="15"/>
      <c r="T36" s="15"/>
      <c r="U36" s="15"/>
      <c r="V36" s="15"/>
      <c r="W36" s="15"/>
      <c r="X36" s="15"/>
      <c r="Y36" s="15"/>
      <c r="Z36" s="15"/>
      <c r="AA36" s="15"/>
      <c r="AB36" s="15"/>
      <c r="AC36" s="15"/>
      <c r="AD36" s="15"/>
      <c r="AE36" s="15"/>
      <c r="AF36" s="15"/>
    </row>
    <row r="37" ht="15.75" customHeight="1">
      <c r="A37" s="32" t="s">
        <v>5</v>
      </c>
      <c r="B37" s="233"/>
      <c r="C37" s="33"/>
      <c r="D37" s="8"/>
      <c r="E37" s="234"/>
      <c r="F37" s="8"/>
      <c r="G37" s="34"/>
      <c r="L37" s="11"/>
      <c r="M37" s="15"/>
      <c r="N37" s="15"/>
      <c r="O37" s="15"/>
      <c r="P37" s="15"/>
      <c r="Q37" s="15"/>
      <c r="R37" s="15"/>
      <c r="S37" s="15"/>
      <c r="T37" s="15"/>
      <c r="U37" s="15"/>
      <c r="V37" s="15"/>
      <c r="W37" s="15"/>
      <c r="X37" s="15"/>
      <c r="Y37" s="15"/>
      <c r="Z37" s="15"/>
      <c r="AA37" s="15"/>
      <c r="AB37" s="15"/>
      <c r="AC37" s="15"/>
      <c r="AD37" s="15"/>
      <c r="AE37" s="15"/>
      <c r="AF37" s="15"/>
    </row>
    <row r="38" ht="15.75" customHeight="1">
      <c r="A38" s="32" t="s">
        <v>5</v>
      </c>
      <c r="B38" s="233"/>
      <c r="C38" s="33"/>
      <c r="D38" s="8"/>
      <c r="E38" s="234"/>
      <c r="F38" s="8"/>
      <c r="G38" s="34"/>
      <c r="L38" s="11"/>
      <c r="M38" s="15"/>
      <c r="N38" s="15"/>
      <c r="O38" s="15"/>
      <c r="P38" s="15"/>
      <c r="Q38" s="15"/>
      <c r="R38" s="15"/>
      <c r="S38" s="15"/>
      <c r="T38" s="15"/>
      <c r="U38" s="15"/>
      <c r="V38" s="15"/>
      <c r="W38" s="15"/>
      <c r="X38" s="15"/>
      <c r="Y38" s="15"/>
      <c r="Z38" s="15"/>
      <c r="AA38" s="15"/>
      <c r="AB38" s="15"/>
      <c r="AC38" s="15"/>
      <c r="AD38" s="15"/>
      <c r="AE38" s="15"/>
      <c r="AF38" s="15"/>
    </row>
    <row r="39" ht="15.75" customHeight="1">
      <c r="A39" s="32" t="s">
        <v>5</v>
      </c>
      <c r="B39" s="233"/>
      <c r="C39" s="33"/>
      <c r="D39" s="8"/>
      <c r="E39" s="234"/>
      <c r="F39" s="8"/>
      <c r="G39" s="34"/>
      <c r="H39" s="8"/>
      <c r="I39" s="31"/>
      <c r="J39" s="9"/>
      <c r="K39" s="11"/>
      <c r="L39" s="11"/>
      <c r="M39" s="15"/>
      <c r="N39" s="15"/>
      <c r="O39" s="15"/>
      <c r="P39" s="15"/>
      <c r="Q39" s="15"/>
      <c r="R39" s="15"/>
      <c r="S39" s="15"/>
      <c r="T39" s="15"/>
      <c r="U39" s="15"/>
      <c r="V39" s="15"/>
      <c r="W39" s="15"/>
      <c r="X39" s="15"/>
      <c r="Y39" s="15"/>
      <c r="Z39" s="15"/>
      <c r="AA39" s="15"/>
      <c r="AB39" s="15"/>
      <c r="AC39" s="15"/>
      <c r="AD39" s="15"/>
      <c r="AE39" s="15"/>
      <c r="AF39" s="15"/>
    </row>
    <row r="40" ht="15.75" customHeight="1">
      <c r="A40" s="32" t="s">
        <v>5</v>
      </c>
      <c r="B40" s="233"/>
      <c r="C40" s="33"/>
      <c r="D40" s="8"/>
      <c r="E40" s="195"/>
      <c r="F40" s="8"/>
      <c r="G40" s="34"/>
      <c r="L40" s="11"/>
      <c r="M40" s="15"/>
      <c r="N40" s="15"/>
      <c r="O40" s="15"/>
      <c r="P40" s="15"/>
      <c r="Q40" s="15"/>
      <c r="R40" s="15"/>
      <c r="S40" s="15"/>
      <c r="T40" s="15"/>
      <c r="U40" s="15"/>
      <c r="V40" s="15"/>
      <c r="W40" s="15"/>
      <c r="X40" s="15"/>
      <c r="Y40" s="15"/>
      <c r="Z40" s="15"/>
      <c r="AA40" s="15"/>
      <c r="AB40" s="15"/>
      <c r="AC40" s="15"/>
      <c r="AD40" s="15"/>
      <c r="AE40" s="15"/>
      <c r="AF40" s="15"/>
    </row>
    <row r="41" ht="15.75" customHeight="1">
      <c r="A41" s="32" t="s">
        <v>5</v>
      </c>
      <c r="B41" s="233"/>
      <c r="C41" s="33"/>
      <c r="D41" s="8"/>
      <c r="E41" s="195"/>
      <c r="F41" s="8"/>
      <c r="G41" s="34"/>
      <c r="L41" s="11"/>
      <c r="M41" s="15"/>
      <c r="N41" s="15"/>
      <c r="O41" s="15"/>
      <c r="P41" s="15"/>
      <c r="Q41" s="15"/>
      <c r="R41" s="15"/>
      <c r="S41" s="15"/>
      <c r="T41" s="15"/>
      <c r="U41" s="15"/>
      <c r="V41" s="15"/>
      <c r="W41" s="15"/>
      <c r="X41" s="15"/>
      <c r="Y41" s="15"/>
      <c r="Z41" s="15"/>
      <c r="AA41" s="15"/>
      <c r="AB41" s="15"/>
      <c r="AC41" s="15"/>
      <c r="AD41" s="15"/>
      <c r="AE41" s="15"/>
      <c r="AF41" s="15"/>
    </row>
    <row r="42" ht="15.75" customHeight="1">
      <c r="A42" s="32" t="s">
        <v>5</v>
      </c>
      <c r="B42" s="233"/>
      <c r="C42" s="33"/>
      <c r="D42" s="8"/>
      <c r="E42" s="195"/>
      <c r="F42" s="8"/>
      <c r="G42" s="34"/>
      <c r="L42" s="11"/>
      <c r="M42" s="15"/>
      <c r="N42" s="15"/>
      <c r="O42" s="15"/>
      <c r="P42" s="15"/>
      <c r="Q42" s="15"/>
      <c r="R42" s="15"/>
      <c r="S42" s="15"/>
      <c r="T42" s="15"/>
      <c r="U42" s="15"/>
      <c r="V42" s="15"/>
      <c r="W42" s="15"/>
      <c r="X42" s="15"/>
      <c r="Y42" s="15"/>
      <c r="Z42" s="15"/>
      <c r="AA42" s="15"/>
      <c r="AB42" s="15"/>
      <c r="AC42" s="15"/>
      <c r="AD42" s="15"/>
      <c r="AE42" s="15"/>
      <c r="AF42" s="15"/>
    </row>
    <row r="43" ht="15.75" customHeight="1">
      <c r="A43" s="32" t="s">
        <v>5</v>
      </c>
      <c r="B43" s="233"/>
      <c r="C43" s="33"/>
      <c r="D43" s="8"/>
      <c r="E43" s="234"/>
      <c r="F43" s="8"/>
      <c r="G43" s="34"/>
      <c r="L43" s="11"/>
      <c r="M43" s="15"/>
      <c r="N43" s="15"/>
      <c r="O43" s="15"/>
      <c r="P43" s="15"/>
      <c r="Q43" s="15"/>
      <c r="R43" s="15"/>
      <c r="S43" s="15"/>
      <c r="T43" s="15"/>
      <c r="U43" s="15"/>
      <c r="V43" s="15"/>
      <c r="W43" s="15"/>
      <c r="X43" s="15"/>
      <c r="Y43" s="15"/>
      <c r="Z43" s="15"/>
      <c r="AA43" s="15"/>
      <c r="AB43" s="15"/>
      <c r="AC43" s="15"/>
      <c r="AD43" s="15"/>
      <c r="AE43" s="15"/>
      <c r="AF43" s="15"/>
    </row>
    <row r="44" ht="15.75" customHeight="1">
      <c r="A44" s="32" t="s">
        <v>5</v>
      </c>
      <c r="B44" s="233"/>
      <c r="C44" s="33"/>
      <c r="D44" s="8"/>
      <c r="E44" s="234"/>
      <c r="F44" s="8"/>
      <c r="G44" s="34"/>
      <c r="L44" s="11"/>
      <c r="M44" s="15"/>
      <c r="N44" s="15"/>
      <c r="O44" s="15"/>
      <c r="P44" s="15"/>
      <c r="Q44" s="15"/>
      <c r="R44" s="15"/>
      <c r="S44" s="15"/>
      <c r="T44" s="15"/>
      <c r="U44" s="15"/>
      <c r="V44" s="15"/>
      <c r="W44" s="15"/>
      <c r="X44" s="15"/>
      <c r="Y44" s="15"/>
      <c r="Z44" s="15"/>
      <c r="AA44" s="15"/>
      <c r="AB44" s="15"/>
      <c r="AC44" s="15"/>
      <c r="AD44" s="15"/>
      <c r="AE44" s="15"/>
      <c r="AF44" s="15"/>
    </row>
    <row r="45" ht="15.75" customHeight="1">
      <c r="A45" s="32" t="s">
        <v>5</v>
      </c>
      <c r="B45" s="233"/>
      <c r="C45" s="33"/>
      <c r="D45" s="8"/>
      <c r="E45" s="234"/>
      <c r="F45" s="8"/>
      <c r="G45" s="34"/>
      <c r="H45" s="8"/>
      <c r="I45" s="9"/>
      <c r="J45" s="9"/>
      <c r="K45" s="11"/>
      <c r="L45" s="11"/>
      <c r="M45" s="15"/>
      <c r="N45" s="15"/>
      <c r="O45" s="15"/>
      <c r="P45" s="15"/>
      <c r="Q45" s="15"/>
      <c r="R45" s="15"/>
      <c r="S45" s="15"/>
      <c r="T45" s="15"/>
      <c r="U45" s="15"/>
      <c r="V45" s="15"/>
      <c r="W45" s="15"/>
      <c r="X45" s="15"/>
      <c r="Y45" s="15"/>
      <c r="Z45" s="15"/>
      <c r="AA45" s="15"/>
      <c r="AB45" s="15"/>
      <c r="AC45" s="15"/>
      <c r="AD45" s="15"/>
      <c r="AE45" s="15"/>
      <c r="AF45" s="15"/>
    </row>
    <row r="46" ht="15.75" customHeight="1">
      <c r="A46" s="32" t="s">
        <v>5</v>
      </c>
      <c r="B46" s="233"/>
      <c r="C46" s="33"/>
      <c r="D46" s="8"/>
      <c r="E46" s="195"/>
      <c r="F46" s="8"/>
      <c r="G46" s="34"/>
      <c r="H46" s="8"/>
      <c r="I46" s="9"/>
      <c r="J46" s="9"/>
      <c r="K46" s="11"/>
      <c r="L46" s="11"/>
      <c r="M46" s="15"/>
      <c r="N46" s="15"/>
      <c r="O46" s="15"/>
      <c r="P46" s="15"/>
      <c r="Q46" s="15"/>
      <c r="R46" s="15"/>
      <c r="S46" s="15"/>
      <c r="T46" s="15"/>
      <c r="U46" s="15"/>
      <c r="V46" s="15"/>
      <c r="W46" s="15"/>
      <c r="X46" s="15"/>
      <c r="Y46" s="15"/>
      <c r="Z46" s="15"/>
      <c r="AA46" s="15"/>
      <c r="AB46" s="15"/>
      <c r="AC46" s="15"/>
      <c r="AD46" s="15"/>
      <c r="AE46" s="15"/>
      <c r="AF46" s="15"/>
    </row>
    <row r="47" ht="15.75" customHeight="1">
      <c r="A47" s="32" t="s">
        <v>5</v>
      </c>
      <c r="B47" s="233"/>
      <c r="C47" s="33"/>
      <c r="D47" s="8"/>
      <c r="E47" s="195"/>
      <c r="F47" s="8"/>
      <c r="G47" s="34"/>
      <c r="L47" s="11"/>
      <c r="M47" s="15"/>
      <c r="N47" s="15"/>
      <c r="O47" s="15"/>
      <c r="P47" s="15"/>
      <c r="Q47" s="15"/>
      <c r="R47" s="15"/>
      <c r="S47" s="15"/>
      <c r="T47" s="15"/>
      <c r="U47" s="15"/>
      <c r="V47" s="15"/>
      <c r="W47" s="15"/>
      <c r="X47" s="15"/>
      <c r="Y47" s="15"/>
      <c r="Z47" s="15"/>
      <c r="AA47" s="15"/>
      <c r="AB47" s="15"/>
      <c r="AC47" s="15"/>
      <c r="AD47" s="15"/>
      <c r="AE47" s="15"/>
      <c r="AF47" s="15"/>
    </row>
    <row r="48" ht="15.75" customHeight="1">
      <c r="A48" s="32" t="s">
        <v>5</v>
      </c>
      <c r="B48" s="233"/>
      <c r="C48" s="33"/>
      <c r="D48" s="8"/>
      <c r="E48" s="234"/>
      <c r="F48" s="38"/>
      <c r="G48" s="34"/>
      <c r="L48" s="11"/>
      <c r="M48" s="15"/>
      <c r="N48" s="15"/>
      <c r="O48" s="15"/>
      <c r="P48" s="15"/>
      <c r="Q48" s="15"/>
      <c r="R48" s="15"/>
      <c r="S48" s="15"/>
      <c r="T48" s="15"/>
      <c r="U48" s="15"/>
      <c r="V48" s="15"/>
      <c r="W48" s="15"/>
      <c r="X48" s="15"/>
      <c r="Y48" s="15"/>
      <c r="Z48" s="15"/>
      <c r="AA48" s="15"/>
      <c r="AB48" s="15"/>
      <c r="AC48" s="15"/>
      <c r="AD48" s="15"/>
      <c r="AE48" s="15"/>
      <c r="AF48" s="15"/>
    </row>
    <row r="49" ht="15.75" customHeight="1">
      <c r="A49" s="32" t="s">
        <v>5</v>
      </c>
      <c r="B49" s="233"/>
      <c r="C49" s="33"/>
      <c r="D49" s="8"/>
      <c r="E49" s="234"/>
      <c r="F49" s="28"/>
      <c r="G49" s="34"/>
      <c r="L49" s="11"/>
      <c r="M49" s="15"/>
      <c r="N49" s="15"/>
      <c r="O49" s="15"/>
      <c r="P49" s="15"/>
      <c r="Q49" s="15"/>
      <c r="R49" s="15"/>
      <c r="S49" s="15"/>
      <c r="T49" s="15"/>
      <c r="U49" s="15"/>
      <c r="V49" s="15"/>
      <c r="W49" s="15"/>
      <c r="X49" s="15"/>
      <c r="Y49" s="15"/>
      <c r="Z49" s="15"/>
      <c r="AA49" s="15"/>
      <c r="AB49" s="15"/>
      <c r="AC49" s="15"/>
      <c r="AD49" s="15"/>
      <c r="AE49" s="15"/>
      <c r="AF49" s="15"/>
    </row>
    <row r="50" ht="15.75" customHeight="1">
      <c r="A50" s="32" t="s">
        <v>5</v>
      </c>
      <c r="B50" s="233"/>
      <c r="C50" s="33"/>
      <c r="D50" s="8"/>
      <c r="E50" s="195"/>
      <c r="F50" s="8"/>
      <c r="G50" s="34"/>
      <c r="L50" s="11"/>
      <c r="M50" s="15"/>
      <c r="N50" s="15"/>
      <c r="O50" s="15"/>
      <c r="P50" s="15"/>
      <c r="Q50" s="15"/>
      <c r="R50" s="15"/>
      <c r="S50" s="15"/>
      <c r="T50" s="15"/>
      <c r="U50" s="15"/>
      <c r="V50" s="15"/>
      <c r="W50" s="15"/>
      <c r="X50" s="15"/>
      <c r="Y50" s="15"/>
      <c r="Z50" s="15"/>
      <c r="AA50" s="15"/>
      <c r="AB50" s="15"/>
      <c r="AC50" s="15"/>
      <c r="AD50" s="15"/>
      <c r="AE50" s="15"/>
      <c r="AF50" s="15"/>
    </row>
    <row r="51" ht="15.75" customHeight="1">
      <c r="A51" s="32" t="s">
        <v>5</v>
      </c>
      <c r="B51" s="233"/>
      <c r="C51" s="33"/>
      <c r="D51" s="8"/>
      <c r="E51" s="195"/>
      <c r="F51" s="8"/>
      <c r="G51" s="34"/>
      <c r="H51" s="8"/>
      <c r="I51" s="9"/>
      <c r="J51" s="9"/>
      <c r="K51" s="11"/>
      <c r="L51" s="11"/>
      <c r="M51" s="15"/>
      <c r="N51" s="15"/>
      <c r="O51" s="15"/>
      <c r="P51" s="15"/>
      <c r="Q51" s="15"/>
      <c r="R51" s="15"/>
      <c r="S51" s="15"/>
      <c r="T51" s="15"/>
      <c r="U51" s="15"/>
      <c r="V51" s="15"/>
      <c r="W51" s="15"/>
      <c r="X51" s="15"/>
      <c r="Y51" s="15"/>
      <c r="Z51" s="15"/>
      <c r="AA51" s="15"/>
      <c r="AB51" s="15"/>
      <c r="AC51" s="15"/>
      <c r="AD51" s="15"/>
      <c r="AE51" s="15"/>
      <c r="AF51" s="15"/>
    </row>
    <row r="52" ht="15.75" customHeight="1">
      <c r="A52" s="32" t="s">
        <v>5</v>
      </c>
      <c r="B52" s="233"/>
      <c r="C52" s="33"/>
      <c r="D52" s="8"/>
      <c r="E52" s="234"/>
      <c r="F52" s="8"/>
      <c r="G52" s="288"/>
      <c r="H52" s="8"/>
      <c r="I52" s="9"/>
      <c r="J52" s="9"/>
      <c r="K52" s="11"/>
      <c r="L52" s="11"/>
      <c r="M52" s="15"/>
      <c r="N52" s="15"/>
      <c r="O52" s="15"/>
      <c r="P52" s="15"/>
      <c r="Q52" s="15"/>
      <c r="R52" s="15"/>
      <c r="S52" s="15"/>
      <c r="T52" s="15"/>
      <c r="U52" s="15"/>
      <c r="V52" s="15"/>
      <c r="W52" s="15"/>
      <c r="X52" s="15"/>
      <c r="Y52" s="15"/>
      <c r="Z52" s="15"/>
      <c r="AA52" s="15"/>
      <c r="AB52" s="15"/>
      <c r="AC52" s="15"/>
      <c r="AD52" s="15"/>
      <c r="AE52" s="15"/>
      <c r="AF52" s="15"/>
    </row>
    <row r="53" ht="15.75" customHeight="1">
      <c r="A53" s="32" t="s">
        <v>5</v>
      </c>
      <c r="B53" s="233"/>
      <c r="C53" s="33"/>
      <c r="D53" s="8"/>
      <c r="E53" s="234"/>
      <c r="F53" s="8"/>
      <c r="G53" s="288"/>
      <c r="L53" s="11"/>
      <c r="M53" s="15"/>
      <c r="N53" s="15"/>
      <c r="O53" s="15"/>
      <c r="P53" s="15"/>
      <c r="Q53" s="15"/>
      <c r="R53" s="15"/>
      <c r="S53" s="15"/>
      <c r="T53" s="15"/>
      <c r="U53" s="15"/>
      <c r="V53" s="15"/>
      <c r="W53" s="15"/>
      <c r="X53" s="15"/>
      <c r="Y53" s="15"/>
      <c r="Z53" s="15"/>
      <c r="AA53" s="15"/>
      <c r="AB53" s="15"/>
      <c r="AC53" s="15"/>
      <c r="AD53" s="15"/>
      <c r="AE53" s="15"/>
      <c r="AF53" s="15"/>
    </row>
    <row r="54" ht="15.75" customHeight="1">
      <c r="A54" s="32" t="s">
        <v>5</v>
      </c>
      <c r="B54" s="233"/>
      <c r="C54" s="33"/>
      <c r="D54" s="8"/>
      <c r="E54" s="195"/>
      <c r="F54" s="8"/>
      <c r="G54" s="34"/>
      <c r="L54" s="11"/>
      <c r="M54" s="15"/>
      <c r="N54" s="15"/>
      <c r="O54" s="15"/>
      <c r="P54" s="15"/>
      <c r="Q54" s="15"/>
      <c r="R54" s="15"/>
      <c r="S54" s="15"/>
      <c r="T54" s="15"/>
      <c r="U54" s="15"/>
      <c r="V54" s="15"/>
      <c r="W54" s="15"/>
      <c r="X54" s="15"/>
      <c r="Y54" s="15"/>
      <c r="Z54" s="15"/>
      <c r="AA54" s="15"/>
      <c r="AB54" s="15"/>
      <c r="AC54" s="15"/>
      <c r="AD54" s="15"/>
      <c r="AE54" s="15"/>
      <c r="AF54" s="15"/>
    </row>
    <row r="55" ht="15.75" customHeight="1">
      <c r="A55" s="32" t="s">
        <v>5</v>
      </c>
      <c r="B55" s="233"/>
      <c r="C55" s="33"/>
      <c r="D55" s="8"/>
      <c r="E55" s="195"/>
      <c r="F55" s="8"/>
      <c r="G55" s="34"/>
      <c r="L55" s="11"/>
      <c r="M55" s="15"/>
      <c r="N55" s="15"/>
      <c r="O55" s="15"/>
      <c r="P55" s="15"/>
      <c r="Q55" s="15"/>
      <c r="R55" s="15"/>
      <c r="S55" s="15"/>
      <c r="T55" s="15"/>
      <c r="U55" s="15"/>
      <c r="V55" s="15"/>
      <c r="W55" s="15"/>
      <c r="X55" s="15"/>
      <c r="Y55" s="15"/>
      <c r="Z55" s="15"/>
      <c r="AA55" s="15"/>
      <c r="AB55" s="15"/>
      <c r="AC55" s="15"/>
      <c r="AD55" s="15"/>
      <c r="AE55" s="15"/>
      <c r="AF55" s="15"/>
    </row>
    <row r="56" ht="15.75" customHeight="1">
      <c r="A56" s="32" t="s">
        <v>5</v>
      </c>
      <c r="B56" s="233"/>
      <c r="C56" s="33"/>
      <c r="D56" s="8"/>
      <c r="E56" s="234"/>
      <c r="F56" s="8"/>
      <c r="G56" s="34"/>
      <c r="L56" s="11"/>
      <c r="M56" s="15"/>
      <c r="N56" s="15"/>
      <c r="O56" s="15"/>
      <c r="P56" s="15"/>
      <c r="Q56" s="15"/>
      <c r="R56" s="15"/>
      <c r="S56" s="15"/>
      <c r="T56" s="15"/>
      <c r="U56" s="15"/>
      <c r="V56" s="15"/>
      <c r="W56" s="15"/>
      <c r="X56" s="15"/>
      <c r="Y56" s="15"/>
      <c r="Z56" s="15"/>
      <c r="AA56" s="15"/>
      <c r="AB56" s="15"/>
      <c r="AC56" s="15"/>
      <c r="AD56" s="15"/>
      <c r="AE56" s="15"/>
      <c r="AF56" s="15"/>
    </row>
    <row r="57" ht="15.75" customHeight="1">
      <c r="A57" s="32" t="s">
        <v>5</v>
      </c>
      <c r="B57" s="233"/>
      <c r="C57" s="33"/>
      <c r="D57" s="8"/>
      <c r="E57" s="234"/>
      <c r="F57" s="8"/>
      <c r="G57" s="34"/>
      <c r="H57" s="8"/>
      <c r="I57" s="31"/>
      <c r="J57" s="9"/>
      <c r="K57" s="11"/>
      <c r="L57" s="11"/>
      <c r="M57" s="15"/>
      <c r="N57" s="15"/>
      <c r="O57" s="15"/>
      <c r="P57" s="15"/>
      <c r="Q57" s="15"/>
      <c r="R57" s="15"/>
      <c r="S57" s="15"/>
      <c r="T57" s="15"/>
      <c r="U57" s="15"/>
      <c r="V57" s="15"/>
      <c r="W57" s="15"/>
      <c r="X57" s="15"/>
      <c r="Y57" s="15"/>
      <c r="Z57" s="15"/>
      <c r="AA57" s="15"/>
      <c r="AB57" s="15"/>
      <c r="AC57" s="15"/>
      <c r="AD57" s="15"/>
      <c r="AE57" s="15"/>
      <c r="AF57" s="15"/>
    </row>
    <row r="58" ht="15.75" customHeight="1">
      <c r="A58" s="32" t="s">
        <v>5</v>
      </c>
      <c r="B58" s="233"/>
      <c r="C58" s="33"/>
      <c r="D58" s="8"/>
      <c r="E58" s="234"/>
      <c r="F58" s="38"/>
      <c r="G58" s="34"/>
      <c r="H58" s="38"/>
      <c r="I58" s="31"/>
      <c r="J58" s="9"/>
      <c r="K58" s="11"/>
      <c r="L58" s="11"/>
      <c r="M58" s="15"/>
      <c r="N58" s="15"/>
      <c r="O58" s="15"/>
      <c r="P58" s="15"/>
      <c r="Q58" s="15"/>
      <c r="R58" s="15"/>
      <c r="S58" s="15"/>
      <c r="T58" s="15"/>
      <c r="U58" s="15"/>
      <c r="V58" s="15"/>
      <c r="W58" s="15"/>
      <c r="X58" s="15"/>
      <c r="Y58" s="15"/>
      <c r="Z58" s="15"/>
      <c r="AA58" s="15"/>
      <c r="AB58" s="15"/>
      <c r="AC58" s="15"/>
      <c r="AD58" s="15"/>
      <c r="AE58" s="15"/>
      <c r="AF58" s="15"/>
    </row>
    <row r="59" ht="15.75" customHeight="1">
      <c r="A59" s="32" t="s">
        <v>5</v>
      </c>
      <c r="B59" s="233"/>
      <c r="C59" s="33"/>
      <c r="D59" s="8"/>
      <c r="E59" s="234"/>
      <c r="F59" s="38"/>
      <c r="G59" s="34"/>
      <c r="L59" s="11"/>
      <c r="M59" s="15"/>
      <c r="N59" s="15"/>
      <c r="O59" s="15"/>
      <c r="P59" s="15"/>
      <c r="Q59" s="15"/>
      <c r="R59" s="15"/>
      <c r="S59" s="15"/>
      <c r="T59" s="15"/>
      <c r="U59" s="15"/>
      <c r="V59" s="15"/>
      <c r="W59" s="15"/>
      <c r="X59" s="15"/>
      <c r="Y59" s="15"/>
      <c r="Z59" s="15"/>
      <c r="AA59" s="15"/>
      <c r="AB59" s="15"/>
      <c r="AC59" s="15"/>
      <c r="AD59" s="15"/>
      <c r="AE59" s="15"/>
      <c r="AF59" s="15"/>
    </row>
    <row r="60" ht="15.75" customHeight="1">
      <c r="A60" s="32" t="s">
        <v>5</v>
      </c>
      <c r="B60" s="233"/>
      <c r="C60" s="33"/>
      <c r="D60" s="8"/>
      <c r="E60" s="234"/>
      <c r="F60" s="28"/>
      <c r="G60" s="34"/>
      <c r="L60" s="11"/>
      <c r="M60" s="15"/>
      <c r="N60" s="15"/>
      <c r="O60" s="15"/>
      <c r="P60" s="15"/>
      <c r="Q60" s="15"/>
      <c r="R60" s="15"/>
      <c r="S60" s="15"/>
      <c r="T60" s="15"/>
      <c r="U60" s="15"/>
      <c r="V60" s="15"/>
      <c r="W60" s="15"/>
      <c r="X60" s="15"/>
      <c r="Y60" s="15"/>
      <c r="Z60" s="15"/>
      <c r="AA60" s="15"/>
      <c r="AB60" s="15"/>
      <c r="AC60" s="15"/>
      <c r="AD60" s="15"/>
      <c r="AE60" s="15"/>
      <c r="AF60" s="15"/>
    </row>
    <row r="61" ht="15.75" customHeight="1">
      <c r="A61" s="32" t="s">
        <v>5</v>
      </c>
      <c r="B61" s="233"/>
      <c r="C61" s="39"/>
      <c r="D61" s="8"/>
      <c r="E61" s="195"/>
      <c r="F61" s="8"/>
      <c r="G61" s="34"/>
      <c r="L61" s="11"/>
      <c r="M61" s="15"/>
      <c r="N61" s="15"/>
      <c r="O61" s="15"/>
      <c r="P61" s="15"/>
      <c r="Q61" s="15"/>
      <c r="R61" s="15"/>
      <c r="S61" s="15"/>
      <c r="T61" s="15"/>
      <c r="U61" s="15"/>
      <c r="V61" s="15"/>
      <c r="W61" s="15"/>
      <c r="X61" s="15"/>
      <c r="Y61" s="15"/>
      <c r="Z61" s="15"/>
      <c r="AA61" s="15"/>
      <c r="AB61" s="15"/>
      <c r="AC61" s="15"/>
      <c r="AD61" s="15"/>
      <c r="AE61" s="15"/>
      <c r="AF61" s="15"/>
    </row>
    <row r="62" ht="15.75" customHeight="1">
      <c r="A62" s="32" t="s">
        <v>5</v>
      </c>
      <c r="B62" s="233"/>
      <c r="C62" s="39"/>
      <c r="D62" s="8"/>
      <c r="E62" s="195"/>
      <c r="F62" s="8"/>
      <c r="G62" s="34"/>
      <c r="L62" s="11"/>
      <c r="M62" s="15"/>
      <c r="N62" s="15"/>
      <c r="O62" s="15"/>
      <c r="P62" s="15"/>
      <c r="Q62" s="15"/>
      <c r="R62" s="15"/>
      <c r="S62" s="15"/>
      <c r="T62" s="15"/>
      <c r="U62" s="15"/>
      <c r="V62" s="15"/>
      <c r="W62" s="15"/>
      <c r="X62" s="15"/>
      <c r="Y62" s="15"/>
      <c r="Z62" s="15"/>
      <c r="AA62" s="15"/>
      <c r="AB62" s="15"/>
      <c r="AC62" s="15"/>
      <c r="AD62" s="15"/>
      <c r="AE62" s="15"/>
      <c r="AF62" s="15"/>
    </row>
    <row r="63" ht="15.75" customHeight="1">
      <c r="A63" s="32" t="s">
        <v>5</v>
      </c>
      <c r="B63" s="233"/>
      <c r="C63" s="39"/>
      <c r="D63" s="8"/>
      <c r="E63" s="234"/>
      <c r="F63" s="8"/>
      <c r="G63" s="34"/>
      <c r="L63" s="11"/>
      <c r="M63" s="15"/>
      <c r="N63" s="15"/>
      <c r="O63" s="15"/>
      <c r="P63" s="15"/>
      <c r="Q63" s="15"/>
      <c r="R63" s="15"/>
      <c r="S63" s="15"/>
      <c r="T63" s="15"/>
      <c r="U63" s="15"/>
      <c r="V63" s="15"/>
      <c r="W63" s="15"/>
      <c r="X63" s="15"/>
      <c r="Y63" s="15"/>
      <c r="Z63" s="15"/>
      <c r="AA63" s="15"/>
      <c r="AB63" s="15"/>
      <c r="AC63" s="15"/>
      <c r="AD63" s="15"/>
      <c r="AE63" s="15"/>
      <c r="AF63" s="15"/>
    </row>
    <row r="64" ht="15.75" customHeight="1">
      <c r="A64" s="32" t="s">
        <v>5</v>
      </c>
      <c r="B64" s="233"/>
      <c r="C64" s="39"/>
      <c r="D64" s="8"/>
      <c r="E64" s="234"/>
      <c r="F64" s="8"/>
      <c r="G64" s="34"/>
      <c r="L64" s="11"/>
      <c r="M64" s="15"/>
      <c r="N64" s="15"/>
      <c r="O64" s="15"/>
      <c r="P64" s="15"/>
      <c r="Q64" s="15"/>
      <c r="R64" s="15"/>
      <c r="S64" s="15"/>
      <c r="T64" s="15"/>
      <c r="U64" s="15"/>
      <c r="V64" s="15"/>
      <c r="W64" s="15"/>
      <c r="X64" s="15"/>
      <c r="Y64" s="15"/>
      <c r="Z64" s="15"/>
      <c r="AA64" s="15"/>
      <c r="AB64" s="15"/>
      <c r="AC64" s="15"/>
      <c r="AD64" s="15"/>
      <c r="AE64" s="15"/>
      <c r="AF64" s="15"/>
    </row>
    <row r="65" ht="15.75" customHeight="1">
      <c r="A65" s="32" t="s">
        <v>5</v>
      </c>
      <c r="B65" s="233"/>
      <c r="C65" s="39"/>
      <c r="D65" s="8"/>
      <c r="E65" s="234"/>
      <c r="F65" s="38"/>
      <c r="G65" s="34"/>
      <c r="H65" s="38"/>
      <c r="I65" s="31"/>
      <c r="J65" s="9"/>
      <c r="K65" s="11"/>
      <c r="L65" s="11"/>
      <c r="M65" s="15"/>
      <c r="N65" s="15"/>
      <c r="O65" s="15"/>
      <c r="P65" s="15"/>
      <c r="Q65" s="15"/>
      <c r="R65" s="15"/>
      <c r="S65" s="15"/>
      <c r="T65" s="15"/>
      <c r="U65" s="15"/>
      <c r="V65" s="15"/>
      <c r="W65" s="15"/>
      <c r="X65" s="15"/>
      <c r="Y65" s="15"/>
      <c r="Z65" s="15"/>
      <c r="AA65" s="15"/>
      <c r="AB65" s="15"/>
      <c r="AC65" s="15"/>
      <c r="AD65" s="15"/>
      <c r="AE65" s="15"/>
      <c r="AF65" s="15"/>
    </row>
    <row r="66" ht="15.75" customHeight="1">
      <c r="A66" s="32" t="s">
        <v>5</v>
      </c>
      <c r="B66" s="233"/>
      <c r="C66" s="39"/>
      <c r="D66" s="8"/>
      <c r="E66" s="234"/>
      <c r="F66" s="38"/>
      <c r="G66" s="34"/>
      <c r="H66" s="38"/>
      <c r="I66" s="31"/>
      <c r="J66" s="9"/>
      <c r="K66" s="11"/>
      <c r="L66" s="11"/>
      <c r="M66" s="15"/>
      <c r="N66" s="15"/>
      <c r="O66" s="15"/>
      <c r="P66" s="15"/>
      <c r="Q66" s="15"/>
      <c r="R66" s="15"/>
      <c r="S66" s="15"/>
      <c r="T66" s="15"/>
      <c r="U66" s="15"/>
      <c r="V66" s="15"/>
      <c r="W66" s="15"/>
      <c r="X66" s="15"/>
      <c r="Y66" s="15"/>
      <c r="Z66" s="15"/>
      <c r="AA66" s="15"/>
      <c r="AB66" s="15"/>
      <c r="AC66" s="15"/>
      <c r="AD66" s="15"/>
      <c r="AE66" s="15"/>
      <c r="AF66" s="15"/>
    </row>
    <row r="67" ht="15.75" customHeight="1">
      <c r="A67" s="32" t="s">
        <v>5</v>
      </c>
      <c r="B67" s="233"/>
      <c r="C67" s="39"/>
      <c r="D67" s="8"/>
      <c r="E67" s="234"/>
      <c r="F67" s="28"/>
      <c r="G67" s="34"/>
      <c r="L67" s="11"/>
      <c r="M67" s="15"/>
      <c r="N67" s="15"/>
      <c r="O67" s="15"/>
      <c r="P67" s="15"/>
      <c r="Q67" s="15"/>
      <c r="R67" s="15"/>
      <c r="S67" s="15"/>
      <c r="T67" s="15"/>
      <c r="U67" s="15"/>
      <c r="V67" s="15"/>
      <c r="W67" s="15"/>
      <c r="X67" s="15"/>
      <c r="Y67" s="15"/>
      <c r="Z67" s="15"/>
      <c r="AA67" s="15"/>
      <c r="AB67" s="15"/>
      <c r="AC67" s="15"/>
      <c r="AD67" s="15"/>
      <c r="AE67" s="15"/>
      <c r="AF67" s="15"/>
    </row>
    <row r="68" ht="15.75" customHeight="1">
      <c r="A68" s="32" t="s">
        <v>5</v>
      </c>
      <c r="B68" s="233"/>
      <c r="C68" s="39"/>
      <c r="D68" s="8"/>
      <c r="E68" s="195"/>
      <c r="F68" s="8"/>
      <c r="G68" s="34"/>
      <c r="L68" s="11"/>
      <c r="M68" s="15"/>
      <c r="N68" s="15"/>
      <c r="O68" s="15"/>
      <c r="P68" s="15"/>
      <c r="Q68" s="15"/>
      <c r="R68" s="15"/>
      <c r="S68" s="15"/>
      <c r="T68" s="15"/>
      <c r="U68" s="15"/>
      <c r="V68" s="15"/>
      <c r="W68" s="15"/>
      <c r="X68" s="15"/>
      <c r="Y68" s="15"/>
      <c r="Z68" s="15"/>
      <c r="AA68" s="15"/>
      <c r="AB68" s="15"/>
      <c r="AC68" s="15"/>
      <c r="AD68" s="15"/>
      <c r="AE68" s="15"/>
      <c r="AF68" s="15"/>
    </row>
    <row r="69" ht="15.75" customHeight="1">
      <c r="A69" s="32" t="s">
        <v>5</v>
      </c>
      <c r="B69" s="233"/>
      <c r="C69" s="39"/>
      <c r="D69" s="8"/>
      <c r="E69" s="195"/>
      <c r="F69" s="8"/>
      <c r="G69" s="34"/>
      <c r="L69" s="11"/>
      <c r="M69" s="15"/>
      <c r="N69" s="15"/>
      <c r="O69" s="15"/>
      <c r="P69" s="15"/>
      <c r="Q69" s="15"/>
      <c r="R69" s="15"/>
      <c r="S69" s="15"/>
      <c r="T69" s="15"/>
      <c r="U69" s="15"/>
      <c r="V69" s="15"/>
      <c r="W69" s="15"/>
      <c r="X69" s="15"/>
      <c r="Y69" s="15"/>
      <c r="Z69" s="15"/>
      <c r="AA69" s="15"/>
      <c r="AB69" s="15"/>
      <c r="AC69" s="15"/>
      <c r="AD69" s="15"/>
      <c r="AE69" s="15"/>
      <c r="AF69" s="15"/>
    </row>
    <row r="70" ht="15.75" customHeight="1">
      <c r="A70" s="32" t="s">
        <v>5</v>
      </c>
      <c r="B70" s="233"/>
      <c r="C70" s="39"/>
      <c r="D70" s="8"/>
      <c r="E70" s="195"/>
      <c r="F70" s="8"/>
      <c r="G70" s="34"/>
      <c r="H70" s="8"/>
      <c r="I70" s="9"/>
      <c r="J70" s="9"/>
      <c r="K70" s="11"/>
      <c r="L70" s="11"/>
      <c r="M70" s="15"/>
      <c r="N70" s="15"/>
      <c r="O70" s="15"/>
      <c r="P70" s="15"/>
      <c r="Q70" s="15"/>
      <c r="R70" s="15"/>
      <c r="S70" s="15"/>
      <c r="T70" s="15"/>
      <c r="U70" s="15"/>
      <c r="V70" s="15"/>
      <c r="W70" s="15"/>
      <c r="X70" s="15"/>
      <c r="Y70" s="15"/>
      <c r="Z70" s="15"/>
      <c r="AA70" s="15"/>
      <c r="AB70" s="15"/>
      <c r="AC70" s="15"/>
      <c r="AD70" s="15"/>
      <c r="AE70" s="15"/>
      <c r="AF70" s="15"/>
    </row>
    <row r="71" ht="15.75" customHeight="1">
      <c r="A71" s="32" t="s">
        <v>5</v>
      </c>
      <c r="B71" s="233"/>
      <c r="C71" s="39"/>
      <c r="D71" s="8"/>
      <c r="E71" s="195"/>
      <c r="F71" s="8"/>
      <c r="G71" s="34"/>
      <c r="L71" s="11"/>
      <c r="M71" s="15"/>
      <c r="N71" s="15"/>
      <c r="O71" s="15"/>
      <c r="P71" s="15"/>
      <c r="Q71" s="15"/>
      <c r="R71" s="15"/>
      <c r="S71" s="15"/>
      <c r="T71" s="15"/>
      <c r="U71" s="15"/>
      <c r="V71" s="15"/>
      <c r="W71" s="15"/>
      <c r="X71" s="15"/>
      <c r="Y71" s="15"/>
      <c r="Z71" s="15"/>
      <c r="AA71" s="15"/>
      <c r="AB71" s="15"/>
      <c r="AC71" s="15"/>
      <c r="AD71" s="15"/>
      <c r="AE71" s="15"/>
      <c r="AF71" s="15"/>
    </row>
    <row r="72" ht="15.75" customHeight="1">
      <c r="A72" s="32" t="s">
        <v>5</v>
      </c>
      <c r="B72" s="233"/>
      <c r="C72" s="39"/>
      <c r="D72" s="8"/>
      <c r="E72" s="195"/>
      <c r="F72" s="8"/>
      <c r="G72" s="34"/>
      <c r="L72" s="11"/>
      <c r="M72" s="15"/>
      <c r="N72" s="15"/>
      <c r="O72" s="15"/>
      <c r="P72" s="15"/>
      <c r="Q72" s="15"/>
      <c r="R72" s="15"/>
      <c r="S72" s="15"/>
      <c r="T72" s="15"/>
      <c r="U72" s="15"/>
      <c r="V72" s="15"/>
      <c r="W72" s="15"/>
      <c r="X72" s="15"/>
      <c r="Y72" s="15"/>
      <c r="Z72" s="15"/>
      <c r="AA72" s="15"/>
      <c r="AB72" s="15"/>
      <c r="AC72" s="15"/>
      <c r="AD72" s="15"/>
      <c r="AE72" s="15"/>
      <c r="AF72" s="15"/>
    </row>
    <row r="73" ht="15.75" customHeight="1">
      <c r="A73" s="32" t="s">
        <v>5</v>
      </c>
      <c r="B73" s="233"/>
      <c r="C73" s="39"/>
      <c r="D73" s="8"/>
      <c r="E73" s="195"/>
      <c r="F73" s="8"/>
      <c r="G73" s="34"/>
      <c r="L73" s="11"/>
      <c r="M73" s="15"/>
      <c r="N73" s="15"/>
      <c r="O73" s="15"/>
      <c r="P73" s="15"/>
      <c r="Q73" s="15"/>
      <c r="R73" s="15"/>
      <c r="S73" s="15"/>
      <c r="T73" s="15"/>
      <c r="U73" s="15"/>
      <c r="V73" s="15"/>
      <c r="W73" s="15"/>
      <c r="X73" s="15"/>
      <c r="Y73" s="15"/>
      <c r="Z73" s="15"/>
      <c r="AA73" s="15"/>
      <c r="AB73" s="15"/>
      <c r="AC73" s="15"/>
      <c r="AD73" s="15"/>
      <c r="AE73" s="15"/>
      <c r="AF73" s="15"/>
    </row>
    <row r="74" ht="15.75" customHeight="1">
      <c r="A74" s="32" t="s">
        <v>5</v>
      </c>
      <c r="B74" s="233"/>
      <c r="C74" s="39"/>
      <c r="D74" s="8"/>
      <c r="E74" s="195"/>
      <c r="F74" s="8"/>
      <c r="G74" s="34"/>
      <c r="L74" s="11"/>
      <c r="M74" s="15"/>
      <c r="N74" s="15"/>
      <c r="O74" s="15"/>
      <c r="P74" s="15"/>
      <c r="Q74" s="15"/>
      <c r="R74" s="15"/>
      <c r="S74" s="15"/>
      <c r="T74" s="15"/>
      <c r="U74" s="15"/>
      <c r="V74" s="15"/>
      <c r="W74" s="15"/>
      <c r="X74" s="15"/>
      <c r="Y74" s="15"/>
      <c r="Z74" s="15"/>
      <c r="AA74" s="15"/>
      <c r="AB74" s="15"/>
      <c r="AC74" s="15"/>
      <c r="AD74" s="15"/>
      <c r="AE74" s="15"/>
      <c r="AF74" s="15"/>
    </row>
    <row r="75" ht="15.75" customHeight="1">
      <c r="A75" s="32" t="s">
        <v>5</v>
      </c>
      <c r="B75" s="233"/>
      <c r="C75" s="39"/>
      <c r="D75" s="8"/>
      <c r="E75" s="234"/>
      <c r="F75" s="8"/>
      <c r="G75" s="34"/>
      <c r="L75" s="11"/>
      <c r="M75" s="15"/>
      <c r="N75" s="15"/>
      <c r="O75" s="15"/>
      <c r="P75" s="15"/>
      <c r="Q75" s="15"/>
      <c r="R75" s="15"/>
      <c r="S75" s="15"/>
      <c r="T75" s="15"/>
      <c r="U75" s="15"/>
      <c r="V75" s="15"/>
      <c r="W75" s="15"/>
      <c r="X75" s="15"/>
      <c r="Y75" s="15"/>
      <c r="Z75" s="15"/>
      <c r="AA75" s="15"/>
      <c r="AB75" s="15"/>
      <c r="AC75" s="15"/>
      <c r="AD75" s="15"/>
      <c r="AE75" s="15"/>
      <c r="AF75" s="15"/>
    </row>
    <row r="76" ht="15.75" customHeight="1">
      <c r="A76" s="32" t="s">
        <v>5</v>
      </c>
      <c r="B76" s="233"/>
      <c r="C76" s="39"/>
      <c r="D76" s="8"/>
      <c r="E76" s="234"/>
      <c r="F76" s="8"/>
      <c r="G76" s="34"/>
      <c r="H76" s="8"/>
      <c r="I76" s="31"/>
      <c r="J76" s="9"/>
      <c r="K76" s="11"/>
      <c r="L76" s="11"/>
      <c r="M76" s="15"/>
      <c r="N76" s="15"/>
      <c r="O76" s="15"/>
      <c r="P76" s="15"/>
      <c r="Q76" s="15"/>
      <c r="R76" s="15"/>
      <c r="S76" s="15"/>
      <c r="T76" s="15"/>
      <c r="U76" s="15"/>
      <c r="V76" s="15"/>
      <c r="W76" s="15"/>
      <c r="X76" s="15"/>
      <c r="Y76" s="15"/>
      <c r="Z76" s="15"/>
      <c r="AA76" s="15"/>
      <c r="AB76" s="15"/>
      <c r="AC76" s="15"/>
      <c r="AD76" s="15"/>
      <c r="AE76" s="15"/>
      <c r="AF76" s="15"/>
    </row>
    <row r="77" ht="15.75" customHeight="1">
      <c r="A77" s="32" t="s">
        <v>5</v>
      </c>
      <c r="B77" s="233"/>
      <c r="C77" s="39"/>
      <c r="D77" s="8"/>
      <c r="E77" s="234"/>
      <c r="F77" s="38"/>
      <c r="G77" s="236"/>
      <c r="L77" s="11"/>
      <c r="M77" s="15"/>
      <c r="N77" s="15"/>
      <c r="O77" s="15"/>
      <c r="P77" s="15"/>
      <c r="Q77" s="15"/>
      <c r="R77" s="15"/>
      <c r="S77" s="15"/>
      <c r="T77" s="15"/>
      <c r="U77" s="15"/>
      <c r="V77" s="15"/>
      <c r="W77" s="15"/>
      <c r="X77" s="15"/>
      <c r="Y77" s="15"/>
      <c r="Z77" s="15"/>
      <c r="AA77" s="15"/>
      <c r="AB77" s="15"/>
      <c r="AC77" s="15"/>
      <c r="AD77" s="15"/>
      <c r="AE77" s="15"/>
      <c r="AF77" s="15"/>
    </row>
    <row r="78" ht="15.75" customHeight="1">
      <c r="A78" s="32" t="s">
        <v>5</v>
      </c>
      <c r="B78" s="233"/>
      <c r="C78" s="39"/>
      <c r="D78" s="8"/>
      <c r="E78" s="234"/>
      <c r="F78" s="38"/>
      <c r="G78" s="34"/>
      <c r="L78" s="11"/>
      <c r="M78" s="15"/>
      <c r="N78" s="15"/>
      <c r="O78" s="15"/>
      <c r="P78" s="15"/>
      <c r="Q78" s="15"/>
      <c r="R78" s="15"/>
      <c r="S78" s="15"/>
      <c r="T78" s="15"/>
      <c r="U78" s="15"/>
      <c r="V78" s="15"/>
      <c r="W78" s="15"/>
      <c r="X78" s="15"/>
      <c r="Y78" s="15"/>
      <c r="Z78" s="15"/>
      <c r="AA78" s="15"/>
      <c r="AB78" s="15"/>
      <c r="AC78" s="15"/>
      <c r="AD78" s="15"/>
      <c r="AE78" s="15"/>
      <c r="AF78" s="15"/>
    </row>
    <row r="79" ht="15.75" customHeight="1">
      <c r="A79" s="32" t="s">
        <v>5</v>
      </c>
      <c r="B79" s="233"/>
      <c r="C79" s="39"/>
      <c r="D79" s="8"/>
      <c r="E79" s="234"/>
      <c r="F79" s="28"/>
      <c r="G79" s="34"/>
      <c r="L79" s="11"/>
      <c r="M79" s="15"/>
      <c r="N79" s="15"/>
      <c r="O79" s="15"/>
      <c r="P79" s="15"/>
      <c r="Q79" s="15"/>
      <c r="R79" s="15"/>
      <c r="S79" s="15"/>
      <c r="T79" s="15"/>
      <c r="U79" s="15"/>
      <c r="V79" s="15"/>
      <c r="W79" s="15"/>
      <c r="X79" s="15"/>
      <c r="Y79" s="15"/>
      <c r="Z79" s="15"/>
      <c r="AA79" s="15"/>
      <c r="AB79" s="15"/>
      <c r="AC79" s="15"/>
      <c r="AD79" s="15"/>
      <c r="AE79" s="15"/>
      <c r="AF79" s="15"/>
    </row>
    <row r="80" ht="15.75" customHeight="1">
      <c r="A80" s="32" t="s">
        <v>5</v>
      </c>
      <c r="B80" s="233"/>
      <c r="C80" s="39"/>
      <c r="D80" s="8"/>
      <c r="E80" s="195"/>
      <c r="F80" s="8"/>
      <c r="G80" s="34"/>
      <c r="L80" s="11"/>
      <c r="M80" s="15"/>
      <c r="N80" s="15"/>
      <c r="O80" s="15"/>
      <c r="P80" s="15"/>
      <c r="Q80" s="15"/>
      <c r="R80" s="15"/>
      <c r="S80" s="15"/>
      <c r="T80" s="15"/>
      <c r="U80" s="15"/>
      <c r="V80" s="15"/>
      <c r="W80" s="15"/>
      <c r="X80" s="15"/>
      <c r="Y80" s="15"/>
      <c r="Z80" s="15"/>
      <c r="AA80" s="15"/>
      <c r="AB80" s="15"/>
      <c r="AC80" s="15"/>
      <c r="AD80" s="15"/>
      <c r="AE80" s="15"/>
      <c r="AF80" s="15"/>
    </row>
    <row r="81" ht="15.75" customHeight="1">
      <c r="A81" s="32" t="s">
        <v>5</v>
      </c>
      <c r="B81" s="233"/>
      <c r="C81" s="39"/>
      <c r="D81" s="8"/>
      <c r="E81" s="195"/>
      <c r="F81" s="8"/>
      <c r="G81" s="34"/>
      <c r="L81" s="11"/>
      <c r="M81" s="15"/>
      <c r="N81" s="15"/>
      <c r="O81" s="15"/>
      <c r="P81" s="15"/>
      <c r="Q81" s="15"/>
      <c r="R81" s="15"/>
      <c r="S81" s="15"/>
      <c r="T81" s="15"/>
      <c r="U81" s="15"/>
      <c r="V81" s="15"/>
      <c r="W81" s="15"/>
      <c r="X81" s="15"/>
      <c r="Y81" s="15"/>
      <c r="Z81" s="15"/>
      <c r="AA81" s="15"/>
      <c r="AB81" s="15"/>
      <c r="AC81" s="15"/>
      <c r="AD81" s="15"/>
      <c r="AE81" s="15"/>
      <c r="AF81" s="15"/>
    </row>
    <row r="82" ht="15.75" customHeight="1">
      <c r="A82" s="32" t="s">
        <v>5</v>
      </c>
      <c r="B82" s="233"/>
      <c r="C82" s="39"/>
      <c r="D82" s="8"/>
      <c r="E82" s="195"/>
      <c r="F82" s="8"/>
      <c r="G82" s="34"/>
      <c r="L82" s="11"/>
      <c r="M82" s="15"/>
      <c r="N82" s="15"/>
      <c r="O82" s="15"/>
      <c r="P82" s="15"/>
      <c r="Q82" s="15"/>
      <c r="R82" s="15"/>
      <c r="S82" s="15"/>
      <c r="T82" s="15"/>
      <c r="U82" s="15"/>
      <c r="V82" s="15"/>
      <c r="W82" s="15"/>
      <c r="X82" s="15"/>
      <c r="Y82" s="15"/>
      <c r="Z82" s="15"/>
      <c r="AA82" s="15"/>
      <c r="AB82" s="15"/>
      <c r="AC82" s="15"/>
      <c r="AD82" s="15"/>
      <c r="AE82" s="15"/>
      <c r="AF82" s="15"/>
    </row>
    <row r="83" ht="15.75" customHeight="1">
      <c r="A83" s="32" t="s">
        <v>5</v>
      </c>
      <c r="B83" s="233"/>
      <c r="C83" s="39"/>
      <c r="D83" s="8"/>
      <c r="E83" s="195"/>
      <c r="F83" s="8"/>
      <c r="G83" s="34"/>
      <c r="L83" s="11"/>
      <c r="M83" s="15"/>
      <c r="N83" s="15"/>
      <c r="O83" s="15"/>
      <c r="P83" s="15"/>
      <c r="Q83" s="15"/>
      <c r="R83" s="15"/>
      <c r="S83" s="15"/>
      <c r="T83" s="15"/>
      <c r="U83" s="15"/>
      <c r="V83" s="15"/>
      <c r="W83" s="15"/>
      <c r="X83" s="15"/>
      <c r="Y83" s="15"/>
      <c r="Z83" s="15"/>
      <c r="AA83" s="15"/>
      <c r="AB83" s="15"/>
      <c r="AC83" s="15"/>
      <c r="AD83" s="15"/>
      <c r="AE83" s="15"/>
      <c r="AF83" s="15"/>
    </row>
    <row r="84" ht="15.75" customHeight="1">
      <c r="A84" s="32" t="s">
        <v>5</v>
      </c>
      <c r="B84" s="233"/>
      <c r="C84" s="39"/>
      <c r="D84" s="8"/>
      <c r="E84" s="195"/>
      <c r="F84" s="8"/>
      <c r="G84" s="34"/>
      <c r="L84" s="11"/>
      <c r="M84" s="15"/>
      <c r="N84" s="15"/>
      <c r="O84" s="15"/>
      <c r="P84" s="15"/>
      <c r="Q84" s="15"/>
      <c r="R84" s="15"/>
      <c r="S84" s="15"/>
      <c r="T84" s="15"/>
      <c r="U84" s="15"/>
      <c r="V84" s="15"/>
      <c r="W84" s="15"/>
      <c r="X84" s="15"/>
      <c r="Y84" s="15"/>
      <c r="Z84" s="15"/>
      <c r="AA84" s="15"/>
      <c r="AB84" s="15"/>
      <c r="AC84" s="15"/>
      <c r="AD84" s="15"/>
      <c r="AE84" s="15"/>
      <c r="AF84" s="15"/>
    </row>
    <row r="85" ht="15.75" customHeight="1">
      <c r="A85" s="32" t="s">
        <v>5</v>
      </c>
      <c r="B85" s="233"/>
      <c r="C85" s="39"/>
      <c r="D85" s="8"/>
      <c r="E85" s="195"/>
      <c r="F85" s="8"/>
      <c r="G85" s="34"/>
      <c r="L85" s="11"/>
      <c r="M85" s="15"/>
      <c r="N85" s="15"/>
      <c r="O85" s="15"/>
      <c r="P85" s="15"/>
      <c r="Q85" s="15"/>
      <c r="R85" s="15"/>
      <c r="S85" s="15"/>
      <c r="T85" s="15"/>
      <c r="U85" s="15"/>
      <c r="V85" s="15"/>
      <c r="W85" s="15"/>
      <c r="X85" s="15"/>
      <c r="Y85" s="15"/>
      <c r="Z85" s="15"/>
      <c r="AA85" s="15"/>
      <c r="AB85" s="15"/>
      <c r="AC85" s="15"/>
      <c r="AD85" s="15"/>
      <c r="AE85" s="15"/>
      <c r="AF85" s="15"/>
    </row>
    <row r="86" ht="15.75" customHeight="1">
      <c r="A86" s="32" t="s">
        <v>5</v>
      </c>
      <c r="B86" s="233"/>
      <c r="C86" s="39"/>
      <c r="D86" s="8"/>
      <c r="E86" s="195"/>
      <c r="F86" s="8"/>
      <c r="G86" s="34"/>
      <c r="L86" s="11"/>
      <c r="M86" s="15"/>
      <c r="N86" s="15"/>
      <c r="O86" s="15"/>
      <c r="P86" s="15"/>
      <c r="Q86" s="15"/>
      <c r="R86" s="15"/>
      <c r="S86" s="15"/>
      <c r="T86" s="15"/>
      <c r="U86" s="15"/>
      <c r="V86" s="15"/>
      <c r="W86" s="15"/>
      <c r="X86" s="15"/>
      <c r="Y86" s="15"/>
      <c r="Z86" s="15"/>
      <c r="AA86" s="15"/>
      <c r="AB86" s="15"/>
      <c r="AC86" s="15"/>
      <c r="AD86" s="15"/>
      <c r="AE86" s="15"/>
      <c r="AF86" s="15"/>
    </row>
    <row r="87" ht="15.75" customHeight="1">
      <c r="A87" s="32" t="s">
        <v>5</v>
      </c>
      <c r="B87" s="233"/>
      <c r="C87" s="39"/>
      <c r="D87" s="8"/>
      <c r="E87" s="234"/>
      <c r="F87" s="8"/>
      <c r="G87" s="34"/>
      <c r="L87" s="11"/>
      <c r="M87" s="15"/>
      <c r="N87" s="15"/>
      <c r="O87" s="15"/>
      <c r="P87" s="15"/>
      <c r="Q87" s="15"/>
      <c r="R87" s="15"/>
      <c r="S87" s="15"/>
      <c r="T87" s="15"/>
      <c r="U87" s="15"/>
      <c r="V87" s="15"/>
      <c r="W87" s="15"/>
      <c r="X87" s="15"/>
      <c r="Y87" s="15"/>
      <c r="Z87" s="15"/>
      <c r="AA87" s="15"/>
      <c r="AB87" s="15"/>
      <c r="AC87" s="15"/>
      <c r="AD87" s="15"/>
      <c r="AE87" s="15"/>
      <c r="AF87" s="15"/>
    </row>
    <row r="88" ht="15.75" customHeight="1">
      <c r="A88" s="32" t="s">
        <v>5</v>
      </c>
      <c r="B88" s="233"/>
      <c r="C88" s="39"/>
      <c r="D88" s="8"/>
      <c r="E88" s="234"/>
      <c r="F88" s="8"/>
      <c r="G88" s="34"/>
      <c r="H88" s="8"/>
      <c r="I88" s="31"/>
      <c r="J88" s="9"/>
      <c r="K88" s="11"/>
      <c r="L88" s="11"/>
      <c r="M88" s="15"/>
      <c r="N88" s="15"/>
      <c r="O88" s="15"/>
      <c r="P88" s="15"/>
      <c r="Q88" s="15"/>
      <c r="R88" s="15"/>
      <c r="S88" s="15"/>
      <c r="T88" s="15"/>
      <c r="U88" s="15"/>
      <c r="V88" s="15"/>
      <c r="W88" s="15"/>
      <c r="X88" s="15"/>
      <c r="Y88" s="15"/>
      <c r="Z88" s="15"/>
      <c r="AA88" s="15"/>
      <c r="AB88" s="15"/>
      <c r="AC88" s="15"/>
      <c r="AD88" s="15"/>
      <c r="AE88" s="15"/>
      <c r="AF88" s="15"/>
    </row>
    <row r="89" ht="15.75" customHeight="1">
      <c r="A89" s="32" t="s">
        <v>5</v>
      </c>
      <c r="B89" s="233"/>
      <c r="C89" s="39"/>
      <c r="D89" s="8"/>
      <c r="E89" s="234"/>
      <c r="F89" s="38"/>
      <c r="G89" s="34"/>
      <c r="L89" s="11"/>
      <c r="M89" s="15"/>
      <c r="N89" s="15"/>
      <c r="O89" s="15"/>
      <c r="P89" s="15"/>
      <c r="Q89" s="15"/>
      <c r="R89" s="15"/>
      <c r="S89" s="15"/>
      <c r="T89" s="15"/>
      <c r="U89" s="15"/>
      <c r="V89" s="15"/>
      <c r="W89" s="15"/>
      <c r="X89" s="15"/>
      <c r="Y89" s="15"/>
      <c r="Z89" s="15"/>
      <c r="AA89" s="15"/>
      <c r="AB89" s="15"/>
      <c r="AC89" s="15"/>
      <c r="AD89" s="15"/>
      <c r="AE89" s="15"/>
      <c r="AF89" s="15"/>
    </row>
    <row r="90" ht="15.75" customHeight="1">
      <c r="A90" s="32" t="s">
        <v>5</v>
      </c>
      <c r="B90" s="233"/>
      <c r="C90" s="39"/>
      <c r="D90" s="8"/>
      <c r="E90" s="234"/>
      <c r="F90" s="38"/>
      <c r="G90" s="34"/>
      <c r="L90" s="11"/>
      <c r="M90" s="15"/>
      <c r="N90" s="15"/>
      <c r="O90" s="15"/>
      <c r="P90" s="15"/>
      <c r="Q90" s="15"/>
      <c r="R90" s="15"/>
      <c r="S90" s="15"/>
      <c r="T90" s="15"/>
      <c r="U90" s="15"/>
      <c r="V90" s="15"/>
      <c r="W90" s="15"/>
      <c r="X90" s="15"/>
      <c r="Y90" s="15"/>
      <c r="Z90" s="15"/>
      <c r="AA90" s="15"/>
      <c r="AB90" s="15"/>
      <c r="AC90" s="15"/>
      <c r="AD90" s="15"/>
      <c r="AE90" s="15"/>
      <c r="AF90" s="15"/>
    </row>
    <row r="91" ht="15.75" customHeight="1">
      <c r="A91" s="32" t="s">
        <v>5</v>
      </c>
      <c r="B91" s="233"/>
      <c r="C91" s="39"/>
      <c r="D91" s="8"/>
      <c r="E91" s="234"/>
      <c r="F91" s="28"/>
      <c r="G91" s="34"/>
      <c r="L91" s="11"/>
      <c r="M91" s="15"/>
      <c r="N91" s="15"/>
      <c r="O91" s="15"/>
      <c r="P91" s="15"/>
      <c r="Q91" s="15"/>
      <c r="R91" s="15"/>
      <c r="S91" s="15"/>
      <c r="T91" s="15"/>
      <c r="U91" s="15"/>
      <c r="V91" s="15"/>
      <c r="W91" s="15"/>
      <c r="X91" s="15"/>
      <c r="Y91" s="15"/>
      <c r="Z91" s="15"/>
      <c r="AA91" s="15"/>
      <c r="AB91" s="15"/>
      <c r="AC91" s="15"/>
      <c r="AD91" s="15"/>
      <c r="AE91" s="15"/>
      <c r="AF91" s="15"/>
    </row>
    <row r="92" ht="15.75" customHeight="1">
      <c r="A92" s="32" t="s">
        <v>5</v>
      </c>
      <c r="B92" s="233"/>
      <c r="C92" s="39"/>
      <c r="D92" s="8"/>
      <c r="E92" s="195"/>
      <c r="F92" s="8"/>
      <c r="G92" s="34"/>
      <c r="L92" s="11"/>
      <c r="M92" s="15"/>
      <c r="N92" s="15"/>
      <c r="O92" s="15"/>
      <c r="P92" s="15"/>
      <c r="Q92" s="15"/>
      <c r="R92" s="15"/>
      <c r="S92" s="15"/>
      <c r="T92" s="15"/>
      <c r="U92" s="15"/>
      <c r="V92" s="15"/>
      <c r="W92" s="15"/>
      <c r="X92" s="15"/>
      <c r="Y92" s="15"/>
      <c r="Z92" s="15"/>
      <c r="AA92" s="15"/>
      <c r="AB92" s="15"/>
      <c r="AC92" s="15"/>
      <c r="AD92" s="15"/>
      <c r="AE92" s="15"/>
      <c r="AF92" s="15"/>
    </row>
    <row r="93" ht="15.75" customHeight="1">
      <c r="A93" s="32" t="s">
        <v>5</v>
      </c>
      <c r="B93" s="233"/>
      <c r="C93" s="39"/>
      <c r="D93" s="8"/>
      <c r="E93" s="195"/>
      <c r="F93" s="8"/>
      <c r="G93" s="34"/>
      <c r="L93" s="11"/>
      <c r="M93" s="15"/>
      <c r="N93" s="15"/>
      <c r="O93" s="15"/>
      <c r="P93" s="15"/>
      <c r="Q93" s="15"/>
      <c r="R93" s="15"/>
      <c r="S93" s="15"/>
      <c r="T93" s="15"/>
      <c r="U93" s="15"/>
      <c r="V93" s="15"/>
      <c r="W93" s="15"/>
      <c r="X93" s="15"/>
      <c r="Y93" s="15"/>
      <c r="Z93" s="15"/>
      <c r="AA93" s="15"/>
      <c r="AB93" s="15"/>
      <c r="AC93" s="15"/>
      <c r="AD93" s="15"/>
      <c r="AE93" s="15"/>
      <c r="AF93" s="15"/>
    </row>
    <row r="94" ht="15.75" customHeight="1">
      <c r="A94" s="32" t="s">
        <v>5</v>
      </c>
      <c r="B94" s="233"/>
      <c r="C94" s="39"/>
      <c r="D94" s="8"/>
      <c r="E94" s="195"/>
      <c r="F94" s="8"/>
      <c r="G94" s="34"/>
      <c r="H94" s="8"/>
      <c r="I94" s="9"/>
      <c r="J94" s="9"/>
      <c r="K94" s="11"/>
      <c r="L94" s="11"/>
      <c r="M94" s="15"/>
      <c r="N94" s="15"/>
      <c r="O94" s="15"/>
      <c r="P94" s="15"/>
      <c r="Q94" s="15"/>
      <c r="R94" s="15"/>
      <c r="S94" s="15"/>
      <c r="T94" s="15"/>
      <c r="U94" s="15"/>
      <c r="V94" s="15"/>
      <c r="W94" s="15"/>
      <c r="X94" s="15"/>
      <c r="Y94" s="15"/>
      <c r="Z94" s="15"/>
      <c r="AA94" s="15"/>
      <c r="AB94" s="15"/>
      <c r="AC94" s="15"/>
      <c r="AD94" s="15"/>
      <c r="AE94" s="15"/>
      <c r="AF94" s="15"/>
    </row>
    <row r="95" ht="15.75" customHeight="1">
      <c r="A95" s="32" t="s">
        <v>5</v>
      </c>
      <c r="B95" s="233"/>
      <c r="C95" s="39"/>
      <c r="D95" s="8"/>
      <c r="E95" s="195"/>
      <c r="F95" s="8"/>
      <c r="G95" s="34"/>
      <c r="L95" s="11"/>
      <c r="M95" s="15"/>
      <c r="N95" s="15"/>
      <c r="O95" s="15"/>
      <c r="P95" s="15"/>
      <c r="Q95" s="15"/>
      <c r="R95" s="15"/>
      <c r="S95" s="15"/>
      <c r="T95" s="15"/>
      <c r="U95" s="15"/>
      <c r="V95" s="15"/>
      <c r="W95" s="15"/>
      <c r="X95" s="15"/>
      <c r="Y95" s="15"/>
      <c r="Z95" s="15"/>
      <c r="AA95" s="15"/>
      <c r="AB95" s="15"/>
      <c r="AC95" s="15"/>
      <c r="AD95" s="15"/>
      <c r="AE95" s="15"/>
      <c r="AF95" s="15"/>
    </row>
    <row r="96" ht="15.75" customHeight="1">
      <c r="A96" s="32" t="s">
        <v>5</v>
      </c>
      <c r="B96" s="233"/>
      <c r="C96" s="39"/>
      <c r="D96" s="8"/>
      <c r="E96" s="195"/>
      <c r="F96" s="8"/>
      <c r="G96" s="34"/>
      <c r="L96" s="11"/>
      <c r="M96" s="15"/>
      <c r="N96" s="15"/>
      <c r="O96" s="15"/>
      <c r="P96" s="15"/>
      <c r="Q96" s="15"/>
      <c r="R96" s="15"/>
      <c r="S96" s="15"/>
      <c r="T96" s="15"/>
      <c r="U96" s="15"/>
      <c r="V96" s="15"/>
      <c r="W96" s="15"/>
      <c r="X96" s="15"/>
      <c r="Y96" s="15"/>
      <c r="Z96" s="15"/>
      <c r="AA96" s="15"/>
      <c r="AB96" s="15"/>
      <c r="AC96" s="15"/>
      <c r="AD96" s="15"/>
      <c r="AE96" s="15"/>
      <c r="AF96" s="15"/>
    </row>
    <row r="97" ht="15.75" customHeight="1">
      <c r="A97" s="32" t="s">
        <v>5</v>
      </c>
      <c r="B97" s="233"/>
      <c r="C97" s="39"/>
      <c r="D97" s="8"/>
      <c r="E97" s="195"/>
      <c r="F97" s="8"/>
      <c r="G97" s="34"/>
      <c r="L97" s="11"/>
      <c r="M97" s="15"/>
      <c r="N97" s="15"/>
      <c r="O97" s="15"/>
      <c r="P97" s="15"/>
      <c r="Q97" s="15"/>
      <c r="R97" s="15"/>
      <c r="S97" s="15"/>
      <c r="T97" s="15"/>
      <c r="U97" s="15"/>
      <c r="V97" s="15"/>
      <c r="W97" s="15"/>
      <c r="X97" s="15"/>
      <c r="Y97" s="15"/>
      <c r="Z97" s="15"/>
      <c r="AA97" s="15"/>
      <c r="AB97" s="15"/>
      <c r="AC97" s="15"/>
      <c r="AD97" s="15"/>
      <c r="AE97" s="15"/>
      <c r="AF97" s="15"/>
    </row>
    <row r="98" ht="15.75" customHeight="1">
      <c r="A98" s="176" t="s">
        <v>5</v>
      </c>
      <c r="B98" s="237"/>
      <c r="C98" s="238"/>
      <c r="D98" s="176"/>
      <c r="E98" s="239"/>
      <c r="F98" s="240"/>
      <c r="G98" s="241"/>
      <c r="H98" s="31"/>
      <c r="I98" s="31"/>
      <c r="J98" s="9"/>
      <c r="K98" s="9"/>
      <c r="L98" s="199"/>
      <c r="M98" s="199"/>
      <c r="N98" s="199"/>
      <c r="O98" s="199"/>
      <c r="P98" s="199"/>
      <c r="Q98" s="199"/>
      <c r="R98" s="199"/>
      <c r="S98" s="199"/>
      <c r="T98" s="199"/>
      <c r="U98" s="199"/>
      <c r="V98" s="199"/>
      <c r="W98" s="199"/>
      <c r="X98" s="199"/>
      <c r="Y98" s="199"/>
      <c r="Z98" s="199"/>
      <c r="AA98" s="199"/>
      <c r="AB98" s="199"/>
      <c r="AC98" s="199"/>
      <c r="AD98" s="199"/>
      <c r="AE98" s="199"/>
      <c r="AF98" s="199"/>
    </row>
    <row r="99" ht="15.75" customHeight="1">
      <c r="A99" s="176" t="s">
        <v>5</v>
      </c>
      <c r="B99" s="237"/>
      <c r="C99" s="274"/>
      <c r="D99" s="176"/>
      <c r="E99" s="239"/>
      <c r="F99" s="240"/>
      <c r="G99" s="242"/>
      <c r="L99" s="199"/>
      <c r="M99" s="199"/>
      <c r="N99" s="199"/>
      <c r="O99" s="199"/>
      <c r="P99" s="199"/>
      <c r="Q99" s="199"/>
      <c r="R99" s="199"/>
      <c r="S99" s="199"/>
      <c r="T99" s="199"/>
      <c r="U99" s="199"/>
      <c r="V99" s="199"/>
      <c r="W99" s="199"/>
      <c r="X99" s="199"/>
      <c r="Y99" s="199"/>
      <c r="Z99" s="199"/>
      <c r="AA99" s="199"/>
      <c r="AB99" s="199"/>
      <c r="AC99" s="199"/>
      <c r="AD99" s="199"/>
      <c r="AE99" s="199"/>
      <c r="AF99" s="199"/>
    </row>
    <row r="100" ht="15.75" customHeight="1">
      <c r="A100" s="176" t="s">
        <v>5</v>
      </c>
      <c r="B100" s="237"/>
      <c r="C100" s="274"/>
      <c r="D100" s="176"/>
      <c r="E100" s="239"/>
      <c r="F100" s="240"/>
      <c r="G100" s="242"/>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row>
    <row r="101" ht="15.75" customHeight="1">
      <c r="A101" s="176" t="s">
        <v>5</v>
      </c>
      <c r="B101" s="237"/>
      <c r="C101" s="274"/>
      <c r="D101" s="176"/>
      <c r="E101" s="239"/>
      <c r="F101" s="240"/>
      <c r="G101" s="242"/>
      <c r="L101" s="199"/>
      <c r="M101" s="199"/>
      <c r="N101" s="199"/>
      <c r="O101" s="199"/>
      <c r="P101" s="199"/>
      <c r="Q101" s="199"/>
      <c r="R101" s="199"/>
      <c r="S101" s="199"/>
      <c r="T101" s="199"/>
      <c r="U101" s="199"/>
      <c r="V101" s="199"/>
      <c r="W101" s="199"/>
      <c r="X101" s="199"/>
      <c r="Y101" s="199"/>
      <c r="Z101" s="199"/>
      <c r="AA101" s="199"/>
      <c r="AB101" s="199"/>
      <c r="AC101" s="199"/>
      <c r="AD101" s="199"/>
      <c r="AE101" s="199"/>
      <c r="AF101" s="199"/>
    </row>
    <row r="102" ht="15.75" customHeight="1">
      <c r="A102" s="176" t="s">
        <v>5</v>
      </c>
      <c r="B102" s="237"/>
      <c r="C102" s="274"/>
      <c r="D102" s="176"/>
      <c r="E102" s="239"/>
      <c r="F102" s="240"/>
      <c r="G102" s="242"/>
      <c r="L102" s="199"/>
      <c r="M102" s="199"/>
      <c r="N102" s="199"/>
      <c r="O102" s="199"/>
      <c r="P102" s="199"/>
      <c r="Q102" s="199"/>
      <c r="R102" s="199"/>
      <c r="S102" s="199"/>
      <c r="T102" s="199"/>
      <c r="U102" s="199"/>
      <c r="V102" s="199"/>
      <c r="W102" s="199"/>
      <c r="X102" s="199"/>
      <c r="Y102" s="199"/>
      <c r="Z102" s="199"/>
      <c r="AA102" s="199"/>
      <c r="AB102" s="199"/>
      <c r="AC102" s="199"/>
      <c r="AD102" s="199"/>
      <c r="AE102" s="199"/>
      <c r="AF102" s="199"/>
    </row>
    <row r="103" ht="15.75" customHeight="1">
      <c r="A103" s="176" t="s">
        <v>5</v>
      </c>
      <c r="B103" s="237"/>
      <c r="C103" s="274"/>
      <c r="D103" s="176"/>
      <c r="E103" s="239"/>
      <c r="F103" s="240"/>
      <c r="G103" s="242"/>
      <c r="L103" s="199"/>
      <c r="M103" s="199"/>
      <c r="N103" s="199"/>
      <c r="O103" s="199"/>
      <c r="P103" s="199"/>
      <c r="Q103" s="199"/>
      <c r="R103" s="199"/>
      <c r="S103" s="199"/>
      <c r="T103" s="199"/>
      <c r="U103" s="199"/>
      <c r="V103" s="199"/>
      <c r="W103" s="199"/>
      <c r="X103" s="199"/>
      <c r="Y103" s="199"/>
      <c r="Z103" s="199"/>
      <c r="AA103" s="199"/>
      <c r="AB103" s="199"/>
      <c r="AC103" s="199"/>
      <c r="AD103" s="199"/>
      <c r="AE103" s="199"/>
      <c r="AF103" s="199"/>
    </row>
    <row r="104" ht="15.75" customHeight="1">
      <c r="A104" s="176" t="s">
        <v>5</v>
      </c>
      <c r="B104" s="237"/>
      <c r="C104" s="274"/>
      <c r="D104" s="176"/>
      <c r="E104" s="239"/>
      <c r="F104" s="240"/>
      <c r="G104" s="242"/>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row>
    <row r="105" ht="15.75" customHeight="1">
      <c r="A105" s="176" t="s">
        <v>5</v>
      </c>
      <c r="B105" s="237"/>
      <c r="C105" s="274"/>
      <c r="D105" s="176"/>
      <c r="E105" s="239"/>
      <c r="F105" s="240"/>
      <c r="G105" s="241"/>
      <c r="I105" s="9"/>
      <c r="J105" s="9"/>
      <c r="K105" s="9"/>
      <c r="L105" s="199"/>
      <c r="M105" s="199"/>
      <c r="N105" s="199"/>
      <c r="O105" s="199"/>
      <c r="P105" s="199"/>
      <c r="Q105" s="199"/>
      <c r="R105" s="199"/>
      <c r="S105" s="199"/>
      <c r="T105" s="199"/>
      <c r="U105" s="199"/>
      <c r="V105" s="199"/>
      <c r="W105" s="199"/>
      <c r="X105" s="199"/>
      <c r="Y105" s="199"/>
      <c r="Z105" s="199"/>
      <c r="AA105" s="199"/>
      <c r="AB105" s="199"/>
      <c r="AC105" s="199"/>
      <c r="AD105" s="199"/>
      <c r="AE105" s="199"/>
      <c r="AF105" s="199"/>
    </row>
    <row r="106" ht="15.75" customHeight="1">
      <c r="A106" s="176" t="s">
        <v>5</v>
      </c>
      <c r="B106" s="237"/>
      <c r="C106" s="274"/>
      <c r="D106" s="176"/>
      <c r="E106" s="239"/>
      <c r="F106" s="240"/>
      <c r="G106" s="242"/>
      <c r="L106" s="199"/>
      <c r="M106" s="199"/>
      <c r="N106" s="199"/>
      <c r="O106" s="199"/>
      <c r="P106" s="199"/>
      <c r="Q106" s="199"/>
      <c r="R106" s="199"/>
      <c r="S106" s="199"/>
      <c r="T106" s="199"/>
      <c r="U106" s="199"/>
      <c r="V106" s="199"/>
      <c r="W106" s="199"/>
      <c r="X106" s="199"/>
      <c r="Y106" s="199"/>
      <c r="Z106" s="199"/>
      <c r="AA106" s="199"/>
      <c r="AB106" s="199"/>
      <c r="AC106" s="199"/>
      <c r="AD106" s="199"/>
      <c r="AE106" s="199"/>
      <c r="AF106" s="199"/>
    </row>
    <row r="107" ht="15.75" customHeight="1">
      <c r="A107" s="176" t="s">
        <v>5</v>
      </c>
      <c r="B107" s="237"/>
      <c r="C107" s="274"/>
      <c r="D107" s="176"/>
      <c r="E107" s="239"/>
      <c r="F107" s="240"/>
      <c r="G107" s="242"/>
      <c r="L107" s="199"/>
      <c r="M107" s="199"/>
      <c r="N107" s="199"/>
      <c r="O107" s="199"/>
      <c r="P107" s="199"/>
      <c r="Q107" s="199"/>
      <c r="R107" s="199"/>
      <c r="S107" s="199"/>
      <c r="T107" s="199"/>
      <c r="U107" s="199"/>
      <c r="V107" s="199"/>
      <c r="W107" s="199"/>
      <c r="X107" s="199"/>
      <c r="Y107" s="199"/>
      <c r="Z107" s="199"/>
      <c r="AA107" s="199"/>
      <c r="AB107" s="199"/>
      <c r="AC107" s="199"/>
      <c r="AD107" s="199"/>
      <c r="AE107" s="199"/>
      <c r="AF107" s="199"/>
    </row>
    <row r="108" ht="15.75" customHeight="1">
      <c r="A108" s="176" t="s">
        <v>5</v>
      </c>
      <c r="B108" s="237"/>
      <c r="C108" s="274"/>
      <c r="D108" s="176"/>
      <c r="E108" s="239"/>
      <c r="F108" s="240"/>
      <c r="G108" s="242"/>
      <c r="L108" s="199"/>
      <c r="M108" s="199"/>
      <c r="N108" s="199"/>
      <c r="O108" s="199"/>
      <c r="P108" s="199"/>
      <c r="Q108" s="199"/>
      <c r="R108" s="199"/>
      <c r="S108" s="199"/>
      <c r="T108" s="199"/>
      <c r="U108" s="199"/>
      <c r="V108" s="199"/>
      <c r="W108" s="199"/>
      <c r="X108" s="199"/>
      <c r="Y108" s="199"/>
      <c r="Z108" s="199"/>
      <c r="AA108" s="199"/>
      <c r="AB108" s="199"/>
      <c r="AC108" s="199"/>
      <c r="AD108" s="199"/>
      <c r="AE108" s="199"/>
      <c r="AF108" s="199"/>
    </row>
    <row r="109" ht="15.75" customHeight="1">
      <c r="A109" s="176" t="s">
        <v>5</v>
      </c>
      <c r="B109" s="237"/>
      <c r="C109" s="274"/>
      <c r="D109" s="176"/>
      <c r="E109" s="239"/>
      <c r="F109" s="240"/>
      <c r="G109" s="242"/>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row>
    <row r="110" ht="15.75" customHeight="1">
      <c r="A110" s="176" t="s">
        <v>5</v>
      </c>
      <c r="B110" s="237"/>
      <c r="C110" s="274"/>
      <c r="D110" s="176"/>
      <c r="E110" s="239"/>
      <c r="F110" s="240"/>
      <c r="G110" s="242"/>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row>
    <row r="111" ht="15.75" customHeight="1">
      <c r="A111" s="176" t="s">
        <v>5</v>
      </c>
      <c r="B111" s="237"/>
      <c r="C111" s="274"/>
      <c r="D111" s="176"/>
      <c r="E111" s="239"/>
      <c r="F111" s="240"/>
      <c r="G111" s="242"/>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row>
    <row r="112" ht="15.75" customHeight="1">
      <c r="A112" s="176" t="s">
        <v>5</v>
      </c>
      <c r="B112" s="237"/>
      <c r="C112" s="274"/>
      <c r="D112" s="176"/>
      <c r="E112" s="239"/>
      <c r="F112" s="240"/>
      <c r="G112" s="242"/>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row>
    <row r="113" ht="15.75" customHeight="1">
      <c r="A113" s="176" t="s">
        <v>5</v>
      </c>
      <c r="B113" s="237"/>
      <c r="C113" s="274"/>
      <c r="D113" s="176"/>
      <c r="E113" s="239"/>
      <c r="F113" s="240"/>
      <c r="G113" s="241"/>
      <c r="H113" s="31"/>
      <c r="I113" s="9"/>
      <c r="J113" s="9"/>
      <c r="K113" s="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row>
    <row r="114" ht="15.75" customHeight="1">
      <c r="A114" s="176" t="s">
        <v>5</v>
      </c>
      <c r="B114" s="237"/>
      <c r="C114" s="274"/>
      <c r="D114" s="176"/>
      <c r="E114" s="239"/>
      <c r="F114" s="240"/>
      <c r="G114" s="242"/>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row>
    <row r="115" ht="15.75" customHeight="1">
      <c r="A115" s="176" t="s">
        <v>5</v>
      </c>
      <c r="B115" s="237"/>
      <c r="C115" s="274"/>
      <c r="D115" s="176"/>
      <c r="E115" s="239"/>
      <c r="F115" s="240"/>
      <c r="G115" s="241"/>
      <c r="H115" s="31"/>
      <c r="I115" s="9"/>
      <c r="J115" s="9"/>
      <c r="K115" s="9"/>
      <c r="L115" s="199"/>
      <c r="M115" s="199"/>
      <c r="N115" s="199"/>
      <c r="O115" s="199"/>
      <c r="P115" s="199"/>
      <c r="Q115" s="199"/>
      <c r="R115" s="199"/>
      <c r="S115" s="199"/>
      <c r="T115" s="199"/>
      <c r="U115" s="199"/>
      <c r="V115" s="199"/>
      <c r="W115" s="199"/>
      <c r="X115" s="199"/>
      <c r="Y115" s="199"/>
      <c r="Z115" s="199"/>
      <c r="AA115" s="199"/>
      <c r="AB115" s="199"/>
      <c r="AC115" s="199"/>
      <c r="AD115" s="199"/>
      <c r="AE115" s="199"/>
      <c r="AF115" s="199"/>
    </row>
    <row r="116" ht="15.75" customHeight="1">
      <c r="A116" s="15"/>
      <c r="B116" s="244"/>
      <c r="C116" s="49"/>
      <c r="D116" s="50"/>
      <c r="E116" s="245"/>
      <c r="F116" s="51"/>
      <c r="G116" s="42"/>
      <c r="H116" s="51"/>
      <c r="I116" s="9"/>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244"/>
      <c r="C117" s="49"/>
      <c r="D117" s="50"/>
      <c r="E117" s="245"/>
      <c r="F117" s="45"/>
      <c r="G117" s="42"/>
      <c r="H117" s="51"/>
      <c r="I117" s="9"/>
      <c r="J117" s="9"/>
      <c r="K117" s="11"/>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244"/>
      <c r="C118" s="49"/>
      <c r="D118" s="50"/>
      <c r="E118" s="277"/>
      <c r="F118" s="9"/>
      <c r="G118" s="42"/>
      <c r="H118" s="9"/>
      <c r="I118" s="9"/>
      <c r="J118" s="9"/>
      <c r="K118" s="11"/>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244"/>
      <c r="C119" s="49"/>
      <c r="D119" s="50"/>
      <c r="E119" s="277"/>
      <c r="F119" s="9"/>
      <c r="G119" s="42"/>
      <c r="H119" s="9"/>
      <c r="I119" s="9"/>
      <c r="J119" s="9"/>
      <c r="K119" s="11"/>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244"/>
      <c r="C120" s="49"/>
      <c r="D120" s="50"/>
      <c r="E120" s="277"/>
      <c r="F120" s="9"/>
      <c r="G120" s="42"/>
      <c r="H120" s="9"/>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244"/>
      <c r="C121" s="49"/>
      <c r="D121" s="50"/>
      <c r="E121" s="277"/>
      <c r="F121" s="9"/>
      <c r="G121" s="42"/>
      <c r="H121" s="9"/>
      <c r="I121" s="9"/>
      <c r="J121" s="9"/>
      <c r="K121" s="11"/>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244"/>
      <c r="C122" s="49"/>
      <c r="D122" s="50"/>
      <c r="E122" s="277"/>
      <c r="F122" s="9"/>
      <c r="G122" s="42"/>
      <c r="H122" s="9"/>
      <c r="I122" s="9"/>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244"/>
      <c r="C123" s="49"/>
      <c r="D123" s="50"/>
      <c r="E123" s="245"/>
      <c r="F123" s="9"/>
      <c r="G123" s="42"/>
      <c r="H123" s="9"/>
      <c r="I123" s="9"/>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244"/>
      <c r="C124" s="49"/>
      <c r="D124" s="50"/>
      <c r="E124" s="245"/>
      <c r="F124" s="51"/>
      <c r="G124" s="42"/>
      <c r="H124" s="51"/>
      <c r="I124" s="9"/>
      <c r="J124" s="9"/>
      <c r="K124" s="11"/>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244"/>
      <c r="C125" s="49"/>
      <c r="D125" s="50"/>
      <c r="E125" s="245"/>
      <c r="F125" s="45"/>
      <c r="G125" s="42"/>
      <c r="H125" s="51"/>
      <c r="I125" s="9"/>
      <c r="J125" s="9"/>
      <c r="K125" s="11"/>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244"/>
      <c r="C126" s="49"/>
      <c r="D126" s="50"/>
      <c r="E126" s="277"/>
      <c r="F126" s="9"/>
      <c r="G126" s="42"/>
      <c r="H126" s="9"/>
      <c r="I126" s="9"/>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15"/>
      <c r="B127" s="244"/>
      <c r="C127" s="49"/>
      <c r="D127" s="50"/>
      <c r="E127" s="277"/>
      <c r="F127" s="9"/>
      <c r="G127" s="42"/>
      <c r="H127" s="9"/>
      <c r="I127" s="9"/>
      <c r="J127" s="9"/>
      <c r="K127" s="11"/>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15"/>
      <c r="B128" s="244"/>
      <c r="C128" s="49"/>
      <c r="D128" s="50"/>
      <c r="E128" s="277"/>
      <c r="F128" s="9"/>
      <c r="G128" s="42"/>
      <c r="H128" s="9"/>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15"/>
      <c r="B129" s="244"/>
      <c r="C129" s="49"/>
      <c r="D129" s="50"/>
      <c r="E129" s="277"/>
      <c r="F129" s="9"/>
      <c r="G129" s="42"/>
      <c r="H129" s="9"/>
      <c r="I129" s="9"/>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15"/>
      <c r="B130" s="244"/>
      <c r="C130" s="49"/>
      <c r="D130" s="50"/>
      <c r="E130" s="277"/>
      <c r="F130" s="9"/>
      <c r="G130" s="42"/>
      <c r="H130" s="9"/>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15"/>
      <c r="B131" s="244"/>
      <c r="C131" s="49"/>
      <c r="D131" s="50"/>
      <c r="E131" s="245"/>
      <c r="F131" s="9"/>
      <c r="G131" s="42"/>
      <c r="H131" s="9"/>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15"/>
      <c r="B132" s="244"/>
      <c r="C132" s="49"/>
      <c r="D132" s="50"/>
      <c r="E132" s="245"/>
      <c r="F132" s="51"/>
      <c r="G132" s="42"/>
      <c r="H132" s="51"/>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15"/>
      <c r="B133" s="244"/>
      <c r="C133" s="49"/>
      <c r="D133" s="50"/>
      <c r="E133" s="249"/>
      <c r="F133" s="37"/>
      <c r="G133" s="29"/>
      <c r="H133" s="30"/>
      <c r="I133" s="9"/>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15"/>
      <c r="B134" s="244"/>
      <c r="C134" s="49"/>
      <c r="D134" s="50"/>
      <c r="E134" s="248"/>
      <c r="F134" s="31"/>
      <c r="G134" s="29"/>
      <c r="H134" s="31"/>
      <c r="I134" s="9"/>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15"/>
      <c r="B135" s="244"/>
      <c r="C135" s="49"/>
      <c r="D135" s="50"/>
      <c r="E135" s="248"/>
      <c r="F135" s="31"/>
      <c r="G135" s="29"/>
      <c r="H135" s="31"/>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15"/>
      <c r="B136" s="247"/>
      <c r="C136" s="41"/>
      <c r="D136" s="31"/>
      <c r="E136" s="248"/>
      <c r="F136" s="31"/>
      <c r="G136" s="29"/>
      <c r="H136" s="31"/>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15"/>
      <c r="B137" s="247"/>
      <c r="C137" s="41"/>
      <c r="D137" s="31"/>
      <c r="E137" s="248"/>
      <c r="F137" s="31"/>
      <c r="G137" s="29"/>
      <c r="H137" s="31"/>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15"/>
      <c r="B138" s="247"/>
      <c r="C138" s="41"/>
      <c r="D138" s="31"/>
      <c r="E138" s="248"/>
      <c r="F138" s="31"/>
      <c r="G138" s="29"/>
      <c r="H138" s="31"/>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15"/>
      <c r="B139" s="247"/>
      <c r="C139" s="41"/>
      <c r="D139" s="31"/>
      <c r="E139" s="249"/>
      <c r="F139" s="31"/>
      <c r="G139" s="29"/>
      <c r="H139" s="31"/>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15"/>
      <c r="B140" s="247"/>
      <c r="C140" s="41"/>
      <c r="D140" s="31"/>
      <c r="E140" s="249"/>
      <c r="F140" s="30"/>
      <c r="G140" s="29"/>
      <c r="H140" s="30"/>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15"/>
      <c r="B141" s="247"/>
      <c r="C141" s="41"/>
      <c r="D141" s="31"/>
      <c r="E141" s="249"/>
      <c r="F141" s="37"/>
      <c r="G141" s="29"/>
      <c r="H141" s="30"/>
      <c r="I141" s="31"/>
      <c r="J141" s="9"/>
      <c r="K141" s="11"/>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15"/>
      <c r="B142" s="247"/>
      <c r="C142" s="41"/>
      <c r="D142" s="31"/>
      <c r="E142" s="248"/>
      <c r="F142" s="31"/>
      <c r="G142" s="29"/>
      <c r="H142" s="31"/>
      <c r="I142" s="31"/>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15"/>
      <c r="B143" s="247"/>
      <c r="C143" s="54"/>
      <c r="D143" s="55"/>
      <c r="E143" s="248"/>
      <c r="F143" s="31"/>
      <c r="G143" s="29"/>
      <c r="H143" s="31"/>
      <c r="I143" s="9"/>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15"/>
      <c r="B144" s="247"/>
      <c r="C144" s="54"/>
      <c r="D144" s="55"/>
      <c r="E144" s="248"/>
      <c r="F144" s="31"/>
      <c r="G144" s="29"/>
      <c r="H144" s="31"/>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15"/>
      <c r="B145" s="247"/>
      <c r="C145" s="54"/>
      <c r="D145" s="55"/>
      <c r="E145" s="248"/>
      <c r="F145" s="31"/>
      <c r="G145" s="29"/>
      <c r="H145" s="31"/>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15"/>
      <c r="B146" s="247"/>
      <c r="C146" s="54"/>
      <c r="D146" s="55"/>
      <c r="E146" s="249"/>
      <c r="F146" s="31"/>
      <c r="G146" s="29"/>
      <c r="H146" s="31"/>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15"/>
      <c r="B147" s="247"/>
      <c r="C147" s="54"/>
      <c r="D147" s="55"/>
      <c r="E147" s="249"/>
      <c r="F147" s="30"/>
      <c r="G147" s="29"/>
      <c r="H147" s="30"/>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15"/>
      <c r="B148" s="247"/>
      <c r="C148" s="54"/>
      <c r="D148" s="55"/>
      <c r="E148" s="249"/>
      <c r="F148" s="37"/>
      <c r="G148" s="29"/>
      <c r="H148" s="30"/>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15"/>
      <c r="B149" s="247"/>
      <c r="C149" s="54"/>
      <c r="D149" s="55"/>
      <c r="E149" s="248"/>
      <c r="F149" s="31"/>
      <c r="G149" s="29"/>
      <c r="H149" s="31"/>
      <c r="I149" s="31"/>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15"/>
      <c r="B150" s="247"/>
      <c r="C150" s="54"/>
      <c r="D150" s="55"/>
      <c r="E150" s="248"/>
      <c r="F150" s="31"/>
      <c r="G150" s="29"/>
      <c r="H150" s="31"/>
      <c r="I150" s="31"/>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15"/>
      <c r="B151" s="247"/>
      <c r="C151" s="54"/>
      <c r="D151" s="55"/>
      <c r="E151" s="248"/>
      <c r="F151" s="31"/>
      <c r="G151" s="29"/>
      <c r="H151" s="31"/>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15"/>
      <c r="B152" s="247"/>
      <c r="C152" s="54"/>
      <c r="D152" s="55"/>
      <c r="E152" s="248"/>
      <c r="F152" s="31"/>
      <c r="G152" s="29"/>
      <c r="H152" s="31"/>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15"/>
      <c r="B153" s="247"/>
      <c r="C153" s="54"/>
      <c r="D153" s="55"/>
      <c r="E153" s="248"/>
      <c r="F153" s="31"/>
      <c r="G153" s="29"/>
      <c r="H153" s="31"/>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15"/>
      <c r="B154" s="247"/>
      <c r="C154" s="54"/>
      <c r="D154" s="55"/>
      <c r="E154" s="249"/>
      <c r="F154" s="31"/>
      <c r="G154" s="29"/>
      <c r="H154" s="31"/>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15"/>
      <c r="B155" s="247"/>
      <c r="C155" s="54"/>
      <c r="D155" s="55"/>
      <c r="E155" s="249"/>
      <c r="F155" s="30"/>
      <c r="G155" s="29"/>
      <c r="H155" s="30"/>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15"/>
      <c r="B156" s="247"/>
      <c r="C156" s="54"/>
      <c r="D156" s="55"/>
      <c r="E156" s="249"/>
      <c r="F156" s="37"/>
      <c r="G156" s="29"/>
      <c r="H156" s="30"/>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15"/>
      <c r="B157" s="247"/>
      <c r="C157" s="54"/>
      <c r="D157" s="55"/>
      <c r="E157" s="248"/>
      <c r="F157" s="31"/>
      <c r="G157" s="29"/>
      <c r="H157" s="31"/>
      <c r="I157" s="31"/>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15"/>
      <c r="B158" s="247"/>
      <c r="C158" s="54"/>
      <c r="D158" s="55"/>
      <c r="E158" s="248"/>
      <c r="F158" s="31"/>
      <c r="G158" s="29"/>
      <c r="H158" s="31"/>
      <c r="I158" s="31"/>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15"/>
      <c r="B159" s="247"/>
      <c r="C159" s="41"/>
      <c r="D159" s="31"/>
      <c r="E159" s="248"/>
      <c r="F159" s="31"/>
      <c r="G159" s="29"/>
      <c r="H159" s="31"/>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15"/>
      <c r="B160" s="247"/>
      <c r="C160" s="41"/>
      <c r="D160" s="31"/>
      <c r="E160" s="248"/>
      <c r="F160" s="31"/>
      <c r="G160" s="29"/>
      <c r="H160" s="31"/>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15"/>
      <c r="B161" s="247"/>
      <c r="C161" s="41"/>
      <c r="D161" s="31"/>
      <c r="E161" s="248"/>
      <c r="F161" s="31"/>
      <c r="G161" s="29"/>
      <c r="H161" s="31"/>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15"/>
      <c r="B162" s="247"/>
      <c r="C162" s="41"/>
      <c r="D162" s="31"/>
      <c r="E162" s="249"/>
      <c r="F162" s="31"/>
      <c r="G162" s="29"/>
      <c r="H162" s="31"/>
      <c r="I162" s="9"/>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15"/>
      <c r="B163" s="247"/>
      <c r="C163" s="41"/>
      <c r="D163" s="31"/>
      <c r="E163" s="249"/>
      <c r="F163" s="30"/>
      <c r="G163" s="29"/>
      <c r="H163" s="30"/>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15"/>
      <c r="B164" s="247"/>
      <c r="C164" s="41"/>
      <c r="D164" s="31"/>
      <c r="E164" s="249"/>
      <c r="F164" s="37"/>
      <c r="G164" s="29"/>
      <c r="H164" s="30"/>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15"/>
      <c r="B165" s="247"/>
      <c r="C165" s="41"/>
      <c r="D165" s="31"/>
      <c r="E165" s="248"/>
      <c r="F165" s="31"/>
      <c r="G165" s="29"/>
      <c r="H165" s="31"/>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15"/>
      <c r="B166" s="247"/>
      <c r="C166" s="54"/>
      <c r="D166" s="55"/>
      <c r="E166" s="248"/>
      <c r="F166" s="31"/>
      <c r="G166" s="29"/>
      <c r="H166" s="31"/>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15"/>
      <c r="B167" s="247"/>
      <c r="C167" s="54"/>
      <c r="D167" s="55"/>
      <c r="E167" s="248"/>
      <c r="F167" s="31"/>
      <c r="G167" s="29"/>
      <c r="H167" s="31"/>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15"/>
      <c r="B168" s="247"/>
      <c r="C168" s="54"/>
      <c r="D168" s="55"/>
      <c r="E168" s="248"/>
      <c r="F168" s="31"/>
      <c r="G168" s="29"/>
      <c r="H168" s="31"/>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15"/>
      <c r="B169" s="247"/>
      <c r="C169" s="54"/>
      <c r="D169" s="55"/>
      <c r="E169" s="249"/>
      <c r="F169" s="31"/>
      <c r="G169" s="29"/>
      <c r="H169" s="31"/>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15"/>
      <c r="B170" s="247"/>
      <c r="C170" s="54"/>
      <c r="D170" s="55"/>
      <c r="E170" s="249"/>
      <c r="F170" s="30"/>
      <c r="G170" s="29"/>
      <c r="H170" s="30"/>
      <c r="I170" s="9"/>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15"/>
      <c r="B171" s="247"/>
      <c r="C171" s="54"/>
      <c r="D171" s="55"/>
      <c r="E171" s="249"/>
      <c r="F171" s="37"/>
      <c r="G171" s="29"/>
      <c r="H171" s="30"/>
      <c r="I171" s="9"/>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15"/>
      <c r="B172" s="247"/>
      <c r="C172" s="54"/>
      <c r="D172" s="55"/>
      <c r="E172" s="248"/>
      <c r="F172" s="31"/>
      <c r="G172" s="29"/>
      <c r="H172" s="31"/>
      <c r="I172" s="31"/>
      <c r="J172" s="9"/>
      <c r="K172" s="11"/>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15"/>
      <c r="B173" s="247"/>
      <c r="C173" s="54"/>
      <c r="D173" s="55"/>
      <c r="E173" s="248"/>
      <c r="F173" s="31"/>
      <c r="G173" s="29"/>
      <c r="H173" s="31"/>
      <c r="I173" s="31"/>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15"/>
      <c r="B174" s="247"/>
      <c r="C174" s="54"/>
      <c r="D174" s="55"/>
      <c r="E174" s="248"/>
      <c r="F174" s="31"/>
      <c r="G174" s="29"/>
      <c r="H174" s="31"/>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15"/>
      <c r="B175" s="247"/>
      <c r="C175" s="54"/>
      <c r="D175" s="55"/>
      <c r="E175" s="248"/>
      <c r="F175" s="31"/>
      <c r="G175" s="29"/>
      <c r="H175" s="31"/>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B176" s="247"/>
      <c r="C176" s="54"/>
      <c r="D176" s="55"/>
      <c r="E176" s="248"/>
      <c r="F176" s="31"/>
      <c r="G176" s="29"/>
      <c r="H176" s="31"/>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15"/>
      <c r="B177" s="247"/>
      <c r="C177" s="54"/>
      <c r="D177" s="55"/>
      <c r="E177" s="249"/>
      <c r="F177" s="31"/>
      <c r="G177" s="29"/>
      <c r="H177" s="31"/>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B178" s="247"/>
      <c r="C178" s="54"/>
      <c r="D178" s="55"/>
      <c r="E178" s="249"/>
      <c r="F178" s="30"/>
      <c r="G178" s="29"/>
      <c r="H178" s="30"/>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15"/>
      <c r="B179" s="247"/>
      <c r="C179" s="54"/>
      <c r="D179" s="55"/>
      <c r="E179" s="249"/>
      <c r="F179" s="37"/>
      <c r="G179" s="29"/>
      <c r="H179" s="30"/>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15"/>
      <c r="B180" s="247"/>
      <c r="C180" s="54"/>
      <c r="D180" s="55"/>
      <c r="E180" s="248"/>
      <c r="F180" s="31"/>
      <c r="G180" s="29"/>
      <c r="H180" s="31"/>
      <c r="I180" s="31"/>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15"/>
      <c r="B181" s="247"/>
      <c r="C181" s="54"/>
      <c r="D181" s="55"/>
      <c r="E181" s="248"/>
      <c r="F181" s="31"/>
      <c r="G181" s="29"/>
      <c r="H181" s="31"/>
      <c r="I181" s="31"/>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15"/>
      <c r="B182" s="247"/>
      <c r="C182" s="54"/>
      <c r="D182" s="55"/>
      <c r="E182" s="248"/>
      <c r="F182" s="31"/>
      <c r="G182" s="29"/>
      <c r="H182" s="31"/>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15"/>
      <c r="B183" s="247"/>
      <c r="C183" s="54"/>
      <c r="D183" s="55"/>
      <c r="E183" s="248"/>
      <c r="F183" s="31"/>
      <c r="G183" s="29"/>
      <c r="H183" s="31"/>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15"/>
      <c r="B184" s="247"/>
      <c r="C184" s="54"/>
      <c r="D184" s="55"/>
      <c r="E184" s="248"/>
      <c r="F184" s="31"/>
      <c r="G184" s="29"/>
      <c r="H184" s="31"/>
      <c r="I184" s="9"/>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15"/>
      <c r="B185" s="247"/>
      <c r="C185" s="54"/>
      <c r="D185" s="55"/>
      <c r="E185" s="249"/>
      <c r="F185" s="31"/>
      <c r="G185" s="29"/>
      <c r="H185" s="31"/>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15"/>
      <c r="B186" s="247"/>
      <c r="C186" s="54"/>
      <c r="D186" s="55"/>
      <c r="E186" s="249"/>
      <c r="F186" s="30"/>
      <c r="G186" s="29"/>
      <c r="H186" s="30"/>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15"/>
      <c r="B187" s="247"/>
      <c r="C187" s="54"/>
      <c r="D187" s="55"/>
      <c r="E187" s="249"/>
      <c r="F187" s="37"/>
      <c r="G187" s="29"/>
      <c r="H187" s="30"/>
      <c r="I187" s="9"/>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15"/>
      <c r="B188" s="247"/>
      <c r="C188" s="54"/>
      <c r="D188" s="55"/>
      <c r="E188" s="248"/>
      <c r="F188" s="31"/>
      <c r="G188" s="29"/>
      <c r="H188" s="31"/>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15"/>
      <c r="B189" s="247"/>
      <c r="C189" s="54"/>
      <c r="D189" s="55"/>
      <c r="E189" s="248"/>
      <c r="F189" s="31"/>
      <c r="G189" s="29"/>
      <c r="H189" s="31"/>
      <c r="I189" s="9"/>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15"/>
      <c r="B190" s="247"/>
      <c r="C190" s="54"/>
      <c r="D190" s="55"/>
      <c r="E190" s="248"/>
      <c r="F190" s="31"/>
      <c r="G190" s="29"/>
      <c r="H190" s="31"/>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B191" s="247"/>
      <c r="C191" s="54"/>
      <c r="D191" s="55"/>
      <c r="E191" s="248"/>
      <c r="F191" s="31"/>
      <c r="G191" s="29"/>
      <c r="H191" s="31"/>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B192" s="247"/>
      <c r="C192" s="54"/>
      <c r="D192" s="55"/>
      <c r="E192" s="248"/>
      <c r="F192" s="31"/>
      <c r="G192" s="29"/>
      <c r="H192" s="31"/>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15"/>
      <c r="B193" s="247"/>
      <c r="C193" s="54"/>
      <c r="D193" s="55"/>
      <c r="E193" s="249"/>
      <c r="F193" s="31"/>
      <c r="G193" s="29"/>
      <c r="H193" s="31"/>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15"/>
      <c r="B194" s="247"/>
      <c r="C194" s="54"/>
      <c r="D194" s="55"/>
      <c r="E194" s="249"/>
      <c r="F194" s="30"/>
      <c r="G194" s="29"/>
      <c r="H194" s="30"/>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15"/>
      <c r="B195" s="247"/>
      <c r="C195" s="54"/>
      <c r="D195" s="55"/>
      <c r="E195" s="249"/>
      <c r="F195" s="37"/>
      <c r="G195" s="29"/>
      <c r="H195" s="30"/>
      <c r="I195" s="31"/>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15"/>
      <c r="B196" s="247"/>
      <c r="C196" s="54"/>
      <c r="D196" s="55"/>
      <c r="E196" s="248"/>
      <c r="F196" s="31"/>
      <c r="G196" s="29"/>
      <c r="H196" s="31"/>
      <c r="I196" s="31"/>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15"/>
      <c r="B197" s="247"/>
      <c r="C197" s="54"/>
      <c r="D197" s="55"/>
      <c r="E197" s="248"/>
      <c r="F197" s="31"/>
      <c r="G197" s="29"/>
      <c r="H197" s="31"/>
      <c r="I197" s="9"/>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15"/>
      <c r="B198" s="247"/>
      <c r="C198" s="41"/>
      <c r="D198" s="31"/>
      <c r="E198" s="248"/>
      <c r="F198" s="31"/>
      <c r="G198" s="29"/>
      <c r="H198" s="31"/>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15"/>
      <c r="B199" s="247"/>
      <c r="C199" s="41"/>
      <c r="D199" s="31"/>
      <c r="E199" s="248"/>
      <c r="F199" s="31"/>
      <c r="G199" s="29"/>
      <c r="H199" s="31"/>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15"/>
      <c r="B200" s="247"/>
      <c r="C200" s="41"/>
      <c r="D200" s="31"/>
      <c r="E200" s="248"/>
      <c r="F200" s="31"/>
      <c r="G200" s="29"/>
      <c r="H200" s="31"/>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B201" s="247"/>
      <c r="C201" s="41"/>
      <c r="D201" s="31"/>
      <c r="E201" s="249"/>
      <c r="F201" s="31"/>
      <c r="G201" s="29"/>
      <c r="H201" s="31"/>
      <c r="I201" s="9"/>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15"/>
      <c r="B202" s="247"/>
      <c r="C202" s="41"/>
      <c r="D202" s="31"/>
      <c r="E202" s="249"/>
      <c r="F202" s="30"/>
      <c r="G202" s="29"/>
      <c r="H202" s="30"/>
      <c r="I202" s="9"/>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B203" s="247"/>
      <c r="C203" s="41"/>
      <c r="D203" s="31"/>
      <c r="E203" s="249"/>
      <c r="F203" s="37"/>
      <c r="G203" s="29"/>
      <c r="H203" s="30"/>
      <c r="I203" s="31"/>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15"/>
      <c r="B204" s="247"/>
      <c r="C204" s="41"/>
      <c r="D204" s="31"/>
      <c r="E204" s="248"/>
      <c r="F204" s="31"/>
      <c r="G204" s="29"/>
      <c r="H204" s="31"/>
      <c r="I204" s="31"/>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B205" s="247"/>
      <c r="C205" s="54"/>
      <c r="D205" s="55"/>
      <c r="E205" s="248"/>
      <c r="F205" s="31"/>
      <c r="G205" s="29"/>
      <c r="H205" s="31"/>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247"/>
      <c r="C206" s="54"/>
      <c r="D206" s="55"/>
      <c r="E206" s="248"/>
      <c r="F206" s="31"/>
      <c r="G206" s="29"/>
      <c r="H206" s="31"/>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247"/>
      <c r="C207" s="54"/>
      <c r="D207" s="55"/>
      <c r="E207" s="248"/>
      <c r="F207" s="31"/>
      <c r="G207" s="29"/>
      <c r="H207" s="31"/>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B208" s="247"/>
      <c r="C208" s="54"/>
      <c r="D208" s="55"/>
      <c r="E208" s="249"/>
      <c r="F208" s="31"/>
      <c r="G208" s="29"/>
      <c r="H208" s="31"/>
      <c r="I208" s="9"/>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B209" s="247"/>
      <c r="C209" s="54"/>
      <c r="D209" s="55"/>
      <c r="E209" s="249"/>
      <c r="F209" s="30"/>
      <c r="G209" s="29"/>
      <c r="H209" s="30"/>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B210" s="247"/>
      <c r="C210" s="54"/>
      <c r="D210" s="55"/>
      <c r="E210" s="249"/>
      <c r="F210" s="37"/>
      <c r="G210" s="29"/>
      <c r="H210" s="30"/>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B211" s="247"/>
      <c r="C211" s="54"/>
      <c r="D211" s="55"/>
      <c r="E211" s="248"/>
      <c r="F211" s="31"/>
      <c r="G211" s="29"/>
      <c r="H211" s="31"/>
      <c r="I211" s="31"/>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B212" s="247"/>
      <c r="C212" s="54"/>
      <c r="D212" s="55"/>
      <c r="E212" s="248"/>
      <c r="F212" s="31"/>
      <c r="G212" s="29"/>
      <c r="H212" s="31"/>
      <c r="I212" s="31"/>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B213" s="247"/>
      <c r="C213" s="54"/>
      <c r="D213" s="55"/>
      <c r="E213" s="248"/>
      <c r="F213" s="31"/>
      <c r="G213" s="29"/>
      <c r="H213" s="31"/>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B214" s="247"/>
      <c r="C214" s="54"/>
      <c r="D214" s="55"/>
      <c r="E214" s="248"/>
      <c r="F214" s="31"/>
      <c r="G214" s="29"/>
      <c r="H214" s="31"/>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B215" s="247"/>
      <c r="C215" s="54"/>
      <c r="D215" s="55"/>
      <c r="E215" s="248"/>
      <c r="F215" s="31"/>
      <c r="G215" s="29"/>
      <c r="H215" s="31"/>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B216" s="247"/>
      <c r="C216" s="54"/>
      <c r="D216" s="55"/>
      <c r="E216" s="249"/>
      <c r="F216" s="31"/>
      <c r="G216" s="29"/>
      <c r="H216" s="31"/>
      <c r="I216" s="9"/>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247"/>
      <c r="C217" s="54"/>
      <c r="D217" s="55"/>
      <c r="E217" s="249"/>
      <c r="F217" s="30"/>
      <c r="G217" s="29"/>
      <c r="H217" s="30"/>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247"/>
      <c r="C218" s="54"/>
      <c r="D218" s="55"/>
      <c r="E218" s="249"/>
      <c r="F218" s="37"/>
      <c r="G218" s="29"/>
      <c r="H218" s="30"/>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247"/>
      <c r="C219" s="54"/>
      <c r="D219" s="55"/>
      <c r="E219" s="248"/>
      <c r="F219" s="31"/>
      <c r="G219" s="29"/>
      <c r="H219" s="31"/>
      <c r="I219" s="31"/>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B220" s="247"/>
      <c r="C220" s="54"/>
      <c r="D220" s="55"/>
      <c r="E220" s="248"/>
      <c r="F220" s="31"/>
      <c r="G220" s="29"/>
      <c r="H220" s="31"/>
      <c r="I220" s="31"/>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B221" s="247"/>
      <c r="C221" s="54"/>
      <c r="D221" s="55"/>
      <c r="E221" s="248"/>
      <c r="F221" s="31"/>
      <c r="G221" s="29"/>
      <c r="H221" s="31"/>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B222" s="247"/>
      <c r="C222" s="54"/>
      <c r="D222" s="55"/>
      <c r="E222" s="248"/>
      <c r="F222" s="31"/>
      <c r="G222" s="29"/>
      <c r="H222" s="31"/>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B223" s="247"/>
      <c r="C223" s="54"/>
      <c r="D223" s="55"/>
      <c r="E223" s="248"/>
      <c r="F223" s="31"/>
      <c r="G223" s="29"/>
      <c r="H223" s="31"/>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B224" s="247"/>
      <c r="C224" s="54"/>
      <c r="D224" s="55"/>
      <c r="E224" s="249"/>
      <c r="F224" s="31"/>
      <c r="G224" s="29"/>
      <c r="H224" s="31"/>
      <c r="I224" s="9"/>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B225" s="247"/>
      <c r="C225" s="54"/>
      <c r="D225" s="55"/>
      <c r="E225" s="249"/>
      <c r="F225" s="30"/>
      <c r="G225" s="29"/>
      <c r="H225" s="30"/>
      <c r="I225" s="9"/>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B226" s="247"/>
      <c r="C226" s="54"/>
      <c r="D226" s="55"/>
      <c r="E226" s="249"/>
      <c r="F226" s="37"/>
      <c r="G226" s="29"/>
      <c r="H226" s="30"/>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B227" s="247"/>
      <c r="C227" s="54"/>
      <c r="D227" s="55"/>
      <c r="E227" s="248"/>
      <c r="F227" s="31"/>
      <c r="G227" s="29"/>
      <c r="H227" s="31"/>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B228" s="247"/>
      <c r="C228" s="54"/>
      <c r="D228" s="55"/>
      <c r="E228" s="248"/>
      <c r="F228" s="31"/>
      <c r="G228" s="29"/>
      <c r="H228" s="31"/>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B229" s="247"/>
      <c r="C229" s="54"/>
      <c r="D229" s="55"/>
      <c r="E229" s="248"/>
      <c r="F229" s="31"/>
      <c r="G229" s="29"/>
      <c r="H229" s="31"/>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247"/>
      <c r="C230" s="54"/>
      <c r="D230" s="55"/>
      <c r="E230" s="248"/>
      <c r="F230" s="31"/>
      <c r="G230" s="29"/>
      <c r="H230" s="31"/>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247"/>
      <c r="C231" s="54"/>
      <c r="D231" s="55"/>
      <c r="E231" s="248"/>
      <c r="F231" s="31"/>
      <c r="G231" s="29"/>
      <c r="H231" s="31"/>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B232" s="247"/>
      <c r="C232" s="54"/>
      <c r="D232" s="55"/>
      <c r="E232" s="248"/>
      <c r="F232" s="31"/>
      <c r="G232" s="29"/>
      <c r="H232" s="31"/>
      <c r="I232" s="9"/>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B233" s="247"/>
      <c r="C233" s="54"/>
      <c r="D233" s="55"/>
      <c r="E233" s="249"/>
      <c r="F233" s="31"/>
      <c r="G233" s="29"/>
      <c r="H233" s="31"/>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B234" s="247"/>
      <c r="C234" s="54"/>
      <c r="D234" s="55"/>
      <c r="E234" s="249"/>
      <c r="F234" s="30"/>
      <c r="G234" s="29"/>
      <c r="H234" s="30"/>
      <c r="I234" s="31"/>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B235" s="247"/>
      <c r="C235" s="54"/>
      <c r="D235" s="55"/>
      <c r="E235" s="249"/>
      <c r="F235" s="37"/>
      <c r="G235" s="29"/>
      <c r="H235" s="30"/>
      <c r="I235" s="31"/>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B236" s="247"/>
      <c r="C236" s="54"/>
      <c r="D236" s="55"/>
      <c r="E236" s="248"/>
      <c r="F236" s="59"/>
      <c r="G236" s="29"/>
      <c r="H236" s="59"/>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B237" s="247"/>
      <c r="C237" s="54"/>
      <c r="D237" s="55"/>
      <c r="E237" s="248"/>
      <c r="F237" s="31"/>
      <c r="G237" s="29"/>
      <c r="H237" s="31"/>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B238" s="247"/>
      <c r="C238" s="41"/>
      <c r="D238" s="31"/>
      <c r="E238" s="248"/>
      <c r="F238" s="31"/>
      <c r="G238" s="29"/>
      <c r="H238" s="31"/>
      <c r="I238" s="9"/>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B239" s="247"/>
      <c r="C239" s="41"/>
      <c r="D239" s="31"/>
      <c r="E239" s="248"/>
      <c r="F239" s="31"/>
      <c r="G239" s="29"/>
      <c r="H239" s="31"/>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B240" s="247"/>
      <c r="C240" s="41"/>
      <c r="D240" s="31"/>
      <c r="E240" s="248"/>
      <c r="F240" s="31"/>
      <c r="G240" s="29"/>
      <c r="H240" s="31"/>
      <c r="I240" s="9"/>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B241" s="247"/>
      <c r="C241" s="41"/>
      <c r="D241" s="31"/>
      <c r="E241" s="248"/>
      <c r="F241" s="31"/>
      <c r="G241" s="29"/>
      <c r="H241" s="31"/>
      <c r="I241" s="31"/>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B242" s="247"/>
      <c r="C242" s="41"/>
      <c r="D242" s="31"/>
      <c r="E242" s="249"/>
      <c r="F242" s="31"/>
      <c r="G242" s="29"/>
      <c r="H242" s="31"/>
      <c r="I242" s="31"/>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247"/>
      <c r="C243" s="41"/>
      <c r="D243" s="31"/>
      <c r="E243" s="249"/>
      <c r="F243" s="30"/>
      <c r="G243" s="29"/>
      <c r="H243" s="30"/>
      <c r="I243" s="9"/>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247"/>
      <c r="C244" s="41"/>
      <c r="D244" s="31"/>
      <c r="E244" s="249"/>
      <c r="F244" s="37"/>
      <c r="G244" s="29"/>
      <c r="H244" s="30"/>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B245" s="247"/>
      <c r="C245" s="41"/>
      <c r="D245" s="31"/>
      <c r="E245" s="248"/>
      <c r="F245" s="59"/>
      <c r="G245" s="29"/>
      <c r="H245" s="59"/>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B246" s="247"/>
      <c r="C246" s="54"/>
      <c r="D246" s="55"/>
      <c r="E246" s="248"/>
      <c r="F246" s="31"/>
      <c r="G246" s="29"/>
      <c r="H246" s="31"/>
      <c r="I246" s="9"/>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B247" s="247"/>
      <c r="C247" s="54"/>
      <c r="D247" s="55"/>
      <c r="E247" s="248"/>
      <c r="F247" s="31"/>
      <c r="G247" s="29"/>
      <c r="H247" s="31"/>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B248" s="247"/>
      <c r="C248" s="54"/>
      <c r="D248" s="55"/>
      <c r="E248" s="248"/>
      <c r="F248" s="31"/>
      <c r="G248" s="29"/>
      <c r="H248" s="31"/>
      <c r="I248" s="31"/>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B249" s="247"/>
      <c r="C249" s="54"/>
      <c r="D249" s="55"/>
      <c r="E249" s="248"/>
      <c r="F249" s="31"/>
      <c r="G249" s="29"/>
      <c r="H249" s="31"/>
      <c r="I249" s="31"/>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B250" s="247"/>
      <c r="C250" s="54"/>
      <c r="D250" s="55"/>
      <c r="E250" s="249"/>
      <c r="F250" s="31"/>
      <c r="G250" s="29"/>
      <c r="H250" s="31"/>
      <c r="I250" s="9"/>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B251" s="247"/>
      <c r="C251" s="54"/>
      <c r="D251" s="55"/>
      <c r="E251" s="249"/>
      <c r="F251" s="30"/>
      <c r="G251" s="29"/>
      <c r="H251" s="30"/>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B252" s="247"/>
      <c r="C252" s="54"/>
      <c r="D252" s="55"/>
      <c r="E252" s="249"/>
      <c r="F252" s="37"/>
      <c r="G252" s="29"/>
      <c r="H252" s="30"/>
      <c r="I252" s="9"/>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B253" s="247"/>
      <c r="C253" s="54"/>
      <c r="D253" s="55"/>
      <c r="E253" s="248"/>
      <c r="F253" s="59"/>
      <c r="G253" s="29"/>
      <c r="H253" s="59"/>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B254" s="247"/>
      <c r="C254" s="41"/>
      <c r="D254" s="31"/>
      <c r="E254" s="249"/>
      <c r="F254" s="31"/>
      <c r="G254" s="250"/>
      <c r="H254" s="31"/>
      <c r="I254" s="9"/>
      <c r="J254" s="9"/>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B255" s="233"/>
      <c r="C255" s="54"/>
      <c r="D255" s="55"/>
      <c r="E255" s="248"/>
      <c r="F255" s="31"/>
      <c r="G255" s="34"/>
      <c r="H255" s="31"/>
      <c r="I255" s="9"/>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B256" s="233"/>
      <c r="C256" s="54"/>
      <c r="D256" s="55"/>
      <c r="E256" s="248"/>
      <c r="F256" s="31"/>
      <c r="G256" s="34"/>
      <c r="H256" s="31"/>
      <c r="I256" s="9"/>
      <c r="J256" s="9"/>
      <c r="K256" s="61"/>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233"/>
      <c r="C257" s="54"/>
      <c r="D257" s="55"/>
      <c r="E257" s="248"/>
      <c r="F257" s="31"/>
      <c r="G257" s="34"/>
      <c r="H257" s="31"/>
      <c r="I257" s="31"/>
      <c r="J257" s="9"/>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233"/>
      <c r="C258" s="54"/>
      <c r="D258" s="55"/>
      <c r="E258" s="249"/>
      <c r="F258" s="31"/>
      <c r="G258" s="34"/>
      <c r="H258" s="31"/>
      <c r="I258" s="9"/>
      <c r="J258" s="9"/>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B259" s="233"/>
      <c r="C259" s="54"/>
      <c r="D259" s="55"/>
      <c r="E259" s="249"/>
      <c r="F259" s="30"/>
      <c r="G259" s="34"/>
      <c r="H259" s="30"/>
      <c r="I259" s="31"/>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B260" s="233"/>
      <c r="C260" s="54"/>
      <c r="D260" s="55"/>
      <c r="E260" s="249"/>
      <c r="F260" s="37"/>
      <c r="G260" s="34"/>
      <c r="H260" s="30"/>
      <c r="I260" s="9"/>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B261" s="233"/>
      <c r="C261" s="54"/>
      <c r="D261" s="55"/>
      <c r="E261" s="248"/>
      <c r="F261" s="31"/>
      <c r="G261" s="34"/>
      <c r="H261" s="31"/>
      <c r="I261" s="9"/>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B262" s="233"/>
      <c r="C262" s="54"/>
      <c r="D262" s="55"/>
      <c r="E262" s="248"/>
      <c r="F262" s="62"/>
      <c r="G262" s="34"/>
      <c r="H262" s="62"/>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B263" s="233"/>
      <c r="C263" s="54"/>
      <c r="D263" s="55"/>
      <c r="E263" s="248"/>
      <c r="F263" s="31"/>
      <c r="G263" s="34"/>
      <c r="H263" s="31"/>
      <c r="I263" s="9"/>
      <c r="J263" s="9"/>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B264" s="233"/>
      <c r="C264" s="41"/>
      <c r="D264" s="31"/>
      <c r="E264" s="248"/>
      <c r="F264" s="31"/>
      <c r="G264" s="34"/>
      <c r="H264" s="31"/>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B265" s="233"/>
      <c r="C265" s="41"/>
      <c r="D265" s="31"/>
      <c r="E265" s="248"/>
      <c r="F265" s="31"/>
      <c r="G265" s="34"/>
      <c r="H265" s="31"/>
      <c r="I265" s="9"/>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B266" s="233"/>
      <c r="C266" s="41"/>
      <c r="D266" s="31"/>
      <c r="E266" s="248"/>
      <c r="F266" s="31"/>
      <c r="G266" s="34"/>
      <c r="H266" s="31"/>
      <c r="I266" s="9"/>
      <c r="J266" s="9"/>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B267" s="233"/>
      <c r="C267" s="41"/>
      <c r="D267" s="31"/>
      <c r="E267" s="249"/>
      <c r="F267" s="31"/>
      <c r="G267" s="34"/>
      <c r="H267" s="31"/>
      <c r="I267" s="9"/>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B268" s="233"/>
      <c r="C268" s="41"/>
      <c r="D268" s="31"/>
      <c r="E268" s="249"/>
      <c r="F268" s="30"/>
      <c r="G268" s="34"/>
      <c r="H268" s="30"/>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B269" s="233"/>
      <c r="C269" s="41"/>
      <c r="D269" s="31"/>
      <c r="E269" s="249"/>
      <c r="F269" s="37"/>
      <c r="G269" s="34"/>
      <c r="H269" s="30"/>
      <c r="I269" s="9"/>
      <c r="J269" s="9"/>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B270" s="233"/>
      <c r="C270" s="41"/>
      <c r="D270" s="31"/>
      <c r="E270" s="248"/>
      <c r="F270" s="31"/>
      <c r="G270" s="34"/>
      <c r="H270" s="31"/>
      <c r="I270" s="9"/>
      <c r="J270" s="9"/>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B271" s="233"/>
      <c r="C271" s="41"/>
      <c r="D271" s="31"/>
      <c r="E271" s="248"/>
      <c r="F271" s="62"/>
      <c r="G271" s="34"/>
      <c r="H271" s="62"/>
      <c r="J271" s="9"/>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233"/>
      <c r="C272" s="41"/>
      <c r="D272" s="31"/>
      <c r="E272" s="248"/>
      <c r="F272" s="31"/>
      <c r="G272" s="34"/>
      <c r="H272" s="31"/>
      <c r="I272" s="9"/>
      <c r="J272" s="9"/>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233"/>
      <c r="C273" s="41"/>
      <c r="D273" s="31"/>
      <c r="E273" s="248"/>
      <c r="F273" s="31"/>
      <c r="G273" s="34"/>
      <c r="H273" s="31"/>
      <c r="I273" s="9"/>
      <c r="J273" s="9"/>
      <c r="K273" s="11"/>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B274" s="233"/>
      <c r="C274" s="41"/>
      <c r="D274" s="31"/>
      <c r="E274" s="248"/>
      <c r="F274" s="31"/>
      <c r="G274" s="34"/>
      <c r="H274" s="31"/>
      <c r="I274" s="9"/>
      <c r="J274" s="9"/>
      <c r="K274" s="11"/>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B275" s="233"/>
      <c r="C275" s="41"/>
      <c r="D275" s="31"/>
      <c r="E275" s="248"/>
      <c r="F275" s="31"/>
      <c r="G275" s="34"/>
      <c r="H275" s="31"/>
      <c r="J275" s="9"/>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B276" s="233"/>
      <c r="C276" s="41"/>
      <c r="D276" s="31"/>
      <c r="E276" s="249"/>
      <c r="F276" s="31"/>
      <c r="G276" s="34"/>
      <c r="H276" s="31"/>
      <c r="I276" s="9"/>
      <c r="J276" s="9"/>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B277" s="233"/>
      <c r="C277" s="41"/>
      <c r="D277" s="31"/>
      <c r="E277" s="249"/>
      <c r="F277" s="30"/>
      <c r="G277" s="34"/>
      <c r="H277" s="30"/>
      <c r="I277" s="9"/>
      <c r="J277" s="9"/>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B278" s="233"/>
      <c r="C278" s="41"/>
      <c r="D278" s="31"/>
      <c r="E278" s="249"/>
      <c r="F278" s="37"/>
      <c r="G278" s="34"/>
      <c r="H278" s="30"/>
      <c r="I278" s="9"/>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B279" s="233"/>
      <c r="C279" s="41"/>
      <c r="D279" s="31"/>
      <c r="E279" s="248"/>
      <c r="F279" s="31"/>
      <c r="G279" s="34"/>
      <c r="H279" s="31"/>
      <c r="I279" s="9"/>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B280" s="233"/>
      <c r="C280" s="41"/>
      <c r="D280" s="31"/>
      <c r="E280" s="248"/>
      <c r="F280" s="62"/>
      <c r="G280" s="34"/>
      <c r="H280" s="62"/>
      <c r="I280" s="9"/>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B281" s="233"/>
      <c r="C281" s="39"/>
      <c r="D281" s="31"/>
      <c r="E281" s="248"/>
      <c r="F281" s="31"/>
      <c r="G281" s="34"/>
      <c r="H281" s="31"/>
      <c r="I281" s="9"/>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B282" s="233"/>
      <c r="C282" s="39"/>
      <c r="D282" s="31"/>
      <c r="E282" s="248"/>
      <c r="F282" s="31"/>
      <c r="G282" s="34"/>
      <c r="H282" s="31"/>
      <c r="I282" s="9"/>
      <c r="J282" s="9"/>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B283" s="233"/>
      <c r="C283" s="39"/>
      <c r="D283" s="31"/>
      <c r="E283" s="248"/>
      <c r="F283" s="31"/>
      <c r="G283" s="34"/>
      <c r="H283" s="31"/>
      <c r="I283" s="9"/>
      <c r="J283" s="9"/>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B284" s="233"/>
      <c r="C284" s="39"/>
      <c r="D284" s="31"/>
      <c r="E284" s="248"/>
      <c r="F284" s="31"/>
      <c r="G284" s="34"/>
      <c r="H284" s="31"/>
      <c r="J284" s="9"/>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233"/>
      <c r="C285" s="39"/>
      <c r="D285" s="31"/>
      <c r="E285" s="249"/>
      <c r="F285" s="31"/>
      <c r="G285" s="34"/>
      <c r="H285" s="31"/>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233"/>
      <c r="C286" s="39"/>
      <c r="D286" s="31"/>
      <c r="E286" s="249"/>
      <c r="F286" s="30"/>
      <c r="G286" s="34"/>
      <c r="H286" s="30"/>
      <c r="I286" s="9"/>
      <c r="J286" s="9"/>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B287" s="233"/>
      <c r="C287" s="39"/>
      <c r="D287" s="31"/>
      <c r="E287" s="249"/>
      <c r="F287" s="37"/>
      <c r="G287" s="34"/>
      <c r="H287" s="30"/>
      <c r="I287" s="9"/>
      <c r="J287" s="9"/>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B288" s="233"/>
      <c r="C288" s="39"/>
      <c r="D288" s="31"/>
      <c r="E288" s="248"/>
      <c r="F288" s="31"/>
      <c r="G288" s="34"/>
      <c r="H288" s="31"/>
      <c r="I288" s="9"/>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B289" s="233"/>
      <c r="C289" s="39"/>
      <c r="D289" s="31"/>
      <c r="E289" s="248"/>
      <c r="F289" s="62"/>
      <c r="G289" s="34"/>
      <c r="H289" s="62"/>
      <c r="I289" s="9"/>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B290" s="233"/>
      <c r="C290" s="44"/>
      <c r="D290" s="9"/>
      <c r="E290" s="245"/>
      <c r="F290" s="9"/>
      <c r="G290" s="251"/>
      <c r="H290" s="9"/>
      <c r="I290" s="9"/>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B291" s="252"/>
      <c r="C291" s="64"/>
      <c r="E291" s="253"/>
      <c r="G291" s="254"/>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B292" s="233"/>
      <c r="C292" s="64"/>
      <c r="E292" s="253"/>
      <c r="G292" s="254"/>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B293" s="252"/>
      <c r="C293" s="64"/>
      <c r="E293" s="253"/>
      <c r="G293" s="254"/>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B294" s="233"/>
      <c r="C294" s="64"/>
      <c r="E294" s="253"/>
      <c r="G294" s="254"/>
      <c r="I294" s="11"/>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B295" s="252"/>
      <c r="C295" s="41"/>
      <c r="D295" s="31"/>
      <c r="E295" s="248"/>
      <c r="F295" s="31"/>
      <c r="G295" s="34"/>
      <c r="H295" s="9"/>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B296" s="233"/>
      <c r="C296" s="41"/>
      <c r="D296" s="31"/>
      <c r="E296" s="248"/>
      <c r="F296" s="31"/>
      <c r="G296" s="34"/>
      <c r="H296" s="31"/>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B297" s="233"/>
      <c r="C297" s="41"/>
      <c r="D297" s="31"/>
      <c r="E297" s="248"/>
      <c r="F297" s="31"/>
      <c r="G297" s="34"/>
      <c r="H297" s="31"/>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B298" s="252"/>
      <c r="C298" s="41"/>
      <c r="D298" s="31"/>
      <c r="E298" s="249"/>
      <c r="F298" s="31"/>
      <c r="G298" s="34"/>
      <c r="H298" s="31"/>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233"/>
      <c r="C299" s="41"/>
      <c r="D299" s="31"/>
      <c r="E299" s="249"/>
      <c r="F299" s="30"/>
      <c r="G299" s="34"/>
      <c r="H299" s="30"/>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233"/>
      <c r="C300" s="39"/>
      <c r="D300" s="8"/>
      <c r="E300" s="234"/>
      <c r="F300" s="38"/>
      <c r="G300" s="34"/>
      <c r="H300" s="35"/>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B301" s="233"/>
      <c r="C301" s="39"/>
      <c r="D301" s="8"/>
      <c r="E301" s="195"/>
      <c r="F301" s="38"/>
      <c r="G301" s="34"/>
      <c r="H301" s="35"/>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B302" s="233"/>
      <c r="C302" s="39"/>
      <c r="D302" s="8"/>
      <c r="E302" s="255"/>
      <c r="F302" s="35"/>
      <c r="G302" s="34"/>
      <c r="H302" s="35"/>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B303" s="233"/>
      <c r="C303" s="39"/>
      <c r="D303" s="8"/>
      <c r="E303" s="256"/>
      <c r="F303" s="35"/>
      <c r="G303" s="34"/>
      <c r="H303" s="62"/>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B304" s="257"/>
      <c r="C304" s="66"/>
      <c r="D304" s="32"/>
      <c r="E304" s="256"/>
      <c r="F304" s="35"/>
      <c r="G304" s="258"/>
      <c r="H304" s="3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B305" s="257"/>
      <c r="C305" s="66"/>
      <c r="D305" s="32"/>
      <c r="E305" s="230"/>
      <c r="F305" s="35"/>
      <c r="G305" s="258"/>
      <c r="H305" s="3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B306" s="259"/>
      <c r="C306" s="68"/>
      <c r="D306" s="31"/>
      <c r="E306" s="248"/>
      <c r="F306" s="31"/>
      <c r="G306" s="69"/>
      <c r="H306" s="31"/>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B307" s="259"/>
      <c r="C307" s="68"/>
      <c r="D307" s="31"/>
      <c r="E307" s="248"/>
      <c r="F307" s="31"/>
      <c r="G307" s="250"/>
      <c r="H307" s="31"/>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B308" s="259"/>
      <c r="C308" s="68"/>
      <c r="D308" s="31"/>
      <c r="E308" s="248"/>
      <c r="F308" s="31"/>
      <c r="G308" s="250"/>
      <c r="H308" s="31"/>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B309" s="260"/>
      <c r="C309" s="21"/>
      <c r="D309" s="15"/>
      <c r="E309" s="261"/>
      <c r="F309" s="15"/>
      <c r="G309" s="262"/>
      <c r="H309" s="15"/>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B310" s="260"/>
      <c r="C310" s="21"/>
      <c r="D310" s="15"/>
      <c r="E310" s="261"/>
      <c r="F310" s="15"/>
      <c r="G310" s="262"/>
      <c r="H310" s="15"/>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B311" s="260"/>
      <c r="C311" s="21"/>
      <c r="D311" s="15"/>
      <c r="E311" s="261"/>
      <c r="F311" s="15"/>
      <c r="G311" s="262"/>
      <c r="H311" s="15"/>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B312" s="260"/>
      <c r="C312" s="21"/>
      <c r="D312" s="15"/>
      <c r="E312" s="261"/>
      <c r="F312" s="15"/>
      <c r="G312" s="262"/>
      <c r="H312" s="15"/>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15"/>
      <c r="B313" s="260"/>
      <c r="C313" s="21"/>
      <c r="D313" s="15"/>
      <c r="E313" s="261"/>
      <c r="F313" s="15"/>
      <c r="G313" s="262"/>
      <c r="H313" s="15"/>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260"/>
      <c r="C314" s="21"/>
      <c r="D314" s="15"/>
      <c r="E314" s="261"/>
      <c r="F314" s="15"/>
      <c r="G314" s="262"/>
      <c r="H314" s="15"/>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260"/>
      <c r="C315" s="21"/>
      <c r="D315" s="15"/>
      <c r="E315" s="261"/>
      <c r="F315" s="15"/>
      <c r="G315" s="262"/>
      <c r="H315" s="15"/>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B316" s="260"/>
      <c r="C316" s="21"/>
      <c r="D316" s="15"/>
      <c r="E316" s="261"/>
      <c r="F316" s="15"/>
      <c r="G316" s="262"/>
      <c r="H316" s="15"/>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B317" s="260"/>
      <c r="C317" s="21"/>
      <c r="D317" s="15"/>
      <c r="E317" s="261"/>
      <c r="F317" s="15"/>
      <c r="G317" s="262"/>
      <c r="H317" s="15"/>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B318" s="260"/>
      <c r="C318" s="21"/>
      <c r="D318" s="15"/>
      <c r="E318" s="261"/>
      <c r="F318" s="15"/>
      <c r="G318" s="262"/>
      <c r="H318" s="15"/>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B319" s="260"/>
      <c r="C319" s="21"/>
      <c r="D319" s="15"/>
      <c r="E319" s="261"/>
      <c r="F319" s="15"/>
      <c r="G319" s="262"/>
      <c r="H319" s="15"/>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B320" s="260"/>
      <c r="C320" s="21"/>
      <c r="D320" s="15"/>
      <c r="E320" s="261"/>
      <c r="F320" s="15"/>
      <c r="G320" s="262"/>
      <c r="H320" s="15"/>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B321" s="260"/>
      <c r="C321" s="21"/>
      <c r="D321" s="15"/>
      <c r="E321" s="261"/>
      <c r="F321" s="15"/>
      <c r="G321" s="262"/>
      <c r="H321" s="1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B322" s="260"/>
      <c r="C322" s="21"/>
      <c r="D322" s="15"/>
      <c r="E322" s="261"/>
      <c r="F322" s="15"/>
      <c r="G322" s="262"/>
      <c r="H322" s="1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B323" s="260"/>
      <c r="C323" s="21"/>
      <c r="D323" s="15"/>
      <c r="E323" s="261"/>
      <c r="F323" s="15"/>
      <c r="G323" s="262"/>
      <c r="H323" s="1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B324" s="260"/>
      <c r="C324" s="21"/>
      <c r="D324" s="15"/>
      <c r="E324" s="261"/>
      <c r="F324" s="15"/>
      <c r="G324" s="262"/>
      <c r="H324" s="15"/>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B325" s="260"/>
      <c r="C325" s="21"/>
      <c r="D325" s="15"/>
      <c r="E325" s="261"/>
      <c r="F325" s="15"/>
      <c r="G325" s="262"/>
      <c r="H325" s="1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B326" s="260"/>
      <c r="C326" s="21"/>
      <c r="D326" s="15"/>
      <c r="E326" s="261"/>
      <c r="F326" s="15"/>
      <c r="G326" s="262"/>
      <c r="H326" s="15"/>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B327" s="260"/>
      <c r="C327" s="21"/>
      <c r="D327" s="15"/>
      <c r="E327" s="261"/>
      <c r="F327" s="15"/>
      <c r="G327" s="262"/>
      <c r="H327" s="15"/>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B328" s="260"/>
      <c r="C328" s="21"/>
      <c r="D328" s="15"/>
      <c r="E328" s="261"/>
      <c r="F328" s="15"/>
      <c r="G328" s="262"/>
      <c r="H328" s="15"/>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B329" s="260"/>
      <c r="C329" s="21"/>
      <c r="D329" s="15"/>
      <c r="E329" s="261"/>
      <c r="F329" s="15"/>
      <c r="G329" s="262"/>
      <c r="H329" s="15"/>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260"/>
      <c r="C330" s="21"/>
      <c r="D330" s="15"/>
      <c r="E330" s="261"/>
      <c r="F330" s="15"/>
      <c r="G330" s="262"/>
      <c r="H330" s="15"/>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260"/>
      <c r="C331" s="21"/>
      <c r="D331" s="15"/>
      <c r="E331" s="261"/>
      <c r="F331" s="15"/>
      <c r="G331" s="262"/>
      <c r="H331" s="15"/>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B332" s="260"/>
      <c r="C332" s="21"/>
      <c r="D332" s="15"/>
      <c r="E332" s="261"/>
      <c r="F332" s="15"/>
      <c r="G332" s="262"/>
      <c r="H332" s="15"/>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B333" s="260"/>
      <c r="C333" s="21"/>
      <c r="D333" s="15"/>
      <c r="E333" s="261"/>
      <c r="F333" s="15"/>
      <c r="G333" s="262"/>
      <c r="H333" s="15"/>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B334" s="260"/>
      <c r="C334" s="21"/>
      <c r="D334" s="15"/>
      <c r="E334" s="261"/>
      <c r="F334" s="15"/>
      <c r="G334" s="262"/>
      <c r="H334" s="15"/>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B335" s="260"/>
      <c r="C335" s="21"/>
      <c r="D335" s="15"/>
      <c r="E335" s="261"/>
      <c r="F335" s="15"/>
      <c r="G335" s="262"/>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B336" s="260"/>
      <c r="C336" s="21"/>
      <c r="D336" s="15"/>
      <c r="E336" s="261"/>
      <c r="F336" s="15"/>
      <c r="G336" s="262"/>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B337" s="260"/>
      <c r="C337" s="21"/>
      <c r="D337" s="15"/>
      <c r="E337" s="261"/>
      <c r="F337" s="15"/>
      <c r="G337" s="262"/>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B338" s="260"/>
      <c r="C338" s="21"/>
      <c r="D338" s="15"/>
      <c r="E338" s="261"/>
      <c r="F338" s="15"/>
      <c r="G338" s="262"/>
      <c r="H338" s="15"/>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B339" s="260"/>
      <c r="C339" s="21"/>
      <c r="D339" s="15"/>
      <c r="E339" s="261"/>
      <c r="F339" s="15"/>
      <c r="G339" s="262"/>
      <c r="H339" s="15"/>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B340" s="260"/>
      <c r="C340" s="21"/>
      <c r="D340" s="15"/>
      <c r="E340" s="261"/>
      <c r="F340" s="15"/>
      <c r="G340" s="262"/>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B341" s="260"/>
      <c r="C341" s="21"/>
      <c r="D341" s="15"/>
      <c r="E341" s="261"/>
      <c r="F341" s="15"/>
      <c r="G341" s="262"/>
      <c r="H341" s="15"/>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B342" s="260"/>
      <c r="C342" s="21"/>
      <c r="D342" s="15"/>
      <c r="E342" s="261"/>
      <c r="F342" s="15"/>
      <c r="G342" s="262"/>
      <c r="H342" s="15"/>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B343" s="260"/>
      <c r="C343" s="21"/>
      <c r="D343" s="15"/>
      <c r="E343" s="261"/>
      <c r="F343" s="15"/>
      <c r="G343" s="262"/>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B344" s="260"/>
      <c r="C344" s="21"/>
      <c r="D344" s="15"/>
      <c r="E344" s="261"/>
      <c r="F344" s="15"/>
      <c r="G344" s="262"/>
      <c r="H344" s="15"/>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B345" s="260"/>
      <c r="C345" s="21"/>
      <c r="D345" s="15"/>
      <c r="E345" s="261"/>
      <c r="F345" s="15"/>
      <c r="G345" s="262"/>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B346" s="260"/>
      <c r="C346" s="21"/>
      <c r="D346" s="15"/>
      <c r="E346" s="261"/>
      <c r="F346" s="15"/>
      <c r="G346" s="262"/>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B347" s="260"/>
      <c r="C347" s="21"/>
      <c r="D347" s="15"/>
      <c r="E347" s="261"/>
      <c r="F347" s="15"/>
      <c r="G347" s="262"/>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B348" s="260"/>
      <c r="C348" s="21"/>
      <c r="D348" s="15"/>
      <c r="E348" s="261"/>
      <c r="F348" s="15"/>
      <c r="G348" s="262"/>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260"/>
      <c r="C349" s="21"/>
      <c r="D349" s="15"/>
      <c r="E349" s="261"/>
      <c r="F349" s="15"/>
      <c r="G349" s="262"/>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260"/>
      <c r="C350" s="21"/>
      <c r="D350" s="15"/>
      <c r="E350" s="261"/>
      <c r="F350" s="15"/>
      <c r="G350" s="262"/>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B351" s="260"/>
      <c r="C351" s="21"/>
      <c r="D351" s="15"/>
      <c r="E351" s="261"/>
      <c r="F351" s="15"/>
      <c r="G351" s="262"/>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B352" s="260"/>
      <c r="C352" s="21"/>
      <c r="D352" s="15"/>
      <c r="E352" s="261"/>
      <c r="F352" s="15"/>
      <c r="G352" s="262"/>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B353" s="260"/>
      <c r="C353" s="21"/>
      <c r="D353" s="15"/>
      <c r="E353" s="261"/>
      <c r="F353" s="15"/>
      <c r="G353" s="262"/>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B354" s="260"/>
      <c r="C354" s="21"/>
      <c r="D354" s="15"/>
      <c r="E354" s="261"/>
      <c r="F354" s="15"/>
      <c r="G354" s="262"/>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B355" s="260"/>
      <c r="C355" s="21"/>
      <c r="D355" s="15"/>
      <c r="E355" s="261"/>
      <c r="F355" s="15"/>
      <c r="G355" s="262"/>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B356" s="260"/>
      <c r="C356" s="21"/>
      <c r="D356" s="15"/>
      <c r="E356" s="261"/>
      <c r="F356" s="15"/>
      <c r="G356" s="262"/>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B357" s="260"/>
      <c r="C357" s="21"/>
      <c r="D357" s="15"/>
      <c r="E357" s="261"/>
      <c r="F357" s="15"/>
      <c r="G357" s="262"/>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B358" s="260"/>
      <c r="C358" s="21"/>
      <c r="D358" s="15"/>
      <c r="E358" s="261"/>
      <c r="F358" s="15"/>
      <c r="G358" s="262"/>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B359" s="260"/>
      <c r="C359" s="21"/>
      <c r="D359" s="15"/>
      <c r="E359" s="261"/>
      <c r="F359" s="15"/>
      <c r="G359" s="262"/>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B360" s="260"/>
      <c r="C360" s="21"/>
      <c r="D360" s="15"/>
      <c r="E360" s="261"/>
      <c r="F360" s="15"/>
      <c r="G360" s="262"/>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B361" s="260"/>
      <c r="C361" s="21"/>
      <c r="D361" s="15"/>
      <c r="E361" s="261"/>
      <c r="F361" s="15"/>
      <c r="G361" s="262"/>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260"/>
      <c r="C362" s="21"/>
      <c r="D362" s="15"/>
      <c r="E362" s="261"/>
      <c r="F362" s="15"/>
      <c r="G362" s="262"/>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260"/>
      <c r="C363" s="21"/>
      <c r="D363" s="15"/>
      <c r="E363" s="261"/>
      <c r="F363" s="15"/>
      <c r="G363" s="262"/>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B364" s="260"/>
      <c r="C364" s="21"/>
      <c r="D364" s="15"/>
      <c r="E364" s="261"/>
      <c r="F364" s="15"/>
      <c r="G364" s="262"/>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B365" s="260"/>
      <c r="C365" s="21"/>
      <c r="D365" s="15"/>
      <c r="E365" s="261"/>
      <c r="F365" s="15"/>
      <c r="G365" s="262"/>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B366" s="260"/>
      <c r="C366" s="21"/>
      <c r="D366" s="15"/>
      <c r="E366" s="261"/>
      <c r="F366" s="15"/>
      <c r="G366" s="262"/>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B367" s="260"/>
      <c r="C367" s="21"/>
      <c r="D367" s="15"/>
      <c r="E367" s="261"/>
      <c r="F367" s="15"/>
      <c r="G367" s="262"/>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B368" s="260"/>
      <c r="C368" s="21"/>
      <c r="D368" s="15"/>
      <c r="E368" s="261"/>
      <c r="F368" s="15"/>
      <c r="G368" s="262"/>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B369" s="260"/>
      <c r="C369" s="21"/>
      <c r="D369" s="15"/>
      <c r="E369" s="261"/>
      <c r="F369" s="15"/>
      <c r="G369" s="262"/>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B370" s="260"/>
      <c r="C370" s="21"/>
      <c r="D370" s="15"/>
      <c r="E370" s="261"/>
      <c r="F370" s="15"/>
      <c r="G370" s="262"/>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B371" s="260"/>
      <c r="C371" s="21"/>
      <c r="D371" s="15"/>
      <c r="E371" s="261"/>
      <c r="F371" s="15"/>
      <c r="G371" s="262"/>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B372" s="260"/>
      <c r="C372" s="21"/>
      <c r="D372" s="15"/>
      <c r="E372" s="261"/>
      <c r="F372" s="15"/>
      <c r="G372" s="262"/>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B373" s="260"/>
      <c r="C373" s="21"/>
      <c r="D373" s="15"/>
      <c r="E373" s="261"/>
      <c r="F373" s="15"/>
      <c r="G373" s="262"/>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B374" s="260"/>
      <c r="C374" s="21"/>
      <c r="D374" s="15"/>
      <c r="E374" s="261"/>
      <c r="F374" s="15"/>
      <c r="G374" s="262"/>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B375" s="260"/>
      <c r="C375" s="21"/>
      <c r="D375" s="15"/>
      <c r="E375" s="261"/>
      <c r="F375" s="15"/>
      <c r="G375" s="262"/>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260"/>
      <c r="C376" s="21"/>
      <c r="D376" s="15"/>
      <c r="E376" s="261"/>
      <c r="F376" s="15"/>
      <c r="G376" s="262"/>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260"/>
      <c r="C377" s="21"/>
      <c r="D377" s="15"/>
      <c r="E377" s="261"/>
      <c r="F377" s="15"/>
      <c r="G377" s="262"/>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B378" s="260"/>
      <c r="C378" s="21"/>
      <c r="D378" s="15"/>
      <c r="E378" s="261"/>
      <c r="F378" s="15"/>
      <c r="G378" s="262"/>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B379" s="260"/>
      <c r="C379" s="21"/>
      <c r="D379" s="15"/>
      <c r="E379" s="261"/>
      <c r="F379" s="15"/>
      <c r="G379" s="262"/>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B380" s="260"/>
      <c r="C380" s="21"/>
      <c r="D380" s="15"/>
      <c r="E380" s="261"/>
      <c r="F380" s="15"/>
      <c r="G380" s="262"/>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B381" s="260"/>
      <c r="C381" s="21"/>
      <c r="D381" s="15"/>
      <c r="E381" s="261"/>
      <c r="F381" s="15"/>
      <c r="G381" s="262"/>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B382" s="260"/>
      <c r="C382" s="21"/>
      <c r="D382" s="15"/>
      <c r="E382" s="261"/>
      <c r="F382" s="15"/>
      <c r="G382" s="262"/>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B383" s="260"/>
      <c r="C383" s="21"/>
      <c r="D383" s="15"/>
      <c r="E383" s="261"/>
      <c r="F383" s="15"/>
      <c r="G383" s="262"/>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B384" s="260"/>
      <c r="C384" s="21"/>
      <c r="D384" s="15"/>
      <c r="E384" s="261"/>
      <c r="F384" s="15"/>
      <c r="G384" s="262"/>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B385" s="260"/>
      <c r="C385" s="21"/>
      <c r="D385" s="15"/>
      <c r="E385" s="261"/>
      <c r="F385" s="15"/>
      <c r="G385" s="262"/>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B386" s="260"/>
      <c r="C386" s="21"/>
      <c r="D386" s="15"/>
      <c r="E386" s="261"/>
      <c r="F386" s="15"/>
      <c r="G386" s="262"/>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B387" s="260"/>
      <c r="C387" s="21"/>
      <c r="D387" s="15"/>
      <c r="E387" s="261"/>
      <c r="F387" s="15"/>
      <c r="G387" s="262"/>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B388" s="260"/>
      <c r="C388" s="21"/>
      <c r="D388" s="15"/>
      <c r="E388" s="261"/>
      <c r="F388" s="15"/>
      <c r="G388" s="262"/>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B389" s="260"/>
      <c r="C389" s="21"/>
      <c r="D389" s="15"/>
      <c r="E389" s="261"/>
      <c r="F389" s="15"/>
      <c r="G389" s="262"/>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B390" s="260"/>
      <c r="C390" s="21"/>
      <c r="D390" s="15"/>
      <c r="E390" s="261"/>
      <c r="F390" s="15"/>
      <c r="G390" s="262"/>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260"/>
      <c r="C391" s="21"/>
      <c r="D391" s="15"/>
      <c r="E391" s="261"/>
      <c r="F391" s="15"/>
      <c r="G391" s="262"/>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260"/>
      <c r="C392" s="21"/>
      <c r="D392" s="15"/>
      <c r="E392" s="261"/>
      <c r="F392" s="15"/>
      <c r="G392" s="262"/>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B393" s="260"/>
      <c r="C393" s="21"/>
      <c r="D393" s="15"/>
      <c r="E393" s="261"/>
      <c r="F393" s="15"/>
      <c r="G393" s="262"/>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B394" s="260"/>
      <c r="C394" s="21"/>
      <c r="D394" s="15"/>
      <c r="E394" s="261"/>
      <c r="F394" s="15"/>
      <c r="G394" s="262"/>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B395" s="260"/>
      <c r="C395" s="21"/>
      <c r="D395" s="15"/>
      <c r="E395" s="261"/>
      <c r="F395" s="15"/>
      <c r="G395" s="262"/>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B396" s="260"/>
      <c r="C396" s="21"/>
      <c r="D396" s="15"/>
      <c r="E396" s="261"/>
      <c r="F396" s="15"/>
      <c r="G396" s="262"/>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B397" s="260"/>
      <c r="C397" s="21"/>
      <c r="D397" s="15"/>
      <c r="E397" s="261"/>
      <c r="F397" s="15"/>
      <c r="G397" s="262"/>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B398" s="260"/>
      <c r="C398" s="21"/>
      <c r="D398" s="15"/>
      <c r="E398" s="261"/>
      <c r="F398" s="15"/>
      <c r="G398" s="262"/>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B399" s="260"/>
      <c r="C399" s="21"/>
      <c r="D399" s="15"/>
      <c r="E399" s="261"/>
      <c r="F399" s="15"/>
      <c r="G399" s="262"/>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B400" s="260"/>
      <c r="C400" s="21"/>
      <c r="D400" s="15"/>
      <c r="E400" s="261"/>
      <c r="F400" s="15"/>
      <c r="G400" s="262"/>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B401" s="260"/>
      <c r="C401" s="21"/>
      <c r="D401" s="15"/>
      <c r="E401" s="261"/>
      <c r="F401" s="15"/>
      <c r="G401" s="262"/>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B402" s="260"/>
      <c r="C402" s="21"/>
      <c r="D402" s="15"/>
      <c r="E402" s="261"/>
      <c r="F402" s="15"/>
      <c r="G402" s="262"/>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B403" s="260"/>
      <c r="C403" s="21"/>
      <c r="D403" s="15"/>
      <c r="E403" s="261"/>
      <c r="F403" s="15"/>
      <c r="G403" s="262"/>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B404" s="260"/>
      <c r="C404" s="21"/>
      <c r="D404" s="15"/>
      <c r="E404" s="261"/>
      <c r="F404" s="15"/>
      <c r="G404" s="262"/>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B405" s="260"/>
      <c r="C405" s="21"/>
      <c r="D405" s="15"/>
      <c r="E405" s="261"/>
      <c r="F405" s="15"/>
      <c r="G405" s="262"/>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B406" s="260"/>
      <c r="C406" s="21"/>
      <c r="D406" s="15"/>
      <c r="E406" s="261"/>
      <c r="F406" s="15"/>
      <c r="G406" s="262"/>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260"/>
      <c r="C407" s="21"/>
      <c r="D407" s="15"/>
      <c r="E407" s="261"/>
      <c r="F407" s="15"/>
      <c r="G407" s="262"/>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260"/>
      <c r="C408" s="21"/>
      <c r="D408" s="15"/>
      <c r="E408" s="261"/>
      <c r="F408" s="15"/>
      <c r="G408" s="262"/>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B409" s="260"/>
      <c r="C409" s="21"/>
      <c r="D409" s="15"/>
      <c r="E409" s="261"/>
      <c r="F409" s="15"/>
      <c r="G409" s="262"/>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B410" s="260"/>
      <c r="C410" s="21"/>
      <c r="D410" s="15"/>
      <c r="E410" s="261"/>
      <c r="F410" s="15"/>
      <c r="G410" s="262"/>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B411" s="260"/>
      <c r="C411" s="21"/>
      <c r="D411" s="15"/>
      <c r="E411" s="261"/>
      <c r="F411" s="15"/>
      <c r="G411" s="262"/>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B412" s="260"/>
      <c r="C412" s="21"/>
      <c r="D412" s="15"/>
      <c r="E412" s="261"/>
      <c r="F412" s="15"/>
      <c r="G412" s="262"/>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B413" s="260"/>
      <c r="C413" s="21"/>
      <c r="D413" s="15"/>
      <c r="E413" s="261"/>
      <c r="F413" s="15"/>
      <c r="G413" s="262"/>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B414" s="260"/>
      <c r="C414" s="21"/>
      <c r="D414" s="15"/>
      <c r="E414" s="261"/>
      <c r="F414" s="15"/>
      <c r="G414" s="262"/>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B415" s="260"/>
      <c r="C415" s="21"/>
      <c r="D415" s="15"/>
      <c r="E415" s="261"/>
      <c r="F415" s="15"/>
      <c r="G415" s="262"/>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B416" s="260"/>
      <c r="C416" s="21"/>
      <c r="D416" s="15"/>
      <c r="E416" s="261"/>
      <c r="F416" s="15"/>
      <c r="G416" s="262"/>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B417" s="260"/>
      <c r="C417" s="21"/>
      <c r="D417" s="15"/>
      <c r="E417" s="261"/>
      <c r="F417" s="15"/>
      <c r="G417" s="262"/>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B418" s="260"/>
      <c r="C418" s="21"/>
      <c r="D418" s="15"/>
      <c r="E418" s="261"/>
      <c r="F418" s="15"/>
      <c r="G418" s="262"/>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B419" s="260"/>
      <c r="C419" s="21"/>
      <c r="D419" s="15"/>
      <c r="E419" s="261"/>
      <c r="F419" s="15"/>
      <c r="G419" s="262"/>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B420" s="260"/>
      <c r="C420" s="21"/>
      <c r="D420" s="15"/>
      <c r="E420" s="261"/>
      <c r="F420" s="15"/>
      <c r="G420" s="262"/>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B421" s="260"/>
      <c r="C421" s="21"/>
      <c r="D421" s="15"/>
      <c r="E421" s="261"/>
      <c r="F421" s="15"/>
      <c r="G421" s="262"/>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B422" s="260"/>
      <c r="C422" s="21"/>
      <c r="D422" s="15"/>
      <c r="E422" s="261"/>
      <c r="F422" s="15"/>
      <c r="G422" s="262"/>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B423" s="260"/>
      <c r="C423" s="21"/>
      <c r="D423" s="15"/>
      <c r="E423" s="261"/>
      <c r="F423" s="15"/>
      <c r="G423" s="262"/>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B424" s="260"/>
      <c r="C424" s="21"/>
      <c r="D424" s="15"/>
      <c r="E424" s="261"/>
      <c r="F424" s="15"/>
      <c r="G424" s="262"/>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260"/>
      <c r="C425" s="21"/>
      <c r="D425" s="15"/>
      <c r="E425" s="261"/>
      <c r="F425" s="15"/>
      <c r="G425" s="262"/>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260"/>
      <c r="C426" s="21"/>
      <c r="D426" s="15"/>
      <c r="E426" s="261"/>
      <c r="F426" s="15"/>
      <c r="G426" s="262"/>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B427" s="260"/>
      <c r="C427" s="21"/>
      <c r="D427" s="15"/>
      <c r="E427" s="261"/>
      <c r="F427" s="15"/>
      <c r="G427" s="262"/>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B428" s="260"/>
      <c r="C428" s="21"/>
      <c r="D428" s="15"/>
      <c r="E428" s="261"/>
      <c r="F428" s="15"/>
      <c r="G428" s="262"/>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B429" s="260"/>
      <c r="C429" s="21"/>
      <c r="D429" s="15"/>
      <c r="E429" s="261"/>
      <c r="F429" s="15"/>
      <c r="G429" s="262"/>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B430" s="260"/>
      <c r="C430" s="21"/>
      <c r="D430" s="15"/>
      <c r="E430" s="261"/>
      <c r="F430" s="15"/>
      <c r="G430" s="262"/>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B431" s="260"/>
      <c r="C431" s="21"/>
      <c r="D431" s="15"/>
      <c r="E431" s="261"/>
      <c r="F431" s="15"/>
      <c r="G431" s="262"/>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B432" s="260"/>
      <c r="C432" s="21"/>
      <c r="D432" s="15"/>
      <c r="E432" s="261"/>
      <c r="F432" s="15"/>
      <c r="G432" s="262"/>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B433" s="260"/>
      <c r="C433" s="21"/>
      <c r="D433" s="15"/>
      <c r="E433" s="261"/>
      <c r="F433" s="15"/>
      <c r="G433" s="262"/>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B434" s="260"/>
      <c r="C434" s="21"/>
      <c r="D434" s="15"/>
      <c r="E434" s="261"/>
      <c r="F434" s="15"/>
      <c r="G434" s="262"/>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15"/>
      <c r="B435" s="260"/>
      <c r="C435" s="21"/>
      <c r="D435" s="15"/>
      <c r="E435" s="261"/>
      <c r="F435" s="15"/>
      <c r="G435" s="262"/>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B436" s="260"/>
      <c r="C436" s="21"/>
      <c r="D436" s="15"/>
      <c r="E436" s="261"/>
      <c r="F436" s="15"/>
      <c r="G436" s="262"/>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B437" s="260"/>
      <c r="C437" s="21"/>
      <c r="D437" s="15"/>
      <c r="E437" s="261"/>
      <c r="F437" s="15"/>
      <c r="G437" s="262"/>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B438" s="260"/>
      <c r="C438" s="21"/>
      <c r="D438" s="15"/>
      <c r="E438" s="261"/>
      <c r="F438" s="15"/>
      <c r="G438" s="262"/>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B439" s="260"/>
      <c r="C439" s="21"/>
      <c r="D439" s="15"/>
      <c r="E439" s="261"/>
      <c r="F439" s="15"/>
      <c r="G439" s="262"/>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B440" s="260"/>
      <c r="C440" s="21"/>
      <c r="D440" s="15"/>
      <c r="E440" s="261"/>
      <c r="F440" s="15"/>
      <c r="G440" s="262"/>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B441" s="260"/>
      <c r="C441" s="21"/>
      <c r="D441" s="15"/>
      <c r="E441" s="261"/>
      <c r="F441" s="15"/>
      <c r="G441" s="262"/>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B442" s="260"/>
      <c r="C442" s="21"/>
      <c r="D442" s="15"/>
      <c r="E442" s="261"/>
      <c r="F442" s="15"/>
      <c r="G442" s="262"/>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B443" s="260"/>
      <c r="C443" s="21"/>
      <c r="D443" s="15"/>
      <c r="E443" s="261"/>
      <c r="F443" s="15"/>
      <c r="G443" s="262"/>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B444" s="260"/>
      <c r="C444" s="21"/>
      <c r="D444" s="15"/>
      <c r="E444" s="261"/>
      <c r="F444" s="15"/>
      <c r="G444" s="262"/>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B445" s="260"/>
      <c r="C445" s="21"/>
      <c r="D445" s="15"/>
      <c r="E445" s="261"/>
      <c r="F445" s="15"/>
      <c r="G445" s="262"/>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B446" s="260"/>
      <c r="C446" s="21"/>
      <c r="D446" s="15"/>
      <c r="E446" s="261"/>
      <c r="F446" s="15"/>
      <c r="G446" s="262"/>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260"/>
      <c r="C447" s="21"/>
      <c r="D447" s="15"/>
      <c r="E447" s="261"/>
      <c r="F447" s="15"/>
      <c r="G447" s="262"/>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260"/>
      <c r="C448" s="21"/>
      <c r="D448" s="15"/>
      <c r="E448" s="261"/>
      <c r="F448" s="15"/>
      <c r="G448" s="262"/>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260"/>
      <c r="C449" s="21"/>
      <c r="D449" s="15"/>
      <c r="E449" s="261"/>
      <c r="F449" s="15"/>
      <c r="G449" s="262"/>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B450" s="260"/>
      <c r="C450" s="21"/>
      <c r="D450" s="15"/>
      <c r="E450" s="261"/>
      <c r="F450" s="15"/>
      <c r="G450" s="262"/>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B451" s="260"/>
      <c r="C451" s="21"/>
      <c r="D451" s="15"/>
      <c r="E451" s="261"/>
      <c r="F451" s="15"/>
      <c r="G451" s="262"/>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B452" s="260"/>
      <c r="C452" s="21"/>
      <c r="D452" s="15"/>
      <c r="E452" s="261"/>
      <c r="F452" s="15"/>
      <c r="G452" s="262"/>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B453" s="260"/>
      <c r="C453" s="21"/>
      <c r="D453" s="15"/>
      <c r="E453" s="261"/>
      <c r="F453" s="15"/>
      <c r="G453" s="262"/>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B454" s="260"/>
      <c r="C454" s="21"/>
      <c r="D454" s="15"/>
      <c r="E454" s="261"/>
      <c r="F454" s="15"/>
      <c r="G454" s="262"/>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B455" s="260"/>
      <c r="C455" s="21"/>
      <c r="D455" s="15"/>
      <c r="E455" s="261"/>
      <c r="F455" s="15"/>
      <c r="G455" s="262"/>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B456" s="260"/>
      <c r="C456" s="21"/>
      <c r="D456" s="15"/>
      <c r="E456" s="261"/>
      <c r="F456" s="15"/>
      <c r="G456" s="262"/>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B457" s="260"/>
      <c r="C457" s="21"/>
      <c r="D457" s="15"/>
      <c r="E457" s="261"/>
      <c r="F457" s="15"/>
      <c r="G457" s="262"/>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B458" s="260"/>
      <c r="C458" s="21"/>
      <c r="D458" s="15"/>
      <c r="E458" s="261"/>
      <c r="F458" s="15"/>
      <c r="G458" s="262"/>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B459" s="260"/>
      <c r="C459" s="21"/>
      <c r="D459" s="15"/>
      <c r="E459" s="261"/>
      <c r="F459" s="15"/>
      <c r="G459" s="262"/>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B460" s="260"/>
      <c r="C460" s="21"/>
      <c r="D460" s="15"/>
      <c r="E460" s="261"/>
      <c r="F460" s="15"/>
      <c r="G460" s="262"/>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B461" s="260"/>
      <c r="C461" s="21"/>
      <c r="D461" s="15"/>
      <c r="E461" s="261"/>
      <c r="F461" s="15"/>
      <c r="G461" s="262"/>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B462" s="260"/>
      <c r="C462" s="21"/>
      <c r="D462" s="15"/>
      <c r="E462" s="261"/>
      <c r="F462" s="15"/>
      <c r="G462" s="262"/>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B463" s="260"/>
      <c r="C463" s="21"/>
      <c r="D463" s="15"/>
      <c r="E463" s="261"/>
      <c r="F463" s="15"/>
      <c r="G463" s="262"/>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B464" s="260"/>
      <c r="C464" s="21"/>
      <c r="D464" s="15"/>
      <c r="E464" s="261"/>
      <c r="F464" s="15"/>
      <c r="G464" s="262"/>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B465" s="260"/>
      <c r="C465" s="21"/>
      <c r="D465" s="15"/>
      <c r="E465" s="261"/>
      <c r="F465" s="15"/>
      <c r="G465" s="262"/>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B466" s="260"/>
      <c r="C466" s="21"/>
      <c r="D466" s="15"/>
      <c r="E466" s="261"/>
      <c r="F466" s="15"/>
      <c r="G466" s="262"/>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B467" s="260"/>
      <c r="C467" s="21"/>
      <c r="D467" s="15"/>
      <c r="E467" s="261"/>
      <c r="F467" s="15"/>
      <c r="G467" s="262"/>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B468" s="260"/>
      <c r="C468" s="21"/>
      <c r="D468" s="15"/>
      <c r="E468" s="261"/>
      <c r="F468" s="15"/>
      <c r="G468" s="262"/>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B469" s="260"/>
      <c r="C469" s="21"/>
      <c r="D469" s="15"/>
      <c r="E469" s="261"/>
      <c r="F469" s="15"/>
      <c r="G469" s="262"/>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B470" s="260"/>
      <c r="C470" s="21"/>
      <c r="D470" s="15"/>
      <c r="E470" s="261"/>
      <c r="F470" s="15"/>
      <c r="G470" s="262"/>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B471" s="260"/>
      <c r="C471" s="21"/>
      <c r="D471" s="15"/>
      <c r="E471" s="261"/>
      <c r="F471" s="15"/>
      <c r="G471" s="262"/>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B472" s="260"/>
      <c r="C472" s="21"/>
      <c r="D472" s="15"/>
      <c r="E472" s="261"/>
      <c r="F472" s="15"/>
      <c r="G472" s="262"/>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B473" s="260"/>
      <c r="C473" s="21"/>
      <c r="D473" s="15"/>
      <c r="E473" s="261"/>
      <c r="F473" s="15"/>
      <c r="G473" s="262"/>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B474" s="260"/>
      <c r="C474" s="21"/>
      <c r="D474" s="15"/>
      <c r="E474" s="261"/>
      <c r="F474" s="15"/>
      <c r="G474" s="262"/>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B475" s="260"/>
      <c r="C475" s="21"/>
      <c r="D475" s="15"/>
      <c r="E475" s="261"/>
      <c r="F475" s="15"/>
      <c r="G475" s="262"/>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260"/>
      <c r="C476" s="21"/>
      <c r="D476" s="15"/>
      <c r="E476" s="261"/>
      <c r="F476" s="15"/>
      <c r="G476" s="262"/>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260"/>
      <c r="C477" s="21"/>
      <c r="D477" s="15"/>
      <c r="E477" s="261"/>
      <c r="F477" s="15"/>
      <c r="G477" s="262"/>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B478" s="260"/>
      <c r="C478" s="21"/>
      <c r="D478" s="15"/>
      <c r="E478" s="261"/>
      <c r="F478" s="15"/>
      <c r="G478" s="262"/>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B479" s="260"/>
      <c r="C479" s="21"/>
      <c r="D479" s="15"/>
      <c r="E479" s="261"/>
      <c r="F479" s="15"/>
      <c r="G479" s="262"/>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B480" s="260"/>
      <c r="C480" s="21"/>
      <c r="D480" s="15"/>
      <c r="E480" s="261"/>
      <c r="F480" s="15"/>
      <c r="G480" s="262"/>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B481" s="260"/>
      <c r="C481" s="21"/>
      <c r="D481" s="15"/>
      <c r="E481" s="261"/>
      <c r="F481" s="15"/>
      <c r="G481" s="262"/>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B482" s="260"/>
      <c r="C482" s="21"/>
      <c r="D482" s="15"/>
      <c r="E482" s="261"/>
      <c r="F482" s="15"/>
      <c r="G482" s="262"/>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B483" s="260"/>
      <c r="C483" s="21"/>
      <c r="D483" s="15"/>
      <c r="E483" s="261"/>
      <c r="F483" s="15"/>
      <c r="G483" s="262"/>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B484" s="260"/>
      <c r="C484" s="21"/>
      <c r="D484" s="15"/>
      <c r="E484" s="261"/>
      <c r="F484" s="15"/>
      <c r="G484" s="262"/>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B485" s="260"/>
      <c r="C485" s="21"/>
      <c r="D485" s="15"/>
      <c r="E485" s="261"/>
      <c r="F485" s="15"/>
      <c r="G485" s="262"/>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B486" s="260"/>
      <c r="C486" s="21"/>
      <c r="D486" s="15"/>
      <c r="E486" s="261"/>
      <c r="F486" s="15"/>
      <c r="G486" s="262"/>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B487" s="260"/>
      <c r="C487" s="21"/>
      <c r="D487" s="15"/>
      <c r="E487" s="261"/>
      <c r="F487" s="15"/>
      <c r="G487" s="262"/>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B488" s="260"/>
      <c r="C488" s="21"/>
      <c r="D488" s="15"/>
      <c r="E488" s="261"/>
      <c r="F488" s="15"/>
      <c r="G488" s="262"/>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B489" s="260"/>
      <c r="C489" s="21"/>
      <c r="D489" s="15"/>
      <c r="E489" s="261"/>
      <c r="F489" s="15"/>
      <c r="G489" s="262"/>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B490" s="260"/>
      <c r="C490" s="21"/>
      <c r="D490" s="15"/>
      <c r="E490" s="261"/>
      <c r="F490" s="15"/>
      <c r="G490" s="262"/>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B491" s="260"/>
      <c r="C491" s="21"/>
      <c r="D491" s="15"/>
      <c r="E491" s="261"/>
      <c r="F491" s="15"/>
      <c r="G491" s="262"/>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B492" s="260"/>
      <c r="C492" s="21"/>
      <c r="D492" s="15"/>
      <c r="E492" s="261"/>
      <c r="F492" s="15"/>
      <c r="G492" s="262"/>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B493" s="260"/>
      <c r="C493" s="21"/>
      <c r="D493" s="15"/>
      <c r="E493" s="261"/>
      <c r="F493" s="15"/>
      <c r="G493" s="262"/>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B494" s="260"/>
      <c r="C494" s="21"/>
      <c r="D494" s="15"/>
      <c r="E494" s="261"/>
      <c r="F494" s="15"/>
      <c r="G494" s="262"/>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B495" s="260"/>
      <c r="C495" s="21"/>
      <c r="D495" s="15"/>
      <c r="E495" s="261"/>
      <c r="F495" s="15"/>
      <c r="G495" s="262"/>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B496" s="260"/>
      <c r="C496" s="21"/>
      <c r="D496" s="15"/>
      <c r="E496" s="261"/>
      <c r="F496" s="15"/>
      <c r="G496" s="262"/>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B497" s="260"/>
      <c r="C497" s="21"/>
      <c r="D497" s="15"/>
      <c r="E497" s="261"/>
      <c r="F497" s="15"/>
      <c r="G497" s="262"/>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B498" s="260"/>
      <c r="C498" s="21"/>
      <c r="D498" s="15"/>
      <c r="E498" s="261"/>
      <c r="F498" s="15"/>
      <c r="G498" s="262"/>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B499" s="260"/>
      <c r="C499" s="21"/>
      <c r="D499" s="15"/>
      <c r="E499" s="261"/>
      <c r="F499" s="15"/>
      <c r="G499" s="262"/>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B500" s="260"/>
      <c r="C500" s="21"/>
      <c r="D500" s="15"/>
      <c r="E500" s="261"/>
      <c r="F500" s="15"/>
      <c r="G500" s="262"/>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B501" s="260"/>
      <c r="C501" s="21"/>
      <c r="D501" s="15"/>
      <c r="E501" s="261"/>
      <c r="F501" s="15"/>
      <c r="G501" s="262"/>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B502" s="260"/>
      <c r="C502" s="21"/>
      <c r="D502" s="15"/>
      <c r="E502" s="261"/>
      <c r="F502" s="15"/>
      <c r="G502" s="262"/>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B503" s="260"/>
      <c r="C503" s="21"/>
      <c r="D503" s="15"/>
      <c r="E503" s="261"/>
      <c r="F503" s="15"/>
      <c r="G503" s="262"/>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260"/>
      <c r="C504" s="21"/>
      <c r="D504" s="15"/>
      <c r="E504" s="261"/>
      <c r="F504" s="15"/>
      <c r="G504" s="262"/>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260"/>
      <c r="C505" s="21"/>
      <c r="D505" s="15"/>
      <c r="E505" s="261"/>
      <c r="F505" s="15"/>
      <c r="G505" s="262"/>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260"/>
      <c r="C506" s="21"/>
      <c r="D506" s="15"/>
      <c r="E506" s="261"/>
      <c r="F506" s="15"/>
      <c r="G506" s="262"/>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B507" s="260"/>
      <c r="C507" s="21"/>
      <c r="D507" s="15"/>
      <c r="E507" s="261"/>
      <c r="F507" s="15"/>
      <c r="G507" s="262"/>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260"/>
      <c r="C508" s="21"/>
      <c r="D508" s="15"/>
      <c r="E508" s="261"/>
      <c r="F508" s="15"/>
      <c r="G508" s="262"/>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B509" s="260"/>
      <c r="C509" s="21"/>
      <c r="D509" s="15"/>
      <c r="E509" s="261"/>
      <c r="F509" s="15"/>
      <c r="G509" s="262"/>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B510" s="260"/>
      <c r="C510" s="21"/>
      <c r="D510" s="15"/>
      <c r="E510" s="261"/>
      <c r="F510" s="15"/>
      <c r="G510" s="262"/>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B511" s="260"/>
      <c r="C511" s="21"/>
      <c r="D511" s="15"/>
      <c r="E511" s="261"/>
      <c r="F511" s="15"/>
      <c r="G511" s="262"/>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B512" s="260"/>
      <c r="C512" s="21"/>
      <c r="D512" s="15"/>
      <c r="E512" s="261"/>
      <c r="F512" s="15"/>
      <c r="G512" s="262"/>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B513" s="260"/>
      <c r="C513" s="21"/>
      <c r="D513" s="15"/>
      <c r="E513" s="261"/>
      <c r="F513" s="15"/>
      <c r="G513" s="262"/>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B514" s="260"/>
      <c r="C514" s="21"/>
      <c r="D514" s="15"/>
      <c r="E514" s="261"/>
      <c r="F514" s="15"/>
      <c r="G514" s="262"/>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B515" s="260"/>
      <c r="C515" s="21"/>
      <c r="D515" s="15"/>
      <c r="E515" s="261"/>
      <c r="F515" s="15"/>
      <c r="G515" s="262"/>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B516" s="260"/>
      <c r="C516" s="21"/>
      <c r="D516" s="15"/>
      <c r="E516" s="261"/>
      <c r="F516" s="15"/>
      <c r="G516" s="262"/>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B517" s="260"/>
      <c r="C517" s="21"/>
      <c r="D517" s="15"/>
      <c r="E517" s="261"/>
      <c r="F517" s="15"/>
      <c r="G517" s="262"/>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B518" s="260"/>
      <c r="C518" s="21"/>
      <c r="D518" s="15"/>
      <c r="E518" s="261"/>
      <c r="F518" s="15"/>
      <c r="G518" s="262"/>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260"/>
      <c r="C519" s="21"/>
      <c r="D519" s="15"/>
      <c r="E519" s="261"/>
      <c r="F519" s="15"/>
      <c r="G519" s="262"/>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260"/>
      <c r="C520" s="21"/>
      <c r="D520" s="15"/>
      <c r="E520" s="261"/>
      <c r="F520" s="15"/>
      <c r="G520" s="262"/>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260"/>
      <c r="C521" s="21"/>
      <c r="D521" s="15"/>
      <c r="E521" s="261"/>
      <c r="F521" s="15"/>
      <c r="G521" s="262"/>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260"/>
      <c r="C522" s="21"/>
      <c r="D522" s="15"/>
      <c r="E522" s="261"/>
      <c r="F522" s="15"/>
      <c r="G522" s="262"/>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260"/>
      <c r="C523" s="21"/>
      <c r="D523" s="15"/>
      <c r="E523" s="261"/>
      <c r="F523" s="15"/>
      <c r="G523" s="262"/>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260"/>
      <c r="C524" s="21"/>
      <c r="D524" s="15"/>
      <c r="E524" s="261"/>
      <c r="F524" s="15"/>
      <c r="G524" s="262"/>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260"/>
      <c r="C525" s="21"/>
      <c r="D525" s="15"/>
      <c r="E525" s="261"/>
      <c r="F525" s="15"/>
      <c r="G525" s="262"/>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260"/>
      <c r="C526" s="21"/>
      <c r="D526" s="15"/>
      <c r="E526" s="261"/>
      <c r="F526" s="15"/>
      <c r="G526" s="262"/>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260"/>
      <c r="C527" s="21"/>
      <c r="D527" s="15"/>
      <c r="E527" s="261"/>
      <c r="F527" s="15"/>
      <c r="G527" s="262"/>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260"/>
      <c r="C528" s="21"/>
      <c r="D528" s="15"/>
      <c r="E528" s="261"/>
      <c r="F528" s="15"/>
      <c r="G528" s="262"/>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260"/>
      <c r="C529" s="21"/>
      <c r="D529" s="15"/>
      <c r="E529" s="261"/>
      <c r="F529" s="15"/>
      <c r="G529" s="262"/>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260"/>
      <c r="C530" s="21"/>
      <c r="D530" s="15"/>
      <c r="E530" s="261"/>
      <c r="F530" s="15"/>
      <c r="G530" s="262"/>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260"/>
      <c r="C531" s="21"/>
      <c r="D531" s="15"/>
      <c r="E531" s="261"/>
      <c r="F531" s="15"/>
      <c r="G531" s="262"/>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260"/>
      <c r="C532" s="21"/>
      <c r="D532" s="15"/>
      <c r="E532" s="261"/>
      <c r="F532" s="15"/>
      <c r="G532" s="262"/>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260"/>
      <c r="C533" s="21"/>
      <c r="D533" s="15"/>
      <c r="E533" s="261"/>
      <c r="F533" s="15"/>
      <c r="G533" s="262"/>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260"/>
      <c r="C534" s="21"/>
      <c r="D534" s="15"/>
      <c r="E534" s="261"/>
      <c r="F534" s="15"/>
      <c r="G534" s="262"/>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260"/>
      <c r="C535" s="21"/>
      <c r="D535" s="15"/>
      <c r="E535" s="261"/>
      <c r="F535" s="15"/>
      <c r="G535" s="262"/>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260"/>
      <c r="C536" s="21"/>
      <c r="D536" s="15"/>
      <c r="E536" s="261"/>
      <c r="F536" s="15"/>
      <c r="G536" s="262"/>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260"/>
      <c r="C537" s="21"/>
      <c r="D537" s="15"/>
      <c r="E537" s="261"/>
      <c r="F537" s="15"/>
      <c r="G537" s="262"/>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260"/>
      <c r="C538" s="21"/>
      <c r="D538" s="15"/>
      <c r="E538" s="261"/>
      <c r="F538" s="15"/>
      <c r="G538" s="262"/>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260"/>
      <c r="C539" s="21"/>
      <c r="D539" s="15"/>
      <c r="E539" s="261"/>
      <c r="F539" s="15"/>
      <c r="G539" s="262"/>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260"/>
      <c r="C540" s="21"/>
      <c r="D540" s="15"/>
      <c r="E540" s="261"/>
      <c r="F540" s="15"/>
      <c r="G540" s="262"/>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260"/>
      <c r="C541" s="21"/>
      <c r="D541" s="15"/>
      <c r="E541" s="261"/>
      <c r="F541" s="15"/>
      <c r="G541" s="262"/>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260"/>
      <c r="C542" s="21"/>
      <c r="D542" s="15"/>
      <c r="E542" s="261"/>
      <c r="F542" s="15"/>
      <c r="G542" s="262"/>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260"/>
      <c r="C543" s="21"/>
      <c r="D543" s="15"/>
      <c r="E543" s="261"/>
      <c r="F543" s="15"/>
      <c r="G543" s="262"/>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260"/>
      <c r="C544" s="21"/>
      <c r="D544" s="15"/>
      <c r="E544" s="261"/>
      <c r="F544" s="15"/>
      <c r="G544" s="262"/>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260"/>
      <c r="C545" s="21"/>
      <c r="D545" s="15"/>
      <c r="E545" s="261"/>
      <c r="F545" s="15"/>
      <c r="G545" s="262"/>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260"/>
      <c r="C546" s="21"/>
      <c r="D546" s="15"/>
      <c r="E546" s="261"/>
      <c r="F546" s="15"/>
      <c r="G546" s="262"/>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260"/>
      <c r="C547" s="21"/>
      <c r="D547" s="15"/>
      <c r="E547" s="261"/>
      <c r="F547" s="15"/>
      <c r="G547" s="262"/>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260"/>
      <c r="C548" s="21"/>
      <c r="D548" s="15"/>
      <c r="E548" s="261"/>
      <c r="F548" s="15"/>
      <c r="G548" s="262"/>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260"/>
      <c r="C549" s="21"/>
      <c r="D549" s="15"/>
      <c r="E549" s="261"/>
      <c r="F549" s="15"/>
      <c r="G549" s="262"/>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260"/>
      <c r="C550" s="21"/>
      <c r="D550" s="15"/>
      <c r="E550" s="261"/>
      <c r="F550" s="15"/>
      <c r="G550" s="262"/>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260"/>
      <c r="C551" s="21"/>
      <c r="D551" s="15"/>
      <c r="E551" s="261"/>
      <c r="F551" s="15"/>
      <c r="G551" s="262"/>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260"/>
      <c r="C552" s="21"/>
      <c r="D552" s="15"/>
      <c r="E552" s="261"/>
      <c r="F552" s="15"/>
      <c r="G552" s="262"/>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260"/>
      <c r="C553" s="21"/>
      <c r="D553" s="15"/>
      <c r="E553" s="261"/>
      <c r="F553" s="15"/>
      <c r="G553" s="262"/>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260"/>
      <c r="C554" s="21"/>
      <c r="D554" s="15"/>
      <c r="E554" s="261"/>
      <c r="F554" s="15"/>
      <c r="G554" s="262"/>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260"/>
      <c r="C555" s="21"/>
      <c r="D555" s="15"/>
      <c r="E555" s="261"/>
      <c r="F555" s="15"/>
      <c r="G555" s="262"/>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260"/>
      <c r="C556" s="21"/>
      <c r="D556" s="15"/>
      <c r="E556" s="261"/>
      <c r="F556" s="15"/>
      <c r="G556" s="262"/>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260"/>
      <c r="C557" s="21"/>
      <c r="D557" s="15"/>
      <c r="E557" s="261"/>
      <c r="F557" s="15"/>
      <c r="G557" s="262"/>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260"/>
      <c r="C558" s="21"/>
      <c r="D558" s="15"/>
      <c r="E558" s="261"/>
      <c r="F558" s="15"/>
      <c r="G558" s="262"/>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260"/>
      <c r="C559" s="21"/>
      <c r="D559" s="15"/>
      <c r="E559" s="261"/>
      <c r="F559" s="15"/>
      <c r="G559" s="262"/>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260"/>
      <c r="C560" s="21"/>
      <c r="D560" s="15"/>
      <c r="E560" s="261"/>
      <c r="F560" s="15"/>
      <c r="G560" s="262"/>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260"/>
      <c r="C561" s="21"/>
      <c r="D561" s="15"/>
      <c r="E561" s="261"/>
      <c r="F561" s="15"/>
      <c r="G561" s="262"/>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260"/>
      <c r="C562" s="21"/>
      <c r="D562" s="15"/>
      <c r="E562" s="261"/>
      <c r="F562" s="15"/>
      <c r="G562" s="262"/>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260"/>
      <c r="C563" s="21"/>
      <c r="D563" s="15"/>
      <c r="E563" s="261"/>
      <c r="F563" s="15"/>
      <c r="G563" s="262"/>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260"/>
      <c r="C564" s="21"/>
      <c r="D564" s="15"/>
      <c r="E564" s="261"/>
      <c r="F564" s="15"/>
      <c r="G564" s="262"/>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260"/>
      <c r="C565" s="21"/>
      <c r="D565" s="15"/>
      <c r="E565" s="261"/>
      <c r="F565" s="15"/>
      <c r="G565" s="262"/>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260"/>
      <c r="C566" s="21"/>
      <c r="D566" s="15"/>
      <c r="E566" s="261"/>
      <c r="F566" s="15"/>
      <c r="G566" s="262"/>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260"/>
      <c r="C567" s="21"/>
      <c r="D567" s="15"/>
      <c r="E567" s="261"/>
      <c r="F567" s="15"/>
      <c r="G567" s="262"/>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260"/>
      <c r="C568" s="21"/>
      <c r="D568" s="15"/>
      <c r="E568" s="261"/>
      <c r="F568" s="15"/>
      <c r="G568" s="262"/>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260"/>
      <c r="C569" s="21"/>
      <c r="D569" s="15"/>
      <c r="E569" s="261"/>
      <c r="F569" s="15"/>
      <c r="G569" s="262"/>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260"/>
      <c r="C570" s="21"/>
      <c r="D570" s="15"/>
      <c r="E570" s="261"/>
      <c r="F570" s="15"/>
      <c r="G570" s="262"/>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260"/>
      <c r="C571" s="21"/>
      <c r="D571" s="15"/>
      <c r="E571" s="261"/>
      <c r="F571" s="15"/>
      <c r="G571" s="262"/>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260"/>
      <c r="C572" s="21"/>
      <c r="D572" s="15"/>
      <c r="E572" s="261"/>
      <c r="F572" s="15"/>
      <c r="G572" s="262"/>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260"/>
      <c r="C573" s="21"/>
      <c r="D573" s="15"/>
      <c r="E573" s="261"/>
      <c r="F573" s="15"/>
      <c r="G573" s="262"/>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260"/>
      <c r="C574" s="21"/>
      <c r="D574" s="15"/>
      <c r="E574" s="261"/>
      <c r="F574" s="15"/>
      <c r="G574" s="262"/>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260"/>
      <c r="C575" s="21"/>
      <c r="D575" s="15"/>
      <c r="E575" s="261"/>
      <c r="F575" s="15"/>
      <c r="G575" s="262"/>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260"/>
      <c r="C576" s="21"/>
      <c r="D576" s="15"/>
      <c r="E576" s="261"/>
      <c r="F576" s="15"/>
      <c r="G576" s="262"/>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260"/>
      <c r="C577" s="21"/>
      <c r="D577" s="15"/>
      <c r="E577" s="261"/>
      <c r="F577" s="15"/>
      <c r="G577" s="262"/>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260"/>
      <c r="C578" s="21"/>
      <c r="D578" s="15"/>
      <c r="E578" s="261"/>
      <c r="F578" s="15"/>
      <c r="G578" s="262"/>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260"/>
      <c r="C579" s="21"/>
      <c r="D579" s="15"/>
      <c r="E579" s="261"/>
      <c r="F579" s="15"/>
      <c r="G579" s="262"/>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260"/>
      <c r="C580" s="21"/>
      <c r="D580" s="15"/>
      <c r="E580" s="261"/>
      <c r="F580" s="15"/>
      <c r="G580" s="262"/>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260"/>
      <c r="C581" s="21"/>
      <c r="D581" s="15"/>
      <c r="E581" s="261"/>
      <c r="F581" s="15"/>
      <c r="G581" s="262"/>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260"/>
      <c r="C582" s="21"/>
      <c r="D582" s="15"/>
      <c r="E582" s="261"/>
      <c r="F582" s="15"/>
      <c r="G582" s="262"/>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260"/>
      <c r="C583" s="21"/>
      <c r="D583" s="15"/>
      <c r="E583" s="261"/>
      <c r="F583" s="15"/>
      <c r="G583" s="262"/>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260"/>
      <c r="C584" s="21"/>
      <c r="D584" s="15"/>
      <c r="E584" s="261"/>
      <c r="F584" s="15"/>
      <c r="G584" s="262"/>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260"/>
      <c r="C585" s="21"/>
      <c r="D585" s="15"/>
      <c r="E585" s="261"/>
      <c r="F585" s="15"/>
      <c r="G585" s="262"/>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260"/>
      <c r="C586" s="21"/>
      <c r="D586" s="15"/>
      <c r="E586" s="261"/>
      <c r="F586" s="15"/>
      <c r="G586" s="262"/>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260"/>
      <c r="C587" s="21"/>
      <c r="D587" s="15"/>
      <c r="E587" s="261"/>
      <c r="F587" s="15"/>
      <c r="G587" s="262"/>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260"/>
      <c r="C588" s="21"/>
      <c r="D588" s="15"/>
      <c r="E588" s="261"/>
      <c r="F588" s="15"/>
      <c r="G588" s="262"/>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260"/>
      <c r="C589" s="21"/>
      <c r="D589" s="15"/>
      <c r="E589" s="261"/>
      <c r="F589" s="15"/>
      <c r="G589" s="262"/>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260"/>
      <c r="C590" s="21"/>
      <c r="D590" s="15"/>
      <c r="E590" s="261"/>
      <c r="F590" s="15"/>
      <c r="G590" s="262"/>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260"/>
      <c r="C591" s="21"/>
      <c r="D591" s="15"/>
      <c r="E591" s="261"/>
      <c r="F591" s="15"/>
      <c r="G591" s="262"/>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260"/>
      <c r="C592" s="21"/>
      <c r="D592" s="15"/>
      <c r="E592" s="261"/>
      <c r="F592" s="15"/>
      <c r="G592" s="262"/>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260"/>
      <c r="C593" s="21"/>
      <c r="D593" s="15"/>
      <c r="E593" s="261"/>
      <c r="F593" s="15"/>
      <c r="G593" s="262"/>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260"/>
      <c r="C594" s="21"/>
      <c r="D594" s="15"/>
      <c r="E594" s="261"/>
      <c r="F594" s="15"/>
      <c r="G594" s="262"/>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260"/>
      <c r="C595" s="21"/>
      <c r="D595" s="15"/>
      <c r="E595" s="261"/>
      <c r="F595" s="15"/>
      <c r="G595" s="262"/>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260"/>
      <c r="C596" s="21"/>
      <c r="D596" s="15"/>
      <c r="E596" s="261"/>
      <c r="F596" s="15"/>
      <c r="G596" s="262"/>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260"/>
      <c r="C597" s="21"/>
      <c r="D597" s="15"/>
      <c r="E597" s="261"/>
      <c r="F597" s="15"/>
      <c r="G597" s="262"/>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260"/>
      <c r="C598" s="21"/>
      <c r="D598" s="15"/>
      <c r="E598" s="261"/>
      <c r="F598" s="15"/>
      <c r="G598" s="262"/>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260"/>
      <c r="C599" s="21"/>
      <c r="D599" s="15"/>
      <c r="E599" s="261"/>
      <c r="F599" s="15"/>
      <c r="G599" s="262"/>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260"/>
      <c r="C600" s="21"/>
      <c r="D600" s="15"/>
      <c r="E600" s="261"/>
      <c r="F600" s="15"/>
      <c r="G600" s="262"/>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260"/>
      <c r="C601" s="21"/>
      <c r="D601" s="15"/>
      <c r="E601" s="261"/>
      <c r="F601" s="15"/>
      <c r="G601" s="262"/>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260"/>
      <c r="C602" s="21"/>
      <c r="D602" s="15"/>
      <c r="E602" s="261"/>
      <c r="F602" s="15"/>
      <c r="G602" s="262"/>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260"/>
      <c r="C603" s="21"/>
      <c r="D603" s="15"/>
      <c r="E603" s="261"/>
      <c r="F603" s="15"/>
      <c r="G603" s="262"/>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260"/>
      <c r="C604" s="21"/>
      <c r="D604" s="15"/>
      <c r="E604" s="261"/>
      <c r="F604" s="15"/>
      <c r="G604" s="262"/>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260"/>
      <c r="C605" s="21"/>
      <c r="D605" s="15"/>
      <c r="E605" s="261"/>
      <c r="F605" s="15"/>
      <c r="G605" s="262"/>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260"/>
      <c r="C606" s="21"/>
      <c r="D606" s="15"/>
      <c r="E606" s="261"/>
      <c r="F606" s="15"/>
      <c r="G606" s="262"/>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260"/>
      <c r="C607" s="21"/>
      <c r="D607" s="15"/>
      <c r="E607" s="261"/>
      <c r="F607" s="15"/>
      <c r="G607" s="262"/>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260"/>
      <c r="C608" s="21"/>
      <c r="D608" s="15"/>
      <c r="E608" s="261"/>
      <c r="F608" s="15"/>
      <c r="G608" s="262"/>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260"/>
      <c r="C609" s="21"/>
      <c r="D609" s="15"/>
      <c r="E609" s="261"/>
      <c r="F609" s="15"/>
      <c r="G609" s="262"/>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260"/>
      <c r="C610" s="21"/>
      <c r="D610" s="15"/>
      <c r="E610" s="261"/>
      <c r="F610" s="15"/>
      <c r="G610" s="262"/>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260"/>
      <c r="C611" s="21"/>
      <c r="D611" s="15"/>
      <c r="E611" s="261"/>
      <c r="F611" s="15"/>
      <c r="G611" s="262"/>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260"/>
      <c r="C612" s="21"/>
      <c r="D612" s="15"/>
      <c r="E612" s="261"/>
      <c r="F612" s="15"/>
      <c r="G612" s="262"/>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260"/>
      <c r="C613" s="21"/>
      <c r="D613" s="15"/>
      <c r="E613" s="261"/>
      <c r="F613" s="15"/>
      <c r="G613" s="262"/>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260"/>
      <c r="C614" s="21"/>
      <c r="D614" s="15"/>
      <c r="E614" s="261"/>
      <c r="F614" s="15"/>
      <c r="G614" s="262"/>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260"/>
      <c r="C615" s="21"/>
      <c r="D615" s="15"/>
      <c r="E615" s="261"/>
      <c r="F615" s="15"/>
      <c r="G615" s="262"/>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260"/>
      <c r="C616" s="21"/>
      <c r="D616" s="15"/>
      <c r="E616" s="261"/>
      <c r="F616" s="15"/>
      <c r="G616" s="262"/>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B617" s="260"/>
      <c r="C617" s="21"/>
      <c r="D617" s="15"/>
      <c r="E617" s="261"/>
      <c r="F617" s="15"/>
      <c r="G617" s="262"/>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260"/>
      <c r="C618" s="21"/>
      <c r="D618" s="15"/>
      <c r="E618" s="261"/>
      <c r="F618" s="15"/>
      <c r="G618" s="262"/>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260"/>
      <c r="C619" s="21"/>
      <c r="D619" s="15"/>
      <c r="E619" s="261"/>
      <c r="F619" s="15"/>
      <c r="G619" s="262"/>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260"/>
      <c r="C620" s="21"/>
      <c r="D620" s="15"/>
      <c r="E620" s="261"/>
      <c r="F620" s="15"/>
      <c r="G620" s="262"/>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260"/>
      <c r="C621" s="21"/>
      <c r="D621" s="15"/>
      <c r="E621" s="261"/>
      <c r="F621" s="15"/>
      <c r="G621" s="262"/>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260"/>
      <c r="C622" s="21"/>
      <c r="D622" s="15"/>
      <c r="E622" s="261"/>
      <c r="F622" s="15"/>
      <c r="G622" s="262"/>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260"/>
      <c r="C623" s="21"/>
      <c r="D623" s="15"/>
      <c r="E623" s="261"/>
      <c r="F623" s="15"/>
      <c r="G623" s="262"/>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260"/>
      <c r="C624" s="21"/>
      <c r="D624" s="15"/>
      <c r="E624" s="261"/>
      <c r="F624" s="15"/>
      <c r="G624" s="262"/>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260"/>
      <c r="C625" s="21"/>
      <c r="D625" s="15"/>
      <c r="E625" s="261"/>
      <c r="F625" s="15"/>
      <c r="G625" s="262"/>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260"/>
      <c r="C626" s="21"/>
      <c r="D626" s="15"/>
      <c r="E626" s="261"/>
      <c r="F626" s="15"/>
      <c r="G626" s="262"/>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260"/>
      <c r="C627" s="21"/>
      <c r="D627" s="15"/>
      <c r="E627" s="261"/>
      <c r="F627" s="15"/>
      <c r="G627" s="262"/>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260"/>
      <c r="C628" s="21"/>
      <c r="D628" s="15"/>
      <c r="E628" s="261"/>
      <c r="F628" s="15"/>
      <c r="G628" s="262"/>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260"/>
      <c r="C629" s="21"/>
      <c r="D629" s="15"/>
      <c r="E629" s="261"/>
      <c r="F629" s="15"/>
      <c r="G629" s="262"/>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260"/>
      <c r="C630" s="21"/>
      <c r="D630" s="15"/>
      <c r="E630" s="261"/>
      <c r="F630" s="15"/>
      <c r="G630" s="262"/>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260"/>
      <c r="C631" s="21"/>
      <c r="D631" s="15"/>
      <c r="E631" s="261"/>
      <c r="F631" s="15"/>
      <c r="G631" s="262"/>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260"/>
      <c r="C632" s="21"/>
      <c r="D632" s="15"/>
      <c r="E632" s="261"/>
      <c r="F632" s="15"/>
      <c r="G632" s="262"/>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260"/>
      <c r="C633" s="21"/>
      <c r="D633" s="15"/>
      <c r="E633" s="261"/>
      <c r="F633" s="15"/>
      <c r="G633" s="262"/>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260"/>
      <c r="C634" s="21"/>
      <c r="D634" s="15"/>
      <c r="E634" s="261"/>
      <c r="F634" s="15"/>
      <c r="G634" s="262"/>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260"/>
      <c r="C635" s="21"/>
      <c r="D635" s="15"/>
      <c r="E635" s="261"/>
      <c r="F635" s="15"/>
      <c r="G635" s="262"/>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260"/>
      <c r="C636" s="21"/>
      <c r="D636" s="15"/>
      <c r="E636" s="261"/>
      <c r="F636" s="15"/>
      <c r="G636" s="262"/>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260"/>
      <c r="C637" s="21"/>
      <c r="D637" s="15"/>
      <c r="E637" s="261"/>
      <c r="F637" s="15"/>
      <c r="G637" s="262"/>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260"/>
      <c r="C638" s="21"/>
      <c r="D638" s="15"/>
      <c r="E638" s="261"/>
      <c r="F638" s="15"/>
      <c r="G638" s="262"/>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260"/>
      <c r="C639" s="21"/>
      <c r="D639" s="15"/>
      <c r="E639" s="261"/>
      <c r="F639" s="15"/>
      <c r="G639" s="262"/>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260"/>
      <c r="C640" s="21"/>
      <c r="D640" s="15"/>
      <c r="E640" s="261"/>
      <c r="F640" s="15"/>
      <c r="G640" s="262"/>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260"/>
      <c r="C641" s="21"/>
      <c r="D641" s="15"/>
      <c r="E641" s="261"/>
      <c r="F641" s="15"/>
      <c r="G641" s="262"/>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260"/>
      <c r="C642" s="21"/>
      <c r="D642" s="15"/>
      <c r="E642" s="261"/>
      <c r="F642" s="15"/>
      <c r="G642" s="262"/>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260"/>
      <c r="C643" s="21"/>
      <c r="D643" s="15"/>
      <c r="E643" s="261"/>
      <c r="F643" s="15"/>
      <c r="G643" s="262"/>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260"/>
      <c r="C644" s="21"/>
      <c r="D644" s="15"/>
      <c r="E644" s="261"/>
      <c r="F644" s="15"/>
      <c r="G644" s="262"/>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260"/>
      <c r="C645" s="21"/>
      <c r="D645" s="15"/>
      <c r="E645" s="261"/>
      <c r="F645" s="15"/>
      <c r="G645" s="262"/>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260"/>
      <c r="C646" s="21"/>
      <c r="D646" s="15"/>
      <c r="E646" s="261"/>
      <c r="F646" s="15"/>
      <c r="G646" s="262"/>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260"/>
      <c r="C647" s="21"/>
      <c r="D647" s="15"/>
      <c r="E647" s="261"/>
      <c r="F647" s="15"/>
      <c r="G647" s="262"/>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260"/>
      <c r="C648" s="21"/>
      <c r="D648" s="15"/>
      <c r="E648" s="261"/>
      <c r="F648" s="15"/>
      <c r="G648" s="262"/>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260"/>
      <c r="C649" s="21"/>
      <c r="D649" s="15"/>
      <c r="E649" s="261"/>
      <c r="F649" s="15"/>
      <c r="G649" s="262"/>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260"/>
      <c r="C650" s="21"/>
      <c r="D650" s="15"/>
      <c r="E650" s="261"/>
      <c r="F650" s="15"/>
      <c r="G650" s="262"/>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260"/>
      <c r="C651" s="21"/>
      <c r="D651" s="15"/>
      <c r="E651" s="261"/>
      <c r="F651" s="15"/>
      <c r="G651" s="262"/>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260"/>
      <c r="C652" s="21"/>
      <c r="D652" s="15"/>
      <c r="E652" s="261"/>
      <c r="F652" s="15"/>
      <c r="G652" s="262"/>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260"/>
      <c r="C653" s="21"/>
      <c r="D653" s="15"/>
      <c r="E653" s="261"/>
      <c r="F653" s="15"/>
      <c r="G653" s="262"/>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260"/>
      <c r="C654" s="21"/>
      <c r="D654" s="15"/>
      <c r="E654" s="261"/>
      <c r="F654" s="15"/>
      <c r="G654" s="262"/>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260"/>
      <c r="C655" s="21"/>
      <c r="D655" s="15"/>
      <c r="E655" s="261"/>
      <c r="F655" s="15"/>
      <c r="G655" s="262"/>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260"/>
      <c r="C656" s="21"/>
      <c r="D656" s="15"/>
      <c r="E656" s="261"/>
      <c r="F656" s="15"/>
      <c r="G656" s="262"/>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260"/>
      <c r="C657" s="21"/>
      <c r="D657" s="15"/>
      <c r="E657" s="261"/>
      <c r="F657" s="15"/>
      <c r="G657" s="262"/>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260"/>
      <c r="C658" s="21"/>
      <c r="D658" s="15"/>
      <c r="E658" s="261"/>
      <c r="F658" s="15"/>
      <c r="G658" s="262"/>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260"/>
      <c r="C659" s="21"/>
      <c r="D659" s="15"/>
      <c r="E659" s="261"/>
      <c r="F659" s="15"/>
      <c r="G659" s="262"/>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260"/>
      <c r="C660" s="21"/>
      <c r="D660" s="15"/>
      <c r="E660" s="261"/>
      <c r="F660" s="15"/>
      <c r="G660" s="262"/>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260"/>
      <c r="C661" s="21"/>
      <c r="D661" s="15"/>
      <c r="E661" s="261"/>
      <c r="F661" s="15"/>
      <c r="G661" s="262"/>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260"/>
      <c r="C662" s="21"/>
      <c r="D662" s="15"/>
      <c r="E662" s="261"/>
      <c r="F662" s="15"/>
      <c r="G662" s="262"/>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260"/>
      <c r="C663" s="21"/>
      <c r="D663" s="15"/>
      <c r="E663" s="261"/>
      <c r="F663" s="15"/>
      <c r="G663" s="262"/>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260"/>
      <c r="C664" s="21"/>
      <c r="D664" s="15"/>
      <c r="E664" s="261"/>
      <c r="F664" s="15"/>
      <c r="G664" s="262"/>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260"/>
      <c r="C665" s="21"/>
      <c r="D665" s="15"/>
      <c r="E665" s="261"/>
      <c r="F665" s="15"/>
      <c r="G665" s="262"/>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260"/>
      <c r="C666" s="21"/>
      <c r="D666" s="15"/>
      <c r="E666" s="261"/>
      <c r="F666" s="15"/>
      <c r="G666" s="262"/>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260"/>
      <c r="C667" s="21"/>
      <c r="D667" s="15"/>
      <c r="E667" s="261"/>
      <c r="F667" s="15"/>
      <c r="G667" s="262"/>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260"/>
      <c r="C668" s="21"/>
      <c r="D668" s="15"/>
      <c r="E668" s="261"/>
      <c r="F668" s="15"/>
      <c r="G668" s="262"/>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260"/>
      <c r="C669" s="21"/>
      <c r="D669" s="15"/>
      <c r="E669" s="261"/>
      <c r="F669" s="15"/>
      <c r="G669" s="262"/>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260"/>
      <c r="C670" s="21"/>
      <c r="D670" s="15"/>
      <c r="E670" s="261"/>
      <c r="F670" s="15"/>
      <c r="G670" s="262"/>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260"/>
      <c r="C671" s="21"/>
      <c r="D671" s="15"/>
      <c r="E671" s="261"/>
      <c r="F671" s="15"/>
      <c r="G671" s="262"/>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260"/>
      <c r="C672" s="21"/>
      <c r="D672" s="15"/>
      <c r="E672" s="261"/>
      <c r="F672" s="15"/>
      <c r="G672" s="262"/>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260"/>
      <c r="C673" s="21"/>
      <c r="D673" s="15"/>
      <c r="E673" s="261"/>
      <c r="F673" s="15"/>
      <c r="G673" s="262"/>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260"/>
      <c r="C674" s="21"/>
      <c r="D674" s="15"/>
      <c r="E674" s="261"/>
      <c r="F674" s="15"/>
      <c r="G674" s="262"/>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260"/>
      <c r="C675" s="21"/>
      <c r="D675" s="15"/>
      <c r="E675" s="261"/>
      <c r="F675" s="15"/>
      <c r="G675" s="262"/>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260"/>
      <c r="C676" s="21"/>
      <c r="D676" s="15"/>
      <c r="E676" s="261"/>
      <c r="F676" s="15"/>
      <c r="G676" s="262"/>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260"/>
      <c r="C677" s="21"/>
      <c r="D677" s="15"/>
      <c r="E677" s="261"/>
      <c r="F677" s="15"/>
      <c r="G677" s="262"/>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260"/>
      <c r="C678" s="21"/>
      <c r="D678" s="15"/>
      <c r="E678" s="261"/>
      <c r="F678" s="15"/>
      <c r="G678" s="262"/>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260"/>
      <c r="C679" s="21"/>
      <c r="D679" s="15"/>
      <c r="E679" s="261"/>
      <c r="F679" s="15"/>
      <c r="G679" s="262"/>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260"/>
      <c r="C680" s="21"/>
      <c r="D680" s="15"/>
      <c r="E680" s="261"/>
      <c r="F680" s="15"/>
      <c r="G680" s="262"/>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260"/>
      <c r="C681" s="21"/>
      <c r="D681" s="15"/>
      <c r="E681" s="261"/>
      <c r="F681" s="15"/>
      <c r="G681" s="262"/>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260"/>
      <c r="C682" s="21"/>
      <c r="D682" s="15"/>
      <c r="E682" s="261"/>
      <c r="F682" s="15"/>
      <c r="G682" s="262"/>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260"/>
      <c r="C683" s="21"/>
      <c r="D683" s="15"/>
      <c r="E683" s="261"/>
      <c r="F683" s="15"/>
      <c r="G683" s="262"/>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260"/>
      <c r="C684" s="21"/>
      <c r="D684" s="15"/>
      <c r="E684" s="261"/>
      <c r="F684" s="15"/>
      <c r="G684" s="262"/>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260"/>
      <c r="C685" s="21"/>
      <c r="D685" s="15"/>
      <c r="E685" s="261"/>
      <c r="F685" s="15"/>
      <c r="G685" s="262"/>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260"/>
      <c r="C686" s="21"/>
      <c r="D686" s="15"/>
      <c r="E686" s="261"/>
      <c r="F686" s="15"/>
      <c r="G686" s="262"/>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260"/>
      <c r="C687" s="21"/>
      <c r="D687" s="15"/>
      <c r="E687" s="261"/>
      <c r="F687" s="15"/>
      <c r="G687" s="262"/>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260"/>
      <c r="C688" s="21"/>
      <c r="D688" s="15"/>
      <c r="E688" s="261"/>
      <c r="F688" s="15"/>
      <c r="G688" s="262"/>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260"/>
      <c r="C689" s="21"/>
      <c r="D689" s="15"/>
      <c r="E689" s="261"/>
      <c r="F689" s="15"/>
      <c r="G689" s="262"/>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260"/>
      <c r="C690" s="21"/>
      <c r="D690" s="15"/>
      <c r="E690" s="261"/>
      <c r="F690" s="15"/>
      <c r="G690" s="262"/>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260"/>
      <c r="C691" s="21"/>
      <c r="D691" s="15"/>
      <c r="E691" s="261"/>
      <c r="F691" s="15"/>
      <c r="G691" s="262"/>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260"/>
      <c r="C692" s="21"/>
      <c r="D692" s="15"/>
      <c r="E692" s="261"/>
      <c r="F692" s="15"/>
      <c r="G692" s="262"/>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260"/>
      <c r="C693" s="21"/>
      <c r="D693" s="15"/>
      <c r="E693" s="261"/>
      <c r="F693" s="15"/>
      <c r="G693" s="262"/>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260"/>
      <c r="C694" s="21"/>
      <c r="D694" s="15"/>
      <c r="E694" s="261"/>
      <c r="F694" s="15"/>
      <c r="G694" s="262"/>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260"/>
      <c r="C695" s="21"/>
      <c r="D695" s="15"/>
      <c r="E695" s="261"/>
      <c r="F695" s="15"/>
      <c r="G695" s="262"/>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260"/>
      <c r="C696" s="21"/>
      <c r="D696" s="15"/>
      <c r="E696" s="261"/>
      <c r="F696" s="15"/>
      <c r="G696" s="262"/>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260"/>
      <c r="C697" s="21"/>
      <c r="D697" s="15"/>
      <c r="E697" s="261"/>
      <c r="F697" s="15"/>
      <c r="G697" s="262"/>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260"/>
      <c r="C698" s="21"/>
      <c r="D698" s="15"/>
      <c r="E698" s="261"/>
      <c r="F698" s="15"/>
      <c r="G698" s="262"/>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260"/>
      <c r="C699" s="21"/>
      <c r="D699" s="15"/>
      <c r="E699" s="261"/>
      <c r="F699" s="15"/>
      <c r="G699" s="262"/>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260"/>
      <c r="C700" s="21"/>
      <c r="D700" s="15"/>
      <c r="E700" s="261"/>
      <c r="F700" s="15"/>
      <c r="G700" s="262"/>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260"/>
      <c r="C701" s="21"/>
      <c r="D701" s="15"/>
      <c r="E701" s="261"/>
      <c r="F701" s="15"/>
      <c r="G701" s="262"/>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260"/>
      <c r="C702" s="21"/>
      <c r="D702" s="15"/>
      <c r="E702" s="261"/>
      <c r="F702" s="15"/>
      <c r="G702" s="262"/>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260"/>
      <c r="C703" s="21"/>
      <c r="D703" s="15"/>
      <c r="E703" s="261"/>
      <c r="F703" s="15"/>
      <c r="G703" s="262"/>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260"/>
      <c r="C704" s="21"/>
      <c r="D704" s="15"/>
      <c r="E704" s="261"/>
      <c r="F704" s="15"/>
      <c r="G704" s="262"/>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260"/>
      <c r="C705" s="21"/>
      <c r="D705" s="15"/>
      <c r="E705" s="261"/>
      <c r="F705" s="15"/>
      <c r="G705" s="262"/>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260"/>
      <c r="C706" s="21"/>
      <c r="D706" s="15"/>
      <c r="E706" s="261"/>
      <c r="F706" s="15"/>
      <c r="G706" s="262"/>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260"/>
      <c r="C707" s="21"/>
      <c r="D707" s="15"/>
      <c r="E707" s="261"/>
      <c r="F707" s="15"/>
      <c r="G707" s="262"/>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260"/>
      <c r="C708" s="21"/>
      <c r="D708" s="15"/>
      <c r="E708" s="261"/>
      <c r="F708" s="15"/>
      <c r="G708" s="262"/>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260"/>
      <c r="C709" s="21"/>
      <c r="D709" s="15"/>
      <c r="E709" s="261"/>
      <c r="F709" s="15"/>
      <c r="G709" s="262"/>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260"/>
      <c r="C710" s="21"/>
      <c r="D710" s="15"/>
      <c r="E710" s="261"/>
      <c r="F710" s="15"/>
      <c r="G710" s="262"/>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260"/>
      <c r="C711" s="21"/>
      <c r="D711" s="15"/>
      <c r="E711" s="261"/>
      <c r="F711" s="15"/>
      <c r="G711" s="262"/>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260"/>
      <c r="C712" s="21"/>
      <c r="D712" s="15"/>
      <c r="E712" s="261"/>
      <c r="F712" s="15"/>
      <c r="G712" s="262"/>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260"/>
      <c r="C713" s="21"/>
      <c r="D713" s="15"/>
      <c r="E713" s="261"/>
      <c r="F713" s="15"/>
      <c r="G713" s="262"/>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260"/>
      <c r="C714" s="21"/>
      <c r="D714" s="15"/>
      <c r="E714" s="261"/>
      <c r="F714" s="15"/>
      <c r="G714" s="262"/>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260"/>
      <c r="C715" s="21"/>
      <c r="D715" s="15"/>
      <c r="E715" s="261"/>
      <c r="F715" s="15"/>
      <c r="G715" s="262"/>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260"/>
      <c r="C716" s="21"/>
      <c r="D716" s="15"/>
      <c r="E716" s="261"/>
      <c r="F716" s="15"/>
      <c r="G716" s="262"/>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260"/>
      <c r="C717" s="21"/>
      <c r="D717" s="15"/>
      <c r="E717" s="261"/>
      <c r="F717" s="15"/>
      <c r="G717" s="262"/>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260"/>
      <c r="C718" s="21"/>
      <c r="D718" s="15"/>
      <c r="E718" s="261"/>
      <c r="F718" s="15"/>
      <c r="G718" s="262"/>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260"/>
      <c r="C719" s="21"/>
      <c r="D719" s="15"/>
      <c r="E719" s="261"/>
      <c r="F719" s="15"/>
      <c r="G719" s="262"/>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260"/>
      <c r="C720" s="21"/>
      <c r="D720" s="15"/>
      <c r="E720" s="261"/>
      <c r="F720" s="15"/>
      <c r="G720" s="262"/>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260"/>
      <c r="C721" s="21"/>
      <c r="D721" s="15"/>
      <c r="E721" s="261"/>
      <c r="F721" s="15"/>
      <c r="G721" s="262"/>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260"/>
      <c r="C722" s="21"/>
      <c r="D722" s="15"/>
      <c r="E722" s="261"/>
      <c r="F722" s="15"/>
      <c r="G722" s="262"/>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260"/>
      <c r="C723" s="21"/>
      <c r="D723" s="15"/>
      <c r="E723" s="261"/>
      <c r="F723" s="15"/>
      <c r="G723" s="262"/>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260"/>
      <c r="C724" s="21"/>
      <c r="D724" s="15"/>
      <c r="E724" s="261"/>
      <c r="F724" s="15"/>
      <c r="G724" s="262"/>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260"/>
      <c r="C725" s="21"/>
      <c r="D725" s="15"/>
      <c r="E725" s="261"/>
      <c r="F725" s="15"/>
      <c r="G725" s="262"/>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260"/>
      <c r="C726" s="21"/>
      <c r="D726" s="15"/>
      <c r="E726" s="261"/>
      <c r="F726" s="15"/>
      <c r="G726" s="262"/>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260"/>
      <c r="C727" s="21"/>
      <c r="D727" s="15"/>
      <c r="E727" s="261"/>
      <c r="F727" s="15"/>
      <c r="G727" s="262"/>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260"/>
      <c r="C728" s="21"/>
      <c r="D728" s="15"/>
      <c r="E728" s="261"/>
      <c r="F728" s="15"/>
      <c r="G728" s="262"/>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260"/>
      <c r="C729" s="21"/>
      <c r="D729" s="15"/>
      <c r="E729" s="261"/>
      <c r="F729" s="15"/>
      <c r="G729" s="262"/>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260"/>
      <c r="C730" s="21"/>
      <c r="D730" s="15"/>
      <c r="E730" s="261"/>
      <c r="F730" s="15"/>
      <c r="G730" s="262"/>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260"/>
      <c r="C731" s="21"/>
      <c r="D731" s="15"/>
      <c r="E731" s="261"/>
      <c r="F731" s="15"/>
      <c r="G731" s="262"/>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260"/>
      <c r="C732" s="21"/>
      <c r="D732" s="15"/>
      <c r="E732" s="261"/>
      <c r="F732" s="15"/>
      <c r="G732" s="262"/>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260"/>
      <c r="C733" s="21"/>
      <c r="D733" s="15"/>
      <c r="E733" s="261"/>
      <c r="F733" s="15"/>
      <c r="G733" s="262"/>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260"/>
      <c r="C734" s="21"/>
      <c r="D734" s="15"/>
      <c r="E734" s="261"/>
      <c r="F734" s="15"/>
      <c r="G734" s="262"/>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260"/>
      <c r="C735" s="21"/>
      <c r="D735" s="15"/>
      <c r="E735" s="261"/>
      <c r="F735" s="15"/>
      <c r="G735" s="262"/>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260"/>
      <c r="C736" s="21"/>
      <c r="D736" s="15"/>
      <c r="E736" s="261"/>
      <c r="F736" s="15"/>
      <c r="G736" s="262"/>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260"/>
      <c r="C737" s="21"/>
      <c r="D737" s="15"/>
      <c r="E737" s="261"/>
      <c r="F737" s="15"/>
      <c r="G737" s="262"/>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260"/>
      <c r="C738" s="21"/>
      <c r="D738" s="15"/>
      <c r="E738" s="261"/>
      <c r="F738" s="15"/>
      <c r="G738" s="262"/>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260"/>
      <c r="C739" s="21"/>
      <c r="D739" s="15"/>
      <c r="E739" s="261"/>
      <c r="F739" s="15"/>
      <c r="G739" s="262"/>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260"/>
      <c r="C740" s="21"/>
      <c r="D740" s="15"/>
      <c r="E740" s="261"/>
      <c r="F740" s="15"/>
      <c r="G740" s="262"/>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260"/>
      <c r="C741" s="21"/>
      <c r="D741" s="15"/>
      <c r="E741" s="261"/>
      <c r="F741" s="15"/>
      <c r="G741" s="262"/>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260"/>
      <c r="C742" s="21"/>
      <c r="D742" s="15"/>
      <c r="E742" s="261"/>
      <c r="F742" s="15"/>
      <c r="G742" s="262"/>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260"/>
      <c r="C743" s="21"/>
      <c r="D743" s="15"/>
      <c r="E743" s="261"/>
      <c r="F743" s="15"/>
      <c r="G743" s="262"/>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260"/>
      <c r="C744" s="21"/>
      <c r="D744" s="15"/>
      <c r="E744" s="261"/>
      <c r="F744" s="15"/>
      <c r="G744" s="262"/>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260"/>
      <c r="C745" s="21"/>
      <c r="D745" s="15"/>
      <c r="E745" s="261"/>
      <c r="F745" s="15"/>
      <c r="G745" s="262"/>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260"/>
      <c r="C746" s="21"/>
      <c r="D746" s="15"/>
      <c r="E746" s="261"/>
      <c r="F746" s="15"/>
      <c r="G746" s="262"/>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260"/>
      <c r="C747" s="21"/>
      <c r="D747" s="15"/>
      <c r="E747" s="261"/>
      <c r="F747" s="15"/>
      <c r="G747" s="262"/>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260"/>
      <c r="C748" s="21"/>
      <c r="D748" s="15"/>
      <c r="E748" s="261"/>
      <c r="F748" s="15"/>
      <c r="G748" s="262"/>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260"/>
      <c r="C749" s="21"/>
      <c r="D749" s="15"/>
      <c r="E749" s="261"/>
      <c r="F749" s="15"/>
      <c r="G749" s="262"/>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260"/>
      <c r="C750" s="21"/>
      <c r="D750" s="15"/>
      <c r="E750" s="261"/>
      <c r="F750" s="15"/>
      <c r="G750" s="262"/>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260"/>
      <c r="C751" s="21"/>
      <c r="D751" s="15"/>
      <c r="E751" s="261"/>
      <c r="F751" s="15"/>
      <c r="G751" s="262"/>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260"/>
      <c r="C752" s="21"/>
      <c r="D752" s="15"/>
      <c r="E752" s="261"/>
      <c r="F752" s="15"/>
      <c r="G752" s="262"/>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260"/>
      <c r="C753" s="21"/>
      <c r="D753" s="15"/>
      <c r="E753" s="261"/>
      <c r="F753" s="15"/>
      <c r="G753" s="262"/>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260"/>
      <c r="C754" s="21"/>
      <c r="D754" s="15"/>
      <c r="E754" s="261"/>
      <c r="F754" s="15"/>
      <c r="G754" s="262"/>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260"/>
      <c r="C755" s="21"/>
      <c r="D755" s="15"/>
      <c r="E755" s="261"/>
      <c r="F755" s="15"/>
      <c r="G755" s="262"/>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260"/>
      <c r="C756" s="21"/>
      <c r="D756" s="15"/>
      <c r="E756" s="261"/>
      <c r="F756" s="15"/>
      <c r="G756" s="262"/>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260"/>
      <c r="C757" s="21"/>
      <c r="D757" s="15"/>
      <c r="E757" s="261"/>
      <c r="F757" s="15"/>
      <c r="G757" s="262"/>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260"/>
      <c r="C758" s="21"/>
      <c r="D758" s="15"/>
      <c r="E758" s="261"/>
      <c r="F758" s="15"/>
      <c r="G758" s="262"/>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260"/>
      <c r="C759" s="21"/>
      <c r="D759" s="15"/>
      <c r="E759" s="261"/>
      <c r="F759" s="15"/>
      <c r="G759" s="262"/>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260"/>
      <c r="C760" s="21"/>
      <c r="D760" s="15"/>
      <c r="E760" s="261"/>
      <c r="F760" s="15"/>
      <c r="G760" s="262"/>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260"/>
      <c r="C761" s="21"/>
      <c r="D761" s="15"/>
      <c r="E761" s="261"/>
      <c r="F761" s="15"/>
      <c r="G761" s="262"/>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260"/>
      <c r="C762" s="21"/>
      <c r="D762" s="15"/>
      <c r="E762" s="261"/>
      <c r="F762" s="15"/>
      <c r="G762" s="262"/>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260"/>
      <c r="C763" s="21"/>
      <c r="D763" s="15"/>
      <c r="E763" s="261"/>
      <c r="F763" s="15"/>
      <c r="G763" s="262"/>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260"/>
      <c r="C764" s="21"/>
      <c r="D764" s="15"/>
      <c r="E764" s="261"/>
      <c r="F764" s="15"/>
      <c r="G764" s="262"/>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260"/>
      <c r="C765" s="21"/>
      <c r="D765" s="15"/>
      <c r="E765" s="261"/>
      <c r="F765" s="15"/>
      <c r="G765" s="262"/>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260"/>
      <c r="C766" s="21"/>
      <c r="D766" s="15"/>
      <c r="E766" s="261"/>
      <c r="F766" s="15"/>
      <c r="G766" s="262"/>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260"/>
      <c r="C767" s="21"/>
      <c r="D767" s="15"/>
      <c r="E767" s="261"/>
      <c r="F767" s="15"/>
      <c r="G767" s="262"/>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260"/>
      <c r="C768" s="21"/>
      <c r="D768" s="15"/>
      <c r="E768" s="261"/>
      <c r="F768" s="15"/>
      <c r="G768" s="262"/>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260"/>
      <c r="C769" s="21"/>
      <c r="D769" s="15"/>
      <c r="E769" s="261"/>
      <c r="F769" s="15"/>
      <c r="G769" s="262"/>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260"/>
      <c r="C770" s="21"/>
      <c r="D770" s="15"/>
      <c r="E770" s="261"/>
      <c r="F770" s="15"/>
      <c r="G770" s="262"/>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260"/>
      <c r="C771" s="21"/>
      <c r="D771" s="15"/>
      <c r="E771" s="261"/>
      <c r="F771" s="15"/>
      <c r="G771" s="262"/>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260"/>
      <c r="C772" s="21"/>
      <c r="D772" s="15"/>
      <c r="E772" s="261"/>
      <c r="F772" s="15"/>
      <c r="G772" s="262"/>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260"/>
      <c r="C773" s="21"/>
      <c r="D773" s="15"/>
      <c r="E773" s="261"/>
      <c r="F773" s="15"/>
      <c r="G773" s="262"/>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260"/>
      <c r="C774" s="21"/>
      <c r="D774" s="15"/>
      <c r="E774" s="261"/>
      <c r="F774" s="15"/>
      <c r="G774" s="262"/>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260"/>
      <c r="C775" s="21"/>
      <c r="D775" s="15"/>
      <c r="E775" s="261"/>
      <c r="F775" s="15"/>
      <c r="G775" s="262"/>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260"/>
      <c r="C776" s="21"/>
      <c r="D776" s="15"/>
      <c r="E776" s="261"/>
      <c r="F776" s="15"/>
      <c r="G776" s="262"/>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260"/>
      <c r="C777" s="21"/>
      <c r="D777" s="15"/>
      <c r="E777" s="261"/>
      <c r="F777" s="15"/>
      <c r="G777" s="262"/>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260"/>
      <c r="C778" s="21"/>
      <c r="D778" s="15"/>
      <c r="E778" s="261"/>
      <c r="F778" s="15"/>
      <c r="G778" s="262"/>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260"/>
      <c r="C779" s="21"/>
      <c r="D779" s="15"/>
      <c r="E779" s="261"/>
      <c r="F779" s="15"/>
      <c r="G779" s="262"/>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260"/>
      <c r="C780" s="21"/>
      <c r="D780" s="15"/>
      <c r="E780" s="261"/>
      <c r="F780" s="15"/>
      <c r="G780" s="262"/>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260"/>
      <c r="C781" s="21"/>
      <c r="D781" s="15"/>
      <c r="E781" s="261"/>
      <c r="F781" s="15"/>
      <c r="G781" s="262"/>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260"/>
      <c r="C782" s="21"/>
      <c r="D782" s="15"/>
      <c r="E782" s="261"/>
      <c r="F782" s="15"/>
      <c r="G782" s="262"/>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260"/>
      <c r="C783" s="21"/>
      <c r="D783" s="15"/>
      <c r="E783" s="261"/>
      <c r="F783" s="15"/>
      <c r="G783" s="262"/>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260"/>
      <c r="C784" s="21"/>
      <c r="D784" s="15"/>
      <c r="E784" s="261"/>
      <c r="F784" s="15"/>
      <c r="G784" s="262"/>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260"/>
      <c r="C785" s="21"/>
      <c r="D785" s="15"/>
      <c r="E785" s="261"/>
      <c r="F785" s="15"/>
      <c r="G785" s="262"/>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260"/>
      <c r="C786" s="21"/>
      <c r="D786" s="15"/>
      <c r="E786" s="261"/>
      <c r="F786" s="15"/>
      <c r="G786" s="262"/>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260"/>
      <c r="C787" s="21"/>
      <c r="D787" s="15"/>
      <c r="E787" s="261"/>
      <c r="F787" s="15"/>
      <c r="G787" s="262"/>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260"/>
      <c r="C788" s="21"/>
      <c r="D788" s="15"/>
      <c r="E788" s="261"/>
      <c r="F788" s="15"/>
      <c r="G788" s="262"/>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260"/>
      <c r="C789" s="21"/>
      <c r="D789" s="15"/>
      <c r="E789" s="261"/>
      <c r="F789" s="15"/>
      <c r="G789" s="262"/>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260"/>
      <c r="C790" s="21"/>
      <c r="D790" s="15"/>
      <c r="E790" s="261"/>
      <c r="F790" s="15"/>
      <c r="G790" s="262"/>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260"/>
      <c r="C791" s="21"/>
      <c r="D791" s="15"/>
      <c r="E791" s="261"/>
      <c r="F791" s="15"/>
      <c r="G791" s="262"/>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260"/>
      <c r="C792" s="21"/>
      <c r="D792" s="15"/>
      <c r="E792" s="261"/>
      <c r="F792" s="15"/>
      <c r="G792" s="262"/>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260"/>
      <c r="C793" s="21"/>
      <c r="D793" s="15"/>
      <c r="E793" s="261"/>
      <c r="F793" s="15"/>
      <c r="G793" s="262"/>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260"/>
      <c r="C794" s="21"/>
      <c r="D794" s="15"/>
      <c r="E794" s="261"/>
      <c r="F794" s="15"/>
      <c r="G794" s="262"/>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260"/>
      <c r="C795" s="21"/>
      <c r="D795" s="15"/>
      <c r="E795" s="261"/>
      <c r="F795" s="15"/>
      <c r="G795" s="262"/>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260"/>
      <c r="C796" s="21"/>
      <c r="D796" s="15"/>
      <c r="E796" s="261"/>
      <c r="F796" s="15"/>
      <c r="G796" s="262"/>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260"/>
      <c r="C797" s="21"/>
      <c r="D797" s="15"/>
      <c r="E797" s="261"/>
      <c r="F797" s="15"/>
      <c r="G797" s="262"/>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260"/>
      <c r="C798" s="21"/>
      <c r="D798" s="15"/>
      <c r="E798" s="261"/>
      <c r="F798" s="15"/>
      <c r="G798" s="262"/>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260"/>
      <c r="C799" s="21"/>
      <c r="D799" s="15"/>
      <c r="E799" s="261"/>
      <c r="F799" s="15"/>
      <c r="G799" s="262"/>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260"/>
      <c r="C800" s="21"/>
      <c r="D800" s="15"/>
      <c r="E800" s="261"/>
      <c r="F800" s="15"/>
      <c r="G800" s="262"/>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260"/>
      <c r="C801" s="21"/>
      <c r="D801" s="15"/>
      <c r="E801" s="261"/>
      <c r="F801" s="15"/>
      <c r="G801" s="262"/>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260"/>
      <c r="C802" s="21"/>
      <c r="D802" s="15"/>
      <c r="E802" s="261"/>
      <c r="F802" s="15"/>
      <c r="G802" s="262"/>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260"/>
      <c r="C803" s="21"/>
      <c r="D803" s="15"/>
      <c r="E803" s="261"/>
      <c r="F803" s="15"/>
      <c r="G803" s="262"/>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260"/>
      <c r="C804" s="21"/>
      <c r="D804" s="15"/>
      <c r="E804" s="261"/>
      <c r="F804" s="15"/>
      <c r="G804" s="262"/>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260"/>
      <c r="C805" s="21"/>
      <c r="D805" s="15"/>
      <c r="E805" s="261"/>
      <c r="F805" s="15"/>
      <c r="G805" s="262"/>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260"/>
      <c r="C806" s="21"/>
      <c r="D806" s="15"/>
      <c r="E806" s="261"/>
      <c r="F806" s="15"/>
      <c r="G806" s="262"/>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260"/>
      <c r="C807" s="21"/>
      <c r="D807" s="15"/>
      <c r="E807" s="261"/>
      <c r="F807" s="15"/>
      <c r="G807" s="262"/>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260"/>
      <c r="C808" s="21"/>
      <c r="D808" s="15"/>
      <c r="E808" s="261"/>
      <c r="F808" s="15"/>
      <c r="G808" s="262"/>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260"/>
      <c r="C809" s="21"/>
      <c r="D809" s="15"/>
      <c r="E809" s="261"/>
      <c r="F809" s="15"/>
      <c r="G809" s="262"/>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260"/>
      <c r="C810" s="21"/>
      <c r="D810" s="15"/>
      <c r="E810" s="261"/>
      <c r="F810" s="15"/>
      <c r="G810" s="262"/>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260"/>
      <c r="C811" s="21"/>
      <c r="D811" s="15"/>
      <c r="E811" s="261"/>
      <c r="F811" s="15"/>
      <c r="G811" s="262"/>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260"/>
      <c r="C812" s="21"/>
      <c r="D812" s="15"/>
      <c r="E812" s="261"/>
      <c r="F812" s="15"/>
      <c r="G812" s="262"/>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260"/>
      <c r="C813" s="21"/>
      <c r="D813" s="15"/>
      <c r="E813" s="261"/>
      <c r="F813" s="15"/>
      <c r="G813" s="262"/>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260"/>
      <c r="C814" s="21"/>
      <c r="D814" s="15"/>
      <c r="E814" s="261"/>
      <c r="F814" s="15"/>
      <c r="G814" s="262"/>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260"/>
      <c r="C815" s="21"/>
      <c r="D815" s="15"/>
      <c r="E815" s="261"/>
      <c r="F815" s="15"/>
      <c r="G815" s="262"/>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260"/>
      <c r="C816" s="21"/>
      <c r="D816" s="15"/>
      <c r="E816" s="261"/>
      <c r="F816" s="15"/>
      <c r="G816" s="262"/>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260"/>
      <c r="C817" s="21"/>
      <c r="D817" s="15"/>
      <c r="E817" s="261"/>
      <c r="F817" s="15"/>
      <c r="G817" s="262"/>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260"/>
      <c r="C818" s="21"/>
      <c r="D818" s="15"/>
      <c r="E818" s="261"/>
      <c r="F818" s="15"/>
      <c r="G818" s="262"/>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260"/>
      <c r="C819" s="21"/>
      <c r="D819" s="15"/>
      <c r="E819" s="261"/>
      <c r="F819" s="15"/>
      <c r="G819" s="262"/>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260"/>
      <c r="C820" s="21"/>
      <c r="D820" s="15"/>
      <c r="E820" s="261"/>
      <c r="F820" s="15"/>
      <c r="G820" s="262"/>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260"/>
      <c r="C821" s="21"/>
      <c r="D821" s="15"/>
      <c r="E821" s="261"/>
      <c r="F821" s="15"/>
      <c r="G821" s="262"/>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260"/>
      <c r="C822" s="21"/>
      <c r="D822" s="15"/>
      <c r="E822" s="261"/>
      <c r="F822" s="15"/>
      <c r="G822" s="262"/>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260"/>
      <c r="C823" s="21"/>
      <c r="D823" s="15"/>
      <c r="E823" s="261"/>
      <c r="F823" s="15"/>
      <c r="G823" s="262"/>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260"/>
      <c r="C824" s="21"/>
      <c r="D824" s="15"/>
      <c r="E824" s="261"/>
      <c r="F824" s="15"/>
      <c r="G824" s="262"/>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260"/>
      <c r="C825" s="21"/>
      <c r="D825" s="15"/>
      <c r="E825" s="261"/>
      <c r="F825" s="15"/>
      <c r="G825" s="262"/>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260"/>
      <c r="C826" s="21"/>
      <c r="D826" s="15"/>
      <c r="E826" s="261"/>
      <c r="F826" s="15"/>
      <c r="G826" s="262"/>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260"/>
      <c r="C827" s="21"/>
      <c r="D827" s="15"/>
      <c r="E827" s="261"/>
      <c r="F827" s="15"/>
      <c r="G827" s="262"/>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260"/>
      <c r="C828" s="21"/>
      <c r="D828" s="15"/>
      <c r="E828" s="261"/>
      <c r="F828" s="15"/>
      <c r="G828" s="262"/>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260"/>
      <c r="C829" s="21"/>
      <c r="D829" s="15"/>
      <c r="E829" s="261"/>
      <c r="F829" s="15"/>
      <c r="G829" s="262"/>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260"/>
      <c r="C830" s="21"/>
      <c r="D830" s="15"/>
      <c r="E830" s="261"/>
      <c r="F830" s="15"/>
      <c r="G830" s="262"/>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260"/>
      <c r="C831" s="21"/>
      <c r="D831" s="15"/>
      <c r="E831" s="261"/>
      <c r="F831" s="15"/>
      <c r="G831" s="262"/>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260"/>
      <c r="C832" s="21"/>
      <c r="D832" s="15"/>
      <c r="E832" s="261"/>
      <c r="F832" s="15"/>
      <c r="G832" s="262"/>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260"/>
      <c r="C833" s="21"/>
      <c r="D833" s="15"/>
      <c r="E833" s="261"/>
      <c r="F833" s="15"/>
      <c r="G833" s="262"/>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260"/>
      <c r="C834" s="21"/>
      <c r="D834" s="15"/>
      <c r="E834" s="261"/>
      <c r="F834" s="15"/>
      <c r="G834" s="262"/>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260"/>
      <c r="C835" s="21"/>
      <c r="D835" s="15"/>
      <c r="E835" s="261"/>
      <c r="F835" s="15"/>
      <c r="G835" s="262"/>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260"/>
      <c r="C836" s="21"/>
      <c r="D836" s="15"/>
      <c r="E836" s="261"/>
      <c r="F836" s="15"/>
      <c r="G836" s="262"/>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260"/>
      <c r="C837" s="21"/>
      <c r="D837" s="15"/>
      <c r="E837" s="261"/>
      <c r="F837" s="15"/>
      <c r="G837" s="262"/>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260"/>
      <c r="C838" s="21"/>
      <c r="D838" s="15"/>
      <c r="E838" s="261"/>
      <c r="F838" s="15"/>
      <c r="G838" s="262"/>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260"/>
      <c r="C839" s="21"/>
      <c r="D839" s="15"/>
      <c r="E839" s="261"/>
      <c r="F839" s="15"/>
      <c r="G839" s="262"/>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260"/>
      <c r="C840" s="21"/>
      <c r="D840" s="15"/>
      <c r="E840" s="261"/>
      <c r="F840" s="15"/>
      <c r="G840" s="262"/>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260"/>
      <c r="C841" s="21"/>
      <c r="D841" s="15"/>
      <c r="E841" s="261"/>
      <c r="F841" s="15"/>
      <c r="G841" s="262"/>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260"/>
      <c r="C842" s="21"/>
      <c r="D842" s="15"/>
      <c r="E842" s="261"/>
      <c r="F842" s="15"/>
      <c r="G842" s="262"/>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260"/>
      <c r="C843" s="21"/>
      <c r="D843" s="15"/>
      <c r="E843" s="261"/>
      <c r="F843" s="15"/>
      <c r="G843" s="262"/>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260"/>
      <c r="C844" s="21"/>
      <c r="D844" s="15"/>
      <c r="E844" s="261"/>
      <c r="F844" s="15"/>
      <c r="G844" s="262"/>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260"/>
      <c r="C845" s="21"/>
      <c r="D845" s="15"/>
      <c r="E845" s="261"/>
      <c r="F845" s="15"/>
      <c r="G845" s="262"/>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260"/>
      <c r="C846" s="21"/>
      <c r="D846" s="15"/>
      <c r="E846" s="261"/>
      <c r="F846" s="15"/>
      <c r="G846" s="262"/>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260"/>
      <c r="C847" s="21"/>
      <c r="D847" s="15"/>
      <c r="E847" s="261"/>
      <c r="F847" s="15"/>
      <c r="G847" s="262"/>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260"/>
      <c r="C848" s="21"/>
      <c r="D848" s="15"/>
      <c r="E848" s="261"/>
      <c r="F848" s="15"/>
      <c r="G848" s="262"/>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260"/>
      <c r="C849" s="21"/>
      <c r="D849" s="15"/>
      <c r="E849" s="261"/>
      <c r="F849" s="15"/>
      <c r="G849" s="262"/>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260"/>
      <c r="C850" s="21"/>
      <c r="D850" s="15"/>
      <c r="E850" s="261"/>
      <c r="F850" s="15"/>
      <c r="G850" s="262"/>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260"/>
      <c r="C851" s="21"/>
      <c r="D851" s="15"/>
      <c r="E851" s="261"/>
      <c r="F851" s="15"/>
      <c r="G851" s="262"/>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260"/>
      <c r="C852" s="21"/>
      <c r="D852" s="15"/>
      <c r="E852" s="261"/>
      <c r="F852" s="15"/>
      <c r="G852" s="262"/>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260"/>
      <c r="C853" s="21"/>
      <c r="D853" s="15"/>
      <c r="E853" s="261"/>
      <c r="F853" s="15"/>
      <c r="G853" s="262"/>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260"/>
      <c r="C854" s="21"/>
      <c r="D854" s="15"/>
      <c r="E854" s="261"/>
      <c r="F854" s="15"/>
      <c r="G854" s="262"/>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260"/>
      <c r="C855" s="21"/>
      <c r="D855" s="15"/>
      <c r="E855" s="261"/>
      <c r="F855" s="15"/>
      <c r="G855" s="262"/>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260"/>
      <c r="C856" s="21"/>
      <c r="D856" s="15"/>
      <c r="E856" s="261"/>
      <c r="F856" s="15"/>
      <c r="G856" s="262"/>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260"/>
      <c r="C857" s="21"/>
      <c r="D857" s="15"/>
      <c r="E857" s="261"/>
      <c r="F857" s="15"/>
      <c r="G857" s="262"/>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260"/>
      <c r="C858" s="21"/>
      <c r="D858" s="15"/>
      <c r="E858" s="261"/>
      <c r="F858" s="15"/>
      <c r="G858" s="262"/>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260"/>
      <c r="C859" s="21"/>
      <c r="D859" s="15"/>
      <c r="E859" s="261"/>
      <c r="F859" s="15"/>
      <c r="G859" s="262"/>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260"/>
      <c r="C860" s="21"/>
      <c r="D860" s="15"/>
      <c r="E860" s="261"/>
      <c r="F860" s="15"/>
      <c r="G860" s="262"/>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260"/>
      <c r="C861" s="21"/>
      <c r="D861" s="15"/>
      <c r="E861" s="261"/>
      <c r="F861" s="15"/>
      <c r="G861" s="262"/>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sheetData>
  <mergeCells count="1">
    <mergeCell ref="C3:I3"/>
  </mergeCells>
  <dataValidations>
    <dataValidation type="list" allowBlank="1" sqref="H9:K17">
      <formula1>"VerifyWorkingSubs,CreateDoneAwayOrder,CheckUnallocatedGroups,CheckAllocatedGroups,CheckPortfolioManagement,GetDataClosing,VerifyLongPositionsGrid,VerifyShortPositionsGrid,SaveLayoutOrderGrid,VerifyActivity,GetActivityData,VerifySubOrder,VerifyOrder,GetDat"&amp;"aAllocation"</formula1>
    </dataValidation>
    <dataValidation type="list" allowBlank="1" sqref="H100:K104 H106:K112 H114:K114">
      <formula1>"CreateDoneAwayOrder,VerifyWorkingSubs,CheckUnallocatedGroups,SelectUnallocatedGroup,EnterAllocatePreference,CheckAllocatedGroups,CheckPortfolioManagement,SetGeneralPreferences,Unallocate,CheckUnallocatedGroups1,SelectUnallocatedGroup1,SelectUnallocatedGro"&amp;"up2,EditUnallocatedGroupSidePanel,EnterAllocatePreference1,CheckAllocatedGroups2,VerifyOrder"</formula1>
    </dataValidation>
    <dataValidation type="list" allowBlank="1" sqref="F9 F66">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F22 F28 F34 F40 F46 F52 F58 F65 F71 F77 F83 F89 F95">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8 F21 F27 F33 F39 F45 F51 F57 F64 F70 F76 F82 F88 F94 F100">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H99:K99">
      <formula1>"CreateDoneAwayOrder,VerifyWorkingSubs,CheckUnallocatedGroups,SelectUnallocatedGroup,EnterAllocatePreference,CheckAllocatedGroups,CheckPortfolioManagement,SetGeneralPreferences,Unallocate,CheckUnallocatedGroups1,SelectUnallocatedGroup1,SelectUnallocatedGro"&amp;"up2,EditUnallocatedGroupSidePanel,EnterAllocatePreference1,CheckAllocatedGroups2"</formula1>
    </dataValidation>
    <dataValidation type="list" allowBlank="1" sqref="H39:K39">
      <formula1>"TradeBloomberg,VerifyWorkingSubs,CheckUnallocatedGroups,CheckPortfolioManagement,GetDataAllocation,VerifyOrders,VerifyOrder"</formula1>
    </dataValidation>
    <dataValidation type="list" allowBlank="1" sqref="F99">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E6:E861">
      <formula1>'_Modules'!$A$4:$A861</formula1>
    </dataValidation>
    <dataValidation type="list" allowBlank="1" sqref="F16:F17">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V"&amp;"erifyAccountDetails,,,,,,,,,,,,,,,,,,,,,,,,,,,,,,,,,,,,,,,,,,,,,,,,,,,,,,,,,,,,,,,,,,,,,,,,,,,,,,,,,,,,,,,,,,,,,,,,,,,,,,,,,,,,,,,,,,,,,,,,,,,,,,,,,,,,,,,,,,,,,,,,,,,,,,,,,,,,,,,,,,,,,,,,,,,,,,,,,,,,,,,,,,,,,,,,,,,,,,,,,,,,,,,,,,,,,,,,,,,,,,,,,,,,,,,,,,,,"&amp;",,,,,,,,,,,,,,,,,,,,,,,,,,,,,,,,,,,,,,,,,,,,,,,,,,,,,,,,,,,,,,,,,,,,,,,,,,,,,,,,,,,,,,,,,,,,,,,,,,,,,,,,,,,,,,,,,,,,,,,,,,,,,,,,,,,,,,,,,,,,,,,,,,,,,,,,,,,,,,,,,,,,,,,,,,,,,,,,,,,,,,,,,,,,,,,,,,"</formula1>
    </dataValidation>
    <dataValidation type="list" allowBlank="1" sqref="H31:K32 H35:K36 H49:K50 H53:K54">
      <formula1>"TradeBloomberg,VerifyWorkingSubs,VerifySubOrder,VerifyOrder,CheckUnallocatedGroups,CheckPortfolioManagement,GetDataAllocation"</formula1>
    </dataValidation>
    <dataValidation type="list" allowBlank="1" sqref="F12">
      <formula1>"CheckDashboardPM,CheckPortfolioManagement,OpenPSTFromPM,ClosePM,FilterPM,GroupRowPM,CheckDashboardWithPM,RemoveFilterPM,,,,,,,,,,,,,,,,,,,,,,,,,,,,,,,,,,,,,,,,,,,,,,,,,,,,,,,,,,,,,,,,,,,,,,,,,,,,,,,,,,,,,,,,,,,,,,,,,,,,,,,,,,,,,,,,,,,,,,,,,,,,,,,,,,,,,,,,"&amp;",,,,,,,,,,,,,,,,,,,,,,,,,,,,,,,,,,,,,,,,,,,,,,,,,,,,,,,,,,,,,,,,,,,,,,,,,,,,,,,,,,,,,,,,,,,,,,,,,,,,,,,,,,,,,,,,,,,,,,,,,,,,,,,,,,,,,,,,,,,,,,,,,,,,,,,,,,,,,,,,,,,,,,,,,,,,,,,,,,,,,,,,,,,,,,,,,,,,,,,,,,,,,,,,,,,,,,,,,,,,,,,,,,,,,,,,,,,,,,,,,,,,,,,,,,,,,,,"&amp;",,,,,,,,,,,,,,,,,,,,,,,,,,,,,,,,,,,,,,,,,,,,,,,,,,,,,,,,,,,,,,,,,,,,,,,,,,,,,,,,,,,,,,,,,,,,,,,,,,"</formula1>
    </dataValidation>
    <dataValidation type="list" allowBlank="1" sqref="F20 F26 F32 F38 F44 F50 F56 F63 F69 F75 F81 F87 F93">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VerifyAlgoDetails,VerifyTransferToUserOrder,VerifyT"&amp;"ransferToUserSubOdr,VerifyTransferToUserWorkSub,SaveLayoutOrderGrid,SaveLayoutOrderGrid,ReplaceStageOrder,,,,,,,,,,,,,,,,,,,,,,,,,,,,,,,,,,,,,,,,,,,,,,,,,,,,,,,,,,,,,,,,,,,,,,,,,,,,,,,,,,,,,,,,,,,,,,,,,,,,,,,,,,,,,,,,,,,,,,,,,,,,,,,,,,,,,,,,,,,,,,,,,,,,,,"&amp;",,,,,,,,,,,,,,,,,,,,,,,,,,,,,,,,,,,,,,,,,,,,,,,,,,,,,,,,,,,,,,,,,,,,,,,,,,,,,,,,,,,,,,,,,,,,,,,,,,,,,,,,,,,,,,,,,,,,,,,,,,,,,,,,,,,,,,,,,,,,,,,,,,,,,,,,,,,,,,,,,,,,,,,,,,,,,,,,,,,,,,,,,,,,,,,,,,,,,,,,,,,,,,,,,,,,,,,,,,,,,,,,,,,,,,,,,,,,,,,,,,,,,,,,,,,,,,,"&amp;",,,,,,,,,,,,,,,,,,,,,,,,,,,,,,,,,,,,,,,,"</formula1>
    </dataValidation>
    <dataValidation type="list" allowBlank="1" sqref="F23 F29 F35 F41 F47 F53 F59 F72 F78 F84 F90 F96">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21:K21 H33:K33 H45:K45 H51:K51 H57:K57">
      <formula1>"TradeBloomberg,VerifyWorkingSubs,CheckUnallocatedGroups,CheckPortfolioManagement,GetDataAllocation,VerifyOrder"</formula1>
    </dataValidation>
    <dataValidation type="list" allowBlank="1" sqref="H74:K75 H77:K79 H86:K87 H89:K93 H95:K97">
      <formula1>"CreateDoneAwayOrder,VerifyWorkingSubs,CheckUnallocatedGroups,CheckPortfolioManagement,GetDataAllocation,VerifyOrder,VerifySubOrder"</formula1>
    </dataValidation>
    <dataValidation type="list" allowBlank="1" sqref="H66:K67">
      <formula1>"CreateDoneAwayOrder,VerifyWorkingSubs,VerifyOrder,CheckPortfolioManagement,GetDataAllocation,Copy of Data,CheckUnallocatedGroups,Copy of Data 1_conflict1696060895"</formula1>
    </dataValidation>
    <dataValidation type="list" allowBlank="1" sqref="H61:K61">
      <formula1>"ClickSymbolLookup"</formula1>
    </dataValidation>
    <dataValidation type="list" allowBlank="1" sqref="H18:K18">
      <formula1>"TradeBloomberg,VerifyWorkingSubs,CheckUnallocatedGroups,CheckPortfolioManagement,GetDataAllocation,VerifyOrder,VerifySubOrder,CheckAllocatedGroups,SetGeneralPreference"</formula1>
    </dataValidation>
    <dataValidation type="list" allowBlank="1" sqref="F111">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StrategyValuesToAllocate,SetGeneralRuleCalculatedPref,CopyCalculatedPreferenceToolbar,EnterAllocatePreference,ExportAllCalculatedPreferences,SaveCalculatedPreferences,CloseCalculatedPreferences,ExportCalculatedPreference,EditUnal"&amp;"locatedGroupSidePanel,ImportCalculatedPreferences,OpenAuditTrailUnallocatedGroup,DeleteCalculatedPreferencesTool,ImportCalculatedPreferencesTool,ExportAllCalculatedPreferTool,CheckFixedPreference,DeleteFixedPreference,OpenSymbolLookupUnallocateGroup,OpenS"&amp;"ymbolLookupAllocatedGroup,GetFixedPreference,CheckAllocatedGroups,CheckUnallocatedGroups,SetGeneralPreferences,EditAllocatedGroupSidePanel,OpenAuditTrailAllocatedGroup,GroupTrades,UngroupTrades,DeleteGroup,CloseOrder,Unallocate,CloseAllocation,GeneralPref"&amp;"CompanyUserWise,SetGeneralRuleCalPreference,UpdateGRAccountValue,UpdateGRStrategyValue,UpdateGRDefaultRule,UpdateGeneralRulePref,ModifyGRPreferenceValues,AddMFPreferences,AddMFPreferenceToolbar,DeleteMFPreferences,DeleteMFPreferenceToolbar,RenameMFPrefere"&amp;"nces,SaveCloseMFPreference,SetMFPrefAccountValues,ModifyMFPrefGeneralRuleValues,SetMFPrefStrategyValues,SetMFPrefFundDistribution,SetMFPreferencesDefaultRule,SetMFPrefGeneralRule,SetMFPrefFundDefaultRule,ClearPrefetchFilters,ExpandCollapseAllUnallocated,E"&amp;"xpandCollapseAllAllocated,GenerateCashTransaction,SaveAllocation,UnallocateWithOutSave,,,,,,,,,,,,,,,,,,,,,,,,,,,,,,,,,,,,,,,,,,,,,,,,,,,,,,,,,,,,,,,,,,,,,,,,,,,,,,,,,,,,,,,,,,,,,,,,,,,,,,,,,,,,,,,,,,,,,,,,,,,,,,,,,,,,,,,,,,,,,,,,,,,,,,,,,,,,,,,,,,,,,,,,,"&amp;",,,,,,,,,,,,,,,,,,,,,,,,,,,,,,,,,,,,,,,,,,,,,,,,,,,,,,,,,,,,,,,,,,,,,,,,,,,,,,,,,,,,,,,,,,,,,,,,,,,,,,,,,,,,,,,,,,,,,,,,,,,,,,,,,,,,,,,,,,,,,,,,,,,,,,,,,,,,,,,,,,,,,,,,,,,,,,,,,,,,,,,,,,,,,,,,,,,,,,,,,,,,,,,,,,,,,,,,,,,,,,,,,,"</formula1>
    </dataValidation>
    <dataValidation type="list" allowBlank="1" sqref="H20:K20 H23:K24">
      <formula1>"TradeBloomberg,VerifyWorkingSubs,CheckUnallocatedGroups,CheckPortfolioManagement,GetDataAllocation,VerifyOrder,VerifySubOrder,CheckAllocatedGroups,tra"</formula1>
    </dataValidation>
    <dataValidation type="list" allowBlank="1" sqref="H37:K38 H40:K44 H47:K48">
      <formula1>"TradeBloomberg,VerifyWorkingSubs,VerifyOrder,VerifySubOrder,CheckUnallocatedGroups,CheckPortfolioManagement,GetDataAllocation"</formula1>
    </dataValidation>
    <dataValidation type="list" allowBlank="1" sqref="F10:F11">
      <formula1>"Allocate,CheckAllocation,Unallocate,GetDataAllocation,SelectTradeAllocation,EditTradesAllocated,EditTradesUnallocated,Reallocate,CleanUp,EditTrades,TradeAttributeBulkChange,CommissionBulkChange,GeneralPreferencesDefaultRule,GeneralPreferencesCompanyUserWi"&amp;"se,AttributeRenaming,AutoGroupingRules,MasterFundRatioAllocation,CheckFixedPreferenceScheme,GetFixedScheme,AddCalculatedPreferences,BulkChangeCalculatedPreferences,DeleteCalculatedPreferences,RenameCalculatedPreferences,CopyCalculatedPreferences,RunAutoGr"&amp;"oup,SwapControl,RunProrata,SetDefaultRuleForCalculatedPreference,RenameTradeAttributes,SetAccountValueCalculatedPref,TradeAttributeBulkChange,TradeAttributeBulkChangeGroup,TradeAttributeBulkChangeTaxlots,TradeAttributeBulkChangeGroups,SetMasterFundRatio,A"&amp;"ddCalculatedPreferenceToolbar,SetGroupingRules,ApplyBulkUpdateOnGroups,SetStrategyValueCalculatedPref,ApplyBulkUpdateOnTaxlots,SetDefaultRuleCalculatedPref,CommissionBulkChangeOnGroups,CommissionBulkChangeOnTaxlots,BookOrUpdateSwap,SelectUnallocatedGroup,"&amp;"SelectAllocatedGroup,EnterAccountValuesToAllocate,ApplyPrefetchFilters,EnterAllocatePerference,EnterStrategyValuesToAllocate,CopyCalculatedPreferencesToolbar,SetGeneralRuleCalculatedPref,CopyCalculatedPreferenceToolbar,EnterAllocatePreference,ExportAllCal"&amp;"culatedPreferences,SaveCalculatedPreferences,ExportAllCalculatedPreferences,SaveCalculatedPreferences,CloseCalculatedPreferences,ExportCalculatedPreference,EditUnallocatedGroupSidePanel,ImportCalculatedPreferences,OpenAuditTrailUnallocatedGroup,DeleteCalc"&amp;"ulatedPreferencesTool,ImportCalculatedPreferencesTool,ExportAllCalculatedPreferTool,CheckFixedPreference,DeleteFixedPreference,OpenSymbolLookupUnallocateGroup,OpenSymbolLookupAllocatedGroup,ExportAllCalculatedPreferTool,ExportAllCalculatedPreferences,GetF"&amp;"ixedPreference,CheckAllocatedGroups,CheckUnallocatedGroups,SetGeneralPreferences,EditAllocatedGroupSidePanel,OpenAuditTrailAllocatedGroup,GroupTrades,UngroupTrades,DeleteGroup,CloseOrder,Unallocate,CloseAllocation,,,,,,,,,,,,,,,,,,,,,,,,,,,,,,,,,,,,,,,,,,"&amp;",,,,,,,,,,,,,,,,,,,,,,,,,,,,,,,,,,,,,,,,,,,,,,,,,,,,,,,,,,,,,,,,,,,,,,,,,,,,,,,,,,,,,,,,,,,,,,,,,,,,,,,,,,,,,,,,,,,,,,,,,,,,,,,,,,,,,,,,,,,,,,,,,,,,,,,,,,,,,,,,,,,,,,,,,,,,,,,,,,,,,,,,,,,,,,,,,,,,,,,,,,,,,,,,,,,,,,,,,,,,,,,,,,,,,,,,,,,,,,,,,,,,,,,,,,,,,,,"&amp;",,,,,,,,,,,,,,,,,,,,,,,,,,,,,,,,,,,,,,,,,,,,,,,,,,,,,,,,,,,,,,,,,,,,,,,,,,,,,,,,,,,,,,,,,,,,,,,,,,,,,,,,,,,,,,,,,,,,"</formula1>
    </dataValidation>
    <dataValidation type="list" allowBlank="1" sqref="F7">
      <formula1>"AddFillsOnBlotter,ReplaceFillsOnBlotter,CheckBlotter,SelectTradeBlotter,VerifyOrders,BlotterFunctionalities,TransferToUserWorkingSubs,CancelWorkingSubs,ReplaceWorkingSubs,ViewAllocationDetailsWorkingSubs,ShowDetailsForAlgoTradeSubOrder,SelectTradeOrderBlo"&amp;"tter,AddFillsWorkingSubs,ShowDetailsForAlgoTradeWorkingSubs,EditAddFillsDetails,SelectTradeOnOrderGrid,ViewAllocationDetailsWorkingSub,VerifyWorkingSubs,TransferToUserOrder,TransferToUserOrder,TransferToUserOrder,SelectTradeSubOrderBlotter,VerifyOrder,Ver"&amp;"ifySubOrder,RemoveSelectedOrders,CancelAllSelectedSubs,MultiTradingTicket,AuditTrailOrderBlotter,TradeNewSubOrder,RemoveStageOrder,SelectTradeSubOrderBlotter,SelectTradeSubOrderBlotter,TransferToUserSubOrder,AddFillsSubOrder,DetailsForAlgoTradeOrder,ViewA"&amp;"llocationDetailsSubOrder,EditAddFillsDetails,ViewAllocationDetailsSubOrder,AddFillsSubOrder,CancelAllSubs,CancelSubOrder,EditStageOrder,ReplaceSubOrder,SelectTradeWorkingSub,selecttradeworkingsubsblotter,SelectTradeWorkingSubsBlotter,VerifyAlgoDetails,Ver"&amp;"ifyTransferToUserOrder,VerifyTransferToUserSubOdr,VerifyTransferToUserWorkSub,SaveLayoutOrderGrid,SaveLayoutOrderGrid,,,,,,,,,,,,,,,,,,,,,,,,,,,,,,,,,,,,,,,,,,,,,,,,,,,,,,,,,,,,,,,,,,,,,,,,,,,,,,,,,,,,,,,,,,,,,,,,,,,,,,,,,,,,,,,,,,,,,,,,,,,,,,,,,,,,,,,,,,"&amp;",,,,,,,,,,,,,,,,,,,,,,,,,,,,,,,,,,,,,,,,,,,,,,,,,,,,,,,,,,,,,,,,,,,,,,,,,,,,,,,,,,,,,,,,,,,,,,,,,,,,,,,,,,,,,,,,,,,,,,,,,,,,,,,,,,,,,,,,,,,,,,,,,,,,,,,,,,,,,,,,,,,,,,,,,,,,,,,,,,,,,,,,,,,,,,,,,,,,,,,,,,,,,,,,,,,,,,,,,,,,,,,,,,,,,,,,,,,,,,,,,,,,,,,,,,,,,,,"&amp;",,,,,,,,,,,,,,,,,,,,,,,,,,,,,,,,,,,,,,,,,,,,,,,,,,,,"</formula1>
    </dataValidation>
    <dataValidation type="list" allowBlank="1" sqref="H55:K56 H59:K60">
      <formula1>"TradeBloomberg,VerifyWorkingSubs,CheckUnallocatedGroups,CheckPortfolioManagement,GetDataAllocation,VerifyOrder,VerifySubOrder"</formula1>
    </dataValidation>
    <dataValidation type="list" allowBlank="1" sqref="H25:K26 H29:K30">
      <formula1>"VerifyWorkingSubs,TradeBloomberg,CheckUnallocatedGroups,CheckPortfolioManagement,GetDataAllocation,VerifySubOrder,VerifyOrder"</formula1>
    </dataValidation>
    <dataValidation type="list" allowBlank="1" sqref="H22:K22 H34:K34 H46:K46 H52:K52 H58:K58">
      <formula1>"TradeBloomberg,VerifyWorkingSubs,CheckUnallocatedGroups,CheckPortfolioManagement,GetDataAllocation"</formula1>
    </dataValidation>
    <dataValidation type="list" allowBlank="1" sqref="H8:K8">
      <formula1>"VerifyWorkingSubs,CreateDoneAwayOrder,CheckUnallocatedGroups,CheckAllocatedGroups,CheckPortfolioManagement,GetDataClosing,VerifyLongPositionsGrid,VerifyShortPositionsGrid,SaveLayoutOrderGrid,VerifyActivity,GetActivityData,GetDataAllocation,VerifySubOrder,"&amp;"VerifyOrder"</formula1>
    </dataValidation>
    <dataValidation type="list" allowBlank="1" sqref="H28:K28">
      <formula1>"VerifyWorkingSubs,TradeBloomberg,CheckUnallocatedGroups,CheckPortfolioManagement,GetDataAllocation"</formula1>
    </dataValidation>
    <dataValidation type="list" allowBlank="1" sqref="H80:K80">
      <formula1>"CreateDoneAwayOrder,VerifyWorkingSubs,CheckUnallocatedGroups,CheckPortfolioManagement,GetDataAllocation,VerifyOrder,VerifySubOrder,Copy of Data"</formula1>
    </dataValidation>
    <dataValidation type="list" allowBlank="1" sqref="F18">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27:K27">
      <formula1>"VerifyWorkingSubs,TradeBloomberg,CheckUnallocatedGroups,CheckPortfolioManagement,GetDataAllocation,VerifyOrders,VerifySubOrder,VerifyOrder"</formula1>
    </dataValidation>
    <dataValidation type="list" allowBlank="1" sqref="H6:K7">
      <formula1>"VerifyWorkingSubs,VerifySubOrder,CreateDoneAwayOrder,VerifyOrder,CheckUnallocatedGroups,CheckAllocatedGroups,CheckPortfolioManagement,GetDataClosing,VerifyLongPositionsGrid,VerifyShortPositionsGrid,VerifyActivity,GetActivityData,GetDataAllocation"</formula1>
    </dataValidation>
    <dataValidation type="list" allowBlank="1" sqref="F24 F30 F36 F42 F48 F54 F60 F67 F73 F79 F85 F91 F97">
      <formula1>"CheckDashboardPM,CheckPortfolioManagement,OpenPSTFromPM,ClosePM,FilterPM,GroupRowPM,CheckDashboardWithPM,RemoveFilterPM,CheckSummaryRowsPM,,,,,,,,,,,,,,,,,,,,,,,,,,,,,,,,,,,,,,,,,,,,,,,,,,,,,,,,,,,,,,,,,,,,,,,,,,,,,,,,,,,,,,,,,,,,,,,,,,,,,,,,,,,,,,,,,,,,,"&amp;",,,,,,,,,,,,,,,,,,,,,,,,,,,,,,,,,,,,,,,,,,,,,,,,,,,,,,,,,,,,,,,,,,,,,,,,,,,,,,,,,,,,,,,,,,,,,,,,,,,,,,,,,,,,,,,,,,,,,,,,,,,,,,,,,,,,,,,,,,,,,,,,,,,,,,,,,,,,,,,,,,,,,,,,,,,,,,,,,,,,,,,,,,,,,,,,,,,,,,,,,,,,,,,,,,,,,,,,,,,,,,,,,,,,,,,,,,,,,,,,,,,,,,,,,,,,,,,"&amp;",,,,,,,,,,,,,,,,,,,,,,,,,,,,,,,,,,,,,,,,,,,,,,,,,,,,,,,,,,,,,,,,,,,,,,,,,,,,,,,,,,,,,,,,,,,,,,,,,,,,,,,,,,,,,,,,,,,,"</formula1>
    </dataValidation>
    <dataValidation type="list" allowBlank="1" sqref="D6:D861">
      <formula1>'_Categories'!$A$4:$A861</formula1>
    </dataValidation>
    <dataValidation type="list" allowBlank="1" sqref="H63:K65">
      <formula1>"CreateDoneAwayOrder,VerifyWorkingSubs,VerifyOrder,CheckPortfolioManagement,GetDataAllocation,Copy of Data"</formula1>
    </dataValidation>
    <dataValidation type="list" allowBlank="1" sqref="F6">
      <formula1>"TradeUsingTT,OpenTTFromPST,EnterDetailsOnTT,ValidateSymbolTT,VerifyDataTT,SetUIPreferencesTT,SetBrokerWisePreferencesTT,TradeNewSub,CreateStageOrder,CreateReplaceOrder,CreateReplaceOrder,EditOrder,SetGeneralPreference,CreateDoneAwayOrder,,,,,,,,,,,,,,,,,,"&amp;",,,,,,,,,,,,,,,,,,,,,,,,,,,,,,,,,,,,,,,,,,,,,,,,,,,,,,,,,,,,,,,,,,,,,,,,,,,,,,,,,,,,,,,,,,,,,,,,,,,,,,,,,,,,,,,,,,,,,,,,,,,,,,,,,,,,,,,,,,,,,,,,,,,,,,,,,,,,,,,,,,,,,,,,,,,,,,,,,,,,,,,,,,,,,,,,,,,,,,,,,,,,,,,,,,,,,,,,,,,,,,,,,,,,,,,,,,,,,,,,,,,,,,,,,,,,,,,"&amp;",,,,,,,,,,,,,,,,,,,,,,,,,,,,,,,,,,,,,,,,,,,,,,,,,,,,,,,,,,,,,,,,,,,,,,,,,,,,,,,,,,,,,,,,,,,,,,,,,,,,,,,,,,,,,,,,,,,,,,,,,,,,,,,,,,,,,,,,,,,,,,,,,,,,,,,,,,,,,,,,,,,,,,,,,,,,,,,,,,,,,,,,,,,,,,,,,,,,,,,,,,,,,,,,,,"</formula1>
    </dataValidation>
    <dataValidation type="list" allowBlank="1" sqref="F19 F25 F31 F37 F43 F49 F55">
      <formula1>"TradeUsingTT,OpenTTFromPST,EnterDetailsOnTT,ValidateSymbolTT,VerifyDataTT,SetUIPreferencesTT,SetBrokerWisePreferencesTT,TradeNewSub,CreateStageOrder,CreateReplaceOrder,CreateReplaceOrder,EditOrder,SetGeneralPreference,CreateDoneAwayOrder,CreateNewSubOrder"&amp;",TradeBloomberg,,,,,,,,,,,,,,,,,,,,,,,,,,,,,,,,,,,,,,,,,,,,,,,,,,,,,,,,,,,,,,,,,,,,,,,,,,,,,,,,,,,,,,,,,,,,,,,,,,,,,,,,,,,,,,,,,,,,,,,,,,,,,,,,,,,,,,,,,,,,,,,,,,,,,,,,,,,,,,,,,,,,,,,,,,,,,,,,,,,,,,,,,,,,,,,,,,,,,,,,,,,,,,,,,,,,,,,,,,,,,,,,,,,,,,,,,,,,,,,,"&amp;",,,,,,,,,,,,,,,,,,,,,,,,,,,,,,,,,,,,,,,,,,,,,,,,,,,,,,,,,,,,,,,,,,,,,,,,,,,,,,,,,,,,,,,,,,,,,,,,,,,,,,,,,,,,,,,,,,,,,,,,,,,,,,,,,,,,,,,,,,,,,,,,,,,,,,,,,,,,,,,,,,,,,,,,,,,,,,,,,,,,,,,,,,,,,,,,,,,,,,,,,,,,,,,,,,,,,,,,,,,,,,,,,,,,,,,,,,,,,,,,,"</formula1>
    </dataValidation>
    <dataValidation type="list" allowBlank="1" sqref="H68:K69 H71:K73">
      <formula1>"CreateDoneAwayOrder,CheckUnallocatedGroups,VerifyWorkingSubs,VerifyOrder,VerifySubOrder,CheckPortfolioManagement,GetDataAllocation"</formula1>
    </dataValidation>
    <dataValidation type="list" allowBlank="1" sqref="F61:F62 F68 F74 F80 F86 F92">
      <formula1>"TradeUsingTT,OpenTTFromPST,EnterDetailsOnTT,ValidateSymbolTT,VerifyDataTT,SetUIPreferencesTT,SetBrokerWisePreferencesTT,TradeNewSub,CreateStageOrder,CreateReplaceOrder,CreateReplaceOrder,EditOrder,SetGeneralPreference,CreateDoneAwayOrder,CreateNewSubOrder"&amp;",TradeBloomberg,ClickSymbolLookup,,,,,,,,,,,,,,,,,,,,,,,,,,,,,,,,,,,,,,,,,,,,,,,,,,,,,,,,,,,,,,,,,,,,,,,,,,,,,,,,,,,,,,,,,,,,,,,,,,,,,,,,,,,,,,,,,,,,,,,,,,,,,,,,,,,,,,,,,,,,,,,,,,,,,,,,,,,,,,,,,,,,,,,,,,,,,,,,,,,,,,,,,,,,,,,,,,,,,,,,,,,,,,,,,,,,,,,,,,,,,,"&amp;",,,,,,,,,,,,,,,,,,,,,,,,,,,,,,,,,,,,,,,,,,,,,,,,,,,,,,,,,,,,,,,,,,,,,,,,,,,,,,,,,,,,,,,,,,,,,,,,,,,,,,,,,,,,,,,,,,,,,,,,,,,,,,,,,,,,,,,,,,,,,,,,,,,,,,,,,,,,,,,,,,,,,,,,,,,,,,,,,,,,,,,,,,,,,,,,,,,,,,,,,,,,,,,,,,,,,,,,,,,,,,,,,,,,,,,,,,,,,,,,,,,,,,,,,,,,,,,"&amp;",,,"</formula1>
    </dataValidation>
    <dataValidation type="list" allowBlank="1" sqref="H62:K62">
      <formula1>"CreateDoneAwayOrder,VerifyWorkingSubs,VerifyOrder,VerifySubOrder,CheckPortfolioManagement,GetDataAllocation,VerifyOrders,CheckUnallocatedGroups,CheckUnallocatedGroups1,Copy of Data,Copy of Data 1"</formula1>
    </dataValidation>
    <dataValidation type="list" allowBlank="1" sqref="F13:F15">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amp;",,,,,,,,,,,,,,,,,,,,,,,,,,,,,,,,,,,,,,,,,,,,,,,,,,,,,,,,,,,,,,,,,,,,,,,,,,,,,,,,,,,,,,,,,,,,,,,,,,,,,,,,,,,,,,,,,,,,,,,,,,,,,,,,,,,,,,,,,,,,,,,,,,,,,,,,,,,,,,,,,,,,,,,,,,,,,,,,,,,,,,,,,,,,,,,,,,,,,,,,,,,,,,,,,,,,,,,,,,,,,,,,,,,,,,,,,,,,,,,,,,,,,,,,,,,,,,,"&amp;",,,,,,,,,,,,,,,,,,,,,,,,,,,,,,,,,,,,,,,,,,,,,,,,,,,,,,,,,,,,,,,,,,,,,,,,,,,,,,,,,,,,,,,,,,,,,,,,,,,,,,,,,,,,,,,,,,,,,,,,,,,,,,,,,,,,,,,,,,,,,,,,,,,,,,,,,,,,,,,,,,,,,,,,,,,"</formula1>
    </dataValidation>
    <dataValidation type="list" allowBlank="1" sqref="H70:K70 H76:K76 H81:K85 H88:K88 H94:K94">
      <formula1>"CreateDoneAwayOrder,VerifyWorkingSubs,CheckUnallocatedGroups,CheckPortfolioManagement,GetDataAllocation,VerifyOrder"</formula1>
    </dataValidation>
    <dataValidation type="list" allowBlank="1" sqref="H19:K19">
      <formula1>"TradeBloomberg,VerifyWorkingSubs,CheckUnallocatedGroups,CheckPortfolioManagement,GetDataAllocation,VerifyOrder,VerifySubOrder,CheckAllocatedGroups"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8.29"/>
    <col customWidth="1" min="3" max="3" width="56.57"/>
    <col customWidth="1" min="4" max="4" width="13.71"/>
    <col customWidth="1" min="5" max="5" width="20.57"/>
    <col customWidth="1" min="6" max="6" width="29.29"/>
    <col customWidth="1" min="7" max="7" width="47.0"/>
    <col customWidth="1" min="8" max="8" width="26.29"/>
    <col customWidth="1" min="9" max="12" width="18.0"/>
    <col customWidth="1" min="13" max="32" width="14.43"/>
  </cols>
  <sheetData>
    <row r="1" ht="1.5" customHeight="1">
      <c r="A1" s="289"/>
      <c r="B1" s="289"/>
      <c r="C1" s="290"/>
      <c r="D1" s="291"/>
      <c r="E1" s="291"/>
      <c r="F1" s="291"/>
      <c r="G1" s="292"/>
      <c r="H1" s="291"/>
      <c r="I1" s="291"/>
      <c r="J1" s="289"/>
      <c r="K1" s="289"/>
      <c r="L1" s="289"/>
      <c r="M1" s="293"/>
      <c r="N1" s="293"/>
      <c r="O1" s="293"/>
      <c r="P1" s="293"/>
      <c r="Q1" s="293"/>
      <c r="R1" s="293"/>
      <c r="S1" s="293"/>
      <c r="T1" s="293"/>
      <c r="U1" s="293"/>
      <c r="V1" s="293"/>
      <c r="W1" s="293"/>
      <c r="X1" s="293"/>
      <c r="Y1" s="293"/>
      <c r="Z1" s="293"/>
      <c r="AA1" s="293"/>
      <c r="AB1" s="293"/>
      <c r="AC1" s="293"/>
      <c r="AD1" s="293"/>
      <c r="AE1" s="293"/>
      <c r="AF1" s="293"/>
    </row>
    <row r="2" ht="1.5" customHeight="1">
      <c r="A2" s="289"/>
      <c r="B2" s="289"/>
      <c r="C2" s="290"/>
      <c r="D2" s="291"/>
      <c r="E2" s="291"/>
      <c r="F2" s="291"/>
      <c r="G2" s="292"/>
      <c r="H2" s="291"/>
      <c r="I2" s="291"/>
      <c r="J2" s="289"/>
      <c r="K2" s="289"/>
      <c r="L2" s="289"/>
      <c r="M2" s="293"/>
      <c r="N2" s="293"/>
      <c r="O2" s="293"/>
      <c r="P2" s="293"/>
      <c r="Q2" s="293"/>
      <c r="R2" s="293"/>
      <c r="S2" s="293"/>
      <c r="T2" s="293"/>
      <c r="U2" s="293"/>
      <c r="V2" s="293"/>
      <c r="W2" s="293"/>
      <c r="X2" s="293"/>
      <c r="Y2" s="293"/>
      <c r="Z2" s="293"/>
      <c r="AA2" s="293"/>
      <c r="AB2" s="293"/>
      <c r="AC2" s="293"/>
      <c r="AD2" s="293"/>
      <c r="AE2" s="293"/>
      <c r="AF2" s="293"/>
    </row>
    <row r="3" ht="1.5" customHeight="1">
      <c r="A3" s="291" t="s">
        <v>5</v>
      </c>
      <c r="B3" s="291" t="s">
        <v>5</v>
      </c>
      <c r="C3" s="294" t="s">
        <v>6</v>
      </c>
      <c r="D3" s="295"/>
      <c r="E3" s="295"/>
      <c r="F3" s="295"/>
      <c r="G3" s="295"/>
      <c r="H3" s="295"/>
      <c r="I3" s="296"/>
      <c r="J3" s="289"/>
      <c r="K3" s="289"/>
      <c r="L3" s="289"/>
      <c r="M3" s="293"/>
      <c r="N3" s="293"/>
      <c r="O3" s="293"/>
      <c r="P3" s="293"/>
      <c r="Q3" s="293"/>
      <c r="R3" s="293"/>
      <c r="S3" s="293"/>
      <c r="T3" s="293"/>
      <c r="U3" s="293"/>
      <c r="V3" s="293"/>
      <c r="W3" s="293"/>
      <c r="X3" s="293"/>
      <c r="Y3" s="293"/>
      <c r="Z3" s="293"/>
      <c r="AA3" s="293"/>
      <c r="AB3" s="293"/>
      <c r="AC3" s="293"/>
      <c r="AD3" s="293"/>
      <c r="AE3" s="293"/>
      <c r="AF3" s="293"/>
    </row>
    <row r="4" ht="17.25" customHeight="1">
      <c r="A4" s="297"/>
      <c r="B4" s="298"/>
      <c r="C4" s="299"/>
      <c r="D4" s="297"/>
      <c r="E4" s="297"/>
      <c r="F4" s="297"/>
      <c r="G4" s="300"/>
      <c r="H4" s="297"/>
      <c r="I4" s="297"/>
      <c r="J4" s="297"/>
      <c r="K4" s="297"/>
      <c r="L4" s="297"/>
      <c r="M4" s="293"/>
      <c r="N4" s="293"/>
      <c r="O4" s="293"/>
      <c r="P4" s="293"/>
      <c r="Q4" s="293"/>
      <c r="R4" s="293"/>
      <c r="S4" s="293"/>
      <c r="T4" s="293"/>
      <c r="U4" s="293"/>
      <c r="V4" s="293"/>
      <c r="W4" s="293"/>
      <c r="X4" s="293"/>
      <c r="Y4" s="293"/>
      <c r="Z4" s="293"/>
      <c r="AA4" s="293"/>
      <c r="AB4" s="293"/>
      <c r="AC4" s="293"/>
      <c r="AD4" s="293"/>
      <c r="AE4" s="293"/>
      <c r="AF4" s="293"/>
    </row>
    <row r="5" ht="16.5" customHeight="1">
      <c r="A5" s="301" t="s">
        <v>5</v>
      </c>
      <c r="B5" s="302" t="s">
        <v>7</v>
      </c>
      <c r="C5" s="303" t="s">
        <v>8</v>
      </c>
      <c r="D5" s="301" t="s">
        <v>9</v>
      </c>
      <c r="E5" s="301" t="s">
        <v>10</v>
      </c>
      <c r="F5" s="301" t="s">
        <v>11</v>
      </c>
      <c r="G5" s="304" t="s">
        <v>12</v>
      </c>
      <c r="H5" s="305" t="s">
        <v>13</v>
      </c>
      <c r="I5" s="301" t="s">
        <v>14</v>
      </c>
      <c r="J5" s="301" t="s">
        <v>15</v>
      </c>
      <c r="K5" s="301" t="s">
        <v>16</v>
      </c>
      <c r="L5" s="22" t="s">
        <v>17</v>
      </c>
      <c r="M5" s="293"/>
      <c r="N5" s="293"/>
      <c r="O5" s="293"/>
      <c r="P5" s="293"/>
      <c r="Q5" s="293"/>
      <c r="R5" s="293"/>
      <c r="S5" s="293"/>
      <c r="T5" s="293"/>
      <c r="U5" s="293"/>
      <c r="V5" s="293"/>
      <c r="W5" s="293"/>
      <c r="X5" s="293"/>
      <c r="Y5" s="293"/>
      <c r="Z5" s="293"/>
      <c r="AA5" s="293"/>
      <c r="AB5" s="293"/>
      <c r="AC5" s="293"/>
      <c r="AD5" s="293"/>
      <c r="AE5" s="293"/>
      <c r="AF5" s="293"/>
    </row>
    <row r="6" ht="27.0" customHeight="1">
      <c r="A6" s="306" t="s">
        <v>5</v>
      </c>
      <c r="B6" s="307" t="s">
        <v>1140</v>
      </c>
      <c r="C6" s="308" t="s">
        <v>2688</v>
      </c>
      <c r="D6" s="309" t="s">
        <v>42</v>
      </c>
      <c r="E6" s="309" t="s">
        <v>89</v>
      </c>
      <c r="F6" s="310" t="s">
        <v>291</v>
      </c>
      <c r="G6" s="311"/>
      <c r="H6" s="312"/>
      <c r="I6" s="311"/>
      <c r="J6" s="311"/>
      <c r="K6" s="313"/>
      <c r="L6" s="313"/>
      <c r="M6" s="293"/>
      <c r="N6" s="293"/>
      <c r="O6" s="293"/>
      <c r="P6" s="293"/>
      <c r="Q6" s="293"/>
      <c r="R6" s="293"/>
      <c r="S6" s="293"/>
      <c r="T6" s="293"/>
      <c r="U6" s="293"/>
      <c r="V6" s="293"/>
      <c r="W6" s="293"/>
      <c r="X6" s="293"/>
      <c r="Y6" s="293"/>
      <c r="Z6" s="293"/>
      <c r="AA6" s="293"/>
      <c r="AB6" s="293"/>
      <c r="AC6" s="293"/>
      <c r="AD6" s="293"/>
      <c r="AE6" s="293"/>
      <c r="AF6" s="293"/>
    </row>
    <row r="7" ht="16.5" customHeight="1">
      <c r="A7" s="306" t="s">
        <v>5</v>
      </c>
      <c r="B7" s="314" t="s">
        <v>2689</v>
      </c>
      <c r="C7" s="315" t="s">
        <v>2690</v>
      </c>
      <c r="D7" s="316" t="s">
        <v>42</v>
      </c>
      <c r="E7" s="309" t="s">
        <v>88</v>
      </c>
      <c r="F7" s="310" t="s">
        <v>89</v>
      </c>
      <c r="G7" s="311"/>
      <c r="H7" s="311"/>
      <c r="I7" s="317"/>
      <c r="J7" s="317"/>
      <c r="K7" s="313"/>
      <c r="L7" s="313"/>
      <c r="M7" s="293"/>
      <c r="N7" s="293"/>
      <c r="O7" s="293"/>
      <c r="P7" s="293"/>
      <c r="Q7" s="293"/>
      <c r="R7" s="293"/>
      <c r="S7" s="293"/>
      <c r="T7" s="293"/>
      <c r="U7" s="293"/>
      <c r="V7" s="293"/>
      <c r="W7" s="293"/>
      <c r="X7" s="293"/>
      <c r="Y7" s="293"/>
      <c r="Z7" s="293"/>
      <c r="AA7" s="293"/>
      <c r="AB7" s="293"/>
      <c r="AC7" s="293"/>
      <c r="AD7" s="293"/>
      <c r="AE7" s="293"/>
      <c r="AF7" s="293"/>
    </row>
    <row r="8" ht="16.5" customHeight="1">
      <c r="A8" s="306" t="s">
        <v>5</v>
      </c>
      <c r="B8" s="269"/>
      <c r="C8" s="269"/>
      <c r="D8" s="269"/>
      <c r="E8" s="309" t="s">
        <v>172</v>
      </c>
      <c r="F8" s="309" t="s">
        <v>194</v>
      </c>
      <c r="G8" s="318" t="s">
        <v>2691</v>
      </c>
      <c r="H8" s="309" t="s">
        <v>194</v>
      </c>
      <c r="I8" s="317"/>
      <c r="J8" s="317"/>
      <c r="K8" s="313"/>
      <c r="L8" s="313"/>
      <c r="M8" s="293"/>
      <c r="N8" s="293"/>
      <c r="O8" s="293"/>
      <c r="P8" s="293"/>
      <c r="Q8" s="293"/>
      <c r="R8" s="293"/>
      <c r="S8" s="293"/>
      <c r="T8" s="293"/>
      <c r="U8" s="293"/>
      <c r="V8" s="293"/>
      <c r="W8" s="293"/>
      <c r="X8" s="293"/>
      <c r="Y8" s="293"/>
      <c r="Z8" s="293"/>
      <c r="AA8" s="293"/>
      <c r="AB8" s="293"/>
      <c r="AC8" s="293"/>
      <c r="AD8" s="293"/>
      <c r="AE8" s="293"/>
      <c r="AF8" s="293"/>
    </row>
    <row r="9" ht="16.5" customHeight="1">
      <c r="A9" s="306" t="s">
        <v>5</v>
      </c>
      <c r="B9" s="269"/>
      <c r="C9" s="269"/>
      <c r="D9" s="269"/>
      <c r="E9" s="309" t="s">
        <v>172</v>
      </c>
      <c r="F9" s="309" t="s">
        <v>195</v>
      </c>
      <c r="G9" s="318" t="s">
        <v>2692</v>
      </c>
      <c r="H9" s="309" t="s">
        <v>195</v>
      </c>
      <c r="I9" s="317"/>
      <c r="J9" s="317"/>
      <c r="K9" s="313"/>
      <c r="L9" s="313"/>
      <c r="M9" s="293"/>
      <c r="N9" s="293"/>
      <c r="O9" s="293"/>
      <c r="P9" s="293"/>
      <c r="Q9" s="293"/>
      <c r="R9" s="293"/>
      <c r="S9" s="293"/>
      <c r="T9" s="293"/>
      <c r="U9" s="293"/>
      <c r="V9" s="293"/>
      <c r="W9" s="293"/>
      <c r="X9" s="293"/>
      <c r="Y9" s="293"/>
      <c r="Z9" s="293"/>
      <c r="AA9" s="293"/>
      <c r="AB9" s="293"/>
      <c r="AC9" s="293"/>
      <c r="AD9" s="293"/>
      <c r="AE9" s="293"/>
      <c r="AF9" s="293"/>
    </row>
    <row r="10" ht="16.5" customHeight="1">
      <c r="A10" s="306" t="s">
        <v>5</v>
      </c>
      <c r="B10" s="269"/>
      <c r="C10" s="269"/>
      <c r="D10" s="269"/>
      <c r="E10" s="309" t="s">
        <v>21</v>
      </c>
      <c r="F10" s="309" t="s">
        <v>51</v>
      </c>
      <c r="G10" s="318" t="s">
        <v>2693</v>
      </c>
      <c r="H10" s="309" t="s">
        <v>51</v>
      </c>
      <c r="I10" s="317"/>
      <c r="J10" s="317"/>
      <c r="K10" s="313"/>
      <c r="L10" s="313"/>
      <c r="M10" s="293"/>
      <c r="N10" s="293"/>
      <c r="O10" s="293"/>
      <c r="P10" s="293"/>
      <c r="Q10" s="293"/>
      <c r="R10" s="293"/>
      <c r="S10" s="293"/>
      <c r="T10" s="293"/>
      <c r="U10" s="293"/>
      <c r="V10" s="293"/>
      <c r="W10" s="293"/>
      <c r="X10" s="293"/>
      <c r="Y10" s="293"/>
      <c r="Z10" s="293"/>
      <c r="AA10" s="293"/>
      <c r="AB10" s="293"/>
      <c r="AC10" s="293"/>
      <c r="AD10" s="293"/>
      <c r="AE10" s="293"/>
      <c r="AF10" s="293"/>
    </row>
    <row r="11" ht="16.5" customHeight="1">
      <c r="A11" s="306" t="s">
        <v>5</v>
      </c>
      <c r="B11" s="269"/>
      <c r="C11" s="269"/>
      <c r="D11" s="269"/>
      <c r="E11" s="309" t="s">
        <v>408</v>
      </c>
      <c r="F11" s="309" t="s">
        <v>408</v>
      </c>
      <c r="G11" s="318" t="s">
        <v>2694</v>
      </c>
      <c r="H11" s="309" t="s">
        <v>408</v>
      </c>
      <c r="I11" s="317"/>
      <c r="J11" s="317"/>
      <c r="K11" s="313"/>
      <c r="L11" s="313"/>
      <c r="M11" s="293"/>
      <c r="N11" s="293"/>
      <c r="O11" s="293"/>
      <c r="P11" s="293"/>
      <c r="Q11" s="293"/>
      <c r="R11" s="293"/>
      <c r="S11" s="293"/>
      <c r="T11" s="293"/>
      <c r="U11" s="293"/>
      <c r="V11" s="293"/>
      <c r="W11" s="293"/>
      <c r="X11" s="293"/>
      <c r="Y11" s="293"/>
      <c r="Z11" s="293"/>
      <c r="AA11" s="293"/>
      <c r="AB11" s="293"/>
      <c r="AC11" s="293"/>
      <c r="AD11" s="293"/>
      <c r="AE11" s="293"/>
      <c r="AF11" s="293"/>
    </row>
    <row r="12" ht="16.5" customHeight="1">
      <c r="A12" s="306" t="s">
        <v>5</v>
      </c>
      <c r="B12" s="269"/>
      <c r="C12" s="269"/>
      <c r="D12" s="269"/>
      <c r="E12" s="309" t="s">
        <v>116</v>
      </c>
      <c r="F12" s="309" t="s">
        <v>817</v>
      </c>
      <c r="G12" s="318" t="s">
        <v>2695</v>
      </c>
      <c r="H12" s="309" t="s">
        <v>817</v>
      </c>
      <c r="I12" s="317"/>
      <c r="J12" s="317"/>
      <c r="K12" s="313"/>
      <c r="L12" s="313"/>
      <c r="M12" s="293"/>
      <c r="N12" s="293"/>
      <c r="O12" s="293"/>
      <c r="P12" s="293"/>
      <c r="Q12" s="293"/>
      <c r="R12" s="293"/>
      <c r="S12" s="293"/>
      <c r="T12" s="293"/>
      <c r="U12" s="293"/>
      <c r="V12" s="293"/>
      <c r="W12" s="293"/>
      <c r="X12" s="293"/>
      <c r="Y12" s="293"/>
      <c r="Z12" s="293"/>
      <c r="AA12" s="293"/>
      <c r="AB12" s="293"/>
      <c r="AC12" s="293"/>
      <c r="AD12" s="293"/>
      <c r="AE12" s="293"/>
      <c r="AF12" s="293"/>
    </row>
    <row r="13" ht="16.5" customHeight="1">
      <c r="A13" s="306" t="s">
        <v>5</v>
      </c>
      <c r="B13" s="270"/>
      <c r="C13" s="270"/>
      <c r="D13" s="270"/>
      <c r="E13" s="309" t="s">
        <v>116</v>
      </c>
      <c r="F13" s="310" t="s">
        <v>117</v>
      </c>
      <c r="G13" s="318" t="s">
        <v>2696</v>
      </c>
      <c r="H13" s="310" t="s">
        <v>117</v>
      </c>
      <c r="I13" s="317"/>
      <c r="J13" s="317"/>
      <c r="K13" s="313"/>
      <c r="L13" s="313"/>
      <c r="M13" s="293"/>
      <c r="N13" s="293"/>
      <c r="O13" s="293"/>
      <c r="P13" s="293"/>
      <c r="Q13" s="293"/>
      <c r="R13" s="293"/>
      <c r="S13" s="293"/>
      <c r="T13" s="293"/>
      <c r="U13" s="293"/>
      <c r="V13" s="293"/>
      <c r="W13" s="293"/>
      <c r="X13" s="293"/>
      <c r="Y13" s="293"/>
      <c r="Z13" s="293"/>
      <c r="AA13" s="293"/>
      <c r="AB13" s="293"/>
      <c r="AC13" s="293"/>
      <c r="AD13" s="293"/>
      <c r="AE13" s="293"/>
      <c r="AF13" s="293"/>
    </row>
    <row r="14" ht="16.5" customHeight="1">
      <c r="A14" s="306" t="s">
        <v>5</v>
      </c>
      <c r="B14" s="314" t="s">
        <v>2697</v>
      </c>
      <c r="C14" s="315" t="s">
        <v>2698</v>
      </c>
      <c r="D14" s="316" t="s">
        <v>42</v>
      </c>
      <c r="E14" s="309" t="s">
        <v>88</v>
      </c>
      <c r="F14" s="309" t="s">
        <v>89</v>
      </c>
      <c r="G14" s="311"/>
      <c r="H14" s="312"/>
      <c r="I14" s="317"/>
      <c r="J14" s="317"/>
      <c r="K14" s="313"/>
      <c r="L14" s="313"/>
      <c r="M14" s="293"/>
      <c r="N14" s="293"/>
      <c r="O14" s="293"/>
      <c r="P14" s="293"/>
      <c r="Q14" s="293"/>
      <c r="R14" s="293"/>
      <c r="S14" s="293"/>
      <c r="T14" s="293"/>
      <c r="U14" s="293"/>
      <c r="V14" s="293"/>
      <c r="W14" s="293"/>
      <c r="X14" s="293"/>
      <c r="Y14" s="293"/>
      <c r="Z14" s="293"/>
      <c r="AA14" s="293"/>
      <c r="AB14" s="293"/>
      <c r="AC14" s="293"/>
      <c r="AD14" s="293"/>
      <c r="AE14" s="293"/>
      <c r="AF14" s="293"/>
    </row>
    <row r="15" ht="16.5" customHeight="1">
      <c r="A15" s="306" t="s">
        <v>5</v>
      </c>
      <c r="B15" s="269"/>
      <c r="C15" s="269"/>
      <c r="D15" s="269"/>
      <c r="E15" s="309" t="s">
        <v>172</v>
      </c>
      <c r="F15" s="309" t="s">
        <v>194</v>
      </c>
      <c r="G15" s="318" t="s">
        <v>2699</v>
      </c>
      <c r="H15" s="310" t="s">
        <v>194</v>
      </c>
      <c r="I15" s="317"/>
      <c r="J15" s="317"/>
      <c r="K15" s="313"/>
      <c r="L15" s="313"/>
      <c r="M15" s="293"/>
      <c r="N15" s="293"/>
      <c r="O15" s="293"/>
      <c r="P15" s="293"/>
      <c r="Q15" s="293"/>
      <c r="R15" s="293"/>
      <c r="S15" s="293"/>
      <c r="T15" s="293"/>
      <c r="U15" s="293"/>
      <c r="V15" s="293"/>
      <c r="W15" s="293"/>
      <c r="X15" s="293"/>
      <c r="Y15" s="293"/>
      <c r="Z15" s="293"/>
      <c r="AA15" s="293"/>
      <c r="AB15" s="293"/>
      <c r="AC15" s="293"/>
      <c r="AD15" s="293"/>
      <c r="AE15" s="293"/>
      <c r="AF15" s="293"/>
    </row>
    <row r="16" ht="16.5" customHeight="1">
      <c r="A16" s="306" t="s">
        <v>5</v>
      </c>
      <c r="B16" s="269"/>
      <c r="C16" s="269"/>
      <c r="D16" s="269"/>
      <c r="E16" s="309" t="s">
        <v>172</v>
      </c>
      <c r="F16" s="309" t="s">
        <v>195</v>
      </c>
      <c r="G16" s="318" t="s">
        <v>2700</v>
      </c>
      <c r="H16" s="310" t="s">
        <v>195</v>
      </c>
      <c r="I16" s="317"/>
      <c r="J16" s="317"/>
      <c r="K16" s="313"/>
      <c r="L16" s="313"/>
      <c r="M16" s="293"/>
      <c r="N16" s="293"/>
      <c r="O16" s="293"/>
      <c r="P16" s="293"/>
      <c r="Q16" s="293"/>
      <c r="R16" s="293"/>
      <c r="S16" s="293"/>
      <c r="T16" s="293"/>
      <c r="U16" s="293"/>
      <c r="V16" s="293"/>
      <c r="W16" s="293"/>
      <c r="X16" s="293"/>
      <c r="Y16" s="293"/>
      <c r="Z16" s="293"/>
      <c r="AA16" s="293"/>
      <c r="AB16" s="293"/>
      <c r="AC16" s="293"/>
      <c r="AD16" s="293"/>
      <c r="AE16" s="293"/>
      <c r="AF16" s="293"/>
    </row>
    <row r="17" ht="16.5" customHeight="1">
      <c r="A17" s="306" t="s">
        <v>5</v>
      </c>
      <c r="B17" s="269"/>
      <c r="C17" s="269"/>
      <c r="D17" s="269"/>
      <c r="E17" s="309" t="s">
        <v>21</v>
      </c>
      <c r="F17" s="309" t="s">
        <v>51</v>
      </c>
      <c r="G17" s="318" t="s">
        <v>2701</v>
      </c>
      <c r="H17" s="310" t="s">
        <v>51</v>
      </c>
      <c r="I17" s="317"/>
      <c r="J17" s="317"/>
      <c r="K17" s="313"/>
      <c r="L17" s="313"/>
      <c r="M17" s="293"/>
      <c r="N17" s="293"/>
      <c r="O17" s="293"/>
      <c r="P17" s="293"/>
      <c r="Q17" s="293"/>
      <c r="R17" s="293"/>
      <c r="S17" s="293"/>
      <c r="T17" s="293"/>
      <c r="U17" s="293"/>
      <c r="V17" s="293"/>
      <c r="W17" s="293"/>
      <c r="X17" s="293"/>
      <c r="Y17" s="293"/>
      <c r="Z17" s="293"/>
      <c r="AA17" s="293"/>
      <c r="AB17" s="293"/>
      <c r="AC17" s="293"/>
      <c r="AD17" s="293"/>
      <c r="AE17" s="293"/>
      <c r="AF17" s="293"/>
    </row>
    <row r="18" ht="16.5" customHeight="1">
      <c r="A18" s="306" t="s">
        <v>5</v>
      </c>
      <c r="B18" s="269"/>
      <c r="C18" s="269"/>
      <c r="D18" s="269"/>
      <c r="E18" s="309" t="s">
        <v>408</v>
      </c>
      <c r="F18" s="309" t="s">
        <v>408</v>
      </c>
      <c r="G18" s="318" t="s">
        <v>2702</v>
      </c>
      <c r="H18" s="310" t="s">
        <v>408</v>
      </c>
      <c r="I18" s="317"/>
      <c r="J18" s="317"/>
      <c r="K18" s="313"/>
      <c r="L18" s="313"/>
      <c r="M18" s="293"/>
      <c r="N18" s="293"/>
      <c r="O18" s="293"/>
      <c r="P18" s="293"/>
      <c r="Q18" s="293"/>
      <c r="R18" s="293"/>
      <c r="S18" s="293"/>
      <c r="T18" s="293"/>
      <c r="U18" s="293"/>
      <c r="V18" s="293"/>
      <c r="W18" s="293"/>
      <c r="X18" s="293"/>
      <c r="Y18" s="293"/>
      <c r="Z18" s="293"/>
      <c r="AA18" s="293"/>
      <c r="AB18" s="293"/>
      <c r="AC18" s="293"/>
      <c r="AD18" s="293"/>
      <c r="AE18" s="293"/>
      <c r="AF18" s="293"/>
    </row>
    <row r="19" ht="16.5" customHeight="1">
      <c r="A19" s="306" t="s">
        <v>5</v>
      </c>
      <c r="B19" s="269"/>
      <c r="C19" s="269"/>
      <c r="D19" s="269"/>
      <c r="E19" s="309" t="s">
        <v>116</v>
      </c>
      <c r="F19" s="309" t="s">
        <v>817</v>
      </c>
      <c r="G19" s="318" t="s">
        <v>2703</v>
      </c>
      <c r="H19" s="310" t="s">
        <v>817</v>
      </c>
      <c r="I19" s="317"/>
      <c r="J19" s="317"/>
      <c r="K19" s="313"/>
      <c r="L19" s="313"/>
      <c r="M19" s="293"/>
      <c r="N19" s="293"/>
      <c r="O19" s="293"/>
      <c r="P19" s="293"/>
      <c r="Q19" s="293"/>
      <c r="R19" s="293"/>
      <c r="S19" s="293"/>
      <c r="T19" s="293"/>
      <c r="U19" s="293"/>
      <c r="V19" s="293"/>
      <c r="W19" s="293"/>
      <c r="X19" s="293"/>
      <c r="Y19" s="293"/>
      <c r="Z19" s="293"/>
      <c r="AA19" s="293"/>
      <c r="AB19" s="293"/>
      <c r="AC19" s="293"/>
      <c r="AD19" s="293"/>
      <c r="AE19" s="293"/>
      <c r="AF19" s="293"/>
    </row>
    <row r="20" ht="16.5" customHeight="1">
      <c r="A20" s="306" t="s">
        <v>5</v>
      </c>
      <c r="B20" s="270"/>
      <c r="C20" s="270"/>
      <c r="D20" s="270"/>
      <c r="E20" s="309" t="s">
        <v>116</v>
      </c>
      <c r="F20" s="309" t="s">
        <v>117</v>
      </c>
      <c r="G20" s="318" t="s">
        <v>2704</v>
      </c>
      <c r="H20" s="310" t="s">
        <v>117</v>
      </c>
      <c r="I20" s="317"/>
      <c r="J20" s="317"/>
      <c r="K20" s="313"/>
      <c r="L20" s="313"/>
      <c r="M20" s="293"/>
      <c r="N20" s="293"/>
      <c r="O20" s="293"/>
      <c r="P20" s="293"/>
      <c r="Q20" s="293"/>
      <c r="R20" s="293"/>
      <c r="S20" s="293"/>
      <c r="T20" s="293"/>
      <c r="U20" s="293"/>
      <c r="V20" s="293"/>
      <c r="W20" s="293"/>
      <c r="X20" s="293"/>
      <c r="Y20" s="293"/>
      <c r="Z20" s="293"/>
      <c r="AA20" s="293"/>
      <c r="AB20" s="293"/>
      <c r="AC20" s="293"/>
      <c r="AD20" s="293"/>
      <c r="AE20" s="293"/>
      <c r="AF20" s="293"/>
    </row>
    <row r="21" ht="16.5" customHeight="1">
      <c r="A21" s="306" t="s">
        <v>5</v>
      </c>
      <c r="B21" s="314" t="s">
        <v>2705</v>
      </c>
      <c r="C21" s="315" t="s">
        <v>2706</v>
      </c>
      <c r="D21" s="316" t="s">
        <v>42</v>
      </c>
      <c r="E21" s="309" t="s">
        <v>88</v>
      </c>
      <c r="F21" s="309" t="s">
        <v>89</v>
      </c>
      <c r="G21" s="311"/>
      <c r="H21" s="312"/>
      <c r="I21" s="317"/>
      <c r="J21" s="317"/>
      <c r="K21" s="313"/>
      <c r="L21" s="313"/>
      <c r="M21" s="293"/>
      <c r="N21" s="293"/>
      <c r="O21" s="293"/>
      <c r="P21" s="293"/>
      <c r="Q21" s="293"/>
      <c r="R21" s="293"/>
      <c r="S21" s="293"/>
      <c r="T21" s="293"/>
      <c r="U21" s="293"/>
      <c r="V21" s="293"/>
      <c r="W21" s="293"/>
      <c r="X21" s="293"/>
      <c r="Y21" s="293"/>
      <c r="Z21" s="293"/>
      <c r="AA21" s="293"/>
      <c r="AB21" s="293"/>
      <c r="AC21" s="293"/>
      <c r="AD21" s="293"/>
      <c r="AE21" s="293"/>
      <c r="AF21" s="293"/>
    </row>
    <row r="22" ht="16.5" customHeight="1">
      <c r="A22" s="306" t="s">
        <v>5</v>
      </c>
      <c r="B22" s="269"/>
      <c r="C22" s="269"/>
      <c r="D22" s="269"/>
      <c r="E22" s="309" t="s">
        <v>172</v>
      </c>
      <c r="F22" s="309" t="s">
        <v>194</v>
      </c>
      <c r="G22" s="318" t="s">
        <v>2707</v>
      </c>
      <c r="H22" s="310" t="s">
        <v>194</v>
      </c>
      <c r="I22" s="317"/>
      <c r="J22" s="317"/>
      <c r="K22" s="313"/>
      <c r="L22" s="313"/>
      <c r="M22" s="293"/>
      <c r="N22" s="293"/>
      <c r="O22" s="293"/>
      <c r="P22" s="293"/>
      <c r="Q22" s="293"/>
      <c r="R22" s="293"/>
      <c r="S22" s="293"/>
      <c r="T22" s="293"/>
      <c r="U22" s="293"/>
      <c r="V22" s="293"/>
      <c r="W22" s="293"/>
      <c r="X22" s="293"/>
      <c r="Y22" s="293"/>
      <c r="Z22" s="293"/>
      <c r="AA22" s="293"/>
      <c r="AB22" s="293"/>
      <c r="AC22" s="293"/>
      <c r="AD22" s="293"/>
      <c r="AE22" s="293"/>
      <c r="AF22" s="293"/>
    </row>
    <row r="23" ht="16.5" customHeight="1">
      <c r="A23" s="306" t="s">
        <v>5</v>
      </c>
      <c r="B23" s="269"/>
      <c r="C23" s="269"/>
      <c r="D23" s="269"/>
      <c r="E23" s="309" t="s">
        <v>172</v>
      </c>
      <c r="F23" s="309" t="s">
        <v>195</v>
      </c>
      <c r="G23" s="318" t="s">
        <v>2708</v>
      </c>
      <c r="H23" s="310" t="s">
        <v>195</v>
      </c>
      <c r="I23" s="317"/>
      <c r="J23" s="317"/>
      <c r="K23" s="313"/>
      <c r="L23" s="313"/>
      <c r="M23" s="293"/>
      <c r="N23" s="293"/>
      <c r="O23" s="293"/>
      <c r="P23" s="293"/>
      <c r="Q23" s="293"/>
      <c r="R23" s="293"/>
      <c r="S23" s="293"/>
      <c r="T23" s="293"/>
      <c r="U23" s="293"/>
      <c r="V23" s="293"/>
      <c r="W23" s="293"/>
      <c r="X23" s="293"/>
      <c r="Y23" s="293"/>
      <c r="Z23" s="293"/>
      <c r="AA23" s="293"/>
      <c r="AB23" s="293"/>
      <c r="AC23" s="293"/>
      <c r="AD23" s="293"/>
      <c r="AE23" s="293"/>
      <c r="AF23" s="293"/>
    </row>
    <row r="24" ht="16.5" customHeight="1">
      <c r="A24" s="306" t="s">
        <v>5</v>
      </c>
      <c r="B24" s="269"/>
      <c r="C24" s="269"/>
      <c r="D24" s="269"/>
      <c r="E24" s="309" t="s">
        <v>21</v>
      </c>
      <c r="F24" s="309" t="s">
        <v>51</v>
      </c>
      <c r="G24" s="318" t="s">
        <v>2709</v>
      </c>
      <c r="H24" s="310" t="s">
        <v>51</v>
      </c>
      <c r="I24" s="317"/>
      <c r="J24" s="317"/>
      <c r="K24" s="313"/>
      <c r="L24" s="313"/>
      <c r="M24" s="293"/>
      <c r="N24" s="293"/>
      <c r="O24" s="293"/>
      <c r="P24" s="293"/>
      <c r="Q24" s="293"/>
      <c r="R24" s="293"/>
      <c r="S24" s="293"/>
      <c r="T24" s="293"/>
      <c r="U24" s="293"/>
      <c r="V24" s="293"/>
      <c r="W24" s="293"/>
      <c r="X24" s="293"/>
      <c r="Y24" s="293"/>
      <c r="Z24" s="293"/>
      <c r="AA24" s="293"/>
      <c r="AB24" s="293"/>
      <c r="AC24" s="293"/>
      <c r="AD24" s="293"/>
      <c r="AE24" s="293"/>
      <c r="AF24" s="293"/>
    </row>
    <row r="25" ht="16.5" customHeight="1">
      <c r="A25" s="306" t="s">
        <v>5</v>
      </c>
      <c r="B25" s="269"/>
      <c r="C25" s="269"/>
      <c r="D25" s="269"/>
      <c r="E25" s="309" t="s">
        <v>408</v>
      </c>
      <c r="F25" s="309" t="s">
        <v>408</v>
      </c>
      <c r="G25" s="318" t="s">
        <v>2710</v>
      </c>
      <c r="H25" s="310" t="s">
        <v>408</v>
      </c>
      <c r="I25" s="317"/>
      <c r="J25" s="317"/>
      <c r="K25" s="313"/>
      <c r="L25" s="313"/>
      <c r="M25" s="293"/>
      <c r="N25" s="293"/>
      <c r="O25" s="293"/>
      <c r="P25" s="293"/>
      <c r="Q25" s="293"/>
      <c r="R25" s="293"/>
      <c r="S25" s="293"/>
      <c r="T25" s="293"/>
      <c r="U25" s="293"/>
      <c r="V25" s="293"/>
      <c r="W25" s="293"/>
      <c r="X25" s="293"/>
      <c r="Y25" s="293"/>
      <c r="Z25" s="293"/>
      <c r="AA25" s="293"/>
      <c r="AB25" s="293"/>
      <c r="AC25" s="293"/>
      <c r="AD25" s="293"/>
      <c r="AE25" s="293"/>
      <c r="AF25" s="293"/>
    </row>
    <row r="26" ht="16.5" customHeight="1">
      <c r="A26" s="306" t="s">
        <v>5</v>
      </c>
      <c r="B26" s="269"/>
      <c r="C26" s="269"/>
      <c r="D26" s="269"/>
      <c r="E26" s="309" t="s">
        <v>116</v>
      </c>
      <c r="F26" s="309" t="s">
        <v>817</v>
      </c>
      <c r="G26" s="318" t="s">
        <v>2711</v>
      </c>
      <c r="H26" s="310" t="s">
        <v>817</v>
      </c>
      <c r="I26" s="317"/>
      <c r="J26" s="317"/>
      <c r="K26" s="313"/>
      <c r="L26" s="313"/>
      <c r="M26" s="293"/>
      <c r="N26" s="293"/>
      <c r="O26" s="293"/>
      <c r="P26" s="293"/>
      <c r="Q26" s="293"/>
      <c r="R26" s="293"/>
      <c r="S26" s="293"/>
      <c r="T26" s="293"/>
      <c r="U26" s="293"/>
      <c r="V26" s="293"/>
      <c r="W26" s="293"/>
      <c r="X26" s="293"/>
      <c r="Y26" s="293"/>
      <c r="Z26" s="293"/>
      <c r="AA26" s="293"/>
      <c r="AB26" s="293"/>
      <c r="AC26" s="293"/>
      <c r="AD26" s="293"/>
      <c r="AE26" s="293"/>
      <c r="AF26" s="293"/>
    </row>
    <row r="27" ht="16.5" customHeight="1">
      <c r="A27" s="306" t="s">
        <v>5</v>
      </c>
      <c r="B27" s="270"/>
      <c r="C27" s="270"/>
      <c r="D27" s="270"/>
      <c r="E27" s="309" t="s">
        <v>116</v>
      </c>
      <c r="F27" s="309" t="s">
        <v>117</v>
      </c>
      <c r="G27" s="318" t="s">
        <v>2712</v>
      </c>
      <c r="H27" s="310" t="s">
        <v>117</v>
      </c>
      <c r="I27" s="317"/>
      <c r="J27" s="317"/>
      <c r="K27" s="313"/>
      <c r="L27" s="313"/>
      <c r="M27" s="293"/>
      <c r="N27" s="293"/>
      <c r="O27" s="293"/>
      <c r="P27" s="293"/>
      <c r="Q27" s="293"/>
      <c r="R27" s="293"/>
      <c r="S27" s="293"/>
      <c r="T27" s="293"/>
      <c r="U27" s="293"/>
      <c r="V27" s="293"/>
      <c r="W27" s="293"/>
      <c r="X27" s="293"/>
      <c r="Y27" s="293"/>
      <c r="Z27" s="293"/>
      <c r="AA27" s="293"/>
      <c r="AB27" s="293"/>
      <c r="AC27" s="293"/>
      <c r="AD27" s="293"/>
      <c r="AE27" s="293"/>
      <c r="AF27" s="293"/>
    </row>
    <row r="28" ht="16.5" customHeight="1">
      <c r="A28" s="306" t="s">
        <v>5</v>
      </c>
      <c r="B28" s="314" t="s">
        <v>2713</v>
      </c>
      <c r="C28" s="315" t="s">
        <v>2714</v>
      </c>
      <c r="D28" s="316" t="s">
        <v>42</v>
      </c>
      <c r="E28" s="309" t="s">
        <v>88</v>
      </c>
      <c r="F28" s="309" t="s">
        <v>89</v>
      </c>
      <c r="G28" s="311"/>
      <c r="H28" s="311"/>
      <c r="I28" s="317"/>
      <c r="J28" s="317"/>
      <c r="K28" s="313"/>
      <c r="L28" s="313"/>
      <c r="M28" s="293"/>
      <c r="N28" s="293"/>
      <c r="O28" s="293"/>
      <c r="P28" s="293"/>
      <c r="Q28" s="293"/>
      <c r="R28" s="293"/>
      <c r="S28" s="293"/>
      <c r="T28" s="293"/>
      <c r="U28" s="293"/>
      <c r="V28" s="293"/>
      <c r="W28" s="293"/>
      <c r="X28" s="293"/>
      <c r="Y28" s="293"/>
      <c r="Z28" s="293"/>
      <c r="AA28" s="293"/>
      <c r="AB28" s="293"/>
      <c r="AC28" s="293"/>
      <c r="AD28" s="293"/>
      <c r="AE28" s="293"/>
      <c r="AF28" s="293"/>
    </row>
    <row r="29" ht="16.5" customHeight="1">
      <c r="A29" s="306" t="s">
        <v>5</v>
      </c>
      <c r="B29" s="269"/>
      <c r="C29" s="269"/>
      <c r="D29" s="269"/>
      <c r="E29" s="309" t="s">
        <v>172</v>
      </c>
      <c r="F29" s="309" t="s">
        <v>194</v>
      </c>
      <c r="G29" s="319" t="s">
        <v>2715</v>
      </c>
      <c r="H29" s="309" t="s">
        <v>194</v>
      </c>
      <c r="I29" s="317"/>
      <c r="J29" s="317"/>
      <c r="K29" s="313"/>
      <c r="L29" s="313"/>
      <c r="M29" s="293"/>
      <c r="N29" s="293"/>
      <c r="O29" s="293"/>
      <c r="P29" s="293"/>
      <c r="Q29" s="293"/>
      <c r="R29" s="293"/>
      <c r="S29" s="293"/>
      <c r="T29" s="293"/>
      <c r="U29" s="293"/>
      <c r="V29" s="293"/>
      <c r="W29" s="293"/>
      <c r="X29" s="293"/>
      <c r="Y29" s="293"/>
      <c r="Z29" s="293"/>
      <c r="AA29" s="293"/>
      <c r="AB29" s="293"/>
      <c r="AC29" s="293"/>
      <c r="AD29" s="293"/>
      <c r="AE29" s="293"/>
      <c r="AF29" s="293"/>
    </row>
    <row r="30" ht="16.5" customHeight="1">
      <c r="A30" s="306" t="s">
        <v>5</v>
      </c>
      <c r="B30" s="269"/>
      <c r="C30" s="269"/>
      <c r="D30" s="269"/>
      <c r="E30" s="309" t="s">
        <v>172</v>
      </c>
      <c r="F30" s="309" t="s">
        <v>195</v>
      </c>
      <c r="G30" s="319" t="s">
        <v>2716</v>
      </c>
      <c r="H30" s="309" t="s">
        <v>195</v>
      </c>
      <c r="I30" s="317"/>
      <c r="J30" s="317"/>
      <c r="K30" s="313"/>
      <c r="L30" s="313"/>
      <c r="M30" s="293"/>
      <c r="N30" s="293"/>
      <c r="O30" s="293"/>
      <c r="P30" s="293"/>
      <c r="Q30" s="293"/>
      <c r="R30" s="293"/>
      <c r="S30" s="293"/>
      <c r="T30" s="293"/>
      <c r="U30" s="293"/>
      <c r="V30" s="293"/>
      <c r="W30" s="293"/>
      <c r="X30" s="293"/>
      <c r="Y30" s="293"/>
      <c r="Z30" s="293"/>
      <c r="AA30" s="293"/>
      <c r="AB30" s="293"/>
      <c r="AC30" s="293"/>
      <c r="AD30" s="293"/>
      <c r="AE30" s="293"/>
      <c r="AF30" s="293"/>
    </row>
    <row r="31" ht="16.5" customHeight="1">
      <c r="A31" s="306" t="s">
        <v>5</v>
      </c>
      <c r="B31" s="269"/>
      <c r="C31" s="269"/>
      <c r="D31" s="269"/>
      <c r="E31" s="309" t="s">
        <v>21</v>
      </c>
      <c r="F31" s="309" t="s">
        <v>51</v>
      </c>
      <c r="G31" s="319" t="s">
        <v>2717</v>
      </c>
      <c r="H31" s="309" t="s">
        <v>51</v>
      </c>
      <c r="I31" s="317"/>
      <c r="J31" s="317"/>
      <c r="K31" s="313"/>
      <c r="L31" s="313"/>
      <c r="M31" s="293"/>
      <c r="N31" s="293"/>
      <c r="O31" s="293"/>
      <c r="P31" s="293"/>
      <c r="Q31" s="293"/>
      <c r="R31" s="293"/>
      <c r="S31" s="293"/>
      <c r="T31" s="293"/>
      <c r="U31" s="293"/>
      <c r="V31" s="293"/>
      <c r="W31" s="293"/>
      <c r="X31" s="293"/>
      <c r="Y31" s="293"/>
      <c r="Z31" s="293"/>
      <c r="AA31" s="293"/>
      <c r="AB31" s="293"/>
      <c r="AC31" s="293"/>
      <c r="AD31" s="293"/>
      <c r="AE31" s="293"/>
      <c r="AF31" s="293"/>
    </row>
    <row r="32" ht="16.5" customHeight="1">
      <c r="A32" s="306" t="s">
        <v>5</v>
      </c>
      <c r="B32" s="269"/>
      <c r="C32" s="269"/>
      <c r="D32" s="269"/>
      <c r="E32" s="309" t="s">
        <v>408</v>
      </c>
      <c r="F32" s="309" t="s">
        <v>408</v>
      </c>
      <c r="G32" s="319" t="s">
        <v>2718</v>
      </c>
      <c r="H32" s="309" t="s">
        <v>408</v>
      </c>
      <c r="I32" s="317"/>
      <c r="J32" s="317"/>
      <c r="K32" s="313"/>
      <c r="L32" s="313"/>
      <c r="M32" s="293"/>
      <c r="N32" s="293"/>
      <c r="O32" s="293"/>
      <c r="P32" s="293"/>
      <c r="Q32" s="293"/>
      <c r="R32" s="293"/>
      <c r="S32" s="293"/>
      <c r="T32" s="293"/>
      <c r="U32" s="293"/>
      <c r="V32" s="293"/>
      <c r="W32" s="293"/>
      <c r="X32" s="293"/>
      <c r="Y32" s="293"/>
      <c r="Z32" s="293"/>
      <c r="AA32" s="293"/>
      <c r="AB32" s="293"/>
      <c r="AC32" s="293"/>
      <c r="AD32" s="293"/>
      <c r="AE32" s="293"/>
      <c r="AF32" s="293"/>
    </row>
    <row r="33" ht="16.5" customHeight="1">
      <c r="A33" s="306" t="s">
        <v>5</v>
      </c>
      <c r="B33" s="269"/>
      <c r="C33" s="269"/>
      <c r="D33" s="269"/>
      <c r="E33" s="309" t="s">
        <v>116</v>
      </c>
      <c r="F33" s="309" t="s">
        <v>817</v>
      </c>
      <c r="G33" s="319" t="s">
        <v>2719</v>
      </c>
      <c r="H33" s="309" t="s">
        <v>817</v>
      </c>
      <c r="I33" s="317"/>
      <c r="J33" s="317"/>
      <c r="K33" s="313"/>
      <c r="L33" s="313"/>
      <c r="M33" s="293"/>
      <c r="N33" s="293"/>
      <c r="O33" s="293"/>
      <c r="P33" s="293"/>
      <c r="Q33" s="293"/>
      <c r="R33" s="293"/>
      <c r="S33" s="293"/>
      <c r="T33" s="293"/>
      <c r="U33" s="293"/>
      <c r="V33" s="293"/>
      <c r="W33" s="293"/>
      <c r="X33" s="293"/>
      <c r="Y33" s="293"/>
      <c r="Z33" s="293"/>
      <c r="AA33" s="293"/>
      <c r="AB33" s="293"/>
      <c r="AC33" s="293"/>
      <c r="AD33" s="293"/>
      <c r="AE33" s="293"/>
      <c r="AF33" s="293"/>
    </row>
    <row r="34" ht="16.5" customHeight="1">
      <c r="A34" s="306" t="s">
        <v>5</v>
      </c>
      <c r="B34" s="270"/>
      <c r="C34" s="270"/>
      <c r="D34" s="270"/>
      <c r="E34" s="309" t="s">
        <v>116</v>
      </c>
      <c r="F34" s="309" t="s">
        <v>117</v>
      </c>
      <c r="G34" s="318" t="s">
        <v>2720</v>
      </c>
      <c r="H34" s="309" t="s">
        <v>117</v>
      </c>
      <c r="I34" s="317"/>
      <c r="J34" s="317"/>
      <c r="K34" s="313"/>
      <c r="L34" s="313"/>
      <c r="M34" s="293"/>
      <c r="N34" s="293"/>
      <c r="O34" s="293"/>
      <c r="P34" s="293"/>
      <c r="Q34" s="293"/>
      <c r="R34" s="293"/>
      <c r="S34" s="293"/>
      <c r="T34" s="293"/>
      <c r="U34" s="293"/>
      <c r="V34" s="293"/>
      <c r="W34" s="293"/>
      <c r="X34" s="293"/>
      <c r="Y34" s="293"/>
      <c r="Z34" s="293"/>
      <c r="AA34" s="293"/>
      <c r="AB34" s="293"/>
      <c r="AC34" s="293"/>
      <c r="AD34" s="293"/>
      <c r="AE34" s="293"/>
      <c r="AF34" s="293"/>
    </row>
    <row r="35" ht="16.5" customHeight="1">
      <c r="A35" s="306" t="s">
        <v>5</v>
      </c>
      <c r="B35" s="314" t="s">
        <v>2721</v>
      </c>
      <c r="C35" s="315" t="s">
        <v>2722</v>
      </c>
      <c r="D35" s="316" t="s">
        <v>42</v>
      </c>
      <c r="E35" s="309" t="s">
        <v>88</v>
      </c>
      <c r="F35" s="309" t="s">
        <v>89</v>
      </c>
      <c r="G35" s="311"/>
      <c r="H35" s="311"/>
      <c r="I35" s="317"/>
      <c r="J35" s="317"/>
      <c r="K35" s="313"/>
      <c r="L35" s="313"/>
      <c r="M35" s="293"/>
      <c r="N35" s="293"/>
      <c r="O35" s="293"/>
      <c r="P35" s="293"/>
      <c r="Q35" s="293"/>
      <c r="R35" s="293"/>
      <c r="S35" s="293"/>
      <c r="T35" s="293"/>
      <c r="U35" s="293"/>
      <c r="V35" s="293"/>
      <c r="W35" s="293"/>
      <c r="X35" s="293"/>
      <c r="Y35" s="293"/>
      <c r="Z35" s="293"/>
      <c r="AA35" s="293"/>
      <c r="AB35" s="293"/>
      <c r="AC35" s="293"/>
      <c r="AD35" s="293"/>
      <c r="AE35" s="293"/>
      <c r="AF35" s="293"/>
    </row>
    <row r="36" ht="16.5" customHeight="1">
      <c r="A36" s="306" t="s">
        <v>5</v>
      </c>
      <c r="B36" s="269"/>
      <c r="C36" s="269"/>
      <c r="D36" s="269"/>
      <c r="E36" s="309" t="s">
        <v>172</v>
      </c>
      <c r="F36" s="309" t="s">
        <v>194</v>
      </c>
      <c r="G36" s="318" t="s">
        <v>2723</v>
      </c>
      <c r="H36" s="309" t="s">
        <v>194</v>
      </c>
      <c r="I36" s="317"/>
      <c r="J36" s="317"/>
      <c r="K36" s="313"/>
      <c r="L36" s="313"/>
      <c r="M36" s="293"/>
      <c r="N36" s="293"/>
      <c r="O36" s="293"/>
      <c r="P36" s="293"/>
      <c r="Q36" s="293"/>
      <c r="R36" s="293"/>
      <c r="S36" s="293"/>
      <c r="T36" s="293"/>
      <c r="U36" s="293"/>
      <c r="V36" s="293"/>
      <c r="W36" s="293"/>
      <c r="X36" s="293"/>
      <c r="Y36" s="293"/>
      <c r="Z36" s="293"/>
      <c r="AA36" s="293"/>
      <c r="AB36" s="293"/>
      <c r="AC36" s="293"/>
      <c r="AD36" s="293"/>
      <c r="AE36" s="293"/>
      <c r="AF36" s="293"/>
    </row>
    <row r="37" ht="16.5" customHeight="1">
      <c r="A37" s="306" t="s">
        <v>5</v>
      </c>
      <c r="B37" s="269"/>
      <c r="C37" s="269"/>
      <c r="D37" s="269"/>
      <c r="E37" s="309" t="s">
        <v>172</v>
      </c>
      <c r="F37" s="309" t="s">
        <v>195</v>
      </c>
      <c r="G37" s="318" t="s">
        <v>2724</v>
      </c>
      <c r="H37" s="309" t="s">
        <v>195</v>
      </c>
      <c r="I37" s="317"/>
      <c r="J37" s="317"/>
      <c r="K37" s="313"/>
      <c r="L37" s="313"/>
      <c r="M37" s="293"/>
      <c r="N37" s="293"/>
      <c r="O37" s="293"/>
      <c r="P37" s="293"/>
      <c r="Q37" s="293"/>
      <c r="R37" s="293"/>
      <c r="S37" s="293"/>
      <c r="T37" s="293"/>
      <c r="U37" s="293"/>
      <c r="V37" s="293"/>
      <c r="W37" s="293"/>
      <c r="X37" s="293"/>
      <c r="Y37" s="293"/>
      <c r="Z37" s="293"/>
      <c r="AA37" s="293"/>
      <c r="AB37" s="293"/>
      <c r="AC37" s="293"/>
      <c r="AD37" s="293"/>
      <c r="AE37" s="293"/>
      <c r="AF37" s="293"/>
    </row>
    <row r="38" ht="16.5" customHeight="1">
      <c r="A38" s="306" t="s">
        <v>5</v>
      </c>
      <c r="B38" s="269"/>
      <c r="C38" s="269"/>
      <c r="D38" s="269"/>
      <c r="E38" s="309" t="s">
        <v>21</v>
      </c>
      <c r="F38" s="309" t="s">
        <v>51</v>
      </c>
      <c r="G38" s="318" t="s">
        <v>2725</v>
      </c>
      <c r="H38" s="309" t="s">
        <v>51</v>
      </c>
      <c r="I38" s="317"/>
      <c r="J38" s="317"/>
      <c r="K38" s="313"/>
      <c r="L38" s="313"/>
      <c r="M38" s="293"/>
      <c r="N38" s="293"/>
      <c r="O38" s="293"/>
      <c r="P38" s="293"/>
      <c r="Q38" s="293"/>
      <c r="R38" s="293"/>
      <c r="S38" s="293"/>
      <c r="T38" s="293"/>
      <c r="U38" s="293"/>
      <c r="V38" s="293"/>
      <c r="W38" s="293"/>
      <c r="X38" s="293"/>
      <c r="Y38" s="293"/>
      <c r="Z38" s="293"/>
      <c r="AA38" s="293"/>
      <c r="AB38" s="293"/>
      <c r="AC38" s="293"/>
      <c r="AD38" s="293"/>
      <c r="AE38" s="293"/>
      <c r="AF38" s="293"/>
    </row>
    <row r="39" ht="16.5" customHeight="1">
      <c r="A39" s="306" t="s">
        <v>5</v>
      </c>
      <c r="B39" s="269"/>
      <c r="C39" s="269"/>
      <c r="D39" s="269"/>
      <c r="E39" s="309" t="s">
        <v>408</v>
      </c>
      <c r="F39" s="309" t="s">
        <v>408</v>
      </c>
      <c r="G39" s="318" t="s">
        <v>2726</v>
      </c>
      <c r="H39" s="309" t="s">
        <v>408</v>
      </c>
      <c r="I39" s="317"/>
      <c r="J39" s="317"/>
      <c r="K39" s="313"/>
      <c r="L39" s="313"/>
      <c r="M39" s="293"/>
      <c r="N39" s="293"/>
      <c r="O39" s="293"/>
      <c r="P39" s="293"/>
      <c r="Q39" s="293"/>
      <c r="R39" s="293"/>
      <c r="S39" s="293"/>
      <c r="T39" s="293"/>
      <c r="U39" s="293"/>
      <c r="V39" s="293"/>
      <c r="W39" s="293"/>
      <c r="X39" s="293"/>
      <c r="Y39" s="293"/>
      <c r="Z39" s="293"/>
      <c r="AA39" s="293"/>
      <c r="AB39" s="293"/>
      <c r="AC39" s="293"/>
      <c r="AD39" s="293"/>
      <c r="AE39" s="293"/>
      <c r="AF39" s="293"/>
    </row>
    <row r="40" ht="16.5" customHeight="1">
      <c r="A40" s="306" t="s">
        <v>5</v>
      </c>
      <c r="B40" s="269"/>
      <c r="C40" s="269"/>
      <c r="D40" s="269"/>
      <c r="E40" s="309" t="s">
        <v>116</v>
      </c>
      <c r="F40" s="309" t="s">
        <v>817</v>
      </c>
      <c r="G40" s="318" t="s">
        <v>2727</v>
      </c>
      <c r="H40" s="309" t="s">
        <v>817</v>
      </c>
      <c r="I40" s="317"/>
      <c r="J40" s="317"/>
      <c r="K40" s="313"/>
      <c r="L40" s="313"/>
      <c r="M40" s="293"/>
      <c r="N40" s="293"/>
      <c r="O40" s="293"/>
      <c r="P40" s="293"/>
      <c r="Q40" s="293"/>
      <c r="R40" s="293"/>
      <c r="S40" s="293"/>
      <c r="T40" s="293"/>
      <c r="U40" s="293"/>
      <c r="V40" s="293"/>
      <c r="W40" s="293"/>
      <c r="X40" s="293"/>
      <c r="Y40" s="293"/>
      <c r="Z40" s="293"/>
      <c r="AA40" s="293"/>
      <c r="AB40" s="293"/>
      <c r="AC40" s="293"/>
      <c r="AD40" s="293"/>
      <c r="AE40" s="293"/>
      <c r="AF40" s="293"/>
    </row>
    <row r="41" ht="16.5" customHeight="1">
      <c r="A41" s="306" t="s">
        <v>5</v>
      </c>
      <c r="B41" s="270"/>
      <c r="C41" s="270"/>
      <c r="D41" s="270"/>
      <c r="E41" s="309" t="s">
        <v>116</v>
      </c>
      <c r="F41" s="309" t="s">
        <v>117</v>
      </c>
      <c r="G41" s="318" t="s">
        <v>2728</v>
      </c>
      <c r="H41" s="309" t="s">
        <v>117</v>
      </c>
      <c r="I41" s="317"/>
      <c r="J41" s="317"/>
      <c r="K41" s="313"/>
      <c r="L41" s="313"/>
      <c r="M41" s="293"/>
      <c r="N41" s="293"/>
      <c r="O41" s="293"/>
      <c r="P41" s="293"/>
      <c r="Q41" s="293"/>
      <c r="R41" s="293"/>
      <c r="S41" s="293"/>
      <c r="T41" s="293"/>
      <c r="U41" s="293"/>
      <c r="V41" s="293"/>
      <c r="W41" s="293"/>
      <c r="X41" s="293"/>
      <c r="Y41" s="293"/>
      <c r="Z41" s="293"/>
      <c r="AA41" s="293"/>
      <c r="AB41" s="293"/>
      <c r="AC41" s="293"/>
      <c r="AD41" s="293"/>
      <c r="AE41" s="293"/>
      <c r="AF41" s="293"/>
    </row>
    <row r="42" ht="16.5" customHeight="1">
      <c r="A42" s="320" t="s">
        <v>5</v>
      </c>
      <c r="B42" s="321" t="s">
        <v>2729</v>
      </c>
      <c r="C42" s="322" t="s">
        <v>2730</v>
      </c>
      <c r="D42" s="323" t="s">
        <v>42</v>
      </c>
      <c r="E42" s="324" t="s">
        <v>88</v>
      </c>
      <c r="F42" s="324" t="s">
        <v>89</v>
      </c>
      <c r="G42" s="325"/>
      <c r="H42" s="325"/>
      <c r="I42" s="326"/>
      <c r="J42" s="326"/>
      <c r="K42" s="327"/>
      <c r="L42" s="327"/>
      <c r="M42" s="328"/>
      <c r="N42" s="328"/>
      <c r="O42" s="328"/>
      <c r="P42" s="328"/>
      <c r="Q42" s="328"/>
      <c r="R42" s="328"/>
      <c r="S42" s="328"/>
      <c r="T42" s="328"/>
      <c r="U42" s="328"/>
      <c r="V42" s="328"/>
      <c r="W42" s="328"/>
      <c r="X42" s="328"/>
      <c r="Y42" s="328"/>
      <c r="Z42" s="328"/>
      <c r="AA42" s="328"/>
      <c r="AB42" s="328"/>
      <c r="AC42" s="328"/>
      <c r="AD42" s="328"/>
      <c r="AE42" s="328"/>
      <c r="AF42" s="328"/>
    </row>
    <row r="43" ht="16.5" customHeight="1">
      <c r="A43" s="320" t="s">
        <v>5</v>
      </c>
      <c r="B43" s="269"/>
      <c r="C43" s="269"/>
      <c r="D43" s="269"/>
      <c r="E43" s="324" t="s">
        <v>172</v>
      </c>
      <c r="F43" s="324" t="s">
        <v>194</v>
      </c>
      <c r="G43" s="329" t="s">
        <v>2731</v>
      </c>
      <c r="H43" s="324" t="s">
        <v>194</v>
      </c>
      <c r="I43" s="326"/>
      <c r="J43" s="326"/>
      <c r="K43" s="327"/>
      <c r="L43" s="327"/>
      <c r="M43" s="328"/>
      <c r="N43" s="328"/>
      <c r="O43" s="328"/>
      <c r="P43" s="328"/>
      <c r="Q43" s="328"/>
      <c r="R43" s="328"/>
      <c r="S43" s="328"/>
      <c r="T43" s="328"/>
      <c r="U43" s="328"/>
      <c r="V43" s="328"/>
      <c r="W43" s="328"/>
      <c r="X43" s="328"/>
      <c r="Y43" s="328"/>
      <c r="Z43" s="328"/>
      <c r="AA43" s="328"/>
      <c r="AB43" s="328"/>
      <c r="AC43" s="328"/>
      <c r="AD43" s="328"/>
      <c r="AE43" s="328"/>
      <c r="AF43" s="328"/>
    </row>
    <row r="44" ht="16.5" customHeight="1">
      <c r="A44" s="320" t="s">
        <v>5</v>
      </c>
      <c r="B44" s="269"/>
      <c r="C44" s="269"/>
      <c r="D44" s="269"/>
      <c r="E44" s="324" t="s">
        <v>172</v>
      </c>
      <c r="F44" s="324" t="s">
        <v>195</v>
      </c>
      <c r="G44" s="329" t="s">
        <v>2732</v>
      </c>
      <c r="H44" s="324" t="s">
        <v>195</v>
      </c>
      <c r="I44" s="326"/>
      <c r="J44" s="326"/>
      <c r="K44" s="327"/>
      <c r="L44" s="327"/>
      <c r="M44" s="328"/>
      <c r="N44" s="328"/>
      <c r="O44" s="328"/>
      <c r="P44" s="328"/>
      <c r="Q44" s="328"/>
      <c r="R44" s="328"/>
      <c r="S44" s="328"/>
      <c r="T44" s="328"/>
      <c r="U44" s="328"/>
      <c r="V44" s="328"/>
      <c r="W44" s="328"/>
      <c r="X44" s="328"/>
      <c r="Y44" s="328"/>
      <c r="Z44" s="328"/>
      <c r="AA44" s="328"/>
      <c r="AB44" s="328"/>
      <c r="AC44" s="328"/>
      <c r="AD44" s="328"/>
      <c r="AE44" s="328"/>
      <c r="AF44" s="328"/>
    </row>
    <row r="45" ht="16.5" customHeight="1">
      <c r="A45" s="320" t="s">
        <v>5</v>
      </c>
      <c r="B45" s="269"/>
      <c r="C45" s="269"/>
      <c r="D45" s="269"/>
      <c r="E45" s="324" t="s">
        <v>21</v>
      </c>
      <c r="F45" s="324" t="s">
        <v>51</v>
      </c>
      <c r="G45" s="329" t="s">
        <v>2733</v>
      </c>
      <c r="H45" s="324" t="s">
        <v>51</v>
      </c>
      <c r="I45" s="326"/>
      <c r="J45" s="326"/>
      <c r="K45" s="327"/>
      <c r="L45" s="327"/>
      <c r="M45" s="328"/>
      <c r="N45" s="328"/>
      <c r="O45" s="328"/>
      <c r="P45" s="328"/>
      <c r="Q45" s="328"/>
      <c r="R45" s="328"/>
      <c r="S45" s="328"/>
      <c r="T45" s="328"/>
      <c r="U45" s="328"/>
      <c r="V45" s="328"/>
      <c r="W45" s="328"/>
      <c r="X45" s="328"/>
      <c r="Y45" s="328"/>
      <c r="Z45" s="328"/>
      <c r="AA45" s="328"/>
      <c r="AB45" s="328"/>
      <c r="AC45" s="328"/>
      <c r="AD45" s="328"/>
      <c r="AE45" s="328"/>
      <c r="AF45" s="328"/>
    </row>
    <row r="46" ht="16.5" customHeight="1">
      <c r="A46" s="320" t="s">
        <v>5</v>
      </c>
      <c r="B46" s="269"/>
      <c r="C46" s="269"/>
      <c r="D46" s="269"/>
      <c r="E46" s="324" t="s">
        <v>408</v>
      </c>
      <c r="F46" s="324" t="s">
        <v>408</v>
      </c>
      <c r="G46" s="329" t="s">
        <v>2734</v>
      </c>
      <c r="H46" s="324" t="s">
        <v>408</v>
      </c>
      <c r="I46" s="326"/>
      <c r="J46" s="326"/>
      <c r="K46" s="327"/>
      <c r="L46" s="327"/>
      <c r="M46" s="328"/>
      <c r="N46" s="328"/>
      <c r="O46" s="328"/>
      <c r="P46" s="328"/>
      <c r="Q46" s="328"/>
      <c r="R46" s="328"/>
      <c r="S46" s="328"/>
      <c r="T46" s="328"/>
      <c r="U46" s="328"/>
      <c r="V46" s="328"/>
      <c r="W46" s="328"/>
      <c r="X46" s="328"/>
      <c r="Y46" s="328"/>
      <c r="Z46" s="328"/>
      <c r="AA46" s="328"/>
      <c r="AB46" s="328"/>
      <c r="AC46" s="328"/>
      <c r="AD46" s="328"/>
      <c r="AE46" s="328"/>
      <c r="AF46" s="328"/>
    </row>
    <row r="47" ht="16.5" customHeight="1">
      <c r="A47" s="320" t="s">
        <v>5</v>
      </c>
      <c r="B47" s="269"/>
      <c r="C47" s="269"/>
      <c r="D47" s="269"/>
      <c r="E47" s="324" t="s">
        <v>116</v>
      </c>
      <c r="F47" s="324" t="s">
        <v>817</v>
      </c>
      <c r="G47" s="329" t="s">
        <v>2735</v>
      </c>
      <c r="H47" s="324" t="s">
        <v>817</v>
      </c>
      <c r="I47" s="326"/>
      <c r="J47" s="326"/>
      <c r="K47" s="327"/>
      <c r="L47" s="327"/>
      <c r="M47" s="328"/>
      <c r="N47" s="328"/>
      <c r="O47" s="328"/>
      <c r="P47" s="328"/>
      <c r="Q47" s="328"/>
      <c r="R47" s="328"/>
      <c r="S47" s="328"/>
      <c r="T47" s="328"/>
      <c r="U47" s="328"/>
      <c r="V47" s="328"/>
      <c r="W47" s="328"/>
      <c r="X47" s="328"/>
      <c r="Y47" s="328"/>
      <c r="Z47" s="328"/>
      <c r="AA47" s="328"/>
      <c r="AB47" s="328"/>
      <c r="AC47" s="328"/>
      <c r="AD47" s="328"/>
      <c r="AE47" s="328"/>
      <c r="AF47" s="328"/>
    </row>
    <row r="48" ht="16.5" customHeight="1">
      <c r="A48" s="320" t="s">
        <v>5</v>
      </c>
      <c r="B48" s="270"/>
      <c r="C48" s="270"/>
      <c r="D48" s="270"/>
      <c r="E48" s="324" t="s">
        <v>116</v>
      </c>
      <c r="F48" s="324" t="s">
        <v>117</v>
      </c>
      <c r="G48" s="329" t="s">
        <v>2736</v>
      </c>
      <c r="H48" s="324" t="s">
        <v>117</v>
      </c>
      <c r="I48" s="326"/>
      <c r="J48" s="326"/>
      <c r="K48" s="327"/>
      <c r="L48" s="327"/>
      <c r="M48" s="328"/>
      <c r="N48" s="328"/>
      <c r="O48" s="328"/>
      <c r="P48" s="328"/>
      <c r="Q48" s="328"/>
      <c r="R48" s="328"/>
      <c r="S48" s="328"/>
      <c r="T48" s="328"/>
      <c r="U48" s="328"/>
      <c r="V48" s="328"/>
      <c r="W48" s="328"/>
      <c r="X48" s="328"/>
      <c r="Y48" s="328"/>
      <c r="Z48" s="328"/>
      <c r="AA48" s="328"/>
      <c r="AB48" s="328"/>
      <c r="AC48" s="328"/>
      <c r="AD48" s="328"/>
      <c r="AE48" s="328"/>
      <c r="AF48" s="328"/>
    </row>
    <row r="49" ht="16.5" customHeight="1">
      <c r="A49" s="306" t="s">
        <v>5</v>
      </c>
      <c r="B49" s="314" t="s">
        <v>2737</v>
      </c>
      <c r="C49" s="315" t="s">
        <v>2738</v>
      </c>
      <c r="D49" s="316" t="s">
        <v>42</v>
      </c>
      <c r="E49" s="309" t="s">
        <v>88</v>
      </c>
      <c r="F49" s="309" t="s">
        <v>89</v>
      </c>
      <c r="G49" s="330"/>
      <c r="H49" s="311"/>
      <c r="I49" s="317"/>
      <c r="J49" s="317"/>
      <c r="K49" s="313"/>
      <c r="L49" s="313"/>
      <c r="M49" s="293"/>
      <c r="N49" s="293"/>
      <c r="O49" s="293"/>
      <c r="P49" s="293"/>
      <c r="Q49" s="293"/>
      <c r="R49" s="293"/>
      <c r="S49" s="293"/>
      <c r="T49" s="293"/>
      <c r="U49" s="293"/>
      <c r="V49" s="293"/>
      <c r="W49" s="293"/>
      <c r="X49" s="293"/>
      <c r="Y49" s="293"/>
      <c r="Z49" s="293"/>
      <c r="AA49" s="293"/>
      <c r="AB49" s="293"/>
      <c r="AC49" s="293"/>
      <c r="AD49" s="293"/>
      <c r="AE49" s="293"/>
      <c r="AF49" s="293"/>
    </row>
    <row r="50" ht="16.5" customHeight="1">
      <c r="A50" s="306" t="s">
        <v>5</v>
      </c>
      <c r="B50" s="269"/>
      <c r="C50" s="269"/>
      <c r="D50" s="269"/>
      <c r="E50" s="309" t="s">
        <v>172</v>
      </c>
      <c r="F50" s="309" t="s">
        <v>194</v>
      </c>
      <c r="G50" s="318" t="s">
        <v>2739</v>
      </c>
      <c r="H50" s="309" t="s">
        <v>194</v>
      </c>
      <c r="I50" s="317"/>
      <c r="J50" s="317"/>
      <c r="K50" s="313"/>
      <c r="L50" s="313"/>
      <c r="M50" s="293"/>
      <c r="N50" s="293"/>
      <c r="O50" s="293"/>
      <c r="P50" s="293"/>
      <c r="Q50" s="293"/>
      <c r="R50" s="293"/>
      <c r="S50" s="293"/>
      <c r="T50" s="293"/>
      <c r="U50" s="293"/>
      <c r="V50" s="293"/>
      <c r="W50" s="293"/>
      <c r="X50" s="293"/>
      <c r="Y50" s="293"/>
      <c r="Z50" s="293"/>
      <c r="AA50" s="293"/>
      <c r="AB50" s="293"/>
      <c r="AC50" s="293"/>
      <c r="AD50" s="293"/>
      <c r="AE50" s="293"/>
      <c r="AF50" s="293"/>
    </row>
    <row r="51" ht="16.5" customHeight="1">
      <c r="A51" s="306" t="s">
        <v>5</v>
      </c>
      <c r="B51" s="269"/>
      <c r="C51" s="269"/>
      <c r="D51" s="269"/>
      <c r="E51" s="309" t="s">
        <v>172</v>
      </c>
      <c r="F51" s="309" t="s">
        <v>195</v>
      </c>
      <c r="G51" s="318" t="s">
        <v>2740</v>
      </c>
      <c r="H51" s="309" t="s">
        <v>195</v>
      </c>
      <c r="I51" s="317"/>
      <c r="J51" s="317"/>
      <c r="K51" s="313"/>
      <c r="L51" s="313"/>
      <c r="M51" s="293"/>
      <c r="N51" s="293"/>
      <c r="O51" s="293"/>
      <c r="P51" s="293"/>
      <c r="Q51" s="293"/>
      <c r="R51" s="293"/>
      <c r="S51" s="293"/>
      <c r="T51" s="293"/>
      <c r="U51" s="293"/>
      <c r="V51" s="293"/>
      <c r="W51" s="293"/>
      <c r="X51" s="293"/>
      <c r="Y51" s="293"/>
      <c r="Z51" s="293"/>
      <c r="AA51" s="293"/>
      <c r="AB51" s="293"/>
      <c r="AC51" s="293"/>
      <c r="AD51" s="293"/>
      <c r="AE51" s="293"/>
      <c r="AF51" s="293"/>
    </row>
    <row r="52" ht="16.5" customHeight="1">
      <c r="A52" s="306" t="s">
        <v>5</v>
      </c>
      <c r="B52" s="269"/>
      <c r="C52" s="269"/>
      <c r="D52" s="269"/>
      <c r="E52" s="309" t="s">
        <v>21</v>
      </c>
      <c r="F52" s="309" t="s">
        <v>51</v>
      </c>
      <c r="G52" s="318" t="s">
        <v>2741</v>
      </c>
      <c r="H52" s="309" t="s">
        <v>51</v>
      </c>
      <c r="I52" s="317"/>
      <c r="J52" s="317"/>
      <c r="K52" s="313"/>
      <c r="L52" s="313"/>
      <c r="M52" s="293"/>
      <c r="N52" s="293"/>
      <c r="O52" s="293"/>
      <c r="P52" s="293"/>
      <c r="Q52" s="293"/>
      <c r="R52" s="293"/>
      <c r="S52" s="293"/>
      <c r="T52" s="293"/>
      <c r="U52" s="293"/>
      <c r="V52" s="293"/>
      <c r="W52" s="293"/>
      <c r="X52" s="293"/>
      <c r="Y52" s="293"/>
      <c r="Z52" s="293"/>
      <c r="AA52" s="293"/>
      <c r="AB52" s="293"/>
      <c r="AC52" s="293"/>
      <c r="AD52" s="293"/>
      <c r="AE52" s="293"/>
      <c r="AF52" s="293"/>
    </row>
    <row r="53" ht="16.5" customHeight="1">
      <c r="A53" s="306" t="s">
        <v>5</v>
      </c>
      <c r="B53" s="269"/>
      <c r="C53" s="269"/>
      <c r="D53" s="269"/>
      <c r="E53" s="309" t="s">
        <v>408</v>
      </c>
      <c r="F53" s="309" t="s">
        <v>408</v>
      </c>
      <c r="G53" s="318" t="s">
        <v>2742</v>
      </c>
      <c r="H53" s="309" t="s">
        <v>408</v>
      </c>
      <c r="I53" s="317"/>
      <c r="J53" s="317"/>
      <c r="K53" s="313"/>
      <c r="L53" s="313"/>
      <c r="M53" s="293"/>
      <c r="N53" s="293"/>
      <c r="O53" s="293"/>
      <c r="P53" s="293"/>
      <c r="Q53" s="293"/>
      <c r="R53" s="293"/>
      <c r="S53" s="293"/>
      <c r="T53" s="293"/>
      <c r="U53" s="293"/>
      <c r="V53" s="293"/>
      <c r="W53" s="293"/>
      <c r="X53" s="293"/>
      <c r="Y53" s="293"/>
      <c r="Z53" s="293"/>
      <c r="AA53" s="293"/>
      <c r="AB53" s="293"/>
      <c r="AC53" s="293"/>
      <c r="AD53" s="293"/>
      <c r="AE53" s="293"/>
      <c r="AF53" s="293"/>
    </row>
    <row r="54" ht="16.5" customHeight="1">
      <c r="A54" s="306" t="s">
        <v>5</v>
      </c>
      <c r="B54" s="269"/>
      <c r="C54" s="269"/>
      <c r="D54" s="269"/>
      <c r="E54" s="309" t="s">
        <v>116</v>
      </c>
      <c r="F54" s="309" t="s">
        <v>823</v>
      </c>
      <c r="G54" s="318" t="s">
        <v>2743</v>
      </c>
      <c r="H54" s="309" t="s">
        <v>823</v>
      </c>
      <c r="I54" s="317"/>
      <c r="J54" s="317"/>
      <c r="K54" s="313"/>
      <c r="L54" s="313"/>
      <c r="M54" s="293"/>
      <c r="N54" s="293"/>
      <c r="O54" s="293"/>
      <c r="P54" s="293"/>
      <c r="Q54" s="293"/>
      <c r="R54" s="293"/>
      <c r="S54" s="293"/>
      <c r="T54" s="293"/>
      <c r="U54" s="293"/>
      <c r="V54" s="293"/>
      <c r="W54" s="293"/>
      <c r="X54" s="293"/>
      <c r="Y54" s="293"/>
      <c r="Z54" s="293"/>
      <c r="AA54" s="293"/>
      <c r="AB54" s="293"/>
      <c r="AC54" s="293"/>
      <c r="AD54" s="293"/>
      <c r="AE54" s="293"/>
      <c r="AF54" s="293"/>
    </row>
    <row r="55" ht="16.5" customHeight="1">
      <c r="A55" s="306" t="s">
        <v>5</v>
      </c>
      <c r="B55" s="269"/>
      <c r="C55" s="269"/>
      <c r="D55" s="269"/>
      <c r="E55" s="309" t="s">
        <v>43</v>
      </c>
      <c r="F55" s="310" t="s">
        <v>79</v>
      </c>
      <c r="G55" s="318" t="s">
        <v>2744</v>
      </c>
      <c r="H55" s="310" t="s">
        <v>79</v>
      </c>
      <c r="I55" s="311"/>
      <c r="J55" s="317"/>
      <c r="K55" s="313"/>
      <c r="L55" s="313"/>
      <c r="M55" s="293"/>
      <c r="N55" s="293"/>
      <c r="O55" s="293"/>
      <c r="P55" s="293"/>
      <c r="Q55" s="293"/>
      <c r="R55" s="293"/>
      <c r="S55" s="293"/>
      <c r="T55" s="293"/>
      <c r="U55" s="293"/>
      <c r="V55" s="293"/>
      <c r="W55" s="293"/>
      <c r="X55" s="293"/>
      <c r="Y55" s="293"/>
      <c r="Z55" s="293"/>
      <c r="AA55" s="293"/>
      <c r="AB55" s="293"/>
      <c r="AC55" s="293"/>
      <c r="AD55" s="293"/>
      <c r="AE55" s="293"/>
      <c r="AF55" s="293"/>
    </row>
    <row r="56" ht="16.5" customHeight="1">
      <c r="A56" s="306"/>
      <c r="B56" s="269"/>
      <c r="C56" s="269"/>
      <c r="D56" s="269"/>
      <c r="E56" s="309" t="s">
        <v>116</v>
      </c>
      <c r="F56" s="309" t="s">
        <v>817</v>
      </c>
      <c r="G56" s="331" t="str">
        <f>HYPERLINK("https://docs.google.com/spreadsheets/d/1xCCpC0trfjQXmSDsGgDYlvbl4bZRwm7SzyNabe8Kg9g/edit#gid=1525601825", "https://docs.google.com/spreadsheets/d/1xCCpC0trfjQXmSDsGgDYlvbl4bZRwm7SzyNabe8Kg9g/edit#gid=1525601825")</f>
        <v>https://docs.google.com/spreadsheets/d/1xCCpC0trfjQXmSDsGgDYlvbl4bZRwm7SzyNabe8Kg9g/edit#gid=1525601825</v>
      </c>
      <c r="H56" s="310" t="s">
        <v>817</v>
      </c>
      <c r="I56" s="311"/>
      <c r="J56" s="317"/>
      <c r="K56" s="313"/>
      <c r="L56" s="313"/>
      <c r="M56" s="293"/>
      <c r="N56" s="293"/>
      <c r="O56" s="293"/>
      <c r="P56" s="293"/>
      <c r="Q56" s="293"/>
      <c r="R56" s="293"/>
      <c r="S56" s="293"/>
      <c r="T56" s="293"/>
      <c r="U56" s="293"/>
      <c r="V56" s="293"/>
      <c r="W56" s="293"/>
      <c r="X56" s="293"/>
      <c r="Y56" s="293"/>
      <c r="Z56" s="293"/>
      <c r="AA56" s="293"/>
      <c r="AB56" s="293"/>
      <c r="AC56" s="293"/>
      <c r="AD56" s="293"/>
      <c r="AE56" s="293"/>
      <c r="AF56" s="293"/>
    </row>
    <row r="57" ht="16.5" customHeight="1">
      <c r="A57" s="306"/>
      <c r="B57" s="269"/>
      <c r="C57" s="269"/>
      <c r="D57" s="269"/>
      <c r="E57" s="309" t="s">
        <v>116</v>
      </c>
      <c r="F57" s="309" t="s">
        <v>2745</v>
      </c>
      <c r="G57" s="331" t="str">
        <f>HYPERLINK("https://docs.google.com/spreadsheets/d/1xCCpC0trfjQXmSDsGgDYlvbl4bZRwm7SzyNabe8Kg9g/edit#gid=1103954738", "https://docs.google.com/spreadsheets/d/1xCCpC0trfjQXmSDsGgDYlvbl4bZRwm7SzyNabe8Kg9g/edit#gid=1103954738")</f>
        <v>https://docs.google.com/spreadsheets/d/1xCCpC0trfjQXmSDsGgDYlvbl4bZRwm7SzyNabe8Kg9g/edit#gid=1103954738</v>
      </c>
      <c r="H57" s="310" t="s">
        <v>2745</v>
      </c>
      <c r="I57" s="311"/>
      <c r="J57" s="317"/>
      <c r="K57" s="313"/>
      <c r="L57" s="313"/>
      <c r="M57" s="293"/>
      <c r="N57" s="293"/>
      <c r="O57" s="293"/>
      <c r="P57" s="293"/>
      <c r="Q57" s="293"/>
      <c r="R57" s="293"/>
      <c r="S57" s="293"/>
      <c r="T57" s="293"/>
      <c r="U57" s="293"/>
      <c r="V57" s="293"/>
      <c r="W57" s="293"/>
      <c r="X57" s="293"/>
      <c r="Y57" s="293"/>
      <c r="Z57" s="293"/>
      <c r="AA57" s="293"/>
      <c r="AB57" s="293"/>
      <c r="AC57" s="293"/>
      <c r="AD57" s="293"/>
      <c r="AE57" s="293"/>
      <c r="AF57" s="293"/>
    </row>
    <row r="58" ht="16.5" customHeight="1">
      <c r="A58" s="306"/>
      <c r="B58" s="270"/>
      <c r="C58" s="270"/>
      <c r="D58" s="270"/>
      <c r="E58" s="309" t="s">
        <v>116</v>
      </c>
      <c r="F58" s="309" t="s">
        <v>2746</v>
      </c>
      <c r="G58" s="331" t="str">
        <f>HYPERLINK("https://docs.google.com/spreadsheets/d/1xCCpC0trfjQXmSDsGgDYlvbl4bZRwm7SzyNabe8Kg9g/edit#gid=860589310", "https://docs.google.com/spreadsheets/d/1xCCpC0trfjQXmSDsGgDYlvbl4bZRwm7SzyNabe8Kg9g/edit#gid=860589310")</f>
        <v>https://docs.google.com/spreadsheets/d/1xCCpC0trfjQXmSDsGgDYlvbl4bZRwm7SzyNabe8Kg9g/edit#gid=860589310</v>
      </c>
      <c r="H58" s="310" t="s">
        <v>2746</v>
      </c>
      <c r="I58" s="311"/>
      <c r="J58" s="317"/>
      <c r="K58" s="313"/>
      <c r="L58" s="313"/>
      <c r="M58" s="293"/>
      <c r="N58" s="293"/>
      <c r="O58" s="293"/>
      <c r="P58" s="293"/>
      <c r="Q58" s="293"/>
      <c r="R58" s="293"/>
      <c r="S58" s="293"/>
      <c r="T58" s="293"/>
      <c r="U58" s="293"/>
      <c r="V58" s="293"/>
      <c r="W58" s="293"/>
      <c r="X58" s="293"/>
      <c r="Y58" s="293"/>
      <c r="Z58" s="293"/>
      <c r="AA58" s="293"/>
      <c r="AB58" s="293"/>
      <c r="AC58" s="293"/>
      <c r="AD58" s="293"/>
      <c r="AE58" s="293"/>
      <c r="AF58" s="293"/>
    </row>
    <row r="59" ht="16.5" customHeight="1">
      <c r="A59" s="306" t="s">
        <v>5</v>
      </c>
      <c r="B59" s="314" t="s">
        <v>2747</v>
      </c>
      <c r="C59" s="315" t="s">
        <v>2748</v>
      </c>
      <c r="D59" s="316" t="s">
        <v>42</v>
      </c>
      <c r="E59" s="309" t="s">
        <v>88</v>
      </c>
      <c r="F59" s="309" t="s">
        <v>89</v>
      </c>
      <c r="G59" s="311"/>
      <c r="H59" s="312"/>
      <c r="I59" s="311"/>
      <c r="J59" s="317"/>
      <c r="K59" s="313"/>
      <c r="L59" s="313"/>
      <c r="M59" s="293"/>
      <c r="N59" s="293"/>
      <c r="O59" s="293"/>
      <c r="P59" s="293"/>
      <c r="Q59" s="293"/>
      <c r="R59" s="293"/>
      <c r="S59" s="293"/>
      <c r="T59" s="293"/>
      <c r="U59" s="293"/>
      <c r="V59" s="293"/>
      <c r="W59" s="293"/>
      <c r="X59" s="293"/>
      <c r="Y59" s="293"/>
      <c r="Z59" s="293"/>
      <c r="AA59" s="293"/>
      <c r="AB59" s="293"/>
      <c r="AC59" s="293"/>
      <c r="AD59" s="293"/>
      <c r="AE59" s="293"/>
      <c r="AF59" s="293"/>
    </row>
    <row r="60" ht="16.5" customHeight="1">
      <c r="A60" s="306" t="s">
        <v>5</v>
      </c>
      <c r="B60" s="269"/>
      <c r="C60" s="269"/>
      <c r="D60" s="269"/>
      <c r="E60" s="309" t="s">
        <v>172</v>
      </c>
      <c r="F60" s="310" t="s">
        <v>194</v>
      </c>
      <c r="G60" s="318" t="s">
        <v>2749</v>
      </c>
      <c r="H60" s="310" t="s">
        <v>194</v>
      </c>
      <c r="I60" s="311"/>
      <c r="J60" s="317"/>
      <c r="K60" s="313"/>
      <c r="L60" s="313"/>
      <c r="M60" s="293"/>
      <c r="N60" s="293"/>
      <c r="O60" s="293"/>
      <c r="P60" s="293"/>
      <c r="Q60" s="293"/>
      <c r="R60" s="293"/>
      <c r="S60" s="293"/>
      <c r="T60" s="293"/>
      <c r="U60" s="293"/>
      <c r="V60" s="293"/>
      <c r="W60" s="293"/>
      <c r="X60" s="293"/>
      <c r="Y60" s="293"/>
      <c r="Z60" s="293"/>
      <c r="AA60" s="293"/>
      <c r="AB60" s="293"/>
      <c r="AC60" s="293"/>
      <c r="AD60" s="293"/>
      <c r="AE60" s="293"/>
      <c r="AF60" s="293"/>
    </row>
    <row r="61" ht="16.5" customHeight="1">
      <c r="A61" s="306" t="s">
        <v>5</v>
      </c>
      <c r="B61" s="269"/>
      <c r="C61" s="269"/>
      <c r="D61" s="269"/>
      <c r="E61" s="309" t="s">
        <v>172</v>
      </c>
      <c r="F61" s="309" t="s">
        <v>195</v>
      </c>
      <c r="G61" s="318" t="s">
        <v>2750</v>
      </c>
      <c r="H61" s="309" t="s">
        <v>195</v>
      </c>
      <c r="I61" s="317"/>
      <c r="J61" s="317"/>
      <c r="K61" s="313"/>
      <c r="L61" s="313"/>
      <c r="M61" s="293"/>
      <c r="N61" s="293"/>
      <c r="O61" s="293"/>
      <c r="P61" s="293"/>
      <c r="Q61" s="293"/>
      <c r="R61" s="293"/>
      <c r="S61" s="293"/>
      <c r="T61" s="293"/>
      <c r="U61" s="293"/>
      <c r="V61" s="293"/>
      <c r="W61" s="293"/>
      <c r="X61" s="293"/>
      <c r="Y61" s="293"/>
      <c r="Z61" s="293"/>
      <c r="AA61" s="293"/>
      <c r="AB61" s="293"/>
      <c r="AC61" s="293"/>
      <c r="AD61" s="293"/>
      <c r="AE61" s="293"/>
      <c r="AF61" s="293"/>
    </row>
    <row r="62" ht="16.5" customHeight="1">
      <c r="A62" s="306" t="s">
        <v>5</v>
      </c>
      <c r="B62" s="269"/>
      <c r="C62" s="269"/>
      <c r="D62" s="269"/>
      <c r="E62" s="309" t="s">
        <v>21</v>
      </c>
      <c r="F62" s="309" t="s">
        <v>51</v>
      </c>
      <c r="G62" s="318" t="s">
        <v>2751</v>
      </c>
      <c r="H62" s="309" t="s">
        <v>51</v>
      </c>
      <c r="I62" s="317"/>
      <c r="J62" s="317"/>
      <c r="K62" s="313"/>
      <c r="L62" s="313"/>
      <c r="M62" s="293"/>
      <c r="N62" s="293"/>
      <c r="O62" s="293"/>
      <c r="P62" s="293"/>
      <c r="Q62" s="293"/>
      <c r="R62" s="293"/>
      <c r="S62" s="293"/>
      <c r="T62" s="293"/>
      <c r="U62" s="293"/>
      <c r="V62" s="293"/>
      <c r="W62" s="293"/>
      <c r="X62" s="293"/>
      <c r="Y62" s="293"/>
      <c r="Z62" s="293"/>
      <c r="AA62" s="293"/>
      <c r="AB62" s="293"/>
      <c r="AC62" s="293"/>
      <c r="AD62" s="293"/>
      <c r="AE62" s="293"/>
      <c r="AF62" s="293"/>
    </row>
    <row r="63" ht="16.5" customHeight="1">
      <c r="A63" s="306" t="s">
        <v>5</v>
      </c>
      <c r="B63" s="269"/>
      <c r="C63" s="269"/>
      <c r="D63" s="269"/>
      <c r="E63" s="309" t="s">
        <v>408</v>
      </c>
      <c r="F63" s="309" t="s">
        <v>408</v>
      </c>
      <c r="G63" s="318" t="s">
        <v>2752</v>
      </c>
      <c r="H63" s="309" t="s">
        <v>408</v>
      </c>
      <c r="I63" s="317"/>
      <c r="J63" s="317"/>
      <c r="K63" s="313"/>
      <c r="L63" s="313"/>
      <c r="M63" s="293"/>
      <c r="N63" s="293"/>
      <c r="O63" s="293"/>
      <c r="P63" s="293"/>
      <c r="Q63" s="293"/>
      <c r="R63" s="293"/>
      <c r="S63" s="293"/>
      <c r="T63" s="293"/>
      <c r="U63" s="293"/>
      <c r="V63" s="293"/>
      <c r="W63" s="293"/>
      <c r="X63" s="293"/>
      <c r="Y63" s="293"/>
      <c r="Z63" s="293"/>
      <c r="AA63" s="293"/>
      <c r="AB63" s="293"/>
      <c r="AC63" s="293"/>
      <c r="AD63" s="293"/>
      <c r="AE63" s="293"/>
      <c r="AF63" s="293"/>
    </row>
    <row r="64" ht="16.5" customHeight="1">
      <c r="A64" s="306" t="s">
        <v>5</v>
      </c>
      <c r="B64" s="269"/>
      <c r="C64" s="269"/>
      <c r="D64" s="269"/>
      <c r="E64" s="309" t="s">
        <v>116</v>
      </c>
      <c r="F64" s="309" t="s">
        <v>817</v>
      </c>
      <c r="G64" s="318" t="s">
        <v>2753</v>
      </c>
      <c r="H64" s="309" t="s">
        <v>817</v>
      </c>
      <c r="I64" s="317"/>
      <c r="J64" s="317"/>
      <c r="K64" s="313"/>
      <c r="L64" s="313"/>
      <c r="M64" s="293"/>
      <c r="N64" s="293"/>
      <c r="O64" s="293"/>
      <c r="P64" s="293"/>
      <c r="Q64" s="293"/>
      <c r="R64" s="293"/>
      <c r="S64" s="293"/>
      <c r="T64" s="293"/>
      <c r="U64" s="293"/>
      <c r="V64" s="293"/>
      <c r="W64" s="293"/>
      <c r="X64" s="293"/>
      <c r="Y64" s="293"/>
      <c r="Z64" s="293"/>
      <c r="AA64" s="293"/>
      <c r="AB64" s="293"/>
      <c r="AC64" s="293"/>
      <c r="AD64" s="293"/>
      <c r="AE64" s="293"/>
      <c r="AF64" s="293"/>
    </row>
    <row r="65" ht="16.5" customHeight="1">
      <c r="A65" s="306" t="s">
        <v>5</v>
      </c>
      <c r="B65" s="270"/>
      <c r="C65" s="270"/>
      <c r="D65" s="270"/>
      <c r="E65" s="309" t="s">
        <v>116</v>
      </c>
      <c r="F65" s="309" t="s">
        <v>117</v>
      </c>
      <c r="G65" s="319" t="s">
        <v>2754</v>
      </c>
      <c r="H65" s="309" t="s">
        <v>117</v>
      </c>
      <c r="I65" s="317"/>
      <c r="J65" s="317"/>
      <c r="K65" s="313"/>
      <c r="L65" s="313"/>
      <c r="M65" s="293"/>
      <c r="N65" s="293"/>
      <c r="O65" s="293"/>
      <c r="P65" s="293"/>
      <c r="Q65" s="293"/>
      <c r="R65" s="293"/>
      <c r="S65" s="293"/>
      <c r="T65" s="293"/>
      <c r="U65" s="293"/>
      <c r="V65" s="293"/>
      <c r="W65" s="293"/>
      <c r="X65" s="293"/>
      <c r="Y65" s="293"/>
      <c r="Z65" s="293"/>
      <c r="AA65" s="293"/>
      <c r="AB65" s="293"/>
      <c r="AC65" s="293"/>
      <c r="AD65" s="293"/>
      <c r="AE65" s="293"/>
      <c r="AF65" s="293"/>
    </row>
    <row r="66" ht="16.5" customHeight="1">
      <c r="A66" s="306" t="s">
        <v>5</v>
      </c>
      <c r="B66" s="314" t="s">
        <v>2755</v>
      </c>
      <c r="C66" s="315" t="s">
        <v>2756</v>
      </c>
      <c r="D66" s="316" t="s">
        <v>42</v>
      </c>
      <c r="E66" s="309" t="s">
        <v>88</v>
      </c>
      <c r="F66" s="309" t="s">
        <v>89</v>
      </c>
      <c r="G66" s="311"/>
      <c r="H66" s="311"/>
      <c r="I66" s="317"/>
      <c r="J66" s="317"/>
      <c r="K66" s="313"/>
      <c r="L66" s="313"/>
      <c r="M66" s="293"/>
      <c r="N66" s="293"/>
      <c r="O66" s="293"/>
      <c r="P66" s="293"/>
      <c r="Q66" s="293"/>
      <c r="R66" s="293"/>
      <c r="S66" s="293"/>
      <c r="T66" s="293"/>
      <c r="U66" s="293"/>
      <c r="V66" s="293"/>
      <c r="W66" s="293"/>
      <c r="X66" s="293"/>
      <c r="Y66" s="293"/>
      <c r="Z66" s="293"/>
      <c r="AA66" s="293"/>
      <c r="AB66" s="293"/>
      <c r="AC66" s="293"/>
      <c r="AD66" s="293"/>
      <c r="AE66" s="293"/>
      <c r="AF66" s="293"/>
    </row>
    <row r="67" ht="16.5" customHeight="1">
      <c r="A67" s="306" t="s">
        <v>5</v>
      </c>
      <c r="B67" s="269"/>
      <c r="C67" s="269"/>
      <c r="D67" s="269"/>
      <c r="E67" s="309" t="s">
        <v>172</v>
      </c>
      <c r="F67" s="309" t="s">
        <v>194</v>
      </c>
      <c r="G67" s="318" t="s">
        <v>2757</v>
      </c>
      <c r="H67" s="309" t="s">
        <v>194</v>
      </c>
      <c r="I67" s="317"/>
      <c r="J67" s="317"/>
      <c r="K67" s="313"/>
      <c r="L67" s="313"/>
      <c r="M67" s="293"/>
      <c r="N67" s="293"/>
      <c r="O67" s="293"/>
      <c r="P67" s="293"/>
      <c r="Q67" s="293"/>
      <c r="R67" s="293"/>
      <c r="S67" s="293"/>
      <c r="T67" s="293"/>
      <c r="U67" s="293"/>
      <c r="V67" s="293"/>
      <c r="W67" s="293"/>
      <c r="X67" s="293"/>
      <c r="Y67" s="293"/>
      <c r="Z67" s="293"/>
      <c r="AA67" s="293"/>
      <c r="AB67" s="293"/>
      <c r="AC67" s="293"/>
      <c r="AD67" s="293"/>
      <c r="AE67" s="293"/>
      <c r="AF67" s="293"/>
    </row>
    <row r="68" ht="16.5" customHeight="1">
      <c r="A68" s="306" t="s">
        <v>5</v>
      </c>
      <c r="B68" s="269"/>
      <c r="C68" s="269"/>
      <c r="D68" s="269"/>
      <c r="E68" s="309" t="s">
        <v>172</v>
      </c>
      <c r="F68" s="309" t="s">
        <v>195</v>
      </c>
      <c r="G68" s="318" t="s">
        <v>2758</v>
      </c>
      <c r="H68" s="309" t="s">
        <v>195</v>
      </c>
      <c r="I68" s="317"/>
      <c r="J68" s="317"/>
      <c r="K68" s="313"/>
      <c r="L68" s="313"/>
      <c r="M68" s="293"/>
      <c r="N68" s="293"/>
      <c r="O68" s="293"/>
      <c r="P68" s="293"/>
      <c r="Q68" s="293"/>
      <c r="R68" s="293"/>
      <c r="S68" s="293"/>
      <c r="T68" s="293"/>
      <c r="U68" s="293"/>
      <c r="V68" s="293"/>
      <c r="W68" s="293"/>
      <c r="X68" s="293"/>
      <c r="Y68" s="293"/>
      <c r="Z68" s="293"/>
      <c r="AA68" s="293"/>
      <c r="AB68" s="293"/>
      <c r="AC68" s="293"/>
      <c r="AD68" s="293"/>
      <c r="AE68" s="293"/>
      <c r="AF68" s="293"/>
    </row>
    <row r="69" ht="16.5" customHeight="1">
      <c r="A69" s="306" t="s">
        <v>5</v>
      </c>
      <c r="B69" s="269"/>
      <c r="C69" s="269"/>
      <c r="D69" s="269"/>
      <c r="E69" s="309" t="s">
        <v>21</v>
      </c>
      <c r="F69" s="309" t="s">
        <v>51</v>
      </c>
      <c r="G69" s="318" t="s">
        <v>2759</v>
      </c>
      <c r="H69" s="309" t="s">
        <v>51</v>
      </c>
      <c r="I69" s="317"/>
      <c r="J69" s="317"/>
      <c r="K69" s="313"/>
      <c r="L69" s="313"/>
      <c r="M69" s="293"/>
      <c r="N69" s="293"/>
      <c r="O69" s="293"/>
      <c r="P69" s="293"/>
      <c r="Q69" s="293"/>
      <c r="R69" s="293"/>
      <c r="S69" s="293"/>
      <c r="T69" s="293"/>
      <c r="U69" s="293"/>
      <c r="V69" s="293"/>
      <c r="W69" s="293"/>
      <c r="X69" s="293"/>
      <c r="Y69" s="293"/>
      <c r="Z69" s="293"/>
      <c r="AA69" s="293"/>
      <c r="AB69" s="293"/>
      <c r="AC69" s="293"/>
      <c r="AD69" s="293"/>
      <c r="AE69" s="293"/>
      <c r="AF69" s="293"/>
    </row>
    <row r="70" ht="16.5" customHeight="1">
      <c r="A70" s="306" t="s">
        <v>5</v>
      </c>
      <c r="B70" s="269"/>
      <c r="C70" s="269"/>
      <c r="D70" s="269"/>
      <c r="E70" s="309" t="s">
        <v>408</v>
      </c>
      <c r="F70" s="309" t="s">
        <v>408</v>
      </c>
      <c r="G70" s="318" t="s">
        <v>2760</v>
      </c>
      <c r="H70" s="309" t="s">
        <v>408</v>
      </c>
      <c r="I70" s="317"/>
      <c r="J70" s="317"/>
      <c r="K70" s="313"/>
      <c r="L70" s="313"/>
      <c r="M70" s="293"/>
      <c r="N70" s="293"/>
      <c r="O70" s="293"/>
      <c r="P70" s="293"/>
      <c r="Q70" s="293"/>
      <c r="R70" s="293"/>
      <c r="S70" s="293"/>
      <c r="T70" s="293"/>
      <c r="U70" s="293"/>
      <c r="V70" s="293"/>
      <c r="W70" s="293"/>
      <c r="X70" s="293"/>
      <c r="Y70" s="293"/>
      <c r="Z70" s="293"/>
      <c r="AA70" s="293"/>
      <c r="AB70" s="293"/>
      <c r="AC70" s="293"/>
      <c r="AD70" s="293"/>
      <c r="AE70" s="293"/>
      <c r="AF70" s="293"/>
    </row>
    <row r="71" ht="16.5" customHeight="1">
      <c r="A71" s="306" t="s">
        <v>5</v>
      </c>
      <c r="B71" s="269"/>
      <c r="C71" s="269"/>
      <c r="D71" s="269"/>
      <c r="E71" s="309" t="s">
        <v>116</v>
      </c>
      <c r="F71" s="309" t="s">
        <v>825</v>
      </c>
      <c r="G71" s="318" t="s">
        <v>2761</v>
      </c>
      <c r="H71" s="309" t="s">
        <v>825</v>
      </c>
      <c r="I71" s="317"/>
      <c r="J71" s="317"/>
      <c r="K71" s="313"/>
      <c r="L71" s="313"/>
      <c r="M71" s="293"/>
      <c r="N71" s="293"/>
      <c r="O71" s="293"/>
      <c r="P71" s="293"/>
      <c r="Q71" s="293"/>
      <c r="R71" s="293"/>
      <c r="S71" s="293"/>
      <c r="T71" s="293"/>
      <c r="U71" s="293"/>
      <c r="V71" s="293"/>
      <c r="W71" s="293"/>
      <c r="X71" s="293"/>
      <c r="Y71" s="293"/>
      <c r="Z71" s="293"/>
      <c r="AA71" s="293"/>
      <c r="AB71" s="293"/>
      <c r="AC71" s="293"/>
      <c r="AD71" s="293"/>
      <c r="AE71" s="293"/>
      <c r="AF71" s="293"/>
    </row>
    <row r="72" ht="16.5" customHeight="1">
      <c r="A72" s="306" t="s">
        <v>5</v>
      </c>
      <c r="B72" s="269"/>
      <c r="C72" s="269"/>
      <c r="D72" s="269"/>
      <c r="E72" s="309" t="s">
        <v>21</v>
      </c>
      <c r="F72" s="309" t="s">
        <v>51</v>
      </c>
      <c r="G72" s="318" t="s">
        <v>2762</v>
      </c>
      <c r="H72" s="35" t="s">
        <v>1383</v>
      </c>
      <c r="L72" s="313"/>
      <c r="M72" s="293"/>
      <c r="N72" s="293"/>
      <c r="O72" s="293"/>
      <c r="P72" s="293"/>
      <c r="Q72" s="293"/>
      <c r="R72" s="293"/>
      <c r="S72" s="293"/>
      <c r="T72" s="293"/>
      <c r="U72" s="293"/>
      <c r="V72" s="293"/>
      <c r="W72" s="293"/>
      <c r="X72" s="293"/>
      <c r="Y72" s="293"/>
      <c r="Z72" s="293"/>
      <c r="AA72" s="293"/>
      <c r="AB72" s="293"/>
      <c r="AC72" s="293"/>
      <c r="AD72" s="293"/>
      <c r="AE72" s="293"/>
      <c r="AF72" s="293"/>
    </row>
    <row r="73" ht="16.5" customHeight="1">
      <c r="A73" s="306" t="s">
        <v>5</v>
      </c>
      <c r="B73" s="269"/>
      <c r="C73" s="269"/>
      <c r="D73" s="269"/>
      <c r="E73" s="309" t="s">
        <v>88</v>
      </c>
      <c r="F73" s="309" t="s">
        <v>96</v>
      </c>
      <c r="G73" s="318" t="s">
        <v>2763</v>
      </c>
      <c r="H73" s="309" t="s">
        <v>96</v>
      </c>
      <c r="I73" s="317"/>
      <c r="J73" s="317"/>
      <c r="K73" s="313"/>
      <c r="L73" s="313"/>
      <c r="M73" s="293"/>
      <c r="N73" s="293"/>
      <c r="O73" s="293"/>
      <c r="P73" s="293"/>
      <c r="Q73" s="293"/>
      <c r="R73" s="293"/>
      <c r="S73" s="293"/>
      <c r="T73" s="293"/>
      <c r="U73" s="293"/>
      <c r="V73" s="293"/>
      <c r="W73" s="293"/>
      <c r="X73" s="293"/>
      <c r="Y73" s="293"/>
      <c r="Z73" s="293"/>
      <c r="AA73" s="293"/>
      <c r="AB73" s="293"/>
      <c r="AC73" s="293"/>
      <c r="AD73" s="293"/>
      <c r="AE73" s="293"/>
      <c r="AF73" s="293"/>
    </row>
    <row r="74" ht="16.5" customHeight="1">
      <c r="A74" s="306" t="s">
        <v>5</v>
      </c>
      <c r="B74" s="269"/>
      <c r="C74" s="269"/>
      <c r="D74" s="269"/>
      <c r="E74" s="309" t="s">
        <v>86</v>
      </c>
      <c r="F74" s="309" t="s">
        <v>91</v>
      </c>
      <c r="G74" s="318" t="s">
        <v>2764</v>
      </c>
      <c r="H74" s="309" t="s">
        <v>91</v>
      </c>
      <c r="I74" s="317"/>
      <c r="J74" s="317"/>
      <c r="K74" s="313"/>
      <c r="L74" s="313"/>
      <c r="M74" s="293"/>
      <c r="N74" s="293"/>
      <c r="O74" s="293"/>
      <c r="P74" s="293"/>
      <c r="Q74" s="293"/>
      <c r="R74" s="293"/>
      <c r="S74" s="293"/>
      <c r="T74" s="293"/>
      <c r="U74" s="293"/>
      <c r="V74" s="293"/>
      <c r="W74" s="293"/>
      <c r="X74" s="293"/>
      <c r="Y74" s="293"/>
      <c r="Z74" s="293"/>
      <c r="AA74" s="293"/>
      <c r="AB74" s="293"/>
      <c r="AC74" s="293"/>
      <c r="AD74" s="293"/>
      <c r="AE74" s="293"/>
      <c r="AF74" s="293"/>
    </row>
    <row r="75" ht="16.5" customHeight="1">
      <c r="A75" s="306" t="s">
        <v>5</v>
      </c>
      <c r="B75" s="270"/>
      <c r="C75" s="270"/>
      <c r="D75" s="270"/>
      <c r="E75" s="309" t="s">
        <v>104</v>
      </c>
      <c r="F75" s="309" t="s">
        <v>250</v>
      </c>
      <c r="G75" s="318" t="s">
        <v>2765</v>
      </c>
      <c r="H75" s="309" t="s">
        <v>250</v>
      </c>
      <c r="I75" s="317"/>
      <c r="J75" s="317"/>
      <c r="K75" s="313"/>
      <c r="L75" s="313"/>
      <c r="M75" s="293"/>
      <c r="N75" s="293"/>
      <c r="O75" s="293"/>
      <c r="P75" s="293"/>
      <c r="Q75" s="293"/>
      <c r="R75" s="293"/>
      <c r="S75" s="293"/>
      <c r="T75" s="293"/>
      <c r="U75" s="293"/>
      <c r="V75" s="293"/>
      <c r="W75" s="293"/>
      <c r="X75" s="293"/>
      <c r="Y75" s="293"/>
      <c r="Z75" s="293"/>
      <c r="AA75" s="293"/>
      <c r="AB75" s="293"/>
      <c r="AC75" s="293"/>
      <c r="AD75" s="293"/>
      <c r="AE75" s="293"/>
      <c r="AF75" s="293"/>
    </row>
    <row r="76" ht="16.5" customHeight="1">
      <c r="A76" s="306" t="s">
        <v>5</v>
      </c>
      <c r="B76" s="314" t="s">
        <v>2766</v>
      </c>
      <c r="C76" s="322" t="s">
        <v>2767</v>
      </c>
      <c r="D76" s="316" t="s">
        <v>42</v>
      </c>
      <c r="E76" s="309" t="s">
        <v>88</v>
      </c>
      <c r="F76" s="309" t="s">
        <v>89</v>
      </c>
      <c r="G76" s="311"/>
      <c r="H76" s="36"/>
      <c r="L76" s="313"/>
      <c r="M76" s="293"/>
      <c r="N76" s="293"/>
      <c r="O76" s="293"/>
      <c r="P76" s="293"/>
      <c r="Q76" s="293"/>
      <c r="R76" s="293"/>
      <c r="S76" s="293"/>
      <c r="T76" s="293"/>
      <c r="U76" s="293"/>
      <c r="V76" s="293"/>
      <c r="W76" s="293"/>
      <c r="X76" s="293"/>
      <c r="Y76" s="293"/>
      <c r="Z76" s="293"/>
      <c r="AA76" s="293"/>
      <c r="AB76" s="293"/>
      <c r="AC76" s="293"/>
      <c r="AD76" s="293"/>
      <c r="AE76" s="293"/>
      <c r="AF76" s="293"/>
    </row>
    <row r="77" ht="16.5" customHeight="1">
      <c r="A77" s="306" t="s">
        <v>5</v>
      </c>
      <c r="B77" s="269"/>
      <c r="C77" s="269"/>
      <c r="D77" s="269"/>
      <c r="E77" s="309" t="s">
        <v>172</v>
      </c>
      <c r="F77" s="310" t="s">
        <v>194</v>
      </c>
      <c r="G77" s="318" t="s">
        <v>2768</v>
      </c>
      <c r="H77" s="310" t="s">
        <v>194</v>
      </c>
      <c r="I77" s="311"/>
      <c r="J77" s="317"/>
      <c r="K77" s="313"/>
      <c r="L77" s="313"/>
      <c r="M77" s="293"/>
      <c r="N77" s="293"/>
      <c r="O77" s="293"/>
      <c r="P77" s="293"/>
      <c r="Q77" s="293"/>
      <c r="R77" s="293"/>
      <c r="S77" s="293"/>
      <c r="T77" s="293"/>
      <c r="U77" s="293"/>
      <c r="V77" s="293"/>
      <c r="W77" s="293"/>
      <c r="X77" s="293"/>
      <c r="Y77" s="293"/>
      <c r="Z77" s="293"/>
      <c r="AA77" s="293"/>
      <c r="AB77" s="293"/>
      <c r="AC77" s="293"/>
      <c r="AD77" s="293"/>
      <c r="AE77" s="293"/>
      <c r="AF77" s="293"/>
    </row>
    <row r="78" ht="15.75" customHeight="1">
      <c r="A78" s="306" t="s">
        <v>5</v>
      </c>
      <c r="B78" s="269"/>
      <c r="C78" s="269"/>
      <c r="D78" s="269"/>
      <c r="E78" s="309" t="s">
        <v>172</v>
      </c>
      <c r="F78" s="310" t="s">
        <v>195</v>
      </c>
      <c r="G78" s="318" t="s">
        <v>2769</v>
      </c>
      <c r="H78" s="310" t="s">
        <v>195</v>
      </c>
      <c r="I78" s="311"/>
      <c r="J78" s="317"/>
      <c r="K78" s="313"/>
      <c r="L78" s="313"/>
      <c r="M78" s="293"/>
      <c r="N78" s="293"/>
      <c r="O78" s="293"/>
      <c r="P78" s="293"/>
      <c r="Q78" s="293"/>
      <c r="R78" s="293"/>
      <c r="S78" s="293"/>
      <c r="T78" s="293"/>
      <c r="U78" s="293"/>
      <c r="V78" s="293"/>
      <c r="W78" s="293"/>
      <c r="X78" s="293"/>
      <c r="Y78" s="293"/>
      <c r="Z78" s="293"/>
      <c r="AA78" s="293"/>
      <c r="AB78" s="293"/>
      <c r="AC78" s="293"/>
      <c r="AD78" s="293"/>
      <c r="AE78" s="293"/>
      <c r="AF78" s="293"/>
    </row>
    <row r="79" ht="15.75" customHeight="1">
      <c r="A79" s="306" t="s">
        <v>5</v>
      </c>
      <c r="B79" s="269"/>
      <c r="C79" s="269"/>
      <c r="D79" s="269"/>
      <c r="E79" s="309" t="s">
        <v>21</v>
      </c>
      <c r="F79" s="310" t="s">
        <v>51</v>
      </c>
      <c r="G79" s="318" t="s">
        <v>2770</v>
      </c>
      <c r="H79" s="310" t="s">
        <v>51</v>
      </c>
      <c r="I79" s="311"/>
      <c r="J79" s="317"/>
      <c r="K79" s="313"/>
      <c r="L79" s="313"/>
      <c r="M79" s="293"/>
      <c r="N79" s="293"/>
      <c r="O79" s="293"/>
      <c r="P79" s="293"/>
      <c r="Q79" s="293"/>
      <c r="R79" s="293"/>
      <c r="S79" s="293"/>
      <c r="T79" s="293"/>
      <c r="U79" s="293"/>
      <c r="V79" s="293"/>
      <c r="W79" s="293"/>
      <c r="X79" s="293"/>
      <c r="Y79" s="293"/>
      <c r="Z79" s="293"/>
      <c r="AA79" s="293"/>
      <c r="AB79" s="293"/>
      <c r="AC79" s="293"/>
      <c r="AD79" s="293"/>
      <c r="AE79" s="293"/>
      <c r="AF79" s="293"/>
    </row>
    <row r="80" ht="15.75" customHeight="1">
      <c r="A80" s="306" t="s">
        <v>5</v>
      </c>
      <c r="B80" s="269"/>
      <c r="C80" s="269"/>
      <c r="D80" s="269"/>
      <c r="E80" s="309" t="s">
        <v>408</v>
      </c>
      <c r="F80" s="310" t="s">
        <v>408</v>
      </c>
      <c r="G80" s="318" t="s">
        <v>2771</v>
      </c>
      <c r="H80" s="310" t="s">
        <v>408</v>
      </c>
      <c r="I80" s="311"/>
      <c r="J80" s="317"/>
      <c r="K80" s="313"/>
      <c r="L80" s="313"/>
      <c r="M80" s="293"/>
      <c r="N80" s="293"/>
      <c r="O80" s="293"/>
      <c r="P80" s="293"/>
      <c r="Q80" s="293"/>
      <c r="R80" s="293"/>
      <c r="S80" s="293"/>
      <c r="T80" s="293"/>
      <c r="U80" s="293"/>
      <c r="V80" s="293"/>
      <c r="W80" s="293"/>
      <c r="X80" s="293"/>
      <c r="Y80" s="293"/>
      <c r="Z80" s="293"/>
      <c r="AA80" s="293"/>
      <c r="AB80" s="293"/>
      <c r="AC80" s="293"/>
      <c r="AD80" s="293"/>
      <c r="AE80" s="293"/>
      <c r="AF80" s="293"/>
    </row>
    <row r="81" ht="15.75" customHeight="1">
      <c r="A81" s="306" t="s">
        <v>5</v>
      </c>
      <c r="B81" s="269"/>
      <c r="C81" s="269"/>
      <c r="D81" s="269"/>
      <c r="E81" s="309" t="s">
        <v>116</v>
      </c>
      <c r="F81" s="310" t="s">
        <v>825</v>
      </c>
      <c r="G81" s="318" t="s">
        <v>2772</v>
      </c>
      <c r="H81" s="310" t="s">
        <v>825</v>
      </c>
      <c r="I81" s="311"/>
      <c r="J81" s="317"/>
      <c r="K81" s="313"/>
      <c r="L81" s="313"/>
      <c r="M81" s="293"/>
      <c r="N81" s="293"/>
      <c r="O81" s="293"/>
      <c r="P81" s="293"/>
      <c r="Q81" s="293"/>
      <c r="R81" s="293"/>
      <c r="S81" s="293"/>
      <c r="T81" s="293"/>
      <c r="U81" s="293"/>
      <c r="V81" s="293"/>
      <c r="W81" s="293"/>
      <c r="X81" s="293"/>
      <c r="Y81" s="293"/>
      <c r="Z81" s="293"/>
      <c r="AA81" s="293"/>
      <c r="AB81" s="293"/>
      <c r="AC81" s="293"/>
      <c r="AD81" s="293"/>
      <c r="AE81" s="293"/>
      <c r="AF81" s="293"/>
    </row>
    <row r="82" ht="15.75" customHeight="1">
      <c r="A82" s="306" t="s">
        <v>5</v>
      </c>
      <c r="B82" s="269"/>
      <c r="C82" s="269"/>
      <c r="D82" s="269"/>
      <c r="E82" s="309" t="s">
        <v>610</v>
      </c>
      <c r="F82" s="309" t="s">
        <v>848</v>
      </c>
      <c r="G82" s="318" t="s">
        <v>2773</v>
      </c>
      <c r="H82" s="310" t="s">
        <v>848</v>
      </c>
      <c r="I82" s="311"/>
      <c r="J82" s="317"/>
      <c r="K82" s="313"/>
      <c r="L82" s="313"/>
      <c r="M82" s="293"/>
      <c r="N82" s="293"/>
      <c r="O82" s="293"/>
      <c r="P82" s="293"/>
      <c r="Q82" s="293"/>
      <c r="R82" s="293"/>
      <c r="S82" s="293"/>
      <c r="T82" s="293"/>
      <c r="U82" s="293"/>
      <c r="V82" s="293"/>
      <c r="W82" s="293"/>
      <c r="X82" s="293"/>
      <c r="Y82" s="293"/>
      <c r="Z82" s="293"/>
      <c r="AA82" s="293"/>
      <c r="AB82" s="293"/>
      <c r="AC82" s="293"/>
      <c r="AD82" s="293"/>
      <c r="AE82" s="293"/>
      <c r="AF82" s="293"/>
    </row>
    <row r="83" ht="15.75" customHeight="1">
      <c r="A83" s="306" t="s">
        <v>5</v>
      </c>
      <c r="B83" s="269"/>
      <c r="C83" s="269"/>
      <c r="D83" s="269"/>
      <c r="E83" s="309" t="s">
        <v>88</v>
      </c>
      <c r="F83" s="309" t="s">
        <v>96</v>
      </c>
      <c r="G83" s="318" t="s">
        <v>2774</v>
      </c>
      <c r="H83" s="309" t="s">
        <v>96</v>
      </c>
      <c r="I83" s="311"/>
      <c r="J83" s="317"/>
      <c r="K83" s="313"/>
      <c r="L83" s="313"/>
      <c r="M83" s="293"/>
      <c r="N83" s="293"/>
      <c r="O83" s="293"/>
      <c r="P83" s="293"/>
      <c r="Q83" s="293"/>
      <c r="R83" s="293"/>
      <c r="S83" s="293"/>
      <c r="T83" s="293"/>
      <c r="U83" s="293"/>
      <c r="V83" s="293"/>
      <c r="W83" s="293"/>
      <c r="X83" s="293"/>
      <c r="Y83" s="293"/>
      <c r="Z83" s="293"/>
      <c r="AA83" s="293"/>
      <c r="AB83" s="293"/>
      <c r="AC83" s="293"/>
      <c r="AD83" s="293"/>
      <c r="AE83" s="293"/>
      <c r="AF83" s="293"/>
    </row>
    <row r="84" ht="16.5" customHeight="1">
      <c r="A84" s="306" t="s">
        <v>5</v>
      </c>
      <c r="B84" s="269"/>
      <c r="C84" s="269"/>
      <c r="D84" s="269"/>
      <c r="E84" s="309" t="s">
        <v>86</v>
      </c>
      <c r="F84" s="309" t="s">
        <v>91</v>
      </c>
      <c r="G84" s="318" t="s">
        <v>2775</v>
      </c>
      <c r="H84" s="309" t="s">
        <v>91</v>
      </c>
      <c r="I84" s="317"/>
      <c r="J84" s="317"/>
      <c r="K84" s="313"/>
      <c r="L84" s="313"/>
      <c r="M84" s="293"/>
      <c r="N84" s="293"/>
      <c r="O84" s="293"/>
      <c r="P84" s="293"/>
      <c r="Q84" s="293"/>
      <c r="R84" s="293"/>
      <c r="S84" s="293"/>
      <c r="T84" s="293"/>
      <c r="U84" s="293"/>
      <c r="V84" s="293"/>
      <c r="W84" s="293"/>
      <c r="X84" s="293"/>
      <c r="Y84" s="293"/>
      <c r="Z84" s="293"/>
      <c r="AA84" s="293"/>
      <c r="AB84" s="293"/>
      <c r="AC84" s="293"/>
      <c r="AD84" s="293"/>
      <c r="AE84" s="293"/>
      <c r="AF84" s="293"/>
    </row>
    <row r="85" ht="16.5" customHeight="1">
      <c r="A85" s="306" t="s">
        <v>5</v>
      </c>
      <c r="B85" s="270"/>
      <c r="C85" s="270"/>
      <c r="D85" s="270"/>
      <c r="E85" s="309" t="s">
        <v>104</v>
      </c>
      <c r="F85" s="309" t="s">
        <v>250</v>
      </c>
      <c r="G85" s="318" t="s">
        <v>2776</v>
      </c>
      <c r="H85" s="309" t="s">
        <v>250</v>
      </c>
      <c r="I85" s="317"/>
      <c r="J85" s="317"/>
      <c r="K85" s="313"/>
      <c r="L85" s="313"/>
      <c r="M85" s="293"/>
      <c r="N85" s="293"/>
      <c r="O85" s="293"/>
      <c r="P85" s="293"/>
      <c r="Q85" s="293"/>
      <c r="R85" s="293"/>
      <c r="S85" s="293"/>
      <c r="T85" s="293"/>
      <c r="U85" s="293"/>
      <c r="V85" s="293"/>
      <c r="W85" s="293"/>
      <c r="X85" s="293"/>
      <c r="Y85" s="293"/>
      <c r="Z85" s="293"/>
      <c r="AA85" s="293"/>
      <c r="AB85" s="293"/>
      <c r="AC85" s="293"/>
      <c r="AD85" s="293"/>
      <c r="AE85" s="293"/>
      <c r="AF85" s="293"/>
    </row>
    <row r="86" ht="16.5" customHeight="1">
      <c r="A86" s="306" t="s">
        <v>5</v>
      </c>
      <c r="B86" s="314" t="s">
        <v>2777</v>
      </c>
      <c r="C86" s="316" t="s">
        <v>2778</v>
      </c>
      <c r="D86" s="316" t="s">
        <v>20</v>
      </c>
      <c r="E86" s="309" t="s">
        <v>88</v>
      </c>
      <c r="F86" s="309" t="s">
        <v>89</v>
      </c>
      <c r="G86" s="311"/>
      <c r="H86" s="332"/>
      <c r="I86" s="333"/>
      <c r="J86" s="333"/>
      <c r="K86" s="333"/>
      <c r="L86" s="313"/>
      <c r="M86" s="293"/>
      <c r="N86" s="293"/>
      <c r="O86" s="293"/>
      <c r="P86" s="293"/>
      <c r="Q86" s="293"/>
      <c r="R86" s="293"/>
      <c r="S86" s="293"/>
      <c r="T86" s="293"/>
      <c r="U86" s="293"/>
      <c r="V86" s="293"/>
      <c r="W86" s="293"/>
      <c r="X86" s="293"/>
      <c r="Y86" s="293"/>
      <c r="Z86" s="293"/>
      <c r="AA86" s="293"/>
      <c r="AB86" s="293"/>
      <c r="AC86" s="293"/>
      <c r="AD86" s="293"/>
      <c r="AE86" s="293"/>
      <c r="AF86" s="293"/>
    </row>
    <row r="87" ht="16.5" customHeight="1">
      <c r="A87" s="306" t="s">
        <v>5</v>
      </c>
      <c r="B87" s="269"/>
      <c r="C87" s="269"/>
      <c r="D87" s="269"/>
      <c r="E87" s="309" t="s">
        <v>21</v>
      </c>
      <c r="F87" s="309" t="s">
        <v>51</v>
      </c>
      <c r="G87" s="318" t="s">
        <v>2779</v>
      </c>
      <c r="H87" s="35" t="s">
        <v>51</v>
      </c>
      <c r="L87" s="313"/>
      <c r="M87" s="293"/>
      <c r="N87" s="293"/>
      <c r="O87" s="293"/>
      <c r="P87" s="293"/>
      <c r="Q87" s="293"/>
      <c r="R87" s="293"/>
      <c r="S87" s="293"/>
      <c r="T87" s="293"/>
      <c r="U87" s="293"/>
      <c r="V87" s="293"/>
      <c r="W87" s="293"/>
      <c r="X87" s="293"/>
      <c r="Y87" s="293"/>
      <c r="Z87" s="293"/>
      <c r="AA87" s="293"/>
      <c r="AB87" s="293"/>
      <c r="AC87" s="293"/>
      <c r="AD87" s="293"/>
      <c r="AE87" s="293"/>
      <c r="AF87" s="293"/>
    </row>
    <row r="88" ht="16.5" customHeight="1">
      <c r="A88" s="306" t="s">
        <v>5</v>
      </c>
      <c r="B88" s="269"/>
      <c r="C88" s="269"/>
      <c r="D88" s="269"/>
      <c r="E88" s="309" t="s">
        <v>408</v>
      </c>
      <c r="F88" s="309" t="s">
        <v>408</v>
      </c>
      <c r="G88" s="318" t="s">
        <v>2780</v>
      </c>
      <c r="H88" s="35" t="s">
        <v>408</v>
      </c>
      <c r="L88" s="313"/>
      <c r="M88" s="293"/>
      <c r="N88" s="293"/>
      <c r="O88" s="293"/>
      <c r="P88" s="293"/>
      <c r="Q88" s="293"/>
      <c r="R88" s="293"/>
      <c r="S88" s="293"/>
      <c r="T88" s="293"/>
      <c r="U88" s="293"/>
      <c r="V88" s="293"/>
      <c r="W88" s="293"/>
      <c r="X88" s="293"/>
      <c r="Y88" s="293"/>
      <c r="Z88" s="293"/>
      <c r="AA88" s="293"/>
      <c r="AB88" s="293"/>
      <c r="AC88" s="293"/>
      <c r="AD88" s="293"/>
      <c r="AE88" s="293"/>
      <c r="AF88" s="293"/>
    </row>
    <row r="89" ht="16.5" customHeight="1">
      <c r="A89" s="306" t="s">
        <v>5</v>
      </c>
      <c r="B89" s="269"/>
      <c r="C89" s="269"/>
      <c r="D89" s="269"/>
      <c r="E89" s="309" t="s">
        <v>172</v>
      </c>
      <c r="F89" s="309" t="s">
        <v>194</v>
      </c>
      <c r="G89" s="318" t="s">
        <v>2781</v>
      </c>
      <c r="H89" s="35" t="s">
        <v>194</v>
      </c>
      <c r="L89" s="313"/>
      <c r="M89" s="293"/>
      <c r="N89" s="293"/>
      <c r="O89" s="293"/>
      <c r="P89" s="293"/>
      <c r="Q89" s="293"/>
      <c r="R89" s="293"/>
      <c r="S89" s="293"/>
      <c r="T89" s="293"/>
      <c r="U89" s="293"/>
      <c r="V89" s="293"/>
      <c r="W89" s="293"/>
      <c r="X89" s="293"/>
      <c r="Y89" s="293"/>
      <c r="Z89" s="293"/>
      <c r="AA89" s="293"/>
      <c r="AB89" s="293"/>
      <c r="AC89" s="293"/>
      <c r="AD89" s="293"/>
      <c r="AE89" s="293"/>
      <c r="AF89" s="293"/>
    </row>
    <row r="90" ht="16.5" customHeight="1">
      <c r="A90" s="306" t="s">
        <v>5</v>
      </c>
      <c r="B90" s="269"/>
      <c r="C90" s="269"/>
      <c r="D90" s="269"/>
      <c r="E90" s="309" t="s">
        <v>172</v>
      </c>
      <c r="F90" s="309" t="s">
        <v>195</v>
      </c>
      <c r="G90" s="318" t="s">
        <v>2782</v>
      </c>
      <c r="H90" s="35" t="s">
        <v>195</v>
      </c>
      <c r="L90" s="313"/>
      <c r="M90" s="293"/>
      <c r="N90" s="293"/>
      <c r="O90" s="293"/>
      <c r="P90" s="293"/>
      <c r="Q90" s="293"/>
      <c r="R90" s="293"/>
      <c r="S90" s="293"/>
      <c r="T90" s="293"/>
      <c r="U90" s="293"/>
      <c r="V90" s="293"/>
      <c r="W90" s="293"/>
      <c r="X90" s="293"/>
      <c r="Y90" s="293"/>
      <c r="Z90" s="293"/>
      <c r="AA90" s="293"/>
      <c r="AB90" s="293"/>
      <c r="AC90" s="293"/>
      <c r="AD90" s="293"/>
      <c r="AE90" s="293"/>
      <c r="AF90" s="293"/>
    </row>
    <row r="91" ht="16.5" customHeight="1">
      <c r="A91" s="306"/>
      <c r="B91" s="269"/>
      <c r="C91" s="269"/>
      <c r="D91" s="269"/>
      <c r="E91" s="309" t="s">
        <v>116</v>
      </c>
      <c r="F91" s="309" t="s">
        <v>817</v>
      </c>
      <c r="G91" s="318" t="str">
        <f>HYPERLINK("https://docs.google.com/spreadsheets/d/1F2ymYcKVPb84waajwB6hDq3zH49gD92Xky-4T0Acid4/edit#gid=1165926824", "https://docs.google.com/spreadsheets/d/1F2ymYcKVPb84waajwB6hDq3zH49gD92Xky-4T0Acid4/edit#gid=1165926824")</f>
        <v>https://docs.google.com/spreadsheets/d/1F2ymYcKVPb84waajwB6hDq3zH49gD92Xky-4T0Acid4/edit#gid=1165926824</v>
      </c>
      <c r="H91" s="35" t="s">
        <v>817</v>
      </c>
      <c r="L91" s="313"/>
      <c r="M91" s="293"/>
      <c r="N91" s="293"/>
      <c r="O91" s="293"/>
      <c r="P91" s="293"/>
      <c r="Q91" s="293"/>
      <c r="R91" s="293"/>
      <c r="S91" s="293"/>
      <c r="T91" s="293"/>
      <c r="U91" s="293"/>
      <c r="V91" s="293"/>
      <c r="W91" s="293"/>
      <c r="X91" s="293"/>
      <c r="Y91" s="293"/>
      <c r="Z91" s="293"/>
      <c r="AA91" s="293"/>
      <c r="AB91" s="293"/>
      <c r="AC91" s="293"/>
      <c r="AD91" s="293"/>
      <c r="AE91" s="293"/>
      <c r="AF91" s="293"/>
    </row>
    <row r="92" ht="16.5" customHeight="1">
      <c r="A92" s="306"/>
      <c r="B92" s="269"/>
      <c r="C92" s="269"/>
      <c r="D92" s="269"/>
      <c r="E92" s="309" t="s">
        <v>116</v>
      </c>
      <c r="F92" s="309" t="s">
        <v>117</v>
      </c>
      <c r="G92" s="318" t="str">
        <f>HYPERLINK("https://docs.google.com/spreadsheets/d/1F2ymYcKVPb84waajwB6hDq3zH49gD92Xky-4T0Acid4/edit#gid=809820080", "https://docs.google.com/spreadsheets/d/1F2ymYcKVPb84waajwB6hDq3zH49gD92Xky-4T0Acid4/edit#gid=809820080")</f>
        <v>https://docs.google.com/spreadsheets/d/1F2ymYcKVPb84waajwB6hDq3zH49gD92Xky-4T0Acid4/edit#gid=809820080</v>
      </c>
      <c r="H92" s="8" t="s">
        <v>117</v>
      </c>
      <c r="I92" s="9"/>
      <c r="J92" s="9"/>
      <c r="K92" s="11"/>
      <c r="L92" s="313"/>
      <c r="M92" s="293"/>
      <c r="N92" s="293"/>
      <c r="O92" s="293"/>
      <c r="P92" s="293"/>
      <c r="Q92" s="293"/>
      <c r="R92" s="293"/>
      <c r="S92" s="293"/>
      <c r="T92" s="293"/>
      <c r="U92" s="293"/>
      <c r="V92" s="293"/>
      <c r="W92" s="293"/>
      <c r="X92" s="293"/>
      <c r="Y92" s="293"/>
      <c r="Z92" s="293"/>
      <c r="AA92" s="293"/>
      <c r="AB92" s="293"/>
      <c r="AC92" s="293"/>
      <c r="AD92" s="293"/>
      <c r="AE92" s="293"/>
      <c r="AF92" s="293"/>
    </row>
    <row r="93" ht="16.5" customHeight="1">
      <c r="A93" s="306" t="s">
        <v>5</v>
      </c>
      <c r="B93" s="269"/>
      <c r="C93" s="269"/>
      <c r="D93" s="269"/>
      <c r="E93" s="309" t="s">
        <v>116</v>
      </c>
      <c r="F93" s="309" t="s">
        <v>825</v>
      </c>
      <c r="G93" s="318" t="s">
        <v>2783</v>
      </c>
      <c r="H93" s="309" t="s">
        <v>825</v>
      </c>
      <c r="I93" s="317"/>
      <c r="J93" s="317"/>
      <c r="K93" s="313"/>
      <c r="L93" s="313"/>
      <c r="M93" s="293"/>
      <c r="N93" s="293"/>
      <c r="O93" s="293"/>
      <c r="P93" s="293"/>
      <c r="Q93" s="293"/>
      <c r="R93" s="293"/>
      <c r="S93" s="293"/>
      <c r="T93" s="293"/>
      <c r="U93" s="293"/>
      <c r="V93" s="293"/>
      <c r="W93" s="293"/>
      <c r="X93" s="293"/>
      <c r="Y93" s="293"/>
      <c r="Z93" s="293"/>
      <c r="AA93" s="293"/>
      <c r="AB93" s="293"/>
      <c r="AC93" s="293"/>
      <c r="AD93" s="293"/>
      <c r="AE93" s="293"/>
      <c r="AF93" s="293"/>
    </row>
    <row r="94" ht="16.5" customHeight="1">
      <c r="A94" s="306" t="s">
        <v>5</v>
      </c>
      <c r="B94" s="269"/>
      <c r="C94" s="269"/>
      <c r="D94" s="269"/>
      <c r="E94" s="309" t="s">
        <v>21</v>
      </c>
      <c r="F94" s="309" t="s">
        <v>51</v>
      </c>
      <c r="G94" s="318" t="s">
        <v>2784</v>
      </c>
      <c r="H94" s="35" t="s">
        <v>1383</v>
      </c>
      <c r="L94" s="313"/>
      <c r="M94" s="293"/>
      <c r="N94" s="293"/>
      <c r="O94" s="293"/>
      <c r="P94" s="293"/>
      <c r="Q94" s="293"/>
      <c r="R94" s="293"/>
      <c r="S94" s="293"/>
      <c r="T94" s="293"/>
      <c r="U94" s="293"/>
      <c r="V94" s="293"/>
      <c r="W94" s="293"/>
      <c r="X94" s="293"/>
      <c r="Y94" s="293"/>
      <c r="Z94" s="293"/>
      <c r="AA94" s="293"/>
      <c r="AB94" s="293"/>
      <c r="AC94" s="293"/>
      <c r="AD94" s="293"/>
      <c r="AE94" s="293"/>
      <c r="AF94" s="293"/>
    </row>
    <row r="95" ht="16.5" customHeight="1">
      <c r="A95" s="306" t="s">
        <v>5</v>
      </c>
      <c r="B95" s="269"/>
      <c r="C95" s="269"/>
      <c r="D95" s="269"/>
      <c r="E95" s="309" t="s">
        <v>88</v>
      </c>
      <c r="F95" s="309" t="s">
        <v>96</v>
      </c>
      <c r="G95" s="318" t="s">
        <v>2785</v>
      </c>
      <c r="H95" s="310" t="s">
        <v>96</v>
      </c>
      <c r="I95" s="317"/>
      <c r="J95" s="317"/>
      <c r="K95" s="313"/>
      <c r="L95" s="313"/>
      <c r="M95" s="293"/>
      <c r="N95" s="293"/>
      <c r="O95" s="293"/>
      <c r="P95" s="293"/>
      <c r="Q95" s="293"/>
      <c r="R95" s="293"/>
      <c r="S95" s="293"/>
      <c r="T95" s="293"/>
      <c r="U95" s="293"/>
      <c r="V95" s="293"/>
      <c r="W95" s="293"/>
      <c r="X95" s="293"/>
      <c r="Y95" s="293"/>
      <c r="Z95" s="293"/>
      <c r="AA95" s="293"/>
      <c r="AB95" s="293"/>
      <c r="AC95" s="293"/>
      <c r="AD95" s="293"/>
      <c r="AE95" s="293"/>
      <c r="AF95" s="293"/>
    </row>
    <row r="96" ht="16.5" customHeight="1">
      <c r="A96" s="306" t="s">
        <v>5</v>
      </c>
      <c r="B96" s="269"/>
      <c r="C96" s="269"/>
      <c r="D96" s="269"/>
      <c r="E96" s="309" t="s">
        <v>86</v>
      </c>
      <c r="F96" s="309" t="s">
        <v>91</v>
      </c>
      <c r="G96" s="318" t="s">
        <v>2786</v>
      </c>
      <c r="H96" s="35" t="s">
        <v>91</v>
      </c>
      <c r="I96" s="36"/>
      <c r="L96" s="313"/>
      <c r="M96" s="293"/>
      <c r="N96" s="293"/>
      <c r="O96" s="293"/>
      <c r="P96" s="293"/>
      <c r="Q96" s="293"/>
      <c r="R96" s="293"/>
      <c r="S96" s="293"/>
      <c r="T96" s="293"/>
      <c r="U96" s="293"/>
      <c r="V96" s="293"/>
      <c r="W96" s="293"/>
      <c r="X96" s="293"/>
      <c r="Y96" s="293"/>
      <c r="Z96" s="293"/>
      <c r="AA96" s="293"/>
      <c r="AB96" s="293"/>
      <c r="AC96" s="293"/>
      <c r="AD96" s="293"/>
      <c r="AE96" s="293"/>
      <c r="AF96" s="293"/>
    </row>
    <row r="97" ht="16.5" customHeight="1">
      <c r="A97" s="306" t="s">
        <v>5</v>
      </c>
      <c r="B97" s="270"/>
      <c r="C97" s="270"/>
      <c r="D97" s="270"/>
      <c r="E97" s="309" t="s">
        <v>104</v>
      </c>
      <c r="F97" s="309" t="s">
        <v>250</v>
      </c>
      <c r="G97" s="318" t="s">
        <v>2787</v>
      </c>
      <c r="H97" s="309" t="s">
        <v>250</v>
      </c>
      <c r="I97" s="317"/>
      <c r="J97" s="317"/>
      <c r="K97" s="313"/>
      <c r="L97" s="313"/>
      <c r="M97" s="293"/>
      <c r="N97" s="293"/>
      <c r="O97" s="293"/>
      <c r="P97" s="293"/>
      <c r="Q97" s="293"/>
      <c r="R97" s="293"/>
      <c r="S97" s="293"/>
      <c r="T97" s="293"/>
      <c r="U97" s="293"/>
      <c r="V97" s="293"/>
      <c r="W97" s="293"/>
      <c r="X97" s="293"/>
      <c r="Y97" s="293"/>
      <c r="Z97" s="293"/>
      <c r="AA97" s="293"/>
      <c r="AB97" s="293"/>
      <c r="AC97" s="293"/>
      <c r="AD97" s="293"/>
      <c r="AE97" s="293"/>
      <c r="AF97" s="293"/>
    </row>
    <row r="98" ht="16.5" customHeight="1">
      <c r="A98" s="306" t="s">
        <v>5</v>
      </c>
      <c r="B98" s="314" t="s">
        <v>2788</v>
      </c>
      <c r="C98" s="315" t="s">
        <v>2789</v>
      </c>
      <c r="D98" s="316" t="s">
        <v>20</v>
      </c>
      <c r="E98" s="309" t="s">
        <v>88</v>
      </c>
      <c r="F98" s="309" t="s">
        <v>89</v>
      </c>
      <c r="G98" s="311"/>
      <c r="H98" s="332"/>
      <c r="I98" s="333"/>
      <c r="J98" s="333"/>
      <c r="K98" s="333"/>
      <c r="L98" s="313"/>
      <c r="M98" s="293"/>
      <c r="N98" s="293"/>
      <c r="O98" s="293"/>
      <c r="P98" s="293"/>
      <c r="Q98" s="293"/>
      <c r="R98" s="293"/>
      <c r="S98" s="293"/>
      <c r="T98" s="293"/>
      <c r="U98" s="293"/>
      <c r="V98" s="293"/>
      <c r="W98" s="293"/>
      <c r="X98" s="293"/>
      <c r="Y98" s="293"/>
      <c r="Z98" s="293"/>
      <c r="AA98" s="293"/>
      <c r="AB98" s="293"/>
      <c r="AC98" s="293"/>
      <c r="AD98" s="293"/>
      <c r="AE98" s="293"/>
      <c r="AF98" s="293"/>
    </row>
    <row r="99" ht="16.5" customHeight="1">
      <c r="A99" s="306" t="s">
        <v>5</v>
      </c>
      <c r="B99" s="269"/>
      <c r="C99" s="269"/>
      <c r="D99" s="269"/>
      <c r="E99" s="309" t="s">
        <v>21</v>
      </c>
      <c r="F99" s="309" t="s">
        <v>51</v>
      </c>
      <c r="G99" s="318" t="s">
        <v>2790</v>
      </c>
      <c r="H99" s="35" t="s">
        <v>51</v>
      </c>
      <c r="L99" s="313"/>
      <c r="M99" s="293"/>
      <c r="N99" s="293"/>
      <c r="O99" s="293"/>
      <c r="P99" s="293"/>
      <c r="Q99" s="293"/>
      <c r="R99" s="293"/>
      <c r="S99" s="293"/>
      <c r="T99" s="293"/>
      <c r="U99" s="293"/>
      <c r="V99" s="293"/>
      <c r="W99" s="293"/>
      <c r="X99" s="293"/>
      <c r="Y99" s="293"/>
      <c r="Z99" s="293"/>
      <c r="AA99" s="293"/>
      <c r="AB99" s="293"/>
      <c r="AC99" s="293"/>
      <c r="AD99" s="293"/>
      <c r="AE99" s="293"/>
      <c r="AF99" s="293"/>
    </row>
    <row r="100" ht="16.5" customHeight="1">
      <c r="A100" s="306" t="s">
        <v>5</v>
      </c>
      <c r="B100" s="269"/>
      <c r="C100" s="269"/>
      <c r="D100" s="269"/>
      <c r="E100" s="309" t="s">
        <v>408</v>
      </c>
      <c r="F100" s="309" t="s">
        <v>408</v>
      </c>
      <c r="G100" s="318" t="s">
        <v>2791</v>
      </c>
      <c r="H100" s="309" t="s">
        <v>408</v>
      </c>
      <c r="I100" s="317"/>
      <c r="J100" s="317"/>
      <c r="K100" s="313"/>
      <c r="L100" s="313"/>
      <c r="M100" s="293"/>
      <c r="N100" s="293"/>
      <c r="O100" s="293"/>
      <c r="P100" s="293"/>
      <c r="Q100" s="293"/>
      <c r="R100" s="293"/>
      <c r="S100" s="293"/>
      <c r="T100" s="293"/>
      <c r="U100" s="293"/>
      <c r="V100" s="293"/>
      <c r="W100" s="293"/>
      <c r="X100" s="293"/>
      <c r="Y100" s="293"/>
      <c r="Z100" s="293"/>
      <c r="AA100" s="293"/>
      <c r="AB100" s="293"/>
      <c r="AC100" s="293"/>
      <c r="AD100" s="293"/>
      <c r="AE100" s="293"/>
      <c r="AF100" s="293"/>
    </row>
    <row r="101" ht="16.5" customHeight="1">
      <c r="A101" s="306" t="s">
        <v>5</v>
      </c>
      <c r="B101" s="269"/>
      <c r="C101" s="269"/>
      <c r="D101" s="269"/>
      <c r="E101" s="309" t="s">
        <v>172</v>
      </c>
      <c r="F101" s="309" t="s">
        <v>194</v>
      </c>
      <c r="G101" s="318" t="s">
        <v>2792</v>
      </c>
      <c r="H101" s="309" t="s">
        <v>194</v>
      </c>
      <c r="I101" s="317"/>
      <c r="J101" s="317"/>
      <c r="K101" s="313"/>
      <c r="L101" s="313"/>
      <c r="M101" s="293"/>
      <c r="N101" s="293"/>
      <c r="O101" s="293"/>
      <c r="P101" s="293"/>
      <c r="Q101" s="293"/>
      <c r="R101" s="293"/>
      <c r="S101" s="293"/>
      <c r="T101" s="293"/>
      <c r="U101" s="293"/>
      <c r="V101" s="293"/>
      <c r="W101" s="293"/>
      <c r="X101" s="293"/>
      <c r="Y101" s="293"/>
      <c r="Z101" s="293"/>
      <c r="AA101" s="293"/>
      <c r="AB101" s="293"/>
      <c r="AC101" s="293"/>
      <c r="AD101" s="293"/>
      <c r="AE101" s="293"/>
      <c r="AF101" s="293"/>
    </row>
    <row r="102" ht="16.5" customHeight="1">
      <c r="A102" s="306" t="s">
        <v>5</v>
      </c>
      <c r="B102" s="269"/>
      <c r="C102" s="269"/>
      <c r="D102" s="269"/>
      <c r="E102" s="309" t="s">
        <v>172</v>
      </c>
      <c r="F102" s="309" t="s">
        <v>195</v>
      </c>
      <c r="G102" s="318" t="s">
        <v>2793</v>
      </c>
      <c r="H102" s="309" t="s">
        <v>195</v>
      </c>
      <c r="I102" s="317"/>
      <c r="J102" s="317"/>
      <c r="K102" s="313"/>
      <c r="L102" s="313"/>
      <c r="M102" s="293"/>
      <c r="N102" s="293"/>
      <c r="O102" s="293"/>
      <c r="P102" s="293"/>
      <c r="Q102" s="293"/>
      <c r="R102" s="293"/>
      <c r="S102" s="293"/>
      <c r="T102" s="293"/>
      <c r="U102" s="293"/>
      <c r="V102" s="293"/>
      <c r="W102" s="293"/>
      <c r="X102" s="293"/>
      <c r="Y102" s="293"/>
      <c r="Z102" s="293"/>
      <c r="AA102" s="293"/>
      <c r="AB102" s="293"/>
      <c r="AC102" s="293"/>
      <c r="AD102" s="293"/>
      <c r="AE102" s="293"/>
      <c r="AF102" s="293"/>
    </row>
    <row r="103" ht="16.5" customHeight="1">
      <c r="A103" s="306" t="s">
        <v>5</v>
      </c>
      <c r="B103" s="269"/>
      <c r="C103" s="269"/>
      <c r="D103" s="269"/>
      <c r="E103" s="309" t="s">
        <v>116</v>
      </c>
      <c r="F103" s="309" t="s">
        <v>825</v>
      </c>
      <c r="G103" s="318" t="s">
        <v>2794</v>
      </c>
      <c r="H103" s="309" t="s">
        <v>825</v>
      </c>
      <c r="I103" s="317"/>
      <c r="J103" s="317"/>
      <c r="K103" s="313"/>
      <c r="L103" s="313"/>
      <c r="M103" s="293"/>
      <c r="N103" s="293"/>
      <c r="O103" s="293"/>
      <c r="P103" s="293"/>
      <c r="Q103" s="293"/>
      <c r="R103" s="293"/>
      <c r="S103" s="293"/>
      <c r="T103" s="293"/>
      <c r="U103" s="293"/>
      <c r="V103" s="293"/>
      <c r="W103" s="293"/>
      <c r="X103" s="293"/>
      <c r="Y103" s="293"/>
      <c r="Z103" s="293"/>
      <c r="AA103" s="293"/>
      <c r="AB103" s="293"/>
      <c r="AC103" s="293"/>
      <c r="AD103" s="293"/>
      <c r="AE103" s="293"/>
      <c r="AF103" s="293"/>
    </row>
    <row r="104" ht="16.5" customHeight="1">
      <c r="A104" s="306" t="s">
        <v>5</v>
      </c>
      <c r="B104" s="269"/>
      <c r="C104" s="269"/>
      <c r="D104" s="269"/>
      <c r="E104" s="309" t="s">
        <v>21</v>
      </c>
      <c r="F104" s="309" t="s">
        <v>51</v>
      </c>
      <c r="G104" s="334" t="s">
        <v>2795</v>
      </c>
      <c r="H104" s="35" t="s">
        <v>1383</v>
      </c>
      <c r="L104" s="313"/>
      <c r="M104" s="293"/>
      <c r="N104" s="293"/>
      <c r="O104" s="293"/>
      <c r="P104" s="293"/>
      <c r="Q104" s="293"/>
      <c r="R104" s="293"/>
      <c r="S104" s="293"/>
      <c r="T104" s="293"/>
      <c r="U104" s="293"/>
      <c r="V104" s="293"/>
      <c r="W104" s="293"/>
      <c r="X104" s="293"/>
      <c r="Y104" s="293"/>
      <c r="Z104" s="293"/>
      <c r="AA104" s="293"/>
      <c r="AB104" s="293"/>
      <c r="AC104" s="293"/>
      <c r="AD104" s="293"/>
      <c r="AE104" s="293"/>
      <c r="AF104" s="293"/>
    </row>
    <row r="105" ht="16.5" customHeight="1">
      <c r="A105" s="306" t="s">
        <v>5</v>
      </c>
      <c r="B105" s="269"/>
      <c r="C105" s="269"/>
      <c r="D105" s="269"/>
      <c r="E105" s="309" t="s">
        <v>88</v>
      </c>
      <c r="F105" s="309" t="s">
        <v>96</v>
      </c>
      <c r="G105" s="318" t="s">
        <v>2796</v>
      </c>
      <c r="H105" s="309" t="s">
        <v>96</v>
      </c>
      <c r="I105" s="311"/>
      <c r="J105" s="317"/>
      <c r="K105" s="313"/>
      <c r="L105" s="313"/>
      <c r="M105" s="293"/>
      <c r="N105" s="293"/>
      <c r="O105" s="293"/>
      <c r="P105" s="293"/>
      <c r="Q105" s="293"/>
      <c r="R105" s="293"/>
      <c r="S105" s="293"/>
      <c r="T105" s="293"/>
      <c r="U105" s="293"/>
      <c r="V105" s="293"/>
      <c r="W105" s="293"/>
      <c r="X105" s="293"/>
      <c r="Y105" s="293"/>
      <c r="Z105" s="293"/>
      <c r="AA105" s="293"/>
      <c r="AB105" s="293"/>
      <c r="AC105" s="293"/>
      <c r="AD105" s="293"/>
      <c r="AE105" s="293"/>
      <c r="AF105" s="293"/>
    </row>
    <row r="106" ht="16.5" customHeight="1">
      <c r="A106" s="306" t="s">
        <v>5</v>
      </c>
      <c r="B106" s="269"/>
      <c r="C106" s="269"/>
      <c r="D106" s="269"/>
      <c r="E106" s="309" t="s">
        <v>86</v>
      </c>
      <c r="F106" s="309" t="s">
        <v>91</v>
      </c>
      <c r="G106" s="318" t="s">
        <v>2797</v>
      </c>
      <c r="H106" s="309" t="s">
        <v>91</v>
      </c>
      <c r="I106" s="311"/>
      <c r="J106" s="317"/>
      <c r="K106" s="313"/>
      <c r="L106" s="313"/>
      <c r="M106" s="293"/>
      <c r="N106" s="293"/>
      <c r="O106" s="293"/>
      <c r="P106" s="293"/>
      <c r="Q106" s="293"/>
      <c r="R106" s="293"/>
      <c r="S106" s="293"/>
      <c r="T106" s="293"/>
      <c r="U106" s="293"/>
      <c r="V106" s="293"/>
      <c r="W106" s="293"/>
      <c r="X106" s="293"/>
      <c r="Y106" s="293"/>
      <c r="Z106" s="293"/>
      <c r="AA106" s="293"/>
      <c r="AB106" s="293"/>
      <c r="AC106" s="293"/>
      <c r="AD106" s="293"/>
      <c r="AE106" s="293"/>
      <c r="AF106" s="293"/>
    </row>
    <row r="107" ht="16.5" customHeight="1">
      <c r="A107" s="306" t="s">
        <v>5</v>
      </c>
      <c r="B107" s="270"/>
      <c r="C107" s="270"/>
      <c r="D107" s="270"/>
      <c r="E107" s="309" t="s">
        <v>104</v>
      </c>
      <c r="F107" s="309" t="s">
        <v>250</v>
      </c>
      <c r="G107" s="318" t="s">
        <v>2798</v>
      </c>
      <c r="H107" s="309" t="s">
        <v>250</v>
      </c>
      <c r="I107" s="317"/>
      <c r="J107" s="317"/>
      <c r="K107" s="313"/>
      <c r="L107" s="313"/>
      <c r="M107" s="293"/>
      <c r="N107" s="293"/>
      <c r="O107" s="293"/>
      <c r="P107" s="293"/>
      <c r="Q107" s="293"/>
      <c r="R107" s="293"/>
      <c r="S107" s="293"/>
      <c r="T107" s="293"/>
      <c r="U107" s="293"/>
      <c r="V107" s="293"/>
      <c r="W107" s="293"/>
      <c r="X107" s="293"/>
      <c r="Y107" s="293"/>
      <c r="Z107" s="293"/>
      <c r="AA107" s="293"/>
      <c r="AB107" s="293"/>
      <c r="AC107" s="293"/>
      <c r="AD107" s="293"/>
      <c r="AE107" s="293"/>
      <c r="AF107" s="293"/>
    </row>
    <row r="108" ht="16.5" customHeight="1">
      <c r="A108" s="306" t="s">
        <v>5</v>
      </c>
      <c r="B108" s="314" t="s">
        <v>2799</v>
      </c>
      <c r="C108" s="315" t="s">
        <v>2800</v>
      </c>
      <c r="D108" s="316" t="s">
        <v>20</v>
      </c>
      <c r="E108" s="309" t="s">
        <v>88</v>
      </c>
      <c r="F108" s="309" t="s">
        <v>89</v>
      </c>
      <c r="G108" s="311"/>
      <c r="H108" s="332"/>
      <c r="I108" s="333"/>
      <c r="J108" s="333"/>
      <c r="K108" s="333"/>
      <c r="L108" s="313"/>
      <c r="M108" s="293"/>
      <c r="N108" s="293"/>
      <c r="O108" s="293"/>
      <c r="P108" s="293"/>
      <c r="Q108" s="293"/>
      <c r="R108" s="293"/>
      <c r="S108" s="293"/>
      <c r="T108" s="293"/>
      <c r="U108" s="293"/>
      <c r="V108" s="293"/>
      <c r="W108" s="293"/>
      <c r="X108" s="293"/>
      <c r="Y108" s="293"/>
      <c r="Z108" s="293"/>
      <c r="AA108" s="293"/>
      <c r="AB108" s="293"/>
      <c r="AC108" s="293"/>
      <c r="AD108" s="293"/>
      <c r="AE108" s="293"/>
      <c r="AF108" s="293"/>
    </row>
    <row r="109" ht="16.5" customHeight="1">
      <c r="A109" s="306" t="s">
        <v>5</v>
      </c>
      <c r="B109" s="269"/>
      <c r="C109" s="269"/>
      <c r="D109" s="269"/>
      <c r="E109" s="309" t="s">
        <v>21</v>
      </c>
      <c r="F109" s="309" t="s">
        <v>51</v>
      </c>
      <c r="G109" s="318" t="s">
        <v>2801</v>
      </c>
      <c r="H109" s="309" t="s">
        <v>51</v>
      </c>
      <c r="I109" s="317"/>
      <c r="J109" s="317"/>
      <c r="K109" s="313"/>
      <c r="L109" s="313"/>
      <c r="M109" s="293"/>
      <c r="N109" s="293"/>
      <c r="O109" s="293"/>
      <c r="P109" s="293"/>
      <c r="Q109" s="293"/>
      <c r="R109" s="293"/>
      <c r="S109" s="293"/>
      <c r="T109" s="293"/>
      <c r="U109" s="293"/>
      <c r="V109" s="293"/>
      <c r="W109" s="293"/>
      <c r="X109" s="293"/>
      <c r="Y109" s="293"/>
      <c r="Z109" s="293"/>
      <c r="AA109" s="293"/>
      <c r="AB109" s="293"/>
      <c r="AC109" s="293"/>
      <c r="AD109" s="293"/>
      <c r="AE109" s="293"/>
      <c r="AF109" s="293"/>
    </row>
    <row r="110" ht="16.5" customHeight="1">
      <c r="A110" s="306" t="s">
        <v>5</v>
      </c>
      <c r="B110" s="269"/>
      <c r="C110" s="269"/>
      <c r="D110" s="269"/>
      <c r="E110" s="309" t="s">
        <v>408</v>
      </c>
      <c r="F110" s="309" t="s">
        <v>408</v>
      </c>
      <c r="G110" s="318" t="s">
        <v>2802</v>
      </c>
      <c r="H110" s="309" t="s">
        <v>408</v>
      </c>
      <c r="I110" s="317"/>
      <c r="J110" s="317"/>
      <c r="K110" s="313"/>
      <c r="L110" s="313"/>
      <c r="M110" s="293"/>
      <c r="N110" s="293"/>
      <c r="O110" s="293"/>
      <c r="P110" s="293"/>
      <c r="Q110" s="293"/>
      <c r="R110" s="293"/>
      <c r="S110" s="293"/>
      <c r="T110" s="293"/>
      <c r="U110" s="293"/>
      <c r="V110" s="293"/>
      <c r="W110" s="293"/>
      <c r="X110" s="293"/>
      <c r="Y110" s="293"/>
      <c r="Z110" s="293"/>
      <c r="AA110" s="293"/>
      <c r="AB110" s="293"/>
      <c r="AC110" s="293"/>
      <c r="AD110" s="293"/>
      <c r="AE110" s="293"/>
      <c r="AF110" s="293"/>
    </row>
    <row r="111" ht="16.5" customHeight="1">
      <c r="A111" s="306" t="s">
        <v>5</v>
      </c>
      <c r="B111" s="269"/>
      <c r="C111" s="269"/>
      <c r="D111" s="269"/>
      <c r="E111" s="309" t="s">
        <v>172</v>
      </c>
      <c r="F111" s="309" t="s">
        <v>194</v>
      </c>
      <c r="G111" s="318" t="s">
        <v>2803</v>
      </c>
      <c r="H111" s="309" t="s">
        <v>194</v>
      </c>
      <c r="I111" s="317"/>
      <c r="J111" s="317"/>
      <c r="K111" s="313"/>
      <c r="L111" s="313"/>
      <c r="M111" s="293"/>
      <c r="N111" s="293"/>
      <c r="O111" s="293"/>
      <c r="P111" s="293"/>
      <c r="Q111" s="293"/>
      <c r="R111" s="293"/>
      <c r="S111" s="293"/>
      <c r="T111" s="293"/>
      <c r="U111" s="293"/>
      <c r="V111" s="293"/>
      <c r="W111" s="293"/>
      <c r="X111" s="293"/>
      <c r="Y111" s="293"/>
      <c r="Z111" s="293"/>
      <c r="AA111" s="293"/>
      <c r="AB111" s="293"/>
      <c r="AC111" s="293"/>
      <c r="AD111" s="293"/>
      <c r="AE111" s="293"/>
      <c r="AF111" s="293"/>
    </row>
    <row r="112" ht="16.5" customHeight="1">
      <c r="A112" s="306" t="s">
        <v>5</v>
      </c>
      <c r="B112" s="269"/>
      <c r="C112" s="269"/>
      <c r="D112" s="269"/>
      <c r="E112" s="309" t="s">
        <v>172</v>
      </c>
      <c r="F112" s="309" t="s">
        <v>195</v>
      </c>
      <c r="G112" s="318" t="s">
        <v>2804</v>
      </c>
      <c r="H112" s="309" t="s">
        <v>195</v>
      </c>
      <c r="I112" s="317"/>
      <c r="J112" s="317"/>
      <c r="K112" s="313"/>
      <c r="L112" s="313"/>
      <c r="M112" s="293"/>
      <c r="N112" s="293"/>
      <c r="O112" s="293"/>
      <c r="P112" s="293"/>
      <c r="Q112" s="293"/>
      <c r="R112" s="293"/>
      <c r="S112" s="293"/>
      <c r="T112" s="293"/>
      <c r="U112" s="293"/>
      <c r="V112" s="293"/>
      <c r="W112" s="293"/>
      <c r="X112" s="293"/>
      <c r="Y112" s="293"/>
      <c r="Z112" s="293"/>
      <c r="AA112" s="293"/>
      <c r="AB112" s="293"/>
      <c r="AC112" s="293"/>
      <c r="AD112" s="293"/>
      <c r="AE112" s="293"/>
      <c r="AF112" s="293"/>
    </row>
    <row r="113" ht="16.5" customHeight="1">
      <c r="A113" s="306" t="s">
        <v>5</v>
      </c>
      <c r="B113" s="269"/>
      <c r="C113" s="269"/>
      <c r="D113" s="269"/>
      <c r="E113" s="309" t="s">
        <v>116</v>
      </c>
      <c r="F113" s="309" t="s">
        <v>817</v>
      </c>
      <c r="G113" s="318" t="s">
        <v>2805</v>
      </c>
      <c r="H113" s="309" t="s">
        <v>817</v>
      </c>
      <c r="I113" s="317"/>
      <c r="J113" s="317"/>
      <c r="K113" s="313"/>
      <c r="L113" s="313"/>
      <c r="M113" s="293"/>
      <c r="N113" s="293"/>
      <c r="O113" s="293"/>
      <c r="P113" s="293"/>
      <c r="Q113" s="293"/>
      <c r="R113" s="293"/>
      <c r="S113" s="293"/>
      <c r="T113" s="293"/>
      <c r="U113" s="293"/>
      <c r="V113" s="293"/>
      <c r="W113" s="293"/>
      <c r="X113" s="293"/>
      <c r="Y113" s="293"/>
      <c r="Z113" s="293"/>
      <c r="AA113" s="293"/>
      <c r="AB113" s="293"/>
      <c r="AC113" s="293"/>
      <c r="AD113" s="293"/>
      <c r="AE113" s="293"/>
      <c r="AF113" s="293"/>
    </row>
    <row r="114" ht="16.5" customHeight="1">
      <c r="A114" s="306" t="s">
        <v>5</v>
      </c>
      <c r="B114" s="269"/>
      <c r="C114" s="269"/>
      <c r="D114" s="269"/>
      <c r="E114" s="309" t="s">
        <v>116</v>
      </c>
      <c r="F114" s="309" t="s">
        <v>117</v>
      </c>
      <c r="G114" s="318" t="s">
        <v>2806</v>
      </c>
      <c r="H114" s="309" t="s">
        <v>117</v>
      </c>
      <c r="I114" s="311"/>
      <c r="J114" s="317"/>
      <c r="K114" s="313"/>
      <c r="L114" s="313"/>
      <c r="M114" s="293"/>
      <c r="N114" s="293"/>
      <c r="O114" s="293"/>
      <c r="P114" s="293"/>
      <c r="Q114" s="293"/>
      <c r="R114" s="293"/>
      <c r="S114" s="293"/>
      <c r="T114" s="293"/>
      <c r="U114" s="293"/>
      <c r="V114" s="293"/>
      <c r="W114" s="293"/>
      <c r="X114" s="293"/>
      <c r="Y114" s="293"/>
      <c r="Z114" s="293"/>
      <c r="AA114" s="293"/>
      <c r="AB114" s="293"/>
      <c r="AC114" s="293"/>
      <c r="AD114" s="293"/>
      <c r="AE114" s="293"/>
      <c r="AF114" s="293"/>
    </row>
    <row r="115" ht="16.5" customHeight="1">
      <c r="A115" s="306" t="s">
        <v>5</v>
      </c>
      <c r="B115" s="269"/>
      <c r="C115" s="269"/>
      <c r="D115" s="269"/>
      <c r="E115" s="309" t="s">
        <v>116</v>
      </c>
      <c r="F115" s="309" t="s">
        <v>817</v>
      </c>
      <c r="G115" s="318" t="s">
        <v>2807</v>
      </c>
      <c r="H115" s="35" t="s">
        <v>2808</v>
      </c>
      <c r="I115" s="36"/>
      <c r="L115" s="313"/>
      <c r="M115" s="293"/>
      <c r="N115" s="293"/>
      <c r="O115" s="293"/>
      <c r="P115" s="293"/>
      <c r="Q115" s="293"/>
      <c r="R115" s="293"/>
      <c r="S115" s="293"/>
      <c r="T115" s="293"/>
      <c r="U115" s="293"/>
      <c r="V115" s="293"/>
      <c r="W115" s="293"/>
      <c r="X115" s="293"/>
      <c r="Y115" s="293"/>
      <c r="Z115" s="293"/>
      <c r="AA115" s="293"/>
      <c r="AB115" s="293"/>
      <c r="AC115" s="293"/>
      <c r="AD115" s="293"/>
      <c r="AE115" s="293"/>
      <c r="AF115" s="293"/>
    </row>
    <row r="116" ht="16.5" customHeight="1">
      <c r="A116" s="306" t="s">
        <v>5</v>
      </c>
      <c r="B116" s="269"/>
      <c r="C116" s="269"/>
      <c r="D116" s="269"/>
      <c r="E116" s="309" t="s">
        <v>116</v>
      </c>
      <c r="F116" s="309" t="s">
        <v>117</v>
      </c>
      <c r="G116" s="318" t="s">
        <v>2809</v>
      </c>
      <c r="H116" s="35" t="s">
        <v>2810</v>
      </c>
      <c r="L116" s="313"/>
      <c r="M116" s="293"/>
      <c r="N116" s="293"/>
      <c r="O116" s="293"/>
      <c r="P116" s="293"/>
      <c r="Q116" s="293"/>
      <c r="R116" s="293"/>
      <c r="S116" s="293"/>
      <c r="T116" s="293"/>
      <c r="U116" s="293"/>
      <c r="V116" s="293"/>
      <c r="W116" s="293"/>
      <c r="X116" s="293"/>
      <c r="Y116" s="293"/>
      <c r="Z116" s="293"/>
      <c r="AA116" s="293"/>
      <c r="AB116" s="293"/>
      <c r="AC116" s="293"/>
      <c r="AD116" s="293"/>
      <c r="AE116" s="293"/>
      <c r="AF116" s="293"/>
    </row>
    <row r="117" ht="16.5" customHeight="1">
      <c r="A117" s="306" t="s">
        <v>5</v>
      </c>
      <c r="B117" s="269"/>
      <c r="C117" s="269"/>
      <c r="D117" s="269"/>
      <c r="E117" s="309" t="s">
        <v>116</v>
      </c>
      <c r="F117" s="309" t="s">
        <v>817</v>
      </c>
      <c r="G117" s="318" t="s">
        <v>2811</v>
      </c>
      <c r="H117" s="35" t="s">
        <v>2812</v>
      </c>
      <c r="L117" s="313"/>
      <c r="M117" s="293"/>
      <c r="N117" s="293"/>
      <c r="O117" s="293"/>
      <c r="P117" s="293"/>
      <c r="Q117" s="293"/>
      <c r="R117" s="293"/>
      <c r="S117" s="293"/>
      <c r="T117" s="293"/>
      <c r="U117" s="293"/>
      <c r="V117" s="293"/>
      <c r="W117" s="293"/>
      <c r="X117" s="293"/>
      <c r="Y117" s="293"/>
      <c r="Z117" s="293"/>
      <c r="AA117" s="293"/>
      <c r="AB117" s="293"/>
      <c r="AC117" s="293"/>
      <c r="AD117" s="293"/>
      <c r="AE117" s="293"/>
      <c r="AF117" s="293"/>
    </row>
    <row r="118" ht="16.5" customHeight="1">
      <c r="A118" s="306" t="s">
        <v>5</v>
      </c>
      <c r="B118" s="270"/>
      <c r="C118" s="270"/>
      <c r="D118" s="270"/>
      <c r="E118" s="309" t="s">
        <v>116</v>
      </c>
      <c r="F118" s="309" t="s">
        <v>117</v>
      </c>
      <c r="G118" s="318" t="s">
        <v>2813</v>
      </c>
      <c r="H118" s="35" t="s">
        <v>2814</v>
      </c>
      <c r="L118" s="313"/>
      <c r="M118" s="293"/>
      <c r="N118" s="293"/>
      <c r="O118" s="293"/>
      <c r="P118" s="293"/>
      <c r="Q118" s="293"/>
      <c r="R118" s="293"/>
      <c r="S118" s="293"/>
      <c r="T118" s="293"/>
      <c r="U118" s="293"/>
      <c r="V118" s="293"/>
      <c r="W118" s="293"/>
      <c r="X118" s="293"/>
      <c r="Y118" s="293"/>
      <c r="Z118" s="293"/>
      <c r="AA118" s="293"/>
      <c r="AB118" s="293"/>
      <c r="AC118" s="293"/>
      <c r="AD118" s="293"/>
      <c r="AE118" s="293"/>
      <c r="AF118" s="293"/>
    </row>
    <row r="119" ht="16.5" customHeight="1">
      <c r="A119" s="306" t="s">
        <v>5</v>
      </c>
      <c r="B119" s="314" t="s">
        <v>2815</v>
      </c>
      <c r="C119" s="315" t="s">
        <v>2816</v>
      </c>
      <c r="D119" s="316" t="s">
        <v>20</v>
      </c>
      <c r="E119" s="309" t="s">
        <v>88</v>
      </c>
      <c r="F119" s="309" t="s">
        <v>89</v>
      </c>
      <c r="G119" s="331"/>
      <c r="H119" s="332"/>
      <c r="I119" s="333"/>
      <c r="J119" s="333"/>
      <c r="K119" s="333"/>
      <c r="L119" s="313"/>
      <c r="M119" s="293"/>
      <c r="N119" s="293"/>
      <c r="O119" s="293"/>
      <c r="P119" s="293"/>
      <c r="Q119" s="293"/>
      <c r="R119" s="293"/>
      <c r="S119" s="293"/>
      <c r="T119" s="293"/>
      <c r="U119" s="293"/>
      <c r="V119" s="293"/>
      <c r="W119" s="293"/>
      <c r="X119" s="293"/>
      <c r="Y119" s="293"/>
      <c r="Z119" s="293"/>
      <c r="AA119" s="293"/>
      <c r="AB119" s="293"/>
      <c r="AC119" s="293"/>
      <c r="AD119" s="293"/>
      <c r="AE119" s="293"/>
      <c r="AF119" s="293"/>
    </row>
    <row r="120" ht="16.5" customHeight="1">
      <c r="A120" s="306" t="s">
        <v>5</v>
      </c>
      <c r="B120" s="269"/>
      <c r="C120" s="269"/>
      <c r="D120" s="269"/>
      <c r="E120" s="309" t="s">
        <v>172</v>
      </c>
      <c r="F120" s="309" t="s">
        <v>194</v>
      </c>
      <c r="G120" s="318" t="s">
        <v>2817</v>
      </c>
      <c r="H120" s="309" t="s">
        <v>194</v>
      </c>
      <c r="I120" s="317"/>
      <c r="J120" s="317"/>
      <c r="K120" s="313"/>
      <c r="L120" s="313"/>
      <c r="M120" s="293"/>
      <c r="N120" s="293"/>
      <c r="O120" s="293"/>
      <c r="P120" s="293"/>
      <c r="Q120" s="293"/>
      <c r="R120" s="293"/>
      <c r="S120" s="293"/>
      <c r="T120" s="293"/>
      <c r="U120" s="293"/>
      <c r="V120" s="293"/>
      <c r="W120" s="293"/>
      <c r="X120" s="293"/>
      <c r="Y120" s="293"/>
      <c r="Z120" s="293"/>
      <c r="AA120" s="293"/>
      <c r="AB120" s="293"/>
      <c r="AC120" s="293"/>
      <c r="AD120" s="293"/>
      <c r="AE120" s="293"/>
      <c r="AF120" s="293"/>
    </row>
    <row r="121" ht="16.5" customHeight="1">
      <c r="A121" s="306" t="s">
        <v>5</v>
      </c>
      <c r="B121" s="269"/>
      <c r="C121" s="269"/>
      <c r="D121" s="269"/>
      <c r="E121" s="309" t="s">
        <v>172</v>
      </c>
      <c r="F121" s="309" t="s">
        <v>195</v>
      </c>
      <c r="G121" s="318" t="s">
        <v>2818</v>
      </c>
      <c r="H121" s="309" t="s">
        <v>195</v>
      </c>
      <c r="I121" s="317"/>
      <c r="J121" s="317"/>
      <c r="K121" s="313"/>
      <c r="L121" s="313"/>
      <c r="M121" s="293"/>
      <c r="N121" s="293"/>
      <c r="O121" s="293"/>
      <c r="P121" s="293"/>
      <c r="Q121" s="293"/>
      <c r="R121" s="293"/>
      <c r="S121" s="293"/>
      <c r="T121" s="293"/>
      <c r="U121" s="293"/>
      <c r="V121" s="293"/>
      <c r="W121" s="293"/>
      <c r="X121" s="293"/>
      <c r="Y121" s="293"/>
      <c r="Z121" s="293"/>
      <c r="AA121" s="293"/>
      <c r="AB121" s="293"/>
      <c r="AC121" s="293"/>
      <c r="AD121" s="293"/>
      <c r="AE121" s="293"/>
      <c r="AF121" s="293"/>
    </row>
    <row r="122" ht="16.5" customHeight="1">
      <c r="A122" s="306" t="s">
        <v>5</v>
      </c>
      <c r="B122" s="269"/>
      <c r="C122" s="269"/>
      <c r="D122" s="269"/>
      <c r="E122" s="309" t="s">
        <v>21</v>
      </c>
      <c r="F122" s="309" t="s">
        <v>51</v>
      </c>
      <c r="G122" s="318" t="s">
        <v>2819</v>
      </c>
      <c r="H122" s="309" t="s">
        <v>51</v>
      </c>
      <c r="I122" s="317"/>
      <c r="J122" s="317"/>
      <c r="K122" s="313"/>
      <c r="L122" s="313"/>
      <c r="M122" s="293"/>
      <c r="N122" s="293"/>
      <c r="O122" s="293"/>
      <c r="P122" s="293"/>
      <c r="Q122" s="293"/>
      <c r="R122" s="293"/>
      <c r="S122" s="293"/>
      <c r="T122" s="293"/>
      <c r="U122" s="293"/>
      <c r="V122" s="293"/>
      <c r="W122" s="293"/>
      <c r="X122" s="293"/>
      <c r="Y122" s="293"/>
      <c r="Z122" s="293"/>
      <c r="AA122" s="293"/>
      <c r="AB122" s="293"/>
      <c r="AC122" s="293"/>
      <c r="AD122" s="293"/>
      <c r="AE122" s="293"/>
      <c r="AF122" s="293"/>
    </row>
    <row r="123" ht="16.5" customHeight="1">
      <c r="A123" s="306" t="s">
        <v>5</v>
      </c>
      <c r="B123" s="269"/>
      <c r="C123" s="269"/>
      <c r="D123" s="269"/>
      <c r="E123" s="309" t="s">
        <v>116</v>
      </c>
      <c r="F123" s="309" t="s">
        <v>825</v>
      </c>
      <c r="G123" s="318" t="s">
        <v>2820</v>
      </c>
      <c r="H123" s="309" t="s">
        <v>825</v>
      </c>
      <c r="I123" s="317"/>
      <c r="J123" s="317"/>
      <c r="K123" s="313"/>
      <c r="L123" s="313"/>
      <c r="M123" s="293"/>
      <c r="N123" s="293"/>
      <c r="O123" s="293"/>
      <c r="P123" s="293"/>
      <c r="Q123" s="293"/>
      <c r="R123" s="293"/>
      <c r="S123" s="293"/>
      <c r="T123" s="293"/>
      <c r="U123" s="293"/>
      <c r="V123" s="293"/>
      <c r="W123" s="293"/>
      <c r="X123" s="293"/>
      <c r="Y123" s="293"/>
      <c r="Z123" s="293"/>
      <c r="AA123" s="293"/>
      <c r="AB123" s="293"/>
      <c r="AC123" s="293"/>
      <c r="AD123" s="293"/>
      <c r="AE123" s="293"/>
      <c r="AF123" s="293"/>
    </row>
    <row r="124" ht="16.5" customHeight="1">
      <c r="A124" s="306" t="s">
        <v>5</v>
      </c>
      <c r="B124" s="269"/>
      <c r="C124" s="269"/>
      <c r="D124" s="269"/>
      <c r="E124" s="309" t="s">
        <v>21</v>
      </c>
      <c r="F124" s="309" t="s">
        <v>51</v>
      </c>
      <c r="G124" s="318" t="s">
        <v>2821</v>
      </c>
      <c r="H124" s="309" t="s">
        <v>1383</v>
      </c>
      <c r="I124" s="317"/>
      <c r="J124" s="317"/>
      <c r="K124" s="313"/>
      <c r="L124" s="313"/>
      <c r="M124" s="293"/>
      <c r="N124" s="293"/>
      <c r="O124" s="293"/>
      <c r="P124" s="293"/>
      <c r="Q124" s="293"/>
      <c r="R124" s="293"/>
      <c r="S124" s="293"/>
      <c r="T124" s="293"/>
      <c r="U124" s="293"/>
      <c r="V124" s="293"/>
      <c r="W124" s="293"/>
      <c r="X124" s="293"/>
      <c r="Y124" s="293"/>
      <c r="Z124" s="293"/>
      <c r="AA124" s="293"/>
      <c r="AB124" s="293"/>
      <c r="AC124" s="293"/>
      <c r="AD124" s="293"/>
      <c r="AE124" s="293"/>
      <c r="AF124" s="293"/>
    </row>
    <row r="125" ht="16.5" customHeight="1">
      <c r="A125" s="306" t="s">
        <v>5</v>
      </c>
      <c r="B125" s="269"/>
      <c r="C125" s="269"/>
      <c r="D125" s="269"/>
      <c r="E125" s="309" t="s">
        <v>88</v>
      </c>
      <c r="F125" s="309" t="s">
        <v>245</v>
      </c>
      <c r="G125" s="318" t="s">
        <v>2822</v>
      </c>
      <c r="H125" s="309" t="s">
        <v>245</v>
      </c>
      <c r="I125" s="317"/>
      <c r="J125" s="317"/>
      <c r="K125" s="313"/>
      <c r="L125" s="313"/>
      <c r="M125" s="293"/>
      <c r="N125" s="293"/>
      <c r="O125" s="293"/>
      <c r="P125" s="293"/>
      <c r="Q125" s="293"/>
      <c r="R125" s="293"/>
      <c r="S125" s="293"/>
      <c r="T125" s="293"/>
      <c r="U125" s="293"/>
      <c r="V125" s="293"/>
      <c r="W125" s="293"/>
      <c r="X125" s="293"/>
      <c r="Y125" s="293"/>
      <c r="Z125" s="293"/>
      <c r="AA125" s="293"/>
      <c r="AB125" s="293"/>
      <c r="AC125" s="293"/>
      <c r="AD125" s="293"/>
      <c r="AE125" s="293"/>
      <c r="AF125" s="293"/>
    </row>
    <row r="126" ht="16.5" customHeight="1">
      <c r="A126" s="306" t="s">
        <v>5</v>
      </c>
      <c r="B126" s="269"/>
      <c r="C126" s="269"/>
      <c r="D126" s="269"/>
      <c r="E126" s="309" t="s">
        <v>88</v>
      </c>
      <c r="F126" s="309" t="s">
        <v>120</v>
      </c>
      <c r="G126" s="318" t="s">
        <v>2823</v>
      </c>
      <c r="H126" s="309" t="s">
        <v>120</v>
      </c>
      <c r="I126" s="317"/>
      <c r="J126" s="317"/>
      <c r="K126" s="313"/>
      <c r="L126" s="313"/>
      <c r="M126" s="293"/>
      <c r="N126" s="293"/>
      <c r="O126" s="293"/>
      <c r="P126" s="293"/>
      <c r="Q126" s="293"/>
      <c r="R126" s="293"/>
      <c r="S126" s="293"/>
      <c r="T126" s="293"/>
      <c r="U126" s="293"/>
      <c r="V126" s="293"/>
      <c r="W126" s="293"/>
      <c r="X126" s="293"/>
      <c r="Y126" s="293"/>
      <c r="Z126" s="293"/>
      <c r="AA126" s="293"/>
      <c r="AB126" s="293"/>
      <c r="AC126" s="293"/>
      <c r="AD126" s="293"/>
      <c r="AE126" s="293"/>
      <c r="AF126" s="293"/>
    </row>
    <row r="127" ht="16.5" customHeight="1">
      <c r="A127" s="306" t="s">
        <v>5</v>
      </c>
      <c r="B127" s="269"/>
      <c r="C127" s="269"/>
      <c r="D127" s="269"/>
      <c r="E127" s="309" t="s">
        <v>88</v>
      </c>
      <c r="F127" s="309" t="s">
        <v>544</v>
      </c>
      <c r="G127" s="318" t="s">
        <v>2824</v>
      </c>
      <c r="H127" s="309" t="s">
        <v>544</v>
      </c>
      <c r="I127" s="317"/>
      <c r="J127" s="317"/>
      <c r="K127" s="313"/>
      <c r="L127" s="313"/>
      <c r="M127" s="293"/>
      <c r="N127" s="293"/>
      <c r="O127" s="293"/>
      <c r="P127" s="293"/>
      <c r="Q127" s="293"/>
      <c r="R127" s="293"/>
      <c r="S127" s="293"/>
      <c r="T127" s="293"/>
      <c r="U127" s="293"/>
      <c r="V127" s="293"/>
      <c r="W127" s="293"/>
      <c r="X127" s="293"/>
      <c r="Y127" s="293"/>
      <c r="Z127" s="293"/>
      <c r="AA127" s="293"/>
      <c r="AB127" s="293"/>
      <c r="AC127" s="293"/>
      <c r="AD127" s="293"/>
      <c r="AE127" s="293"/>
      <c r="AF127" s="293"/>
    </row>
    <row r="128" ht="16.5" customHeight="1">
      <c r="A128" s="306" t="s">
        <v>5</v>
      </c>
      <c r="B128" s="269"/>
      <c r="C128" s="269"/>
      <c r="D128" s="269"/>
      <c r="E128" s="309" t="s">
        <v>88</v>
      </c>
      <c r="F128" s="309" t="s">
        <v>246</v>
      </c>
      <c r="G128" s="318" t="s">
        <v>2825</v>
      </c>
      <c r="H128" s="309" t="s">
        <v>246</v>
      </c>
      <c r="I128" s="311"/>
      <c r="J128" s="317"/>
      <c r="K128" s="313"/>
      <c r="L128" s="313"/>
      <c r="M128" s="293"/>
      <c r="N128" s="293"/>
      <c r="O128" s="293"/>
      <c r="P128" s="293"/>
      <c r="Q128" s="293"/>
      <c r="R128" s="293"/>
      <c r="S128" s="293"/>
      <c r="T128" s="293"/>
      <c r="U128" s="293"/>
      <c r="V128" s="293"/>
      <c r="W128" s="293"/>
      <c r="X128" s="293"/>
      <c r="Y128" s="293"/>
      <c r="Z128" s="293"/>
      <c r="AA128" s="293"/>
      <c r="AB128" s="293"/>
      <c r="AC128" s="293"/>
      <c r="AD128" s="293"/>
      <c r="AE128" s="293"/>
      <c r="AF128" s="293"/>
    </row>
    <row r="129" ht="16.5" customHeight="1">
      <c r="A129" s="306" t="s">
        <v>5</v>
      </c>
      <c r="B129" s="269"/>
      <c r="C129" s="269"/>
      <c r="D129" s="269"/>
      <c r="E129" s="309" t="s">
        <v>88</v>
      </c>
      <c r="F129" s="309" t="s">
        <v>247</v>
      </c>
      <c r="G129" s="331"/>
      <c r="H129" s="332"/>
      <c r="I129" s="332"/>
      <c r="J129" s="333"/>
      <c r="K129" s="333"/>
      <c r="L129" s="313"/>
      <c r="M129" s="293"/>
      <c r="N129" s="293"/>
      <c r="O129" s="293"/>
      <c r="P129" s="293"/>
      <c r="Q129" s="293"/>
      <c r="R129" s="293"/>
      <c r="S129" s="293"/>
      <c r="T129" s="293"/>
      <c r="U129" s="293"/>
      <c r="V129" s="293"/>
      <c r="W129" s="293"/>
      <c r="X129" s="293"/>
      <c r="Y129" s="293"/>
      <c r="Z129" s="293"/>
      <c r="AA129" s="293"/>
      <c r="AB129" s="293"/>
      <c r="AC129" s="293"/>
      <c r="AD129" s="293"/>
      <c r="AE129" s="293"/>
      <c r="AF129" s="293"/>
    </row>
    <row r="130" ht="16.5" customHeight="1">
      <c r="A130" s="306" t="s">
        <v>5</v>
      </c>
      <c r="B130" s="269"/>
      <c r="C130" s="269"/>
      <c r="D130" s="269"/>
      <c r="E130" s="309" t="s">
        <v>88</v>
      </c>
      <c r="F130" s="309" t="s">
        <v>245</v>
      </c>
      <c r="G130" s="318" t="s">
        <v>2826</v>
      </c>
      <c r="H130" s="35" t="s">
        <v>2612</v>
      </c>
      <c r="L130" s="313"/>
      <c r="M130" s="293"/>
      <c r="N130" s="293"/>
      <c r="O130" s="293"/>
      <c r="P130" s="293"/>
      <c r="Q130" s="293"/>
      <c r="R130" s="293"/>
      <c r="S130" s="293"/>
      <c r="T130" s="293"/>
      <c r="U130" s="293"/>
      <c r="V130" s="293"/>
      <c r="W130" s="293"/>
      <c r="X130" s="293"/>
      <c r="Y130" s="293"/>
      <c r="Z130" s="293"/>
      <c r="AA130" s="293"/>
      <c r="AB130" s="293"/>
      <c r="AC130" s="293"/>
      <c r="AD130" s="293"/>
      <c r="AE130" s="293"/>
      <c r="AF130" s="293"/>
    </row>
    <row r="131" ht="16.5" customHeight="1">
      <c r="A131" s="306" t="s">
        <v>5</v>
      </c>
      <c r="B131" s="269"/>
      <c r="C131" s="269"/>
      <c r="D131" s="269"/>
      <c r="E131" s="309" t="s">
        <v>88</v>
      </c>
      <c r="F131" s="309" t="s">
        <v>120</v>
      </c>
      <c r="G131" s="318" t="s">
        <v>2827</v>
      </c>
      <c r="H131" s="35" t="s">
        <v>1845</v>
      </c>
      <c r="L131" s="313"/>
      <c r="M131" s="293"/>
      <c r="N131" s="293"/>
      <c r="O131" s="293"/>
      <c r="P131" s="293"/>
      <c r="Q131" s="293"/>
      <c r="R131" s="293"/>
      <c r="S131" s="293"/>
      <c r="T131" s="293"/>
      <c r="U131" s="293"/>
      <c r="V131" s="293"/>
      <c r="W131" s="293"/>
      <c r="X131" s="293"/>
      <c r="Y131" s="293"/>
      <c r="Z131" s="293"/>
      <c r="AA131" s="293"/>
      <c r="AB131" s="293"/>
      <c r="AC131" s="293"/>
      <c r="AD131" s="293"/>
      <c r="AE131" s="293"/>
      <c r="AF131" s="293"/>
    </row>
    <row r="132" ht="16.5" customHeight="1">
      <c r="A132" s="306" t="s">
        <v>5</v>
      </c>
      <c r="B132" s="269"/>
      <c r="C132" s="269"/>
      <c r="D132" s="269"/>
      <c r="E132" s="309" t="s">
        <v>88</v>
      </c>
      <c r="F132" s="309" t="s">
        <v>544</v>
      </c>
      <c r="G132" s="318" t="s">
        <v>2828</v>
      </c>
      <c r="H132" s="35" t="s">
        <v>2608</v>
      </c>
      <c r="L132" s="313"/>
      <c r="M132" s="293"/>
      <c r="N132" s="293"/>
      <c r="O132" s="293"/>
      <c r="P132" s="293"/>
      <c r="Q132" s="293"/>
      <c r="R132" s="293"/>
      <c r="S132" s="293"/>
      <c r="T132" s="293"/>
      <c r="U132" s="293"/>
      <c r="V132" s="293"/>
      <c r="W132" s="293"/>
      <c r="X132" s="293"/>
      <c r="Y132" s="293"/>
      <c r="Z132" s="293"/>
      <c r="AA132" s="293"/>
      <c r="AB132" s="293"/>
      <c r="AC132" s="293"/>
      <c r="AD132" s="293"/>
      <c r="AE132" s="293"/>
      <c r="AF132" s="293"/>
    </row>
    <row r="133" ht="16.5" customHeight="1">
      <c r="A133" s="335" t="s">
        <v>5</v>
      </c>
      <c r="B133" s="270"/>
      <c r="C133" s="270"/>
      <c r="D133" s="270"/>
      <c r="E133" s="316" t="s">
        <v>88</v>
      </c>
      <c r="F133" s="316" t="s">
        <v>247</v>
      </c>
      <c r="G133" s="336"/>
      <c r="H133" s="337"/>
      <c r="I133" s="338"/>
      <c r="J133" s="338"/>
      <c r="K133" s="338"/>
      <c r="L133" s="339"/>
      <c r="M133" s="340"/>
      <c r="N133" s="340"/>
      <c r="O133" s="340"/>
      <c r="P133" s="340"/>
      <c r="Q133" s="340"/>
      <c r="R133" s="340"/>
      <c r="S133" s="340"/>
      <c r="T133" s="340"/>
      <c r="U133" s="340"/>
      <c r="V133" s="340"/>
      <c r="W133" s="340"/>
      <c r="X133" s="340"/>
      <c r="Y133" s="340"/>
      <c r="Z133" s="340"/>
      <c r="AA133" s="340"/>
      <c r="AB133" s="340"/>
      <c r="AC133" s="340"/>
      <c r="AD133" s="340"/>
      <c r="AE133" s="340"/>
      <c r="AF133" s="340"/>
    </row>
    <row r="134" ht="16.5" customHeight="1">
      <c r="A134" s="32" t="s">
        <v>5</v>
      </c>
      <c r="B134" s="8" t="s">
        <v>2829</v>
      </c>
      <c r="C134" s="87" t="s">
        <v>2830</v>
      </c>
      <c r="D134" s="8" t="s">
        <v>20</v>
      </c>
      <c r="E134" s="8" t="s">
        <v>88</v>
      </c>
      <c r="F134" s="8" t="s">
        <v>89</v>
      </c>
      <c r="G134" s="31"/>
      <c r="H134" s="31"/>
      <c r="I134" s="31"/>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row>
    <row r="135" ht="16.5" customHeight="1">
      <c r="A135" s="32" t="s">
        <v>5</v>
      </c>
      <c r="E135" s="8" t="s">
        <v>21</v>
      </c>
      <c r="F135" s="8" t="s">
        <v>51</v>
      </c>
      <c r="G135" s="34" t="s">
        <v>2831</v>
      </c>
      <c r="H135" s="8" t="s">
        <v>51</v>
      </c>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row>
    <row r="136" ht="16.5" customHeight="1">
      <c r="A136" s="32" t="s">
        <v>5</v>
      </c>
      <c r="E136" s="8" t="s">
        <v>408</v>
      </c>
      <c r="F136" s="8" t="s">
        <v>408</v>
      </c>
      <c r="G136" s="34" t="s">
        <v>2832</v>
      </c>
      <c r="H136" s="8" t="s">
        <v>408</v>
      </c>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6.5" customHeight="1">
      <c r="A137" s="32" t="s">
        <v>5</v>
      </c>
      <c r="E137" s="8" t="s">
        <v>172</v>
      </c>
      <c r="F137" s="8" t="s">
        <v>194</v>
      </c>
      <c r="G137" s="34" t="s">
        <v>2833</v>
      </c>
      <c r="H137" s="8" t="s">
        <v>194</v>
      </c>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6.5" customHeight="1">
      <c r="A138" s="32" t="s">
        <v>5</v>
      </c>
      <c r="E138" s="8" t="s">
        <v>172</v>
      </c>
      <c r="F138" s="8" t="s">
        <v>195</v>
      </c>
      <c r="G138" s="34" t="s">
        <v>2834</v>
      </c>
      <c r="H138" s="8" t="s">
        <v>195</v>
      </c>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6.5" customHeight="1">
      <c r="A139" s="32" t="s">
        <v>5</v>
      </c>
      <c r="E139" s="8" t="s">
        <v>116</v>
      </c>
      <c r="F139" s="8" t="s">
        <v>817</v>
      </c>
      <c r="G139" s="34" t="s">
        <v>2835</v>
      </c>
      <c r="H139" s="8" t="s">
        <v>817</v>
      </c>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6.5" customHeight="1">
      <c r="A140" s="32" t="s">
        <v>5</v>
      </c>
      <c r="E140" s="8" t="s">
        <v>116</v>
      </c>
      <c r="F140" s="8" t="s">
        <v>117</v>
      </c>
      <c r="G140" s="34" t="s">
        <v>2836</v>
      </c>
      <c r="H140" s="8" t="s">
        <v>117</v>
      </c>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6.5" customHeight="1">
      <c r="A141" s="32" t="s">
        <v>5</v>
      </c>
      <c r="E141" s="8" t="s">
        <v>116</v>
      </c>
      <c r="F141" s="8" t="s">
        <v>817</v>
      </c>
      <c r="G141" s="34" t="s">
        <v>2837</v>
      </c>
      <c r="H141" s="35" t="s">
        <v>2838</v>
      </c>
      <c r="I141" s="36"/>
      <c r="L141" s="11"/>
      <c r="M141" s="15"/>
      <c r="N141" s="15"/>
      <c r="O141" s="15"/>
      <c r="P141" s="15"/>
      <c r="Q141" s="15"/>
      <c r="R141" s="15"/>
      <c r="S141" s="15"/>
      <c r="T141" s="15"/>
      <c r="U141" s="15"/>
      <c r="V141" s="15"/>
      <c r="W141" s="15"/>
      <c r="X141" s="15"/>
      <c r="Y141" s="15"/>
      <c r="Z141" s="15"/>
      <c r="AA141" s="15"/>
      <c r="AB141" s="15"/>
      <c r="AC141" s="15"/>
      <c r="AD141" s="15"/>
      <c r="AE141" s="15"/>
      <c r="AF141" s="15"/>
    </row>
    <row r="142" ht="16.5" customHeight="1">
      <c r="A142" s="32" t="s">
        <v>5</v>
      </c>
      <c r="E142" s="8" t="s">
        <v>116</v>
      </c>
      <c r="F142" s="8" t="s">
        <v>117</v>
      </c>
      <c r="G142" s="34" t="s">
        <v>2839</v>
      </c>
      <c r="H142" s="35" t="s">
        <v>2840</v>
      </c>
      <c r="I142" s="36"/>
      <c r="L142" s="11"/>
      <c r="M142" s="15"/>
      <c r="N142" s="15"/>
      <c r="O142" s="15"/>
      <c r="P142" s="15"/>
      <c r="Q142" s="15"/>
      <c r="R142" s="15"/>
      <c r="S142" s="15"/>
      <c r="T142" s="15"/>
      <c r="U142" s="15"/>
      <c r="V142" s="15"/>
      <c r="W142" s="15"/>
      <c r="X142" s="15"/>
      <c r="Y142" s="15"/>
      <c r="Z142" s="15"/>
      <c r="AA142" s="15"/>
      <c r="AB142" s="15"/>
      <c r="AC142" s="15"/>
      <c r="AD142" s="15"/>
      <c r="AE142" s="15"/>
      <c r="AF142" s="15"/>
    </row>
    <row r="143" ht="16.5" customHeight="1">
      <c r="A143" s="32" t="s">
        <v>5</v>
      </c>
      <c r="E143" s="8" t="s">
        <v>116</v>
      </c>
      <c r="F143" s="8" t="s">
        <v>817</v>
      </c>
      <c r="G143" s="34" t="s">
        <v>2841</v>
      </c>
      <c r="H143" s="35" t="s">
        <v>2808</v>
      </c>
      <c r="L143" s="11"/>
      <c r="M143" s="15"/>
      <c r="N143" s="15"/>
      <c r="O143" s="15"/>
      <c r="P143" s="15"/>
      <c r="Q143" s="15"/>
      <c r="R143" s="15"/>
      <c r="S143" s="15"/>
      <c r="T143" s="15"/>
      <c r="U143" s="15"/>
      <c r="V143" s="15"/>
      <c r="W143" s="15"/>
      <c r="X143" s="15"/>
      <c r="Y143" s="15"/>
      <c r="Z143" s="15"/>
      <c r="AA143" s="15"/>
      <c r="AB143" s="15"/>
      <c r="AC143" s="15"/>
      <c r="AD143" s="15"/>
      <c r="AE143" s="15"/>
      <c r="AF143" s="15"/>
    </row>
    <row r="144" ht="16.5" customHeight="1">
      <c r="A144" s="32" t="s">
        <v>5</v>
      </c>
      <c r="E144" s="8" t="s">
        <v>116</v>
      </c>
      <c r="F144" s="8" t="s">
        <v>117</v>
      </c>
      <c r="G144" s="34" t="s">
        <v>2842</v>
      </c>
      <c r="H144" s="35" t="s">
        <v>2810</v>
      </c>
      <c r="L144" s="11"/>
      <c r="M144" s="15"/>
      <c r="N144" s="15"/>
      <c r="O144" s="15"/>
      <c r="P144" s="15"/>
      <c r="Q144" s="15"/>
      <c r="R144" s="15"/>
      <c r="S144" s="15"/>
      <c r="T144" s="15"/>
      <c r="U144" s="15"/>
      <c r="V144" s="15"/>
      <c r="W144" s="15"/>
      <c r="X144" s="15"/>
      <c r="Y144" s="15"/>
      <c r="Z144" s="15"/>
      <c r="AA144" s="15"/>
      <c r="AB144" s="15"/>
      <c r="AC144" s="15"/>
      <c r="AD144" s="15"/>
      <c r="AE144" s="15"/>
      <c r="AF144" s="15"/>
    </row>
    <row r="145" ht="16.5" customHeight="1">
      <c r="A145" s="32" t="s">
        <v>5</v>
      </c>
      <c r="E145" s="8" t="s">
        <v>116</v>
      </c>
      <c r="F145" s="8" t="s">
        <v>817</v>
      </c>
      <c r="G145" s="34" t="s">
        <v>2843</v>
      </c>
      <c r="H145" s="35" t="s">
        <v>2812</v>
      </c>
      <c r="L145" s="11"/>
      <c r="M145" s="15"/>
      <c r="N145" s="15"/>
      <c r="O145" s="15"/>
      <c r="P145" s="15"/>
      <c r="Q145" s="15"/>
      <c r="R145" s="15"/>
      <c r="S145" s="15"/>
      <c r="T145" s="15"/>
      <c r="U145" s="15"/>
      <c r="V145" s="15"/>
      <c r="W145" s="15"/>
      <c r="X145" s="15"/>
      <c r="Y145" s="15"/>
      <c r="Z145" s="15"/>
      <c r="AA145" s="15"/>
      <c r="AB145" s="15"/>
      <c r="AC145" s="15"/>
      <c r="AD145" s="15"/>
      <c r="AE145" s="15"/>
      <c r="AF145" s="15"/>
    </row>
    <row r="146" ht="16.5" customHeight="1">
      <c r="A146" s="32" t="s">
        <v>5</v>
      </c>
      <c r="E146" s="8" t="s">
        <v>116</v>
      </c>
      <c r="F146" s="8" t="s">
        <v>117</v>
      </c>
      <c r="G146" s="34" t="s">
        <v>2844</v>
      </c>
      <c r="H146" s="35" t="s">
        <v>2814</v>
      </c>
      <c r="L146" s="11"/>
      <c r="M146" s="15"/>
      <c r="N146" s="15"/>
      <c r="O146" s="15"/>
      <c r="P146" s="15"/>
      <c r="Q146" s="15"/>
      <c r="R146" s="15"/>
      <c r="S146" s="15"/>
      <c r="T146" s="15"/>
      <c r="U146" s="15"/>
      <c r="V146" s="15"/>
      <c r="W146" s="15"/>
      <c r="X146" s="15"/>
      <c r="Y146" s="15"/>
      <c r="Z146" s="15"/>
      <c r="AA146" s="15"/>
      <c r="AB146" s="15"/>
      <c r="AC146" s="15"/>
      <c r="AD146" s="15"/>
      <c r="AE146" s="15"/>
      <c r="AF146" s="15"/>
    </row>
    <row r="147" ht="16.5" customHeight="1">
      <c r="A147" s="32"/>
      <c r="B147" s="8"/>
      <c r="C147" s="87"/>
      <c r="D147" s="8"/>
      <c r="E147" s="8"/>
      <c r="F147" s="8"/>
      <c r="G147" s="31"/>
      <c r="H147" s="31"/>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6.5" customHeight="1">
      <c r="A148" s="32" t="s">
        <v>5</v>
      </c>
      <c r="B148" s="8" t="s">
        <v>2845</v>
      </c>
      <c r="C148" s="87" t="s">
        <v>2846</v>
      </c>
      <c r="D148" s="8" t="s">
        <v>20</v>
      </c>
      <c r="E148" s="8" t="s">
        <v>88</v>
      </c>
      <c r="F148" s="8" t="s">
        <v>89</v>
      </c>
      <c r="G148" s="31"/>
      <c r="H148" s="31"/>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6.5" customHeight="1">
      <c r="A149" s="32" t="s">
        <v>5</v>
      </c>
      <c r="E149" s="8" t="s">
        <v>21</v>
      </c>
      <c r="F149" s="8" t="s">
        <v>51</v>
      </c>
      <c r="G149" s="34" t="s">
        <v>2847</v>
      </c>
      <c r="H149" s="35" t="s">
        <v>51</v>
      </c>
      <c r="L149" s="11"/>
      <c r="M149" s="15"/>
      <c r="N149" s="15"/>
      <c r="O149" s="15"/>
      <c r="P149" s="15"/>
      <c r="Q149" s="15"/>
      <c r="R149" s="15"/>
      <c r="S149" s="15"/>
      <c r="T149" s="15"/>
      <c r="U149" s="15"/>
      <c r="V149" s="15"/>
      <c r="W149" s="15"/>
      <c r="X149" s="15"/>
      <c r="Y149" s="15"/>
      <c r="Z149" s="15"/>
      <c r="AA149" s="15"/>
      <c r="AB149" s="15"/>
      <c r="AC149" s="15"/>
      <c r="AD149" s="15"/>
      <c r="AE149" s="15"/>
      <c r="AF149" s="15"/>
    </row>
    <row r="150" ht="16.5" customHeight="1">
      <c r="A150" s="32" t="s">
        <v>5</v>
      </c>
      <c r="E150" s="8" t="s">
        <v>408</v>
      </c>
      <c r="F150" s="8" t="s">
        <v>408</v>
      </c>
      <c r="G150" s="34" t="s">
        <v>2848</v>
      </c>
      <c r="H150" s="8" t="s">
        <v>408</v>
      </c>
      <c r="I150" s="9"/>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row>
    <row r="151" ht="16.5" customHeight="1">
      <c r="A151" s="32" t="s">
        <v>5</v>
      </c>
      <c r="E151" s="8" t="s">
        <v>172</v>
      </c>
      <c r="F151" s="8" t="s">
        <v>194</v>
      </c>
      <c r="G151" s="34" t="s">
        <v>2849</v>
      </c>
      <c r="H151" s="8" t="s">
        <v>194</v>
      </c>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6.5" customHeight="1">
      <c r="A152" s="32" t="s">
        <v>5</v>
      </c>
      <c r="E152" s="8" t="s">
        <v>172</v>
      </c>
      <c r="F152" s="8" t="s">
        <v>195</v>
      </c>
      <c r="G152" s="34" t="s">
        <v>2850</v>
      </c>
      <c r="H152" s="8" t="s">
        <v>195</v>
      </c>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6.5" customHeight="1">
      <c r="A153" s="32" t="s">
        <v>5</v>
      </c>
      <c r="E153" s="8" t="s">
        <v>116</v>
      </c>
      <c r="F153" s="8" t="s">
        <v>817</v>
      </c>
      <c r="G153" s="34" t="s">
        <v>2851</v>
      </c>
      <c r="H153" s="8" t="s">
        <v>817</v>
      </c>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6.5" customHeight="1">
      <c r="A154" s="32" t="s">
        <v>5</v>
      </c>
      <c r="E154" s="8" t="s">
        <v>116</v>
      </c>
      <c r="F154" s="8" t="s">
        <v>117</v>
      </c>
      <c r="G154" s="34" t="s">
        <v>2852</v>
      </c>
      <c r="H154" s="8" t="s">
        <v>117</v>
      </c>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6.5" customHeight="1">
      <c r="A155" s="32" t="s">
        <v>5</v>
      </c>
      <c r="E155" s="8" t="s">
        <v>116</v>
      </c>
      <c r="F155" s="8" t="s">
        <v>817</v>
      </c>
      <c r="G155" s="34" t="s">
        <v>2853</v>
      </c>
      <c r="H155" s="35" t="s">
        <v>2812</v>
      </c>
      <c r="L155" s="11"/>
      <c r="M155" s="15"/>
      <c r="N155" s="15"/>
      <c r="O155" s="15"/>
      <c r="P155" s="15"/>
      <c r="Q155" s="15"/>
      <c r="R155" s="15"/>
      <c r="S155" s="15"/>
      <c r="T155" s="15"/>
      <c r="U155" s="15"/>
      <c r="V155" s="15"/>
      <c r="W155" s="15"/>
      <c r="X155" s="15"/>
      <c r="Y155" s="15"/>
      <c r="Z155" s="15"/>
      <c r="AA155" s="15"/>
      <c r="AB155" s="15"/>
      <c r="AC155" s="15"/>
      <c r="AD155" s="15"/>
      <c r="AE155" s="15"/>
      <c r="AF155" s="15"/>
    </row>
    <row r="156" ht="16.5" customHeight="1">
      <c r="A156" s="32" t="s">
        <v>5</v>
      </c>
      <c r="E156" s="8" t="s">
        <v>116</v>
      </c>
      <c r="F156" s="8" t="s">
        <v>117</v>
      </c>
      <c r="G156" s="34" t="s">
        <v>2854</v>
      </c>
      <c r="H156" s="35" t="s">
        <v>2814</v>
      </c>
      <c r="L156" s="11"/>
      <c r="M156" s="15"/>
      <c r="N156" s="15"/>
      <c r="O156" s="15"/>
      <c r="P156" s="15"/>
      <c r="Q156" s="15"/>
      <c r="R156" s="15"/>
      <c r="S156" s="15"/>
      <c r="T156" s="15"/>
      <c r="U156" s="15"/>
      <c r="V156" s="15"/>
      <c r="W156" s="15"/>
      <c r="X156" s="15"/>
      <c r="Y156" s="15"/>
      <c r="Z156" s="15"/>
      <c r="AA156" s="15"/>
      <c r="AB156" s="15"/>
      <c r="AC156" s="15"/>
      <c r="AD156" s="15"/>
      <c r="AE156" s="15"/>
      <c r="AF156" s="15"/>
    </row>
    <row r="157" ht="16.5" customHeight="1">
      <c r="A157" s="32" t="s">
        <v>5</v>
      </c>
      <c r="E157" s="8" t="s">
        <v>116</v>
      </c>
      <c r="F157" s="8" t="s">
        <v>817</v>
      </c>
      <c r="G157" s="34" t="str">
        <f>HYPERLINK("https://docs.google.com/spreadsheets/d/1_QDmz_0fwrspqLxMArntoij5s_mbkli-r-6cRLv4bCU/edit#gid=1085257536", "https://docs.google.com/spreadsheets/d/1_QDmz_0fwrspqLxMArntoij5s_mbkli-r-6cRLv4bCU/edit#gid=1085257536")</f>
        <v>https://docs.google.com/spreadsheets/d/1_QDmz_0fwrspqLxMArntoij5s_mbkli-r-6cRLv4bCU/edit#gid=1085257536</v>
      </c>
      <c r="H157" s="35" t="s">
        <v>2838</v>
      </c>
      <c r="I157" s="36"/>
      <c r="L157" s="11"/>
      <c r="M157" s="15"/>
      <c r="N157" s="15"/>
      <c r="O157" s="15"/>
      <c r="P157" s="15"/>
      <c r="Q157" s="15"/>
      <c r="R157" s="15"/>
      <c r="S157" s="15"/>
      <c r="T157" s="15"/>
      <c r="U157" s="15"/>
      <c r="V157" s="15"/>
      <c r="W157" s="15"/>
      <c r="X157" s="15"/>
      <c r="Y157" s="15"/>
      <c r="Z157" s="15"/>
      <c r="AA157" s="15"/>
      <c r="AB157" s="15"/>
      <c r="AC157" s="15"/>
      <c r="AD157" s="15"/>
      <c r="AE157" s="15"/>
      <c r="AF157" s="15"/>
    </row>
    <row r="158" ht="16.5" customHeight="1">
      <c r="A158" s="32" t="s">
        <v>5</v>
      </c>
      <c r="E158" s="8" t="s">
        <v>116</v>
      </c>
      <c r="F158" s="8" t="s">
        <v>117</v>
      </c>
      <c r="G158" s="34" t="str">
        <f>HYPERLINK("https://docs.google.com/spreadsheets/d/1_QDmz_0fwrspqLxMArntoij5s_mbkli-r-6cRLv4bCU/edit#gid=670365521", "https://docs.google.com/spreadsheets/d/1_QDmz_0fwrspqLxMArntoij5s_mbkli-r-6cRLv4bCU/edit#gid=670365521")</f>
        <v>https://docs.google.com/spreadsheets/d/1_QDmz_0fwrspqLxMArntoij5s_mbkli-r-6cRLv4bCU/edit#gid=670365521</v>
      </c>
      <c r="H158" s="35" t="s">
        <v>2840</v>
      </c>
      <c r="I158" s="36"/>
      <c r="L158" s="11"/>
      <c r="M158" s="15"/>
      <c r="N158" s="15"/>
      <c r="O158" s="15"/>
      <c r="P158" s="15"/>
      <c r="Q158" s="15"/>
      <c r="R158" s="15"/>
      <c r="S158" s="15"/>
      <c r="T158" s="15"/>
      <c r="U158" s="15"/>
      <c r="V158" s="15"/>
      <c r="W158" s="15"/>
      <c r="X158" s="15"/>
      <c r="Y158" s="15"/>
      <c r="Z158" s="15"/>
      <c r="AA158" s="15"/>
      <c r="AB158" s="15"/>
      <c r="AC158" s="15"/>
      <c r="AD158" s="15"/>
      <c r="AE158" s="15"/>
      <c r="AF158" s="15"/>
    </row>
    <row r="159" ht="16.5" customHeight="1">
      <c r="A159" s="32" t="s">
        <v>5</v>
      </c>
      <c r="E159" s="8" t="s">
        <v>116</v>
      </c>
      <c r="F159" s="8" t="s">
        <v>817</v>
      </c>
      <c r="G159" s="34" t="s">
        <v>2855</v>
      </c>
      <c r="H159" s="35" t="s">
        <v>2808</v>
      </c>
      <c r="L159" s="11"/>
      <c r="M159" s="15"/>
      <c r="N159" s="15"/>
      <c r="O159" s="15"/>
      <c r="P159" s="15"/>
      <c r="Q159" s="15"/>
      <c r="R159" s="15"/>
      <c r="S159" s="15"/>
      <c r="T159" s="15"/>
      <c r="U159" s="15"/>
      <c r="V159" s="15"/>
      <c r="W159" s="15"/>
      <c r="X159" s="15"/>
      <c r="Y159" s="15"/>
      <c r="Z159" s="15"/>
      <c r="AA159" s="15"/>
      <c r="AB159" s="15"/>
      <c r="AC159" s="15"/>
      <c r="AD159" s="15"/>
      <c r="AE159" s="15"/>
      <c r="AF159" s="15"/>
    </row>
    <row r="160" ht="16.5" customHeight="1">
      <c r="A160" s="32" t="s">
        <v>5</v>
      </c>
      <c r="E160" s="8" t="s">
        <v>116</v>
      </c>
      <c r="F160" s="8" t="s">
        <v>117</v>
      </c>
      <c r="G160" s="34" t="s">
        <v>2856</v>
      </c>
      <c r="H160" s="35" t="s">
        <v>2810</v>
      </c>
      <c r="L160" s="11"/>
      <c r="M160" s="15"/>
      <c r="N160" s="15"/>
      <c r="O160" s="15"/>
      <c r="P160" s="15"/>
      <c r="Q160" s="15"/>
      <c r="R160" s="15"/>
      <c r="S160" s="15"/>
      <c r="T160" s="15"/>
      <c r="U160" s="15"/>
      <c r="V160" s="15"/>
      <c r="W160" s="15"/>
      <c r="X160" s="15"/>
      <c r="Y160" s="15"/>
      <c r="Z160" s="15"/>
      <c r="AA160" s="15"/>
      <c r="AB160" s="15"/>
      <c r="AC160" s="15"/>
      <c r="AD160" s="15"/>
      <c r="AE160" s="15"/>
      <c r="AF160" s="15"/>
    </row>
    <row r="161" ht="16.5" customHeight="1">
      <c r="A161" s="32"/>
      <c r="B161" s="8"/>
      <c r="C161" s="87"/>
      <c r="D161" s="8"/>
      <c r="E161" s="8"/>
      <c r="F161" s="8"/>
      <c r="G161" s="31"/>
      <c r="H161" s="31"/>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6.5" customHeight="1">
      <c r="A162" s="32" t="s">
        <v>5</v>
      </c>
      <c r="B162" s="8" t="s">
        <v>2857</v>
      </c>
      <c r="C162" s="87" t="s">
        <v>2858</v>
      </c>
      <c r="D162" s="8" t="s">
        <v>20</v>
      </c>
      <c r="E162" s="8" t="s">
        <v>88</v>
      </c>
      <c r="F162" s="8" t="s">
        <v>89</v>
      </c>
      <c r="G162" s="31"/>
      <c r="H162" s="31"/>
      <c r="I162" s="9"/>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6.5" customHeight="1">
      <c r="A163" s="32" t="s">
        <v>5</v>
      </c>
      <c r="E163" s="8" t="s">
        <v>21</v>
      </c>
      <c r="F163" s="8" t="s">
        <v>51</v>
      </c>
      <c r="G163" s="194" t="s">
        <v>2859</v>
      </c>
      <c r="H163" s="8" t="s">
        <v>51</v>
      </c>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6.5" customHeight="1">
      <c r="A164" s="32" t="s">
        <v>5</v>
      </c>
      <c r="E164" s="8" t="s">
        <v>408</v>
      </c>
      <c r="F164" s="8" t="s">
        <v>408</v>
      </c>
      <c r="G164" s="194" t="s">
        <v>2860</v>
      </c>
      <c r="H164" s="8" t="s">
        <v>408</v>
      </c>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6.5" customHeight="1">
      <c r="A165" s="32" t="s">
        <v>5</v>
      </c>
      <c r="E165" s="8" t="s">
        <v>172</v>
      </c>
      <c r="F165" s="8" t="s">
        <v>194</v>
      </c>
      <c r="G165" s="194" t="s">
        <v>2861</v>
      </c>
      <c r="H165" s="8" t="s">
        <v>194</v>
      </c>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6.5" customHeight="1">
      <c r="A166" s="32" t="s">
        <v>5</v>
      </c>
      <c r="E166" s="8" t="s">
        <v>172</v>
      </c>
      <c r="F166" s="8" t="s">
        <v>195</v>
      </c>
      <c r="G166" s="194" t="s">
        <v>2862</v>
      </c>
      <c r="H166" s="8" t="s">
        <v>195</v>
      </c>
      <c r="I166" s="31"/>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6.5" customHeight="1">
      <c r="A167" s="32" t="s">
        <v>5</v>
      </c>
      <c r="E167" s="8" t="s">
        <v>116</v>
      </c>
      <c r="F167" s="8" t="s">
        <v>825</v>
      </c>
      <c r="G167" s="194" t="s">
        <v>2863</v>
      </c>
      <c r="H167" s="8" t="s">
        <v>825</v>
      </c>
      <c r="I167" s="31"/>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6.5" customHeight="1">
      <c r="A168" s="32" t="s">
        <v>5</v>
      </c>
      <c r="E168" s="8" t="s">
        <v>21</v>
      </c>
      <c r="F168" s="8" t="s">
        <v>51</v>
      </c>
      <c r="G168" s="194" t="s">
        <v>2864</v>
      </c>
      <c r="H168" s="8" t="s">
        <v>1383</v>
      </c>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6.5" customHeight="1">
      <c r="A169" s="32" t="s">
        <v>5</v>
      </c>
      <c r="E169" s="8" t="s">
        <v>88</v>
      </c>
      <c r="F169" s="8" t="s">
        <v>96</v>
      </c>
      <c r="G169" s="194" t="s">
        <v>2865</v>
      </c>
      <c r="H169" s="8" t="s">
        <v>96</v>
      </c>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6.5" customHeight="1">
      <c r="A170" s="32" t="s">
        <v>5</v>
      </c>
      <c r="E170" s="8" t="s">
        <v>86</v>
      </c>
      <c r="F170" s="8" t="s">
        <v>91</v>
      </c>
      <c r="G170" s="149" t="s">
        <v>2866</v>
      </c>
      <c r="H170" s="8" t="s">
        <v>91</v>
      </c>
      <c r="I170" s="9"/>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24.0" customHeight="1">
      <c r="A171" s="32" t="s">
        <v>5</v>
      </c>
      <c r="E171" s="28" t="s">
        <v>104</v>
      </c>
      <c r="F171" s="8" t="s">
        <v>250</v>
      </c>
      <c r="G171" s="149" t="s">
        <v>2867</v>
      </c>
      <c r="H171" s="8" t="s">
        <v>250</v>
      </c>
      <c r="I171" s="9"/>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6.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row>
    <row r="173" ht="16.5" customHeight="1">
      <c r="A173" s="31" t="s">
        <v>5</v>
      </c>
      <c r="B173" s="341" t="s">
        <v>2868</v>
      </c>
      <c r="C173" s="83" t="s">
        <v>2869</v>
      </c>
      <c r="D173" s="341" t="s">
        <v>20</v>
      </c>
      <c r="E173" s="31" t="s">
        <v>88</v>
      </c>
      <c r="F173" s="31" t="s">
        <v>89</v>
      </c>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row>
    <row r="174" ht="21.0" customHeight="1">
      <c r="H174" s="31"/>
      <c r="I174" s="31"/>
      <c r="J174" s="31"/>
      <c r="K174" s="31"/>
    </row>
    <row r="175" ht="16.5" customHeight="1">
      <c r="A175" s="31" t="s">
        <v>5</v>
      </c>
      <c r="E175" s="31" t="s">
        <v>172</v>
      </c>
      <c r="F175" s="8" t="s">
        <v>194</v>
      </c>
      <c r="G175" s="69" t="str">
        <f>HYPERLINK("https://docs.google.com/spreadsheets/d/1BBDY9ni8V_uxOzaiDuRumgY5FYaXklyMvuPTOAxdE7U/edit#gid=856221004", "https://docs.google.com/spreadsheets/d/1BBDY9ni8V_uxOzaiDuRumgY5FYaXklyMvuPTOAxdE7U/edit#gid=856221004")</f>
        <v>https://docs.google.com/spreadsheets/d/1BBDY9ni8V_uxOzaiDuRumgY5FYaXklyMvuPTOAxdE7U/edit#gid=856221004</v>
      </c>
      <c r="H175" s="35" t="s">
        <v>194</v>
      </c>
      <c r="I175" s="36"/>
      <c r="L175" s="9"/>
      <c r="M175" s="9"/>
      <c r="N175" s="9"/>
      <c r="O175" s="9"/>
      <c r="P175" s="9"/>
      <c r="Q175" s="9"/>
      <c r="R175" s="9"/>
      <c r="S175" s="9"/>
      <c r="T175" s="9"/>
      <c r="U175" s="9"/>
      <c r="V175" s="9"/>
      <c r="W175" s="9"/>
      <c r="X175" s="9"/>
      <c r="Y175" s="9"/>
      <c r="Z175" s="9"/>
      <c r="AA175" s="9"/>
      <c r="AB175" s="9"/>
      <c r="AC175" s="9"/>
      <c r="AD175" s="9"/>
      <c r="AE175" s="9"/>
      <c r="AF175" s="9"/>
    </row>
    <row r="176" ht="16.5" customHeight="1">
      <c r="A176" s="31" t="s">
        <v>5</v>
      </c>
      <c r="E176" s="31" t="s">
        <v>172</v>
      </c>
      <c r="F176" s="8" t="s">
        <v>195</v>
      </c>
      <c r="G176" s="69" t="str">
        <f>HYPERLINK("https://docs.google.com/spreadsheets/d/1BBDY9ni8V_uxOzaiDuRumgY5FYaXklyMvuPTOAxdE7U/edit#gid=718910172", "https://docs.google.com/spreadsheets/d/1BBDY9ni8V_uxOzaiDuRumgY5FYaXklyMvuPTOAxdE7U/edit#gid=718910172")</f>
        <v>https://docs.google.com/spreadsheets/d/1BBDY9ni8V_uxOzaiDuRumgY5FYaXklyMvuPTOAxdE7U/edit#gid=718910172</v>
      </c>
      <c r="H176" s="35" t="s">
        <v>195</v>
      </c>
      <c r="L176" s="9"/>
      <c r="M176" s="9"/>
      <c r="N176" s="9"/>
      <c r="O176" s="9"/>
      <c r="P176" s="9"/>
      <c r="Q176" s="9"/>
      <c r="R176" s="9"/>
      <c r="S176" s="9"/>
      <c r="T176" s="9"/>
      <c r="U176" s="9"/>
      <c r="V176" s="9"/>
      <c r="W176" s="9"/>
      <c r="X176" s="9"/>
      <c r="Y176" s="9"/>
      <c r="Z176" s="9"/>
      <c r="AA176" s="9"/>
      <c r="AB176" s="9"/>
      <c r="AC176" s="9"/>
      <c r="AD176" s="9"/>
      <c r="AE176" s="9"/>
      <c r="AF176" s="9"/>
    </row>
    <row r="177" ht="16.5" customHeight="1">
      <c r="A177" s="31" t="s">
        <v>5</v>
      </c>
      <c r="E177" s="31" t="s">
        <v>21</v>
      </c>
      <c r="F177" s="8" t="s">
        <v>51</v>
      </c>
      <c r="G177" s="69" t="str">
        <f>HYPERLINK("https://docs.google.com/spreadsheets/d/1BBDY9ni8V_uxOzaiDuRumgY5FYaXklyMvuPTOAxdE7U/edit#gid=1979299804", "https://docs.google.com/spreadsheets/d/1BBDY9ni8V_uxOzaiDuRumgY5FYaXklyMvuPTOAxdE7U/edit#gid=1979299804")</f>
        <v>https://docs.google.com/spreadsheets/d/1BBDY9ni8V_uxOzaiDuRumgY5FYaXklyMvuPTOAxdE7U/edit#gid=1979299804</v>
      </c>
      <c r="H177" s="35" t="s">
        <v>51</v>
      </c>
      <c r="L177" s="9"/>
      <c r="M177" s="9"/>
      <c r="N177" s="9"/>
      <c r="O177" s="9"/>
      <c r="P177" s="9"/>
      <c r="Q177" s="9"/>
      <c r="R177" s="9"/>
      <c r="S177" s="9"/>
      <c r="T177" s="9"/>
      <c r="U177" s="9"/>
      <c r="V177" s="9"/>
      <c r="W177" s="9"/>
      <c r="X177" s="9"/>
      <c r="Y177" s="9"/>
      <c r="Z177" s="9"/>
      <c r="AA177" s="9"/>
      <c r="AB177" s="9"/>
      <c r="AC177" s="9"/>
      <c r="AD177" s="9"/>
      <c r="AE177" s="9"/>
      <c r="AF177" s="9"/>
    </row>
    <row r="178" ht="16.5" customHeight="1">
      <c r="A178" s="31" t="s">
        <v>5</v>
      </c>
      <c r="E178" s="31" t="s">
        <v>408</v>
      </c>
      <c r="F178" s="8" t="s">
        <v>408</v>
      </c>
      <c r="G178" s="69" t="str">
        <f>HYPERLINK("https://docs.google.com/spreadsheets/d/1BBDY9ni8V_uxOzaiDuRumgY5FYaXklyMvuPTOAxdE7U/edit#gid=1750671339", "https://docs.google.com/spreadsheets/d/1BBDY9ni8V_uxOzaiDuRumgY5FYaXklyMvuPTOAxdE7U/edit#gid=1750671339")</f>
        <v>https://docs.google.com/spreadsheets/d/1BBDY9ni8V_uxOzaiDuRumgY5FYaXklyMvuPTOAxdE7U/edit#gid=1750671339</v>
      </c>
      <c r="H178" s="35" t="s">
        <v>408</v>
      </c>
      <c r="L178" s="9"/>
      <c r="M178" s="9"/>
      <c r="N178" s="9"/>
      <c r="O178" s="9"/>
      <c r="P178" s="9"/>
      <c r="Q178" s="9"/>
      <c r="R178" s="9"/>
      <c r="S178" s="9"/>
      <c r="T178" s="9"/>
      <c r="U178" s="9"/>
      <c r="V178" s="9"/>
      <c r="W178" s="9"/>
      <c r="X178" s="9"/>
      <c r="Y178" s="9"/>
      <c r="Z178" s="9"/>
      <c r="AA178" s="9"/>
      <c r="AB178" s="9"/>
      <c r="AC178" s="9"/>
      <c r="AD178" s="9"/>
      <c r="AE178" s="9"/>
      <c r="AF178" s="9"/>
    </row>
    <row r="179" ht="16.5" customHeight="1">
      <c r="A179" s="31"/>
      <c r="E179" s="8" t="s">
        <v>116</v>
      </c>
      <c r="F179" s="8" t="s">
        <v>817</v>
      </c>
      <c r="G179" s="69" t="str">
        <f>HYPERLINK("https://docs.google.com/spreadsheets/d/1BBDY9ni8V_uxOzaiDuRumgY5FYaXklyMvuPTOAxdE7U/edit#gid=1333073530", "https://docs.google.com/spreadsheets/d/1BBDY9ni8V_uxOzaiDuRumgY5FYaXklyMvuPTOAxdE7U/edit#gid=1333073530")</f>
        <v>https://docs.google.com/spreadsheets/d/1BBDY9ni8V_uxOzaiDuRumgY5FYaXklyMvuPTOAxdE7U/edit#gid=1333073530</v>
      </c>
      <c r="H179" s="35" t="s">
        <v>817</v>
      </c>
      <c r="L179" s="9"/>
      <c r="M179" s="9"/>
      <c r="N179" s="9"/>
      <c r="O179" s="9"/>
      <c r="P179" s="9"/>
      <c r="Q179" s="9"/>
      <c r="R179" s="9"/>
      <c r="S179" s="9"/>
      <c r="T179" s="9"/>
      <c r="U179" s="9"/>
      <c r="V179" s="9"/>
      <c r="W179" s="9"/>
      <c r="X179" s="9"/>
      <c r="Y179" s="9"/>
      <c r="Z179" s="9"/>
      <c r="AA179" s="9"/>
      <c r="AB179" s="9"/>
      <c r="AC179" s="9"/>
      <c r="AD179" s="9"/>
      <c r="AE179" s="9"/>
      <c r="AF179" s="9"/>
    </row>
    <row r="180" ht="16.5" customHeight="1">
      <c r="A180" s="31"/>
      <c r="E180" s="8" t="s">
        <v>116</v>
      </c>
      <c r="F180" s="8" t="s">
        <v>117</v>
      </c>
      <c r="G180" s="69" t="str">
        <f>HYPERLINK("https://docs.google.com/spreadsheets/d/1BBDY9ni8V_uxOzaiDuRumgY5FYaXklyMvuPTOAxdE7U/edit#gid=1121609308", "https://docs.google.com/spreadsheets/d/1BBDY9ni8V_uxOzaiDuRumgY5FYaXklyMvuPTOAxdE7U/edit#gid=1121609308")</f>
        <v>https://docs.google.com/spreadsheets/d/1BBDY9ni8V_uxOzaiDuRumgY5FYaXklyMvuPTOAxdE7U/edit#gid=1121609308</v>
      </c>
      <c r="H180" s="35" t="s">
        <v>117</v>
      </c>
      <c r="L180" s="9"/>
      <c r="M180" s="9"/>
      <c r="N180" s="9"/>
      <c r="O180" s="9"/>
      <c r="P180" s="9"/>
      <c r="Q180" s="9"/>
      <c r="R180" s="9"/>
      <c r="S180" s="9"/>
      <c r="T180" s="9"/>
      <c r="U180" s="9"/>
      <c r="V180" s="9"/>
      <c r="W180" s="9"/>
      <c r="X180" s="9"/>
      <c r="Y180" s="9"/>
      <c r="Z180" s="9"/>
      <c r="AA180" s="9"/>
      <c r="AB180" s="9"/>
      <c r="AC180" s="9"/>
      <c r="AD180" s="9"/>
      <c r="AE180" s="9"/>
      <c r="AF180" s="9"/>
    </row>
    <row r="181" ht="16.5" customHeight="1">
      <c r="A181" s="31" t="s">
        <v>5</v>
      </c>
      <c r="E181" s="31" t="s">
        <v>116</v>
      </c>
      <c r="F181" s="8" t="s">
        <v>823</v>
      </c>
      <c r="G181" s="69" t="str">
        <f>HYPERLINK("https://docs.google.com/spreadsheets/d/1BBDY9ni8V_uxOzaiDuRumgY5FYaXklyMvuPTOAxdE7U/edit#gid=1702329690", "https://docs.google.com/spreadsheets/d/1BBDY9ni8V_uxOzaiDuRumgY5FYaXklyMvuPTOAxdE7U/edit#gid=1702329690")</f>
        <v>https://docs.google.com/spreadsheets/d/1BBDY9ni8V_uxOzaiDuRumgY5FYaXklyMvuPTOAxdE7U/edit#gid=1702329690</v>
      </c>
      <c r="H181" s="35" t="s">
        <v>823</v>
      </c>
      <c r="L181" s="9"/>
      <c r="M181" s="9"/>
      <c r="N181" s="9"/>
      <c r="O181" s="9"/>
      <c r="P181" s="9"/>
      <c r="Q181" s="9"/>
      <c r="R181" s="9"/>
      <c r="S181" s="9"/>
      <c r="T181" s="9"/>
      <c r="U181" s="9"/>
      <c r="V181" s="9"/>
      <c r="W181" s="9"/>
      <c r="X181" s="9"/>
      <c r="Y181" s="9"/>
      <c r="Z181" s="9"/>
      <c r="AA181" s="9"/>
      <c r="AB181" s="9"/>
      <c r="AC181" s="9"/>
      <c r="AD181" s="9"/>
      <c r="AE181" s="9"/>
      <c r="AF181" s="9"/>
    </row>
    <row r="182" ht="16.5" customHeight="1">
      <c r="A182" s="31" t="s">
        <v>5</v>
      </c>
      <c r="E182" s="8" t="s">
        <v>43</v>
      </c>
      <c r="F182" s="8" t="s">
        <v>79</v>
      </c>
      <c r="G182" s="69" t="str">
        <f>HYPERLINK("https://docs.google.com/spreadsheets/d/1BBDY9ni8V_uxOzaiDuRumgY5FYaXklyMvuPTOAxdE7U/edit#gid=1570687947", "https://docs.google.com/spreadsheets/d/1BBDY9ni8V_uxOzaiDuRumgY5FYaXklyMvuPTOAxdE7U/edit#gid=1570687947")</f>
        <v>https://docs.google.com/spreadsheets/d/1BBDY9ni8V_uxOzaiDuRumgY5FYaXklyMvuPTOAxdE7U/edit#gid=1570687947</v>
      </c>
      <c r="H182" s="35" t="s">
        <v>79</v>
      </c>
      <c r="L182" s="9"/>
      <c r="M182" s="9"/>
      <c r="N182" s="9"/>
      <c r="O182" s="9"/>
      <c r="P182" s="9"/>
      <c r="Q182" s="9"/>
      <c r="R182" s="9"/>
      <c r="S182" s="9"/>
      <c r="T182" s="9"/>
      <c r="U182" s="9"/>
      <c r="V182" s="9"/>
      <c r="W182" s="9"/>
      <c r="X182" s="9"/>
      <c r="Y182" s="9"/>
      <c r="Z182" s="9"/>
      <c r="AA182" s="9"/>
      <c r="AB182" s="9"/>
      <c r="AC182" s="9"/>
      <c r="AD182" s="9"/>
      <c r="AE182" s="9"/>
      <c r="AF182" s="9"/>
    </row>
    <row r="183" ht="16.5" customHeight="1">
      <c r="A183" s="15"/>
      <c r="E183" s="28" t="s">
        <v>116</v>
      </c>
      <c r="F183" s="38" t="s">
        <v>825</v>
      </c>
      <c r="G183" s="69" t="str">
        <f>HYPERLINK("https://docs.google.com/spreadsheets/d/1BBDY9ni8V_uxOzaiDuRumgY5FYaXklyMvuPTOAxdE7U/edit#gid=1684963492", "https://docs.google.com/spreadsheets/d/1BBDY9ni8V_uxOzaiDuRumgY5FYaXklyMvuPTOAxdE7U/edit#gid=1684963492")</f>
        <v>https://docs.google.com/spreadsheets/d/1BBDY9ni8V_uxOzaiDuRumgY5FYaXklyMvuPTOAxdE7U/edit#gid=1684963492</v>
      </c>
      <c r="H183" s="35" t="s">
        <v>825</v>
      </c>
      <c r="L183" s="11"/>
      <c r="M183" s="15"/>
      <c r="N183" s="15"/>
      <c r="O183" s="15"/>
      <c r="P183" s="15"/>
      <c r="Q183" s="15"/>
      <c r="R183" s="15"/>
      <c r="S183" s="15"/>
      <c r="T183" s="15"/>
      <c r="U183" s="15"/>
      <c r="V183" s="15"/>
      <c r="W183" s="15"/>
      <c r="X183" s="15"/>
      <c r="Y183" s="15"/>
      <c r="Z183" s="15"/>
      <c r="AA183" s="15"/>
      <c r="AB183" s="15"/>
      <c r="AC183" s="15"/>
      <c r="AD183" s="15"/>
      <c r="AE183" s="15"/>
      <c r="AF183" s="15"/>
    </row>
    <row r="184" ht="16.5" customHeight="1">
      <c r="A184" s="15"/>
      <c r="E184" s="8" t="s">
        <v>21</v>
      </c>
      <c r="F184" s="8" t="s">
        <v>51</v>
      </c>
      <c r="G184" s="69" t="str">
        <f>HYPERLINK("https://docs.google.com/spreadsheets/d/1BBDY9ni8V_uxOzaiDuRumgY5FYaXklyMvuPTOAxdE7U/edit#gid=1620669082", "https://docs.google.com/spreadsheets/d/1BBDY9ni8V_uxOzaiDuRumgY5FYaXklyMvuPTOAxdE7U/edit#gid=1620669082")</f>
        <v>https://docs.google.com/spreadsheets/d/1BBDY9ni8V_uxOzaiDuRumgY5FYaXklyMvuPTOAxdE7U/edit#gid=1620669082</v>
      </c>
      <c r="H184" s="35" t="s">
        <v>1383</v>
      </c>
      <c r="L184" s="11"/>
      <c r="M184" s="15"/>
      <c r="N184" s="15"/>
      <c r="O184" s="15"/>
      <c r="P184" s="15"/>
      <c r="Q184" s="15"/>
      <c r="R184" s="15"/>
      <c r="S184" s="15"/>
      <c r="T184" s="15"/>
      <c r="U184" s="15"/>
      <c r="V184" s="15"/>
      <c r="W184" s="15"/>
      <c r="X184" s="15"/>
      <c r="Y184" s="15"/>
      <c r="Z184" s="15"/>
      <c r="AA184" s="15"/>
      <c r="AB184" s="15"/>
      <c r="AC184" s="15"/>
      <c r="AD184" s="15"/>
      <c r="AE184" s="15"/>
      <c r="AF184" s="15"/>
    </row>
    <row r="185" ht="16.5" customHeight="1">
      <c r="A185" s="32"/>
      <c r="E185" s="8" t="s">
        <v>88</v>
      </c>
      <c r="F185" s="8" t="s">
        <v>95</v>
      </c>
      <c r="G185" s="69" t="str">
        <f>HYPERLINK("https://docs.google.com/spreadsheets/d/1BBDY9ni8V_uxOzaiDuRumgY5FYaXklyMvuPTOAxdE7U/edit#gid=1749661436", "https://docs.google.com/spreadsheets/d/1BBDY9ni8V_uxOzaiDuRumgY5FYaXklyMvuPTOAxdE7U/edit#gid=1749661436")</f>
        <v>https://docs.google.com/spreadsheets/d/1BBDY9ni8V_uxOzaiDuRumgY5FYaXklyMvuPTOAxdE7U/edit#gid=1749661436</v>
      </c>
      <c r="H185" s="35" t="s">
        <v>95</v>
      </c>
      <c r="L185" s="11"/>
      <c r="M185" s="15"/>
      <c r="N185" s="15"/>
      <c r="O185" s="15"/>
      <c r="P185" s="15"/>
      <c r="Q185" s="15"/>
      <c r="R185" s="15"/>
      <c r="S185" s="15"/>
      <c r="T185" s="15"/>
      <c r="U185" s="15"/>
      <c r="V185" s="15"/>
      <c r="W185" s="15"/>
      <c r="X185" s="15"/>
      <c r="Y185" s="15"/>
      <c r="Z185" s="15"/>
      <c r="AA185" s="15"/>
      <c r="AB185" s="15"/>
      <c r="AC185" s="15"/>
      <c r="AD185" s="15"/>
      <c r="AE185" s="15"/>
      <c r="AF185" s="15"/>
    </row>
    <row r="186" ht="16.5" customHeight="1">
      <c r="A186" s="32"/>
      <c r="E186" s="8" t="s">
        <v>88</v>
      </c>
      <c r="F186" s="8" t="s">
        <v>96</v>
      </c>
      <c r="G186" s="69" t="str">
        <f>HYPERLINK("https://docs.google.com/spreadsheets/d/1BBDY9ni8V_uxOzaiDuRumgY5FYaXklyMvuPTOAxdE7U/edit#gid=647002712", "https://docs.google.com/spreadsheets/d/1BBDY9ni8V_uxOzaiDuRumgY5FYaXklyMvuPTOAxdE7U/edit#gid=647002712")</f>
        <v>https://docs.google.com/spreadsheets/d/1BBDY9ni8V_uxOzaiDuRumgY5FYaXklyMvuPTOAxdE7U/edit#gid=647002712</v>
      </c>
      <c r="H186" s="35" t="s">
        <v>96</v>
      </c>
      <c r="L186" s="11"/>
      <c r="M186" s="15"/>
      <c r="N186" s="15"/>
      <c r="O186" s="15"/>
      <c r="P186" s="15"/>
      <c r="Q186" s="15"/>
      <c r="R186" s="15"/>
      <c r="S186" s="15"/>
      <c r="T186" s="15"/>
      <c r="U186" s="15"/>
      <c r="V186" s="15"/>
      <c r="W186" s="15"/>
      <c r="X186" s="15"/>
      <c r="Y186" s="15"/>
      <c r="Z186" s="15"/>
      <c r="AA186" s="15"/>
      <c r="AB186" s="15"/>
      <c r="AC186" s="15"/>
      <c r="AD186" s="15"/>
      <c r="AE186" s="15"/>
      <c r="AF186" s="15"/>
    </row>
    <row r="187" ht="16.5" customHeight="1">
      <c r="A187" s="32"/>
      <c r="E187" s="8" t="s">
        <v>104</v>
      </c>
      <c r="F187" s="8" t="s">
        <v>250</v>
      </c>
      <c r="G187" s="69" t="str">
        <f>HYPERLINK("https://docs.google.com/spreadsheets/d/1BBDY9ni8V_uxOzaiDuRumgY5FYaXklyMvuPTOAxdE7U/edit#gid=812899435", "https://docs.google.com/spreadsheets/d/1BBDY9ni8V_uxOzaiDuRumgY5FYaXklyMvuPTOAxdE7U/edit#gid=812899435")</f>
        <v>https://docs.google.com/spreadsheets/d/1BBDY9ni8V_uxOzaiDuRumgY5FYaXklyMvuPTOAxdE7U/edit#gid=812899435</v>
      </c>
      <c r="H187" s="35" t="s">
        <v>250</v>
      </c>
      <c r="L187" s="11"/>
      <c r="M187" s="15"/>
      <c r="N187" s="15"/>
      <c r="O187" s="15"/>
      <c r="P187" s="15"/>
      <c r="Q187" s="15"/>
      <c r="R187" s="15"/>
      <c r="S187" s="15"/>
      <c r="T187" s="15"/>
      <c r="U187" s="15"/>
      <c r="V187" s="15"/>
      <c r="W187" s="15"/>
      <c r="X187" s="15"/>
      <c r="Y187" s="15"/>
      <c r="Z187" s="15"/>
      <c r="AA187" s="15"/>
      <c r="AB187" s="15"/>
      <c r="AC187" s="15"/>
      <c r="AD187" s="15"/>
      <c r="AE187" s="15"/>
      <c r="AF187" s="15"/>
    </row>
    <row r="188" ht="16.5" customHeight="1">
      <c r="A188" s="32"/>
      <c r="B188" s="342"/>
      <c r="C188" s="343"/>
      <c r="D188" s="53"/>
      <c r="E188" s="8"/>
      <c r="F188" s="8"/>
      <c r="G188" s="69"/>
      <c r="L188" s="11"/>
      <c r="M188" s="15"/>
      <c r="N188" s="15"/>
      <c r="O188" s="15"/>
      <c r="P188" s="15"/>
      <c r="Q188" s="15"/>
      <c r="R188" s="15"/>
      <c r="S188" s="15"/>
      <c r="T188" s="15"/>
      <c r="U188" s="15"/>
      <c r="V188" s="15"/>
      <c r="W188" s="15"/>
      <c r="X188" s="15"/>
      <c r="Y188" s="15"/>
      <c r="Z188" s="15"/>
      <c r="AA188" s="15"/>
      <c r="AB188" s="15"/>
      <c r="AC188" s="15"/>
      <c r="AD188" s="15"/>
      <c r="AE188" s="15"/>
      <c r="AF188" s="15"/>
    </row>
    <row r="189" ht="16.5" customHeight="1">
      <c r="A189" s="32" t="s">
        <v>5</v>
      </c>
      <c r="B189" s="344" t="s">
        <v>2870</v>
      </c>
      <c r="C189" s="160" t="s">
        <v>2871</v>
      </c>
      <c r="D189" s="186" t="s">
        <v>20</v>
      </c>
      <c r="E189" s="8" t="s">
        <v>88</v>
      </c>
      <c r="F189" s="8" t="s">
        <v>89</v>
      </c>
      <c r="G189" s="69"/>
      <c r="H189" s="36"/>
      <c r="L189" s="11"/>
      <c r="M189" s="15"/>
      <c r="N189" s="15"/>
      <c r="O189" s="15"/>
      <c r="P189" s="15"/>
      <c r="Q189" s="15"/>
      <c r="R189" s="15"/>
      <c r="S189" s="15"/>
      <c r="T189" s="15"/>
      <c r="U189" s="15"/>
      <c r="V189" s="15"/>
      <c r="W189" s="15"/>
      <c r="X189" s="15"/>
      <c r="Y189" s="15"/>
      <c r="Z189" s="15"/>
      <c r="AA189" s="15"/>
      <c r="AB189" s="15"/>
      <c r="AC189" s="15"/>
      <c r="AD189" s="15"/>
      <c r="AE189" s="15"/>
      <c r="AF189" s="15"/>
    </row>
    <row r="190" ht="16.5" customHeight="1">
      <c r="A190" s="32" t="s">
        <v>5</v>
      </c>
      <c r="E190" s="28" t="s">
        <v>172</v>
      </c>
      <c r="F190" s="8" t="s">
        <v>194</v>
      </c>
      <c r="G190" s="149" t="s">
        <v>2872</v>
      </c>
      <c r="H190" s="8" t="s">
        <v>194</v>
      </c>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6.5" customHeight="1">
      <c r="A191" s="32" t="s">
        <v>5</v>
      </c>
      <c r="E191" s="28" t="s">
        <v>172</v>
      </c>
      <c r="F191" s="38" t="s">
        <v>195</v>
      </c>
      <c r="G191" s="149" t="s">
        <v>2873</v>
      </c>
      <c r="H191" s="38" t="s">
        <v>195</v>
      </c>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6.5" customHeight="1">
      <c r="A192" s="32" t="s">
        <v>5</v>
      </c>
      <c r="E192" s="28" t="s">
        <v>21</v>
      </c>
      <c r="F192" s="28" t="s">
        <v>51</v>
      </c>
      <c r="G192" s="149" t="s">
        <v>2874</v>
      </c>
      <c r="H192" s="38" t="s">
        <v>51</v>
      </c>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6.5" customHeight="1">
      <c r="A193" s="32" t="s">
        <v>5</v>
      </c>
      <c r="E193" s="8" t="s">
        <v>408</v>
      </c>
      <c r="F193" s="8" t="s">
        <v>408</v>
      </c>
      <c r="G193" s="149" t="s">
        <v>2875</v>
      </c>
      <c r="H193" s="8" t="s">
        <v>408</v>
      </c>
      <c r="I193" s="31"/>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6.5" customHeight="1">
      <c r="A194" s="32" t="s">
        <v>5</v>
      </c>
      <c r="E194" s="8" t="s">
        <v>116</v>
      </c>
      <c r="F194" s="8" t="s">
        <v>817</v>
      </c>
      <c r="G194" s="149" t="s">
        <v>2876</v>
      </c>
      <c r="H194" s="8" t="s">
        <v>817</v>
      </c>
      <c r="I194" s="31"/>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6.5" customHeight="1">
      <c r="A195" s="32" t="s">
        <v>5</v>
      </c>
      <c r="E195" s="8" t="s">
        <v>116</v>
      </c>
      <c r="F195" s="8" t="s">
        <v>117</v>
      </c>
      <c r="G195" s="149" t="s">
        <v>2877</v>
      </c>
      <c r="H195" s="8" t="s">
        <v>117</v>
      </c>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6.5" customHeight="1">
      <c r="A196" s="32"/>
      <c r="B196" s="344"/>
      <c r="C196" s="160"/>
      <c r="D196" s="186"/>
      <c r="E196" s="8"/>
      <c r="F196" s="8"/>
      <c r="G196" s="149"/>
      <c r="H196" s="36"/>
      <c r="L196" s="11"/>
      <c r="M196" s="15"/>
      <c r="N196" s="15"/>
      <c r="O196" s="15"/>
      <c r="P196" s="15"/>
      <c r="Q196" s="15"/>
      <c r="R196" s="15"/>
      <c r="S196" s="15"/>
      <c r="T196" s="15"/>
      <c r="U196" s="15"/>
      <c r="V196" s="15"/>
      <c r="W196" s="15"/>
      <c r="X196" s="15"/>
      <c r="Y196" s="15"/>
      <c r="Z196" s="15"/>
      <c r="AA196" s="15"/>
      <c r="AB196" s="15"/>
      <c r="AC196" s="15"/>
      <c r="AD196" s="15"/>
      <c r="AE196" s="15"/>
      <c r="AF196" s="15"/>
    </row>
    <row r="197" ht="16.5" customHeight="1">
      <c r="A197" s="32" t="s">
        <v>5</v>
      </c>
      <c r="B197" s="344" t="s">
        <v>2878</v>
      </c>
      <c r="C197" s="160" t="s">
        <v>2830</v>
      </c>
      <c r="D197" s="186" t="s">
        <v>20</v>
      </c>
      <c r="E197" s="8" t="s">
        <v>88</v>
      </c>
      <c r="F197" s="8" t="s">
        <v>89</v>
      </c>
      <c r="G197" s="149"/>
      <c r="H197" s="36"/>
      <c r="L197" s="11"/>
      <c r="M197" s="15"/>
      <c r="N197" s="15"/>
      <c r="O197" s="15"/>
      <c r="P197" s="15"/>
      <c r="Q197" s="15"/>
      <c r="R197" s="15"/>
      <c r="S197" s="15"/>
      <c r="T197" s="15"/>
      <c r="U197" s="15"/>
      <c r="V197" s="15"/>
      <c r="W197" s="15"/>
      <c r="X197" s="15"/>
      <c r="Y197" s="15"/>
      <c r="Z197" s="15"/>
      <c r="AA197" s="15"/>
      <c r="AB197" s="15"/>
      <c r="AC197" s="15"/>
      <c r="AD197" s="15"/>
      <c r="AE197" s="15"/>
      <c r="AF197" s="15"/>
    </row>
    <row r="198" ht="16.5" customHeight="1">
      <c r="A198" s="32" t="s">
        <v>5</v>
      </c>
      <c r="E198" s="8" t="s">
        <v>21</v>
      </c>
      <c r="F198" s="8" t="s">
        <v>51</v>
      </c>
      <c r="G198" s="149" t="s">
        <v>2879</v>
      </c>
      <c r="H198" s="8" t="s">
        <v>51</v>
      </c>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6.5" customHeight="1">
      <c r="A199" s="32" t="s">
        <v>5</v>
      </c>
      <c r="E199" s="28" t="s">
        <v>408</v>
      </c>
      <c r="F199" s="8" t="s">
        <v>408</v>
      </c>
      <c r="G199" s="149" t="s">
        <v>2880</v>
      </c>
      <c r="H199" s="8" t="s">
        <v>408</v>
      </c>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6.5" customHeight="1">
      <c r="A200" s="32" t="s">
        <v>5</v>
      </c>
      <c r="E200" s="28" t="s">
        <v>172</v>
      </c>
      <c r="F200" s="38" t="s">
        <v>194</v>
      </c>
      <c r="G200" s="149" t="s">
        <v>2881</v>
      </c>
      <c r="H200" s="38" t="s">
        <v>194</v>
      </c>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6.5" customHeight="1">
      <c r="A201" s="32" t="s">
        <v>5</v>
      </c>
      <c r="E201" s="28" t="s">
        <v>172</v>
      </c>
      <c r="F201" s="28" t="s">
        <v>195</v>
      </c>
      <c r="G201" s="149" t="s">
        <v>2882</v>
      </c>
      <c r="H201" s="38" t="s">
        <v>195</v>
      </c>
      <c r="I201" s="9"/>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6.5" customHeight="1">
      <c r="A202" s="32" t="s">
        <v>5</v>
      </c>
      <c r="E202" s="8" t="s">
        <v>116</v>
      </c>
      <c r="F202" s="8" t="s">
        <v>817</v>
      </c>
      <c r="G202" s="149" t="s">
        <v>2883</v>
      </c>
      <c r="H202" s="8" t="s">
        <v>817</v>
      </c>
      <c r="I202" s="31"/>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6.5" customHeight="1">
      <c r="A203" s="32" t="s">
        <v>5</v>
      </c>
      <c r="E203" s="8" t="s">
        <v>116</v>
      </c>
      <c r="F203" s="8" t="s">
        <v>117</v>
      </c>
      <c r="G203" s="149" t="s">
        <v>2884</v>
      </c>
      <c r="H203" s="8" t="s">
        <v>117</v>
      </c>
      <c r="I203" s="31"/>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6.5" customHeight="1">
      <c r="A204" s="32" t="s">
        <v>5</v>
      </c>
      <c r="E204" s="8" t="s">
        <v>116</v>
      </c>
      <c r="F204" s="8" t="s">
        <v>817</v>
      </c>
      <c r="G204" s="149" t="s">
        <v>2885</v>
      </c>
      <c r="H204" s="8" t="s">
        <v>2838</v>
      </c>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6.5" customHeight="1">
      <c r="A205" s="32" t="s">
        <v>5</v>
      </c>
      <c r="E205" s="8" t="s">
        <v>116</v>
      </c>
      <c r="F205" s="8" t="s">
        <v>117</v>
      </c>
      <c r="G205" s="149" t="s">
        <v>2886</v>
      </c>
      <c r="H205" s="8" t="s">
        <v>2840</v>
      </c>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6.5" customHeight="1">
      <c r="A206" s="32" t="s">
        <v>5</v>
      </c>
      <c r="E206" s="8" t="s">
        <v>116</v>
      </c>
      <c r="F206" s="8" t="s">
        <v>817</v>
      </c>
      <c r="G206" s="149" t="s">
        <v>2887</v>
      </c>
      <c r="H206" s="8" t="s">
        <v>2808</v>
      </c>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6.5" customHeight="1">
      <c r="A207" s="32" t="s">
        <v>5</v>
      </c>
      <c r="E207" s="28" t="s">
        <v>116</v>
      </c>
      <c r="F207" s="8" t="s">
        <v>117</v>
      </c>
      <c r="G207" s="149" t="s">
        <v>2888</v>
      </c>
      <c r="H207" s="8" t="s">
        <v>2810</v>
      </c>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6.5" customHeight="1">
      <c r="A208" s="32" t="s">
        <v>5</v>
      </c>
      <c r="E208" s="28" t="s">
        <v>116</v>
      </c>
      <c r="F208" s="38" t="s">
        <v>817</v>
      </c>
      <c r="G208" s="149" t="s">
        <v>2889</v>
      </c>
      <c r="H208" s="38" t="s">
        <v>2812</v>
      </c>
      <c r="I208" s="9"/>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6.5" customHeight="1">
      <c r="A209" s="32" t="s">
        <v>5</v>
      </c>
      <c r="E209" s="28" t="s">
        <v>116</v>
      </c>
      <c r="F209" s="28" t="s">
        <v>117</v>
      </c>
      <c r="G209" s="149" t="s">
        <v>2890</v>
      </c>
      <c r="H209" s="38" t="s">
        <v>2814</v>
      </c>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6.5" customHeight="1">
      <c r="A210" s="15"/>
      <c r="B210" s="345"/>
      <c r="C210" s="346"/>
      <c r="D210" s="347"/>
      <c r="E210" s="31"/>
      <c r="F210" s="31"/>
      <c r="G210" s="69"/>
      <c r="H210" s="31"/>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6.5" customHeight="1">
      <c r="A211" s="32" t="s">
        <v>5</v>
      </c>
      <c r="B211" s="344" t="s">
        <v>2891</v>
      </c>
      <c r="C211" s="160" t="s">
        <v>2892</v>
      </c>
      <c r="D211" s="186" t="s">
        <v>20</v>
      </c>
      <c r="E211" s="8" t="s">
        <v>88</v>
      </c>
      <c r="F211" s="8" t="s">
        <v>89</v>
      </c>
      <c r="G211" s="149"/>
      <c r="H211" s="36"/>
      <c r="L211" s="11"/>
      <c r="M211" s="15"/>
      <c r="N211" s="15"/>
      <c r="O211" s="15"/>
      <c r="P211" s="15"/>
      <c r="Q211" s="15"/>
      <c r="R211" s="15"/>
      <c r="S211" s="15"/>
      <c r="T211" s="15"/>
      <c r="U211" s="15"/>
      <c r="V211" s="15"/>
      <c r="W211" s="15"/>
      <c r="X211" s="15"/>
      <c r="Y211" s="15"/>
      <c r="Z211" s="15"/>
      <c r="AA211" s="15"/>
      <c r="AB211" s="15"/>
      <c r="AC211" s="15"/>
      <c r="AD211" s="15"/>
      <c r="AE211" s="15"/>
      <c r="AF211" s="15"/>
    </row>
    <row r="212" ht="16.5" customHeight="1">
      <c r="A212" s="32" t="s">
        <v>5</v>
      </c>
      <c r="E212" s="8" t="s">
        <v>21</v>
      </c>
      <c r="F212" s="8" t="s">
        <v>51</v>
      </c>
      <c r="G212" s="149" t="s">
        <v>2893</v>
      </c>
      <c r="H212" s="8" t="s">
        <v>51</v>
      </c>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6.5" customHeight="1">
      <c r="A213" s="32" t="s">
        <v>5</v>
      </c>
      <c r="E213" s="8" t="s">
        <v>408</v>
      </c>
      <c r="F213" s="8" t="s">
        <v>408</v>
      </c>
      <c r="G213" s="149" t="s">
        <v>2894</v>
      </c>
      <c r="H213" s="8" t="s">
        <v>408</v>
      </c>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6.5" customHeight="1">
      <c r="A214" s="32" t="s">
        <v>5</v>
      </c>
      <c r="E214" s="8" t="s">
        <v>172</v>
      </c>
      <c r="F214" s="8" t="s">
        <v>194</v>
      </c>
      <c r="G214" s="149" t="s">
        <v>2895</v>
      </c>
      <c r="H214" s="8" t="s">
        <v>194</v>
      </c>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6.5" customHeight="1">
      <c r="A215" s="32" t="s">
        <v>5</v>
      </c>
      <c r="E215" s="8" t="s">
        <v>172</v>
      </c>
      <c r="F215" s="8" t="s">
        <v>195</v>
      </c>
      <c r="G215" s="149" t="s">
        <v>2896</v>
      </c>
      <c r="H215" s="8" t="s">
        <v>195</v>
      </c>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6.5" customHeight="1">
      <c r="A216" s="32"/>
      <c r="E216" s="28" t="s">
        <v>116</v>
      </c>
      <c r="F216" s="8" t="s">
        <v>817</v>
      </c>
      <c r="G216" s="149" t="str">
        <f>HYPERLINK("https://docs.google.com/spreadsheets/d/1xTrvncOFBIW6Qt_3ub6Z7S_q2slV7K80JBTxdZ8r2hk/edit#gid=1736083037", "https://docs.google.com/spreadsheets/d/1xTrvncOFBIW6Qt_3ub6Z7S_q2slV7K80JBTxdZ8r2hk/edit#gid=1736083037")</f>
        <v>https://docs.google.com/spreadsheets/d/1xTrvncOFBIW6Qt_3ub6Z7S_q2slV7K80JBTxdZ8r2hk/edit#gid=1736083037</v>
      </c>
      <c r="H216" s="8" t="s">
        <v>817</v>
      </c>
      <c r="I216" s="9"/>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6.5" customHeight="1">
      <c r="A217" s="32"/>
      <c r="E217" s="28" t="s">
        <v>116</v>
      </c>
      <c r="F217" s="8" t="s">
        <v>117</v>
      </c>
      <c r="G217" s="149" t="str">
        <f>HYPERLINK("https://docs.google.com/spreadsheets/d/1xTrvncOFBIW6Qt_3ub6Z7S_q2slV7K80JBTxdZ8r2hk/edit#gid=458836908", "https://docs.google.com/spreadsheets/d/1xTrvncOFBIW6Qt_3ub6Z7S_q2slV7K80JBTxdZ8r2hk/edit#gid=458836908")</f>
        <v>https://docs.google.com/spreadsheets/d/1xTrvncOFBIW6Qt_3ub6Z7S_q2slV7K80JBTxdZ8r2hk/edit#gid=458836908</v>
      </c>
      <c r="H217" s="8" t="s">
        <v>117</v>
      </c>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6.5" customHeight="1">
      <c r="A218" s="32" t="s">
        <v>5</v>
      </c>
      <c r="E218" s="28" t="s">
        <v>116</v>
      </c>
      <c r="F218" s="8" t="s">
        <v>825</v>
      </c>
      <c r="G218" s="149" t="s">
        <v>2897</v>
      </c>
      <c r="H218" s="8" t="s">
        <v>825</v>
      </c>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6.5" customHeight="1">
      <c r="A219" s="32" t="s">
        <v>5</v>
      </c>
      <c r="E219" s="28" t="s">
        <v>21</v>
      </c>
      <c r="F219" s="38" t="s">
        <v>51</v>
      </c>
      <c r="G219" s="149" t="s">
        <v>2898</v>
      </c>
      <c r="H219" s="38" t="s">
        <v>1383</v>
      </c>
      <c r="I219" s="31"/>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6.5" customHeight="1">
      <c r="A220" s="32" t="s">
        <v>5</v>
      </c>
      <c r="E220" s="28" t="s">
        <v>88</v>
      </c>
      <c r="F220" s="28" t="s">
        <v>96</v>
      </c>
      <c r="G220" s="149" t="s">
        <v>2899</v>
      </c>
      <c r="H220" s="38" t="s">
        <v>96</v>
      </c>
      <c r="I220" s="31"/>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6.5" customHeight="1">
      <c r="A221" s="32" t="s">
        <v>5</v>
      </c>
      <c r="E221" s="8" t="s">
        <v>86</v>
      </c>
      <c r="F221" s="58" t="s">
        <v>91</v>
      </c>
      <c r="G221" s="149" t="s">
        <v>2900</v>
      </c>
      <c r="H221" s="58" t="s">
        <v>91</v>
      </c>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6.5" customHeight="1">
      <c r="A222" s="32" t="s">
        <v>5</v>
      </c>
      <c r="E222" s="8" t="s">
        <v>104</v>
      </c>
      <c r="F222" s="8" t="s">
        <v>250</v>
      </c>
      <c r="G222" s="149" t="s">
        <v>2901</v>
      </c>
      <c r="H222" s="8" t="s">
        <v>250</v>
      </c>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6.5" customHeight="1">
      <c r="A223" s="32"/>
      <c r="B223" s="344"/>
      <c r="C223" s="83"/>
      <c r="D223" s="348"/>
      <c r="E223" s="8"/>
      <c r="F223" s="8"/>
      <c r="G223" s="149"/>
      <c r="H223" s="36"/>
      <c r="L223" s="11"/>
      <c r="M223" s="15"/>
      <c r="N223" s="15"/>
      <c r="O223" s="15"/>
      <c r="P223" s="15"/>
      <c r="Q223" s="15"/>
      <c r="R223" s="15"/>
      <c r="S223" s="15"/>
      <c r="T223" s="15"/>
      <c r="U223" s="15"/>
      <c r="V223" s="15"/>
      <c r="W223" s="15"/>
      <c r="X223" s="15"/>
      <c r="Y223" s="15"/>
      <c r="Z223" s="15"/>
      <c r="AA223" s="15"/>
      <c r="AB223" s="15"/>
      <c r="AC223" s="15"/>
      <c r="AD223" s="15"/>
      <c r="AE223" s="15"/>
      <c r="AF223" s="15"/>
    </row>
    <row r="224" ht="16.5" customHeight="1">
      <c r="A224" s="32" t="s">
        <v>5</v>
      </c>
      <c r="B224" s="344" t="s">
        <v>2902</v>
      </c>
      <c r="C224" s="83" t="s">
        <v>2903</v>
      </c>
      <c r="D224" s="348" t="s">
        <v>20</v>
      </c>
      <c r="E224" s="8" t="s">
        <v>88</v>
      </c>
      <c r="F224" s="8" t="s">
        <v>89</v>
      </c>
      <c r="G224" s="149"/>
      <c r="H224" s="36"/>
      <c r="L224" s="11"/>
      <c r="M224" s="15"/>
      <c r="N224" s="15"/>
      <c r="O224" s="15"/>
      <c r="P224" s="15"/>
      <c r="Q224" s="15"/>
      <c r="R224" s="15"/>
      <c r="S224" s="15"/>
      <c r="T224" s="15"/>
      <c r="U224" s="15"/>
      <c r="V224" s="15"/>
      <c r="W224" s="15"/>
      <c r="X224" s="15"/>
      <c r="Y224" s="15"/>
      <c r="Z224" s="15"/>
      <c r="AA224" s="15"/>
      <c r="AB224" s="15"/>
      <c r="AC224" s="15"/>
      <c r="AD224" s="15"/>
      <c r="AE224" s="15"/>
      <c r="AF224" s="15"/>
    </row>
    <row r="225" ht="16.5" customHeight="1">
      <c r="A225" s="32" t="s">
        <v>5</v>
      </c>
      <c r="E225" s="8" t="s">
        <v>172</v>
      </c>
      <c r="F225" s="8" t="s">
        <v>194</v>
      </c>
      <c r="G225" s="149" t="s">
        <v>2904</v>
      </c>
      <c r="H225" s="8" t="s">
        <v>194</v>
      </c>
      <c r="I225" s="9"/>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6.5" customHeight="1">
      <c r="A226" s="32" t="s">
        <v>5</v>
      </c>
      <c r="E226" s="8" t="s">
        <v>172</v>
      </c>
      <c r="F226" s="8" t="s">
        <v>195</v>
      </c>
      <c r="G226" s="149" t="s">
        <v>2905</v>
      </c>
      <c r="H226" s="8" t="s">
        <v>195</v>
      </c>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6.5" customHeight="1">
      <c r="A227" s="32" t="s">
        <v>5</v>
      </c>
      <c r="E227" s="8" t="s">
        <v>21</v>
      </c>
      <c r="F227" s="8" t="s">
        <v>51</v>
      </c>
      <c r="G227" s="149" t="s">
        <v>2906</v>
      </c>
      <c r="H227" s="8" t="s">
        <v>51</v>
      </c>
      <c r="I227" s="31"/>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6.5" customHeight="1">
      <c r="A228" s="32" t="s">
        <v>5</v>
      </c>
      <c r="E228" s="28" t="s">
        <v>408</v>
      </c>
      <c r="F228" s="8" t="s">
        <v>408</v>
      </c>
      <c r="G228" s="149" t="s">
        <v>2907</v>
      </c>
      <c r="H228" s="8" t="s">
        <v>408</v>
      </c>
      <c r="I228" s="31"/>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6.5" customHeight="1">
      <c r="A229" s="32" t="s">
        <v>5</v>
      </c>
      <c r="E229" s="28" t="s">
        <v>116</v>
      </c>
      <c r="F229" s="38" t="s">
        <v>817</v>
      </c>
      <c r="G229" s="149" t="s">
        <v>2908</v>
      </c>
      <c r="H229" s="38" t="s">
        <v>817</v>
      </c>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6.5" customHeight="1">
      <c r="A230" s="32" t="s">
        <v>5</v>
      </c>
      <c r="E230" s="28" t="s">
        <v>116</v>
      </c>
      <c r="F230" s="28" t="s">
        <v>117</v>
      </c>
      <c r="G230" s="149" t="s">
        <v>2909</v>
      </c>
      <c r="H230" s="38" t="s">
        <v>117</v>
      </c>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6.5" customHeight="1">
      <c r="A231" s="15"/>
      <c r="E231" s="8" t="s">
        <v>116</v>
      </c>
      <c r="F231" s="58" t="s">
        <v>825</v>
      </c>
      <c r="G231" s="69" t="str">
        <f>HYPERLINK("https://docs.google.com/spreadsheets/d/150PkL-7wO6OVHx7v_sMWiHHIpR4jwLUwmOvwIQfXpB8/edit#gid=73494231", "https://docs.google.com/spreadsheets/d/150PkL-7wO6OVHx7v_sMWiHHIpR4jwLUwmOvwIQfXpB8/edit#gid=73494231")</f>
        <v>https://docs.google.com/spreadsheets/d/150PkL-7wO6OVHx7v_sMWiHHIpR4jwLUwmOvwIQfXpB8/edit#gid=73494231</v>
      </c>
      <c r="H231" s="58" t="s">
        <v>825</v>
      </c>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6.5" customHeight="1">
      <c r="A232" s="32"/>
      <c r="E232" s="8" t="s">
        <v>610</v>
      </c>
      <c r="F232" s="8" t="s">
        <v>848</v>
      </c>
      <c r="G232" s="149" t="str">
        <f>HYPERLINK("https://docs.google.com/spreadsheets/d/150PkL-7wO6OVHx7v_sMWiHHIpR4jwLUwmOvwIQfXpB8/edit#gid=748288360", "https://docs.google.com/spreadsheets/d/150PkL-7wO6OVHx7v_sMWiHHIpR4jwLUwmOvwIQfXpB8/edit#gid=748288360")</f>
        <v>https://docs.google.com/spreadsheets/d/150PkL-7wO6OVHx7v_sMWiHHIpR4jwLUwmOvwIQfXpB8/edit#gid=748288360</v>
      </c>
      <c r="H232" s="35" t="s">
        <v>848</v>
      </c>
      <c r="L232" s="11"/>
      <c r="M232" s="15"/>
      <c r="N232" s="15"/>
      <c r="O232" s="15"/>
      <c r="P232" s="15"/>
      <c r="Q232" s="15"/>
      <c r="R232" s="15"/>
      <c r="S232" s="15"/>
      <c r="T232" s="15"/>
      <c r="U232" s="15"/>
      <c r="V232" s="15"/>
      <c r="W232" s="15"/>
      <c r="X232" s="15"/>
      <c r="Y232" s="15"/>
      <c r="Z232" s="15"/>
      <c r="AA232" s="15"/>
      <c r="AB232" s="15"/>
      <c r="AC232" s="15"/>
      <c r="AD232" s="15"/>
      <c r="AE232" s="15"/>
      <c r="AF232" s="15"/>
    </row>
    <row r="233" ht="16.5" customHeight="1">
      <c r="A233" s="32"/>
      <c r="E233" s="8" t="s">
        <v>88</v>
      </c>
      <c r="F233" s="8" t="s">
        <v>95</v>
      </c>
      <c r="G233" s="149" t="str">
        <f>HYPERLINK("https://docs.google.com/spreadsheets/d/150PkL-7wO6OVHx7v_sMWiHHIpR4jwLUwmOvwIQfXpB8/edit#gid=1239677579", "https://docs.google.com/spreadsheets/d/150PkL-7wO6OVHx7v_sMWiHHIpR4jwLUwmOvwIQfXpB8/edit#gid=1239677579")</f>
        <v>https://docs.google.com/spreadsheets/d/150PkL-7wO6OVHx7v_sMWiHHIpR4jwLUwmOvwIQfXpB8/edit#gid=1239677579</v>
      </c>
      <c r="H233" s="35" t="s">
        <v>95</v>
      </c>
      <c r="L233" s="11"/>
      <c r="M233" s="15"/>
      <c r="N233" s="15"/>
      <c r="O233" s="15"/>
      <c r="P233" s="15"/>
      <c r="Q233" s="15"/>
      <c r="R233" s="15"/>
      <c r="S233" s="15"/>
      <c r="T233" s="15"/>
      <c r="U233" s="15"/>
      <c r="V233" s="15"/>
      <c r="W233" s="15"/>
      <c r="X233" s="15"/>
      <c r="Y233" s="15"/>
      <c r="Z233" s="15"/>
      <c r="AA233" s="15"/>
      <c r="AB233" s="15"/>
      <c r="AC233" s="15"/>
      <c r="AD233" s="15"/>
      <c r="AE233" s="15"/>
      <c r="AF233" s="15"/>
    </row>
    <row r="234" ht="16.5" customHeight="1">
      <c r="A234" s="32"/>
      <c r="E234" s="8" t="s">
        <v>88</v>
      </c>
      <c r="F234" s="8" t="s">
        <v>96</v>
      </c>
      <c r="G234" s="149" t="str">
        <f>HYPERLINK("https://docs.google.com/spreadsheets/d/150PkL-7wO6OVHx7v_sMWiHHIpR4jwLUwmOvwIQfXpB8/edit#gid=1235240482", "https://docs.google.com/spreadsheets/d/150PkL-7wO6OVHx7v_sMWiHHIpR4jwLUwmOvwIQfXpB8/edit#gid=1235240482")</f>
        <v>https://docs.google.com/spreadsheets/d/150PkL-7wO6OVHx7v_sMWiHHIpR4jwLUwmOvwIQfXpB8/edit#gid=1235240482</v>
      </c>
      <c r="H234" s="35" t="s">
        <v>96</v>
      </c>
      <c r="L234" s="11"/>
      <c r="M234" s="15"/>
      <c r="N234" s="15"/>
      <c r="O234" s="15"/>
      <c r="P234" s="15"/>
      <c r="Q234" s="15"/>
      <c r="R234" s="15"/>
      <c r="S234" s="15"/>
      <c r="T234" s="15"/>
      <c r="U234" s="15"/>
      <c r="V234" s="15"/>
      <c r="W234" s="15"/>
      <c r="X234" s="15"/>
      <c r="Y234" s="15"/>
      <c r="Z234" s="15"/>
      <c r="AA234" s="15"/>
      <c r="AB234" s="15"/>
      <c r="AC234" s="15"/>
      <c r="AD234" s="15"/>
      <c r="AE234" s="15"/>
      <c r="AF234" s="15"/>
    </row>
    <row r="235" ht="16.5" customHeight="1">
      <c r="A235" s="32"/>
      <c r="E235" s="8" t="s">
        <v>86</v>
      </c>
      <c r="F235" s="8" t="s">
        <v>90</v>
      </c>
      <c r="G235" s="149" t="str">
        <f>HYPERLINK("https://docs.google.com/spreadsheets/d/150PkL-7wO6OVHx7v_sMWiHHIpR4jwLUwmOvwIQfXpB8/edit#gid=1284381757", "https://docs.google.com/spreadsheets/d/150PkL-7wO6OVHx7v_sMWiHHIpR4jwLUwmOvwIQfXpB8/edit#gid=1284381757")</f>
        <v>https://docs.google.com/spreadsheets/d/150PkL-7wO6OVHx7v_sMWiHHIpR4jwLUwmOvwIQfXpB8/edit#gid=1284381757</v>
      </c>
      <c r="H235" s="35" t="s">
        <v>90</v>
      </c>
      <c r="L235" s="11"/>
      <c r="M235" s="15"/>
      <c r="N235" s="15"/>
      <c r="O235" s="15"/>
      <c r="P235" s="15"/>
      <c r="Q235" s="15"/>
      <c r="R235" s="15"/>
      <c r="S235" s="15"/>
      <c r="T235" s="15"/>
      <c r="U235" s="15"/>
      <c r="V235" s="15"/>
      <c r="W235" s="15"/>
      <c r="X235" s="15"/>
      <c r="Y235" s="15"/>
      <c r="Z235" s="15"/>
      <c r="AA235" s="15"/>
      <c r="AB235" s="15"/>
      <c r="AC235" s="15"/>
      <c r="AD235" s="15"/>
      <c r="AE235" s="15"/>
      <c r="AF235" s="15"/>
    </row>
    <row r="236" ht="16.5" customHeight="1">
      <c r="A236" s="32"/>
      <c r="E236" s="8" t="s">
        <v>86</v>
      </c>
      <c r="F236" s="8" t="s">
        <v>91</v>
      </c>
      <c r="G236" s="149" t="str">
        <f>HYPERLINK("https://docs.google.com/spreadsheets/d/150PkL-7wO6OVHx7v_sMWiHHIpR4jwLUwmOvwIQfXpB8/edit#gid=837549726", "https://docs.google.com/spreadsheets/d/150PkL-7wO6OVHx7v_sMWiHHIpR4jwLUwmOvwIQfXpB8/edit#gid=837549726")</f>
        <v>https://docs.google.com/spreadsheets/d/150PkL-7wO6OVHx7v_sMWiHHIpR4jwLUwmOvwIQfXpB8/edit#gid=837549726</v>
      </c>
      <c r="H236" s="35" t="s">
        <v>91</v>
      </c>
      <c r="L236" s="11"/>
      <c r="M236" s="15"/>
      <c r="N236" s="15"/>
      <c r="O236" s="15"/>
      <c r="P236" s="15"/>
      <c r="Q236" s="15"/>
      <c r="R236" s="15"/>
      <c r="S236" s="15"/>
      <c r="T236" s="15"/>
      <c r="U236" s="15"/>
      <c r="V236" s="15"/>
      <c r="W236" s="15"/>
      <c r="X236" s="15"/>
      <c r="Y236" s="15"/>
      <c r="Z236" s="15"/>
      <c r="AA236" s="15"/>
      <c r="AB236" s="15"/>
      <c r="AC236" s="15"/>
      <c r="AD236" s="15"/>
      <c r="AE236" s="15"/>
      <c r="AF236" s="15"/>
    </row>
    <row r="237" ht="16.5" customHeight="1">
      <c r="A237" s="32"/>
      <c r="E237" s="8" t="s">
        <v>86</v>
      </c>
      <c r="F237" s="8" t="s">
        <v>338</v>
      </c>
      <c r="G237" s="149" t="str">
        <f>HYPERLINK("https://docs.google.com/spreadsheets/d/150PkL-7wO6OVHx7v_sMWiHHIpR4jwLUwmOvwIQfXpB8/edit#gid=382156673", "https://docs.google.com/spreadsheets/d/150PkL-7wO6OVHx7v_sMWiHHIpR4jwLUwmOvwIQfXpB8/edit#gid=382156673")</f>
        <v>https://docs.google.com/spreadsheets/d/150PkL-7wO6OVHx7v_sMWiHHIpR4jwLUwmOvwIQfXpB8/edit#gid=382156673</v>
      </c>
      <c r="H237" s="35" t="s">
        <v>338</v>
      </c>
      <c r="L237" s="11"/>
      <c r="M237" s="15"/>
      <c r="N237" s="15"/>
      <c r="O237" s="15"/>
      <c r="P237" s="15"/>
      <c r="Q237" s="15"/>
      <c r="R237" s="15"/>
      <c r="S237" s="15"/>
      <c r="T237" s="15"/>
      <c r="U237" s="15"/>
      <c r="V237" s="15"/>
      <c r="W237" s="15"/>
      <c r="X237" s="15"/>
      <c r="Y237" s="15"/>
      <c r="Z237" s="15"/>
      <c r="AA237" s="15"/>
      <c r="AB237" s="15"/>
      <c r="AC237" s="15"/>
      <c r="AD237" s="15"/>
      <c r="AE237" s="15"/>
      <c r="AF237" s="15"/>
    </row>
    <row r="238" ht="16.5" customHeight="1">
      <c r="A238" s="32"/>
      <c r="E238" s="8" t="s">
        <v>104</v>
      </c>
      <c r="F238" s="8" t="s">
        <v>250</v>
      </c>
      <c r="G238" s="149" t="str">
        <f>HYPERLINK("https://docs.google.com/spreadsheets/d/150PkL-7wO6OVHx7v_sMWiHHIpR4jwLUwmOvwIQfXpB8/edit#gid=2022459345", "https://docs.google.com/spreadsheets/d/150PkL-7wO6OVHx7v_sMWiHHIpR4jwLUwmOvwIQfXpB8/edit#gid=2022459345")</f>
        <v>https://docs.google.com/spreadsheets/d/150PkL-7wO6OVHx7v_sMWiHHIpR4jwLUwmOvwIQfXpB8/edit#gid=2022459345</v>
      </c>
      <c r="H238" s="35" t="s">
        <v>250</v>
      </c>
      <c r="L238" s="11"/>
      <c r="M238" s="15"/>
      <c r="N238" s="15"/>
      <c r="O238" s="15"/>
      <c r="P238" s="15"/>
      <c r="Q238" s="15"/>
      <c r="R238" s="15"/>
      <c r="S238" s="15"/>
      <c r="T238" s="15"/>
      <c r="U238" s="15"/>
      <c r="V238" s="15"/>
      <c r="W238" s="15"/>
      <c r="X238" s="15"/>
      <c r="Y238" s="15"/>
      <c r="Z238" s="15"/>
      <c r="AA238" s="15"/>
      <c r="AB238" s="15"/>
      <c r="AC238" s="15"/>
      <c r="AD238" s="15"/>
      <c r="AE238" s="15"/>
      <c r="AF238" s="15"/>
    </row>
    <row r="239" ht="16.5" customHeight="1">
      <c r="A239" s="32"/>
      <c r="B239" s="344"/>
      <c r="C239" s="186"/>
      <c r="D239" s="186"/>
      <c r="E239" s="8"/>
      <c r="F239" s="8"/>
      <c r="G239" s="149"/>
      <c r="H239" s="36"/>
      <c r="L239" s="11"/>
      <c r="M239" s="15"/>
      <c r="N239" s="15"/>
      <c r="O239" s="15"/>
      <c r="P239" s="15"/>
      <c r="Q239" s="15"/>
      <c r="R239" s="15"/>
      <c r="S239" s="15"/>
      <c r="T239" s="15"/>
      <c r="U239" s="15"/>
      <c r="V239" s="15"/>
      <c r="W239" s="15"/>
      <c r="X239" s="15"/>
      <c r="Y239" s="15"/>
      <c r="Z239" s="15"/>
      <c r="AA239" s="15"/>
      <c r="AB239" s="15"/>
      <c r="AC239" s="15"/>
      <c r="AD239" s="15"/>
      <c r="AE239" s="15"/>
      <c r="AF239" s="15"/>
    </row>
    <row r="240" ht="16.5" customHeight="1">
      <c r="A240" s="32" t="s">
        <v>5</v>
      </c>
      <c r="B240" s="345" t="s">
        <v>2910</v>
      </c>
      <c r="C240" s="349" t="s">
        <v>2911</v>
      </c>
      <c r="D240" s="350" t="s">
        <v>20</v>
      </c>
      <c r="E240" s="31" t="s">
        <v>88</v>
      </c>
      <c r="F240" s="31" t="s">
        <v>89</v>
      </c>
      <c r="G240" s="31"/>
      <c r="H240" s="31"/>
      <c r="L240" s="11"/>
      <c r="M240" s="15"/>
      <c r="N240" s="15"/>
      <c r="O240" s="15"/>
      <c r="P240" s="15"/>
      <c r="Q240" s="15"/>
      <c r="R240" s="15"/>
      <c r="S240" s="15"/>
      <c r="T240" s="15"/>
      <c r="U240" s="15"/>
      <c r="V240" s="15"/>
      <c r="W240" s="15"/>
      <c r="X240" s="15"/>
      <c r="Y240" s="15"/>
      <c r="Z240" s="15"/>
      <c r="AA240" s="15"/>
      <c r="AB240" s="15"/>
      <c r="AC240" s="15"/>
      <c r="AD240" s="15"/>
      <c r="AE240" s="15"/>
      <c r="AF240" s="15"/>
    </row>
    <row r="241" ht="16.5" customHeight="1">
      <c r="A241" s="32" t="s">
        <v>5</v>
      </c>
      <c r="E241" s="31" t="s">
        <v>172</v>
      </c>
      <c r="F241" s="8" t="s">
        <v>194</v>
      </c>
      <c r="G241" s="60" t="str">
        <f>HYPERLINK("https://docs.google.com/spreadsheets/d/1XmQT16LT5V06Jw6ZvXb2lj2DxZRxNYC_wu_IB8aCdGk/edit#gid=445532876", "https://docs.google.com/spreadsheets/d/1XmQT16LT5V06Jw6ZvXb2lj2DxZRxNYC_wu_IB8aCdGk/edit#gid=445532876")</f>
        <v>https://docs.google.com/spreadsheets/d/1XmQT16LT5V06Jw6ZvXb2lj2DxZRxNYC_wu_IB8aCdGk/edit#gid=445532876</v>
      </c>
      <c r="H241" s="35" t="s">
        <v>194</v>
      </c>
      <c r="L241" s="11"/>
      <c r="M241" s="15"/>
      <c r="N241" s="15"/>
      <c r="O241" s="15"/>
      <c r="P241" s="15"/>
      <c r="Q241" s="15"/>
      <c r="R241" s="15"/>
      <c r="S241" s="15"/>
      <c r="T241" s="15"/>
      <c r="U241" s="15"/>
      <c r="V241" s="15"/>
      <c r="W241" s="15"/>
      <c r="X241" s="15"/>
      <c r="Y241" s="15"/>
      <c r="Z241" s="15"/>
      <c r="AA241" s="15"/>
      <c r="AB241" s="15"/>
      <c r="AC241" s="15"/>
      <c r="AD241" s="15"/>
      <c r="AE241" s="15"/>
      <c r="AF241" s="15"/>
    </row>
    <row r="242" ht="16.5" customHeight="1">
      <c r="A242" s="32" t="s">
        <v>5</v>
      </c>
      <c r="E242" s="31" t="s">
        <v>172</v>
      </c>
      <c r="F242" s="8" t="s">
        <v>195</v>
      </c>
      <c r="G242" s="60" t="str">
        <f>HYPERLINK("https://docs.google.com/spreadsheets/d/1XmQT16LT5V06Jw6ZvXb2lj2DxZRxNYC_wu_IB8aCdGk/edit#gid=1280787752", "https://docs.google.com/spreadsheets/d/1XmQT16LT5V06Jw6ZvXb2lj2DxZRxNYC_wu_IB8aCdGk/edit#gid=1280787752")</f>
        <v>https://docs.google.com/spreadsheets/d/1XmQT16LT5V06Jw6ZvXb2lj2DxZRxNYC_wu_IB8aCdGk/edit#gid=1280787752</v>
      </c>
      <c r="H242" s="35" t="s">
        <v>195</v>
      </c>
      <c r="I242" s="36"/>
      <c r="L242" s="11"/>
      <c r="M242" s="15"/>
      <c r="N242" s="15"/>
      <c r="O242" s="15"/>
      <c r="P242" s="15"/>
      <c r="Q242" s="15"/>
      <c r="R242" s="15"/>
      <c r="S242" s="15"/>
      <c r="T242" s="15"/>
      <c r="U242" s="15"/>
      <c r="V242" s="15"/>
      <c r="W242" s="15"/>
      <c r="X242" s="15"/>
      <c r="Y242" s="15"/>
      <c r="Z242" s="15"/>
      <c r="AA242" s="15"/>
      <c r="AB242" s="15"/>
      <c r="AC242" s="15"/>
      <c r="AD242" s="15"/>
      <c r="AE242" s="15"/>
      <c r="AF242" s="15"/>
    </row>
    <row r="243" ht="16.5" customHeight="1">
      <c r="A243" s="32" t="s">
        <v>5</v>
      </c>
      <c r="E243" s="31" t="s">
        <v>21</v>
      </c>
      <c r="F243" s="8" t="s">
        <v>51</v>
      </c>
      <c r="G243" s="60" t="str">
        <f>HYPERLINK("https://docs.google.com/spreadsheets/d/1XmQT16LT5V06Jw6ZvXb2lj2DxZRxNYC_wu_IB8aCdGk/edit#gid=470271444", "https://docs.google.com/spreadsheets/d/1XmQT16LT5V06Jw6ZvXb2lj2DxZRxNYC_wu_IB8aCdGk/edit#gid=470271444")</f>
        <v>https://docs.google.com/spreadsheets/d/1XmQT16LT5V06Jw6ZvXb2lj2DxZRxNYC_wu_IB8aCdGk/edit#gid=470271444</v>
      </c>
      <c r="H243" s="35" t="s">
        <v>51</v>
      </c>
      <c r="I243" s="36"/>
      <c r="L243" s="11"/>
      <c r="M243" s="15"/>
      <c r="N243" s="15"/>
      <c r="O243" s="15"/>
      <c r="P243" s="15"/>
      <c r="Q243" s="15"/>
      <c r="R243" s="15"/>
      <c r="S243" s="15"/>
      <c r="T243" s="15"/>
      <c r="U243" s="15"/>
      <c r="V243" s="15"/>
      <c r="W243" s="15"/>
      <c r="X243" s="15"/>
      <c r="Y243" s="15"/>
      <c r="Z243" s="15"/>
      <c r="AA243" s="15"/>
      <c r="AB243" s="15"/>
      <c r="AC243" s="15"/>
      <c r="AD243" s="15"/>
      <c r="AE243" s="15"/>
      <c r="AF243" s="15"/>
    </row>
    <row r="244" ht="16.5" customHeight="1">
      <c r="A244" s="32" t="s">
        <v>5</v>
      </c>
      <c r="E244" s="31" t="s">
        <v>408</v>
      </c>
      <c r="F244" s="8" t="s">
        <v>408</v>
      </c>
      <c r="G244" s="60" t="str">
        <f>HYPERLINK("https://docs.google.com/spreadsheets/d/1XmQT16LT5V06Jw6ZvXb2lj2DxZRxNYC_wu_IB8aCdGk/edit#gid=802225156", "https://docs.google.com/spreadsheets/d/1XmQT16LT5V06Jw6ZvXb2lj2DxZRxNYC_wu_IB8aCdGk/edit#gid=802225156")</f>
        <v>https://docs.google.com/spreadsheets/d/1XmQT16LT5V06Jw6ZvXb2lj2DxZRxNYC_wu_IB8aCdGk/edit#gid=802225156</v>
      </c>
      <c r="H244" s="8" t="s">
        <v>408</v>
      </c>
      <c r="L244" s="11"/>
      <c r="M244" s="15"/>
      <c r="N244" s="15"/>
      <c r="O244" s="15"/>
      <c r="P244" s="15"/>
      <c r="Q244" s="15"/>
      <c r="R244" s="15"/>
      <c r="S244" s="15"/>
      <c r="T244" s="15"/>
      <c r="U244" s="15"/>
      <c r="V244" s="15"/>
      <c r="W244" s="15"/>
      <c r="X244" s="15"/>
      <c r="Y244" s="15"/>
      <c r="Z244" s="15"/>
      <c r="AA244" s="15"/>
      <c r="AB244" s="15"/>
      <c r="AC244" s="15"/>
      <c r="AD244" s="15"/>
      <c r="AE244" s="15"/>
      <c r="AF244" s="15"/>
    </row>
    <row r="245" ht="16.5" customHeight="1">
      <c r="A245" s="32" t="s">
        <v>5</v>
      </c>
      <c r="E245" s="31" t="s">
        <v>116</v>
      </c>
      <c r="F245" s="173" t="s">
        <v>817</v>
      </c>
      <c r="G245" s="60" t="str">
        <f>HYPERLINK("https://docs.google.com/spreadsheets/d/1XmQT16LT5V06Jw6ZvXb2lj2DxZRxNYC_wu_IB8aCdGk/edit#gid=2012232965", "https://docs.google.com/spreadsheets/d/1XmQT16LT5V06Jw6ZvXb2lj2DxZRxNYC_wu_IB8aCdGk/edit#gid=2012232965")</f>
        <v>https://docs.google.com/spreadsheets/d/1XmQT16LT5V06Jw6ZvXb2lj2DxZRxNYC_wu_IB8aCdGk/edit#gid=2012232965</v>
      </c>
      <c r="H245" s="35" t="s">
        <v>817</v>
      </c>
      <c r="L245" s="11"/>
      <c r="M245" s="15"/>
      <c r="N245" s="15"/>
      <c r="O245" s="15"/>
      <c r="P245" s="15"/>
      <c r="Q245" s="15"/>
      <c r="R245" s="15"/>
      <c r="S245" s="15"/>
      <c r="T245" s="15"/>
      <c r="U245" s="15"/>
      <c r="V245" s="15"/>
      <c r="W245" s="15"/>
      <c r="X245" s="15"/>
      <c r="Y245" s="15"/>
      <c r="Z245" s="15"/>
      <c r="AA245" s="15"/>
      <c r="AB245" s="15"/>
      <c r="AC245" s="15"/>
      <c r="AD245" s="15"/>
      <c r="AE245" s="15"/>
      <c r="AF245" s="15"/>
    </row>
    <row r="246" ht="16.5" customHeight="1">
      <c r="A246" s="32" t="s">
        <v>5</v>
      </c>
      <c r="E246" s="31" t="s">
        <v>116</v>
      </c>
      <c r="F246" s="8" t="s">
        <v>117</v>
      </c>
      <c r="G246" s="60" t="str">
        <f>HYPERLINK("https://docs.google.com/spreadsheets/d/1XmQT16LT5V06Jw6ZvXb2lj2DxZRxNYC_wu_IB8aCdGk/edit#gid=2054408771", "https://docs.google.com/spreadsheets/d/1XmQT16LT5V06Jw6ZvXb2lj2DxZRxNYC_wu_IB8aCdGk/edit#gid=2054408771")</f>
        <v>https://docs.google.com/spreadsheets/d/1XmQT16LT5V06Jw6ZvXb2lj2DxZRxNYC_wu_IB8aCdGk/edit#gid=2054408771</v>
      </c>
      <c r="H246" s="35" t="s">
        <v>117</v>
      </c>
      <c r="L246" s="11"/>
      <c r="M246" s="15"/>
      <c r="N246" s="15"/>
      <c r="O246" s="15"/>
      <c r="P246" s="15"/>
      <c r="Q246" s="15"/>
      <c r="R246" s="15"/>
      <c r="S246" s="15"/>
      <c r="T246" s="15"/>
      <c r="U246" s="15"/>
      <c r="V246" s="15"/>
      <c r="W246" s="15"/>
      <c r="X246" s="15"/>
      <c r="Y246" s="15"/>
      <c r="Z246" s="15"/>
      <c r="AA246" s="15"/>
      <c r="AB246" s="15"/>
      <c r="AC246" s="15"/>
      <c r="AD246" s="15"/>
      <c r="AE246" s="15"/>
      <c r="AF246" s="15"/>
    </row>
    <row r="247" ht="16.5" customHeight="1">
      <c r="A247" s="15"/>
      <c r="B247" s="345"/>
      <c r="C247" s="346"/>
      <c r="D247" s="347"/>
      <c r="E247" s="31"/>
      <c r="F247" s="59"/>
      <c r="G247" s="69"/>
      <c r="H247" s="59"/>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6.5" customHeight="1">
      <c r="A248" s="15"/>
      <c r="B248" s="344" t="s">
        <v>2912</v>
      </c>
      <c r="C248" s="163" t="s">
        <v>2913</v>
      </c>
      <c r="D248" s="348" t="s">
        <v>20</v>
      </c>
      <c r="E248" s="28" t="s">
        <v>88</v>
      </c>
      <c r="F248" s="8" t="s">
        <v>89</v>
      </c>
      <c r="G248" s="351"/>
      <c r="H248" s="36"/>
      <c r="L248" s="11"/>
      <c r="M248" s="15"/>
      <c r="N248" s="15"/>
      <c r="O248" s="15"/>
      <c r="P248" s="15"/>
      <c r="Q248" s="15"/>
      <c r="R248" s="15"/>
      <c r="S248" s="15"/>
      <c r="T248" s="15"/>
      <c r="U248" s="15"/>
      <c r="V248" s="15"/>
      <c r="W248" s="15"/>
      <c r="X248" s="15"/>
      <c r="Y248" s="15"/>
      <c r="Z248" s="15"/>
      <c r="AA248" s="15"/>
      <c r="AB248" s="15"/>
      <c r="AC248" s="15"/>
      <c r="AD248" s="15"/>
      <c r="AE248" s="15"/>
      <c r="AF248" s="15"/>
    </row>
    <row r="249" ht="16.5" customHeight="1">
      <c r="A249" s="15"/>
      <c r="E249" s="8" t="s">
        <v>172</v>
      </c>
      <c r="F249" s="8" t="s">
        <v>194</v>
      </c>
      <c r="G249" s="149" t="str">
        <f>HYPERLINK("https://docs.google.com/spreadsheets/d/1d89ra6TYLS-DchKdtXcL3vcvZVxxHTb8AI8B4kGLWL4/edit#gid=1195781452", "https://docs.google.com/spreadsheets/d/1d89ra6TYLS-DchKdtXcL3vcvZVxxHTb8AI8B4kGLWL4/edit#gid=1195781452")</f>
        <v>https://docs.google.com/spreadsheets/d/1d89ra6TYLS-DchKdtXcL3vcvZVxxHTb8AI8B4kGLWL4/edit#gid=1195781452</v>
      </c>
      <c r="H249" s="8" t="s">
        <v>194</v>
      </c>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6.5" customHeight="1">
      <c r="A250" s="15"/>
      <c r="E250" s="8" t="s">
        <v>172</v>
      </c>
      <c r="F250" s="8" t="s">
        <v>195</v>
      </c>
      <c r="G250" s="149" t="str">
        <f>HYPERLINK("https://docs.google.com/spreadsheets/d/1d89ra6TYLS-DchKdtXcL3vcvZVxxHTb8AI8B4kGLWL4/edit#gid=923070412", "https://docs.google.com/spreadsheets/d/1d89ra6TYLS-DchKdtXcL3vcvZVxxHTb8AI8B4kGLWL4/edit#gid=923070412")</f>
        <v>https://docs.google.com/spreadsheets/d/1d89ra6TYLS-DchKdtXcL3vcvZVxxHTb8AI8B4kGLWL4/edit#gid=923070412</v>
      </c>
      <c r="H250" s="8" t="s">
        <v>195</v>
      </c>
      <c r="I250" s="9"/>
      <c r="J250" s="9"/>
      <c r="K250" s="61"/>
      <c r="L250" s="11"/>
      <c r="M250" s="15"/>
      <c r="N250" s="15"/>
      <c r="O250" s="15"/>
      <c r="P250" s="15"/>
      <c r="Q250" s="15"/>
      <c r="R250" s="15"/>
      <c r="S250" s="15"/>
      <c r="T250" s="15"/>
      <c r="U250" s="15"/>
      <c r="V250" s="15"/>
      <c r="W250" s="15"/>
      <c r="X250" s="15"/>
      <c r="Y250" s="15"/>
      <c r="Z250" s="15"/>
      <c r="AA250" s="15"/>
      <c r="AB250" s="15"/>
      <c r="AC250" s="15"/>
      <c r="AD250" s="15"/>
      <c r="AE250" s="15"/>
      <c r="AF250" s="15"/>
    </row>
    <row r="251" ht="16.5" customHeight="1">
      <c r="A251" s="15"/>
      <c r="E251" s="8" t="s">
        <v>21</v>
      </c>
      <c r="F251" s="8" t="s">
        <v>51</v>
      </c>
      <c r="G251" s="149" t="str">
        <f>HYPERLINK("https://docs.google.com/spreadsheets/d/1d89ra6TYLS-DchKdtXcL3vcvZVxxHTb8AI8B4kGLWL4/edit#gid=1650292711", "https://docs.google.com/spreadsheets/d/1d89ra6TYLS-DchKdtXcL3vcvZVxxHTb8AI8B4kGLWL4/edit#gid=1650292711")</f>
        <v>https://docs.google.com/spreadsheets/d/1d89ra6TYLS-DchKdtXcL3vcvZVxxHTb8AI8B4kGLWL4/edit#gid=1650292711</v>
      </c>
      <c r="H251" s="8" t="s">
        <v>51</v>
      </c>
      <c r="I251" s="31"/>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6.5" customHeight="1">
      <c r="A252" s="15"/>
      <c r="E252" s="28" t="s">
        <v>408</v>
      </c>
      <c r="F252" s="8" t="s">
        <v>408</v>
      </c>
      <c r="G252" s="149" t="str">
        <f>HYPERLINK("https://docs.google.com/spreadsheets/d/1d89ra6TYLS-DchKdtXcL3vcvZVxxHTb8AI8B4kGLWL4/edit#gid=608104076", "https://docs.google.com/spreadsheets/d/1d89ra6TYLS-DchKdtXcL3vcvZVxxHTb8AI8B4kGLWL4/edit#gid=608104076")</f>
        <v>https://docs.google.com/spreadsheets/d/1d89ra6TYLS-DchKdtXcL3vcvZVxxHTb8AI8B4kGLWL4/edit#gid=608104076</v>
      </c>
      <c r="H252" s="8" t="s">
        <v>408</v>
      </c>
      <c r="I252" s="9"/>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6.5" customHeight="1">
      <c r="A253" s="15"/>
      <c r="E253" s="28" t="s">
        <v>172</v>
      </c>
      <c r="F253" s="38" t="s">
        <v>173</v>
      </c>
      <c r="G253" s="149" t="str">
        <f>HYPERLINK("https://docs.google.com/spreadsheets/d/1d89ra6TYLS-DchKdtXcL3vcvZVxxHTb8AI8B4kGLWL4/edit#gid=1499137493", "https://docs.google.com/spreadsheets/d/1d89ra6TYLS-DchKdtXcL3vcvZVxxHTb8AI8B4kGLWL4/edit#gid=1499137493")</f>
        <v>https://docs.google.com/spreadsheets/d/1d89ra6TYLS-DchKdtXcL3vcvZVxxHTb8AI8B4kGLWL4/edit#gid=1499137493</v>
      </c>
      <c r="H253" s="35" t="s">
        <v>173</v>
      </c>
      <c r="I253" s="36"/>
      <c r="L253" s="11"/>
      <c r="M253" s="15"/>
      <c r="N253" s="15"/>
      <c r="O253" s="15"/>
      <c r="P253" s="15"/>
      <c r="Q253" s="15"/>
      <c r="R253" s="15"/>
      <c r="S253" s="15"/>
      <c r="T253" s="15"/>
      <c r="U253" s="15"/>
      <c r="V253" s="15"/>
      <c r="W253" s="15"/>
      <c r="X253" s="15"/>
      <c r="Y253" s="15"/>
      <c r="Z253" s="15"/>
      <c r="AA253" s="15"/>
      <c r="AB253" s="15"/>
      <c r="AC253" s="15"/>
      <c r="AD253" s="15"/>
      <c r="AE253" s="15"/>
      <c r="AF253" s="15"/>
    </row>
    <row r="254" ht="16.5" customHeight="1">
      <c r="A254" s="15"/>
      <c r="E254" s="28" t="s">
        <v>172</v>
      </c>
      <c r="F254" s="38" t="s">
        <v>174</v>
      </c>
      <c r="G254" s="149" t="str">
        <f>HYPERLINK("https://docs.google.com/spreadsheets/d/1d89ra6TYLS-DchKdtXcL3vcvZVxxHTb8AI8B4kGLWL4/edit#gid=693104129", "https://docs.google.com/spreadsheets/d/1d89ra6TYLS-DchKdtXcL3vcvZVxxHTb8AI8B4kGLWL4/edit#gid=693104129")</f>
        <v>https://docs.google.com/spreadsheets/d/1d89ra6TYLS-DchKdtXcL3vcvZVxxHTb8AI8B4kGLWL4/edit#gid=693104129</v>
      </c>
      <c r="H254" s="35" t="s">
        <v>174</v>
      </c>
      <c r="I254" s="36"/>
      <c r="L254" s="11"/>
      <c r="M254" s="15"/>
      <c r="N254" s="15"/>
      <c r="O254" s="15"/>
      <c r="P254" s="15"/>
      <c r="Q254" s="15"/>
      <c r="R254" s="15"/>
      <c r="S254" s="15"/>
      <c r="T254" s="15"/>
      <c r="U254" s="15"/>
      <c r="V254" s="15"/>
      <c r="W254" s="15"/>
      <c r="X254" s="15"/>
      <c r="Y254" s="15"/>
      <c r="Z254" s="15"/>
      <c r="AA254" s="15"/>
      <c r="AB254" s="15"/>
      <c r="AC254" s="15"/>
      <c r="AD254" s="15"/>
      <c r="AE254" s="15"/>
      <c r="AF254" s="15"/>
    </row>
    <row r="255" ht="16.5" customHeight="1">
      <c r="A255" s="15"/>
      <c r="E255" s="28" t="s">
        <v>116</v>
      </c>
      <c r="F255" s="38" t="s">
        <v>817</v>
      </c>
      <c r="G255" s="149" t="str">
        <f>HYPERLINK("https://docs.google.com/spreadsheets/d/1d89ra6TYLS-DchKdtXcL3vcvZVxxHTb8AI8B4kGLWL4/edit#gid=551920787", "https://docs.google.com/spreadsheets/d/1d89ra6TYLS-DchKdtXcL3vcvZVxxHTb8AI8B4kGLWL4/edit#gid=551920787")</f>
        <v>https://docs.google.com/spreadsheets/d/1d89ra6TYLS-DchKdtXcL3vcvZVxxHTb8AI8B4kGLWL4/edit#gid=551920787</v>
      </c>
      <c r="H255" s="35" t="s">
        <v>817</v>
      </c>
      <c r="I255" s="36"/>
      <c r="L255" s="11"/>
      <c r="M255" s="15"/>
      <c r="N255" s="15"/>
      <c r="O255" s="15"/>
      <c r="P255" s="15"/>
      <c r="Q255" s="15"/>
      <c r="R255" s="15"/>
      <c r="S255" s="15"/>
      <c r="T255" s="15"/>
      <c r="U255" s="15"/>
      <c r="V255" s="15"/>
      <c r="W255" s="15"/>
      <c r="X255" s="15"/>
      <c r="Y255" s="15"/>
      <c r="Z255" s="15"/>
      <c r="AA255" s="15"/>
      <c r="AB255" s="15"/>
      <c r="AC255" s="15"/>
      <c r="AD255" s="15"/>
      <c r="AE255" s="15"/>
      <c r="AF255" s="15"/>
    </row>
    <row r="256" ht="16.5" customHeight="1">
      <c r="A256" s="15"/>
      <c r="E256" s="28" t="s">
        <v>116</v>
      </c>
      <c r="F256" s="28" t="s">
        <v>117</v>
      </c>
      <c r="G256" s="149" t="str">
        <f>HYPERLINK("https://docs.google.com/spreadsheets/d/1d89ra6TYLS-DchKdtXcL3vcvZVxxHTb8AI8B4kGLWL4/edit#gid=1602185446", "https://docs.google.com/spreadsheets/d/1d89ra6TYLS-DchKdtXcL3vcvZVxxHTb8AI8B4kGLWL4/edit#gid=1602185446")</f>
        <v>https://docs.google.com/spreadsheets/d/1d89ra6TYLS-DchKdtXcL3vcvZVxxHTb8AI8B4kGLWL4/edit#gid=1602185446</v>
      </c>
      <c r="H256" s="35" t="s">
        <v>117</v>
      </c>
      <c r="L256" s="11"/>
      <c r="M256" s="15"/>
      <c r="N256" s="15"/>
      <c r="O256" s="15"/>
      <c r="P256" s="15"/>
      <c r="Q256" s="15"/>
      <c r="R256" s="15"/>
      <c r="S256" s="15"/>
      <c r="T256" s="15"/>
      <c r="U256" s="15"/>
      <c r="V256" s="15"/>
      <c r="W256" s="15"/>
      <c r="X256" s="15"/>
      <c r="Y256" s="15"/>
      <c r="Z256" s="15"/>
      <c r="AA256" s="15"/>
      <c r="AB256" s="15"/>
      <c r="AC256" s="15"/>
      <c r="AD256" s="15"/>
      <c r="AE256" s="15"/>
      <c r="AF256" s="15"/>
    </row>
    <row r="257" ht="16.5" customHeight="1">
      <c r="A257" s="15"/>
      <c r="E257" s="28" t="s">
        <v>116</v>
      </c>
      <c r="F257" s="28" t="s">
        <v>823</v>
      </c>
      <c r="G257" s="149" t="str">
        <f>HYPERLINK("https://docs.google.com/spreadsheets/d/1d89ra6TYLS-DchKdtXcL3vcvZVxxHTb8AI8B4kGLWL4/edit#gid=1452354754", "https://docs.google.com/spreadsheets/d/1d89ra6TYLS-DchKdtXcL3vcvZVxxHTb8AI8B4kGLWL4/edit#gid=1452354754")</f>
        <v>https://docs.google.com/spreadsheets/d/1d89ra6TYLS-DchKdtXcL3vcvZVxxHTb8AI8B4kGLWL4/edit#gid=1452354754</v>
      </c>
      <c r="H257" s="35" t="s">
        <v>823</v>
      </c>
      <c r="L257" s="11"/>
      <c r="M257" s="15"/>
      <c r="N257" s="15"/>
      <c r="O257" s="15"/>
      <c r="P257" s="15"/>
      <c r="Q257" s="15"/>
      <c r="R257" s="15"/>
      <c r="S257" s="15"/>
      <c r="T257" s="15"/>
      <c r="U257" s="15"/>
      <c r="V257" s="15"/>
      <c r="W257" s="15"/>
      <c r="X257" s="15"/>
      <c r="Y257" s="15"/>
      <c r="Z257" s="15"/>
      <c r="AA257" s="15"/>
      <c r="AB257" s="15"/>
      <c r="AC257" s="15"/>
      <c r="AD257" s="15"/>
      <c r="AE257" s="15"/>
      <c r="AF257" s="15"/>
    </row>
    <row r="258" ht="16.5" customHeight="1">
      <c r="A258" s="15"/>
      <c r="E258" s="28" t="s">
        <v>43</v>
      </c>
      <c r="F258" s="28" t="s">
        <v>109</v>
      </c>
      <c r="G258" s="149" t="str">
        <f>HYPERLINK("https://docs.google.com/spreadsheets/d/1d89ra6TYLS-DchKdtXcL3vcvZVxxHTb8AI8B4kGLWL4/edit#gid=1380533797", "https://docs.google.com/spreadsheets/d/1d89ra6TYLS-DchKdtXcL3vcvZVxxHTb8AI8B4kGLWL4/edit#gid=1380533797")</f>
        <v>https://docs.google.com/spreadsheets/d/1d89ra6TYLS-DchKdtXcL3vcvZVxxHTb8AI8B4kGLWL4/edit#gid=1380533797</v>
      </c>
      <c r="H258" s="35" t="s">
        <v>109</v>
      </c>
      <c r="L258" s="11"/>
      <c r="M258" s="15"/>
      <c r="N258" s="15"/>
      <c r="O258" s="15"/>
      <c r="P258" s="15"/>
      <c r="Q258" s="15"/>
      <c r="R258" s="15"/>
      <c r="S258" s="15"/>
      <c r="T258" s="15"/>
      <c r="U258" s="15"/>
      <c r="V258" s="15"/>
      <c r="W258" s="15"/>
      <c r="X258" s="15"/>
      <c r="Y258" s="15"/>
      <c r="Z258" s="15"/>
      <c r="AA258" s="15"/>
      <c r="AB258" s="15"/>
      <c r="AC258" s="15"/>
      <c r="AD258" s="15"/>
      <c r="AE258" s="15"/>
      <c r="AF258" s="15"/>
    </row>
    <row r="259" ht="16.5" customHeight="1">
      <c r="A259" s="15"/>
      <c r="E259" s="8" t="s">
        <v>21</v>
      </c>
      <c r="F259" s="8" t="s">
        <v>51</v>
      </c>
      <c r="G259" s="149" t="str">
        <f>HYPERLINK("https://docs.google.com/spreadsheets/d/1d89ra6TYLS-DchKdtXcL3vcvZVxxHTb8AI8B4kGLWL4/edit#gid=1260027331", "https://docs.google.com/spreadsheets/d/1d89ra6TYLS-DchKdtXcL3vcvZVxxHTb8AI8B4kGLWL4/edit#gid=1260027331")</f>
        <v>https://docs.google.com/spreadsheets/d/1d89ra6TYLS-DchKdtXcL3vcvZVxxHTb8AI8B4kGLWL4/edit#gid=1260027331</v>
      </c>
      <c r="H259" s="8" t="s">
        <v>1383</v>
      </c>
      <c r="I259" s="9"/>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6.5" customHeight="1">
      <c r="A260" s="15"/>
      <c r="E260" s="8" t="s">
        <v>43</v>
      </c>
      <c r="F260" s="62" t="s">
        <v>79</v>
      </c>
      <c r="G260" s="149" t="str">
        <f>HYPERLINK("https://docs.google.com/spreadsheets/d/1d89ra6TYLS-DchKdtXcL3vcvZVxxHTb8AI8B4kGLWL4/edit#gid=642280824", "https://docs.google.com/spreadsheets/d/1d89ra6TYLS-DchKdtXcL3vcvZVxxHTb8AI8B4kGLWL4/edit#gid=642280824")</f>
        <v>https://docs.google.com/spreadsheets/d/1d89ra6TYLS-DchKdtXcL3vcvZVxxHTb8AI8B4kGLWL4/edit#gid=642280824</v>
      </c>
      <c r="H260" s="62" t="s">
        <v>79</v>
      </c>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6.5" customHeight="1">
      <c r="A261" s="15"/>
      <c r="E261" s="8" t="s">
        <v>88</v>
      </c>
      <c r="F261" s="8" t="s">
        <v>95</v>
      </c>
      <c r="G261" s="149" t="str">
        <f>HYPERLINK("https://docs.google.com/spreadsheets/d/1d89ra6TYLS-DchKdtXcL3vcvZVxxHTb8AI8B4kGLWL4/edit#gid=84229353", "https://docs.google.com/spreadsheets/d/1d89ra6TYLS-DchKdtXcL3vcvZVxxHTb8AI8B4kGLWL4/edit#gid=84229353")</f>
        <v>https://docs.google.com/spreadsheets/d/1d89ra6TYLS-DchKdtXcL3vcvZVxxHTb8AI8B4kGLWL4/edit#gid=84229353</v>
      </c>
      <c r="H261" s="8" t="s">
        <v>95</v>
      </c>
      <c r="I261" s="9"/>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6.5" customHeight="1">
      <c r="A262" s="15"/>
      <c r="E262" s="8" t="s">
        <v>88</v>
      </c>
      <c r="F262" s="8" t="s">
        <v>96</v>
      </c>
      <c r="G262" s="149" t="str">
        <f>HYPERLINK("https://docs.google.com/spreadsheets/d/1d89ra6TYLS-DchKdtXcL3vcvZVxxHTb8AI8B4kGLWL4/edit#gid=205729104", "https://docs.google.com/spreadsheets/d/1d89ra6TYLS-DchKdtXcL3vcvZVxxHTb8AI8B4kGLWL4/edit#gid=205729104")</f>
        <v>https://docs.google.com/spreadsheets/d/1d89ra6TYLS-DchKdtXcL3vcvZVxxHTb8AI8B4kGLWL4/edit#gid=205729104</v>
      </c>
      <c r="H262" s="8" t="s">
        <v>96</v>
      </c>
      <c r="I262" s="9"/>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6.5" customHeight="1">
      <c r="A263" s="15"/>
      <c r="E263" s="8" t="s">
        <v>104</v>
      </c>
      <c r="F263" s="8" t="s">
        <v>250</v>
      </c>
      <c r="G263" s="149" t="str">
        <f>HYPERLINK("https://docs.google.com/spreadsheets/d/1d89ra6TYLS-DchKdtXcL3vcvZVxxHTb8AI8B4kGLWL4/edit#gid=320478147", "https://docs.google.com/spreadsheets/d/1d89ra6TYLS-DchKdtXcL3vcvZVxxHTb8AI8B4kGLWL4/edit#gid=320478147")</f>
        <v>https://docs.google.com/spreadsheets/d/1d89ra6TYLS-DchKdtXcL3vcvZVxxHTb8AI8B4kGLWL4/edit#gid=320478147</v>
      </c>
      <c r="H263" s="35" t="s">
        <v>250</v>
      </c>
      <c r="L263" s="11"/>
      <c r="M263" s="15"/>
      <c r="N263" s="15"/>
      <c r="O263" s="15"/>
      <c r="P263" s="15"/>
      <c r="Q263" s="15"/>
      <c r="R263" s="15"/>
      <c r="S263" s="15"/>
      <c r="T263" s="15"/>
      <c r="U263" s="15"/>
      <c r="V263" s="15"/>
      <c r="W263" s="15"/>
      <c r="X263" s="15"/>
      <c r="Y263" s="15"/>
      <c r="Z263" s="15"/>
      <c r="AA263" s="15"/>
      <c r="AB263" s="15"/>
      <c r="AC263" s="15"/>
      <c r="AD263" s="15"/>
      <c r="AE263" s="15"/>
      <c r="AF263" s="15"/>
    </row>
    <row r="264" ht="16.5" customHeight="1">
      <c r="A264" s="15"/>
      <c r="B264" s="344"/>
      <c r="C264" s="352"/>
      <c r="D264" s="341"/>
      <c r="E264" s="31"/>
      <c r="F264" s="31"/>
      <c r="G264" s="149"/>
      <c r="H264" s="31"/>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6.5" customHeight="1">
      <c r="A265" s="15"/>
      <c r="B265" s="344" t="s">
        <v>2914</v>
      </c>
      <c r="C265" s="353" t="s">
        <v>2915</v>
      </c>
      <c r="D265" s="348" t="s">
        <v>20</v>
      </c>
      <c r="E265" s="8" t="s">
        <v>88</v>
      </c>
      <c r="F265" s="8" t="s">
        <v>89</v>
      </c>
      <c r="G265" s="149"/>
      <c r="H265" s="36"/>
      <c r="L265" s="11"/>
      <c r="M265" s="15"/>
      <c r="N265" s="15"/>
      <c r="O265" s="15"/>
      <c r="P265" s="15"/>
      <c r="Q265" s="15"/>
      <c r="R265" s="15"/>
      <c r="S265" s="15"/>
      <c r="T265" s="15"/>
      <c r="U265" s="15"/>
      <c r="V265" s="15"/>
      <c r="W265" s="15"/>
      <c r="X265" s="15"/>
      <c r="Y265" s="15"/>
      <c r="Z265" s="15"/>
      <c r="AA265" s="15"/>
      <c r="AB265" s="15"/>
      <c r="AC265" s="15"/>
      <c r="AD265" s="15"/>
      <c r="AE265" s="15"/>
      <c r="AF265" s="15"/>
    </row>
    <row r="266" ht="16.5" customHeight="1">
      <c r="A266" s="15"/>
      <c r="E266" s="28" t="s">
        <v>172</v>
      </c>
      <c r="F266" s="8" t="s">
        <v>194</v>
      </c>
      <c r="G266" s="149" t="str">
        <f>HYPERLINK("https://docs.google.com/spreadsheets/d/1CSQfNKkb1WmaXsbUWr9cJSqrkjY4IWmlY4anDtImC7w/edit#gid=1952750158", "https://docs.google.com/spreadsheets/d/1CSQfNKkb1WmaXsbUWr9cJSqrkjY4IWmlY4anDtImC7w/edit#gid=1952750158")</f>
        <v>https://docs.google.com/spreadsheets/d/1CSQfNKkb1WmaXsbUWr9cJSqrkjY4IWmlY4anDtImC7w/edit#gid=1952750158</v>
      </c>
      <c r="H266" s="35" t="s">
        <v>194</v>
      </c>
      <c r="L266" s="11"/>
      <c r="M266" s="15"/>
      <c r="N266" s="15"/>
      <c r="O266" s="15"/>
      <c r="P266" s="15"/>
      <c r="Q266" s="15"/>
      <c r="R266" s="15"/>
      <c r="S266" s="15"/>
      <c r="T266" s="15"/>
      <c r="U266" s="15"/>
      <c r="V266" s="15"/>
      <c r="W266" s="15"/>
      <c r="X266" s="15"/>
      <c r="Y266" s="15"/>
      <c r="Z266" s="15"/>
      <c r="AA266" s="15"/>
      <c r="AB266" s="15"/>
      <c r="AC266" s="15"/>
      <c r="AD266" s="15"/>
      <c r="AE266" s="15"/>
      <c r="AF266" s="15"/>
    </row>
    <row r="267" ht="16.5" customHeight="1">
      <c r="A267" s="15"/>
      <c r="E267" s="28" t="s">
        <v>172</v>
      </c>
      <c r="F267" s="38" t="s">
        <v>195</v>
      </c>
      <c r="G267" s="149" t="str">
        <f>HYPERLINK("https://docs.google.com/spreadsheets/d/1CSQfNKkb1WmaXsbUWr9cJSqrkjY4IWmlY4anDtImC7w/edit#gid=387836901", "https://docs.google.com/spreadsheets/d/1CSQfNKkb1WmaXsbUWr9cJSqrkjY4IWmlY4anDtImC7w/edit#gid=387836901")</f>
        <v>https://docs.google.com/spreadsheets/d/1CSQfNKkb1WmaXsbUWr9cJSqrkjY4IWmlY4anDtImC7w/edit#gid=387836901</v>
      </c>
      <c r="H267" s="35" t="s">
        <v>195</v>
      </c>
      <c r="L267" s="11"/>
      <c r="M267" s="15"/>
      <c r="N267" s="15"/>
      <c r="O267" s="15"/>
      <c r="P267" s="15"/>
      <c r="Q267" s="15"/>
      <c r="R267" s="15"/>
      <c r="S267" s="15"/>
      <c r="T267" s="15"/>
      <c r="U267" s="15"/>
      <c r="V267" s="15"/>
      <c r="W267" s="15"/>
      <c r="X267" s="15"/>
      <c r="Y267" s="15"/>
      <c r="Z267" s="15"/>
      <c r="AA267" s="15"/>
      <c r="AB267" s="15"/>
      <c r="AC267" s="15"/>
      <c r="AD267" s="15"/>
      <c r="AE267" s="15"/>
      <c r="AF267" s="15"/>
    </row>
    <row r="268" ht="16.5" customHeight="1">
      <c r="A268" s="15"/>
      <c r="E268" s="8" t="s">
        <v>116</v>
      </c>
      <c r="F268" s="62" t="s">
        <v>817</v>
      </c>
      <c r="G268" s="149" t="str">
        <f>HYPERLINK("https://docs.google.com/spreadsheets/d/1CSQfNKkb1WmaXsbUWr9cJSqrkjY4IWmlY4anDtImC7w/edit#gid=536672304", "https://docs.google.com/spreadsheets/d/1CSQfNKkb1WmaXsbUWr9cJSqrkjY4IWmlY4anDtImC7w/edit#gid=536672304")</f>
        <v>https://docs.google.com/spreadsheets/d/1CSQfNKkb1WmaXsbUWr9cJSqrkjY4IWmlY4anDtImC7w/edit#gid=536672304</v>
      </c>
      <c r="H268" s="35" t="s">
        <v>817</v>
      </c>
      <c r="L268" s="11"/>
      <c r="M268" s="15"/>
      <c r="N268" s="15"/>
      <c r="O268" s="15"/>
      <c r="P268" s="15"/>
      <c r="Q268" s="15"/>
      <c r="R268" s="15"/>
      <c r="S268" s="15"/>
      <c r="T268" s="15"/>
      <c r="U268" s="15"/>
      <c r="V268" s="15"/>
      <c r="W268" s="15"/>
      <c r="X268" s="15"/>
      <c r="Y268" s="15"/>
      <c r="Z268" s="15"/>
      <c r="AA268" s="15"/>
      <c r="AB268" s="15"/>
      <c r="AC268" s="15"/>
      <c r="AD268" s="15"/>
      <c r="AE268" s="15"/>
      <c r="AF268" s="15"/>
    </row>
    <row r="269" ht="18.0" customHeight="1">
      <c r="A269" s="15"/>
      <c r="E269" s="8" t="s">
        <v>116</v>
      </c>
      <c r="F269" s="8" t="s">
        <v>117</v>
      </c>
      <c r="G269" s="149" t="str">
        <f>HYPERLINK("https://docs.google.com/spreadsheets/d/1CSQfNKkb1WmaXsbUWr9cJSqrkjY4IWmlY4anDtImC7w/edit#gid=1869096781", "https://docs.google.com/spreadsheets/d/1CSQfNKkb1WmaXsbUWr9cJSqrkjY4IWmlY4anDtImC7w/edit#gid=1869096781")</f>
        <v>https://docs.google.com/spreadsheets/d/1CSQfNKkb1WmaXsbUWr9cJSqrkjY4IWmlY4anDtImC7w/edit#gid=1869096781</v>
      </c>
      <c r="H269" s="35" t="s">
        <v>117</v>
      </c>
      <c r="L269" s="11"/>
      <c r="M269" s="15"/>
      <c r="N269" s="15"/>
      <c r="O269" s="15"/>
      <c r="P269" s="15"/>
      <c r="Q269" s="15"/>
      <c r="R269" s="15"/>
      <c r="S269" s="15"/>
      <c r="T269" s="15"/>
      <c r="U269" s="15"/>
      <c r="V269" s="15"/>
      <c r="W269" s="15"/>
      <c r="X269" s="15"/>
      <c r="Y269" s="15"/>
      <c r="Z269" s="15"/>
      <c r="AA269" s="15"/>
      <c r="AB269" s="15"/>
      <c r="AC269" s="15"/>
      <c r="AD269" s="15"/>
      <c r="AE269" s="15"/>
      <c r="AF269" s="15"/>
    </row>
    <row r="270" ht="16.5" customHeight="1">
      <c r="A270" s="15"/>
      <c r="B270" s="344"/>
      <c r="E270" s="8" t="s">
        <v>21</v>
      </c>
      <c r="F270" s="8" t="s">
        <v>51</v>
      </c>
      <c r="G270" s="149" t="str">
        <f>HYPERLINK("https://docs.google.com/spreadsheets/d/1CSQfNKkb1WmaXsbUWr9cJSqrkjY4IWmlY4anDtImC7w/edit#gid=1182761452", "https://docs.google.com/spreadsheets/d/1CSQfNKkb1WmaXsbUWr9cJSqrkjY4IWmlY4anDtImC7w/edit#gid=1182761452")</f>
        <v>https://docs.google.com/spreadsheets/d/1CSQfNKkb1WmaXsbUWr9cJSqrkjY4IWmlY4anDtImC7w/edit#gid=1182761452</v>
      </c>
      <c r="H270" s="35" t="s">
        <v>51</v>
      </c>
      <c r="L270" s="11"/>
      <c r="M270" s="15"/>
      <c r="N270" s="15"/>
      <c r="O270" s="15"/>
      <c r="P270" s="15"/>
      <c r="Q270" s="15"/>
      <c r="R270" s="15"/>
      <c r="S270" s="15"/>
      <c r="T270" s="15"/>
      <c r="U270" s="15"/>
      <c r="V270" s="15"/>
      <c r="W270" s="15"/>
      <c r="X270" s="15"/>
      <c r="Y270" s="15"/>
      <c r="Z270" s="15"/>
      <c r="AA270" s="15"/>
      <c r="AB270" s="15"/>
      <c r="AC270" s="15"/>
      <c r="AD270" s="15"/>
      <c r="AE270" s="15"/>
      <c r="AF270" s="15"/>
    </row>
    <row r="271" ht="16.5" customHeight="1">
      <c r="A271" s="15"/>
      <c r="B271" s="344"/>
      <c r="E271" s="8" t="s">
        <v>408</v>
      </c>
      <c r="F271" s="8" t="s">
        <v>408</v>
      </c>
      <c r="G271" s="149" t="str">
        <f>HYPERLINK("https://docs.google.com/spreadsheets/d/1CSQfNKkb1WmaXsbUWr9cJSqrkjY4IWmlY4anDtImC7w/edit#gid=1853321767", "https://docs.google.com/spreadsheets/d/1CSQfNKkb1WmaXsbUWr9cJSqrkjY4IWmlY4anDtImC7w/edit#gid=1853321767")</f>
        <v>https://docs.google.com/spreadsheets/d/1CSQfNKkb1WmaXsbUWr9cJSqrkjY4IWmlY4anDtImC7w/edit#gid=1853321767</v>
      </c>
      <c r="H271" s="35" t="s">
        <v>408</v>
      </c>
      <c r="L271" s="11"/>
      <c r="M271" s="15"/>
      <c r="N271" s="15"/>
      <c r="O271" s="15"/>
      <c r="P271" s="15"/>
      <c r="Q271" s="15"/>
      <c r="R271" s="15"/>
      <c r="S271" s="15"/>
      <c r="T271" s="15"/>
      <c r="U271" s="15"/>
      <c r="V271" s="15"/>
      <c r="W271" s="15"/>
      <c r="X271" s="15"/>
      <c r="Y271" s="15"/>
      <c r="Z271" s="15"/>
      <c r="AA271" s="15"/>
      <c r="AB271" s="15"/>
      <c r="AC271" s="15"/>
      <c r="AD271" s="15"/>
      <c r="AE271" s="15"/>
      <c r="AF271" s="15"/>
    </row>
    <row r="272" ht="16.5" customHeight="1">
      <c r="A272" s="15"/>
      <c r="B272" s="344"/>
      <c r="E272" s="8" t="s">
        <v>116</v>
      </c>
      <c r="F272" s="8" t="s">
        <v>817</v>
      </c>
      <c r="G272" s="149" t="str">
        <f>HYPERLINK("https://docs.google.com/spreadsheets/d/1CSQfNKkb1WmaXsbUWr9cJSqrkjY4IWmlY4anDtImC7w/edit#gid=1470760766", "https://docs.google.com/spreadsheets/d/1CSQfNKkb1WmaXsbUWr9cJSqrkjY4IWmlY4anDtImC7w/edit#gid=1470760766")</f>
        <v>https://docs.google.com/spreadsheets/d/1CSQfNKkb1WmaXsbUWr9cJSqrkjY4IWmlY4anDtImC7w/edit#gid=1470760766</v>
      </c>
      <c r="H272" s="35" t="s">
        <v>2808</v>
      </c>
      <c r="L272" s="11"/>
      <c r="M272" s="15"/>
      <c r="N272" s="15"/>
      <c r="O272" s="15"/>
      <c r="P272" s="15"/>
      <c r="Q272" s="15"/>
      <c r="R272" s="15"/>
      <c r="S272" s="15"/>
      <c r="T272" s="15"/>
      <c r="U272" s="15"/>
      <c r="V272" s="15"/>
      <c r="W272" s="15"/>
      <c r="X272" s="15"/>
      <c r="Y272" s="15"/>
      <c r="Z272" s="15"/>
      <c r="AA272" s="15"/>
      <c r="AB272" s="15"/>
      <c r="AC272" s="15"/>
      <c r="AD272" s="15"/>
      <c r="AE272" s="15"/>
      <c r="AF272" s="15"/>
    </row>
    <row r="273" ht="16.5" customHeight="1">
      <c r="A273" s="15"/>
      <c r="B273" s="344"/>
      <c r="E273" s="8" t="s">
        <v>116</v>
      </c>
      <c r="F273" s="8" t="s">
        <v>117</v>
      </c>
      <c r="G273" s="149" t="str">
        <f>HYPERLINK("https://docs.google.com/spreadsheets/d/1CSQfNKkb1WmaXsbUWr9cJSqrkjY4IWmlY4anDtImC7w/edit#gid=416520561", "https://docs.google.com/spreadsheets/d/1CSQfNKkb1WmaXsbUWr9cJSqrkjY4IWmlY4anDtImC7w/edit#gid=416520561")</f>
        <v>https://docs.google.com/spreadsheets/d/1CSQfNKkb1WmaXsbUWr9cJSqrkjY4IWmlY4anDtImC7w/edit#gid=416520561</v>
      </c>
      <c r="H273" s="35" t="s">
        <v>2810</v>
      </c>
      <c r="L273" s="11"/>
      <c r="M273" s="15"/>
      <c r="N273" s="15"/>
      <c r="O273" s="15"/>
      <c r="P273" s="15"/>
      <c r="Q273" s="15"/>
      <c r="R273" s="15"/>
      <c r="S273" s="15"/>
      <c r="T273" s="15"/>
      <c r="U273" s="15"/>
      <c r="V273" s="15"/>
      <c r="W273" s="15"/>
      <c r="X273" s="15"/>
      <c r="Y273" s="15"/>
      <c r="Z273" s="15"/>
      <c r="AA273" s="15"/>
      <c r="AB273" s="15"/>
      <c r="AC273" s="15"/>
      <c r="AD273" s="15"/>
      <c r="AE273" s="15"/>
      <c r="AF273" s="15"/>
    </row>
    <row r="274" ht="16.5" customHeight="1">
      <c r="A274" s="15"/>
      <c r="B274" s="344"/>
      <c r="E274" s="8" t="s">
        <v>116</v>
      </c>
      <c r="F274" s="8" t="s">
        <v>817</v>
      </c>
      <c r="G274" s="149" t="str">
        <f>HYPERLINK("https://docs.google.com/spreadsheets/d/1CSQfNKkb1WmaXsbUWr9cJSqrkjY4IWmlY4anDtImC7w/edit#gid=475365554", "https://docs.google.com/spreadsheets/d/1CSQfNKkb1WmaXsbUWr9cJSqrkjY4IWmlY4anDtImC7w/edit#gid=475365554")</f>
        <v>https://docs.google.com/spreadsheets/d/1CSQfNKkb1WmaXsbUWr9cJSqrkjY4IWmlY4anDtImC7w/edit#gid=475365554</v>
      </c>
      <c r="H274" s="35" t="s">
        <v>2812</v>
      </c>
      <c r="L274" s="11"/>
      <c r="M274" s="15"/>
      <c r="N274" s="15"/>
      <c r="O274" s="15"/>
      <c r="P274" s="15"/>
      <c r="Q274" s="15"/>
      <c r="R274" s="15"/>
      <c r="S274" s="15"/>
      <c r="T274" s="15"/>
      <c r="U274" s="15"/>
      <c r="V274" s="15"/>
      <c r="W274" s="15"/>
      <c r="X274" s="15"/>
      <c r="Y274" s="15"/>
      <c r="Z274" s="15"/>
      <c r="AA274" s="15"/>
      <c r="AB274" s="15"/>
      <c r="AC274" s="15"/>
      <c r="AD274" s="15"/>
      <c r="AE274" s="15"/>
      <c r="AF274" s="15"/>
    </row>
    <row r="275" ht="16.5" customHeight="1">
      <c r="A275" s="15"/>
      <c r="B275" s="344"/>
      <c r="E275" s="8" t="s">
        <v>116</v>
      </c>
      <c r="F275" s="8" t="s">
        <v>117</v>
      </c>
      <c r="G275" s="149" t="str">
        <f>HYPERLINK("https://docs.google.com/spreadsheets/d/1CSQfNKkb1WmaXsbUWr9cJSqrkjY4IWmlY4anDtImC7w/edit#gid=1652006246", "https://docs.google.com/spreadsheets/d/1CSQfNKkb1WmaXsbUWr9cJSqrkjY4IWmlY4anDtImC7w/edit#gid=1652006246")</f>
        <v>https://docs.google.com/spreadsheets/d/1CSQfNKkb1WmaXsbUWr9cJSqrkjY4IWmlY4anDtImC7w/edit#gid=1652006246</v>
      </c>
      <c r="H275" s="35" t="s">
        <v>2814</v>
      </c>
      <c r="L275" s="11"/>
      <c r="M275" s="15"/>
      <c r="N275" s="15"/>
      <c r="O275" s="15"/>
      <c r="P275" s="15"/>
      <c r="Q275" s="15"/>
      <c r="R275" s="15"/>
      <c r="S275" s="15"/>
      <c r="T275" s="15"/>
      <c r="U275" s="15"/>
      <c r="V275" s="15"/>
      <c r="W275" s="15"/>
      <c r="X275" s="15"/>
      <c r="Y275" s="15"/>
      <c r="Z275" s="15"/>
      <c r="AA275" s="15"/>
      <c r="AB275" s="15"/>
      <c r="AC275" s="15"/>
      <c r="AD275" s="15"/>
      <c r="AE275" s="15"/>
      <c r="AF275" s="15"/>
    </row>
    <row r="276" ht="16.5" customHeight="1">
      <c r="A276" s="15"/>
      <c r="B276" s="344"/>
      <c r="C276" s="83"/>
      <c r="D276" s="348"/>
      <c r="E276" s="8"/>
      <c r="F276" s="8"/>
      <c r="G276" s="149"/>
      <c r="H276" s="36"/>
      <c r="L276" s="11"/>
      <c r="M276" s="15"/>
      <c r="N276" s="15"/>
      <c r="O276" s="15"/>
      <c r="P276" s="15"/>
      <c r="Q276" s="15"/>
      <c r="R276" s="15"/>
      <c r="S276" s="15"/>
      <c r="T276" s="15"/>
      <c r="U276" s="15"/>
      <c r="V276" s="15"/>
      <c r="W276" s="15"/>
      <c r="X276" s="15"/>
      <c r="Y276" s="15"/>
      <c r="Z276" s="15"/>
      <c r="AA276" s="15"/>
      <c r="AB276" s="15"/>
      <c r="AC276" s="15"/>
      <c r="AD276" s="15"/>
      <c r="AE276" s="15"/>
      <c r="AF276" s="15"/>
    </row>
    <row r="277" ht="16.5" customHeight="1">
      <c r="A277" s="15"/>
      <c r="B277" s="344" t="s">
        <v>2916</v>
      </c>
      <c r="C277" s="83" t="s">
        <v>2917</v>
      </c>
      <c r="D277" s="348" t="s">
        <v>20</v>
      </c>
      <c r="E277" s="8" t="s">
        <v>88</v>
      </c>
      <c r="F277" s="8" t="s">
        <v>89</v>
      </c>
      <c r="G277" s="149"/>
      <c r="H277" s="36"/>
      <c r="L277" s="11"/>
      <c r="M277" s="15"/>
      <c r="N277" s="15"/>
      <c r="O277" s="15"/>
      <c r="P277" s="15"/>
      <c r="Q277" s="15"/>
      <c r="R277" s="15"/>
      <c r="S277" s="15"/>
      <c r="T277" s="15"/>
      <c r="U277" s="15"/>
      <c r="V277" s="15"/>
      <c r="W277" s="15"/>
      <c r="X277" s="15"/>
      <c r="Y277" s="15"/>
      <c r="Z277" s="15"/>
      <c r="AA277" s="15"/>
      <c r="AB277" s="15"/>
      <c r="AC277" s="15"/>
      <c r="AD277" s="15"/>
      <c r="AE277" s="15"/>
      <c r="AF277" s="15"/>
    </row>
    <row r="278" ht="16.5" customHeight="1">
      <c r="A278" s="15"/>
      <c r="E278" s="8" t="s">
        <v>172</v>
      </c>
      <c r="F278" s="8" t="s">
        <v>194</v>
      </c>
      <c r="G278" s="149" t="str">
        <f>HYPERLINK("https://docs.google.com/spreadsheets/d/19ycdwWHVlWxwfaj_PQq6pmPgsHViuoI97Zz9Tmu_CQM/edit#gid=1659003262", "https://docs.google.com/spreadsheets/d/19ycdwWHVlWxwfaj_PQq6pmPgsHViuoI97Zz9Tmu_CQM/edit#gid=1659003262")</f>
        <v>https://docs.google.com/spreadsheets/d/19ycdwWHVlWxwfaj_PQq6pmPgsHViuoI97Zz9Tmu_CQM/edit#gid=1659003262</v>
      </c>
      <c r="H278" s="8" t="s">
        <v>194</v>
      </c>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6.5" customHeight="1">
      <c r="A279" s="15"/>
      <c r="E279" s="28" t="s">
        <v>172</v>
      </c>
      <c r="F279" s="8" t="s">
        <v>195</v>
      </c>
      <c r="G279" s="149" t="str">
        <f>HYPERLINK("https://docs.google.com/spreadsheets/d/19ycdwWHVlWxwfaj_PQq6pmPgsHViuoI97Zz9Tmu_CQM/edit#gid=1077744138", "https://docs.google.com/spreadsheets/d/19ycdwWHVlWxwfaj_PQq6pmPgsHViuoI97Zz9Tmu_CQM/edit#gid=1077744138")</f>
        <v>https://docs.google.com/spreadsheets/d/19ycdwWHVlWxwfaj_PQq6pmPgsHViuoI97Zz9Tmu_CQM/edit#gid=1077744138</v>
      </c>
      <c r="H279" s="8" t="s">
        <v>195</v>
      </c>
      <c r="I279" s="9"/>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6.5" customHeight="1">
      <c r="A280" s="15"/>
      <c r="E280" s="28" t="s">
        <v>21</v>
      </c>
      <c r="F280" s="38" t="s">
        <v>51</v>
      </c>
      <c r="G280" s="149" t="str">
        <f>HYPERLINK("https://docs.google.com/spreadsheets/d/19ycdwWHVlWxwfaj_PQq6pmPgsHViuoI97Zz9Tmu_CQM/edit#gid=427539904", "https://docs.google.com/spreadsheets/d/19ycdwWHVlWxwfaj_PQq6pmPgsHViuoI97Zz9Tmu_CQM/edit#gid=427539904")</f>
        <v>https://docs.google.com/spreadsheets/d/19ycdwWHVlWxwfaj_PQq6pmPgsHViuoI97Zz9Tmu_CQM/edit#gid=427539904</v>
      </c>
      <c r="H280" s="38" t="s">
        <v>51</v>
      </c>
      <c r="I280" s="9"/>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6.5" customHeight="1">
      <c r="A281" s="15"/>
      <c r="E281" s="28" t="s">
        <v>408</v>
      </c>
      <c r="F281" s="28" t="s">
        <v>408</v>
      </c>
      <c r="G281" s="149" t="str">
        <f>HYPERLINK("https://docs.google.com/spreadsheets/d/19ycdwWHVlWxwfaj_PQq6pmPgsHViuoI97Zz9Tmu_CQM/edit#gid=1500655376", "https://docs.google.com/spreadsheets/d/19ycdwWHVlWxwfaj_PQq6pmPgsHViuoI97Zz9Tmu_CQM/edit#gid=1500655376")</f>
        <v>https://docs.google.com/spreadsheets/d/19ycdwWHVlWxwfaj_PQq6pmPgsHViuoI97Zz9Tmu_CQM/edit#gid=1500655376</v>
      </c>
      <c r="H281" s="38" t="s">
        <v>408</v>
      </c>
      <c r="I281" s="9"/>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6.5" customHeight="1">
      <c r="A282" s="15"/>
      <c r="E282" s="8" t="s">
        <v>172</v>
      </c>
      <c r="F282" s="8" t="s">
        <v>173</v>
      </c>
      <c r="G282" s="149" t="str">
        <f>HYPERLINK("https://docs.google.com/spreadsheets/d/19ycdwWHVlWxwfaj_PQq6pmPgsHViuoI97Zz9Tmu_CQM/edit#gid=1807602585", "https://docs.google.com/spreadsheets/d/19ycdwWHVlWxwfaj_PQq6pmPgsHViuoI97Zz9Tmu_CQM/edit#gid=1807602585")</f>
        <v>https://docs.google.com/spreadsheets/d/19ycdwWHVlWxwfaj_PQq6pmPgsHViuoI97Zz9Tmu_CQM/edit#gid=1807602585</v>
      </c>
      <c r="H282" s="35" t="s">
        <v>173</v>
      </c>
      <c r="L282" s="11"/>
      <c r="M282" s="15"/>
      <c r="N282" s="15"/>
      <c r="O282" s="15"/>
      <c r="P282" s="15"/>
      <c r="Q282" s="15"/>
      <c r="R282" s="15"/>
      <c r="S282" s="15"/>
      <c r="T282" s="15"/>
      <c r="U282" s="15"/>
      <c r="V282" s="15"/>
      <c r="W282" s="15"/>
      <c r="X282" s="15"/>
      <c r="Y282" s="15"/>
      <c r="Z282" s="15"/>
      <c r="AA282" s="15"/>
      <c r="AB282" s="15"/>
      <c r="AC282" s="15"/>
      <c r="AD282" s="15"/>
      <c r="AE282" s="15"/>
      <c r="AF282" s="15"/>
    </row>
    <row r="283" ht="16.5" customHeight="1">
      <c r="A283" s="15"/>
      <c r="E283" s="8" t="s">
        <v>172</v>
      </c>
      <c r="F283" s="62" t="s">
        <v>402</v>
      </c>
      <c r="G283" s="149" t="str">
        <f>HYPERLINK("https://docs.google.com/spreadsheets/d/19ycdwWHVlWxwfaj_PQq6pmPgsHViuoI97Zz9Tmu_CQM/edit#gid=663888670", "https://docs.google.com/spreadsheets/d/19ycdwWHVlWxwfaj_PQq6pmPgsHViuoI97Zz9Tmu_CQM/edit#gid=663888670")</f>
        <v>https://docs.google.com/spreadsheets/d/19ycdwWHVlWxwfaj_PQq6pmPgsHViuoI97Zz9Tmu_CQM/edit#gid=663888670</v>
      </c>
      <c r="H283" s="62" t="s">
        <v>402</v>
      </c>
      <c r="I283" s="9"/>
      <c r="J283" s="9"/>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6.5" customHeight="1">
      <c r="A284" s="15"/>
      <c r="E284" s="8" t="s">
        <v>116</v>
      </c>
      <c r="F284" s="8" t="s">
        <v>817</v>
      </c>
      <c r="G284" s="149" t="str">
        <f>HYPERLINK("https://docs.google.com/spreadsheets/d/19ycdwWHVlWxwfaj_PQq6pmPgsHViuoI97Zz9Tmu_CQM/edit#gid=989875073", "https://docs.google.com/spreadsheets/d/19ycdwWHVlWxwfaj_PQq6pmPgsHViuoI97Zz9Tmu_CQM/edit#gid=989875073")</f>
        <v>https://docs.google.com/spreadsheets/d/19ycdwWHVlWxwfaj_PQq6pmPgsHViuoI97Zz9Tmu_CQM/edit#gid=989875073</v>
      </c>
      <c r="H284" s="8" t="s">
        <v>817</v>
      </c>
      <c r="I284" s="9"/>
      <c r="J284" s="9"/>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6.5" customHeight="1">
      <c r="A285" s="15"/>
      <c r="E285" s="8" t="s">
        <v>116</v>
      </c>
      <c r="F285" s="8" t="s">
        <v>117</v>
      </c>
      <c r="G285" s="149" t="str">
        <f>HYPERLINK("https://docs.google.com/spreadsheets/d/19ycdwWHVlWxwfaj_PQq6pmPgsHViuoI97Zz9Tmu_CQM/edit#gid=1283597557", "https://docs.google.com/spreadsheets/d/19ycdwWHVlWxwfaj_PQq6pmPgsHViuoI97Zz9Tmu_CQM/edit#gid=1283597557")</f>
        <v>https://docs.google.com/spreadsheets/d/19ycdwWHVlWxwfaj_PQq6pmPgsHViuoI97Zz9Tmu_CQM/edit#gid=1283597557</v>
      </c>
      <c r="H285" s="8" t="s">
        <v>117</v>
      </c>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6.5" customHeight="1">
      <c r="A286" s="15"/>
      <c r="E286" s="8" t="s">
        <v>116</v>
      </c>
      <c r="F286" s="8" t="s">
        <v>823</v>
      </c>
      <c r="G286" s="149" t="str">
        <f>HYPERLINK("https://docs.google.com/spreadsheets/d/19ycdwWHVlWxwfaj_PQq6pmPgsHViuoI97Zz9Tmu_CQM/edit#gid=978324915", "https://docs.google.com/spreadsheets/d/19ycdwWHVlWxwfaj_PQq6pmPgsHViuoI97Zz9Tmu_CQM/edit#gid=978324915")</f>
        <v>https://docs.google.com/spreadsheets/d/19ycdwWHVlWxwfaj_PQq6pmPgsHViuoI97Zz9Tmu_CQM/edit#gid=978324915</v>
      </c>
      <c r="H286" s="8" t="s">
        <v>823</v>
      </c>
      <c r="I286" s="9"/>
      <c r="J286" s="9"/>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6.5" customHeight="1">
      <c r="A287" s="15"/>
      <c r="E287" s="8" t="s">
        <v>43</v>
      </c>
      <c r="F287" s="8" t="s">
        <v>109</v>
      </c>
      <c r="G287" s="149" t="str">
        <f>HYPERLINK("https://docs.google.com/spreadsheets/d/19ycdwWHVlWxwfaj_PQq6pmPgsHViuoI97Zz9Tmu_CQM/edit#gid=478817859", "https://docs.google.com/spreadsheets/d/19ycdwWHVlWxwfaj_PQq6pmPgsHViuoI97Zz9Tmu_CQM/edit#gid=478817859")</f>
        <v>https://docs.google.com/spreadsheets/d/19ycdwWHVlWxwfaj_PQq6pmPgsHViuoI97Zz9Tmu_CQM/edit#gid=478817859</v>
      </c>
      <c r="H287" s="8" t="s">
        <v>109</v>
      </c>
      <c r="J287" s="9"/>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6.5" customHeight="1">
      <c r="A288" s="15"/>
      <c r="E288" s="28" t="s">
        <v>21</v>
      </c>
      <c r="F288" s="8" t="s">
        <v>51</v>
      </c>
      <c r="G288" s="149" t="str">
        <f>HYPERLINK("https://docs.google.com/spreadsheets/d/19ycdwWHVlWxwfaj_PQq6pmPgsHViuoI97Zz9Tmu_CQM/edit#gid=1863270602", "https://docs.google.com/spreadsheets/d/19ycdwWHVlWxwfaj_PQq6pmPgsHViuoI97Zz9Tmu_CQM/edit#gid=1863270602")</f>
        <v>https://docs.google.com/spreadsheets/d/19ycdwWHVlWxwfaj_PQq6pmPgsHViuoI97Zz9Tmu_CQM/edit#gid=1863270602</v>
      </c>
      <c r="H288" s="8" t="s">
        <v>1383</v>
      </c>
      <c r="I288" s="9"/>
      <c r="J288" s="9"/>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6.5" customHeight="1">
      <c r="A289" s="15"/>
      <c r="E289" s="28" t="s">
        <v>43</v>
      </c>
      <c r="F289" s="8" t="s">
        <v>79</v>
      </c>
      <c r="G289" s="149" t="str">
        <f>HYPERLINK("https://docs.google.com/spreadsheets/d/19ycdwWHVlWxwfaj_PQq6pmPgsHViuoI97Zz9Tmu_CQM/edit#gid=713845570", "https://docs.google.com/spreadsheets/d/19ycdwWHVlWxwfaj_PQq6pmPgsHViuoI97Zz9Tmu_CQM/edit#gid=713845570")</f>
        <v>https://docs.google.com/spreadsheets/d/19ycdwWHVlWxwfaj_PQq6pmPgsHViuoI97Zz9Tmu_CQM/edit#gid=713845570</v>
      </c>
      <c r="H289" s="35" t="s">
        <v>79</v>
      </c>
      <c r="L289" s="11"/>
      <c r="M289" s="15"/>
      <c r="N289" s="15"/>
      <c r="O289" s="15"/>
      <c r="P289" s="15"/>
      <c r="Q289" s="15"/>
      <c r="R289" s="15"/>
      <c r="S289" s="15"/>
      <c r="T289" s="15"/>
      <c r="U289" s="15"/>
      <c r="V289" s="15"/>
      <c r="W289" s="15"/>
      <c r="X289" s="15"/>
      <c r="Y289" s="15"/>
      <c r="Z289" s="15"/>
      <c r="AA289" s="15"/>
      <c r="AB289" s="15"/>
      <c r="AC289" s="15"/>
      <c r="AD289" s="15"/>
      <c r="AE289" s="15"/>
      <c r="AF289" s="15"/>
    </row>
    <row r="290" ht="16.5" customHeight="1">
      <c r="A290" s="15"/>
      <c r="B290" s="342"/>
      <c r="C290" s="87"/>
      <c r="D290" s="31"/>
      <c r="E290" s="37"/>
      <c r="F290" s="30"/>
      <c r="G290" s="149"/>
      <c r="H290" s="30"/>
      <c r="I290" s="9"/>
      <c r="J290" s="9"/>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6.5" customHeight="1">
      <c r="A291" s="354"/>
      <c r="B291" s="355"/>
      <c r="C291" s="356"/>
      <c r="D291" s="357"/>
      <c r="E291" s="358"/>
      <c r="F291" s="358"/>
      <c r="G291" s="359"/>
      <c r="H291" s="360"/>
      <c r="I291" s="361"/>
      <c r="J291" s="361"/>
      <c r="K291" s="362"/>
      <c r="L291" s="362"/>
      <c r="M291" s="354"/>
      <c r="N291" s="354"/>
      <c r="O291" s="354"/>
      <c r="P291" s="354"/>
      <c r="Q291" s="354"/>
      <c r="R291" s="354"/>
      <c r="S291" s="354"/>
      <c r="T291" s="354"/>
      <c r="U291" s="354"/>
      <c r="V291" s="354"/>
      <c r="W291" s="354"/>
      <c r="X291" s="354"/>
      <c r="Y291" s="354"/>
      <c r="Z291" s="354"/>
      <c r="AA291" s="354"/>
      <c r="AB291" s="354"/>
      <c r="AC291" s="354"/>
      <c r="AD291" s="354"/>
      <c r="AE291" s="354"/>
      <c r="AF291" s="354"/>
    </row>
    <row r="292" ht="16.5" customHeight="1">
      <c r="A292" s="293"/>
      <c r="B292" s="307"/>
      <c r="C292" s="308"/>
      <c r="D292" s="311"/>
      <c r="E292" s="311"/>
      <c r="F292" s="311"/>
      <c r="G292" s="363"/>
      <c r="H292" s="311"/>
      <c r="I292" s="317"/>
      <c r="J292" s="313"/>
      <c r="K292" s="313"/>
      <c r="L292" s="313"/>
      <c r="M292" s="293"/>
      <c r="N292" s="293"/>
      <c r="O292" s="293"/>
      <c r="P292" s="293"/>
      <c r="Q292" s="293"/>
      <c r="R292" s="293"/>
      <c r="S292" s="293"/>
      <c r="T292" s="293"/>
      <c r="U292" s="293"/>
      <c r="V292" s="293"/>
      <c r="W292" s="293"/>
      <c r="X292" s="293"/>
      <c r="Y292" s="293"/>
      <c r="Z292" s="293"/>
      <c r="AA292" s="293"/>
      <c r="AB292" s="293"/>
      <c r="AC292" s="293"/>
      <c r="AD292" s="293"/>
      <c r="AE292" s="293"/>
      <c r="AF292" s="293"/>
    </row>
    <row r="293" ht="16.5" customHeight="1">
      <c r="A293" s="293"/>
      <c r="B293" s="307"/>
      <c r="C293" s="308"/>
      <c r="D293" s="311"/>
      <c r="E293" s="311"/>
      <c r="F293" s="364"/>
      <c r="G293" s="363"/>
      <c r="H293" s="364"/>
      <c r="I293" s="317"/>
      <c r="J293" s="313"/>
      <c r="K293" s="313"/>
      <c r="L293" s="313"/>
      <c r="M293" s="293"/>
      <c r="N293" s="293"/>
      <c r="O293" s="293"/>
      <c r="P293" s="293"/>
      <c r="Q293" s="293"/>
      <c r="R293" s="293"/>
      <c r="S293" s="293"/>
      <c r="T293" s="293"/>
      <c r="U293" s="293"/>
      <c r="V293" s="293"/>
      <c r="W293" s="293"/>
      <c r="X293" s="293"/>
      <c r="Y293" s="293"/>
      <c r="Z293" s="293"/>
      <c r="AA293" s="293"/>
      <c r="AB293" s="293"/>
      <c r="AC293" s="293"/>
      <c r="AD293" s="293"/>
      <c r="AE293" s="293"/>
      <c r="AF293" s="293"/>
    </row>
    <row r="294" ht="16.5" customHeight="1">
      <c r="A294" s="293"/>
      <c r="B294" s="307"/>
      <c r="C294" s="365"/>
      <c r="D294" s="317"/>
      <c r="E294" s="366"/>
      <c r="F294" s="317"/>
      <c r="G294" s="367"/>
      <c r="H294" s="317"/>
      <c r="I294" s="317"/>
      <c r="J294" s="313"/>
      <c r="K294" s="313"/>
      <c r="L294" s="313"/>
      <c r="M294" s="293"/>
      <c r="N294" s="293"/>
      <c r="O294" s="293"/>
      <c r="P294" s="293"/>
      <c r="Q294" s="293"/>
      <c r="R294" s="293"/>
      <c r="S294" s="293"/>
      <c r="T294" s="293"/>
      <c r="U294" s="293"/>
      <c r="V294" s="293"/>
      <c r="W294" s="293"/>
      <c r="X294" s="293"/>
      <c r="Y294" s="293"/>
      <c r="Z294" s="293"/>
      <c r="AA294" s="293"/>
      <c r="AB294" s="293"/>
      <c r="AC294" s="293"/>
      <c r="AD294" s="293"/>
      <c r="AE294" s="293"/>
      <c r="AF294" s="293"/>
    </row>
    <row r="295" ht="16.5" customHeight="1">
      <c r="A295" s="293"/>
      <c r="B295" s="368"/>
      <c r="C295" s="369"/>
      <c r="D295" s="333"/>
      <c r="E295" s="333"/>
      <c r="F295" s="333"/>
      <c r="G295" s="370"/>
      <c r="H295" s="333"/>
      <c r="I295" s="313"/>
      <c r="J295" s="313"/>
      <c r="K295" s="313"/>
      <c r="L295" s="313"/>
      <c r="M295" s="293"/>
      <c r="N295" s="293"/>
      <c r="O295" s="293"/>
      <c r="P295" s="293"/>
      <c r="Q295" s="293"/>
      <c r="R295" s="293"/>
      <c r="S295" s="293"/>
      <c r="T295" s="293"/>
      <c r="U295" s="293"/>
      <c r="V295" s="293"/>
      <c r="W295" s="293"/>
      <c r="X295" s="293"/>
      <c r="Y295" s="293"/>
      <c r="Z295" s="293"/>
      <c r="AA295" s="293"/>
      <c r="AB295" s="293"/>
      <c r="AC295" s="293"/>
      <c r="AD295" s="293"/>
      <c r="AE295" s="293"/>
      <c r="AF295" s="293"/>
    </row>
    <row r="296" ht="16.5" customHeight="1">
      <c r="A296" s="293"/>
      <c r="B296" s="307"/>
      <c r="C296" s="369"/>
      <c r="D296" s="333"/>
      <c r="E296" s="333"/>
      <c r="F296" s="333"/>
      <c r="G296" s="370"/>
      <c r="H296" s="333"/>
      <c r="I296" s="313"/>
      <c r="J296" s="313"/>
      <c r="K296" s="313"/>
      <c r="L296" s="313"/>
      <c r="M296" s="293"/>
      <c r="N296" s="293"/>
      <c r="O296" s="293"/>
      <c r="P296" s="293"/>
      <c r="Q296" s="293"/>
      <c r="R296" s="293"/>
      <c r="S296" s="293"/>
      <c r="T296" s="293"/>
      <c r="U296" s="293"/>
      <c r="V296" s="293"/>
      <c r="W296" s="293"/>
      <c r="X296" s="293"/>
      <c r="Y296" s="293"/>
      <c r="Z296" s="293"/>
      <c r="AA296" s="293"/>
      <c r="AB296" s="293"/>
      <c r="AC296" s="293"/>
      <c r="AD296" s="293"/>
      <c r="AE296" s="293"/>
      <c r="AF296" s="293"/>
    </row>
    <row r="297" ht="16.5" customHeight="1">
      <c r="A297" s="293"/>
      <c r="B297" s="368"/>
      <c r="C297" s="369"/>
      <c r="D297" s="333"/>
      <c r="E297" s="333"/>
      <c r="F297" s="333"/>
      <c r="G297" s="370"/>
      <c r="H297" s="333"/>
      <c r="I297" s="313"/>
      <c r="J297" s="313"/>
      <c r="K297" s="313"/>
      <c r="L297" s="313"/>
      <c r="M297" s="293"/>
      <c r="N297" s="293"/>
      <c r="O297" s="293"/>
      <c r="P297" s="293"/>
      <c r="Q297" s="293"/>
      <c r="R297" s="293"/>
      <c r="S297" s="293"/>
      <c r="T297" s="293"/>
      <c r="U297" s="293"/>
      <c r="V297" s="293"/>
      <c r="W297" s="293"/>
      <c r="X297" s="293"/>
      <c r="Y297" s="293"/>
      <c r="Z297" s="293"/>
      <c r="AA297" s="293"/>
      <c r="AB297" s="293"/>
      <c r="AC297" s="293"/>
      <c r="AD297" s="293"/>
      <c r="AE297" s="293"/>
      <c r="AF297" s="293"/>
    </row>
    <row r="298" ht="16.5" customHeight="1">
      <c r="A298" s="293"/>
      <c r="B298" s="307"/>
      <c r="C298" s="369"/>
      <c r="D298" s="333"/>
      <c r="E298" s="333"/>
      <c r="F298" s="333"/>
      <c r="G298" s="370"/>
      <c r="H298" s="333"/>
      <c r="I298" s="313"/>
      <c r="J298" s="313"/>
      <c r="K298" s="313"/>
      <c r="L298" s="313"/>
      <c r="M298" s="293"/>
      <c r="N298" s="293"/>
      <c r="O298" s="293"/>
      <c r="P298" s="293"/>
      <c r="Q298" s="293"/>
      <c r="R298" s="293"/>
      <c r="S298" s="293"/>
      <c r="T298" s="293"/>
      <c r="U298" s="293"/>
      <c r="V298" s="293"/>
      <c r="W298" s="293"/>
      <c r="X298" s="293"/>
      <c r="Y298" s="293"/>
      <c r="Z298" s="293"/>
      <c r="AA298" s="293"/>
      <c r="AB298" s="293"/>
      <c r="AC298" s="293"/>
      <c r="AD298" s="293"/>
      <c r="AE298" s="293"/>
      <c r="AF298" s="293"/>
    </row>
    <row r="299" ht="16.5" customHeight="1">
      <c r="A299" s="293"/>
      <c r="B299" s="368"/>
      <c r="C299" s="371"/>
      <c r="D299" s="311"/>
      <c r="E299" s="311"/>
      <c r="F299" s="311"/>
      <c r="G299" s="363"/>
      <c r="H299" s="317"/>
      <c r="I299" s="313"/>
      <c r="J299" s="313"/>
      <c r="K299" s="313"/>
      <c r="L299" s="313"/>
      <c r="M299" s="293"/>
      <c r="N299" s="293"/>
      <c r="O299" s="293"/>
      <c r="P299" s="293"/>
      <c r="Q299" s="293"/>
      <c r="R299" s="293"/>
      <c r="S299" s="293"/>
      <c r="T299" s="293"/>
      <c r="U299" s="293"/>
      <c r="V299" s="293"/>
      <c r="W299" s="293"/>
      <c r="X299" s="293"/>
      <c r="Y299" s="293"/>
      <c r="Z299" s="293"/>
      <c r="AA299" s="293"/>
      <c r="AB299" s="293"/>
      <c r="AC299" s="293"/>
      <c r="AD299" s="293"/>
      <c r="AE299" s="293"/>
      <c r="AF299" s="293"/>
    </row>
    <row r="300" ht="16.5" customHeight="1">
      <c r="A300" s="293"/>
      <c r="B300" s="307"/>
      <c r="C300" s="371"/>
      <c r="D300" s="311"/>
      <c r="E300" s="311"/>
      <c r="F300" s="311"/>
      <c r="G300" s="363"/>
      <c r="H300" s="311"/>
      <c r="I300" s="313"/>
      <c r="J300" s="313"/>
      <c r="K300" s="313"/>
      <c r="L300" s="313"/>
      <c r="M300" s="293"/>
      <c r="N300" s="293"/>
      <c r="O300" s="293"/>
      <c r="P300" s="293"/>
      <c r="Q300" s="293"/>
      <c r="R300" s="293"/>
      <c r="S300" s="293"/>
      <c r="T300" s="293"/>
      <c r="U300" s="293"/>
      <c r="V300" s="293"/>
      <c r="W300" s="293"/>
      <c r="X300" s="293"/>
      <c r="Y300" s="293"/>
      <c r="Z300" s="293"/>
      <c r="AA300" s="293"/>
      <c r="AB300" s="293"/>
      <c r="AC300" s="293"/>
      <c r="AD300" s="293"/>
      <c r="AE300" s="293"/>
      <c r="AF300" s="293"/>
    </row>
    <row r="301" ht="16.5" customHeight="1">
      <c r="A301" s="293"/>
      <c r="B301" s="307"/>
      <c r="C301" s="371"/>
      <c r="D301" s="311"/>
      <c r="E301" s="311"/>
      <c r="F301" s="311"/>
      <c r="G301" s="363"/>
      <c r="H301" s="311"/>
      <c r="I301" s="313"/>
      <c r="J301" s="313"/>
      <c r="K301" s="313"/>
      <c r="L301" s="313"/>
      <c r="M301" s="293"/>
      <c r="N301" s="293"/>
      <c r="O301" s="293"/>
      <c r="P301" s="293"/>
      <c r="Q301" s="293"/>
      <c r="R301" s="293"/>
      <c r="S301" s="293"/>
      <c r="T301" s="293"/>
      <c r="U301" s="293"/>
      <c r="V301" s="293"/>
      <c r="W301" s="293"/>
      <c r="X301" s="293"/>
      <c r="Y301" s="293"/>
      <c r="Z301" s="293"/>
      <c r="AA301" s="293"/>
      <c r="AB301" s="293"/>
      <c r="AC301" s="293"/>
      <c r="AD301" s="293"/>
      <c r="AE301" s="293"/>
      <c r="AF301" s="293"/>
    </row>
    <row r="302" ht="16.5" customHeight="1">
      <c r="A302" s="293"/>
      <c r="B302" s="368"/>
      <c r="C302" s="371"/>
      <c r="D302" s="311"/>
      <c r="E302" s="372"/>
      <c r="F302" s="311"/>
      <c r="G302" s="363"/>
      <c r="H302" s="311"/>
      <c r="I302" s="313"/>
      <c r="J302" s="313"/>
      <c r="K302" s="313"/>
      <c r="L302" s="313"/>
      <c r="M302" s="293"/>
      <c r="N302" s="293"/>
      <c r="O302" s="293"/>
      <c r="P302" s="293"/>
      <c r="Q302" s="293"/>
      <c r="R302" s="293"/>
      <c r="S302" s="293"/>
      <c r="T302" s="293"/>
      <c r="U302" s="293"/>
      <c r="V302" s="293"/>
      <c r="W302" s="293"/>
      <c r="X302" s="293"/>
      <c r="Y302" s="293"/>
      <c r="Z302" s="293"/>
      <c r="AA302" s="293"/>
      <c r="AB302" s="293"/>
      <c r="AC302" s="293"/>
      <c r="AD302" s="293"/>
      <c r="AE302" s="293"/>
      <c r="AF302" s="293"/>
    </row>
    <row r="303" ht="16.5" customHeight="1">
      <c r="A303" s="293"/>
      <c r="B303" s="307"/>
      <c r="C303" s="371"/>
      <c r="D303" s="311"/>
      <c r="E303" s="372"/>
      <c r="F303" s="373"/>
      <c r="G303" s="363"/>
      <c r="H303" s="373"/>
      <c r="I303" s="313"/>
      <c r="J303" s="313"/>
      <c r="K303" s="313"/>
      <c r="L303" s="313"/>
      <c r="M303" s="293"/>
      <c r="N303" s="293"/>
      <c r="O303" s="293"/>
      <c r="P303" s="293"/>
      <c r="Q303" s="293"/>
      <c r="R303" s="293"/>
      <c r="S303" s="293"/>
      <c r="T303" s="293"/>
      <c r="U303" s="293"/>
      <c r="V303" s="293"/>
      <c r="W303" s="293"/>
      <c r="X303" s="293"/>
      <c r="Y303" s="293"/>
      <c r="Z303" s="293"/>
      <c r="AA303" s="293"/>
      <c r="AB303" s="293"/>
      <c r="AC303" s="293"/>
      <c r="AD303" s="293"/>
      <c r="AE303" s="293"/>
      <c r="AF303" s="293"/>
    </row>
    <row r="304" ht="16.5" customHeight="1">
      <c r="A304" s="293"/>
      <c r="B304" s="307"/>
      <c r="C304" s="308"/>
      <c r="D304" s="309"/>
      <c r="E304" s="374"/>
      <c r="F304" s="375"/>
      <c r="G304" s="363"/>
      <c r="H304" s="376"/>
      <c r="I304" s="313"/>
      <c r="J304" s="313"/>
      <c r="K304" s="313"/>
      <c r="L304" s="313"/>
      <c r="M304" s="293"/>
      <c r="N304" s="293"/>
      <c r="O304" s="293"/>
      <c r="P304" s="293"/>
      <c r="Q304" s="293"/>
      <c r="R304" s="293"/>
      <c r="S304" s="293"/>
      <c r="T304" s="293"/>
      <c r="U304" s="293"/>
      <c r="V304" s="293"/>
      <c r="W304" s="293"/>
      <c r="X304" s="293"/>
      <c r="Y304" s="293"/>
      <c r="Z304" s="293"/>
      <c r="AA304" s="293"/>
      <c r="AB304" s="293"/>
      <c r="AC304" s="293"/>
      <c r="AD304" s="293"/>
      <c r="AE304" s="293"/>
      <c r="AF304" s="293"/>
    </row>
    <row r="305" ht="16.5" customHeight="1">
      <c r="A305" s="293"/>
      <c r="B305" s="307"/>
      <c r="C305" s="308"/>
      <c r="D305" s="309"/>
      <c r="E305" s="309"/>
      <c r="F305" s="375"/>
      <c r="G305" s="363"/>
      <c r="H305" s="376"/>
      <c r="I305" s="313"/>
      <c r="J305" s="313"/>
      <c r="K305" s="313"/>
      <c r="L305" s="313"/>
      <c r="M305" s="293"/>
      <c r="N305" s="293"/>
      <c r="O305" s="293"/>
      <c r="P305" s="293"/>
      <c r="Q305" s="293"/>
      <c r="R305" s="293"/>
      <c r="S305" s="293"/>
      <c r="T305" s="293"/>
      <c r="U305" s="293"/>
      <c r="V305" s="293"/>
      <c r="W305" s="293"/>
      <c r="X305" s="293"/>
      <c r="Y305" s="293"/>
      <c r="Z305" s="293"/>
      <c r="AA305" s="293"/>
      <c r="AB305" s="293"/>
      <c r="AC305" s="293"/>
      <c r="AD305" s="293"/>
      <c r="AE305" s="293"/>
      <c r="AF305" s="293"/>
    </row>
    <row r="306" ht="16.5" customHeight="1">
      <c r="A306" s="293"/>
      <c r="B306" s="307"/>
      <c r="C306" s="308"/>
      <c r="D306" s="309"/>
      <c r="E306" s="376"/>
      <c r="F306" s="376"/>
      <c r="G306" s="363"/>
      <c r="H306" s="376"/>
      <c r="I306" s="313"/>
      <c r="J306" s="313"/>
      <c r="K306" s="313"/>
      <c r="L306" s="313"/>
      <c r="M306" s="293"/>
      <c r="N306" s="293"/>
      <c r="O306" s="293"/>
      <c r="P306" s="293"/>
      <c r="Q306" s="293"/>
      <c r="R306" s="293"/>
      <c r="S306" s="293"/>
      <c r="T306" s="293"/>
      <c r="U306" s="293"/>
      <c r="V306" s="293"/>
      <c r="W306" s="293"/>
      <c r="X306" s="293"/>
      <c r="Y306" s="293"/>
      <c r="Z306" s="293"/>
      <c r="AA306" s="293"/>
      <c r="AB306" s="293"/>
      <c r="AC306" s="293"/>
      <c r="AD306" s="293"/>
      <c r="AE306" s="293"/>
      <c r="AF306" s="293"/>
    </row>
    <row r="307" ht="16.5" customHeight="1">
      <c r="A307" s="293"/>
      <c r="B307" s="307"/>
      <c r="C307" s="308"/>
      <c r="D307" s="309"/>
      <c r="E307" s="306"/>
      <c r="F307" s="376"/>
      <c r="G307" s="363"/>
      <c r="H307" s="364"/>
      <c r="I307" s="313"/>
      <c r="J307" s="313"/>
      <c r="K307" s="313"/>
      <c r="L307" s="313"/>
      <c r="M307" s="293"/>
      <c r="N307" s="293"/>
      <c r="O307" s="293"/>
      <c r="P307" s="293"/>
      <c r="Q307" s="293"/>
      <c r="R307" s="293"/>
      <c r="S307" s="293"/>
      <c r="T307" s="293"/>
      <c r="U307" s="293"/>
      <c r="V307" s="293"/>
      <c r="W307" s="293"/>
      <c r="X307" s="293"/>
      <c r="Y307" s="293"/>
      <c r="Z307" s="293"/>
      <c r="AA307" s="293"/>
      <c r="AB307" s="293"/>
      <c r="AC307" s="293"/>
      <c r="AD307" s="293"/>
      <c r="AE307" s="293"/>
      <c r="AF307" s="293"/>
    </row>
    <row r="308" ht="16.5" customHeight="1">
      <c r="A308" s="293"/>
      <c r="B308" s="377"/>
      <c r="C308" s="378"/>
      <c r="D308" s="306"/>
      <c r="E308" s="306"/>
      <c r="F308" s="376"/>
      <c r="G308" s="379"/>
      <c r="H308" s="376"/>
      <c r="I308" s="313"/>
      <c r="J308" s="313"/>
      <c r="K308" s="313"/>
      <c r="L308" s="313"/>
      <c r="M308" s="293"/>
      <c r="N308" s="293"/>
      <c r="O308" s="293"/>
      <c r="P308" s="293"/>
      <c r="Q308" s="293"/>
      <c r="R308" s="293"/>
      <c r="S308" s="293"/>
      <c r="T308" s="293"/>
      <c r="U308" s="293"/>
      <c r="V308" s="293"/>
      <c r="W308" s="293"/>
      <c r="X308" s="293"/>
      <c r="Y308" s="293"/>
      <c r="Z308" s="293"/>
      <c r="AA308" s="293"/>
      <c r="AB308" s="293"/>
      <c r="AC308" s="293"/>
      <c r="AD308" s="293"/>
      <c r="AE308" s="293"/>
      <c r="AF308" s="293"/>
    </row>
    <row r="309" ht="16.5" customHeight="1">
      <c r="A309" s="293"/>
      <c r="B309" s="377"/>
      <c r="C309" s="378"/>
      <c r="D309" s="306"/>
      <c r="E309" s="380"/>
      <c r="F309" s="376"/>
      <c r="G309" s="379"/>
      <c r="H309" s="376"/>
      <c r="I309" s="313"/>
      <c r="J309" s="313"/>
      <c r="K309" s="313"/>
      <c r="L309" s="313"/>
      <c r="M309" s="293"/>
      <c r="N309" s="293"/>
      <c r="O309" s="293"/>
      <c r="P309" s="293"/>
      <c r="Q309" s="293"/>
      <c r="R309" s="293"/>
      <c r="S309" s="293"/>
      <c r="T309" s="293"/>
      <c r="U309" s="293"/>
      <c r="V309" s="293"/>
      <c r="W309" s="293"/>
      <c r="X309" s="293"/>
      <c r="Y309" s="293"/>
      <c r="Z309" s="293"/>
      <c r="AA309" s="293"/>
      <c r="AB309" s="293"/>
      <c r="AC309" s="293"/>
      <c r="AD309" s="293"/>
      <c r="AE309" s="293"/>
      <c r="AF309" s="293"/>
    </row>
    <row r="310" ht="16.5" customHeight="1">
      <c r="A310" s="293"/>
      <c r="B310" s="381"/>
      <c r="C310" s="382"/>
      <c r="D310" s="311"/>
      <c r="E310" s="311"/>
      <c r="F310" s="311"/>
      <c r="G310" s="383"/>
      <c r="H310" s="311"/>
      <c r="I310" s="313"/>
      <c r="J310" s="313"/>
      <c r="K310" s="313"/>
      <c r="L310" s="313"/>
      <c r="M310" s="293"/>
      <c r="N310" s="293"/>
      <c r="O310" s="293"/>
      <c r="P310" s="293"/>
      <c r="Q310" s="293"/>
      <c r="R310" s="293"/>
      <c r="S310" s="293"/>
      <c r="T310" s="293"/>
      <c r="U310" s="293"/>
      <c r="V310" s="293"/>
      <c r="W310" s="293"/>
      <c r="X310" s="293"/>
      <c r="Y310" s="293"/>
      <c r="Z310" s="293"/>
      <c r="AA310" s="293"/>
      <c r="AB310" s="293"/>
      <c r="AC310" s="293"/>
      <c r="AD310" s="293"/>
      <c r="AE310" s="293"/>
      <c r="AF310" s="293"/>
    </row>
    <row r="311" ht="16.5" customHeight="1">
      <c r="A311" s="293"/>
      <c r="B311" s="381"/>
      <c r="C311" s="382"/>
      <c r="D311" s="311"/>
      <c r="E311" s="311"/>
      <c r="F311" s="311"/>
      <c r="G311" s="384"/>
      <c r="H311" s="311"/>
      <c r="I311" s="313"/>
      <c r="J311" s="313"/>
      <c r="K311" s="313"/>
      <c r="L311" s="313"/>
      <c r="M311" s="293"/>
      <c r="N311" s="293"/>
      <c r="O311" s="293"/>
      <c r="P311" s="293"/>
      <c r="Q311" s="293"/>
      <c r="R311" s="293"/>
      <c r="S311" s="293"/>
      <c r="T311" s="293"/>
      <c r="U311" s="293"/>
      <c r="V311" s="293"/>
      <c r="W311" s="293"/>
      <c r="X311" s="293"/>
      <c r="Y311" s="293"/>
      <c r="Z311" s="293"/>
      <c r="AA311" s="293"/>
      <c r="AB311" s="293"/>
      <c r="AC311" s="293"/>
      <c r="AD311" s="293"/>
      <c r="AE311" s="293"/>
      <c r="AF311" s="293"/>
    </row>
    <row r="312" ht="16.5" customHeight="1">
      <c r="A312" s="293"/>
      <c r="B312" s="381"/>
      <c r="C312" s="382"/>
      <c r="D312" s="311"/>
      <c r="E312" s="311"/>
      <c r="F312" s="311"/>
      <c r="G312" s="384"/>
      <c r="H312" s="311"/>
      <c r="I312" s="313"/>
      <c r="J312" s="313"/>
      <c r="K312" s="313"/>
      <c r="L312" s="313"/>
      <c r="M312" s="293"/>
      <c r="N312" s="293"/>
      <c r="O312" s="293"/>
      <c r="P312" s="293"/>
      <c r="Q312" s="293"/>
      <c r="R312" s="293"/>
      <c r="S312" s="293"/>
      <c r="T312" s="293"/>
      <c r="U312" s="293"/>
      <c r="V312" s="293"/>
      <c r="W312" s="293"/>
      <c r="X312" s="293"/>
      <c r="Y312" s="293"/>
      <c r="Z312" s="293"/>
      <c r="AA312" s="293"/>
      <c r="AB312" s="293"/>
      <c r="AC312" s="293"/>
      <c r="AD312" s="293"/>
      <c r="AE312" s="293"/>
      <c r="AF312" s="293"/>
    </row>
    <row r="313" ht="16.5" customHeight="1">
      <c r="A313" s="293"/>
      <c r="B313" s="385"/>
      <c r="C313" s="299"/>
      <c r="D313" s="293"/>
      <c r="E313" s="293"/>
      <c r="F313" s="293"/>
      <c r="G313" s="300"/>
      <c r="H313" s="293"/>
      <c r="I313" s="313"/>
      <c r="J313" s="313"/>
      <c r="K313" s="313"/>
      <c r="L313" s="313"/>
      <c r="M313" s="293"/>
      <c r="N313" s="293"/>
      <c r="O313" s="293"/>
      <c r="P313" s="293"/>
      <c r="Q313" s="293"/>
      <c r="R313" s="293"/>
      <c r="S313" s="293"/>
      <c r="T313" s="293"/>
      <c r="U313" s="293"/>
      <c r="V313" s="293"/>
      <c r="W313" s="293"/>
      <c r="X313" s="293"/>
      <c r="Y313" s="293"/>
      <c r="Z313" s="293"/>
      <c r="AA313" s="293"/>
      <c r="AB313" s="293"/>
      <c r="AC313" s="293"/>
      <c r="AD313" s="293"/>
      <c r="AE313" s="293"/>
      <c r="AF313" s="293"/>
    </row>
    <row r="314" ht="16.5" customHeight="1">
      <c r="A314" s="293"/>
      <c r="B314" s="385"/>
      <c r="C314" s="299"/>
      <c r="D314" s="293"/>
      <c r="E314" s="293"/>
      <c r="F314" s="293"/>
      <c r="G314" s="300"/>
      <c r="H314" s="293"/>
      <c r="I314" s="313"/>
      <c r="J314" s="313"/>
      <c r="K314" s="313"/>
      <c r="L314" s="313"/>
      <c r="M314" s="293"/>
      <c r="N314" s="293"/>
      <c r="O314" s="293"/>
      <c r="P314" s="293"/>
      <c r="Q314" s="293"/>
      <c r="R314" s="293"/>
      <c r="S314" s="293"/>
      <c r="T314" s="293"/>
      <c r="U314" s="293"/>
      <c r="V314" s="293"/>
      <c r="W314" s="293"/>
      <c r="X314" s="293"/>
      <c r="Y314" s="293"/>
      <c r="Z314" s="293"/>
      <c r="AA314" s="293"/>
      <c r="AB314" s="293"/>
      <c r="AC314" s="293"/>
      <c r="AD314" s="293"/>
      <c r="AE314" s="293"/>
      <c r="AF314" s="293"/>
    </row>
    <row r="315" ht="16.5" customHeight="1">
      <c r="A315" s="293"/>
      <c r="B315" s="385"/>
      <c r="C315" s="299"/>
      <c r="D315" s="293"/>
      <c r="E315" s="293"/>
      <c r="F315" s="293"/>
      <c r="G315" s="300"/>
      <c r="H315" s="293"/>
      <c r="I315" s="313"/>
      <c r="J315" s="313"/>
      <c r="K315" s="313"/>
      <c r="L315" s="313"/>
      <c r="M315" s="293"/>
      <c r="N315" s="293"/>
      <c r="O315" s="293"/>
      <c r="P315" s="293"/>
      <c r="Q315" s="293"/>
      <c r="R315" s="293"/>
      <c r="S315" s="293"/>
      <c r="T315" s="293"/>
      <c r="U315" s="293"/>
      <c r="V315" s="293"/>
      <c r="W315" s="293"/>
      <c r="X315" s="293"/>
      <c r="Y315" s="293"/>
      <c r="Z315" s="293"/>
      <c r="AA315" s="293"/>
      <c r="AB315" s="293"/>
      <c r="AC315" s="293"/>
      <c r="AD315" s="293"/>
      <c r="AE315" s="293"/>
      <c r="AF315" s="293"/>
    </row>
    <row r="316" ht="16.5" customHeight="1">
      <c r="A316" s="293"/>
      <c r="B316" s="385"/>
      <c r="C316" s="299"/>
      <c r="D316" s="293"/>
      <c r="E316" s="293"/>
      <c r="F316" s="293"/>
      <c r="G316" s="300"/>
      <c r="H316" s="293"/>
      <c r="I316" s="313"/>
      <c r="J316" s="313"/>
      <c r="K316" s="313"/>
      <c r="L316" s="313"/>
      <c r="M316" s="293"/>
      <c r="N316" s="293"/>
      <c r="O316" s="293"/>
      <c r="P316" s="293"/>
      <c r="Q316" s="293"/>
      <c r="R316" s="293"/>
      <c r="S316" s="293"/>
      <c r="T316" s="293"/>
      <c r="U316" s="293"/>
      <c r="V316" s="293"/>
      <c r="W316" s="293"/>
      <c r="X316" s="293"/>
      <c r="Y316" s="293"/>
      <c r="Z316" s="293"/>
      <c r="AA316" s="293"/>
      <c r="AB316" s="293"/>
      <c r="AC316" s="293"/>
      <c r="AD316" s="293"/>
      <c r="AE316" s="293"/>
      <c r="AF316" s="293"/>
    </row>
    <row r="317" ht="16.5" customHeight="1">
      <c r="A317" s="293"/>
      <c r="B317" s="385"/>
      <c r="C317" s="299"/>
      <c r="D317" s="293"/>
      <c r="E317" s="293"/>
      <c r="F317" s="293"/>
      <c r="G317" s="300"/>
      <c r="H317" s="293"/>
      <c r="I317" s="313"/>
      <c r="J317" s="313"/>
      <c r="K317" s="313"/>
      <c r="L317" s="313"/>
      <c r="M317" s="293"/>
      <c r="N317" s="293"/>
      <c r="O317" s="293"/>
      <c r="P317" s="293"/>
      <c r="Q317" s="293"/>
      <c r="R317" s="293"/>
      <c r="S317" s="293"/>
      <c r="T317" s="293"/>
      <c r="U317" s="293"/>
      <c r="V317" s="293"/>
      <c r="W317" s="293"/>
      <c r="X317" s="293"/>
      <c r="Y317" s="293"/>
      <c r="Z317" s="293"/>
      <c r="AA317" s="293"/>
      <c r="AB317" s="293"/>
      <c r="AC317" s="293"/>
      <c r="AD317" s="293"/>
      <c r="AE317" s="293"/>
      <c r="AF317" s="293"/>
    </row>
    <row r="318" ht="16.5" customHeight="1">
      <c r="A318" s="293"/>
      <c r="B318" s="385"/>
      <c r="C318" s="299"/>
      <c r="D318" s="293"/>
      <c r="E318" s="293"/>
      <c r="F318" s="293"/>
      <c r="G318" s="300"/>
      <c r="H318" s="293"/>
      <c r="I318" s="313"/>
      <c r="J318" s="313"/>
      <c r="K318" s="313"/>
      <c r="L318" s="313"/>
      <c r="M318" s="293"/>
      <c r="N318" s="293"/>
      <c r="O318" s="293"/>
      <c r="P318" s="293"/>
      <c r="Q318" s="293"/>
      <c r="R318" s="293"/>
      <c r="S318" s="293"/>
      <c r="T318" s="293"/>
      <c r="U318" s="293"/>
      <c r="V318" s="293"/>
      <c r="W318" s="293"/>
      <c r="X318" s="293"/>
      <c r="Y318" s="293"/>
      <c r="Z318" s="293"/>
      <c r="AA318" s="293"/>
      <c r="AB318" s="293"/>
      <c r="AC318" s="293"/>
      <c r="AD318" s="293"/>
      <c r="AE318" s="293"/>
      <c r="AF318" s="293"/>
    </row>
    <row r="319" ht="16.5" customHeight="1">
      <c r="A319" s="293"/>
      <c r="B319" s="385"/>
      <c r="C319" s="299"/>
      <c r="D319" s="293"/>
      <c r="E319" s="293"/>
      <c r="F319" s="293"/>
      <c r="G319" s="300"/>
      <c r="H319" s="293"/>
      <c r="I319" s="313"/>
      <c r="J319" s="313"/>
      <c r="K319" s="313"/>
      <c r="L319" s="313"/>
      <c r="M319" s="293"/>
      <c r="N319" s="293"/>
      <c r="O319" s="293"/>
      <c r="P319" s="293"/>
      <c r="Q319" s="293"/>
      <c r="R319" s="293"/>
      <c r="S319" s="293"/>
      <c r="T319" s="293"/>
      <c r="U319" s="293"/>
      <c r="V319" s="293"/>
      <c r="W319" s="293"/>
      <c r="X319" s="293"/>
      <c r="Y319" s="293"/>
      <c r="Z319" s="293"/>
      <c r="AA319" s="293"/>
      <c r="AB319" s="293"/>
      <c r="AC319" s="293"/>
      <c r="AD319" s="293"/>
      <c r="AE319" s="293"/>
      <c r="AF319" s="293"/>
    </row>
    <row r="320" ht="16.5" customHeight="1">
      <c r="A320" s="293"/>
      <c r="B320" s="385"/>
      <c r="C320" s="299"/>
      <c r="D320" s="293"/>
      <c r="E320" s="293"/>
      <c r="F320" s="293"/>
      <c r="G320" s="300"/>
      <c r="H320" s="293"/>
      <c r="I320" s="313"/>
      <c r="J320" s="313"/>
      <c r="K320" s="313"/>
      <c r="L320" s="313"/>
      <c r="M320" s="293"/>
      <c r="N320" s="293"/>
      <c r="O320" s="293"/>
      <c r="P320" s="293"/>
      <c r="Q320" s="293"/>
      <c r="R320" s="293"/>
      <c r="S320" s="293"/>
      <c r="T320" s="293"/>
      <c r="U320" s="293"/>
      <c r="V320" s="293"/>
      <c r="W320" s="293"/>
      <c r="X320" s="293"/>
      <c r="Y320" s="293"/>
      <c r="Z320" s="293"/>
      <c r="AA320" s="293"/>
      <c r="AB320" s="293"/>
      <c r="AC320" s="293"/>
      <c r="AD320" s="293"/>
      <c r="AE320" s="293"/>
      <c r="AF320" s="293"/>
    </row>
    <row r="321" ht="16.5" customHeight="1">
      <c r="A321" s="293"/>
      <c r="B321" s="385"/>
      <c r="C321" s="299"/>
      <c r="D321" s="293"/>
      <c r="E321" s="293"/>
      <c r="F321" s="293"/>
      <c r="G321" s="300"/>
      <c r="H321" s="293"/>
      <c r="I321" s="313"/>
      <c r="J321" s="313"/>
      <c r="K321" s="313"/>
      <c r="L321" s="313"/>
      <c r="M321" s="293"/>
      <c r="N321" s="293"/>
      <c r="O321" s="293"/>
      <c r="P321" s="293"/>
      <c r="Q321" s="293"/>
      <c r="R321" s="293"/>
      <c r="S321" s="293"/>
      <c r="T321" s="293"/>
      <c r="U321" s="293"/>
      <c r="V321" s="293"/>
      <c r="W321" s="293"/>
      <c r="X321" s="293"/>
      <c r="Y321" s="293"/>
      <c r="Z321" s="293"/>
      <c r="AA321" s="293"/>
      <c r="AB321" s="293"/>
      <c r="AC321" s="293"/>
      <c r="AD321" s="293"/>
      <c r="AE321" s="293"/>
      <c r="AF321" s="293"/>
    </row>
    <row r="322" ht="16.5" customHeight="1">
      <c r="A322" s="293"/>
      <c r="B322" s="385"/>
      <c r="C322" s="299"/>
      <c r="D322" s="293"/>
      <c r="E322" s="293"/>
      <c r="F322" s="293"/>
      <c r="G322" s="300"/>
      <c r="H322" s="293"/>
      <c r="I322" s="313"/>
      <c r="J322" s="313"/>
      <c r="K322" s="313"/>
      <c r="L322" s="313"/>
      <c r="M322" s="293"/>
      <c r="N322" s="293"/>
      <c r="O322" s="293"/>
      <c r="P322" s="293"/>
      <c r="Q322" s="293"/>
      <c r="R322" s="293"/>
      <c r="S322" s="293"/>
      <c r="T322" s="293"/>
      <c r="U322" s="293"/>
      <c r="V322" s="293"/>
      <c r="W322" s="293"/>
      <c r="X322" s="293"/>
      <c r="Y322" s="293"/>
      <c r="Z322" s="293"/>
      <c r="AA322" s="293"/>
      <c r="AB322" s="293"/>
      <c r="AC322" s="293"/>
      <c r="AD322" s="293"/>
      <c r="AE322" s="293"/>
      <c r="AF322" s="293"/>
    </row>
    <row r="323" ht="16.5" customHeight="1">
      <c r="A323" s="293"/>
      <c r="B323" s="385"/>
      <c r="C323" s="299"/>
      <c r="D323" s="293"/>
      <c r="E323" s="293"/>
      <c r="F323" s="293"/>
      <c r="G323" s="300"/>
      <c r="H323" s="293"/>
      <c r="I323" s="313"/>
      <c r="J323" s="313"/>
      <c r="K323" s="313"/>
      <c r="L323" s="313"/>
      <c r="M323" s="293"/>
      <c r="N323" s="293"/>
      <c r="O323" s="293"/>
      <c r="P323" s="293"/>
      <c r="Q323" s="293"/>
      <c r="R323" s="293"/>
      <c r="S323" s="293"/>
      <c r="T323" s="293"/>
      <c r="U323" s="293"/>
      <c r="V323" s="293"/>
      <c r="W323" s="293"/>
      <c r="X323" s="293"/>
      <c r="Y323" s="293"/>
      <c r="Z323" s="293"/>
      <c r="AA323" s="293"/>
      <c r="AB323" s="293"/>
      <c r="AC323" s="293"/>
      <c r="AD323" s="293"/>
      <c r="AE323" s="293"/>
      <c r="AF323" s="293"/>
    </row>
    <row r="324" ht="16.5" customHeight="1">
      <c r="A324" s="293"/>
      <c r="B324" s="385"/>
      <c r="C324" s="299"/>
      <c r="D324" s="293"/>
      <c r="E324" s="293"/>
      <c r="F324" s="293"/>
      <c r="G324" s="300"/>
      <c r="H324" s="293"/>
      <c r="I324" s="313"/>
      <c r="J324" s="313"/>
      <c r="K324" s="313"/>
      <c r="L324" s="313"/>
      <c r="M324" s="293"/>
      <c r="N324" s="293"/>
      <c r="O324" s="293"/>
      <c r="P324" s="293"/>
      <c r="Q324" s="293"/>
      <c r="R324" s="293"/>
      <c r="S324" s="293"/>
      <c r="T324" s="293"/>
      <c r="U324" s="293"/>
      <c r="V324" s="293"/>
      <c r="W324" s="293"/>
      <c r="X324" s="293"/>
      <c r="Y324" s="293"/>
      <c r="Z324" s="293"/>
      <c r="AA324" s="293"/>
      <c r="AB324" s="293"/>
      <c r="AC324" s="293"/>
      <c r="AD324" s="293"/>
      <c r="AE324" s="293"/>
      <c r="AF324" s="293"/>
    </row>
    <row r="325" ht="16.5" customHeight="1">
      <c r="A325" s="293"/>
      <c r="B325" s="385"/>
      <c r="C325" s="299"/>
      <c r="D325" s="293"/>
      <c r="E325" s="293"/>
      <c r="F325" s="293"/>
      <c r="G325" s="300"/>
      <c r="H325" s="293"/>
      <c r="I325" s="313"/>
      <c r="J325" s="313"/>
      <c r="K325" s="313"/>
      <c r="L325" s="313"/>
      <c r="M325" s="293"/>
      <c r="N325" s="293"/>
      <c r="O325" s="293"/>
      <c r="P325" s="293"/>
      <c r="Q325" s="293"/>
      <c r="R325" s="293"/>
      <c r="S325" s="293"/>
      <c r="T325" s="293"/>
      <c r="U325" s="293"/>
      <c r="V325" s="293"/>
      <c r="W325" s="293"/>
      <c r="X325" s="293"/>
      <c r="Y325" s="293"/>
      <c r="Z325" s="293"/>
      <c r="AA325" s="293"/>
      <c r="AB325" s="293"/>
      <c r="AC325" s="293"/>
      <c r="AD325" s="293"/>
      <c r="AE325" s="293"/>
      <c r="AF325" s="293"/>
    </row>
    <row r="326" ht="16.5" customHeight="1">
      <c r="A326" s="293"/>
      <c r="B326" s="385"/>
      <c r="C326" s="299"/>
      <c r="D326" s="293"/>
      <c r="E326" s="293"/>
      <c r="F326" s="293"/>
      <c r="G326" s="300"/>
      <c r="H326" s="293"/>
      <c r="I326" s="313"/>
      <c r="J326" s="313"/>
      <c r="K326" s="313"/>
      <c r="L326" s="313"/>
      <c r="M326" s="293"/>
      <c r="N326" s="293"/>
      <c r="O326" s="293"/>
      <c r="P326" s="293"/>
      <c r="Q326" s="293"/>
      <c r="R326" s="293"/>
      <c r="S326" s="293"/>
      <c r="T326" s="293"/>
      <c r="U326" s="293"/>
      <c r="V326" s="293"/>
      <c r="W326" s="293"/>
      <c r="X326" s="293"/>
      <c r="Y326" s="293"/>
      <c r="Z326" s="293"/>
      <c r="AA326" s="293"/>
      <c r="AB326" s="293"/>
      <c r="AC326" s="293"/>
      <c r="AD326" s="293"/>
      <c r="AE326" s="293"/>
      <c r="AF326" s="293"/>
    </row>
    <row r="327" ht="16.5" customHeight="1">
      <c r="A327" s="293"/>
      <c r="B327" s="385"/>
      <c r="C327" s="299"/>
      <c r="D327" s="293"/>
      <c r="E327" s="293"/>
      <c r="F327" s="293"/>
      <c r="G327" s="300"/>
      <c r="H327" s="293"/>
      <c r="I327" s="313"/>
      <c r="J327" s="313"/>
      <c r="K327" s="313"/>
      <c r="L327" s="313"/>
      <c r="M327" s="293"/>
      <c r="N327" s="293"/>
      <c r="O327" s="293"/>
      <c r="P327" s="293"/>
      <c r="Q327" s="293"/>
      <c r="R327" s="293"/>
      <c r="S327" s="293"/>
      <c r="T327" s="293"/>
      <c r="U327" s="293"/>
      <c r="V327" s="293"/>
      <c r="W327" s="293"/>
      <c r="X327" s="293"/>
      <c r="Y327" s="293"/>
      <c r="Z327" s="293"/>
      <c r="AA327" s="293"/>
      <c r="AB327" s="293"/>
      <c r="AC327" s="293"/>
      <c r="AD327" s="293"/>
      <c r="AE327" s="293"/>
      <c r="AF327" s="293"/>
    </row>
    <row r="328" ht="16.5" customHeight="1">
      <c r="A328" s="293"/>
      <c r="B328" s="385"/>
      <c r="C328" s="299"/>
      <c r="D328" s="293"/>
      <c r="E328" s="293"/>
      <c r="F328" s="293"/>
      <c r="G328" s="300"/>
      <c r="H328" s="293"/>
      <c r="I328" s="313"/>
      <c r="J328" s="313"/>
      <c r="K328" s="313"/>
      <c r="L328" s="313"/>
      <c r="M328" s="293"/>
      <c r="N328" s="293"/>
      <c r="O328" s="293"/>
      <c r="P328" s="293"/>
      <c r="Q328" s="293"/>
      <c r="R328" s="293"/>
      <c r="S328" s="293"/>
      <c r="T328" s="293"/>
      <c r="U328" s="293"/>
      <c r="V328" s="293"/>
      <c r="W328" s="293"/>
      <c r="X328" s="293"/>
      <c r="Y328" s="293"/>
      <c r="Z328" s="293"/>
      <c r="AA328" s="293"/>
      <c r="AB328" s="293"/>
      <c r="AC328" s="293"/>
      <c r="AD328" s="293"/>
      <c r="AE328" s="293"/>
      <c r="AF328" s="293"/>
    </row>
    <row r="329" ht="16.5" customHeight="1">
      <c r="A329" s="293"/>
      <c r="B329" s="385"/>
      <c r="C329" s="299"/>
      <c r="D329" s="293"/>
      <c r="E329" s="293"/>
      <c r="F329" s="293"/>
      <c r="G329" s="300"/>
      <c r="H329" s="293"/>
      <c r="I329" s="313"/>
      <c r="J329" s="313"/>
      <c r="K329" s="313"/>
      <c r="L329" s="313"/>
      <c r="M329" s="293"/>
      <c r="N329" s="293"/>
      <c r="O329" s="293"/>
      <c r="P329" s="293"/>
      <c r="Q329" s="293"/>
      <c r="R329" s="293"/>
      <c r="S329" s="293"/>
      <c r="T329" s="293"/>
      <c r="U329" s="293"/>
      <c r="V329" s="293"/>
      <c r="W329" s="293"/>
      <c r="X329" s="293"/>
      <c r="Y329" s="293"/>
      <c r="Z329" s="293"/>
      <c r="AA329" s="293"/>
      <c r="AB329" s="293"/>
      <c r="AC329" s="293"/>
      <c r="AD329" s="293"/>
      <c r="AE329" s="293"/>
      <c r="AF329" s="293"/>
    </row>
    <row r="330" ht="16.5" customHeight="1">
      <c r="A330" s="293"/>
      <c r="B330" s="385"/>
      <c r="C330" s="299"/>
      <c r="D330" s="293"/>
      <c r="E330" s="293"/>
      <c r="F330" s="293"/>
      <c r="G330" s="300"/>
      <c r="H330" s="293"/>
      <c r="I330" s="313"/>
      <c r="J330" s="313"/>
      <c r="K330" s="313"/>
      <c r="L330" s="313"/>
      <c r="M330" s="293"/>
      <c r="N330" s="293"/>
      <c r="O330" s="293"/>
      <c r="P330" s="293"/>
      <c r="Q330" s="293"/>
      <c r="R330" s="293"/>
      <c r="S330" s="293"/>
      <c r="T330" s="293"/>
      <c r="U330" s="293"/>
      <c r="V330" s="293"/>
      <c r="W330" s="293"/>
      <c r="X330" s="293"/>
      <c r="Y330" s="293"/>
      <c r="Z330" s="293"/>
      <c r="AA330" s="293"/>
      <c r="AB330" s="293"/>
      <c r="AC330" s="293"/>
      <c r="AD330" s="293"/>
      <c r="AE330" s="293"/>
      <c r="AF330" s="293"/>
    </row>
    <row r="331" ht="16.5" customHeight="1">
      <c r="A331" s="293"/>
      <c r="B331" s="385"/>
      <c r="C331" s="299"/>
      <c r="D331" s="293"/>
      <c r="E331" s="293"/>
      <c r="F331" s="293"/>
      <c r="G331" s="300"/>
      <c r="H331" s="293"/>
      <c r="I331" s="313"/>
      <c r="J331" s="313"/>
      <c r="K331" s="313"/>
      <c r="L331" s="313"/>
      <c r="M331" s="293"/>
      <c r="N331" s="293"/>
      <c r="O331" s="293"/>
      <c r="P331" s="293"/>
      <c r="Q331" s="293"/>
      <c r="R331" s="293"/>
      <c r="S331" s="293"/>
      <c r="T331" s="293"/>
      <c r="U331" s="293"/>
      <c r="V331" s="293"/>
      <c r="W331" s="293"/>
      <c r="X331" s="293"/>
      <c r="Y331" s="293"/>
      <c r="Z331" s="293"/>
      <c r="AA331" s="293"/>
      <c r="AB331" s="293"/>
      <c r="AC331" s="293"/>
      <c r="AD331" s="293"/>
      <c r="AE331" s="293"/>
      <c r="AF331" s="293"/>
    </row>
    <row r="332" ht="16.5" customHeight="1">
      <c r="A332" s="293"/>
      <c r="B332" s="385"/>
      <c r="C332" s="299"/>
      <c r="D332" s="293"/>
      <c r="E332" s="293"/>
      <c r="F332" s="293"/>
      <c r="G332" s="300"/>
      <c r="H332" s="293"/>
      <c r="I332" s="313"/>
      <c r="J332" s="313"/>
      <c r="K332" s="313"/>
      <c r="L332" s="313"/>
      <c r="M332" s="293"/>
      <c r="N332" s="293"/>
      <c r="O332" s="293"/>
      <c r="P332" s="293"/>
      <c r="Q332" s="293"/>
      <c r="R332" s="293"/>
      <c r="S332" s="293"/>
      <c r="T332" s="293"/>
      <c r="U332" s="293"/>
      <c r="V332" s="293"/>
      <c r="W332" s="293"/>
      <c r="X332" s="293"/>
      <c r="Y332" s="293"/>
      <c r="Z332" s="293"/>
      <c r="AA332" s="293"/>
      <c r="AB332" s="293"/>
      <c r="AC332" s="293"/>
      <c r="AD332" s="293"/>
      <c r="AE332" s="293"/>
      <c r="AF332" s="293"/>
    </row>
    <row r="333" ht="16.5" customHeight="1">
      <c r="A333" s="293"/>
      <c r="B333" s="385"/>
      <c r="C333" s="299"/>
      <c r="D333" s="293"/>
      <c r="E333" s="293"/>
      <c r="F333" s="293"/>
      <c r="G333" s="300"/>
      <c r="H333" s="293"/>
      <c r="I333" s="313"/>
      <c r="J333" s="313"/>
      <c r="K333" s="313"/>
      <c r="L333" s="313"/>
      <c r="M333" s="293"/>
      <c r="N333" s="293"/>
      <c r="O333" s="293"/>
      <c r="P333" s="293"/>
      <c r="Q333" s="293"/>
      <c r="R333" s="293"/>
      <c r="S333" s="293"/>
      <c r="T333" s="293"/>
      <c r="U333" s="293"/>
      <c r="V333" s="293"/>
      <c r="W333" s="293"/>
      <c r="X333" s="293"/>
      <c r="Y333" s="293"/>
      <c r="Z333" s="293"/>
      <c r="AA333" s="293"/>
      <c r="AB333" s="293"/>
      <c r="AC333" s="293"/>
      <c r="AD333" s="293"/>
      <c r="AE333" s="293"/>
      <c r="AF333" s="293"/>
    </row>
    <row r="334" ht="16.5" customHeight="1">
      <c r="A334" s="293"/>
      <c r="B334" s="385"/>
      <c r="C334" s="299"/>
      <c r="D334" s="293"/>
      <c r="E334" s="293"/>
      <c r="F334" s="293"/>
      <c r="G334" s="300"/>
      <c r="H334" s="293"/>
      <c r="I334" s="313"/>
      <c r="J334" s="313"/>
      <c r="K334" s="313"/>
      <c r="L334" s="313"/>
      <c r="M334" s="293"/>
      <c r="N334" s="293"/>
      <c r="O334" s="293"/>
      <c r="P334" s="293"/>
      <c r="Q334" s="293"/>
      <c r="R334" s="293"/>
      <c r="S334" s="293"/>
      <c r="T334" s="293"/>
      <c r="U334" s="293"/>
      <c r="V334" s="293"/>
      <c r="W334" s="293"/>
      <c r="X334" s="293"/>
      <c r="Y334" s="293"/>
      <c r="Z334" s="293"/>
      <c r="AA334" s="293"/>
      <c r="AB334" s="293"/>
      <c r="AC334" s="293"/>
      <c r="AD334" s="293"/>
      <c r="AE334" s="293"/>
      <c r="AF334" s="293"/>
    </row>
    <row r="335" ht="16.5" customHeight="1">
      <c r="A335" s="293"/>
      <c r="B335" s="385"/>
      <c r="C335" s="299"/>
      <c r="D335" s="293"/>
      <c r="E335" s="293"/>
      <c r="F335" s="293"/>
      <c r="G335" s="300"/>
      <c r="H335" s="293"/>
      <c r="I335" s="313"/>
      <c r="J335" s="313"/>
      <c r="K335" s="313"/>
      <c r="L335" s="313"/>
      <c r="M335" s="293"/>
      <c r="N335" s="293"/>
      <c r="O335" s="293"/>
      <c r="P335" s="293"/>
      <c r="Q335" s="293"/>
      <c r="R335" s="293"/>
      <c r="S335" s="293"/>
      <c r="T335" s="293"/>
      <c r="U335" s="293"/>
      <c r="V335" s="293"/>
      <c r="W335" s="293"/>
      <c r="X335" s="293"/>
      <c r="Y335" s="293"/>
      <c r="Z335" s="293"/>
      <c r="AA335" s="293"/>
      <c r="AB335" s="293"/>
      <c r="AC335" s="293"/>
      <c r="AD335" s="293"/>
      <c r="AE335" s="293"/>
      <c r="AF335" s="293"/>
    </row>
    <row r="336" ht="16.5" customHeight="1">
      <c r="A336" s="293"/>
      <c r="B336" s="385"/>
      <c r="C336" s="299"/>
      <c r="D336" s="293"/>
      <c r="E336" s="293"/>
      <c r="F336" s="293"/>
      <c r="G336" s="300"/>
      <c r="H336" s="293"/>
      <c r="I336" s="313"/>
      <c r="J336" s="313"/>
      <c r="K336" s="313"/>
      <c r="L336" s="313"/>
      <c r="M336" s="293"/>
      <c r="N336" s="293"/>
      <c r="O336" s="293"/>
      <c r="P336" s="293"/>
      <c r="Q336" s="293"/>
      <c r="R336" s="293"/>
      <c r="S336" s="293"/>
      <c r="T336" s="293"/>
      <c r="U336" s="293"/>
      <c r="V336" s="293"/>
      <c r="W336" s="293"/>
      <c r="X336" s="293"/>
      <c r="Y336" s="293"/>
      <c r="Z336" s="293"/>
      <c r="AA336" s="293"/>
      <c r="AB336" s="293"/>
      <c r="AC336" s="293"/>
      <c r="AD336" s="293"/>
      <c r="AE336" s="293"/>
      <c r="AF336" s="293"/>
    </row>
    <row r="337" ht="16.5" customHeight="1">
      <c r="A337" s="293"/>
      <c r="B337" s="385"/>
      <c r="C337" s="299"/>
      <c r="D337" s="293"/>
      <c r="E337" s="293"/>
      <c r="F337" s="293"/>
      <c r="G337" s="300"/>
      <c r="H337" s="293"/>
      <c r="I337" s="313"/>
      <c r="J337" s="313"/>
      <c r="K337" s="313"/>
      <c r="L337" s="313"/>
      <c r="M337" s="293"/>
      <c r="N337" s="293"/>
      <c r="O337" s="293"/>
      <c r="P337" s="293"/>
      <c r="Q337" s="293"/>
      <c r="R337" s="293"/>
      <c r="S337" s="293"/>
      <c r="T337" s="293"/>
      <c r="U337" s="293"/>
      <c r="V337" s="293"/>
      <c r="W337" s="293"/>
      <c r="X337" s="293"/>
      <c r="Y337" s="293"/>
      <c r="Z337" s="293"/>
      <c r="AA337" s="293"/>
      <c r="AB337" s="293"/>
      <c r="AC337" s="293"/>
      <c r="AD337" s="293"/>
      <c r="AE337" s="293"/>
      <c r="AF337" s="293"/>
    </row>
    <row r="338" ht="16.5" customHeight="1">
      <c r="A338" s="293"/>
      <c r="B338" s="385"/>
      <c r="C338" s="299"/>
      <c r="D338" s="293"/>
      <c r="E338" s="293"/>
      <c r="F338" s="293"/>
      <c r="G338" s="300"/>
      <c r="H338" s="293"/>
      <c r="I338" s="313"/>
      <c r="J338" s="313"/>
      <c r="K338" s="313"/>
      <c r="L338" s="313"/>
      <c r="M338" s="293"/>
      <c r="N338" s="293"/>
      <c r="O338" s="293"/>
      <c r="P338" s="293"/>
      <c r="Q338" s="293"/>
      <c r="R338" s="293"/>
      <c r="S338" s="293"/>
      <c r="T338" s="293"/>
      <c r="U338" s="293"/>
      <c r="V338" s="293"/>
      <c r="W338" s="293"/>
      <c r="X338" s="293"/>
      <c r="Y338" s="293"/>
      <c r="Z338" s="293"/>
      <c r="AA338" s="293"/>
      <c r="AB338" s="293"/>
      <c r="AC338" s="293"/>
      <c r="AD338" s="293"/>
      <c r="AE338" s="293"/>
      <c r="AF338" s="293"/>
    </row>
    <row r="339" ht="16.5" customHeight="1">
      <c r="A339" s="293"/>
      <c r="B339" s="385"/>
      <c r="C339" s="299"/>
      <c r="D339" s="293"/>
      <c r="E339" s="293"/>
      <c r="F339" s="293"/>
      <c r="G339" s="300"/>
      <c r="H339" s="293"/>
      <c r="I339" s="313"/>
      <c r="J339" s="313"/>
      <c r="K339" s="313"/>
      <c r="L339" s="313"/>
      <c r="M339" s="293"/>
      <c r="N339" s="293"/>
      <c r="O339" s="293"/>
      <c r="P339" s="293"/>
      <c r="Q339" s="293"/>
      <c r="R339" s="293"/>
      <c r="S339" s="293"/>
      <c r="T339" s="293"/>
      <c r="U339" s="293"/>
      <c r="V339" s="293"/>
      <c r="W339" s="293"/>
      <c r="X339" s="293"/>
      <c r="Y339" s="293"/>
      <c r="Z339" s="293"/>
      <c r="AA339" s="293"/>
      <c r="AB339" s="293"/>
      <c r="AC339" s="293"/>
      <c r="AD339" s="293"/>
      <c r="AE339" s="293"/>
      <c r="AF339" s="293"/>
    </row>
    <row r="340" ht="16.5" customHeight="1">
      <c r="A340" s="293"/>
      <c r="B340" s="385"/>
      <c r="C340" s="299"/>
      <c r="D340" s="293"/>
      <c r="E340" s="293"/>
      <c r="F340" s="293"/>
      <c r="G340" s="300"/>
      <c r="H340" s="293"/>
      <c r="I340" s="313"/>
      <c r="J340" s="313"/>
      <c r="K340" s="313"/>
      <c r="L340" s="313"/>
      <c r="M340" s="293"/>
      <c r="N340" s="293"/>
      <c r="O340" s="293"/>
      <c r="P340" s="293"/>
      <c r="Q340" s="293"/>
      <c r="R340" s="293"/>
      <c r="S340" s="293"/>
      <c r="T340" s="293"/>
      <c r="U340" s="293"/>
      <c r="V340" s="293"/>
      <c r="W340" s="293"/>
      <c r="X340" s="293"/>
      <c r="Y340" s="293"/>
      <c r="Z340" s="293"/>
      <c r="AA340" s="293"/>
      <c r="AB340" s="293"/>
      <c r="AC340" s="293"/>
      <c r="AD340" s="293"/>
      <c r="AE340" s="293"/>
      <c r="AF340" s="293"/>
    </row>
    <row r="341" ht="16.5" customHeight="1">
      <c r="A341" s="293"/>
      <c r="B341" s="385"/>
      <c r="C341" s="299"/>
      <c r="D341" s="293"/>
      <c r="E341" s="293"/>
      <c r="F341" s="293"/>
      <c r="G341" s="300"/>
      <c r="H341" s="293"/>
      <c r="I341" s="313"/>
      <c r="J341" s="313"/>
      <c r="K341" s="313"/>
      <c r="L341" s="313"/>
      <c r="M341" s="293"/>
      <c r="N341" s="293"/>
      <c r="O341" s="293"/>
      <c r="P341" s="293"/>
      <c r="Q341" s="293"/>
      <c r="R341" s="293"/>
      <c r="S341" s="293"/>
      <c r="T341" s="293"/>
      <c r="U341" s="293"/>
      <c r="V341" s="293"/>
      <c r="W341" s="293"/>
      <c r="X341" s="293"/>
      <c r="Y341" s="293"/>
      <c r="Z341" s="293"/>
      <c r="AA341" s="293"/>
      <c r="AB341" s="293"/>
      <c r="AC341" s="293"/>
      <c r="AD341" s="293"/>
      <c r="AE341" s="293"/>
      <c r="AF341" s="293"/>
    </row>
    <row r="342" ht="16.5" customHeight="1">
      <c r="A342" s="293"/>
      <c r="B342" s="385"/>
      <c r="C342" s="299"/>
      <c r="D342" s="293"/>
      <c r="E342" s="293"/>
      <c r="F342" s="293"/>
      <c r="G342" s="300"/>
      <c r="H342" s="293"/>
      <c r="I342" s="313"/>
      <c r="J342" s="313"/>
      <c r="K342" s="313"/>
      <c r="L342" s="313"/>
      <c r="M342" s="293"/>
      <c r="N342" s="293"/>
      <c r="O342" s="293"/>
      <c r="P342" s="293"/>
      <c r="Q342" s="293"/>
      <c r="R342" s="293"/>
      <c r="S342" s="293"/>
      <c r="T342" s="293"/>
      <c r="U342" s="293"/>
      <c r="V342" s="293"/>
      <c r="W342" s="293"/>
      <c r="X342" s="293"/>
      <c r="Y342" s="293"/>
      <c r="Z342" s="293"/>
      <c r="AA342" s="293"/>
      <c r="AB342" s="293"/>
      <c r="AC342" s="293"/>
      <c r="AD342" s="293"/>
      <c r="AE342" s="293"/>
      <c r="AF342" s="293"/>
    </row>
    <row r="343" ht="16.5" customHeight="1">
      <c r="A343" s="293"/>
      <c r="B343" s="385"/>
      <c r="C343" s="299"/>
      <c r="D343" s="293"/>
      <c r="E343" s="293"/>
      <c r="F343" s="293"/>
      <c r="G343" s="300"/>
      <c r="H343" s="293"/>
      <c r="I343" s="313"/>
      <c r="J343" s="313"/>
      <c r="K343" s="313"/>
      <c r="L343" s="313"/>
      <c r="M343" s="293"/>
      <c r="N343" s="293"/>
      <c r="O343" s="293"/>
      <c r="P343" s="293"/>
      <c r="Q343" s="293"/>
      <c r="R343" s="293"/>
      <c r="S343" s="293"/>
      <c r="T343" s="293"/>
      <c r="U343" s="293"/>
      <c r="V343" s="293"/>
      <c r="W343" s="293"/>
      <c r="X343" s="293"/>
      <c r="Y343" s="293"/>
      <c r="Z343" s="293"/>
      <c r="AA343" s="293"/>
      <c r="AB343" s="293"/>
      <c r="AC343" s="293"/>
      <c r="AD343" s="293"/>
      <c r="AE343" s="293"/>
      <c r="AF343" s="293"/>
    </row>
    <row r="344" ht="16.5" customHeight="1">
      <c r="A344" s="293"/>
      <c r="B344" s="385"/>
      <c r="C344" s="299"/>
      <c r="D344" s="293"/>
      <c r="E344" s="293"/>
      <c r="F344" s="293"/>
      <c r="G344" s="300"/>
      <c r="H344" s="293"/>
      <c r="I344" s="313"/>
      <c r="J344" s="313"/>
      <c r="K344" s="313"/>
      <c r="L344" s="313"/>
      <c r="M344" s="293"/>
      <c r="N344" s="293"/>
      <c r="O344" s="293"/>
      <c r="P344" s="293"/>
      <c r="Q344" s="293"/>
      <c r="R344" s="293"/>
      <c r="S344" s="293"/>
      <c r="T344" s="293"/>
      <c r="U344" s="293"/>
      <c r="V344" s="293"/>
      <c r="W344" s="293"/>
      <c r="X344" s="293"/>
      <c r="Y344" s="293"/>
      <c r="Z344" s="293"/>
      <c r="AA344" s="293"/>
      <c r="AB344" s="293"/>
      <c r="AC344" s="293"/>
      <c r="AD344" s="293"/>
      <c r="AE344" s="293"/>
      <c r="AF344" s="293"/>
    </row>
    <row r="345" ht="16.5" customHeight="1">
      <c r="A345" s="293"/>
      <c r="B345" s="385"/>
      <c r="C345" s="299"/>
      <c r="D345" s="293"/>
      <c r="E345" s="293"/>
      <c r="F345" s="293"/>
      <c r="G345" s="300"/>
      <c r="H345" s="293"/>
      <c r="I345" s="313"/>
      <c r="J345" s="313"/>
      <c r="K345" s="313"/>
      <c r="L345" s="313"/>
      <c r="M345" s="293"/>
      <c r="N345" s="293"/>
      <c r="O345" s="293"/>
      <c r="P345" s="293"/>
      <c r="Q345" s="293"/>
      <c r="R345" s="293"/>
      <c r="S345" s="293"/>
      <c r="T345" s="293"/>
      <c r="U345" s="293"/>
      <c r="V345" s="293"/>
      <c r="W345" s="293"/>
      <c r="X345" s="293"/>
      <c r="Y345" s="293"/>
      <c r="Z345" s="293"/>
      <c r="AA345" s="293"/>
      <c r="AB345" s="293"/>
      <c r="AC345" s="293"/>
      <c r="AD345" s="293"/>
      <c r="AE345" s="293"/>
      <c r="AF345" s="293"/>
    </row>
    <row r="346" ht="16.5" customHeight="1">
      <c r="A346" s="293"/>
      <c r="B346" s="385"/>
      <c r="C346" s="299"/>
      <c r="D346" s="293"/>
      <c r="E346" s="293"/>
      <c r="F346" s="293"/>
      <c r="G346" s="300"/>
      <c r="H346" s="293"/>
      <c r="I346" s="313"/>
      <c r="J346" s="313"/>
      <c r="K346" s="313"/>
      <c r="L346" s="313"/>
      <c r="M346" s="293"/>
      <c r="N346" s="293"/>
      <c r="O346" s="293"/>
      <c r="P346" s="293"/>
      <c r="Q346" s="293"/>
      <c r="R346" s="293"/>
      <c r="S346" s="293"/>
      <c r="T346" s="293"/>
      <c r="U346" s="293"/>
      <c r="V346" s="293"/>
      <c r="W346" s="293"/>
      <c r="X346" s="293"/>
      <c r="Y346" s="293"/>
      <c r="Z346" s="293"/>
      <c r="AA346" s="293"/>
      <c r="AB346" s="293"/>
      <c r="AC346" s="293"/>
      <c r="AD346" s="293"/>
      <c r="AE346" s="293"/>
      <c r="AF346" s="293"/>
    </row>
    <row r="347" ht="16.5" customHeight="1">
      <c r="A347" s="293"/>
      <c r="B347" s="385"/>
      <c r="C347" s="299"/>
      <c r="D347" s="293"/>
      <c r="E347" s="293"/>
      <c r="F347" s="293"/>
      <c r="G347" s="300"/>
      <c r="H347" s="293"/>
      <c r="I347" s="313"/>
      <c r="J347" s="313"/>
      <c r="K347" s="313"/>
      <c r="L347" s="313"/>
      <c r="M347" s="293"/>
      <c r="N347" s="293"/>
      <c r="O347" s="293"/>
      <c r="P347" s="293"/>
      <c r="Q347" s="293"/>
      <c r="R347" s="293"/>
      <c r="S347" s="293"/>
      <c r="T347" s="293"/>
      <c r="U347" s="293"/>
      <c r="V347" s="293"/>
      <c r="W347" s="293"/>
      <c r="X347" s="293"/>
      <c r="Y347" s="293"/>
      <c r="Z347" s="293"/>
      <c r="AA347" s="293"/>
      <c r="AB347" s="293"/>
      <c r="AC347" s="293"/>
      <c r="AD347" s="293"/>
      <c r="AE347" s="293"/>
      <c r="AF347" s="293"/>
    </row>
    <row r="348" ht="16.5" customHeight="1">
      <c r="A348" s="293"/>
      <c r="B348" s="385"/>
      <c r="C348" s="299"/>
      <c r="D348" s="293"/>
      <c r="E348" s="293"/>
      <c r="F348" s="293"/>
      <c r="G348" s="300"/>
      <c r="H348" s="293"/>
      <c r="I348" s="313"/>
      <c r="J348" s="313"/>
      <c r="K348" s="313"/>
      <c r="L348" s="313"/>
      <c r="M348" s="293"/>
      <c r="N348" s="293"/>
      <c r="O348" s="293"/>
      <c r="P348" s="293"/>
      <c r="Q348" s="293"/>
      <c r="R348" s="293"/>
      <c r="S348" s="293"/>
      <c r="T348" s="293"/>
      <c r="U348" s="293"/>
      <c r="V348" s="293"/>
      <c r="W348" s="293"/>
      <c r="X348" s="293"/>
      <c r="Y348" s="293"/>
      <c r="Z348" s="293"/>
      <c r="AA348" s="293"/>
      <c r="AB348" s="293"/>
      <c r="AC348" s="293"/>
      <c r="AD348" s="293"/>
      <c r="AE348" s="293"/>
      <c r="AF348" s="293"/>
    </row>
    <row r="349" ht="16.5" customHeight="1">
      <c r="A349" s="293"/>
      <c r="B349" s="385"/>
      <c r="C349" s="299"/>
      <c r="D349" s="293"/>
      <c r="E349" s="293"/>
      <c r="F349" s="293"/>
      <c r="G349" s="300"/>
      <c r="H349" s="293"/>
      <c r="I349" s="313"/>
      <c r="J349" s="313"/>
      <c r="K349" s="313"/>
      <c r="L349" s="313"/>
      <c r="M349" s="293"/>
      <c r="N349" s="293"/>
      <c r="O349" s="293"/>
      <c r="P349" s="293"/>
      <c r="Q349" s="293"/>
      <c r="R349" s="293"/>
      <c r="S349" s="293"/>
      <c r="T349" s="293"/>
      <c r="U349" s="293"/>
      <c r="V349" s="293"/>
      <c r="W349" s="293"/>
      <c r="X349" s="293"/>
      <c r="Y349" s="293"/>
      <c r="Z349" s="293"/>
      <c r="AA349" s="293"/>
      <c r="AB349" s="293"/>
      <c r="AC349" s="293"/>
      <c r="AD349" s="293"/>
      <c r="AE349" s="293"/>
      <c r="AF349" s="293"/>
    </row>
    <row r="350" ht="16.5" customHeight="1">
      <c r="A350" s="293"/>
      <c r="B350" s="385"/>
      <c r="C350" s="299"/>
      <c r="D350" s="293"/>
      <c r="E350" s="293"/>
      <c r="F350" s="293"/>
      <c r="G350" s="300"/>
      <c r="H350" s="293"/>
      <c r="I350" s="313"/>
      <c r="J350" s="313"/>
      <c r="K350" s="313"/>
      <c r="L350" s="313"/>
      <c r="M350" s="293"/>
      <c r="N350" s="293"/>
      <c r="O350" s="293"/>
      <c r="P350" s="293"/>
      <c r="Q350" s="293"/>
      <c r="R350" s="293"/>
      <c r="S350" s="293"/>
      <c r="T350" s="293"/>
      <c r="U350" s="293"/>
      <c r="V350" s="293"/>
      <c r="W350" s="293"/>
      <c r="X350" s="293"/>
      <c r="Y350" s="293"/>
      <c r="Z350" s="293"/>
      <c r="AA350" s="293"/>
      <c r="AB350" s="293"/>
      <c r="AC350" s="293"/>
      <c r="AD350" s="293"/>
      <c r="AE350" s="293"/>
      <c r="AF350" s="293"/>
    </row>
    <row r="351" ht="16.5" customHeight="1">
      <c r="A351" s="293"/>
      <c r="B351" s="385"/>
      <c r="C351" s="299"/>
      <c r="D351" s="293"/>
      <c r="E351" s="293"/>
      <c r="F351" s="293"/>
      <c r="G351" s="300"/>
      <c r="H351" s="293"/>
      <c r="I351" s="313"/>
      <c r="J351" s="313"/>
      <c r="K351" s="313"/>
      <c r="L351" s="313"/>
      <c r="M351" s="293"/>
      <c r="N351" s="293"/>
      <c r="O351" s="293"/>
      <c r="P351" s="293"/>
      <c r="Q351" s="293"/>
      <c r="R351" s="293"/>
      <c r="S351" s="293"/>
      <c r="T351" s="293"/>
      <c r="U351" s="293"/>
      <c r="V351" s="293"/>
      <c r="W351" s="293"/>
      <c r="X351" s="293"/>
      <c r="Y351" s="293"/>
      <c r="Z351" s="293"/>
      <c r="AA351" s="293"/>
      <c r="AB351" s="293"/>
      <c r="AC351" s="293"/>
      <c r="AD351" s="293"/>
      <c r="AE351" s="293"/>
      <c r="AF351" s="293"/>
    </row>
    <row r="352" ht="16.5" customHeight="1">
      <c r="A352" s="293"/>
      <c r="B352" s="385"/>
      <c r="C352" s="299"/>
      <c r="D352" s="293"/>
      <c r="E352" s="293"/>
      <c r="F352" s="293"/>
      <c r="G352" s="300"/>
      <c r="H352" s="293"/>
      <c r="I352" s="313"/>
      <c r="J352" s="313"/>
      <c r="K352" s="313"/>
      <c r="L352" s="313"/>
      <c r="M352" s="293"/>
      <c r="N352" s="293"/>
      <c r="O352" s="293"/>
      <c r="P352" s="293"/>
      <c r="Q352" s="293"/>
      <c r="R352" s="293"/>
      <c r="S352" s="293"/>
      <c r="T352" s="293"/>
      <c r="U352" s="293"/>
      <c r="V352" s="293"/>
      <c r="W352" s="293"/>
      <c r="X352" s="293"/>
      <c r="Y352" s="293"/>
      <c r="Z352" s="293"/>
      <c r="AA352" s="293"/>
      <c r="AB352" s="293"/>
      <c r="AC352" s="293"/>
      <c r="AD352" s="293"/>
      <c r="AE352" s="293"/>
      <c r="AF352" s="293"/>
    </row>
    <row r="353" ht="16.5" customHeight="1">
      <c r="A353" s="293"/>
      <c r="B353" s="385"/>
      <c r="C353" s="299"/>
      <c r="D353" s="293"/>
      <c r="E353" s="293"/>
      <c r="F353" s="293"/>
      <c r="G353" s="300"/>
      <c r="H353" s="293"/>
      <c r="I353" s="313"/>
      <c r="J353" s="313"/>
      <c r="K353" s="313"/>
      <c r="L353" s="313"/>
      <c r="M353" s="293"/>
      <c r="N353" s="293"/>
      <c r="O353" s="293"/>
      <c r="P353" s="293"/>
      <c r="Q353" s="293"/>
      <c r="R353" s="293"/>
      <c r="S353" s="293"/>
      <c r="T353" s="293"/>
      <c r="U353" s="293"/>
      <c r="V353" s="293"/>
      <c r="W353" s="293"/>
      <c r="X353" s="293"/>
      <c r="Y353" s="293"/>
      <c r="Z353" s="293"/>
      <c r="AA353" s="293"/>
      <c r="AB353" s="293"/>
      <c r="AC353" s="293"/>
      <c r="AD353" s="293"/>
      <c r="AE353" s="293"/>
      <c r="AF353" s="293"/>
    </row>
    <row r="354" ht="16.5" customHeight="1">
      <c r="A354" s="293"/>
      <c r="B354" s="385"/>
      <c r="C354" s="299"/>
      <c r="D354" s="293"/>
      <c r="E354" s="293"/>
      <c r="F354" s="293"/>
      <c r="G354" s="300"/>
      <c r="H354" s="293"/>
      <c r="I354" s="313"/>
      <c r="J354" s="313"/>
      <c r="K354" s="313"/>
      <c r="L354" s="313"/>
      <c r="M354" s="293"/>
      <c r="N354" s="293"/>
      <c r="O354" s="293"/>
      <c r="P354" s="293"/>
      <c r="Q354" s="293"/>
      <c r="R354" s="293"/>
      <c r="S354" s="293"/>
      <c r="T354" s="293"/>
      <c r="U354" s="293"/>
      <c r="V354" s="293"/>
      <c r="W354" s="293"/>
      <c r="X354" s="293"/>
      <c r="Y354" s="293"/>
      <c r="Z354" s="293"/>
      <c r="AA354" s="293"/>
      <c r="AB354" s="293"/>
      <c r="AC354" s="293"/>
      <c r="AD354" s="293"/>
      <c r="AE354" s="293"/>
      <c r="AF354" s="293"/>
    </row>
    <row r="355" ht="16.5" customHeight="1">
      <c r="A355" s="293"/>
      <c r="B355" s="385"/>
      <c r="C355" s="299"/>
      <c r="D355" s="293"/>
      <c r="E355" s="293"/>
      <c r="F355" s="293"/>
      <c r="G355" s="300"/>
      <c r="H355" s="293"/>
      <c r="I355" s="313"/>
      <c r="J355" s="313"/>
      <c r="K355" s="313"/>
      <c r="L355" s="313"/>
      <c r="M355" s="293"/>
      <c r="N355" s="293"/>
      <c r="O355" s="293"/>
      <c r="P355" s="293"/>
      <c r="Q355" s="293"/>
      <c r="R355" s="293"/>
      <c r="S355" s="293"/>
      <c r="T355" s="293"/>
      <c r="U355" s="293"/>
      <c r="V355" s="293"/>
      <c r="W355" s="293"/>
      <c r="X355" s="293"/>
      <c r="Y355" s="293"/>
      <c r="Z355" s="293"/>
      <c r="AA355" s="293"/>
      <c r="AB355" s="293"/>
      <c r="AC355" s="293"/>
      <c r="AD355" s="293"/>
      <c r="AE355" s="293"/>
      <c r="AF355" s="293"/>
    </row>
    <row r="356" ht="16.5" customHeight="1">
      <c r="A356" s="293"/>
      <c r="B356" s="385"/>
      <c r="C356" s="299"/>
      <c r="D356" s="293"/>
      <c r="E356" s="293"/>
      <c r="F356" s="293"/>
      <c r="G356" s="300"/>
      <c r="H356" s="293"/>
      <c r="I356" s="313"/>
      <c r="J356" s="313"/>
      <c r="K356" s="313"/>
      <c r="L356" s="313"/>
      <c r="M356" s="293"/>
      <c r="N356" s="293"/>
      <c r="O356" s="293"/>
      <c r="P356" s="293"/>
      <c r="Q356" s="293"/>
      <c r="R356" s="293"/>
      <c r="S356" s="293"/>
      <c r="T356" s="293"/>
      <c r="U356" s="293"/>
      <c r="V356" s="293"/>
      <c r="W356" s="293"/>
      <c r="X356" s="293"/>
      <c r="Y356" s="293"/>
      <c r="Z356" s="293"/>
      <c r="AA356" s="293"/>
      <c r="AB356" s="293"/>
      <c r="AC356" s="293"/>
      <c r="AD356" s="293"/>
      <c r="AE356" s="293"/>
      <c r="AF356" s="293"/>
    </row>
    <row r="357" ht="16.5" customHeight="1">
      <c r="A357" s="293"/>
      <c r="B357" s="385"/>
      <c r="C357" s="299"/>
      <c r="D357" s="293"/>
      <c r="E357" s="293"/>
      <c r="F357" s="293"/>
      <c r="G357" s="300"/>
      <c r="H357" s="293"/>
      <c r="I357" s="313"/>
      <c r="J357" s="313"/>
      <c r="K357" s="313"/>
      <c r="L357" s="313"/>
      <c r="M357" s="293"/>
      <c r="N357" s="293"/>
      <c r="O357" s="293"/>
      <c r="P357" s="293"/>
      <c r="Q357" s="293"/>
      <c r="R357" s="293"/>
      <c r="S357" s="293"/>
      <c r="T357" s="293"/>
      <c r="U357" s="293"/>
      <c r="V357" s="293"/>
      <c r="W357" s="293"/>
      <c r="X357" s="293"/>
      <c r="Y357" s="293"/>
      <c r="Z357" s="293"/>
      <c r="AA357" s="293"/>
      <c r="AB357" s="293"/>
      <c r="AC357" s="293"/>
      <c r="AD357" s="293"/>
      <c r="AE357" s="293"/>
      <c r="AF357" s="293"/>
    </row>
    <row r="358" ht="16.5" customHeight="1">
      <c r="A358" s="293"/>
      <c r="B358" s="385"/>
      <c r="C358" s="299"/>
      <c r="D358" s="293"/>
      <c r="E358" s="293"/>
      <c r="F358" s="293"/>
      <c r="G358" s="300"/>
      <c r="H358" s="293"/>
      <c r="I358" s="313"/>
      <c r="J358" s="313"/>
      <c r="K358" s="313"/>
      <c r="L358" s="313"/>
      <c r="M358" s="293"/>
      <c r="N358" s="293"/>
      <c r="O358" s="293"/>
      <c r="P358" s="293"/>
      <c r="Q358" s="293"/>
      <c r="R358" s="293"/>
      <c r="S358" s="293"/>
      <c r="T358" s="293"/>
      <c r="U358" s="293"/>
      <c r="V358" s="293"/>
      <c r="W358" s="293"/>
      <c r="X358" s="293"/>
      <c r="Y358" s="293"/>
      <c r="Z358" s="293"/>
      <c r="AA358" s="293"/>
      <c r="AB358" s="293"/>
      <c r="AC358" s="293"/>
      <c r="AD358" s="293"/>
      <c r="AE358" s="293"/>
      <c r="AF358" s="293"/>
    </row>
    <row r="359" ht="16.5" customHeight="1">
      <c r="A359" s="293"/>
      <c r="B359" s="385"/>
      <c r="C359" s="299"/>
      <c r="D359" s="293"/>
      <c r="E359" s="293"/>
      <c r="F359" s="293"/>
      <c r="G359" s="300"/>
      <c r="H359" s="293"/>
      <c r="I359" s="313"/>
      <c r="J359" s="313"/>
      <c r="K359" s="313"/>
      <c r="L359" s="313"/>
      <c r="M359" s="293"/>
      <c r="N359" s="293"/>
      <c r="O359" s="293"/>
      <c r="P359" s="293"/>
      <c r="Q359" s="293"/>
      <c r="R359" s="293"/>
      <c r="S359" s="293"/>
      <c r="T359" s="293"/>
      <c r="U359" s="293"/>
      <c r="V359" s="293"/>
      <c r="W359" s="293"/>
      <c r="X359" s="293"/>
      <c r="Y359" s="293"/>
      <c r="Z359" s="293"/>
      <c r="AA359" s="293"/>
      <c r="AB359" s="293"/>
      <c r="AC359" s="293"/>
      <c r="AD359" s="293"/>
      <c r="AE359" s="293"/>
      <c r="AF359" s="293"/>
    </row>
    <row r="360" ht="16.5" customHeight="1">
      <c r="A360" s="293"/>
      <c r="B360" s="385"/>
      <c r="C360" s="299"/>
      <c r="D360" s="293"/>
      <c r="E360" s="293"/>
      <c r="F360" s="293"/>
      <c r="G360" s="300"/>
      <c r="H360" s="293"/>
      <c r="I360" s="313"/>
      <c r="J360" s="313"/>
      <c r="K360" s="313"/>
      <c r="L360" s="313"/>
      <c r="M360" s="293"/>
      <c r="N360" s="293"/>
      <c r="O360" s="293"/>
      <c r="P360" s="293"/>
      <c r="Q360" s="293"/>
      <c r="R360" s="293"/>
      <c r="S360" s="293"/>
      <c r="T360" s="293"/>
      <c r="U360" s="293"/>
      <c r="V360" s="293"/>
      <c r="W360" s="293"/>
      <c r="X360" s="293"/>
      <c r="Y360" s="293"/>
      <c r="Z360" s="293"/>
      <c r="AA360" s="293"/>
      <c r="AB360" s="293"/>
      <c r="AC360" s="293"/>
      <c r="AD360" s="293"/>
      <c r="AE360" s="293"/>
      <c r="AF360" s="293"/>
    </row>
    <row r="361" ht="16.5" customHeight="1">
      <c r="A361" s="293"/>
      <c r="B361" s="385"/>
      <c r="C361" s="299"/>
      <c r="D361" s="293"/>
      <c r="E361" s="293"/>
      <c r="F361" s="293"/>
      <c r="G361" s="300"/>
      <c r="H361" s="293"/>
      <c r="I361" s="313"/>
      <c r="J361" s="313"/>
      <c r="K361" s="313"/>
      <c r="L361" s="313"/>
      <c r="M361" s="293"/>
      <c r="N361" s="293"/>
      <c r="O361" s="293"/>
      <c r="P361" s="293"/>
      <c r="Q361" s="293"/>
      <c r="R361" s="293"/>
      <c r="S361" s="293"/>
      <c r="T361" s="293"/>
      <c r="U361" s="293"/>
      <c r="V361" s="293"/>
      <c r="W361" s="293"/>
      <c r="X361" s="293"/>
      <c r="Y361" s="293"/>
      <c r="Z361" s="293"/>
      <c r="AA361" s="293"/>
      <c r="AB361" s="293"/>
      <c r="AC361" s="293"/>
      <c r="AD361" s="293"/>
      <c r="AE361" s="293"/>
      <c r="AF361" s="293"/>
    </row>
    <row r="362" ht="16.5" customHeight="1">
      <c r="A362" s="293"/>
      <c r="B362" s="385"/>
      <c r="C362" s="299"/>
      <c r="D362" s="293"/>
      <c r="E362" s="293"/>
      <c r="F362" s="293"/>
      <c r="G362" s="300"/>
      <c r="H362" s="293"/>
      <c r="I362" s="313"/>
      <c r="J362" s="313"/>
      <c r="K362" s="313"/>
      <c r="L362" s="313"/>
      <c r="M362" s="293"/>
      <c r="N362" s="293"/>
      <c r="O362" s="293"/>
      <c r="P362" s="293"/>
      <c r="Q362" s="293"/>
      <c r="R362" s="293"/>
      <c r="S362" s="293"/>
      <c r="T362" s="293"/>
      <c r="U362" s="293"/>
      <c r="V362" s="293"/>
      <c r="W362" s="293"/>
      <c r="X362" s="293"/>
      <c r="Y362" s="293"/>
      <c r="Z362" s="293"/>
      <c r="AA362" s="293"/>
      <c r="AB362" s="293"/>
      <c r="AC362" s="293"/>
      <c r="AD362" s="293"/>
      <c r="AE362" s="293"/>
      <c r="AF362" s="293"/>
    </row>
    <row r="363" ht="16.5" customHeight="1">
      <c r="A363" s="293"/>
      <c r="B363" s="385"/>
      <c r="C363" s="299"/>
      <c r="D363" s="293"/>
      <c r="E363" s="293"/>
      <c r="F363" s="293"/>
      <c r="G363" s="300"/>
      <c r="H363" s="293"/>
      <c r="I363" s="313"/>
      <c r="J363" s="313"/>
      <c r="K363" s="313"/>
      <c r="L363" s="313"/>
      <c r="M363" s="293"/>
      <c r="N363" s="293"/>
      <c r="O363" s="293"/>
      <c r="P363" s="293"/>
      <c r="Q363" s="293"/>
      <c r="R363" s="293"/>
      <c r="S363" s="293"/>
      <c r="T363" s="293"/>
      <c r="U363" s="293"/>
      <c r="V363" s="293"/>
      <c r="W363" s="293"/>
      <c r="X363" s="293"/>
      <c r="Y363" s="293"/>
      <c r="Z363" s="293"/>
      <c r="AA363" s="293"/>
      <c r="AB363" s="293"/>
      <c r="AC363" s="293"/>
      <c r="AD363" s="293"/>
      <c r="AE363" s="293"/>
      <c r="AF363" s="293"/>
    </row>
    <row r="364" ht="16.5" customHeight="1">
      <c r="A364" s="293"/>
      <c r="B364" s="385"/>
      <c r="C364" s="299"/>
      <c r="D364" s="293"/>
      <c r="E364" s="293"/>
      <c r="F364" s="293"/>
      <c r="G364" s="300"/>
      <c r="H364" s="293"/>
      <c r="I364" s="313"/>
      <c r="J364" s="313"/>
      <c r="K364" s="313"/>
      <c r="L364" s="313"/>
      <c r="M364" s="293"/>
      <c r="N364" s="293"/>
      <c r="O364" s="293"/>
      <c r="P364" s="293"/>
      <c r="Q364" s="293"/>
      <c r="R364" s="293"/>
      <c r="S364" s="293"/>
      <c r="T364" s="293"/>
      <c r="U364" s="293"/>
      <c r="V364" s="293"/>
      <c r="W364" s="293"/>
      <c r="X364" s="293"/>
      <c r="Y364" s="293"/>
      <c r="Z364" s="293"/>
      <c r="AA364" s="293"/>
      <c r="AB364" s="293"/>
      <c r="AC364" s="293"/>
      <c r="AD364" s="293"/>
      <c r="AE364" s="293"/>
      <c r="AF364" s="293"/>
    </row>
    <row r="365" ht="16.5" customHeight="1">
      <c r="A365" s="293"/>
      <c r="B365" s="385"/>
      <c r="C365" s="299"/>
      <c r="D365" s="293"/>
      <c r="E365" s="293"/>
      <c r="F365" s="293"/>
      <c r="G365" s="300"/>
      <c r="H365" s="293"/>
      <c r="I365" s="313"/>
      <c r="J365" s="313"/>
      <c r="K365" s="313"/>
      <c r="L365" s="313"/>
      <c r="M365" s="293"/>
      <c r="N365" s="293"/>
      <c r="O365" s="293"/>
      <c r="P365" s="293"/>
      <c r="Q365" s="293"/>
      <c r="R365" s="293"/>
      <c r="S365" s="293"/>
      <c r="T365" s="293"/>
      <c r="U365" s="293"/>
      <c r="V365" s="293"/>
      <c r="W365" s="293"/>
      <c r="X365" s="293"/>
      <c r="Y365" s="293"/>
      <c r="Z365" s="293"/>
      <c r="AA365" s="293"/>
      <c r="AB365" s="293"/>
      <c r="AC365" s="293"/>
      <c r="AD365" s="293"/>
      <c r="AE365" s="293"/>
      <c r="AF365" s="293"/>
    </row>
    <row r="366" ht="16.5" customHeight="1">
      <c r="A366" s="293"/>
      <c r="B366" s="385"/>
      <c r="C366" s="299"/>
      <c r="D366" s="293"/>
      <c r="E366" s="293"/>
      <c r="F366" s="293"/>
      <c r="G366" s="300"/>
      <c r="H366" s="293"/>
      <c r="I366" s="313"/>
      <c r="J366" s="313"/>
      <c r="K366" s="313"/>
      <c r="L366" s="313"/>
      <c r="M366" s="293"/>
      <c r="N366" s="293"/>
      <c r="O366" s="293"/>
      <c r="P366" s="293"/>
      <c r="Q366" s="293"/>
      <c r="R366" s="293"/>
      <c r="S366" s="293"/>
      <c r="T366" s="293"/>
      <c r="U366" s="293"/>
      <c r="V366" s="293"/>
      <c r="W366" s="293"/>
      <c r="X366" s="293"/>
      <c r="Y366" s="293"/>
      <c r="Z366" s="293"/>
      <c r="AA366" s="293"/>
      <c r="AB366" s="293"/>
      <c r="AC366" s="293"/>
      <c r="AD366" s="293"/>
      <c r="AE366" s="293"/>
      <c r="AF366" s="293"/>
    </row>
    <row r="367" ht="16.5" customHeight="1">
      <c r="A367" s="293"/>
      <c r="B367" s="385"/>
      <c r="C367" s="299"/>
      <c r="D367" s="293"/>
      <c r="E367" s="293"/>
      <c r="F367" s="293"/>
      <c r="G367" s="300"/>
      <c r="H367" s="293"/>
      <c r="I367" s="313"/>
      <c r="J367" s="313"/>
      <c r="K367" s="313"/>
      <c r="L367" s="313"/>
      <c r="M367" s="293"/>
      <c r="N367" s="293"/>
      <c r="O367" s="293"/>
      <c r="P367" s="293"/>
      <c r="Q367" s="293"/>
      <c r="R367" s="293"/>
      <c r="S367" s="293"/>
      <c r="T367" s="293"/>
      <c r="U367" s="293"/>
      <c r="V367" s="293"/>
      <c r="W367" s="293"/>
      <c r="X367" s="293"/>
      <c r="Y367" s="293"/>
      <c r="Z367" s="293"/>
      <c r="AA367" s="293"/>
      <c r="AB367" s="293"/>
      <c r="AC367" s="293"/>
      <c r="AD367" s="293"/>
      <c r="AE367" s="293"/>
      <c r="AF367" s="293"/>
    </row>
    <row r="368" ht="16.5" customHeight="1">
      <c r="A368" s="293"/>
      <c r="B368" s="385"/>
      <c r="C368" s="299"/>
      <c r="D368" s="293"/>
      <c r="E368" s="293"/>
      <c r="F368" s="293"/>
      <c r="G368" s="300"/>
      <c r="H368" s="293"/>
      <c r="I368" s="313"/>
      <c r="J368" s="313"/>
      <c r="K368" s="313"/>
      <c r="L368" s="313"/>
      <c r="M368" s="293"/>
      <c r="N368" s="293"/>
      <c r="O368" s="293"/>
      <c r="P368" s="293"/>
      <c r="Q368" s="293"/>
      <c r="R368" s="293"/>
      <c r="S368" s="293"/>
      <c r="T368" s="293"/>
      <c r="U368" s="293"/>
      <c r="V368" s="293"/>
      <c r="W368" s="293"/>
      <c r="X368" s="293"/>
      <c r="Y368" s="293"/>
      <c r="Z368" s="293"/>
      <c r="AA368" s="293"/>
      <c r="AB368" s="293"/>
      <c r="AC368" s="293"/>
      <c r="AD368" s="293"/>
      <c r="AE368" s="293"/>
      <c r="AF368" s="293"/>
    </row>
    <row r="369" ht="16.5" customHeight="1">
      <c r="A369" s="293"/>
      <c r="B369" s="385"/>
      <c r="C369" s="299"/>
      <c r="D369" s="293"/>
      <c r="E369" s="293"/>
      <c r="F369" s="293"/>
      <c r="G369" s="300"/>
      <c r="H369" s="293"/>
      <c r="I369" s="313"/>
      <c r="J369" s="313"/>
      <c r="K369" s="313"/>
      <c r="L369" s="313"/>
      <c r="M369" s="293"/>
      <c r="N369" s="293"/>
      <c r="O369" s="293"/>
      <c r="P369" s="293"/>
      <c r="Q369" s="293"/>
      <c r="R369" s="293"/>
      <c r="S369" s="293"/>
      <c r="T369" s="293"/>
      <c r="U369" s="293"/>
      <c r="V369" s="293"/>
      <c r="W369" s="293"/>
      <c r="X369" s="293"/>
      <c r="Y369" s="293"/>
      <c r="Z369" s="293"/>
      <c r="AA369" s="293"/>
      <c r="AB369" s="293"/>
      <c r="AC369" s="293"/>
      <c r="AD369" s="293"/>
      <c r="AE369" s="293"/>
      <c r="AF369" s="293"/>
    </row>
    <row r="370" ht="16.5" customHeight="1">
      <c r="A370" s="293"/>
      <c r="B370" s="385"/>
      <c r="C370" s="299"/>
      <c r="D370" s="293"/>
      <c r="E370" s="293"/>
      <c r="F370" s="293"/>
      <c r="G370" s="300"/>
      <c r="H370" s="293"/>
      <c r="I370" s="313"/>
      <c r="J370" s="313"/>
      <c r="K370" s="313"/>
      <c r="L370" s="313"/>
      <c r="M370" s="293"/>
      <c r="N370" s="293"/>
      <c r="O370" s="293"/>
      <c r="P370" s="293"/>
      <c r="Q370" s="293"/>
      <c r="R370" s="293"/>
      <c r="S370" s="293"/>
      <c r="T370" s="293"/>
      <c r="U370" s="293"/>
      <c r="V370" s="293"/>
      <c r="W370" s="293"/>
      <c r="X370" s="293"/>
      <c r="Y370" s="293"/>
      <c r="Z370" s="293"/>
      <c r="AA370" s="293"/>
      <c r="AB370" s="293"/>
      <c r="AC370" s="293"/>
      <c r="AD370" s="293"/>
      <c r="AE370" s="293"/>
      <c r="AF370" s="293"/>
    </row>
    <row r="371" ht="16.5" customHeight="1">
      <c r="A371" s="293"/>
      <c r="B371" s="385"/>
      <c r="C371" s="299"/>
      <c r="D371" s="293"/>
      <c r="E371" s="293"/>
      <c r="F371" s="293"/>
      <c r="G371" s="300"/>
      <c r="H371" s="293"/>
      <c r="I371" s="313"/>
      <c r="J371" s="313"/>
      <c r="K371" s="313"/>
      <c r="L371" s="313"/>
      <c r="M371" s="293"/>
      <c r="N371" s="293"/>
      <c r="O371" s="293"/>
      <c r="P371" s="293"/>
      <c r="Q371" s="293"/>
      <c r="R371" s="293"/>
      <c r="S371" s="293"/>
      <c r="T371" s="293"/>
      <c r="U371" s="293"/>
      <c r="V371" s="293"/>
      <c r="W371" s="293"/>
      <c r="X371" s="293"/>
      <c r="Y371" s="293"/>
      <c r="Z371" s="293"/>
      <c r="AA371" s="293"/>
      <c r="AB371" s="293"/>
      <c r="AC371" s="293"/>
      <c r="AD371" s="293"/>
      <c r="AE371" s="293"/>
      <c r="AF371" s="293"/>
    </row>
    <row r="372" ht="16.5" customHeight="1">
      <c r="A372" s="293"/>
      <c r="B372" s="385"/>
      <c r="C372" s="299"/>
      <c r="D372" s="293"/>
      <c r="E372" s="293"/>
      <c r="F372" s="293"/>
      <c r="G372" s="300"/>
      <c r="H372" s="293"/>
      <c r="I372" s="313"/>
      <c r="J372" s="313"/>
      <c r="K372" s="313"/>
      <c r="L372" s="313"/>
      <c r="M372" s="293"/>
      <c r="N372" s="293"/>
      <c r="O372" s="293"/>
      <c r="P372" s="293"/>
      <c r="Q372" s="293"/>
      <c r="R372" s="293"/>
      <c r="S372" s="293"/>
      <c r="T372" s="293"/>
      <c r="U372" s="293"/>
      <c r="V372" s="293"/>
      <c r="W372" s="293"/>
      <c r="X372" s="293"/>
      <c r="Y372" s="293"/>
      <c r="Z372" s="293"/>
      <c r="AA372" s="293"/>
      <c r="AB372" s="293"/>
      <c r="AC372" s="293"/>
      <c r="AD372" s="293"/>
      <c r="AE372" s="293"/>
      <c r="AF372" s="293"/>
    </row>
    <row r="373" ht="16.5" customHeight="1">
      <c r="A373" s="293"/>
      <c r="B373" s="385"/>
      <c r="C373" s="299"/>
      <c r="D373" s="293"/>
      <c r="E373" s="293"/>
      <c r="F373" s="293"/>
      <c r="G373" s="300"/>
      <c r="H373" s="293"/>
      <c r="I373" s="313"/>
      <c r="J373" s="313"/>
      <c r="K373" s="313"/>
      <c r="L373" s="313"/>
      <c r="M373" s="293"/>
      <c r="N373" s="293"/>
      <c r="O373" s="293"/>
      <c r="P373" s="293"/>
      <c r="Q373" s="293"/>
      <c r="R373" s="293"/>
      <c r="S373" s="293"/>
      <c r="T373" s="293"/>
      <c r="U373" s="293"/>
      <c r="V373" s="293"/>
      <c r="W373" s="293"/>
      <c r="X373" s="293"/>
      <c r="Y373" s="293"/>
      <c r="Z373" s="293"/>
      <c r="AA373" s="293"/>
      <c r="AB373" s="293"/>
      <c r="AC373" s="293"/>
      <c r="AD373" s="293"/>
      <c r="AE373" s="293"/>
      <c r="AF373" s="293"/>
    </row>
    <row r="374" ht="16.5" customHeight="1">
      <c r="A374" s="293"/>
      <c r="B374" s="385"/>
      <c r="C374" s="299"/>
      <c r="D374" s="293"/>
      <c r="E374" s="293"/>
      <c r="F374" s="293"/>
      <c r="G374" s="300"/>
      <c r="H374" s="293"/>
      <c r="I374" s="313"/>
      <c r="J374" s="313"/>
      <c r="K374" s="313"/>
      <c r="L374" s="313"/>
      <c r="M374" s="293"/>
      <c r="N374" s="293"/>
      <c r="O374" s="293"/>
      <c r="P374" s="293"/>
      <c r="Q374" s="293"/>
      <c r="R374" s="293"/>
      <c r="S374" s="293"/>
      <c r="T374" s="293"/>
      <c r="U374" s="293"/>
      <c r="V374" s="293"/>
      <c r="W374" s="293"/>
      <c r="X374" s="293"/>
      <c r="Y374" s="293"/>
      <c r="Z374" s="293"/>
      <c r="AA374" s="293"/>
      <c r="AB374" s="293"/>
      <c r="AC374" s="293"/>
      <c r="AD374" s="293"/>
      <c r="AE374" s="293"/>
      <c r="AF374" s="293"/>
    </row>
    <row r="375" ht="16.5" customHeight="1">
      <c r="A375" s="293"/>
      <c r="B375" s="385"/>
      <c r="C375" s="299"/>
      <c r="D375" s="293"/>
      <c r="E375" s="293"/>
      <c r="F375" s="293"/>
      <c r="G375" s="300"/>
      <c r="H375" s="293"/>
      <c r="I375" s="313"/>
      <c r="J375" s="313"/>
      <c r="K375" s="313"/>
      <c r="L375" s="313"/>
      <c r="M375" s="293"/>
      <c r="N375" s="293"/>
      <c r="O375" s="293"/>
      <c r="P375" s="293"/>
      <c r="Q375" s="293"/>
      <c r="R375" s="293"/>
      <c r="S375" s="293"/>
      <c r="T375" s="293"/>
      <c r="U375" s="293"/>
      <c r="V375" s="293"/>
      <c r="W375" s="293"/>
      <c r="X375" s="293"/>
      <c r="Y375" s="293"/>
      <c r="Z375" s="293"/>
      <c r="AA375" s="293"/>
      <c r="AB375" s="293"/>
      <c r="AC375" s="293"/>
      <c r="AD375" s="293"/>
      <c r="AE375" s="293"/>
      <c r="AF375" s="293"/>
    </row>
    <row r="376" ht="16.5" customHeight="1">
      <c r="A376" s="293"/>
      <c r="B376" s="385"/>
      <c r="C376" s="299"/>
      <c r="D376" s="293"/>
      <c r="E376" s="293"/>
      <c r="F376" s="293"/>
      <c r="G376" s="300"/>
      <c r="H376" s="293"/>
      <c r="I376" s="313"/>
      <c r="J376" s="313"/>
      <c r="K376" s="313"/>
      <c r="L376" s="313"/>
      <c r="M376" s="293"/>
      <c r="N376" s="293"/>
      <c r="O376" s="293"/>
      <c r="P376" s="293"/>
      <c r="Q376" s="293"/>
      <c r="R376" s="293"/>
      <c r="S376" s="293"/>
      <c r="T376" s="293"/>
      <c r="U376" s="293"/>
      <c r="V376" s="293"/>
      <c r="W376" s="293"/>
      <c r="X376" s="293"/>
      <c r="Y376" s="293"/>
      <c r="Z376" s="293"/>
      <c r="AA376" s="293"/>
      <c r="AB376" s="293"/>
      <c r="AC376" s="293"/>
      <c r="AD376" s="293"/>
      <c r="AE376" s="293"/>
      <c r="AF376" s="293"/>
    </row>
    <row r="377" ht="16.5" customHeight="1">
      <c r="A377" s="293"/>
      <c r="B377" s="385"/>
      <c r="C377" s="299"/>
      <c r="D377" s="293"/>
      <c r="E377" s="293"/>
      <c r="F377" s="293"/>
      <c r="G377" s="300"/>
      <c r="H377" s="293"/>
      <c r="I377" s="313"/>
      <c r="J377" s="313"/>
      <c r="K377" s="313"/>
      <c r="L377" s="313"/>
      <c r="M377" s="293"/>
      <c r="N377" s="293"/>
      <c r="O377" s="293"/>
      <c r="P377" s="293"/>
      <c r="Q377" s="293"/>
      <c r="R377" s="293"/>
      <c r="S377" s="293"/>
      <c r="T377" s="293"/>
      <c r="U377" s="293"/>
      <c r="V377" s="293"/>
      <c r="W377" s="293"/>
      <c r="X377" s="293"/>
      <c r="Y377" s="293"/>
      <c r="Z377" s="293"/>
      <c r="AA377" s="293"/>
      <c r="AB377" s="293"/>
      <c r="AC377" s="293"/>
      <c r="AD377" s="293"/>
      <c r="AE377" s="293"/>
      <c r="AF377" s="293"/>
    </row>
    <row r="378" ht="16.5" customHeight="1">
      <c r="A378" s="293"/>
      <c r="B378" s="385"/>
      <c r="C378" s="299"/>
      <c r="D378" s="293"/>
      <c r="E378" s="293"/>
      <c r="F378" s="293"/>
      <c r="G378" s="300"/>
      <c r="H378" s="293"/>
      <c r="I378" s="313"/>
      <c r="J378" s="313"/>
      <c r="K378" s="313"/>
      <c r="L378" s="313"/>
      <c r="M378" s="293"/>
      <c r="N378" s="293"/>
      <c r="O378" s="293"/>
      <c r="P378" s="293"/>
      <c r="Q378" s="293"/>
      <c r="R378" s="293"/>
      <c r="S378" s="293"/>
      <c r="T378" s="293"/>
      <c r="U378" s="293"/>
      <c r="V378" s="293"/>
      <c r="W378" s="293"/>
      <c r="X378" s="293"/>
      <c r="Y378" s="293"/>
      <c r="Z378" s="293"/>
      <c r="AA378" s="293"/>
      <c r="AB378" s="293"/>
      <c r="AC378" s="293"/>
      <c r="AD378" s="293"/>
      <c r="AE378" s="293"/>
      <c r="AF378" s="293"/>
    </row>
    <row r="379" ht="16.5" customHeight="1">
      <c r="A379" s="293"/>
      <c r="B379" s="385"/>
      <c r="C379" s="299"/>
      <c r="D379" s="293"/>
      <c r="E379" s="293"/>
      <c r="F379" s="293"/>
      <c r="G379" s="300"/>
      <c r="H379" s="293"/>
      <c r="I379" s="313"/>
      <c r="J379" s="313"/>
      <c r="K379" s="313"/>
      <c r="L379" s="313"/>
      <c r="M379" s="293"/>
      <c r="N379" s="293"/>
      <c r="O379" s="293"/>
      <c r="P379" s="293"/>
      <c r="Q379" s="293"/>
      <c r="R379" s="293"/>
      <c r="S379" s="293"/>
      <c r="T379" s="293"/>
      <c r="U379" s="293"/>
      <c r="V379" s="293"/>
      <c r="W379" s="293"/>
      <c r="X379" s="293"/>
      <c r="Y379" s="293"/>
      <c r="Z379" s="293"/>
      <c r="AA379" s="293"/>
      <c r="AB379" s="293"/>
      <c r="AC379" s="293"/>
      <c r="AD379" s="293"/>
      <c r="AE379" s="293"/>
      <c r="AF379" s="293"/>
    </row>
    <row r="380" ht="16.5" customHeight="1">
      <c r="A380" s="293"/>
      <c r="B380" s="385"/>
      <c r="C380" s="299"/>
      <c r="D380" s="293"/>
      <c r="E380" s="293"/>
      <c r="F380" s="293"/>
      <c r="G380" s="300"/>
      <c r="H380" s="293"/>
      <c r="I380" s="313"/>
      <c r="J380" s="313"/>
      <c r="K380" s="313"/>
      <c r="L380" s="313"/>
      <c r="M380" s="293"/>
      <c r="N380" s="293"/>
      <c r="O380" s="293"/>
      <c r="P380" s="293"/>
      <c r="Q380" s="293"/>
      <c r="R380" s="293"/>
      <c r="S380" s="293"/>
      <c r="T380" s="293"/>
      <c r="U380" s="293"/>
      <c r="V380" s="293"/>
      <c r="W380" s="293"/>
      <c r="X380" s="293"/>
      <c r="Y380" s="293"/>
      <c r="Z380" s="293"/>
      <c r="AA380" s="293"/>
      <c r="AB380" s="293"/>
      <c r="AC380" s="293"/>
      <c r="AD380" s="293"/>
      <c r="AE380" s="293"/>
      <c r="AF380" s="293"/>
    </row>
    <row r="381" ht="16.5" customHeight="1">
      <c r="A381" s="293"/>
      <c r="B381" s="385"/>
      <c r="C381" s="299"/>
      <c r="D381" s="293"/>
      <c r="E381" s="293"/>
      <c r="F381" s="293"/>
      <c r="G381" s="300"/>
      <c r="H381" s="293"/>
      <c r="I381" s="313"/>
      <c r="J381" s="313"/>
      <c r="K381" s="313"/>
      <c r="L381" s="313"/>
      <c r="M381" s="293"/>
      <c r="N381" s="293"/>
      <c r="O381" s="293"/>
      <c r="P381" s="293"/>
      <c r="Q381" s="293"/>
      <c r="R381" s="293"/>
      <c r="S381" s="293"/>
      <c r="T381" s="293"/>
      <c r="U381" s="293"/>
      <c r="V381" s="293"/>
      <c r="W381" s="293"/>
      <c r="X381" s="293"/>
      <c r="Y381" s="293"/>
      <c r="Z381" s="293"/>
      <c r="AA381" s="293"/>
      <c r="AB381" s="293"/>
      <c r="AC381" s="293"/>
      <c r="AD381" s="293"/>
      <c r="AE381" s="293"/>
      <c r="AF381" s="293"/>
    </row>
    <row r="382" ht="16.5" customHeight="1">
      <c r="A382" s="293"/>
      <c r="B382" s="385"/>
      <c r="C382" s="299"/>
      <c r="D382" s="293"/>
      <c r="E382" s="293"/>
      <c r="F382" s="293"/>
      <c r="G382" s="300"/>
      <c r="H382" s="293"/>
      <c r="I382" s="313"/>
      <c r="J382" s="313"/>
      <c r="K382" s="313"/>
      <c r="L382" s="313"/>
      <c r="M382" s="293"/>
      <c r="N382" s="293"/>
      <c r="O382" s="293"/>
      <c r="P382" s="293"/>
      <c r="Q382" s="293"/>
      <c r="R382" s="293"/>
      <c r="S382" s="293"/>
      <c r="T382" s="293"/>
      <c r="U382" s="293"/>
      <c r="V382" s="293"/>
      <c r="W382" s="293"/>
      <c r="X382" s="293"/>
      <c r="Y382" s="293"/>
      <c r="Z382" s="293"/>
      <c r="AA382" s="293"/>
      <c r="AB382" s="293"/>
      <c r="AC382" s="293"/>
      <c r="AD382" s="293"/>
      <c r="AE382" s="293"/>
      <c r="AF382" s="293"/>
    </row>
    <row r="383" ht="16.5" customHeight="1">
      <c r="A383" s="293"/>
      <c r="B383" s="385"/>
      <c r="C383" s="299"/>
      <c r="D383" s="293"/>
      <c r="E383" s="293"/>
      <c r="F383" s="293"/>
      <c r="G383" s="300"/>
      <c r="H383" s="293"/>
      <c r="I383" s="313"/>
      <c r="J383" s="313"/>
      <c r="K383" s="313"/>
      <c r="L383" s="313"/>
      <c r="M383" s="293"/>
      <c r="N383" s="293"/>
      <c r="O383" s="293"/>
      <c r="P383" s="293"/>
      <c r="Q383" s="293"/>
      <c r="R383" s="293"/>
      <c r="S383" s="293"/>
      <c r="T383" s="293"/>
      <c r="U383" s="293"/>
      <c r="V383" s="293"/>
      <c r="W383" s="293"/>
      <c r="X383" s="293"/>
      <c r="Y383" s="293"/>
      <c r="Z383" s="293"/>
      <c r="AA383" s="293"/>
      <c r="AB383" s="293"/>
      <c r="AC383" s="293"/>
      <c r="AD383" s="293"/>
      <c r="AE383" s="293"/>
      <c r="AF383" s="293"/>
    </row>
    <row r="384" ht="16.5" customHeight="1">
      <c r="A384" s="293"/>
      <c r="B384" s="385"/>
      <c r="C384" s="299"/>
      <c r="D384" s="293"/>
      <c r="E384" s="293"/>
      <c r="F384" s="293"/>
      <c r="G384" s="300"/>
      <c r="H384" s="293"/>
      <c r="I384" s="313"/>
      <c r="J384" s="313"/>
      <c r="K384" s="313"/>
      <c r="L384" s="313"/>
      <c r="M384" s="293"/>
      <c r="N384" s="293"/>
      <c r="O384" s="293"/>
      <c r="P384" s="293"/>
      <c r="Q384" s="293"/>
      <c r="R384" s="293"/>
      <c r="S384" s="293"/>
      <c r="T384" s="293"/>
      <c r="U384" s="293"/>
      <c r="V384" s="293"/>
      <c r="W384" s="293"/>
      <c r="X384" s="293"/>
      <c r="Y384" s="293"/>
      <c r="Z384" s="293"/>
      <c r="AA384" s="293"/>
      <c r="AB384" s="293"/>
      <c r="AC384" s="293"/>
      <c r="AD384" s="293"/>
      <c r="AE384" s="293"/>
      <c r="AF384" s="293"/>
    </row>
    <row r="385" ht="16.5" customHeight="1">
      <c r="A385" s="293"/>
      <c r="B385" s="385"/>
      <c r="C385" s="299"/>
      <c r="D385" s="293"/>
      <c r="E385" s="293"/>
      <c r="F385" s="293"/>
      <c r="G385" s="300"/>
      <c r="H385" s="293"/>
      <c r="I385" s="313"/>
      <c r="J385" s="313"/>
      <c r="K385" s="313"/>
      <c r="L385" s="313"/>
      <c r="M385" s="293"/>
      <c r="N385" s="293"/>
      <c r="O385" s="293"/>
      <c r="P385" s="293"/>
      <c r="Q385" s="293"/>
      <c r="R385" s="293"/>
      <c r="S385" s="293"/>
      <c r="T385" s="293"/>
      <c r="U385" s="293"/>
      <c r="V385" s="293"/>
      <c r="W385" s="293"/>
      <c r="X385" s="293"/>
      <c r="Y385" s="293"/>
      <c r="Z385" s="293"/>
      <c r="AA385" s="293"/>
      <c r="AB385" s="293"/>
      <c r="AC385" s="293"/>
      <c r="AD385" s="293"/>
      <c r="AE385" s="293"/>
      <c r="AF385" s="293"/>
    </row>
    <row r="386" ht="16.5" customHeight="1">
      <c r="A386" s="293"/>
      <c r="B386" s="385"/>
      <c r="C386" s="299"/>
      <c r="D386" s="293"/>
      <c r="E386" s="293"/>
      <c r="F386" s="293"/>
      <c r="G386" s="300"/>
      <c r="H386" s="293"/>
      <c r="I386" s="313"/>
      <c r="J386" s="313"/>
      <c r="K386" s="313"/>
      <c r="L386" s="313"/>
      <c r="M386" s="293"/>
      <c r="N386" s="293"/>
      <c r="O386" s="293"/>
      <c r="P386" s="293"/>
      <c r="Q386" s="293"/>
      <c r="R386" s="293"/>
      <c r="S386" s="293"/>
      <c r="T386" s="293"/>
      <c r="U386" s="293"/>
      <c r="V386" s="293"/>
      <c r="W386" s="293"/>
      <c r="X386" s="293"/>
      <c r="Y386" s="293"/>
      <c r="Z386" s="293"/>
      <c r="AA386" s="293"/>
      <c r="AB386" s="293"/>
      <c r="AC386" s="293"/>
      <c r="AD386" s="293"/>
      <c r="AE386" s="293"/>
      <c r="AF386" s="293"/>
    </row>
    <row r="387" ht="16.5" customHeight="1">
      <c r="A387" s="293"/>
      <c r="B387" s="385"/>
      <c r="C387" s="299"/>
      <c r="D387" s="293"/>
      <c r="E387" s="293"/>
      <c r="F387" s="293"/>
      <c r="G387" s="300"/>
      <c r="H387" s="293"/>
      <c r="I387" s="313"/>
      <c r="J387" s="313"/>
      <c r="K387" s="313"/>
      <c r="L387" s="313"/>
      <c r="M387" s="293"/>
      <c r="N387" s="293"/>
      <c r="O387" s="293"/>
      <c r="P387" s="293"/>
      <c r="Q387" s="293"/>
      <c r="R387" s="293"/>
      <c r="S387" s="293"/>
      <c r="T387" s="293"/>
      <c r="U387" s="293"/>
      <c r="V387" s="293"/>
      <c r="W387" s="293"/>
      <c r="X387" s="293"/>
      <c r="Y387" s="293"/>
      <c r="Z387" s="293"/>
      <c r="AA387" s="293"/>
      <c r="AB387" s="293"/>
      <c r="AC387" s="293"/>
      <c r="AD387" s="293"/>
      <c r="AE387" s="293"/>
      <c r="AF387" s="293"/>
    </row>
    <row r="388" ht="16.5" customHeight="1">
      <c r="A388" s="293"/>
      <c r="B388" s="385"/>
      <c r="C388" s="299"/>
      <c r="D388" s="293"/>
      <c r="E388" s="293"/>
      <c r="F388" s="293"/>
      <c r="G388" s="300"/>
      <c r="H388" s="293"/>
      <c r="I388" s="313"/>
      <c r="J388" s="313"/>
      <c r="K388" s="313"/>
      <c r="L388" s="313"/>
      <c r="M388" s="293"/>
      <c r="N388" s="293"/>
      <c r="O388" s="293"/>
      <c r="P388" s="293"/>
      <c r="Q388" s="293"/>
      <c r="R388" s="293"/>
      <c r="S388" s="293"/>
      <c r="T388" s="293"/>
      <c r="U388" s="293"/>
      <c r="V388" s="293"/>
      <c r="W388" s="293"/>
      <c r="X388" s="293"/>
      <c r="Y388" s="293"/>
      <c r="Z388" s="293"/>
      <c r="AA388" s="293"/>
      <c r="AB388" s="293"/>
      <c r="AC388" s="293"/>
      <c r="AD388" s="293"/>
      <c r="AE388" s="293"/>
      <c r="AF388" s="293"/>
    </row>
    <row r="389" ht="16.5" customHeight="1">
      <c r="A389" s="293"/>
      <c r="B389" s="385"/>
      <c r="C389" s="299"/>
      <c r="D389" s="293"/>
      <c r="E389" s="293"/>
      <c r="F389" s="293"/>
      <c r="G389" s="300"/>
      <c r="H389" s="293"/>
      <c r="I389" s="313"/>
      <c r="J389" s="313"/>
      <c r="K389" s="313"/>
      <c r="L389" s="313"/>
      <c r="M389" s="293"/>
      <c r="N389" s="293"/>
      <c r="O389" s="293"/>
      <c r="P389" s="293"/>
      <c r="Q389" s="293"/>
      <c r="R389" s="293"/>
      <c r="S389" s="293"/>
      <c r="T389" s="293"/>
      <c r="U389" s="293"/>
      <c r="V389" s="293"/>
      <c r="W389" s="293"/>
      <c r="X389" s="293"/>
      <c r="Y389" s="293"/>
      <c r="Z389" s="293"/>
      <c r="AA389" s="293"/>
      <c r="AB389" s="293"/>
      <c r="AC389" s="293"/>
      <c r="AD389" s="293"/>
      <c r="AE389" s="293"/>
      <c r="AF389" s="293"/>
    </row>
    <row r="390" ht="16.5" customHeight="1">
      <c r="A390" s="293"/>
      <c r="B390" s="385"/>
      <c r="C390" s="299"/>
      <c r="D390" s="293"/>
      <c r="E390" s="293"/>
      <c r="F390" s="293"/>
      <c r="G390" s="300"/>
      <c r="H390" s="293"/>
      <c r="I390" s="313"/>
      <c r="J390" s="313"/>
      <c r="K390" s="313"/>
      <c r="L390" s="313"/>
      <c r="M390" s="293"/>
      <c r="N390" s="293"/>
      <c r="O390" s="293"/>
      <c r="P390" s="293"/>
      <c r="Q390" s="293"/>
      <c r="R390" s="293"/>
      <c r="S390" s="293"/>
      <c r="T390" s="293"/>
      <c r="U390" s="293"/>
      <c r="V390" s="293"/>
      <c r="W390" s="293"/>
      <c r="X390" s="293"/>
      <c r="Y390" s="293"/>
      <c r="Z390" s="293"/>
      <c r="AA390" s="293"/>
      <c r="AB390" s="293"/>
      <c r="AC390" s="293"/>
      <c r="AD390" s="293"/>
      <c r="AE390" s="293"/>
      <c r="AF390" s="293"/>
    </row>
    <row r="391" ht="16.5" customHeight="1">
      <c r="A391" s="293"/>
      <c r="B391" s="385"/>
      <c r="C391" s="299"/>
      <c r="D391" s="293"/>
      <c r="E391" s="293"/>
      <c r="F391" s="293"/>
      <c r="G391" s="300"/>
      <c r="H391" s="293"/>
      <c r="I391" s="313"/>
      <c r="J391" s="313"/>
      <c r="K391" s="313"/>
      <c r="L391" s="313"/>
      <c r="M391" s="293"/>
      <c r="N391" s="293"/>
      <c r="O391" s="293"/>
      <c r="P391" s="293"/>
      <c r="Q391" s="293"/>
      <c r="R391" s="293"/>
      <c r="S391" s="293"/>
      <c r="T391" s="293"/>
      <c r="U391" s="293"/>
      <c r="V391" s="293"/>
      <c r="W391" s="293"/>
      <c r="X391" s="293"/>
      <c r="Y391" s="293"/>
      <c r="Z391" s="293"/>
      <c r="AA391" s="293"/>
      <c r="AB391" s="293"/>
      <c r="AC391" s="293"/>
      <c r="AD391" s="293"/>
      <c r="AE391" s="293"/>
      <c r="AF391" s="293"/>
    </row>
    <row r="392" ht="16.5" customHeight="1">
      <c r="A392" s="293"/>
      <c r="B392" s="385"/>
      <c r="C392" s="299"/>
      <c r="D392" s="293"/>
      <c r="E392" s="293"/>
      <c r="F392" s="293"/>
      <c r="G392" s="300"/>
      <c r="H392" s="293"/>
      <c r="I392" s="313"/>
      <c r="J392" s="313"/>
      <c r="K392" s="313"/>
      <c r="L392" s="313"/>
      <c r="M392" s="293"/>
      <c r="N392" s="293"/>
      <c r="O392" s="293"/>
      <c r="P392" s="293"/>
      <c r="Q392" s="293"/>
      <c r="R392" s="293"/>
      <c r="S392" s="293"/>
      <c r="T392" s="293"/>
      <c r="U392" s="293"/>
      <c r="V392" s="293"/>
      <c r="W392" s="293"/>
      <c r="X392" s="293"/>
      <c r="Y392" s="293"/>
      <c r="Z392" s="293"/>
      <c r="AA392" s="293"/>
      <c r="AB392" s="293"/>
      <c r="AC392" s="293"/>
      <c r="AD392" s="293"/>
      <c r="AE392" s="293"/>
      <c r="AF392" s="293"/>
    </row>
    <row r="393" ht="16.5" customHeight="1">
      <c r="A393" s="293"/>
      <c r="B393" s="385"/>
      <c r="C393" s="299"/>
      <c r="D393" s="293"/>
      <c r="E393" s="293"/>
      <c r="F393" s="293"/>
      <c r="G393" s="300"/>
      <c r="H393" s="293"/>
      <c r="I393" s="313"/>
      <c r="J393" s="313"/>
      <c r="K393" s="313"/>
      <c r="L393" s="313"/>
      <c r="M393" s="293"/>
      <c r="N393" s="293"/>
      <c r="O393" s="293"/>
      <c r="P393" s="293"/>
      <c r="Q393" s="293"/>
      <c r="R393" s="293"/>
      <c r="S393" s="293"/>
      <c r="T393" s="293"/>
      <c r="U393" s="293"/>
      <c r="V393" s="293"/>
      <c r="W393" s="293"/>
      <c r="X393" s="293"/>
      <c r="Y393" s="293"/>
      <c r="Z393" s="293"/>
      <c r="AA393" s="293"/>
      <c r="AB393" s="293"/>
      <c r="AC393" s="293"/>
      <c r="AD393" s="293"/>
      <c r="AE393" s="293"/>
      <c r="AF393" s="293"/>
    </row>
    <row r="394" ht="16.5" customHeight="1">
      <c r="A394" s="293"/>
      <c r="B394" s="385"/>
      <c r="C394" s="299"/>
      <c r="D394" s="293"/>
      <c r="E394" s="293"/>
      <c r="F394" s="293"/>
      <c r="G394" s="300"/>
      <c r="H394" s="293"/>
      <c r="I394" s="313"/>
      <c r="J394" s="313"/>
      <c r="K394" s="313"/>
      <c r="L394" s="313"/>
      <c r="M394" s="293"/>
      <c r="N394" s="293"/>
      <c r="O394" s="293"/>
      <c r="P394" s="293"/>
      <c r="Q394" s="293"/>
      <c r="R394" s="293"/>
      <c r="S394" s="293"/>
      <c r="T394" s="293"/>
      <c r="U394" s="293"/>
      <c r="V394" s="293"/>
      <c r="W394" s="293"/>
      <c r="X394" s="293"/>
      <c r="Y394" s="293"/>
      <c r="Z394" s="293"/>
      <c r="AA394" s="293"/>
      <c r="AB394" s="293"/>
      <c r="AC394" s="293"/>
      <c r="AD394" s="293"/>
      <c r="AE394" s="293"/>
      <c r="AF394" s="293"/>
    </row>
    <row r="395" ht="16.5" customHeight="1">
      <c r="A395" s="293"/>
      <c r="B395" s="385"/>
      <c r="C395" s="299"/>
      <c r="D395" s="293"/>
      <c r="E395" s="293"/>
      <c r="F395" s="293"/>
      <c r="G395" s="300"/>
      <c r="H395" s="293"/>
      <c r="I395" s="313"/>
      <c r="J395" s="313"/>
      <c r="K395" s="313"/>
      <c r="L395" s="313"/>
      <c r="M395" s="293"/>
      <c r="N395" s="293"/>
      <c r="O395" s="293"/>
      <c r="P395" s="293"/>
      <c r="Q395" s="293"/>
      <c r="R395" s="293"/>
      <c r="S395" s="293"/>
      <c r="T395" s="293"/>
      <c r="U395" s="293"/>
      <c r="V395" s="293"/>
      <c r="W395" s="293"/>
      <c r="X395" s="293"/>
      <c r="Y395" s="293"/>
      <c r="Z395" s="293"/>
      <c r="AA395" s="293"/>
      <c r="AB395" s="293"/>
      <c r="AC395" s="293"/>
      <c r="AD395" s="293"/>
      <c r="AE395" s="293"/>
      <c r="AF395" s="293"/>
    </row>
    <row r="396" ht="16.5" customHeight="1">
      <c r="A396" s="293"/>
      <c r="B396" s="385"/>
      <c r="C396" s="299"/>
      <c r="D396" s="293"/>
      <c r="E396" s="293"/>
      <c r="F396" s="293"/>
      <c r="G396" s="300"/>
      <c r="H396" s="293"/>
      <c r="I396" s="313"/>
      <c r="J396" s="313"/>
      <c r="K396" s="313"/>
      <c r="L396" s="313"/>
      <c r="M396" s="293"/>
      <c r="N396" s="293"/>
      <c r="O396" s="293"/>
      <c r="P396" s="293"/>
      <c r="Q396" s="293"/>
      <c r="R396" s="293"/>
      <c r="S396" s="293"/>
      <c r="T396" s="293"/>
      <c r="U396" s="293"/>
      <c r="V396" s="293"/>
      <c r="W396" s="293"/>
      <c r="X396" s="293"/>
      <c r="Y396" s="293"/>
      <c r="Z396" s="293"/>
      <c r="AA396" s="293"/>
      <c r="AB396" s="293"/>
      <c r="AC396" s="293"/>
      <c r="AD396" s="293"/>
      <c r="AE396" s="293"/>
      <c r="AF396" s="293"/>
    </row>
    <row r="397" ht="16.5" customHeight="1">
      <c r="A397" s="293"/>
      <c r="B397" s="385"/>
      <c r="C397" s="299"/>
      <c r="D397" s="293"/>
      <c r="E397" s="293"/>
      <c r="F397" s="293"/>
      <c r="G397" s="300"/>
      <c r="H397" s="293"/>
      <c r="I397" s="313"/>
      <c r="J397" s="313"/>
      <c r="K397" s="313"/>
      <c r="L397" s="313"/>
      <c r="M397" s="293"/>
      <c r="N397" s="293"/>
      <c r="O397" s="293"/>
      <c r="P397" s="293"/>
      <c r="Q397" s="293"/>
      <c r="R397" s="293"/>
      <c r="S397" s="293"/>
      <c r="T397" s="293"/>
      <c r="U397" s="293"/>
      <c r="V397" s="293"/>
      <c r="W397" s="293"/>
      <c r="X397" s="293"/>
      <c r="Y397" s="293"/>
      <c r="Z397" s="293"/>
      <c r="AA397" s="293"/>
      <c r="AB397" s="293"/>
      <c r="AC397" s="293"/>
      <c r="AD397" s="293"/>
      <c r="AE397" s="293"/>
      <c r="AF397" s="293"/>
    </row>
    <row r="398" ht="16.5" customHeight="1">
      <c r="A398" s="293"/>
      <c r="B398" s="385"/>
      <c r="C398" s="299"/>
      <c r="D398" s="293"/>
      <c r="E398" s="293"/>
      <c r="F398" s="293"/>
      <c r="G398" s="300"/>
      <c r="H398" s="293"/>
      <c r="I398" s="313"/>
      <c r="J398" s="313"/>
      <c r="K398" s="313"/>
      <c r="L398" s="313"/>
      <c r="M398" s="293"/>
      <c r="N398" s="293"/>
      <c r="O398" s="293"/>
      <c r="P398" s="293"/>
      <c r="Q398" s="293"/>
      <c r="R398" s="293"/>
      <c r="S398" s="293"/>
      <c r="T398" s="293"/>
      <c r="U398" s="293"/>
      <c r="V398" s="293"/>
      <c r="W398" s="293"/>
      <c r="X398" s="293"/>
      <c r="Y398" s="293"/>
      <c r="Z398" s="293"/>
      <c r="AA398" s="293"/>
      <c r="AB398" s="293"/>
      <c r="AC398" s="293"/>
      <c r="AD398" s="293"/>
      <c r="AE398" s="293"/>
      <c r="AF398" s="293"/>
    </row>
    <row r="399" ht="16.5" customHeight="1">
      <c r="A399" s="293"/>
      <c r="B399" s="385"/>
      <c r="C399" s="299"/>
      <c r="D399" s="293"/>
      <c r="E399" s="293"/>
      <c r="F399" s="293"/>
      <c r="G399" s="300"/>
      <c r="H399" s="293"/>
      <c r="I399" s="313"/>
      <c r="J399" s="313"/>
      <c r="K399" s="313"/>
      <c r="L399" s="313"/>
      <c r="M399" s="293"/>
      <c r="N399" s="293"/>
      <c r="O399" s="293"/>
      <c r="P399" s="293"/>
      <c r="Q399" s="293"/>
      <c r="R399" s="293"/>
      <c r="S399" s="293"/>
      <c r="T399" s="293"/>
      <c r="U399" s="293"/>
      <c r="V399" s="293"/>
      <c r="W399" s="293"/>
      <c r="X399" s="293"/>
      <c r="Y399" s="293"/>
      <c r="Z399" s="293"/>
      <c r="AA399" s="293"/>
      <c r="AB399" s="293"/>
      <c r="AC399" s="293"/>
      <c r="AD399" s="293"/>
      <c r="AE399" s="293"/>
      <c r="AF399" s="293"/>
    </row>
    <row r="400" ht="16.5" customHeight="1">
      <c r="A400" s="293"/>
      <c r="B400" s="385"/>
      <c r="C400" s="299"/>
      <c r="D400" s="293"/>
      <c r="E400" s="293"/>
      <c r="F400" s="293"/>
      <c r="G400" s="300"/>
      <c r="H400" s="293"/>
      <c r="I400" s="313"/>
      <c r="J400" s="313"/>
      <c r="K400" s="313"/>
      <c r="L400" s="313"/>
      <c r="M400" s="293"/>
      <c r="N400" s="293"/>
      <c r="O400" s="293"/>
      <c r="P400" s="293"/>
      <c r="Q400" s="293"/>
      <c r="R400" s="293"/>
      <c r="S400" s="293"/>
      <c r="T400" s="293"/>
      <c r="U400" s="293"/>
      <c r="V400" s="293"/>
      <c r="W400" s="293"/>
      <c r="X400" s="293"/>
      <c r="Y400" s="293"/>
      <c r="Z400" s="293"/>
      <c r="AA400" s="293"/>
      <c r="AB400" s="293"/>
      <c r="AC400" s="293"/>
      <c r="AD400" s="293"/>
      <c r="AE400" s="293"/>
      <c r="AF400" s="293"/>
    </row>
    <row r="401" ht="16.5" customHeight="1">
      <c r="A401" s="293"/>
      <c r="B401" s="385"/>
      <c r="C401" s="299"/>
      <c r="D401" s="293"/>
      <c r="E401" s="293"/>
      <c r="F401" s="293"/>
      <c r="G401" s="300"/>
      <c r="H401" s="293"/>
      <c r="I401" s="313"/>
      <c r="J401" s="313"/>
      <c r="K401" s="313"/>
      <c r="L401" s="313"/>
      <c r="M401" s="293"/>
      <c r="N401" s="293"/>
      <c r="O401" s="293"/>
      <c r="P401" s="293"/>
      <c r="Q401" s="293"/>
      <c r="R401" s="293"/>
      <c r="S401" s="293"/>
      <c r="T401" s="293"/>
      <c r="U401" s="293"/>
      <c r="V401" s="293"/>
      <c r="W401" s="293"/>
      <c r="X401" s="293"/>
      <c r="Y401" s="293"/>
      <c r="Z401" s="293"/>
      <c r="AA401" s="293"/>
      <c r="AB401" s="293"/>
      <c r="AC401" s="293"/>
      <c r="AD401" s="293"/>
      <c r="AE401" s="293"/>
      <c r="AF401" s="293"/>
    </row>
    <row r="402" ht="16.5" customHeight="1">
      <c r="A402" s="293"/>
      <c r="B402" s="385"/>
      <c r="C402" s="299"/>
      <c r="D402" s="293"/>
      <c r="E402" s="293"/>
      <c r="F402" s="293"/>
      <c r="G402" s="300"/>
      <c r="H402" s="293"/>
      <c r="I402" s="313"/>
      <c r="J402" s="313"/>
      <c r="K402" s="313"/>
      <c r="L402" s="313"/>
      <c r="M402" s="293"/>
      <c r="N402" s="293"/>
      <c r="O402" s="293"/>
      <c r="P402" s="293"/>
      <c r="Q402" s="293"/>
      <c r="R402" s="293"/>
      <c r="S402" s="293"/>
      <c r="T402" s="293"/>
      <c r="U402" s="293"/>
      <c r="V402" s="293"/>
      <c r="W402" s="293"/>
      <c r="X402" s="293"/>
      <c r="Y402" s="293"/>
      <c r="Z402" s="293"/>
      <c r="AA402" s="293"/>
      <c r="AB402" s="293"/>
      <c r="AC402" s="293"/>
      <c r="AD402" s="293"/>
      <c r="AE402" s="293"/>
      <c r="AF402" s="293"/>
    </row>
    <row r="403" ht="16.5" customHeight="1">
      <c r="A403" s="293"/>
      <c r="B403" s="385"/>
      <c r="C403" s="299"/>
      <c r="D403" s="293"/>
      <c r="E403" s="293"/>
      <c r="F403" s="293"/>
      <c r="G403" s="300"/>
      <c r="H403" s="293"/>
      <c r="I403" s="313"/>
      <c r="J403" s="313"/>
      <c r="K403" s="313"/>
      <c r="L403" s="313"/>
      <c r="M403" s="293"/>
      <c r="N403" s="293"/>
      <c r="O403" s="293"/>
      <c r="P403" s="293"/>
      <c r="Q403" s="293"/>
      <c r="R403" s="293"/>
      <c r="S403" s="293"/>
      <c r="T403" s="293"/>
      <c r="U403" s="293"/>
      <c r="V403" s="293"/>
      <c r="W403" s="293"/>
      <c r="X403" s="293"/>
      <c r="Y403" s="293"/>
      <c r="Z403" s="293"/>
      <c r="AA403" s="293"/>
      <c r="AB403" s="293"/>
      <c r="AC403" s="293"/>
      <c r="AD403" s="293"/>
      <c r="AE403" s="293"/>
      <c r="AF403" s="293"/>
    </row>
    <row r="404" ht="16.5" customHeight="1">
      <c r="A404" s="293"/>
      <c r="B404" s="385"/>
      <c r="C404" s="299"/>
      <c r="D404" s="293"/>
      <c r="E404" s="293"/>
      <c r="F404" s="293"/>
      <c r="G404" s="300"/>
      <c r="H404" s="293"/>
      <c r="I404" s="313"/>
      <c r="J404" s="313"/>
      <c r="K404" s="313"/>
      <c r="L404" s="313"/>
      <c r="M404" s="293"/>
      <c r="N404" s="293"/>
      <c r="O404" s="293"/>
      <c r="P404" s="293"/>
      <c r="Q404" s="293"/>
      <c r="R404" s="293"/>
      <c r="S404" s="293"/>
      <c r="T404" s="293"/>
      <c r="U404" s="293"/>
      <c r="V404" s="293"/>
      <c r="W404" s="293"/>
      <c r="X404" s="293"/>
      <c r="Y404" s="293"/>
      <c r="Z404" s="293"/>
      <c r="AA404" s="293"/>
      <c r="AB404" s="293"/>
      <c r="AC404" s="293"/>
      <c r="AD404" s="293"/>
      <c r="AE404" s="293"/>
      <c r="AF404" s="293"/>
    </row>
    <row r="405" ht="16.5" customHeight="1">
      <c r="A405" s="293"/>
      <c r="B405" s="385"/>
      <c r="C405" s="299"/>
      <c r="D405" s="293"/>
      <c r="E405" s="293"/>
      <c r="F405" s="293"/>
      <c r="G405" s="300"/>
      <c r="H405" s="293"/>
      <c r="I405" s="313"/>
      <c r="J405" s="313"/>
      <c r="K405" s="313"/>
      <c r="L405" s="313"/>
      <c r="M405" s="293"/>
      <c r="N405" s="293"/>
      <c r="O405" s="293"/>
      <c r="P405" s="293"/>
      <c r="Q405" s="293"/>
      <c r="R405" s="293"/>
      <c r="S405" s="293"/>
      <c r="T405" s="293"/>
      <c r="U405" s="293"/>
      <c r="V405" s="293"/>
      <c r="W405" s="293"/>
      <c r="X405" s="293"/>
      <c r="Y405" s="293"/>
      <c r="Z405" s="293"/>
      <c r="AA405" s="293"/>
      <c r="AB405" s="293"/>
      <c r="AC405" s="293"/>
      <c r="AD405" s="293"/>
      <c r="AE405" s="293"/>
      <c r="AF405" s="293"/>
    </row>
    <row r="406" ht="16.5" customHeight="1">
      <c r="A406" s="293"/>
      <c r="B406" s="385"/>
      <c r="C406" s="299"/>
      <c r="D406" s="293"/>
      <c r="E406" s="293"/>
      <c r="F406" s="293"/>
      <c r="G406" s="300"/>
      <c r="H406" s="293"/>
      <c r="I406" s="313"/>
      <c r="J406" s="313"/>
      <c r="K406" s="313"/>
      <c r="L406" s="313"/>
      <c r="M406" s="293"/>
      <c r="N406" s="293"/>
      <c r="O406" s="293"/>
      <c r="P406" s="293"/>
      <c r="Q406" s="293"/>
      <c r="R406" s="293"/>
      <c r="S406" s="293"/>
      <c r="T406" s="293"/>
      <c r="U406" s="293"/>
      <c r="V406" s="293"/>
      <c r="W406" s="293"/>
      <c r="X406" s="293"/>
      <c r="Y406" s="293"/>
      <c r="Z406" s="293"/>
      <c r="AA406" s="293"/>
      <c r="AB406" s="293"/>
      <c r="AC406" s="293"/>
      <c r="AD406" s="293"/>
      <c r="AE406" s="293"/>
      <c r="AF406" s="293"/>
    </row>
    <row r="407" ht="16.5" customHeight="1">
      <c r="A407" s="293"/>
      <c r="B407" s="385"/>
      <c r="C407" s="299"/>
      <c r="D407" s="293"/>
      <c r="E407" s="293"/>
      <c r="F407" s="293"/>
      <c r="G407" s="300"/>
      <c r="H407" s="293"/>
      <c r="I407" s="313"/>
      <c r="J407" s="313"/>
      <c r="K407" s="313"/>
      <c r="L407" s="313"/>
      <c r="M407" s="293"/>
      <c r="N407" s="293"/>
      <c r="O407" s="293"/>
      <c r="P407" s="293"/>
      <c r="Q407" s="293"/>
      <c r="R407" s="293"/>
      <c r="S407" s="293"/>
      <c r="T407" s="293"/>
      <c r="U407" s="293"/>
      <c r="V407" s="293"/>
      <c r="W407" s="293"/>
      <c r="X407" s="293"/>
      <c r="Y407" s="293"/>
      <c r="Z407" s="293"/>
      <c r="AA407" s="293"/>
      <c r="AB407" s="293"/>
      <c r="AC407" s="293"/>
      <c r="AD407" s="293"/>
      <c r="AE407" s="293"/>
      <c r="AF407" s="293"/>
    </row>
    <row r="408" ht="16.5" customHeight="1">
      <c r="A408" s="293"/>
      <c r="B408" s="385"/>
      <c r="C408" s="299"/>
      <c r="D408" s="293"/>
      <c r="E408" s="293"/>
      <c r="F408" s="293"/>
      <c r="G408" s="300"/>
      <c r="H408" s="293"/>
      <c r="I408" s="313"/>
      <c r="J408" s="313"/>
      <c r="K408" s="313"/>
      <c r="L408" s="313"/>
      <c r="M408" s="293"/>
      <c r="N408" s="293"/>
      <c r="O408" s="293"/>
      <c r="P408" s="293"/>
      <c r="Q408" s="293"/>
      <c r="R408" s="293"/>
      <c r="S408" s="293"/>
      <c r="T408" s="293"/>
      <c r="U408" s="293"/>
      <c r="V408" s="293"/>
      <c r="W408" s="293"/>
      <c r="X408" s="293"/>
      <c r="Y408" s="293"/>
      <c r="Z408" s="293"/>
      <c r="AA408" s="293"/>
      <c r="AB408" s="293"/>
      <c r="AC408" s="293"/>
      <c r="AD408" s="293"/>
      <c r="AE408" s="293"/>
      <c r="AF408" s="293"/>
    </row>
    <row r="409" ht="16.5" customHeight="1">
      <c r="A409" s="293"/>
      <c r="B409" s="385"/>
      <c r="C409" s="299"/>
      <c r="D409" s="293"/>
      <c r="E409" s="293"/>
      <c r="F409" s="293"/>
      <c r="G409" s="300"/>
      <c r="H409" s="293"/>
      <c r="I409" s="313"/>
      <c r="J409" s="313"/>
      <c r="K409" s="313"/>
      <c r="L409" s="313"/>
      <c r="M409" s="293"/>
      <c r="N409" s="293"/>
      <c r="O409" s="293"/>
      <c r="P409" s="293"/>
      <c r="Q409" s="293"/>
      <c r="R409" s="293"/>
      <c r="S409" s="293"/>
      <c r="T409" s="293"/>
      <c r="U409" s="293"/>
      <c r="V409" s="293"/>
      <c r="W409" s="293"/>
      <c r="X409" s="293"/>
      <c r="Y409" s="293"/>
      <c r="Z409" s="293"/>
      <c r="AA409" s="293"/>
      <c r="AB409" s="293"/>
      <c r="AC409" s="293"/>
      <c r="AD409" s="293"/>
      <c r="AE409" s="293"/>
      <c r="AF409" s="293"/>
    </row>
    <row r="410" ht="16.5" customHeight="1">
      <c r="A410" s="293"/>
      <c r="B410" s="385"/>
      <c r="C410" s="299"/>
      <c r="D410" s="293"/>
      <c r="E410" s="293"/>
      <c r="F410" s="293"/>
      <c r="G410" s="300"/>
      <c r="H410" s="293"/>
      <c r="I410" s="313"/>
      <c r="J410" s="313"/>
      <c r="K410" s="313"/>
      <c r="L410" s="313"/>
      <c r="M410" s="293"/>
      <c r="N410" s="293"/>
      <c r="O410" s="293"/>
      <c r="P410" s="293"/>
      <c r="Q410" s="293"/>
      <c r="R410" s="293"/>
      <c r="S410" s="293"/>
      <c r="T410" s="293"/>
      <c r="U410" s="293"/>
      <c r="V410" s="293"/>
      <c r="W410" s="293"/>
      <c r="X410" s="293"/>
      <c r="Y410" s="293"/>
      <c r="Z410" s="293"/>
      <c r="AA410" s="293"/>
      <c r="AB410" s="293"/>
      <c r="AC410" s="293"/>
      <c r="AD410" s="293"/>
      <c r="AE410" s="293"/>
      <c r="AF410" s="293"/>
    </row>
    <row r="411" ht="16.5" customHeight="1">
      <c r="A411" s="293"/>
      <c r="B411" s="385"/>
      <c r="C411" s="299"/>
      <c r="D411" s="293"/>
      <c r="E411" s="293"/>
      <c r="F411" s="293"/>
      <c r="G411" s="300"/>
      <c r="H411" s="293"/>
      <c r="I411" s="313"/>
      <c r="J411" s="313"/>
      <c r="K411" s="313"/>
      <c r="L411" s="313"/>
      <c r="M411" s="293"/>
      <c r="N411" s="293"/>
      <c r="O411" s="293"/>
      <c r="P411" s="293"/>
      <c r="Q411" s="293"/>
      <c r="R411" s="293"/>
      <c r="S411" s="293"/>
      <c r="T411" s="293"/>
      <c r="U411" s="293"/>
      <c r="V411" s="293"/>
      <c r="W411" s="293"/>
      <c r="X411" s="293"/>
      <c r="Y411" s="293"/>
      <c r="Z411" s="293"/>
      <c r="AA411" s="293"/>
      <c r="AB411" s="293"/>
      <c r="AC411" s="293"/>
      <c r="AD411" s="293"/>
      <c r="AE411" s="293"/>
      <c r="AF411" s="293"/>
    </row>
    <row r="412" ht="16.5" customHeight="1">
      <c r="A412" s="293"/>
      <c r="B412" s="385"/>
      <c r="C412" s="299"/>
      <c r="D412" s="293"/>
      <c r="E412" s="293"/>
      <c r="F412" s="293"/>
      <c r="G412" s="300"/>
      <c r="H412" s="293"/>
      <c r="I412" s="313"/>
      <c r="J412" s="313"/>
      <c r="K412" s="313"/>
      <c r="L412" s="313"/>
      <c r="M412" s="293"/>
      <c r="N412" s="293"/>
      <c r="O412" s="293"/>
      <c r="P412" s="293"/>
      <c r="Q412" s="293"/>
      <c r="R412" s="293"/>
      <c r="S412" s="293"/>
      <c r="T412" s="293"/>
      <c r="U412" s="293"/>
      <c r="V412" s="293"/>
      <c r="W412" s="293"/>
      <c r="X412" s="293"/>
      <c r="Y412" s="293"/>
      <c r="Z412" s="293"/>
      <c r="AA412" s="293"/>
      <c r="AB412" s="293"/>
      <c r="AC412" s="293"/>
      <c r="AD412" s="293"/>
      <c r="AE412" s="293"/>
      <c r="AF412" s="293"/>
    </row>
    <row r="413" ht="16.5" customHeight="1">
      <c r="A413" s="293"/>
      <c r="B413" s="385"/>
      <c r="C413" s="299"/>
      <c r="D413" s="293"/>
      <c r="E413" s="293"/>
      <c r="F413" s="293"/>
      <c r="G413" s="300"/>
      <c r="H413" s="293"/>
      <c r="I413" s="313"/>
      <c r="J413" s="313"/>
      <c r="K413" s="313"/>
      <c r="L413" s="313"/>
      <c r="M413" s="293"/>
      <c r="N413" s="293"/>
      <c r="O413" s="293"/>
      <c r="P413" s="293"/>
      <c r="Q413" s="293"/>
      <c r="R413" s="293"/>
      <c r="S413" s="293"/>
      <c r="T413" s="293"/>
      <c r="U413" s="293"/>
      <c r="V413" s="293"/>
      <c r="W413" s="293"/>
      <c r="X413" s="293"/>
      <c r="Y413" s="293"/>
      <c r="Z413" s="293"/>
      <c r="AA413" s="293"/>
      <c r="AB413" s="293"/>
      <c r="AC413" s="293"/>
      <c r="AD413" s="293"/>
      <c r="AE413" s="293"/>
      <c r="AF413" s="293"/>
    </row>
    <row r="414" ht="16.5" customHeight="1">
      <c r="A414" s="293"/>
      <c r="B414" s="385"/>
      <c r="C414" s="299"/>
      <c r="D414" s="293"/>
      <c r="E414" s="293"/>
      <c r="F414" s="293"/>
      <c r="G414" s="300"/>
      <c r="H414" s="293"/>
      <c r="I414" s="313"/>
      <c r="J414" s="313"/>
      <c r="K414" s="313"/>
      <c r="L414" s="313"/>
      <c r="M414" s="293"/>
      <c r="N414" s="293"/>
      <c r="O414" s="293"/>
      <c r="P414" s="293"/>
      <c r="Q414" s="293"/>
      <c r="R414" s="293"/>
      <c r="S414" s="293"/>
      <c r="T414" s="293"/>
      <c r="U414" s="293"/>
      <c r="V414" s="293"/>
      <c r="W414" s="293"/>
      <c r="X414" s="293"/>
      <c r="Y414" s="293"/>
      <c r="Z414" s="293"/>
      <c r="AA414" s="293"/>
      <c r="AB414" s="293"/>
      <c r="AC414" s="293"/>
      <c r="AD414" s="293"/>
      <c r="AE414" s="293"/>
      <c r="AF414" s="293"/>
    </row>
    <row r="415" ht="16.5" customHeight="1">
      <c r="A415" s="293"/>
      <c r="B415" s="385"/>
      <c r="C415" s="299"/>
      <c r="D415" s="293"/>
      <c r="E415" s="293"/>
      <c r="F415" s="293"/>
      <c r="G415" s="300"/>
      <c r="H415" s="293"/>
      <c r="I415" s="313"/>
      <c r="J415" s="313"/>
      <c r="K415" s="313"/>
      <c r="L415" s="313"/>
      <c r="M415" s="293"/>
      <c r="N415" s="293"/>
      <c r="O415" s="293"/>
      <c r="P415" s="293"/>
      <c r="Q415" s="293"/>
      <c r="R415" s="293"/>
      <c r="S415" s="293"/>
      <c r="T415" s="293"/>
      <c r="U415" s="293"/>
      <c r="V415" s="293"/>
      <c r="W415" s="293"/>
      <c r="X415" s="293"/>
      <c r="Y415" s="293"/>
      <c r="Z415" s="293"/>
      <c r="AA415" s="293"/>
      <c r="AB415" s="293"/>
      <c r="AC415" s="293"/>
      <c r="AD415" s="293"/>
      <c r="AE415" s="293"/>
      <c r="AF415" s="293"/>
    </row>
    <row r="416" ht="16.5" customHeight="1">
      <c r="A416" s="293"/>
      <c r="B416" s="385"/>
      <c r="C416" s="299"/>
      <c r="D416" s="293"/>
      <c r="E416" s="293"/>
      <c r="F416" s="293"/>
      <c r="G416" s="300"/>
      <c r="H416" s="293"/>
      <c r="I416" s="313"/>
      <c r="J416" s="313"/>
      <c r="K416" s="313"/>
      <c r="L416" s="313"/>
      <c r="M416" s="293"/>
      <c r="N416" s="293"/>
      <c r="O416" s="293"/>
      <c r="P416" s="293"/>
      <c r="Q416" s="293"/>
      <c r="R416" s="293"/>
      <c r="S416" s="293"/>
      <c r="T416" s="293"/>
      <c r="U416" s="293"/>
      <c r="V416" s="293"/>
      <c r="W416" s="293"/>
      <c r="X416" s="293"/>
      <c r="Y416" s="293"/>
      <c r="Z416" s="293"/>
      <c r="AA416" s="293"/>
      <c r="AB416" s="293"/>
      <c r="AC416" s="293"/>
      <c r="AD416" s="293"/>
      <c r="AE416" s="293"/>
      <c r="AF416" s="293"/>
    </row>
    <row r="417" ht="16.5" customHeight="1">
      <c r="A417" s="293"/>
      <c r="B417" s="385"/>
      <c r="C417" s="299"/>
      <c r="D417" s="293"/>
      <c r="E417" s="293"/>
      <c r="F417" s="293"/>
      <c r="G417" s="300"/>
      <c r="H417" s="293"/>
      <c r="I417" s="313"/>
      <c r="J417" s="313"/>
      <c r="K417" s="313"/>
      <c r="L417" s="313"/>
      <c r="M417" s="293"/>
      <c r="N417" s="293"/>
      <c r="O417" s="293"/>
      <c r="P417" s="293"/>
      <c r="Q417" s="293"/>
      <c r="R417" s="293"/>
      <c r="S417" s="293"/>
      <c r="T417" s="293"/>
      <c r="U417" s="293"/>
      <c r="V417" s="293"/>
      <c r="W417" s="293"/>
      <c r="X417" s="293"/>
      <c r="Y417" s="293"/>
      <c r="Z417" s="293"/>
      <c r="AA417" s="293"/>
      <c r="AB417" s="293"/>
      <c r="AC417" s="293"/>
      <c r="AD417" s="293"/>
      <c r="AE417" s="293"/>
      <c r="AF417" s="293"/>
    </row>
    <row r="418" ht="16.5" customHeight="1">
      <c r="A418" s="293"/>
      <c r="B418" s="385"/>
      <c r="C418" s="299"/>
      <c r="D418" s="293"/>
      <c r="E418" s="293"/>
      <c r="F418" s="293"/>
      <c r="G418" s="300"/>
      <c r="H418" s="293"/>
      <c r="I418" s="313"/>
      <c r="J418" s="313"/>
      <c r="K418" s="313"/>
      <c r="L418" s="313"/>
      <c r="M418" s="293"/>
      <c r="N418" s="293"/>
      <c r="O418" s="293"/>
      <c r="P418" s="293"/>
      <c r="Q418" s="293"/>
      <c r="R418" s="293"/>
      <c r="S418" s="293"/>
      <c r="T418" s="293"/>
      <c r="U418" s="293"/>
      <c r="V418" s="293"/>
      <c r="W418" s="293"/>
      <c r="X418" s="293"/>
      <c r="Y418" s="293"/>
      <c r="Z418" s="293"/>
      <c r="AA418" s="293"/>
      <c r="AB418" s="293"/>
      <c r="AC418" s="293"/>
      <c r="AD418" s="293"/>
      <c r="AE418" s="293"/>
      <c r="AF418" s="293"/>
    </row>
    <row r="419" ht="16.5" customHeight="1">
      <c r="A419" s="293"/>
      <c r="B419" s="385"/>
      <c r="C419" s="299"/>
      <c r="D419" s="293"/>
      <c r="E419" s="293"/>
      <c r="F419" s="293"/>
      <c r="G419" s="300"/>
      <c r="H419" s="293"/>
      <c r="I419" s="313"/>
      <c r="J419" s="313"/>
      <c r="K419" s="313"/>
      <c r="L419" s="313"/>
      <c r="M419" s="293"/>
      <c r="N419" s="293"/>
      <c r="O419" s="293"/>
      <c r="P419" s="293"/>
      <c r="Q419" s="293"/>
      <c r="R419" s="293"/>
      <c r="S419" s="293"/>
      <c r="T419" s="293"/>
      <c r="U419" s="293"/>
      <c r="V419" s="293"/>
      <c r="W419" s="293"/>
      <c r="X419" s="293"/>
      <c r="Y419" s="293"/>
      <c r="Z419" s="293"/>
      <c r="AA419" s="293"/>
      <c r="AB419" s="293"/>
      <c r="AC419" s="293"/>
      <c r="AD419" s="293"/>
      <c r="AE419" s="293"/>
      <c r="AF419" s="293"/>
    </row>
    <row r="420" ht="16.5" customHeight="1">
      <c r="A420" s="293"/>
      <c r="B420" s="385"/>
      <c r="C420" s="299"/>
      <c r="D420" s="293"/>
      <c r="E420" s="293"/>
      <c r="F420" s="293"/>
      <c r="G420" s="300"/>
      <c r="H420" s="293"/>
      <c r="I420" s="313"/>
      <c r="J420" s="313"/>
      <c r="K420" s="313"/>
      <c r="L420" s="313"/>
      <c r="M420" s="293"/>
      <c r="N420" s="293"/>
      <c r="O420" s="293"/>
      <c r="P420" s="293"/>
      <c r="Q420" s="293"/>
      <c r="R420" s="293"/>
      <c r="S420" s="293"/>
      <c r="T420" s="293"/>
      <c r="U420" s="293"/>
      <c r="V420" s="293"/>
      <c r="W420" s="293"/>
      <c r="X420" s="293"/>
      <c r="Y420" s="293"/>
      <c r="Z420" s="293"/>
      <c r="AA420" s="293"/>
      <c r="AB420" s="293"/>
      <c r="AC420" s="293"/>
      <c r="AD420" s="293"/>
      <c r="AE420" s="293"/>
      <c r="AF420" s="293"/>
    </row>
    <row r="421" ht="16.5" customHeight="1">
      <c r="A421" s="293"/>
      <c r="B421" s="385"/>
      <c r="C421" s="299"/>
      <c r="D421" s="293"/>
      <c r="E421" s="293"/>
      <c r="F421" s="293"/>
      <c r="G421" s="300"/>
      <c r="H421" s="293"/>
      <c r="I421" s="313"/>
      <c r="J421" s="313"/>
      <c r="K421" s="313"/>
      <c r="L421" s="313"/>
      <c r="M421" s="293"/>
      <c r="N421" s="293"/>
      <c r="O421" s="293"/>
      <c r="P421" s="293"/>
      <c r="Q421" s="293"/>
      <c r="R421" s="293"/>
      <c r="S421" s="293"/>
      <c r="T421" s="293"/>
      <c r="U421" s="293"/>
      <c r="V421" s="293"/>
      <c r="W421" s="293"/>
      <c r="X421" s="293"/>
      <c r="Y421" s="293"/>
      <c r="Z421" s="293"/>
      <c r="AA421" s="293"/>
      <c r="AB421" s="293"/>
      <c r="AC421" s="293"/>
      <c r="AD421" s="293"/>
      <c r="AE421" s="293"/>
      <c r="AF421" s="293"/>
    </row>
    <row r="422" ht="16.5" customHeight="1">
      <c r="A422" s="293"/>
      <c r="B422" s="385"/>
      <c r="C422" s="299"/>
      <c r="D422" s="293"/>
      <c r="E422" s="293"/>
      <c r="F422" s="293"/>
      <c r="G422" s="300"/>
      <c r="H422" s="293"/>
      <c r="I422" s="313"/>
      <c r="J422" s="313"/>
      <c r="K422" s="313"/>
      <c r="L422" s="313"/>
      <c r="M422" s="293"/>
      <c r="N422" s="293"/>
      <c r="O422" s="293"/>
      <c r="P422" s="293"/>
      <c r="Q422" s="293"/>
      <c r="R422" s="293"/>
      <c r="S422" s="293"/>
      <c r="T422" s="293"/>
      <c r="U422" s="293"/>
      <c r="V422" s="293"/>
      <c r="W422" s="293"/>
      <c r="X422" s="293"/>
      <c r="Y422" s="293"/>
      <c r="Z422" s="293"/>
      <c r="AA422" s="293"/>
      <c r="AB422" s="293"/>
      <c r="AC422" s="293"/>
      <c r="AD422" s="293"/>
      <c r="AE422" s="293"/>
      <c r="AF422" s="293"/>
    </row>
    <row r="423" ht="16.5" customHeight="1">
      <c r="A423" s="293"/>
      <c r="B423" s="385"/>
      <c r="C423" s="299"/>
      <c r="D423" s="293"/>
      <c r="E423" s="293"/>
      <c r="F423" s="293"/>
      <c r="G423" s="300"/>
      <c r="H423" s="293"/>
      <c r="I423" s="313"/>
      <c r="J423" s="313"/>
      <c r="K423" s="313"/>
      <c r="L423" s="313"/>
      <c r="M423" s="293"/>
      <c r="N423" s="293"/>
      <c r="O423" s="293"/>
      <c r="P423" s="293"/>
      <c r="Q423" s="293"/>
      <c r="R423" s="293"/>
      <c r="S423" s="293"/>
      <c r="T423" s="293"/>
      <c r="U423" s="293"/>
      <c r="V423" s="293"/>
      <c r="W423" s="293"/>
      <c r="X423" s="293"/>
      <c r="Y423" s="293"/>
      <c r="Z423" s="293"/>
      <c r="AA423" s="293"/>
      <c r="AB423" s="293"/>
      <c r="AC423" s="293"/>
      <c r="AD423" s="293"/>
      <c r="AE423" s="293"/>
      <c r="AF423" s="293"/>
    </row>
    <row r="424" ht="16.5" customHeight="1">
      <c r="A424" s="293"/>
      <c r="B424" s="385"/>
      <c r="C424" s="299"/>
      <c r="D424" s="293"/>
      <c r="E424" s="293"/>
      <c r="F424" s="293"/>
      <c r="G424" s="300"/>
      <c r="H424" s="293"/>
      <c r="I424" s="313"/>
      <c r="J424" s="313"/>
      <c r="K424" s="313"/>
      <c r="L424" s="313"/>
      <c r="M424" s="293"/>
      <c r="N424" s="293"/>
      <c r="O424" s="293"/>
      <c r="P424" s="293"/>
      <c r="Q424" s="293"/>
      <c r="R424" s="293"/>
      <c r="S424" s="293"/>
      <c r="T424" s="293"/>
      <c r="U424" s="293"/>
      <c r="V424" s="293"/>
      <c r="W424" s="293"/>
      <c r="X424" s="293"/>
      <c r="Y424" s="293"/>
      <c r="Z424" s="293"/>
      <c r="AA424" s="293"/>
      <c r="AB424" s="293"/>
      <c r="AC424" s="293"/>
      <c r="AD424" s="293"/>
      <c r="AE424" s="293"/>
      <c r="AF424" s="293"/>
    </row>
    <row r="425" ht="16.5" customHeight="1">
      <c r="A425" s="293"/>
      <c r="B425" s="385"/>
      <c r="C425" s="299"/>
      <c r="D425" s="293"/>
      <c r="E425" s="293"/>
      <c r="F425" s="293"/>
      <c r="G425" s="300"/>
      <c r="H425" s="293"/>
      <c r="I425" s="313"/>
      <c r="J425" s="313"/>
      <c r="K425" s="313"/>
      <c r="L425" s="313"/>
      <c r="M425" s="293"/>
      <c r="N425" s="293"/>
      <c r="O425" s="293"/>
      <c r="P425" s="293"/>
      <c r="Q425" s="293"/>
      <c r="R425" s="293"/>
      <c r="S425" s="293"/>
      <c r="T425" s="293"/>
      <c r="U425" s="293"/>
      <c r="V425" s="293"/>
      <c r="W425" s="293"/>
      <c r="X425" s="293"/>
      <c r="Y425" s="293"/>
      <c r="Z425" s="293"/>
      <c r="AA425" s="293"/>
      <c r="AB425" s="293"/>
      <c r="AC425" s="293"/>
      <c r="AD425" s="293"/>
      <c r="AE425" s="293"/>
      <c r="AF425" s="293"/>
    </row>
    <row r="426" ht="16.5" customHeight="1">
      <c r="A426" s="293"/>
      <c r="B426" s="385"/>
      <c r="C426" s="299"/>
      <c r="D426" s="293"/>
      <c r="E426" s="293"/>
      <c r="F426" s="293"/>
      <c r="G426" s="300"/>
      <c r="H426" s="293"/>
      <c r="I426" s="313"/>
      <c r="J426" s="313"/>
      <c r="K426" s="313"/>
      <c r="L426" s="313"/>
      <c r="M426" s="293"/>
      <c r="N426" s="293"/>
      <c r="O426" s="293"/>
      <c r="P426" s="293"/>
      <c r="Q426" s="293"/>
      <c r="R426" s="293"/>
      <c r="S426" s="293"/>
      <c r="T426" s="293"/>
      <c r="U426" s="293"/>
      <c r="V426" s="293"/>
      <c r="W426" s="293"/>
      <c r="X426" s="293"/>
      <c r="Y426" s="293"/>
      <c r="Z426" s="293"/>
      <c r="AA426" s="293"/>
      <c r="AB426" s="293"/>
      <c r="AC426" s="293"/>
      <c r="AD426" s="293"/>
      <c r="AE426" s="293"/>
      <c r="AF426" s="293"/>
    </row>
    <row r="427" ht="16.5" customHeight="1">
      <c r="A427" s="293"/>
      <c r="B427" s="385"/>
      <c r="C427" s="299"/>
      <c r="D427" s="293"/>
      <c r="E427" s="293"/>
      <c r="F427" s="293"/>
      <c r="G427" s="300"/>
      <c r="H427" s="293"/>
      <c r="I427" s="313"/>
      <c r="J427" s="313"/>
      <c r="K427" s="313"/>
      <c r="L427" s="313"/>
      <c r="M427" s="293"/>
      <c r="N427" s="293"/>
      <c r="O427" s="293"/>
      <c r="P427" s="293"/>
      <c r="Q427" s="293"/>
      <c r="R427" s="293"/>
      <c r="S427" s="293"/>
      <c r="T427" s="293"/>
      <c r="U427" s="293"/>
      <c r="V427" s="293"/>
      <c r="W427" s="293"/>
      <c r="X427" s="293"/>
      <c r="Y427" s="293"/>
      <c r="Z427" s="293"/>
      <c r="AA427" s="293"/>
      <c r="AB427" s="293"/>
      <c r="AC427" s="293"/>
      <c r="AD427" s="293"/>
      <c r="AE427" s="293"/>
      <c r="AF427" s="293"/>
    </row>
    <row r="428" ht="16.5" customHeight="1">
      <c r="A428" s="293"/>
      <c r="B428" s="385"/>
      <c r="C428" s="299"/>
      <c r="D428" s="293"/>
      <c r="E428" s="293"/>
      <c r="F428" s="293"/>
      <c r="G428" s="300"/>
      <c r="H428" s="293"/>
      <c r="I428" s="313"/>
      <c r="J428" s="313"/>
      <c r="K428" s="313"/>
      <c r="L428" s="313"/>
      <c r="M428" s="293"/>
      <c r="N428" s="293"/>
      <c r="O428" s="293"/>
      <c r="P428" s="293"/>
      <c r="Q428" s="293"/>
      <c r="R428" s="293"/>
      <c r="S428" s="293"/>
      <c r="T428" s="293"/>
      <c r="U428" s="293"/>
      <c r="V428" s="293"/>
      <c r="W428" s="293"/>
      <c r="X428" s="293"/>
      <c r="Y428" s="293"/>
      <c r="Z428" s="293"/>
      <c r="AA428" s="293"/>
      <c r="AB428" s="293"/>
      <c r="AC428" s="293"/>
      <c r="AD428" s="293"/>
      <c r="AE428" s="293"/>
      <c r="AF428" s="293"/>
    </row>
    <row r="429" ht="16.5" customHeight="1">
      <c r="A429" s="293"/>
      <c r="B429" s="385"/>
      <c r="C429" s="299"/>
      <c r="D429" s="293"/>
      <c r="E429" s="293"/>
      <c r="F429" s="293"/>
      <c r="G429" s="300"/>
      <c r="H429" s="293"/>
      <c r="I429" s="313"/>
      <c r="J429" s="313"/>
      <c r="K429" s="313"/>
      <c r="L429" s="313"/>
      <c r="M429" s="293"/>
      <c r="N429" s="293"/>
      <c r="O429" s="293"/>
      <c r="P429" s="293"/>
      <c r="Q429" s="293"/>
      <c r="R429" s="293"/>
      <c r="S429" s="293"/>
      <c r="T429" s="293"/>
      <c r="U429" s="293"/>
      <c r="V429" s="293"/>
      <c r="W429" s="293"/>
      <c r="X429" s="293"/>
      <c r="Y429" s="293"/>
      <c r="Z429" s="293"/>
      <c r="AA429" s="293"/>
      <c r="AB429" s="293"/>
      <c r="AC429" s="293"/>
      <c r="AD429" s="293"/>
      <c r="AE429" s="293"/>
      <c r="AF429" s="293"/>
    </row>
    <row r="430" ht="16.5" customHeight="1">
      <c r="A430" s="293"/>
      <c r="B430" s="385"/>
      <c r="C430" s="299"/>
      <c r="D430" s="293"/>
      <c r="E430" s="293"/>
      <c r="F430" s="293"/>
      <c r="G430" s="300"/>
      <c r="H430" s="293"/>
      <c r="I430" s="313"/>
      <c r="J430" s="313"/>
      <c r="K430" s="313"/>
      <c r="L430" s="313"/>
      <c r="M430" s="293"/>
      <c r="N430" s="293"/>
      <c r="O430" s="293"/>
      <c r="P430" s="293"/>
      <c r="Q430" s="293"/>
      <c r="R430" s="293"/>
      <c r="S430" s="293"/>
      <c r="T430" s="293"/>
      <c r="U430" s="293"/>
      <c r="V430" s="293"/>
      <c r="W430" s="293"/>
      <c r="X430" s="293"/>
      <c r="Y430" s="293"/>
      <c r="Z430" s="293"/>
      <c r="AA430" s="293"/>
      <c r="AB430" s="293"/>
      <c r="AC430" s="293"/>
      <c r="AD430" s="293"/>
      <c r="AE430" s="293"/>
      <c r="AF430" s="293"/>
    </row>
    <row r="431" ht="16.5" customHeight="1">
      <c r="A431" s="293"/>
      <c r="B431" s="385"/>
      <c r="C431" s="299"/>
      <c r="D431" s="293"/>
      <c r="E431" s="293"/>
      <c r="F431" s="293"/>
      <c r="G431" s="300"/>
      <c r="H431" s="293"/>
      <c r="I431" s="313"/>
      <c r="J431" s="313"/>
      <c r="K431" s="313"/>
      <c r="L431" s="313"/>
      <c r="M431" s="293"/>
      <c r="N431" s="293"/>
      <c r="O431" s="293"/>
      <c r="P431" s="293"/>
      <c r="Q431" s="293"/>
      <c r="R431" s="293"/>
      <c r="S431" s="293"/>
      <c r="T431" s="293"/>
      <c r="U431" s="293"/>
      <c r="V431" s="293"/>
      <c r="W431" s="293"/>
      <c r="X431" s="293"/>
      <c r="Y431" s="293"/>
      <c r="Z431" s="293"/>
      <c r="AA431" s="293"/>
      <c r="AB431" s="293"/>
      <c r="AC431" s="293"/>
      <c r="AD431" s="293"/>
      <c r="AE431" s="293"/>
      <c r="AF431" s="293"/>
    </row>
    <row r="432" ht="16.5" customHeight="1">
      <c r="A432" s="293"/>
      <c r="B432" s="385"/>
      <c r="C432" s="299"/>
      <c r="D432" s="293"/>
      <c r="E432" s="293"/>
      <c r="F432" s="293"/>
      <c r="G432" s="300"/>
      <c r="H432" s="293"/>
      <c r="I432" s="313"/>
      <c r="J432" s="313"/>
      <c r="K432" s="313"/>
      <c r="L432" s="313"/>
      <c r="M432" s="293"/>
      <c r="N432" s="293"/>
      <c r="O432" s="293"/>
      <c r="P432" s="293"/>
      <c r="Q432" s="293"/>
      <c r="R432" s="293"/>
      <c r="S432" s="293"/>
      <c r="T432" s="293"/>
      <c r="U432" s="293"/>
      <c r="V432" s="293"/>
      <c r="W432" s="293"/>
      <c r="X432" s="293"/>
      <c r="Y432" s="293"/>
      <c r="Z432" s="293"/>
      <c r="AA432" s="293"/>
      <c r="AB432" s="293"/>
      <c r="AC432" s="293"/>
      <c r="AD432" s="293"/>
      <c r="AE432" s="293"/>
      <c r="AF432" s="293"/>
    </row>
    <row r="433" ht="16.5" customHeight="1">
      <c r="A433" s="293"/>
      <c r="B433" s="385"/>
      <c r="C433" s="299"/>
      <c r="D433" s="293"/>
      <c r="E433" s="293"/>
      <c r="F433" s="293"/>
      <c r="G433" s="300"/>
      <c r="H433" s="293"/>
      <c r="I433" s="313"/>
      <c r="J433" s="313"/>
      <c r="K433" s="313"/>
      <c r="L433" s="313"/>
      <c r="M433" s="293"/>
      <c r="N433" s="293"/>
      <c r="O433" s="293"/>
      <c r="P433" s="293"/>
      <c r="Q433" s="293"/>
      <c r="R433" s="293"/>
      <c r="S433" s="293"/>
      <c r="T433" s="293"/>
      <c r="U433" s="293"/>
      <c r="V433" s="293"/>
      <c r="W433" s="293"/>
      <c r="X433" s="293"/>
      <c r="Y433" s="293"/>
      <c r="Z433" s="293"/>
      <c r="AA433" s="293"/>
      <c r="AB433" s="293"/>
      <c r="AC433" s="293"/>
      <c r="AD433" s="293"/>
      <c r="AE433" s="293"/>
      <c r="AF433" s="293"/>
    </row>
    <row r="434" ht="16.5" customHeight="1">
      <c r="A434" s="293"/>
      <c r="B434" s="385"/>
      <c r="C434" s="299"/>
      <c r="D434" s="293"/>
      <c r="E434" s="293"/>
      <c r="F434" s="293"/>
      <c r="G434" s="300"/>
      <c r="H434" s="293"/>
      <c r="I434" s="313"/>
      <c r="J434" s="313"/>
      <c r="K434" s="313"/>
      <c r="L434" s="313"/>
      <c r="M434" s="293"/>
      <c r="N434" s="293"/>
      <c r="O434" s="293"/>
      <c r="P434" s="293"/>
      <c r="Q434" s="293"/>
      <c r="R434" s="293"/>
      <c r="S434" s="293"/>
      <c r="T434" s="293"/>
      <c r="U434" s="293"/>
      <c r="V434" s="293"/>
      <c r="W434" s="293"/>
      <c r="X434" s="293"/>
      <c r="Y434" s="293"/>
      <c r="Z434" s="293"/>
      <c r="AA434" s="293"/>
      <c r="AB434" s="293"/>
      <c r="AC434" s="293"/>
      <c r="AD434" s="293"/>
      <c r="AE434" s="293"/>
      <c r="AF434" s="293"/>
    </row>
    <row r="435" ht="16.5" customHeight="1">
      <c r="A435" s="293"/>
      <c r="B435" s="385"/>
      <c r="C435" s="299"/>
      <c r="D435" s="293"/>
      <c r="E435" s="293"/>
      <c r="F435" s="293"/>
      <c r="G435" s="300"/>
      <c r="H435" s="293"/>
      <c r="I435" s="313"/>
      <c r="J435" s="313"/>
      <c r="K435" s="313"/>
      <c r="L435" s="313"/>
      <c r="M435" s="293"/>
      <c r="N435" s="293"/>
      <c r="O435" s="293"/>
      <c r="P435" s="293"/>
      <c r="Q435" s="293"/>
      <c r="R435" s="293"/>
      <c r="S435" s="293"/>
      <c r="T435" s="293"/>
      <c r="U435" s="293"/>
      <c r="V435" s="293"/>
      <c r="W435" s="293"/>
      <c r="X435" s="293"/>
      <c r="Y435" s="293"/>
      <c r="Z435" s="293"/>
      <c r="AA435" s="293"/>
      <c r="AB435" s="293"/>
      <c r="AC435" s="293"/>
      <c r="AD435" s="293"/>
      <c r="AE435" s="293"/>
      <c r="AF435" s="293"/>
    </row>
    <row r="436" ht="16.5" customHeight="1">
      <c r="A436" s="293"/>
      <c r="B436" s="385"/>
      <c r="C436" s="299"/>
      <c r="D436" s="293"/>
      <c r="E436" s="293"/>
      <c r="F436" s="293"/>
      <c r="G436" s="300"/>
      <c r="H436" s="293"/>
      <c r="I436" s="313"/>
      <c r="J436" s="313"/>
      <c r="K436" s="313"/>
      <c r="L436" s="313"/>
      <c r="M436" s="293"/>
      <c r="N436" s="293"/>
      <c r="O436" s="293"/>
      <c r="P436" s="293"/>
      <c r="Q436" s="293"/>
      <c r="R436" s="293"/>
      <c r="S436" s="293"/>
      <c r="T436" s="293"/>
      <c r="U436" s="293"/>
      <c r="V436" s="293"/>
      <c r="W436" s="293"/>
      <c r="X436" s="293"/>
      <c r="Y436" s="293"/>
      <c r="Z436" s="293"/>
      <c r="AA436" s="293"/>
      <c r="AB436" s="293"/>
      <c r="AC436" s="293"/>
      <c r="AD436" s="293"/>
      <c r="AE436" s="293"/>
      <c r="AF436" s="293"/>
    </row>
    <row r="437" ht="16.5" customHeight="1">
      <c r="A437" s="293"/>
      <c r="B437" s="385"/>
      <c r="C437" s="299"/>
      <c r="D437" s="293"/>
      <c r="E437" s="293"/>
      <c r="F437" s="293"/>
      <c r="G437" s="300"/>
      <c r="H437" s="293"/>
      <c r="I437" s="313"/>
      <c r="J437" s="313"/>
      <c r="K437" s="313"/>
      <c r="L437" s="313"/>
      <c r="M437" s="293"/>
      <c r="N437" s="293"/>
      <c r="O437" s="293"/>
      <c r="P437" s="293"/>
      <c r="Q437" s="293"/>
      <c r="R437" s="293"/>
      <c r="S437" s="293"/>
      <c r="T437" s="293"/>
      <c r="U437" s="293"/>
      <c r="V437" s="293"/>
      <c r="W437" s="293"/>
      <c r="X437" s="293"/>
      <c r="Y437" s="293"/>
      <c r="Z437" s="293"/>
      <c r="AA437" s="293"/>
      <c r="AB437" s="293"/>
      <c r="AC437" s="293"/>
      <c r="AD437" s="293"/>
      <c r="AE437" s="293"/>
      <c r="AF437" s="293"/>
    </row>
    <row r="438" ht="16.5" customHeight="1">
      <c r="A438" s="293"/>
      <c r="B438" s="385"/>
      <c r="C438" s="299"/>
      <c r="D438" s="293"/>
      <c r="E438" s="293"/>
      <c r="F438" s="293"/>
      <c r="G438" s="300"/>
      <c r="H438" s="293"/>
      <c r="I438" s="313"/>
      <c r="J438" s="313"/>
      <c r="K438" s="313"/>
      <c r="L438" s="313"/>
      <c r="M438" s="293"/>
      <c r="N438" s="293"/>
      <c r="O438" s="293"/>
      <c r="P438" s="293"/>
      <c r="Q438" s="293"/>
      <c r="R438" s="293"/>
      <c r="S438" s="293"/>
      <c r="T438" s="293"/>
      <c r="U438" s="293"/>
      <c r="V438" s="293"/>
      <c r="W438" s="293"/>
      <c r="X438" s="293"/>
      <c r="Y438" s="293"/>
      <c r="Z438" s="293"/>
      <c r="AA438" s="293"/>
      <c r="AB438" s="293"/>
      <c r="AC438" s="293"/>
      <c r="AD438" s="293"/>
      <c r="AE438" s="293"/>
      <c r="AF438" s="293"/>
    </row>
    <row r="439" ht="16.5" customHeight="1">
      <c r="A439" s="293"/>
      <c r="B439" s="385"/>
      <c r="C439" s="299"/>
      <c r="D439" s="293"/>
      <c r="E439" s="293"/>
      <c r="F439" s="293"/>
      <c r="G439" s="300"/>
      <c r="H439" s="293"/>
      <c r="I439" s="313"/>
      <c r="J439" s="313"/>
      <c r="K439" s="313"/>
      <c r="L439" s="313"/>
      <c r="M439" s="293"/>
      <c r="N439" s="293"/>
      <c r="O439" s="293"/>
      <c r="P439" s="293"/>
      <c r="Q439" s="293"/>
      <c r="R439" s="293"/>
      <c r="S439" s="293"/>
      <c r="T439" s="293"/>
      <c r="U439" s="293"/>
      <c r="V439" s="293"/>
      <c r="W439" s="293"/>
      <c r="X439" s="293"/>
      <c r="Y439" s="293"/>
      <c r="Z439" s="293"/>
      <c r="AA439" s="293"/>
      <c r="AB439" s="293"/>
      <c r="AC439" s="293"/>
      <c r="AD439" s="293"/>
      <c r="AE439" s="293"/>
      <c r="AF439" s="293"/>
    </row>
    <row r="440" ht="16.5" customHeight="1">
      <c r="A440" s="293"/>
      <c r="B440" s="385"/>
      <c r="C440" s="299"/>
      <c r="D440" s="293"/>
      <c r="E440" s="293"/>
      <c r="F440" s="293"/>
      <c r="G440" s="300"/>
      <c r="H440" s="293"/>
      <c r="I440" s="313"/>
      <c r="J440" s="313"/>
      <c r="K440" s="313"/>
      <c r="L440" s="313"/>
      <c r="M440" s="293"/>
      <c r="N440" s="293"/>
      <c r="O440" s="293"/>
      <c r="P440" s="293"/>
      <c r="Q440" s="293"/>
      <c r="R440" s="293"/>
      <c r="S440" s="293"/>
      <c r="T440" s="293"/>
      <c r="U440" s="293"/>
      <c r="V440" s="293"/>
      <c r="W440" s="293"/>
      <c r="X440" s="293"/>
      <c r="Y440" s="293"/>
      <c r="Z440" s="293"/>
      <c r="AA440" s="293"/>
      <c r="AB440" s="293"/>
      <c r="AC440" s="293"/>
      <c r="AD440" s="293"/>
      <c r="AE440" s="293"/>
      <c r="AF440" s="293"/>
    </row>
    <row r="441" ht="16.5" customHeight="1">
      <c r="A441" s="293"/>
      <c r="B441" s="385"/>
      <c r="C441" s="299"/>
      <c r="D441" s="293"/>
      <c r="E441" s="293"/>
      <c r="F441" s="293"/>
      <c r="G441" s="300"/>
      <c r="H441" s="293"/>
      <c r="I441" s="313"/>
      <c r="J441" s="313"/>
      <c r="K441" s="313"/>
      <c r="L441" s="313"/>
      <c r="M441" s="293"/>
      <c r="N441" s="293"/>
      <c r="O441" s="293"/>
      <c r="P441" s="293"/>
      <c r="Q441" s="293"/>
      <c r="R441" s="293"/>
      <c r="S441" s="293"/>
      <c r="T441" s="293"/>
      <c r="U441" s="293"/>
      <c r="V441" s="293"/>
      <c r="W441" s="293"/>
      <c r="X441" s="293"/>
      <c r="Y441" s="293"/>
      <c r="Z441" s="293"/>
      <c r="AA441" s="293"/>
      <c r="AB441" s="293"/>
      <c r="AC441" s="293"/>
      <c r="AD441" s="293"/>
      <c r="AE441" s="293"/>
      <c r="AF441" s="293"/>
    </row>
    <row r="442" ht="16.5" customHeight="1">
      <c r="A442" s="293"/>
      <c r="B442" s="385"/>
      <c r="C442" s="299"/>
      <c r="D442" s="293"/>
      <c r="E442" s="293"/>
      <c r="F442" s="293"/>
      <c r="G442" s="300"/>
      <c r="H442" s="293"/>
      <c r="I442" s="313"/>
      <c r="J442" s="313"/>
      <c r="K442" s="313"/>
      <c r="L442" s="313"/>
      <c r="M442" s="293"/>
      <c r="N442" s="293"/>
      <c r="O442" s="293"/>
      <c r="P442" s="293"/>
      <c r="Q442" s="293"/>
      <c r="R442" s="293"/>
      <c r="S442" s="293"/>
      <c r="T442" s="293"/>
      <c r="U442" s="293"/>
      <c r="V442" s="293"/>
      <c r="W442" s="293"/>
      <c r="X442" s="293"/>
      <c r="Y442" s="293"/>
      <c r="Z442" s="293"/>
      <c r="AA442" s="293"/>
      <c r="AB442" s="293"/>
      <c r="AC442" s="293"/>
      <c r="AD442" s="293"/>
      <c r="AE442" s="293"/>
      <c r="AF442" s="293"/>
    </row>
    <row r="443" ht="16.5" customHeight="1">
      <c r="A443" s="293"/>
      <c r="B443" s="385"/>
      <c r="C443" s="299"/>
      <c r="D443" s="293"/>
      <c r="E443" s="293"/>
      <c r="F443" s="293"/>
      <c r="G443" s="300"/>
      <c r="H443" s="293"/>
      <c r="I443" s="313"/>
      <c r="J443" s="313"/>
      <c r="K443" s="313"/>
      <c r="L443" s="313"/>
      <c r="M443" s="293"/>
      <c r="N443" s="293"/>
      <c r="O443" s="293"/>
      <c r="P443" s="293"/>
      <c r="Q443" s="293"/>
      <c r="R443" s="293"/>
      <c r="S443" s="293"/>
      <c r="T443" s="293"/>
      <c r="U443" s="293"/>
      <c r="V443" s="293"/>
      <c r="W443" s="293"/>
      <c r="X443" s="293"/>
      <c r="Y443" s="293"/>
      <c r="Z443" s="293"/>
      <c r="AA443" s="293"/>
      <c r="AB443" s="293"/>
      <c r="AC443" s="293"/>
      <c r="AD443" s="293"/>
      <c r="AE443" s="293"/>
      <c r="AF443" s="293"/>
    </row>
    <row r="444" ht="16.5" customHeight="1">
      <c r="A444" s="293"/>
      <c r="B444" s="385"/>
      <c r="C444" s="299"/>
      <c r="D444" s="293"/>
      <c r="E444" s="293"/>
      <c r="F444" s="293"/>
      <c r="G444" s="300"/>
      <c r="H444" s="293"/>
      <c r="I444" s="313"/>
      <c r="J444" s="313"/>
      <c r="K444" s="313"/>
      <c r="L444" s="313"/>
      <c r="M444" s="293"/>
      <c r="N444" s="293"/>
      <c r="O444" s="293"/>
      <c r="P444" s="293"/>
      <c r="Q444" s="293"/>
      <c r="R444" s="293"/>
      <c r="S444" s="293"/>
      <c r="T444" s="293"/>
      <c r="U444" s="293"/>
      <c r="V444" s="293"/>
      <c r="W444" s="293"/>
      <c r="X444" s="293"/>
      <c r="Y444" s="293"/>
      <c r="Z444" s="293"/>
      <c r="AA444" s="293"/>
      <c r="AB444" s="293"/>
      <c r="AC444" s="293"/>
      <c r="AD444" s="293"/>
      <c r="AE444" s="293"/>
      <c r="AF444" s="293"/>
    </row>
    <row r="445" ht="16.5" customHeight="1">
      <c r="A445" s="293"/>
      <c r="B445" s="385"/>
      <c r="C445" s="299"/>
      <c r="D445" s="293"/>
      <c r="E445" s="293"/>
      <c r="F445" s="293"/>
      <c r="G445" s="300"/>
      <c r="H445" s="293"/>
      <c r="I445" s="313"/>
      <c r="J445" s="313"/>
      <c r="K445" s="313"/>
      <c r="L445" s="313"/>
      <c r="M445" s="293"/>
      <c r="N445" s="293"/>
      <c r="O445" s="293"/>
      <c r="P445" s="293"/>
      <c r="Q445" s="293"/>
      <c r="R445" s="293"/>
      <c r="S445" s="293"/>
      <c r="T445" s="293"/>
      <c r="U445" s="293"/>
      <c r="V445" s="293"/>
      <c r="W445" s="293"/>
      <c r="X445" s="293"/>
      <c r="Y445" s="293"/>
      <c r="Z445" s="293"/>
      <c r="AA445" s="293"/>
      <c r="AB445" s="293"/>
      <c r="AC445" s="293"/>
      <c r="AD445" s="293"/>
      <c r="AE445" s="293"/>
      <c r="AF445" s="293"/>
    </row>
    <row r="446" ht="16.5" customHeight="1">
      <c r="A446" s="293"/>
      <c r="B446" s="385"/>
      <c r="C446" s="299"/>
      <c r="D446" s="293"/>
      <c r="E446" s="293"/>
      <c r="F446" s="293"/>
      <c r="G446" s="300"/>
      <c r="H446" s="293"/>
      <c r="I446" s="313"/>
      <c r="J446" s="313"/>
      <c r="K446" s="313"/>
      <c r="L446" s="313"/>
      <c r="M446" s="293"/>
      <c r="N446" s="293"/>
      <c r="O446" s="293"/>
      <c r="P446" s="293"/>
      <c r="Q446" s="293"/>
      <c r="R446" s="293"/>
      <c r="S446" s="293"/>
      <c r="T446" s="293"/>
      <c r="U446" s="293"/>
      <c r="V446" s="293"/>
      <c r="W446" s="293"/>
      <c r="X446" s="293"/>
      <c r="Y446" s="293"/>
      <c r="Z446" s="293"/>
      <c r="AA446" s="293"/>
      <c r="AB446" s="293"/>
      <c r="AC446" s="293"/>
      <c r="AD446" s="293"/>
      <c r="AE446" s="293"/>
      <c r="AF446" s="293"/>
    </row>
    <row r="447" ht="16.5" customHeight="1">
      <c r="A447" s="293"/>
      <c r="B447" s="385"/>
      <c r="C447" s="299"/>
      <c r="D447" s="293"/>
      <c r="E447" s="293"/>
      <c r="F447" s="293"/>
      <c r="G447" s="300"/>
      <c r="H447" s="293"/>
      <c r="I447" s="313"/>
      <c r="J447" s="313"/>
      <c r="K447" s="313"/>
      <c r="L447" s="313"/>
      <c r="M447" s="293"/>
      <c r="N447" s="293"/>
      <c r="O447" s="293"/>
      <c r="P447" s="293"/>
      <c r="Q447" s="293"/>
      <c r="R447" s="293"/>
      <c r="S447" s="293"/>
      <c r="T447" s="293"/>
      <c r="U447" s="293"/>
      <c r="V447" s="293"/>
      <c r="W447" s="293"/>
      <c r="X447" s="293"/>
      <c r="Y447" s="293"/>
      <c r="Z447" s="293"/>
      <c r="AA447" s="293"/>
      <c r="AB447" s="293"/>
      <c r="AC447" s="293"/>
      <c r="AD447" s="293"/>
      <c r="AE447" s="293"/>
      <c r="AF447" s="293"/>
    </row>
    <row r="448" ht="16.5" customHeight="1">
      <c r="A448" s="293"/>
      <c r="B448" s="385"/>
      <c r="C448" s="299"/>
      <c r="D448" s="293"/>
      <c r="E448" s="293"/>
      <c r="F448" s="293"/>
      <c r="G448" s="300"/>
      <c r="H448" s="293"/>
      <c r="I448" s="313"/>
      <c r="J448" s="313"/>
      <c r="K448" s="313"/>
      <c r="L448" s="313"/>
      <c r="M448" s="293"/>
      <c r="N448" s="293"/>
      <c r="O448" s="293"/>
      <c r="P448" s="293"/>
      <c r="Q448" s="293"/>
      <c r="R448" s="293"/>
      <c r="S448" s="293"/>
      <c r="T448" s="293"/>
      <c r="U448" s="293"/>
      <c r="V448" s="293"/>
      <c r="W448" s="293"/>
      <c r="X448" s="293"/>
      <c r="Y448" s="293"/>
      <c r="Z448" s="293"/>
      <c r="AA448" s="293"/>
      <c r="AB448" s="293"/>
      <c r="AC448" s="293"/>
      <c r="AD448" s="293"/>
      <c r="AE448" s="293"/>
      <c r="AF448" s="293"/>
    </row>
    <row r="449" ht="16.5" customHeight="1">
      <c r="A449" s="293"/>
      <c r="B449" s="385"/>
      <c r="C449" s="299"/>
      <c r="D449" s="293"/>
      <c r="E449" s="293"/>
      <c r="F449" s="293"/>
      <c r="G449" s="300"/>
      <c r="H449" s="293"/>
      <c r="I449" s="313"/>
      <c r="J449" s="313"/>
      <c r="K449" s="313"/>
      <c r="L449" s="313"/>
      <c r="M449" s="293"/>
      <c r="N449" s="293"/>
      <c r="O449" s="293"/>
      <c r="P449" s="293"/>
      <c r="Q449" s="293"/>
      <c r="R449" s="293"/>
      <c r="S449" s="293"/>
      <c r="T449" s="293"/>
      <c r="U449" s="293"/>
      <c r="V449" s="293"/>
      <c r="W449" s="293"/>
      <c r="X449" s="293"/>
      <c r="Y449" s="293"/>
      <c r="Z449" s="293"/>
      <c r="AA449" s="293"/>
      <c r="AB449" s="293"/>
      <c r="AC449" s="293"/>
      <c r="AD449" s="293"/>
      <c r="AE449" s="293"/>
      <c r="AF449" s="293"/>
    </row>
    <row r="450" ht="16.5" customHeight="1">
      <c r="A450" s="293"/>
      <c r="B450" s="385"/>
      <c r="C450" s="299"/>
      <c r="D450" s="293"/>
      <c r="E450" s="293"/>
      <c r="F450" s="293"/>
      <c r="G450" s="300"/>
      <c r="H450" s="293"/>
      <c r="I450" s="313"/>
      <c r="J450" s="313"/>
      <c r="K450" s="313"/>
      <c r="L450" s="313"/>
      <c r="M450" s="293"/>
      <c r="N450" s="293"/>
      <c r="O450" s="293"/>
      <c r="P450" s="293"/>
      <c r="Q450" s="293"/>
      <c r="R450" s="293"/>
      <c r="S450" s="293"/>
      <c r="T450" s="293"/>
      <c r="U450" s="293"/>
      <c r="V450" s="293"/>
      <c r="W450" s="293"/>
      <c r="X450" s="293"/>
      <c r="Y450" s="293"/>
      <c r="Z450" s="293"/>
      <c r="AA450" s="293"/>
      <c r="AB450" s="293"/>
      <c r="AC450" s="293"/>
      <c r="AD450" s="293"/>
      <c r="AE450" s="293"/>
      <c r="AF450" s="293"/>
    </row>
    <row r="451" ht="16.5" customHeight="1">
      <c r="A451" s="293"/>
      <c r="B451" s="385"/>
      <c r="C451" s="299"/>
      <c r="D451" s="293"/>
      <c r="E451" s="293"/>
      <c r="F451" s="293"/>
      <c r="G451" s="300"/>
      <c r="H451" s="293"/>
      <c r="I451" s="313"/>
      <c r="J451" s="313"/>
      <c r="K451" s="313"/>
      <c r="L451" s="313"/>
      <c r="M451" s="293"/>
      <c r="N451" s="293"/>
      <c r="O451" s="293"/>
      <c r="P451" s="293"/>
      <c r="Q451" s="293"/>
      <c r="R451" s="293"/>
      <c r="S451" s="293"/>
      <c r="T451" s="293"/>
      <c r="U451" s="293"/>
      <c r="V451" s="293"/>
      <c r="W451" s="293"/>
      <c r="X451" s="293"/>
      <c r="Y451" s="293"/>
      <c r="Z451" s="293"/>
      <c r="AA451" s="293"/>
      <c r="AB451" s="293"/>
      <c r="AC451" s="293"/>
      <c r="AD451" s="293"/>
      <c r="AE451" s="293"/>
      <c r="AF451" s="293"/>
    </row>
    <row r="452" ht="16.5" customHeight="1">
      <c r="A452" s="293"/>
      <c r="B452" s="385"/>
      <c r="C452" s="299"/>
      <c r="D452" s="293"/>
      <c r="E452" s="293"/>
      <c r="F452" s="293"/>
      <c r="G452" s="300"/>
      <c r="H452" s="293"/>
      <c r="I452" s="313"/>
      <c r="J452" s="313"/>
      <c r="K452" s="313"/>
      <c r="L452" s="313"/>
      <c r="M452" s="293"/>
      <c r="N452" s="293"/>
      <c r="O452" s="293"/>
      <c r="P452" s="293"/>
      <c r="Q452" s="293"/>
      <c r="R452" s="293"/>
      <c r="S452" s="293"/>
      <c r="T452" s="293"/>
      <c r="U452" s="293"/>
      <c r="V452" s="293"/>
      <c r="W452" s="293"/>
      <c r="X452" s="293"/>
      <c r="Y452" s="293"/>
      <c r="Z452" s="293"/>
      <c r="AA452" s="293"/>
      <c r="AB452" s="293"/>
      <c r="AC452" s="293"/>
      <c r="AD452" s="293"/>
      <c r="AE452" s="293"/>
      <c r="AF452" s="293"/>
    </row>
    <row r="453" ht="16.5" customHeight="1">
      <c r="A453" s="293"/>
      <c r="B453" s="385"/>
      <c r="C453" s="299"/>
      <c r="D453" s="293"/>
      <c r="E453" s="293"/>
      <c r="F453" s="293"/>
      <c r="G453" s="300"/>
      <c r="H453" s="293"/>
      <c r="I453" s="313"/>
      <c r="J453" s="313"/>
      <c r="K453" s="313"/>
      <c r="L453" s="313"/>
      <c r="M453" s="293"/>
      <c r="N453" s="293"/>
      <c r="O453" s="293"/>
      <c r="P453" s="293"/>
      <c r="Q453" s="293"/>
      <c r="R453" s="293"/>
      <c r="S453" s="293"/>
      <c r="T453" s="293"/>
      <c r="U453" s="293"/>
      <c r="V453" s="293"/>
      <c r="W453" s="293"/>
      <c r="X453" s="293"/>
      <c r="Y453" s="293"/>
      <c r="Z453" s="293"/>
      <c r="AA453" s="293"/>
      <c r="AB453" s="293"/>
      <c r="AC453" s="293"/>
      <c r="AD453" s="293"/>
      <c r="AE453" s="293"/>
      <c r="AF453" s="293"/>
    </row>
    <row r="454" ht="16.5" customHeight="1">
      <c r="A454" s="293"/>
      <c r="B454" s="385"/>
      <c r="C454" s="299"/>
      <c r="D454" s="293"/>
      <c r="E454" s="293"/>
      <c r="F454" s="293"/>
      <c r="G454" s="300"/>
      <c r="H454" s="293"/>
      <c r="I454" s="313"/>
      <c r="J454" s="313"/>
      <c r="K454" s="313"/>
      <c r="L454" s="313"/>
      <c r="M454" s="293"/>
      <c r="N454" s="293"/>
      <c r="O454" s="293"/>
      <c r="P454" s="293"/>
      <c r="Q454" s="293"/>
      <c r="R454" s="293"/>
      <c r="S454" s="293"/>
      <c r="T454" s="293"/>
      <c r="U454" s="293"/>
      <c r="V454" s="293"/>
      <c r="W454" s="293"/>
      <c r="X454" s="293"/>
      <c r="Y454" s="293"/>
      <c r="Z454" s="293"/>
      <c r="AA454" s="293"/>
      <c r="AB454" s="293"/>
      <c r="AC454" s="293"/>
      <c r="AD454" s="293"/>
      <c r="AE454" s="293"/>
      <c r="AF454" s="293"/>
    </row>
    <row r="455" ht="16.5" customHeight="1">
      <c r="A455" s="293"/>
      <c r="B455" s="385"/>
      <c r="C455" s="299"/>
      <c r="D455" s="293"/>
      <c r="E455" s="293"/>
      <c r="F455" s="293"/>
      <c r="G455" s="300"/>
      <c r="H455" s="293"/>
      <c r="I455" s="313"/>
      <c r="J455" s="313"/>
      <c r="K455" s="313"/>
      <c r="L455" s="313"/>
      <c r="M455" s="293"/>
      <c r="N455" s="293"/>
      <c r="O455" s="293"/>
      <c r="P455" s="293"/>
      <c r="Q455" s="293"/>
      <c r="R455" s="293"/>
      <c r="S455" s="293"/>
      <c r="T455" s="293"/>
      <c r="U455" s="293"/>
      <c r="V455" s="293"/>
      <c r="W455" s="293"/>
      <c r="X455" s="293"/>
      <c r="Y455" s="293"/>
      <c r="Z455" s="293"/>
      <c r="AA455" s="293"/>
      <c r="AB455" s="293"/>
      <c r="AC455" s="293"/>
      <c r="AD455" s="293"/>
      <c r="AE455" s="293"/>
      <c r="AF455" s="293"/>
    </row>
    <row r="456" ht="16.5" customHeight="1">
      <c r="A456" s="293"/>
      <c r="B456" s="385"/>
      <c r="C456" s="299"/>
      <c r="D456" s="293"/>
      <c r="E456" s="293"/>
      <c r="F456" s="293"/>
      <c r="G456" s="300"/>
      <c r="H456" s="293"/>
      <c r="I456" s="313"/>
      <c r="J456" s="313"/>
      <c r="K456" s="313"/>
      <c r="L456" s="313"/>
      <c r="M456" s="293"/>
      <c r="N456" s="293"/>
      <c r="O456" s="293"/>
      <c r="P456" s="293"/>
      <c r="Q456" s="293"/>
      <c r="R456" s="293"/>
      <c r="S456" s="293"/>
      <c r="T456" s="293"/>
      <c r="U456" s="293"/>
      <c r="V456" s="293"/>
      <c r="W456" s="293"/>
      <c r="X456" s="293"/>
      <c r="Y456" s="293"/>
      <c r="Z456" s="293"/>
      <c r="AA456" s="293"/>
      <c r="AB456" s="293"/>
      <c r="AC456" s="293"/>
      <c r="AD456" s="293"/>
      <c r="AE456" s="293"/>
      <c r="AF456" s="293"/>
    </row>
    <row r="457" ht="16.5" customHeight="1">
      <c r="A457" s="293"/>
      <c r="B457" s="385"/>
      <c r="C457" s="299"/>
      <c r="D457" s="293"/>
      <c r="E457" s="293"/>
      <c r="F457" s="293"/>
      <c r="G457" s="300"/>
      <c r="H457" s="293"/>
      <c r="I457" s="313"/>
      <c r="J457" s="313"/>
      <c r="K457" s="313"/>
      <c r="L457" s="313"/>
      <c r="M457" s="293"/>
      <c r="N457" s="293"/>
      <c r="O457" s="293"/>
      <c r="P457" s="293"/>
      <c r="Q457" s="293"/>
      <c r="R457" s="293"/>
      <c r="S457" s="293"/>
      <c r="T457" s="293"/>
      <c r="U457" s="293"/>
      <c r="V457" s="293"/>
      <c r="W457" s="293"/>
      <c r="X457" s="293"/>
      <c r="Y457" s="293"/>
      <c r="Z457" s="293"/>
      <c r="AA457" s="293"/>
      <c r="AB457" s="293"/>
      <c r="AC457" s="293"/>
      <c r="AD457" s="293"/>
      <c r="AE457" s="293"/>
      <c r="AF457" s="293"/>
    </row>
    <row r="458" ht="16.5" customHeight="1">
      <c r="A458" s="293"/>
      <c r="B458" s="385"/>
      <c r="C458" s="299"/>
      <c r="D458" s="293"/>
      <c r="E458" s="293"/>
      <c r="F458" s="293"/>
      <c r="G458" s="300"/>
      <c r="H458" s="293"/>
      <c r="I458" s="313"/>
      <c r="J458" s="313"/>
      <c r="K458" s="313"/>
      <c r="L458" s="313"/>
      <c r="M458" s="293"/>
      <c r="N458" s="293"/>
      <c r="O458" s="293"/>
      <c r="P458" s="293"/>
      <c r="Q458" s="293"/>
      <c r="R458" s="293"/>
      <c r="S458" s="293"/>
      <c r="T458" s="293"/>
      <c r="U458" s="293"/>
      <c r="V458" s="293"/>
      <c r="W458" s="293"/>
      <c r="X458" s="293"/>
      <c r="Y458" s="293"/>
      <c r="Z458" s="293"/>
      <c r="AA458" s="293"/>
      <c r="AB458" s="293"/>
      <c r="AC458" s="293"/>
      <c r="AD458" s="293"/>
      <c r="AE458" s="293"/>
      <c r="AF458" s="293"/>
    </row>
    <row r="459" ht="16.5" customHeight="1">
      <c r="A459" s="293"/>
      <c r="B459" s="385"/>
      <c r="C459" s="299"/>
      <c r="D459" s="293"/>
      <c r="E459" s="293"/>
      <c r="F459" s="293"/>
      <c r="G459" s="300"/>
      <c r="H459" s="293"/>
      <c r="I459" s="313"/>
      <c r="J459" s="313"/>
      <c r="K459" s="313"/>
      <c r="L459" s="313"/>
      <c r="M459" s="293"/>
      <c r="N459" s="293"/>
      <c r="O459" s="293"/>
      <c r="P459" s="293"/>
      <c r="Q459" s="293"/>
      <c r="R459" s="293"/>
      <c r="S459" s="293"/>
      <c r="T459" s="293"/>
      <c r="U459" s="293"/>
      <c r="V459" s="293"/>
      <c r="W459" s="293"/>
      <c r="X459" s="293"/>
      <c r="Y459" s="293"/>
      <c r="Z459" s="293"/>
      <c r="AA459" s="293"/>
      <c r="AB459" s="293"/>
      <c r="AC459" s="293"/>
      <c r="AD459" s="293"/>
      <c r="AE459" s="293"/>
      <c r="AF459" s="293"/>
    </row>
    <row r="460" ht="16.5" customHeight="1">
      <c r="A460" s="293"/>
      <c r="B460" s="385"/>
      <c r="C460" s="299"/>
      <c r="D460" s="293"/>
      <c r="E460" s="293"/>
      <c r="F460" s="293"/>
      <c r="G460" s="300"/>
      <c r="H460" s="293"/>
      <c r="I460" s="313"/>
      <c r="J460" s="313"/>
      <c r="K460" s="313"/>
      <c r="L460" s="313"/>
      <c r="M460" s="293"/>
      <c r="N460" s="293"/>
      <c r="O460" s="293"/>
      <c r="P460" s="293"/>
      <c r="Q460" s="293"/>
      <c r="R460" s="293"/>
      <c r="S460" s="293"/>
      <c r="T460" s="293"/>
      <c r="U460" s="293"/>
      <c r="V460" s="293"/>
      <c r="W460" s="293"/>
      <c r="X460" s="293"/>
      <c r="Y460" s="293"/>
      <c r="Z460" s="293"/>
      <c r="AA460" s="293"/>
      <c r="AB460" s="293"/>
      <c r="AC460" s="293"/>
      <c r="AD460" s="293"/>
      <c r="AE460" s="293"/>
      <c r="AF460" s="293"/>
    </row>
    <row r="461" ht="16.5" customHeight="1">
      <c r="A461" s="293"/>
      <c r="B461" s="385"/>
      <c r="C461" s="299"/>
      <c r="D461" s="293"/>
      <c r="E461" s="293"/>
      <c r="F461" s="293"/>
      <c r="G461" s="300"/>
      <c r="H461" s="293"/>
      <c r="I461" s="313"/>
      <c r="J461" s="313"/>
      <c r="K461" s="313"/>
      <c r="L461" s="313"/>
      <c r="M461" s="293"/>
      <c r="N461" s="293"/>
      <c r="O461" s="293"/>
      <c r="P461" s="293"/>
      <c r="Q461" s="293"/>
      <c r="R461" s="293"/>
      <c r="S461" s="293"/>
      <c r="T461" s="293"/>
      <c r="U461" s="293"/>
      <c r="V461" s="293"/>
      <c r="W461" s="293"/>
      <c r="X461" s="293"/>
      <c r="Y461" s="293"/>
      <c r="Z461" s="293"/>
      <c r="AA461" s="293"/>
      <c r="AB461" s="293"/>
      <c r="AC461" s="293"/>
      <c r="AD461" s="293"/>
      <c r="AE461" s="293"/>
      <c r="AF461" s="293"/>
    </row>
    <row r="462" ht="16.5" customHeight="1">
      <c r="A462" s="293"/>
      <c r="B462" s="385"/>
      <c r="C462" s="299"/>
      <c r="D462" s="293"/>
      <c r="E462" s="293"/>
      <c r="F462" s="293"/>
      <c r="G462" s="300"/>
      <c r="H462" s="293"/>
      <c r="I462" s="313"/>
      <c r="J462" s="313"/>
      <c r="K462" s="313"/>
      <c r="L462" s="313"/>
      <c r="M462" s="293"/>
      <c r="N462" s="293"/>
      <c r="O462" s="293"/>
      <c r="P462" s="293"/>
      <c r="Q462" s="293"/>
      <c r="R462" s="293"/>
      <c r="S462" s="293"/>
      <c r="T462" s="293"/>
      <c r="U462" s="293"/>
      <c r="V462" s="293"/>
      <c r="W462" s="293"/>
      <c r="X462" s="293"/>
      <c r="Y462" s="293"/>
      <c r="Z462" s="293"/>
      <c r="AA462" s="293"/>
      <c r="AB462" s="293"/>
      <c r="AC462" s="293"/>
      <c r="AD462" s="293"/>
      <c r="AE462" s="293"/>
      <c r="AF462" s="293"/>
    </row>
    <row r="463" ht="16.5" customHeight="1">
      <c r="A463" s="293"/>
      <c r="B463" s="385"/>
      <c r="C463" s="299"/>
      <c r="D463" s="293"/>
      <c r="E463" s="293"/>
      <c r="F463" s="293"/>
      <c r="G463" s="300"/>
      <c r="H463" s="293"/>
      <c r="I463" s="313"/>
      <c r="J463" s="313"/>
      <c r="K463" s="313"/>
      <c r="L463" s="313"/>
      <c r="M463" s="293"/>
      <c r="N463" s="293"/>
      <c r="O463" s="293"/>
      <c r="P463" s="293"/>
      <c r="Q463" s="293"/>
      <c r="R463" s="293"/>
      <c r="S463" s="293"/>
      <c r="T463" s="293"/>
      <c r="U463" s="293"/>
      <c r="V463" s="293"/>
      <c r="W463" s="293"/>
      <c r="X463" s="293"/>
      <c r="Y463" s="293"/>
      <c r="Z463" s="293"/>
      <c r="AA463" s="293"/>
      <c r="AB463" s="293"/>
      <c r="AC463" s="293"/>
      <c r="AD463" s="293"/>
      <c r="AE463" s="293"/>
      <c r="AF463" s="293"/>
    </row>
    <row r="464" ht="16.5" customHeight="1">
      <c r="A464" s="293"/>
      <c r="B464" s="385"/>
      <c r="C464" s="299"/>
      <c r="D464" s="293"/>
      <c r="E464" s="293"/>
      <c r="F464" s="293"/>
      <c r="G464" s="300"/>
      <c r="H464" s="293"/>
      <c r="I464" s="313"/>
      <c r="J464" s="313"/>
      <c r="K464" s="313"/>
      <c r="L464" s="313"/>
      <c r="M464" s="293"/>
      <c r="N464" s="293"/>
      <c r="O464" s="293"/>
      <c r="P464" s="293"/>
      <c r="Q464" s="293"/>
      <c r="R464" s="293"/>
      <c r="S464" s="293"/>
      <c r="T464" s="293"/>
      <c r="U464" s="293"/>
      <c r="V464" s="293"/>
      <c r="W464" s="293"/>
      <c r="X464" s="293"/>
      <c r="Y464" s="293"/>
      <c r="Z464" s="293"/>
      <c r="AA464" s="293"/>
      <c r="AB464" s="293"/>
      <c r="AC464" s="293"/>
      <c r="AD464" s="293"/>
      <c r="AE464" s="293"/>
      <c r="AF464" s="293"/>
    </row>
    <row r="465" ht="16.5" customHeight="1">
      <c r="A465" s="293"/>
      <c r="B465" s="385"/>
      <c r="C465" s="299"/>
      <c r="D465" s="293"/>
      <c r="E465" s="293"/>
      <c r="F465" s="293"/>
      <c r="G465" s="300"/>
      <c r="H465" s="293"/>
      <c r="I465" s="313"/>
      <c r="J465" s="313"/>
      <c r="K465" s="313"/>
      <c r="L465" s="313"/>
      <c r="M465" s="293"/>
      <c r="N465" s="293"/>
      <c r="O465" s="293"/>
      <c r="P465" s="293"/>
      <c r="Q465" s="293"/>
      <c r="R465" s="293"/>
      <c r="S465" s="293"/>
      <c r="T465" s="293"/>
      <c r="U465" s="293"/>
      <c r="V465" s="293"/>
      <c r="W465" s="293"/>
      <c r="X465" s="293"/>
      <c r="Y465" s="293"/>
      <c r="Z465" s="293"/>
      <c r="AA465" s="293"/>
      <c r="AB465" s="293"/>
      <c r="AC465" s="293"/>
      <c r="AD465" s="293"/>
      <c r="AE465" s="293"/>
      <c r="AF465" s="293"/>
    </row>
    <row r="466" ht="16.5" customHeight="1">
      <c r="A466" s="293"/>
      <c r="B466" s="385"/>
      <c r="C466" s="299"/>
      <c r="D466" s="293"/>
      <c r="E466" s="293"/>
      <c r="F466" s="293"/>
      <c r="G466" s="300"/>
      <c r="H466" s="293"/>
      <c r="I466" s="313"/>
      <c r="J466" s="313"/>
      <c r="K466" s="313"/>
      <c r="L466" s="313"/>
      <c r="M466" s="293"/>
      <c r="N466" s="293"/>
      <c r="O466" s="293"/>
      <c r="P466" s="293"/>
      <c r="Q466" s="293"/>
      <c r="R466" s="293"/>
      <c r="S466" s="293"/>
      <c r="T466" s="293"/>
      <c r="U466" s="293"/>
      <c r="V466" s="293"/>
      <c r="W466" s="293"/>
      <c r="X466" s="293"/>
      <c r="Y466" s="293"/>
      <c r="Z466" s="293"/>
      <c r="AA466" s="293"/>
      <c r="AB466" s="293"/>
      <c r="AC466" s="293"/>
      <c r="AD466" s="293"/>
      <c r="AE466" s="293"/>
      <c r="AF466" s="293"/>
    </row>
    <row r="467" ht="16.5" customHeight="1">
      <c r="A467" s="293"/>
      <c r="B467" s="385"/>
      <c r="C467" s="299"/>
      <c r="D467" s="293"/>
      <c r="E467" s="293"/>
      <c r="F467" s="293"/>
      <c r="G467" s="300"/>
      <c r="H467" s="293"/>
      <c r="I467" s="313"/>
      <c r="J467" s="313"/>
      <c r="K467" s="313"/>
      <c r="L467" s="313"/>
      <c r="M467" s="293"/>
      <c r="N467" s="293"/>
      <c r="O467" s="293"/>
      <c r="P467" s="293"/>
      <c r="Q467" s="293"/>
      <c r="R467" s="293"/>
      <c r="S467" s="293"/>
      <c r="T467" s="293"/>
      <c r="U467" s="293"/>
      <c r="V467" s="293"/>
      <c r="W467" s="293"/>
      <c r="X467" s="293"/>
      <c r="Y467" s="293"/>
      <c r="Z467" s="293"/>
      <c r="AA467" s="293"/>
      <c r="AB467" s="293"/>
      <c r="AC467" s="293"/>
      <c r="AD467" s="293"/>
      <c r="AE467" s="293"/>
      <c r="AF467" s="293"/>
    </row>
    <row r="468" ht="16.5" customHeight="1">
      <c r="A468" s="293"/>
      <c r="B468" s="385"/>
      <c r="C468" s="299"/>
      <c r="D468" s="293"/>
      <c r="E468" s="293"/>
      <c r="F468" s="293"/>
      <c r="G468" s="300"/>
      <c r="H468" s="293"/>
      <c r="I468" s="313"/>
      <c r="J468" s="313"/>
      <c r="K468" s="313"/>
      <c r="L468" s="313"/>
      <c r="M468" s="293"/>
      <c r="N468" s="293"/>
      <c r="O468" s="293"/>
      <c r="P468" s="293"/>
      <c r="Q468" s="293"/>
      <c r="R468" s="293"/>
      <c r="S468" s="293"/>
      <c r="T468" s="293"/>
      <c r="U468" s="293"/>
      <c r="V468" s="293"/>
      <c r="W468" s="293"/>
      <c r="X468" s="293"/>
      <c r="Y468" s="293"/>
      <c r="Z468" s="293"/>
      <c r="AA468" s="293"/>
      <c r="AB468" s="293"/>
      <c r="AC468" s="293"/>
      <c r="AD468" s="293"/>
      <c r="AE468" s="293"/>
      <c r="AF468" s="293"/>
    </row>
    <row r="469" ht="16.5" customHeight="1">
      <c r="A469" s="293"/>
      <c r="B469" s="385"/>
      <c r="C469" s="299"/>
      <c r="D469" s="293"/>
      <c r="E469" s="293"/>
      <c r="F469" s="293"/>
      <c r="G469" s="300"/>
      <c r="H469" s="293"/>
      <c r="I469" s="313"/>
      <c r="J469" s="313"/>
      <c r="K469" s="313"/>
      <c r="L469" s="313"/>
      <c r="M469" s="293"/>
      <c r="N469" s="293"/>
      <c r="O469" s="293"/>
      <c r="P469" s="293"/>
      <c r="Q469" s="293"/>
      <c r="R469" s="293"/>
      <c r="S469" s="293"/>
      <c r="T469" s="293"/>
      <c r="U469" s="293"/>
      <c r="V469" s="293"/>
      <c r="W469" s="293"/>
      <c r="X469" s="293"/>
      <c r="Y469" s="293"/>
      <c r="Z469" s="293"/>
      <c r="AA469" s="293"/>
      <c r="AB469" s="293"/>
      <c r="AC469" s="293"/>
      <c r="AD469" s="293"/>
      <c r="AE469" s="293"/>
      <c r="AF469" s="293"/>
    </row>
    <row r="470" ht="16.5" customHeight="1">
      <c r="A470" s="293"/>
      <c r="B470" s="385"/>
      <c r="C470" s="299"/>
      <c r="D470" s="293"/>
      <c r="E470" s="293"/>
      <c r="F470" s="293"/>
      <c r="G470" s="300"/>
      <c r="H470" s="293"/>
      <c r="I470" s="313"/>
      <c r="J470" s="313"/>
      <c r="K470" s="313"/>
      <c r="L470" s="313"/>
      <c r="M470" s="293"/>
      <c r="N470" s="293"/>
      <c r="O470" s="293"/>
      <c r="P470" s="293"/>
      <c r="Q470" s="293"/>
      <c r="R470" s="293"/>
      <c r="S470" s="293"/>
      <c r="T470" s="293"/>
      <c r="U470" s="293"/>
      <c r="V470" s="293"/>
      <c r="W470" s="293"/>
      <c r="X470" s="293"/>
      <c r="Y470" s="293"/>
      <c r="Z470" s="293"/>
      <c r="AA470" s="293"/>
      <c r="AB470" s="293"/>
      <c r="AC470" s="293"/>
      <c r="AD470" s="293"/>
      <c r="AE470" s="293"/>
      <c r="AF470" s="293"/>
    </row>
    <row r="471" ht="16.5" customHeight="1">
      <c r="A471" s="293"/>
      <c r="B471" s="385"/>
      <c r="C471" s="299"/>
      <c r="D471" s="293"/>
      <c r="E471" s="293"/>
      <c r="F471" s="293"/>
      <c r="G471" s="300"/>
      <c r="H471" s="293"/>
      <c r="I471" s="313"/>
      <c r="J471" s="313"/>
      <c r="K471" s="313"/>
      <c r="L471" s="313"/>
      <c r="M471" s="293"/>
      <c r="N471" s="293"/>
      <c r="O471" s="293"/>
      <c r="P471" s="293"/>
      <c r="Q471" s="293"/>
      <c r="R471" s="293"/>
      <c r="S471" s="293"/>
      <c r="T471" s="293"/>
      <c r="U471" s="293"/>
      <c r="V471" s="293"/>
      <c r="W471" s="293"/>
      <c r="X471" s="293"/>
      <c r="Y471" s="293"/>
      <c r="Z471" s="293"/>
      <c r="AA471" s="293"/>
      <c r="AB471" s="293"/>
      <c r="AC471" s="293"/>
      <c r="AD471" s="293"/>
      <c r="AE471" s="293"/>
      <c r="AF471" s="293"/>
    </row>
    <row r="472" ht="16.5" customHeight="1">
      <c r="A472" s="293"/>
      <c r="B472" s="385"/>
      <c r="C472" s="299"/>
      <c r="D472" s="293"/>
      <c r="E472" s="293"/>
      <c r="F472" s="293"/>
      <c r="G472" s="300"/>
      <c r="H472" s="293"/>
      <c r="I472" s="313"/>
      <c r="J472" s="313"/>
      <c r="K472" s="313"/>
      <c r="L472" s="313"/>
      <c r="M472" s="293"/>
      <c r="N472" s="293"/>
      <c r="O472" s="293"/>
      <c r="P472" s="293"/>
      <c r="Q472" s="293"/>
      <c r="R472" s="293"/>
      <c r="S472" s="293"/>
      <c r="T472" s="293"/>
      <c r="U472" s="293"/>
      <c r="V472" s="293"/>
      <c r="W472" s="293"/>
      <c r="X472" s="293"/>
      <c r="Y472" s="293"/>
      <c r="Z472" s="293"/>
      <c r="AA472" s="293"/>
      <c r="AB472" s="293"/>
      <c r="AC472" s="293"/>
      <c r="AD472" s="293"/>
      <c r="AE472" s="293"/>
      <c r="AF472" s="293"/>
    </row>
    <row r="473" ht="16.5" customHeight="1">
      <c r="A473" s="293"/>
      <c r="B473" s="385"/>
      <c r="C473" s="299"/>
      <c r="D473" s="293"/>
      <c r="E473" s="293"/>
      <c r="F473" s="293"/>
      <c r="G473" s="300"/>
      <c r="H473" s="293"/>
      <c r="I473" s="313"/>
      <c r="J473" s="313"/>
      <c r="K473" s="313"/>
      <c r="L473" s="313"/>
      <c r="M473" s="293"/>
      <c r="N473" s="293"/>
      <c r="O473" s="293"/>
      <c r="P473" s="293"/>
      <c r="Q473" s="293"/>
      <c r="R473" s="293"/>
      <c r="S473" s="293"/>
      <c r="T473" s="293"/>
      <c r="U473" s="293"/>
      <c r="V473" s="293"/>
      <c r="W473" s="293"/>
      <c r="X473" s="293"/>
      <c r="Y473" s="293"/>
      <c r="Z473" s="293"/>
      <c r="AA473" s="293"/>
      <c r="AB473" s="293"/>
      <c r="AC473" s="293"/>
      <c r="AD473" s="293"/>
      <c r="AE473" s="293"/>
      <c r="AF473" s="293"/>
    </row>
    <row r="474" ht="16.5" customHeight="1">
      <c r="A474" s="293"/>
      <c r="B474" s="385"/>
      <c r="C474" s="299"/>
      <c r="D474" s="293"/>
      <c r="E474" s="293"/>
      <c r="F474" s="293"/>
      <c r="G474" s="300"/>
      <c r="H474" s="293"/>
      <c r="I474" s="313"/>
      <c r="J474" s="313"/>
      <c r="K474" s="313"/>
      <c r="L474" s="313"/>
      <c r="M474" s="293"/>
      <c r="N474" s="293"/>
      <c r="O474" s="293"/>
      <c r="P474" s="293"/>
      <c r="Q474" s="293"/>
      <c r="R474" s="293"/>
      <c r="S474" s="293"/>
      <c r="T474" s="293"/>
      <c r="U474" s="293"/>
      <c r="V474" s="293"/>
      <c r="W474" s="293"/>
      <c r="X474" s="293"/>
      <c r="Y474" s="293"/>
      <c r="Z474" s="293"/>
      <c r="AA474" s="293"/>
      <c r="AB474" s="293"/>
      <c r="AC474" s="293"/>
      <c r="AD474" s="293"/>
      <c r="AE474" s="293"/>
      <c r="AF474" s="293"/>
    </row>
    <row r="475" ht="16.5" customHeight="1">
      <c r="A475" s="293"/>
      <c r="B475" s="385"/>
      <c r="C475" s="299"/>
      <c r="D475" s="293"/>
      <c r="E475" s="293"/>
      <c r="F475" s="293"/>
      <c r="G475" s="300"/>
      <c r="H475" s="293"/>
      <c r="I475" s="313"/>
      <c r="J475" s="313"/>
      <c r="K475" s="313"/>
      <c r="L475" s="313"/>
      <c r="M475" s="293"/>
      <c r="N475" s="293"/>
      <c r="O475" s="293"/>
      <c r="P475" s="293"/>
      <c r="Q475" s="293"/>
      <c r="R475" s="293"/>
      <c r="S475" s="293"/>
      <c r="T475" s="293"/>
      <c r="U475" s="293"/>
      <c r="V475" s="293"/>
      <c r="W475" s="293"/>
      <c r="X475" s="293"/>
      <c r="Y475" s="293"/>
      <c r="Z475" s="293"/>
      <c r="AA475" s="293"/>
      <c r="AB475" s="293"/>
      <c r="AC475" s="293"/>
      <c r="AD475" s="293"/>
      <c r="AE475" s="293"/>
      <c r="AF475" s="293"/>
    </row>
    <row r="476" ht="16.5" customHeight="1">
      <c r="A476" s="293"/>
      <c r="B476" s="385"/>
      <c r="C476" s="299"/>
      <c r="D476" s="293"/>
      <c r="E476" s="293"/>
      <c r="F476" s="293"/>
      <c r="G476" s="300"/>
      <c r="H476" s="293"/>
      <c r="I476" s="313"/>
      <c r="J476" s="313"/>
      <c r="K476" s="313"/>
      <c r="L476" s="313"/>
      <c r="M476" s="293"/>
      <c r="N476" s="293"/>
      <c r="O476" s="293"/>
      <c r="P476" s="293"/>
      <c r="Q476" s="293"/>
      <c r="R476" s="293"/>
      <c r="S476" s="293"/>
      <c r="T476" s="293"/>
      <c r="U476" s="293"/>
      <c r="V476" s="293"/>
      <c r="W476" s="293"/>
      <c r="X476" s="293"/>
      <c r="Y476" s="293"/>
      <c r="Z476" s="293"/>
      <c r="AA476" s="293"/>
      <c r="AB476" s="293"/>
      <c r="AC476" s="293"/>
      <c r="AD476" s="293"/>
      <c r="AE476" s="293"/>
      <c r="AF476" s="293"/>
    </row>
    <row r="477" ht="16.5" customHeight="1">
      <c r="A477" s="293"/>
      <c r="B477" s="385"/>
      <c r="C477" s="299"/>
      <c r="D477" s="293"/>
      <c r="E477" s="293"/>
      <c r="F477" s="293"/>
      <c r="G477" s="300"/>
      <c r="H477" s="293"/>
      <c r="I477" s="313"/>
      <c r="J477" s="313"/>
      <c r="K477" s="313"/>
      <c r="L477" s="313"/>
      <c r="M477" s="293"/>
      <c r="N477" s="293"/>
      <c r="O477" s="293"/>
      <c r="P477" s="293"/>
      <c r="Q477" s="293"/>
      <c r="R477" s="293"/>
      <c r="S477" s="293"/>
      <c r="T477" s="293"/>
      <c r="U477" s="293"/>
      <c r="V477" s="293"/>
      <c r="W477" s="293"/>
      <c r="X477" s="293"/>
      <c r="Y477" s="293"/>
      <c r="Z477" s="293"/>
      <c r="AA477" s="293"/>
      <c r="AB477" s="293"/>
      <c r="AC477" s="293"/>
      <c r="AD477" s="293"/>
      <c r="AE477" s="293"/>
      <c r="AF477" s="293"/>
    </row>
    <row r="478" ht="16.5" customHeight="1">
      <c r="A478" s="293"/>
      <c r="B478" s="385"/>
      <c r="C478" s="299"/>
      <c r="D478" s="293"/>
      <c r="E478" s="293"/>
      <c r="F478" s="293"/>
      <c r="G478" s="300"/>
      <c r="H478" s="293"/>
      <c r="I478" s="313"/>
      <c r="J478" s="313"/>
      <c r="K478" s="313"/>
      <c r="L478" s="313"/>
      <c r="M478" s="293"/>
      <c r="N478" s="293"/>
      <c r="O478" s="293"/>
      <c r="P478" s="293"/>
      <c r="Q478" s="293"/>
      <c r="R478" s="293"/>
      <c r="S478" s="293"/>
      <c r="T478" s="293"/>
      <c r="U478" s="293"/>
      <c r="V478" s="293"/>
      <c r="W478" s="293"/>
      <c r="X478" s="293"/>
      <c r="Y478" s="293"/>
      <c r="Z478" s="293"/>
      <c r="AA478" s="293"/>
      <c r="AB478" s="293"/>
      <c r="AC478" s="293"/>
      <c r="AD478" s="293"/>
      <c r="AE478" s="293"/>
      <c r="AF478" s="293"/>
    </row>
    <row r="479" ht="16.5" customHeight="1">
      <c r="A479" s="293"/>
      <c r="B479" s="385"/>
      <c r="C479" s="299"/>
      <c r="D479" s="293"/>
      <c r="E479" s="293"/>
      <c r="F479" s="293"/>
      <c r="G479" s="300"/>
      <c r="H479" s="293"/>
      <c r="I479" s="313"/>
      <c r="J479" s="313"/>
      <c r="K479" s="313"/>
      <c r="L479" s="313"/>
      <c r="M479" s="293"/>
      <c r="N479" s="293"/>
      <c r="O479" s="293"/>
      <c r="P479" s="293"/>
      <c r="Q479" s="293"/>
      <c r="R479" s="293"/>
      <c r="S479" s="293"/>
      <c r="T479" s="293"/>
      <c r="U479" s="293"/>
      <c r="V479" s="293"/>
      <c r="W479" s="293"/>
      <c r="X479" s="293"/>
      <c r="Y479" s="293"/>
      <c r="Z479" s="293"/>
      <c r="AA479" s="293"/>
      <c r="AB479" s="293"/>
      <c r="AC479" s="293"/>
      <c r="AD479" s="293"/>
      <c r="AE479" s="293"/>
      <c r="AF479" s="293"/>
    </row>
    <row r="480" ht="16.5" customHeight="1">
      <c r="A480" s="293"/>
      <c r="B480" s="385"/>
      <c r="C480" s="299"/>
      <c r="D480" s="293"/>
      <c r="E480" s="293"/>
      <c r="F480" s="293"/>
      <c r="G480" s="300"/>
      <c r="H480" s="293"/>
      <c r="I480" s="313"/>
      <c r="J480" s="313"/>
      <c r="K480" s="313"/>
      <c r="L480" s="313"/>
      <c r="M480" s="293"/>
      <c r="N480" s="293"/>
      <c r="O480" s="293"/>
      <c r="P480" s="293"/>
      <c r="Q480" s="293"/>
      <c r="R480" s="293"/>
      <c r="S480" s="293"/>
      <c r="T480" s="293"/>
      <c r="U480" s="293"/>
      <c r="V480" s="293"/>
      <c r="W480" s="293"/>
      <c r="X480" s="293"/>
      <c r="Y480" s="293"/>
      <c r="Z480" s="293"/>
      <c r="AA480" s="293"/>
      <c r="AB480" s="293"/>
      <c r="AC480" s="293"/>
      <c r="AD480" s="293"/>
      <c r="AE480" s="293"/>
      <c r="AF480" s="293"/>
    </row>
    <row r="481" ht="16.5" customHeight="1">
      <c r="A481" s="293"/>
      <c r="B481" s="385"/>
      <c r="C481" s="299"/>
      <c r="D481" s="293"/>
      <c r="E481" s="293"/>
      <c r="F481" s="293"/>
      <c r="G481" s="300"/>
      <c r="H481" s="293"/>
      <c r="I481" s="313"/>
      <c r="J481" s="313"/>
      <c r="K481" s="313"/>
      <c r="L481" s="313"/>
      <c r="M481" s="293"/>
      <c r="N481" s="293"/>
      <c r="O481" s="293"/>
      <c r="P481" s="293"/>
      <c r="Q481" s="293"/>
      <c r="R481" s="293"/>
      <c r="S481" s="293"/>
      <c r="T481" s="293"/>
      <c r="U481" s="293"/>
      <c r="V481" s="293"/>
      <c r="W481" s="293"/>
      <c r="X481" s="293"/>
      <c r="Y481" s="293"/>
      <c r="Z481" s="293"/>
      <c r="AA481" s="293"/>
      <c r="AB481" s="293"/>
      <c r="AC481" s="293"/>
      <c r="AD481" s="293"/>
      <c r="AE481" s="293"/>
      <c r="AF481" s="293"/>
    </row>
    <row r="482" ht="16.5" customHeight="1">
      <c r="A482" s="293"/>
      <c r="B482" s="385"/>
      <c r="C482" s="299"/>
      <c r="D482" s="293"/>
      <c r="E482" s="293"/>
      <c r="F482" s="293"/>
      <c r="G482" s="300"/>
      <c r="H482" s="293"/>
      <c r="I482" s="313"/>
      <c r="J482" s="313"/>
      <c r="K482" s="313"/>
      <c r="L482" s="313"/>
      <c r="M482" s="293"/>
      <c r="N482" s="293"/>
      <c r="O482" s="293"/>
      <c r="P482" s="293"/>
      <c r="Q482" s="293"/>
      <c r="R482" s="293"/>
      <c r="S482" s="293"/>
      <c r="T482" s="293"/>
      <c r="U482" s="293"/>
      <c r="V482" s="293"/>
      <c r="W482" s="293"/>
      <c r="X482" s="293"/>
      <c r="Y482" s="293"/>
      <c r="Z482" s="293"/>
      <c r="AA482" s="293"/>
      <c r="AB482" s="293"/>
      <c r="AC482" s="293"/>
      <c r="AD482" s="293"/>
      <c r="AE482" s="293"/>
      <c r="AF482" s="293"/>
    </row>
    <row r="483" ht="16.5" customHeight="1">
      <c r="A483" s="293"/>
      <c r="B483" s="385"/>
      <c r="C483" s="299"/>
      <c r="D483" s="293"/>
      <c r="E483" s="293"/>
      <c r="F483" s="293"/>
      <c r="G483" s="300"/>
      <c r="H483" s="293"/>
      <c r="I483" s="313"/>
      <c r="J483" s="313"/>
      <c r="K483" s="313"/>
      <c r="L483" s="313"/>
      <c r="M483" s="293"/>
      <c r="N483" s="293"/>
      <c r="O483" s="293"/>
      <c r="P483" s="293"/>
      <c r="Q483" s="293"/>
      <c r="R483" s="293"/>
      <c r="S483" s="293"/>
      <c r="T483" s="293"/>
      <c r="U483" s="293"/>
      <c r="V483" s="293"/>
      <c r="W483" s="293"/>
      <c r="X483" s="293"/>
      <c r="Y483" s="293"/>
      <c r="Z483" s="293"/>
      <c r="AA483" s="293"/>
      <c r="AB483" s="293"/>
      <c r="AC483" s="293"/>
      <c r="AD483" s="293"/>
      <c r="AE483" s="293"/>
      <c r="AF483" s="293"/>
    </row>
    <row r="484" ht="16.5" customHeight="1">
      <c r="A484" s="293"/>
      <c r="B484" s="385"/>
      <c r="C484" s="299"/>
      <c r="D484" s="293"/>
      <c r="E484" s="293"/>
      <c r="F484" s="293"/>
      <c r="G484" s="300"/>
      <c r="H484" s="293"/>
      <c r="I484" s="313"/>
      <c r="J484" s="313"/>
      <c r="K484" s="313"/>
      <c r="L484" s="313"/>
      <c r="M484" s="293"/>
      <c r="N484" s="293"/>
      <c r="O484" s="293"/>
      <c r="P484" s="293"/>
      <c r="Q484" s="293"/>
      <c r="R484" s="293"/>
      <c r="S484" s="293"/>
      <c r="T484" s="293"/>
      <c r="U484" s="293"/>
      <c r="V484" s="293"/>
      <c r="W484" s="293"/>
      <c r="X484" s="293"/>
      <c r="Y484" s="293"/>
      <c r="Z484" s="293"/>
      <c r="AA484" s="293"/>
      <c r="AB484" s="293"/>
      <c r="AC484" s="293"/>
      <c r="AD484" s="293"/>
      <c r="AE484" s="293"/>
      <c r="AF484" s="293"/>
    </row>
    <row r="485" ht="16.5" customHeight="1">
      <c r="A485" s="293"/>
      <c r="B485" s="385"/>
      <c r="C485" s="299"/>
      <c r="D485" s="293"/>
      <c r="E485" s="293"/>
      <c r="F485" s="293"/>
      <c r="G485" s="300"/>
      <c r="H485" s="293"/>
      <c r="I485" s="313"/>
      <c r="J485" s="313"/>
      <c r="K485" s="313"/>
      <c r="L485" s="313"/>
      <c r="M485" s="293"/>
      <c r="N485" s="293"/>
      <c r="O485" s="293"/>
      <c r="P485" s="293"/>
      <c r="Q485" s="293"/>
      <c r="R485" s="293"/>
      <c r="S485" s="293"/>
      <c r="T485" s="293"/>
      <c r="U485" s="293"/>
      <c r="V485" s="293"/>
      <c r="W485" s="293"/>
      <c r="X485" s="293"/>
      <c r="Y485" s="293"/>
      <c r="Z485" s="293"/>
      <c r="AA485" s="293"/>
      <c r="AB485" s="293"/>
      <c r="AC485" s="293"/>
      <c r="AD485" s="293"/>
      <c r="AE485" s="293"/>
      <c r="AF485" s="293"/>
    </row>
    <row r="486" ht="16.5" customHeight="1">
      <c r="A486" s="293"/>
      <c r="B486" s="385"/>
      <c r="C486" s="299"/>
      <c r="D486" s="293"/>
      <c r="E486" s="293"/>
      <c r="F486" s="293"/>
      <c r="G486" s="300"/>
      <c r="H486" s="293"/>
      <c r="I486" s="313"/>
      <c r="J486" s="313"/>
      <c r="K486" s="313"/>
      <c r="L486" s="313"/>
      <c r="M486" s="293"/>
      <c r="N486" s="293"/>
      <c r="O486" s="293"/>
      <c r="P486" s="293"/>
      <c r="Q486" s="293"/>
      <c r="R486" s="293"/>
      <c r="S486" s="293"/>
      <c r="T486" s="293"/>
      <c r="U486" s="293"/>
      <c r="V486" s="293"/>
      <c r="W486" s="293"/>
      <c r="X486" s="293"/>
      <c r="Y486" s="293"/>
      <c r="Z486" s="293"/>
      <c r="AA486" s="293"/>
      <c r="AB486" s="293"/>
      <c r="AC486" s="293"/>
      <c r="AD486" s="293"/>
      <c r="AE486" s="293"/>
      <c r="AF486" s="293"/>
    </row>
    <row r="487" ht="16.5" customHeight="1">
      <c r="A487" s="293"/>
      <c r="B487" s="385"/>
      <c r="C487" s="299"/>
      <c r="D487" s="293"/>
      <c r="E487" s="293"/>
      <c r="F487" s="293"/>
      <c r="G487" s="300"/>
      <c r="H487" s="293"/>
      <c r="I487" s="313"/>
      <c r="J487" s="313"/>
      <c r="K487" s="313"/>
      <c r="L487" s="313"/>
      <c r="M487" s="293"/>
      <c r="N487" s="293"/>
      <c r="O487" s="293"/>
      <c r="P487" s="293"/>
      <c r="Q487" s="293"/>
      <c r="R487" s="293"/>
      <c r="S487" s="293"/>
      <c r="T487" s="293"/>
      <c r="U487" s="293"/>
      <c r="V487" s="293"/>
      <c r="W487" s="293"/>
      <c r="X487" s="293"/>
      <c r="Y487" s="293"/>
      <c r="Z487" s="293"/>
      <c r="AA487" s="293"/>
      <c r="AB487" s="293"/>
      <c r="AC487" s="293"/>
      <c r="AD487" s="293"/>
      <c r="AE487" s="293"/>
      <c r="AF487" s="293"/>
    </row>
    <row r="488" ht="16.5" customHeight="1">
      <c r="A488" s="293"/>
      <c r="B488" s="385"/>
      <c r="C488" s="299"/>
      <c r="D488" s="293"/>
      <c r="E488" s="293"/>
      <c r="F488" s="293"/>
      <c r="G488" s="300"/>
      <c r="H488" s="293"/>
      <c r="I488" s="313"/>
      <c r="J488" s="313"/>
      <c r="K488" s="313"/>
      <c r="L488" s="313"/>
      <c r="M488" s="293"/>
      <c r="N488" s="293"/>
      <c r="O488" s="293"/>
      <c r="P488" s="293"/>
      <c r="Q488" s="293"/>
      <c r="R488" s="293"/>
      <c r="S488" s="293"/>
      <c r="T488" s="293"/>
      <c r="U488" s="293"/>
      <c r="V488" s="293"/>
      <c r="W488" s="293"/>
      <c r="X488" s="293"/>
      <c r="Y488" s="293"/>
      <c r="Z488" s="293"/>
      <c r="AA488" s="293"/>
      <c r="AB488" s="293"/>
      <c r="AC488" s="293"/>
      <c r="AD488" s="293"/>
      <c r="AE488" s="293"/>
      <c r="AF488" s="293"/>
    </row>
    <row r="489" ht="16.5" customHeight="1">
      <c r="A489" s="293"/>
      <c r="B489" s="385"/>
      <c r="C489" s="299"/>
      <c r="D489" s="293"/>
      <c r="E489" s="293"/>
      <c r="F489" s="293"/>
      <c r="G489" s="300"/>
      <c r="H489" s="293"/>
      <c r="I489" s="313"/>
      <c r="J489" s="313"/>
      <c r="K489" s="313"/>
      <c r="L489" s="313"/>
      <c r="M489" s="293"/>
      <c r="N489" s="293"/>
      <c r="O489" s="293"/>
      <c r="P489" s="293"/>
      <c r="Q489" s="293"/>
      <c r="R489" s="293"/>
      <c r="S489" s="293"/>
      <c r="T489" s="293"/>
      <c r="U489" s="293"/>
      <c r="V489" s="293"/>
      <c r="W489" s="293"/>
      <c r="X489" s="293"/>
      <c r="Y489" s="293"/>
      <c r="Z489" s="293"/>
      <c r="AA489" s="293"/>
      <c r="AB489" s="293"/>
      <c r="AC489" s="293"/>
      <c r="AD489" s="293"/>
      <c r="AE489" s="293"/>
      <c r="AF489" s="293"/>
    </row>
    <row r="490" ht="16.5" customHeight="1">
      <c r="A490" s="293"/>
      <c r="B490" s="385"/>
      <c r="C490" s="299"/>
      <c r="D490" s="293"/>
      <c r="E490" s="293"/>
      <c r="F490" s="293"/>
      <c r="G490" s="300"/>
      <c r="H490" s="293"/>
      <c r="I490" s="313"/>
      <c r="J490" s="313"/>
      <c r="K490" s="313"/>
      <c r="L490" s="313"/>
      <c r="M490" s="293"/>
      <c r="N490" s="293"/>
      <c r="O490" s="293"/>
      <c r="P490" s="293"/>
      <c r="Q490" s="293"/>
      <c r="R490" s="293"/>
      <c r="S490" s="293"/>
      <c r="T490" s="293"/>
      <c r="U490" s="293"/>
      <c r="V490" s="293"/>
      <c r="W490" s="293"/>
      <c r="X490" s="293"/>
      <c r="Y490" s="293"/>
      <c r="Z490" s="293"/>
      <c r="AA490" s="293"/>
      <c r="AB490" s="293"/>
      <c r="AC490" s="293"/>
      <c r="AD490" s="293"/>
      <c r="AE490" s="293"/>
      <c r="AF490" s="293"/>
    </row>
    <row r="491" ht="16.5" customHeight="1">
      <c r="A491" s="293"/>
      <c r="B491" s="385"/>
      <c r="C491" s="299"/>
      <c r="D491" s="293"/>
      <c r="E491" s="293"/>
      <c r="F491" s="293"/>
      <c r="G491" s="300"/>
      <c r="H491" s="293"/>
      <c r="I491" s="313"/>
      <c r="J491" s="313"/>
      <c r="K491" s="313"/>
      <c r="L491" s="313"/>
      <c r="M491" s="293"/>
      <c r="N491" s="293"/>
      <c r="O491" s="293"/>
      <c r="P491" s="293"/>
      <c r="Q491" s="293"/>
      <c r="R491" s="293"/>
      <c r="S491" s="293"/>
      <c r="T491" s="293"/>
      <c r="U491" s="293"/>
      <c r="V491" s="293"/>
      <c r="W491" s="293"/>
      <c r="X491" s="293"/>
      <c r="Y491" s="293"/>
      <c r="Z491" s="293"/>
      <c r="AA491" s="293"/>
      <c r="AB491" s="293"/>
      <c r="AC491" s="293"/>
      <c r="AD491" s="293"/>
      <c r="AE491" s="293"/>
      <c r="AF491" s="293"/>
    </row>
    <row r="492" ht="16.5" customHeight="1">
      <c r="A492" s="293"/>
      <c r="B492" s="385"/>
      <c r="C492" s="299"/>
      <c r="D492" s="293"/>
      <c r="E492" s="293"/>
      <c r="F492" s="293"/>
      <c r="G492" s="300"/>
      <c r="H492" s="293"/>
      <c r="I492" s="313"/>
      <c r="J492" s="313"/>
      <c r="K492" s="313"/>
      <c r="L492" s="313"/>
      <c r="M492" s="293"/>
      <c r="N492" s="293"/>
      <c r="O492" s="293"/>
      <c r="P492" s="293"/>
      <c r="Q492" s="293"/>
      <c r="R492" s="293"/>
      <c r="S492" s="293"/>
      <c r="T492" s="293"/>
      <c r="U492" s="293"/>
      <c r="V492" s="293"/>
      <c r="W492" s="293"/>
      <c r="X492" s="293"/>
      <c r="Y492" s="293"/>
      <c r="Z492" s="293"/>
      <c r="AA492" s="293"/>
      <c r="AB492" s="293"/>
      <c r="AC492" s="293"/>
      <c r="AD492" s="293"/>
      <c r="AE492" s="293"/>
      <c r="AF492" s="293"/>
    </row>
    <row r="493" ht="16.5" customHeight="1">
      <c r="A493" s="293"/>
      <c r="B493" s="385"/>
      <c r="C493" s="299"/>
      <c r="D493" s="293"/>
      <c r="E493" s="293"/>
      <c r="F493" s="293"/>
      <c r="G493" s="300"/>
      <c r="H493" s="293"/>
      <c r="I493" s="313"/>
      <c r="J493" s="313"/>
      <c r="K493" s="313"/>
      <c r="L493" s="313"/>
      <c r="M493" s="293"/>
      <c r="N493" s="293"/>
      <c r="O493" s="293"/>
      <c r="P493" s="293"/>
      <c r="Q493" s="293"/>
      <c r="R493" s="293"/>
      <c r="S493" s="293"/>
      <c r="T493" s="293"/>
      <c r="U493" s="293"/>
      <c r="V493" s="293"/>
      <c r="W493" s="293"/>
      <c r="X493" s="293"/>
      <c r="Y493" s="293"/>
      <c r="Z493" s="293"/>
      <c r="AA493" s="293"/>
      <c r="AB493" s="293"/>
      <c r="AC493" s="293"/>
      <c r="AD493" s="293"/>
      <c r="AE493" s="293"/>
      <c r="AF493" s="293"/>
    </row>
    <row r="494" ht="16.5" customHeight="1">
      <c r="A494" s="293"/>
      <c r="B494" s="385"/>
      <c r="C494" s="299"/>
      <c r="D494" s="293"/>
      <c r="E494" s="293"/>
      <c r="F494" s="293"/>
      <c r="G494" s="300"/>
      <c r="H494" s="293"/>
      <c r="I494" s="313"/>
      <c r="J494" s="313"/>
      <c r="K494" s="313"/>
      <c r="L494" s="313"/>
      <c r="M494" s="293"/>
      <c r="N494" s="293"/>
      <c r="O494" s="293"/>
      <c r="P494" s="293"/>
      <c r="Q494" s="293"/>
      <c r="R494" s="293"/>
      <c r="S494" s="293"/>
      <c r="T494" s="293"/>
      <c r="U494" s="293"/>
      <c r="V494" s="293"/>
      <c r="W494" s="293"/>
      <c r="X494" s="293"/>
      <c r="Y494" s="293"/>
      <c r="Z494" s="293"/>
      <c r="AA494" s="293"/>
      <c r="AB494" s="293"/>
      <c r="AC494" s="293"/>
      <c r="AD494" s="293"/>
      <c r="AE494" s="293"/>
      <c r="AF494" s="293"/>
    </row>
    <row r="495" ht="16.5" customHeight="1">
      <c r="A495" s="293"/>
      <c r="B495" s="385"/>
      <c r="C495" s="299"/>
      <c r="D495" s="293"/>
      <c r="E495" s="293"/>
      <c r="F495" s="293"/>
      <c r="G495" s="300"/>
      <c r="H495" s="293"/>
      <c r="I495" s="313"/>
      <c r="J495" s="313"/>
      <c r="K495" s="313"/>
      <c r="L495" s="313"/>
      <c r="M495" s="293"/>
      <c r="N495" s="293"/>
      <c r="O495" s="293"/>
      <c r="P495" s="293"/>
      <c r="Q495" s="293"/>
      <c r="R495" s="293"/>
      <c r="S495" s="293"/>
      <c r="T495" s="293"/>
      <c r="U495" s="293"/>
      <c r="V495" s="293"/>
      <c r="W495" s="293"/>
      <c r="X495" s="293"/>
      <c r="Y495" s="293"/>
      <c r="Z495" s="293"/>
      <c r="AA495" s="293"/>
      <c r="AB495" s="293"/>
      <c r="AC495" s="293"/>
      <c r="AD495" s="293"/>
      <c r="AE495" s="293"/>
      <c r="AF495" s="293"/>
    </row>
    <row r="496" ht="16.5" customHeight="1">
      <c r="A496" s="293"/>
      <c r="B496" s="385"/>
      <c r="C496" s="299"/>
      <c r="D496" s="293"/>
      <c r="E496" s="293"/>
      <c r="F496" s="293"/>
      <c r="G496" s="300"/>
      <c r="H496" s="293"/>
      <c r="I496" s="313"/>
      <c r="J496" s="313"/>
      <c r="K496" s="313"/>
      <c r="L496" s="313"/>
      <c r="M496" s="293"/>
      <c r="N496" s="293"/>
      <c r="O496" s="293"/>
      <c r="P496" s="293"/>
      <c r="Q496" s="293"/>
      <c r="R496" s="293"/>
      <c r="S496" s="293"/>
      <c r="T496" s="293"/>
      <c r="U496" s="293"/>
      <c r="V496" s="293"/>
      <c r="W496" s="293"/>
      <c r="X496" s="293"/>
      <c r="Y496" s="293"/>
      <c r="Z496" s="293"/>
      <c r="AA496" s="293"/>
      <c r="AB496" s="293"/>
      <c r="AC496" s="293"/>
      <c r="AD496" s="293"/>
      <c r="AE496" s="293"/>
      <c r="AF496" s="293"/>
    </row>
    <row r="497" ht="16.5" customHeight="1">
      <c r="A497" s="293"/>
      <c r="B497" s="385"/>
      <c r="C497" s="299"/>
      <c r="D497" s="293"/>
      <c r="E497" s="293"/>
      <c r="F497" s="293"/>
      <c r="G497" s="300"/>
      <c r="H497" s="293"/>
      <c r="I497" s="313"/>
      <c r="J497" s="313"/>
      <c r="K497" s="313"/>
      <c r="L497" s="313"/>
      <c r="M497" s="293"/>
      <c r="N497" s="293"/>
      <c r="O497" s="293"/>
      <c r="P497" s="293"/>
      <c r="Q497" s="293"/>
      <c r="R497" s="293"/>
      <c r="S497" s="293"/>
      <c r="T497" s="293"/>
      <c r="U497" s="293"/>
      <c r="V497" s="293"/>
      <c r="W497" s="293"/>
      <c r="X497" s="293"/>
      <c r="Y497" s="293"/>
      <c r="Z497" s="293"/>
      <c r="AA497" s="293"/>
      <c r="AB497" s="293"/>
      <c r="AC497" s="293"/>
      <c r="AD497" s="293"/>
      <c r="AE497" s="293"/>
      <c r="AF497" s="293"/>
    </row>
    <row r="498" ht="16.5" customHeight="1">
      <c r="A498" s="293"/>
      <c r="B498" s="385"/>
      <c r="C498" s="299"/>
      <c r="D498" s="293"/>
      <c r="E498" s="293"/>
      <c r="F498" s="293"/>
      <c r="G498" s="300"/>
      <c r="H498" s="293"/>
      <c r="I498" s="313"/>
      <c r="J498" s="313"/>
      <c r="K498" s="313"/>
      <c r="L498" s="313"/>
      <c r="M498" s="293"/>
      <c r="N498" s="293"/>
      <c r="O498" s="293"/>
      <c r="P498" s="293"/>
      <c r="Q498" s="293"/>
      <c r="R498" s="293"/>
      <c r="S498" s="293"/>
      <c r="T498" s="293"/>
      <c r="U498" s="293"/>
      <c r="V498" s="293"/>
      <c r="W498" s="293"/>
      <c r="X498" s="293"/>
      <c r="Y498" s="293"/>
      <c r="Z498" s="293"/>
      <c r="AA498" s="293"/>
      <c r="AB498" s="293"/>
      <c r="AC498" s="293"/>
      <c r="AD498" s="293"/>
      <c r="AE498" s="293"/>
      <c r="AF498" s="293"/>
    </row>
    <row r="499" ht="16.5" customHeight="1">
      <c r="A499" s="293"/>
      <c r="B499" s="385"/>
      <c r="C499" s="299"/>
      <c r="D499" s="293"/>
      <c r="E499" s="293"/>
      <c r="F499" s="293"/>
      <c r="G499" s="300"/>
      <c r="H499" s="293"/>
      <c r="I499" s="313"/>
      <c r="J499" s="313"/>
      <c r="K499" s="313"/>
      <c r="L499" s="313"/>
      <c r="M499" s="293"/>
      <c r="N499" s="293"/>
      <c r="O499" s="293"/>
      <c r="P499" s="293"/>
      <c r="Q499" s="293"/>
      <c r="R499" s="293"/>
      <c r="S499" s="293"/>
      <c r="T499" s="293"/>
      <c r="U499" s="293"/>
      <c r="V499" s="293"/>
      <c r="W499" s="293"/>
      <c r="X499" s="293"/>
      <c r="Y499" s="293"/>
      <c r="Z499" s="293"/>
      <c r="AA499" s="293"/>
      <c r="AB499" s="293"/>
      <c r="AC499" s="293"/>
      <c r="AD499" s="293"/>
      <c r="AE499" s="293"/>
      <c r="AF499" s="293"/>
    </row>
    <row r="500" ht="16.5" customHeight="1">
      <c r="A500" s="293"/>
      <c r="B500" s="385"/>
      <c r="C500" s="299"/>
      <c r="D500" s="293"/>
      <c r="E500" s="293"/>
      <c r="F500" s="293"/>
      <c r="G500" s="300"/>
      <c r="H500" s="293"/>
      <c r="I500" s="313"/>
      <c r="J500" s="313"/>
      <c r="K500" s="313"/>
      <c r="L500" s="313"/>
      <c r="M500" s="293"/>
      <c r="N500" s="293"/>
      <c r="O500" s="293"/>
      <c r="P500" s="293"/>
      <c r="Q500" s="293"/>
      <c r="R500" s="293"/>
      <c r="S500" s="293"/>
      <c r="T500" s="293"/>
      <c r="U500" s="293"/>
      <c r="V500" s="293"/>
      <c r="W500" s="293"/>
      <c r="X500" s="293"/>
      <c r="Y500" s="293"/>
      <c r="Z500" s="293"/>
      <c r="AA500" s="293"/>
      <c r="AB500" s="293"/>
      <c r="AC500" s="293"/>
      <c r="AD500" s="293"/>
      <c r="AE500" s="293"/>
      <c r="AF500" s="293"/>
    </row>
    <row r="501" ht="16.5" customHeight="1">
      <c r="A501" s="293"/>
      <c r="B501" s="385"/>
      <c r="C501" s="299"/>
      <c r="D501" s="293"/>
      <c r="E501" s="293"/>
      <c r="F501" s="293"/>
      <c r="G501" s="300"/>
      <c r="H501" s="293"/>
      <c r="I501" s="313"/>
      <c r="J501" s="313"/>
      <c r="K501" s="313"/>
      <c r="L501" s="313"/>
      <c r="M501" s="293"/>
      <c r="N501" s="293"/>
      <c r="O501" s="293"/>
      <c r="P501" s="293"/>
      <c r="Q501" s="293"/>
      <c r="R501" s="293"/>
      <c r="S501" s="293"/>
      <c r="T501" s="293"/>
      <c r="U501" s="293"/>
      <c r="V501" s="293"/>
      <c r="W501" s="293"/>
      <c r="X501" s="293"/>
      <c r="Y501" s="293"/>
      <c r="Z501" s="293"/>
      <c r="AA501" s="293"/>
      <c r="AB501" s="293"/>
      <c r="AC501" s="293"/>
      <c r="AD501" s="293"/>
      <c r="AE501" s="293"/>
      <c r="AF501" s="293"/>
    </row>
    <row r="502" ht="16.5" customHeight="1">
      <c r="A502" s="293"/>
      <c r="B502" s="385"/>
      <c r="C502" s="299"/>
      <c r="D502" s="293"/>
      <c r="E502" s="293"/>
      <c r="F502" s="293"/>
      <c r="G502" s="300"/>
      <c r="H502" s="293"/>
      <c r="I502" s="313"/>
      <c r="J502" s="313"/>
      <c r="K502" s="313"/>
      <c r="L502" s="313"/>
      <c r="M502" s="293"/>
      <c r="N502" s="293"/>
      <c r="O502" s="293"/>
      <c r="P502" s="293"/>
      <c r="Q502" s="293"/>
      <c r="R502" s="293"/>
      <c r="S502" s="293"/>
      <c r="T502" s="293"/>
      <c r="U502" s="293"/>
      <c r="V502" s="293"/>
      <c r="W502" s="293"/>
      <c r="X502" s="293"/>
      <c r="Y502" s="293"/>
      <c r="Z502" s="293"/>
      <c r="AA502" s="293"/>
      <c r="AB502" s="293"/>
      <c r="AC502" s="293"/>
      <c r="AD502" s="293"/>
      <c r="AE502" s="293"/>
      <c r="AF502" s="293"/>
    </row>
    <row r="503" ht="16.5" customHeight="1">
      <c r="A503" s="293"/>
      <c r="B503" s="385"/>
      <c r="C503" s="299"/>
      <c r="D503" s="293"/>
      <c r="E503" s="293"/>
      <c r="F503" s="293"/>
      <c r="G503" s="300"/>
      <c r="H503" s="293"/>
      <c r="I503" s="313"/>
      <c r="J503" s="313"/>
      <c r="K503" s="313"/>
      <c r="L503" s="313"/>
      <c r="M503" s="293"/>
      <c r="N503" s="293"/>
      <c r="O503" s="293"/>
      <c r="P503" s="293"/>
      <c r="Q503" s="293"/>
      <c r="R503" s="293"/>
      <c r="S503" s="293"/>
      <c r="T503" s="293"/>
      <c r="U503" s="293"/>
      <c r="V503" s="293"/>
      <c r="W503" s="293"/>
      <c r="X503" s="293"/>
      <c r="Y503" s="293"/>
      <c r="Z503" s="293"/>
      <c r="AA503" s="293"/>
      <c r="AB503" s="293"/>
      <c r="AC503" s="293"/>
      <c r="AD503" s="293"/>
      <c r="AE503" s="293"/>
      <c r="AF503" s="293"/>
    </row>
    <row r="504" ht="16.5" customHeight="1">
      <c r="A504" s="293"/>
      <c r="B504" s="385"/>
      <c r="C504" s="299"/>
      <c r="D504" s="293"/>
      <c r="E504" s="293"/>
      <c r="F504" s="293"/>
      <c r="G504" s="300"/>
      <c r="H504" s="293"/>
      <c r="I504" s="313"/>
      <c r="J504" s="313"/>
      <c r="K504" s="313"/>
      <c r="L504" s="313"/>
      <c r="M504" s="293"/>
      <c r="N504" s="293"/>
      <c r="O504" s="293"/>
      <c r="P504" s="293"/>
      <c r="Q504" s="293"/>
      <c r="R504" s="293"/>
      <c r="S504" s="293"/>
      <c r="T504" s="293"/>
      <c r="U504" s="293"/>
      <c r="V504" s="293"/>
      <c r="W504" s="293"/>
      <c r="X504" s="293"/>
      <c r="Y504" s="293"/>
      <c r="Z504" s="293"/>
      <c r="AA504" s="293"/>
      <c r="AB504" s="293"/>
      <c r="AC504" s="293"/>
      <c r="AD504" s="293"/>
      <c r="AE504" s="293"/>
      <c r="AF504" s="293"/>
    </row>
    <row r="505" ht="16.5" customHeight="1">
      <c r="A505" s="293"/>
      <c r="B505" s="385"/>
      <c r="C505" s="299"/>
      <c r="D505" s="293"/>
      <c r="E505" s="293"/>
      <c r="F505" s="293"/>
      <c r="G505" s="300"/>
      <c r="H505" s="293"/>
      <c r="I505" s="313"/>
      <c r="J505" s="313"/>
      <c r="K505" s="313"/>
      <c r="L505" s="313"/>
      <c r="M505" s="293"/>
      <c r="N505" s="293"/>
      <c r="O505" s="293"/>
      <c r="P505" s="293"/>
      <c r="Q505" s="293"/>
      <c r="R505" s="293"/>
      <c r="S505" s="293"/>
      <c r="T505" s="293"/>
      <c r="U505" s="293"/>
      <c r="V505" s="293"/>
      <c r="W505" s="293"/>
      <c r="X505" s="293"/>
      <c r="Y505" s="293"/>
      <c r="Z505" s="293"/>
      <c r="AA505" s="293"/>
      <c r="AB505" s="293"/>
      <c r="AC505" s="293"/>
      <c r="AD505" s="293"/>
      <c r="AE505" s="293"/>
      <c r="AF505" s="293"/>
    </row>
    <row r="506" ht="16.5" customHeight="1">
      <c r="A506" s="293"/>
      <c r="B506" s="385"/>
      <c r="C506" s="299"/>
      <c r="D506" s="293"/>
      <c r="E506" s="293"/>
      <c r="F506" s="293"/>
      <c r="G506" s="300"/>
      <c r="H506" s="293"/>
      <c r="I506" s="313"/>
      <c r="J506" s="313"/>
      <c r="K506" s="313"/>
      <c r="L506" s="313"/>
      <c r="M506" s="293"/>
      <c r="N506" s="293"/>
      <c r="O506" s="293"/>
      <c r="P506" s="293"/>
      <c r="Q506" s="293"/>
      <c r="R506" s="293"/>
      <c r="S506" s="293"/>
      <c r="T506" s="293"/>
      <c r="U506" s="293"/>
      <c r="V506" s="293"/>
      <c r="W506" s="293"/>
      <c r="X506" s="293"/>
      <c r="Y506" s="293"/>
      <c r="Z506" s="293"/>
      <c r="AA506" s="293"/>
      <c r="AB506" s="293"/>
      <c r="AC506" s="293"/>
      <c r="AD506" s="293"/>
      <c r="AE506" s="293"/>
      <c r="AF506" s="293"/>
    </row>
    <row r="507" ht="16.5" customHeight="1">
      <c r="A507" s="293"/>
      <c r="B507" s="385"/>
      <c r="C507" s="299"/>
      <c r="D507" s="293"/>
      <c r="E507" s="293"/>
      <c r="F507" s="293"/>
      <c r="G507" s="300"/>
      <c r="H507" s="293"/>
      <c r="I507" s="313"/>
      <c r="J507" s="313"/>
      <c r="K507" s="313"/>
      <c r="L507" s="313"/>
      <c r="M507" s="293"/>
      <c r="N507" s="293"/>
      <c r="O507" s="293"/>
      <c r="P507" s="293"/>
      <c r="Q507" s="293"/>
      <c r="R507" s="293"/>
      <c r="S507" s="293"/>
      <c r="T507" s="293"/>
      <c r="U507" s="293"/>
      <c r="V507" s="293"/>
      <c r="W507" s="293"/>
      <c r="X507" s="293"/>
      <c r="Y507" s="293"/>
      <c r="Z507" s="293"/>
      <c r="AA507" s="293"/>
      <c r="AB507" s="293"/>
      <c r="AC507" s="293"/>
      <c r="AD507" s="293"/>
      <c r="AE507" s="293"/>
      <c r="AF507" s="293"/>
    </row>
    <row r="508" ht="16.5" customHeight="1">
      <c r="A508" s="293"/>
      <c r="B508" s="385"/>
      <c r="C508" s="299"/>
      <c r="D508" s="293"/>
      <c r="E508" s="293"/>
      <c r="F508" s="293"/>
      <c r="G508" s="300"/>
      <c r="H508" s="293"/>
      <c r="I508" s="313"/>
      <c r="J508" s="313"/>
      <c r="K508" s="313"/>
      <c r="L508" s="313"/>
      <c r="M508" s="293"/>
      <c r="N508" s="293"/>
      <c r="O508" s="293"/>
      <c r="P508" s="293"/>
      <c r="Q508" s="293"/>
      <c r="R508" s="293"/>
      <c r="S508" s="293"/>
      <c r="T508" s="293"/>
      <c r="U508" s="293"/>
      <c r="V508" s="293"/>
      <c r="W508" s="293"/>
      <c r="X508" s="293"/>
      <c r="Y508" s="293"/>
      <c r="Z508" s="293"/>
      <c r="AA508" s="293"/>
      <c r="AB508" s="293"/>
      <c r="AC508" s="293"/>
      <c r="AD508" s="293"/>
      <c r="AE508" s="293"/>
      <c r="AF508" s="293"/>
    </row>
    <row r="509" ht="16.5" customHeight="1">
      <c r="A509" s="293"/>
      <c r="B509" s="385"/>
      <c r="C509" s="299"/>
      <c r="D509" s="293"/>
      <c r="E509" s="293"/>
      <c r="F509" s="293"/>
      <c r="G509" s="300"/>
      <c r="H509" s="293"/>
      <c r="I509" s="313"/>
      <c r="J509" s="313"/>
      <c r="K509" s="313"/>
      <c r="L509" s="313"/>
      <c r="M509" s="293"/>
      <c r="N509" s="293"/>
      <c r="O509" s="293"/>
      <c r="P509" s="293"/>
      <c r="Q509" s="293"/>
      <c r="R509" s="293"/>
      <c r="S509" s="293"/>
      <c r="T509" s="293"/>
      <c r="U509" s="293"/>
      <c r="V509" s="293"/>
      <c r="W509" s="293"/>
      <c r="X509" s="293"/>
      <c r="Y509" s="293"/>
      <c r="Z509" s="293"/>
      <c r="AA509" s="293"/>
      <c r="AB509" s="293"/>
      <c r="AC509" s="293"/>
      <c r="AD509" s="293"/>
      <c r="AE509" s="293"/>
      <c r="AF509" s="293"/>
    </row>
    <row r="510" ht="16.5" customHeight="1">
      <c r="A510" s="293"/>
      <c r="B510" s="385"/>
      <c r="C510" s="299"/>
      <c r="D510" s="293"/>
      <c r="E510" s="293"/>
      <c r="F510" s="293"/>
      <c r="G510" s="300"/>
      <c r="H510" s="293"/>
      <c r="I510" s="313"/>
      <c r="J510" s="313"/>
      <c r="K510" s="313"/>
      <c r="L510" s="313"/>
      <c r="M510" s="293"/>
      <c r="N510" s="293"/>
      <c r="O510" s="293"/>
      <c r="P510" s="293"/>
      <c r="Q510" s="293"/>
      <c r="R510" s="293"/>
      <c r="S510" s="293"/>
      <c r="T510" s="293"/>
      <c r="U510" s="293"/>
      <c r="V510" s="293"/>
      <c r="W510" s="293"/>
      <c r="X510" s="293"/>
      <c r="Y510" s="293"/>
      <c r="Z510" s="293"/>
      <c r="AA510" s="293"/>
      <c r="AB510" s="293"/>
      <c r="AC510" s="293"/>
      <c r="AD510" s="293"/>
      <c r="AE510" s="293"/>
      <c r="AF510" s="293"/>
    </row>
    <row r="511" ht="16.5" customHeight="1">
      <c r="A511" s="293"/>
      <c r="B511" s="385"/>
      <c r="C511" s="299"/>
      <c r="D511" s="293"/>
      <c r="E511" s="293"/>
      <c r="F511" s="293"/>
      <c r="G511" s="300"/>
      <c r="H511" s="293"/>
      <c r="I511" s="313"/>
      <c r="J511" s="313"/>
      <c r="K511" s="313"/>
      <c r="L511" s="313"/>
      <c r="M511" s="293"/>
      <c r="N511" s="293"/>
      <c r="O511" s="293"/>
      <c r="P511" s="293"/>
      <c r="Q511" s="293"/>
      <c r="R511" s="293"/>
      <c r="S511" s="293"/>
      <c r="T511" s="293"/>
      <c r="U511" s="293"/>
      <c r="V511" s="293"/>
      <c r="W511" s="293"/>
      <c r="X511" s="293"/>
      <c r="Y511" s="293"/>
      <c r="Z511" s="293"/>
      <c r="AA511" s="293"/>
      <c r="AB511" s="293"/>
      <c r="AC511" s="293"/>
      <c r="AD511" s="293"/>
      <c r="AE511" s="293"/>
      <c r="AF511" s="293"/>
    </row>
    <row r="512" ht="16.5" customHeight="1">
      <c r="A512" s="293"/>
      <c r="B512" s="385"/>
      <c r="C512" s="299"/>
      <c r="D512" s="293"/>
      <c r="E512" s="293"/>
      <c r="F512" s="293"/>
      <c r="G512" s="300"/>
      <c r="H512" s="293"/>
      <c r="I512" s="313"/>
      <c r="J512" s="313"/>
      <c r="K512" s="313"/>
      <c r="L512" s="313"/>
      <c r="M512" s="293"/>
      <c r="N512" s="293"/>
      <c r="O512" s="293"/>
      <c r="P512" s="293"/>
      <c r="Q512" s="293"/>
      <c r="R512" s="293"/>
      <c r="S512" s="293"/>
      <c r="T512" s="293"/>
      <c r="U512" s="293"/>
      <c r="V512" s="293"/>
      <c r="W512" s="293"/>
      <c r="X512" s="293"/>
      <c r="Y512" s="293"/>
      <c r="Z512" s="293"/>
      <c r="AA512" s="293"/>
      <c r="AB512" s="293"/>
      <c r="AC512" s="293"/>
      <c r="AD512" s="293"/>
      <c r="AE512" s="293"/>
      <c r="AF512" s="293"/>
    </row>
    <row r="513" ht="16.5" customHeight="1">
      <c r="A513" s="293"/>
      <c r="B513" s="385"/>
      <c r="C513" s="299"/>
      <c r="D513" s="293"/>
      <c r="E513" s="293"/>
      <c r="F513" s="293"/>
      <c r="G513" s="300"/>
      <c r="H513" s="293"/>
      <c r="I513" s="313"/>
      <c r="J513" s="313"/>
      <c r="K513" s="313"/>
      <c r="L513" s="313"/>
      <c r="M513" s="293"/>
      <c r="N513" s="293"/>
      <c r="O513" s="293"/>
      <c r="P513" s="293"/>
      <c r="Q513" s="293"/>
      <c r="R513" s="293"/>
      <c r="S513" s="293"/>
      <c r="T513" s="293"/>
      <c r="U513" s="293"/>
      <c r="V513" s="293"/>
      <c r="W513" s="293"/>
      <c r="X513" s="293"/>
      <c r="Y513" s="293"/>
      <c r="Z513" s="293"/>
      <c r="AA513" s="293"/>
      <c r="AB513" s="293"/>
      <c r="AC513" s="293"/>
      <c r="AD513" s="293"/>
      <c r="AE513" s="293"/>
      <c r="AF513" s="293"/>
    </row>
    <row r="514" ht="16.5" customHeight="1">
      <c r="A514" s="293"/>
      <c r="B514" s="385"/>
      <c r="C514" s="299"/>
      <c r="D514" s="293"/>
      <c r="E514" s="293"/>
      <c r="F514" s="293"/>
      <c r="G514" s="300"/>
      <c r="H514" s="293"/>
      <c r="I514" s="313"/>
      <c r="J514" s="313"/>
      <c r="K514" s="313"/>
      <c r="L514" s="313"/>
      <c r="M514" s="293"/>
      <c r="N514" s="293"/>
      <c r="O514" s="293"/>
      <c r="P514" s="293"/>
      <c r="Q514" s="293"/>
      <c r="R514" s="293"/>
      <c r="S514" s="293"/>
      <c r="T514" s="293"/>
      <c r="U514" s="293"/>
      <c r="V514" s="293"/>
      <c r="W514" s="293"/>
      <c r="X514" s="293"/>
      <c r="Y514" s="293"/>
      <c r="Z514" s="293"/>
      <c r="AA514" s="293"/>
      <c r="AB514" s="293"/>
      <c r="AC514" s="293"/>
      <c r="AD514" s="293"/>
      <c r="AE514" s="293"/>
      <c r="AF514" s="293"/>
    </row>
    <row r="515" ht="16.5" customHeight="1">
      <c r="A515" s="293"/>
      <c r="B515" s="385"/>
      <c r="C515" s="299"/>
      <c r="D515" s="293"/>
      <c r="E515" s="293"/>
      <c r="F515" s="293"/>
      <c r="G515" s="300"/>
      <c r="H515" s="293"/>
      <c r="I515" s="313"/>
      <c r="J515" s="313"/>
      <c r="K515" s="313"/>
      <c r="L515" s="313"/>
      <c r="M515" s="293"/>
      <c r="N515" s="293"/>
      <c r="O515" s="293"/>
      <c r="P515" s="293"/>
      <c r="Q515" s="293"/>
      <c r="R515" s="293"/>
      <c r="S515" s="293"/>
      <c r="T515" s="293"/>
      <c r="U515" s="293"/>
      <c r="V515" s="293"/>
      <c r="W515" s="293"/>
      <c r="X515" s="293"/>
      <c r="Y515" s="293"/>
      <c r="Z515" s="293"/>
      <c r="AA515" s="293"/>
      <c r="AB515" s="293"/>
      <c r="AC515" s="293"/>
      <c r="AD515" s="293"/>
      <c r="AE515" s="293"/>
      <c r="AF515" s="293"/>
    </row>
    <row r="516" ht="16.5" customHeight="1">
      <c r="A516" s="293"/>
      <c r="B516" s="385"/>
      <c r="C516" s="299"/>
      <c r="D516" s="293"/>
      <c r="E516" s="293"/>
      <c r="F516" s="293"/>
      <c r="G516" s="300"/>
      <c r="H516" s="293"/>
      <c r="I516" s="313"/>
      <c r="J516" s="313"/>
      <c r="K516" s="313"/>
      <c r="L516" s="313"/>
      <c r="M516" s="293"/>
      <c r="N516" s="293"/>
      <c r="O516" s="293"/>
      <c r="P516" s="293"/>
      <c r="Q516" s="293"/>
      <c r="R516" s="293"/>
      <c r="S516" s="293"/>
      <c r="T516" s="293"/>
      <c r="U516" s="293"/>
      <c r="V516" s="293"/>
      <c r="W516" s="293"/>
      <c r="X516" s="293"/>
      <c r="Y516" s="293"/>
      <c r="Z516" s="293"/>
      <c r="AA516" s="293"/>
      <c r="AB516" s="293"/>
      <c r="AC516" s="293"/>
      <c r="AD516" s="293"/>
      <c r="AE516" s="293"/>
      <c r="AF516" s="293"/>
    </row>
    <row r="517" ht="16.5" customHeight="1">
      <c r="A517" s="293"/>
      <c r="B517" s="385"/>
      <c r="C517" s="299"/>
      <c r="D517" s="293"/>
      <c r="E517" s="293"/>
      <c r="F517" s="293"/>
      <c r="G517" s="300"/>
      <c r="H517" s="293"/>
      <c r="I517" s="313"/>
      <c r="J517" s="313"/>
      <c r="K517" s="313"/>
      <c r="L517" s="313"/>
      <c r="M517" s="293"/>
      <c r="N517" s="293"/>
      <c r="O517" s="293"/>
      <c r="P517" s="293"/>
      <c r="Q517" s="293"/>
      <c r="R517" s="293"/>
      <c r="S517" s="293"/>
      <c r="T517" s="293"/>
      <c r="U517" s="293"/>
      <c r="V517" s="293"/>
      <c r="W517" s="293"/>
      <c r="X517" s="293"/>
      <c r="Y517" s="293"/>
      <c r="Z517" s="293"/>
      <c r="AA517" s="293"/>
      <c r="AB517" s="293"/>
      <c r="AC517" s="293"/>
      <c r="AD517" s="293"/>
      <c r="AE517" s="293"/>
      <c r="AF517" s="293"/>
    </row>
    <row r="518" ht="16.5" customHeight="1">
      <c r="A518" s="293"/>
      <c r="B518" s="385"/>
      <c r="C518" s="299"/>
      <c r="D518" s="293"/>
      <c r="E518" s="293"/>
      <c r="F518" s="293"/>
      <c r="G518" s="300"/>
      <c r="H518" s="293"/>
      <c r="I518" s="313"/>
      <c r="J518" s="313"/>
      <c r="K518" s="313"/>
      <c r="L518" s="313"/>
      <c r="M518" s="293"/>
      <c r="N518" s="293"/>
      <c r="O518" s="293"/>
      <c r="P518" s="293"/>
      <c r="Q518" s="293"/>
      <c r="R518" s="293"/>
      <c r="S518" s="293"/>
      <c r="T518" s="293"/>
      <c r="U518" s="293"/>
      <c r="V518" s="293"/>
      <c r="W518" s="293"/>
      <c r="X518" s="293"/>
      <c r="Y518" s="293"/>
      <c r="Z518" s="293"/>
      <c r="AA518" s="293"/>
      <c r="AB518" s="293"/>
      <c r="AC518" s="293"/>
      <c r="AD518" s="293"/>
      <c r="AE518" s="293"/>
      <c r="AF518" s="293"/>
    </row>
    <row r="519" ht="16.5" customHeight="1">
      <c r="A519" s="293"/>
      <c r="B519" s="385"/>
      <c r="C519" s="299"/>
      <c r="D519" s="293"/>
      <c r="E519" s="293"/>
      <c r="F519" s="293"/>
      <c r="G519" s="300"/>
      <c r="H519" s="293"/>
      <c r="I519" s="313"/>
      <c r="J519" s="313"/>
      <c r="K519" s="313"/>
      <c r="L519" s="313"/>
      <c r="M519" s="293"/>
      <c r="N519" s="293"/>
      <c r="O519" s="293"/>
      <c r="P519" s="293"/>
      <c r="Q519" s="293"/>
      <c r="R519" s="293"/>
      <c r="S519" s="293"/>
      <c r="T519" s="293"/>
      <c r="U519" s="293"/>
      <c r="V519" s="293"/>
      <c r="W519" s="293"/>
      <c r="X519" s="293"/>
      <c r="Y519" s="293"/>
      <c r="Z519" s="293"/>
      <c r="AA519" s="293"/>
      <c r="AB519" s="293"/>
      <c r="AC519" s="293"/>
      <c r="AD519" s="293"/>
      <c r="AE519" s="293"/>
      <c r="AF519" s="293"/>
    </row>
    <row r="520" ht="16.5" customHeight="1">
      <c r="A520" s="293"/>
      <c r="B520" s="385"/>
      <c r="C520" s="299"/>
      <c r="D520" s="293"/>
      <c r="E520" s="293"/>
      <c r="F520" s="293"/>
      <c r="G520" s="300"/>
      <c r="H520" s="293"/>
      <c r="I520" s="313"/>
      <c r="J520" s="313"/>
      <c r="K520" s="313"/>
      <c r="L520" s="313"/>
      <c r="M520" s="293"/>
      <c r="N520" s="293"/>
      <c r="O520" s="293"/>
      <c r="P520" s="293"/>
      <c r="Q520" s="293"/>
      <c r="R520" s="293"/>
      <c r="S520" s="293"/>
      <c r="T520" s="293"/>
      <c r="U520" s="293"/>
      <c r="V520" s="293"/>
      <c r="W520" s="293"/>
      <c r="X520" s="293"/>
      <c r="Y520" s="293"/>
      <c r="Z520" s="293"/>
      <c r="AA520" s="293"/>
      <c r="AB520" s="293"/>
      <c r="AC520" s="293"/>
      <c r="AD520" s="293"/>
      <c r="AE520" s="293"/>
      <c r="AF520" s="293"/>
    </row>
    <row r="521" ht="16.5" customHeight="1">
      <c r="A521" s="293"/>
      <c r="B521" s="385"/>
      <c r="C521" s="299"/>
      <c r="D521" s="293"/>
      <c r="E521" s="293"/>
      <c r="F521" s="293"/>
      <c r="G521" s="300"/>
      <c r="H521" s="293"/>
      <c r="I521" s="313"/>
      <c r="J521" s="313"/>
      <c r="K521" s="313"/>
      <c r="L521" s="313"/>
      <c r="M521" s="293"/>
      <c r="N521" s="293"/>
      <c r="O521" s="293"/>
      <c r="P521" s="293"/>
      <c r="Q521" s="293"/>
      <c r="R521" s="293"/>
      <c r="S521" s="293"/>
      <c r="T521" s="293"/>
      <c r="U521" s="293"/>
      <c r="V521" s="293"/>
      <c r="W521" s="293"/>
      <c r="X521" s="293"/>
      <c r="Y521" s="293"/>
      <c r="Z521" s="293"/>
      <c r="AA521" s="293"/>
      <c r="AB521" s="293"/>
      <c r="AC521" s="293"/>
      <c r="AD521" s="293"/>
      <c r="AE521" s="293"/>
      <c r="AF521" s="293"/>
    </row>
    <row r="522" ht="16.5" customHeight="1">
      <c r="A522" s="293"/>
      <c r="B522" s="385"/>
      <c r="C522" s="299"/>
      <c r="D522" s="293"/>
      <c r="E522" s="293"/>
      <c r="F522" s="293"/>
      <c r="G522" s="300"/>
      <c r="H522" s="293"/>
      <c r="I522" s="313"/>
      <c r="J522" s="313"/>
      <c r="K522" s="313"/>
      <c r="L522" s="313"/>
      <c r="M522" s="293"/>
      <c r="N522" s="293"/>
      <c r="O522" s="293"/>
      <c r="P522" s="293"/>
      <c r="Q522" s="293"/>
      <c r="R522" s="293"/>
      <c r="S522" s="293"/>
      <c r="T522" s="293"/>
      <c r="U522" s="293"/>
      <c r="V522" s="293"/>
      <c r="W522" s="293"/>
      <c r="X522" s="293"/>
      <c r="Y522" s="293"/>
      <c r="Z522" s="293"/>
      <c r="AA522" s="293"/>
      <c r="AB522" s="293"/>
      <c r="AC522" s="293"/>
      <c r="AD522" s="293"/>
      <c r="AE522" s="293"/>
      <c r="AF522" s="293"/>
    </row>
    <row r="523" ht="16.5" customHeight="1">
      <c r="A523" s="293"/>
      <c r="B523" s="385"/>
      <c r="C523" s="299"/>
      <c r="D523" s="293"/>
      <c r="E523" s="293"/>
      <c r="F523" s="293"/>
      <c r="G523" s="300"/>
      <c r="H523" s="293"/>
      <c r="I523" s="313"/>
      <c r="J523" s="313"/>
      <c r="K523" s="313"/>
      <c r="L523" s="313"/>
      <c r="M523" s="293"/>
      <c r="N523" s="293"/>
      <c r="O523" s="293"/>
      <c r="P523" s="293"/>
      <c r="Q523" s="293"/>
      <c r="R523" s="293"/>
      <c r="S523" s="293"/>
      <c r="T523" s="293"/>
      <c r="U523" s="293"/>
      <c r="V523" s="293"/>
      <c r="W523" s="293"/>
      <c r="X523" s="293"/>
      <c r="Y523" s="293"/>
      <c r="Z523" s="293"/>
      <c r="AA523" s="293"/>
      <c r="AB523" s="293"/>
      <c r="AC523" s="293"/>
      <c r="AD523" s="293"/>
      <c r="AE523" s="293"/>
      <c r="AF523" s="293"/>
    </row>
    <row r="524" ht="16.5" customHeight="1">
      <c r="A524" s="293"/>
      <c r="B524" s="385"/>
      <c r="C524" s="299"/>
      <c r="D524" s="293"/>
      <c r="E524" s="293"/>
      <c r="F524" s="293"/>
      <c r="G524" s="300"/>
      <c r="H524" s="293"/>
      <c r="I524" s="313"/>
      <c r="J524" s="313"/>
      <c r="K524" s="313"/>
      <c r="L524" s="313"/>
      <c r="M524" s="293"/>
      <c r="N524" s="293"/>
      <c r="O524" s="293"/>
      <c r="P524" s="293"/>
      <c r="Q524" s="293"/>
      <c r="R524" s="293"/>
      <c r="S524" s="293"/>
      <c r="T524" s="293"/>
      <c r="U524" s="293"/>
      <c r="V524" s="293"/>
      <c r="W524" s="293"/>
      <c r="X524" s="293"/>
      <c r="Y524" s="293"/>
      <c r="Z524" s="293"/>
      <c r="AA524" s="293"/>
      <c r="AB524" s="293"/>
      <c r="AC524" s="293"/>
      <c r="AD524" s="293"/>
      <c r="AE524" s="293"/>
      <c r="AF524" s="293"/>
    </row>
    <row r="525" ht="16.5" customHeight="1">
      <c r="A525" s="293"/>
      <c r="B525" s="385"/>
      <c r="C525" s="299"/>
      <c r="D525" s="293"/>
      <c r="E525" s="293"/>
      <c r="F525" s="293"/>
      <c r="G525" s="300"/>
      <c r="H525" s="293"/>
      <c r="I525" s="313"/>
      <c r="J525" s="313"/>
      <c r="K525" s="313"/>
      <c r="L525" s="313"/>
      <c r="M525" s="293"/>
      <c r="N525" s="293"/>
      <c r="O525" s="293"/>
      <c r="P525" s="293"/>
      <c r="Q525" s="293"/>
      <c r="R525" s="293"/>
      <c r="S525" s="293"/>
      <c r="T525" s="293"/>
      <c r="U525" s="293"/>
      <c r="V525" s="293"/>
      <c r="W525" s="293"/>
      <c r="X525" s="293"/>
      <c r="Y525" s="293"/>
      <c r="Z525" s="293"/>
      <c r="AA525" s="293"/>
      <c r="AB525" s="293"/>
      <c r="AC525" s="293"/>
      <c r="AD525" s="293"/>
      <c r="AE525" s="293"/>
      <c r="AF525" s="293"/>
    </row>
    <row r="526" ht="16.5" customHeight="1">
      <c r="A526" s="293"/>
      <c r="B526" s="385"/>
      <c r="C526" s="299"/>
      <c r="D526" s="293"/>
      <c r="E526" s="293"/>
      <c r="F526" s="293"/>
      <c r="G526" s="300"/>
      <c r="H526" s="293"/>
      <c r="I526" s="313"/>
      <c r="J526" s="313"/>
      <c r="K526" s="313"/>
      <c r="L526" s="313"/>
      <c r="M526" s="293"/>
      <c r="N526" s="293"/>
      <c r="O526" s="293"/>
      <c r="P526" s="293"/>
      <c r="Q526" s="293"/>
      <c r="R526" s="293"/>
      <c r="S526" s="293"/>
      <c r="T526" s="293"/>
      <c r="U526" s="293"/>
      <c r="V526" s="293"/>
      <c r="W526" s="293"/>
      <c r="X526" s="293"/>
      <c r="Y526" s="293"/>
      <c r="Z526" s="293"/>
      <c r="AA526" s="293"/>
      <c r="AB526" s="293"/>
      <c r="AC526" s="293"/>
      <c r="AD526" s="293"/>
      <c r="AE526" s="293"/>
      <c r="AF526" s="293"/>
    </row>
    <row r="527" ht="16.5" customHeight="1">
      <c r="A527" s="293"/>
      <c r="B527" s="385"/>
      <c r="C527" s="299"/>
      <c r="D527" s="293"/>
      <c r="E527" s="293"/>
      <c r="F527" s="293"/>
      <c r="G527" s="300"/>
      <c r="H527" s="293"/>
      <c r="I527" s="313"/>
      <c r="J527" s="313"/>
      <c r="K527" s="313"/>
      <c r="L527" s="313"/>
      <c r="M527" s="293"/>
      <c r="N527" s="293"/>
      <c r="O527" s="293"/>
      <c r="P527" s="293"/>
      <c r="Q527" s="293"/>
      <c r="R527" s="293"/>
      <c r="S527" s="293"/>
      <c r="T527" s="293"/>
      <c r="U527" s="293"/>
      <c r="V527" s="293"/>
      <c r="W527" s="293"/>
      <c r="X527" s="293"/>
      <c r="Y527" s="293"/>
      <c r="Z527" s="293"/>
      <c r="AA527" s="293"/>
      <c r="AB527" s="293"/>
      <c r="AC527" s="293"/>
      <c r="AD527" s="293"/>
      <c r="AE527" s="293"/>
      <c r="AF527" s="293"/>
    </row>
    <row r="528" ht="16.5" customHeight="1">
      <c r="A528" s="293"/>
      <c r="B528" s="385"/>
      <c r="C528" s="299"/>
      <c r="D528" s="293"/>
      <c r="E528" s="293"/>
      <c r="F528" s="293"/>
      <c r="G528" s="300"/>
      <c r="H528" s="293"/>
      <c r="I528" s="313"/>
      <c r="J528" s="313"/>
      <c r="K528" s="313"/>
      <c r="L528" s="313"/>
      <c r="M528" s="293"/>
      <c r="N528" s="293"/>
      <c r="O528" s="293"/>
      <c r="P528" s="293"/>
      <c r="Q528" s="293"/>
      <c r="R528" s="293"/>
      <c r="S528" s="293"/>
      <c r="T528" s="293"/>
      <c r="U528" s="293"/>
      <c r="V528" s="293"/>
      <c r="W528" s="293"/>
      <c r="X528" s="293"/>
      <c r="Y528" s="293"/>
      <c r="Z528" s="293"/>
      <c r="AA528" s="293"/>
      <c r="AB528" s="293"/>
      <c r="AC528" s="293"/>
      <c r="AD528" s="293"/>
      <c r="AE528" s="293"/>
      <c r="AF528" s="293"/>
    </row>
    <row r="529" ht="16.5" customHeight="1">
      <c r="A529" s="293"/>
      <c r="B529" s="385"/>
      <c r="C529" s="299"/>
      <c r="D529" s="293"/>
      <c r="E529" s="293"/>
      <c r="F529" s="293"/>
      <c r="G529" s="300"/>
      <c r="H529" s="293"/>
      <c r="I529" s="313"/>
      <c r="J529" s="313"/>
      <c r="K529" s="313"/>
      <c r="L529" s="313"/>
      <c r="M529" s="293"/>
      <c r="N529" s="293"/>
      <c r="O529" s="293"/>
      <c r="P529" s="293"/>
      <c r="Q529" s="293"/>
      <c r="R529" s="293"/>
      <c r="S529" s="293"/>
      <c r="T529" s="293"/>
      <c r="U529" s="293"/>
      <c r="V529" s="293"/>
      <c r="W529" s="293"/>
      <c r="X529" s="293"/>
      <c r="Y529" s="293"/>
      <c r="Z529" s="293"/>
      <c r="AA529" s="293"/>
      <c r="AB529" s="293"/>
      <c r="AC529" s="293"/>
      <c r="AD529" s="293"/>
      <c r="AE529" s="293"/>
      <c r="AF529" s="293"/>
    </row>
    <row r="530" ht="16.5" customHeight="1">
      <c r="A530" s="293"/>
      <c r="B530" s="385"/>
      <c r="C530" s="299"/>
      <c r="D530" s="293"/>
      <c r="E530" s="293"/>
      <c r="F530" s="293"/>
      <c r="G530" s="300"/>
      <c r="H530" s="293"/>
      <c r="I530" s="313"/>
      <c r="J530" s="313"/>
      <c r="K530" s="313"/>
      <c r="L530" s="313"/>
      <c r="M530" s="293"/>
      <c r="N530" s="293"/>
      <c r="O530" s="293"/>
      <c r="P530" s="293"/>
      <c r="Q530" s="293"/>
      <c r="R530" s="293"/>
      <c r="S530" s="293"/>
      <c r="T530" s="293"/>
      <c r="U530" s="293"/>
      <c r="V530" s="293"/>
      <c r="W530" s="293"/>
      <c r="X530" s="293"/>
      <c r="Y530" s="293"/>
      <c r="Z530" s="293"/>
      <c r="AA530" s="293"/>
      <c r="AB530" s="293"/>
      <c r="AC530" s="293"/>
      <c r="AD530" s="293"/>
      <c r="AE530" s="293"/>
      <c r="AF530" s="293"/>
    </row>
    <row r="531" ht="16.5" customHeight="1">
      <c r="A531" s="293"/>
      <c r="B531" s="385"/>
      <c r="C531" s="299"/>
      <c r="D531" s="293"/>
      <c r="E531" s="293"/>
      <c r="F531" s="293"/>
      <c r="G531" s="300"/>
      <c r="H531" s="293"/>
      <c r="I531" s="313"/>
      <c r="J531" s="313"/>
      <c r="K531" s="313"/>
      <c r="L531" s="313"/>
      <c r="M531" s="293"/>
      <c r="N531" s="293"/>
      <c r="O531" s="293"/>
      <c r="P531" s="293"/>
      <c r="Q531" s="293"/>
      <c r="R531" s="293"/>
      <c r="S531" s="293"/>
      <c r="T531" s="293"/>
      <c r="U531" s="293"/>
      <c r="V531" s="293"/>
      <c r="W531" s="293"/>
      <c r="X531" s="293"/>
      <c r="Y531" s="293"/>
      <c r="Z531" s="293"/>
      <c r="AA531" s="293"/>
      <c r="AB531" s="293"/>
      <c r="AC531" s="293"/>
      <c r="AD531" s="293"/>
      <c r="AE531" s="293"/>
      <c r="AF531" s="293"/>
    </row>
    <row r="532" ht="16.5" customHeight="1">
      <c r="A532" s="293"/>
      <c r="B532" s="385"/>
      <c r="C532" s="299"/>
      <c r="D532" s="293"/>
      <c r="E532" s="293"/>
      <c r="F532" s="293"/>
      <c r="G532" s="300"/>
      <c r="H532" s="293"/>
      <c r="I532" s="313"/>
      <c r="J532" s="313"/>
      <c r="K532" s="313"/>
      <c r="L532" s="313"/>
      <c r="M532" s="293"/>
      <c r="N532" s="293"/>
      <c r="O532" s="293"/>
      <c r="P532" s="293"/>
      <c r="Q532" s="293"/>
      <c r="R532" s="293"/>
      <c r="S532" s="293"/>
      <c r="T532" s="293"/>
      <c r="U532" s="293"/>
      <c r="V532" s="293"/>
      <c r="W532" s="293"/>
      <c r="X532" s="293"/>
      <c r="Y532" s="293"/>
      <c r="Z532" s="293"/>
      <c r="AA532" s="293"/>
      <c r="AB532" s="293"/>
      <c r="AC532" s="293"/>
      <c r="AD532" s="293"/>
      <c r="AE532" s="293"/>
      <c r="AF532" s="293"/>
    </row>
    <row r="533" ht="16.5" customHeight="1">
      <c r="A533" s="293"/>
      <c r="B533" s="385"/>
      <c r="C533" s="299"/>
      <c r="D533" s="293"/>
      <c r="E533" s="293"/>
      <c r="F533" s="293"/>
      <c r="G533" s="300"/>
      <c r="H533" s="293"/>
      <c r="I533" s="313"/>
      <c r="J533" s="313"/>
      <c r="K533" s="313"/>
      <c r="L533" s="313"/>
      <c r="M533" s="293"/>
      <c r="N533" s="293"/>
      <c r="O533" s="293"/>
      <c r="P533" s="293"/>
      <c r="Q533" s="293"/>
      <c r="R533" s="293"/>
      <c r="S533" s="293"/>
      <c r="T533" s="293"/>
      <c r="U533" s="293"/>
      <c r="V533" s="293"/>
      <c r="W533" s="293"/>
      <c r="X533" s="293"/>
      <c r="Y533" s="293"/>
      <c r="Z533" s="293"/>
      <c r="AA533" s="293"/>
      <c r="AB533" s="293"/>
      <c r="AC533" s="293"/>
      <c r="AD533" s="293"/>
      <c r="AE533" s="293"/>
      <c r="AF533" s="293"/>
    </row>
    <row r="534" ht="16.5" customHeight="1">
      <c r="A534" s="293"/>
      <c r="B534" s="385"/>
      <c r="C534" s="299"/>
      <c r="D534" s="293"/>
      <c r="E534" s="293"/>
      <c r="F534" s="293"/>
      <c r="G534" s="300"/>
      <c r="H534" s="293"/>
      <c r="I534" s="313"/>
      <c r="J534" s="313"/>
      <c r="K534" s="313"/>
      <c r="L534" s="313"/>
      <c r="M534" s="293"/>
      <c r="N534" s="293"/>
      <c r="O534" s="293"/>
      <c r="P534" s="293"/>
      <c r="Q534" s="293"/>
      <c r="R534" s="293"/>
      <c r="S534" s="293"/>
      <c r="T534" s="293"/>
      <c r="U534" s="293"/>
      <c r="V534" s="293"/>
      <c r="W534" s="293"/>
      <c r="X534" s="293"/>
      <c r="Y534" s="293"/>
      <c r="Z534" s="293"/>
      <c r="AA534" s="293"/>
      <c r="AB534" s="293"/>
      <c r="AC534" s="293"/>
      <c r="AD534" s="293"/>
      <c r="AE534" s="293"/>
      <c r="AF534" s="293"/>
    </row>
    <row r="535" ht="16.5" customHeight="1">
      <c r="A535" s="293"/>
      <c r="B535" s="385"/>
      <c r="C535" s="299"/>
      <c r="D535" s="293"/>
      <c r="E535" s="293"/>
      <c r="F535" s="293"/>
      <c r="G535" s="300"/>
      <c r="H535" s="293"/>
      <c r="I535" s="313"/>
      <c r="J535" s="313"/>
      <c r="K535" s="313"/>
      <c r="L535" s="313"/>
      <c r="M535" s="293"/>
      <c r="N535" s="293"/>
      <c r="O535" s="293"/>
      <c r="P535" s="293"/>
      <c r="Q535" s="293"/>
      <c r="R535" s="293"/>
      <c r="S535" s="293"/>
      <c r="T535" s="293"/>
      <c r="U535" s="293"/>
      <c r="V535" s="293"/>
      <c r="W535" s="293"/>
      <c r="X535" s="293"/>
      <c r="Y535" s="293"/>
      <c r="Z535" s="293"/>
      <c r="AA535" s="293"/>
      <c r="AB535" s="293"/>
      <c r="AC535" s="293"/>
      <c r="AD535" s="293"/>
      <c r="AE535" s="293"/>
      <c r="AF535" s="293"/>
    </row>
    <row r="536" ht="16.5" customHeight="1">
      <c r="A536" s="293"/>
      <c r="B536" s="385"/>
      <c r="C536" s="299"/>
      <c r="D536" s="293"/>
      <c r="E536" s="293"/>
      <c r="F536" s="293"/>
      <c r="G536" s="300"/>
      <c r="H536" s="293"/>
      <c r="I536" s="313"/>
      <c r="J536" s="313"/>
      <c r="K536" s="313"/>
      <c r="L536" s="313"/>
      <c r="M536" s="293"/>
      <c r="N536" s="293"/>
      <c r="O536" s="293"/>
      <c r="P536" s="293"/>
      <c r="Q536" s="293"/>
      <c r="R536" s="293"/>
      <c r="S536" s="293"/>
      <c r="T536" s="293"/>
      <c r="U536" s="293"/>
      <c r="V536" s="293"/>
      <c r="W536" s="293"/>
      <c r="X536" s="293"/>
      <c r="Y536" s="293"/>
      <c r="Z536" s="293"/>
      <c r="AA536" s="293"/>
      <c r="AB536" s="293"/>
      <c r="AC536" s="293"/>
      <c r="AD536" s="293"/>
      <c r="AE536" s="293"/>
      <c r="AF536" s="293"/>
    </row>
    <row r="537" ht="16.5" customHeight="1">
      <c r="A537" s="293"/>
      <c r="B537" s="385"/>
      <c r="C537" s="299"/>
      <c r="D537" s="293"/>
      <c r="E537" s="293"/>
      <c r="F537" s="293"/>
      <c r="G537" s="300"/>
      <c r="H537" s="293"/>
      <c r="I537" s="313"/>
      <c r="J537" s="313"/>
      <c r="K537" s="313"/>
      <c r="L537" s="313"/>
      <c r="M537" s="293"/>
      <c r="N537" s="293"/>
      <c r="O537" s="293"/>
      <c r="P537" s="293"/>
      <c r="Q537" s="293"/>
      <c r="R537" s="293"/>
      <c r="S537" s="293"/>
      <c r="T537" s="293"/>
      <c r="U537" s="293"/>
      <c r="V537" s="293"/>
      <c r="W537" s="293"/>
      <c r="X537" s="293"/>
      <c r="Y537" s="293"/>
      <c r="Z537" s="293"/>
      <c r="AA537" s="293"/>
      <c r="AB537" s="293"/>
      <c r="AC537" s="293"/>
      <c r="AD537" s="293"/>
      <c r="AE537" s="293"/>
      <c r="AF537" s="293"/>
    </row>
    <row r="538" ht="16.5" customHeight="1">
      <c r="A538" s="293"/>
      <c r="B538" s="385"/>
      <c r="C538" s="299"/>
      <c r="D538" s="293"/>
      <c r="E538" s="293"/>
      <c r="F538" s="293"/>
      <c r="G538" s="300"/>
      <c r="H538" s="293"/>
      <c r="I538" s="313"/>
      <c r="J538" s="313"/>
      <c r="K538" s="313"/>
      <c r="L538" s="313"/>
      <c r="M538" s="293"/>
      <c r="N538" s="293"/>
      <c r="O538" s="293"/>
      <c r="P538" s="293"/>
      <c r="Q538" s="293"/>
      <c r="R538" s="293"/>
      <c r="S538" s="293"/>
      <c r="T538" s="293"/>
      <c r="U538" s="293"/>
      <c r="V538" s="293"/>
      <c r="W538" s="293"/>
      <c r="X538" s="293"/>
      <c r="Y538" s="293"/>
      <c r="Z538" s="293"/>
      <c r="AA538" s="293"/>
      <c r="AB538" s="293"/>
      <c r="AC538" s="293"/>
      <c r="AD538" s="293"/>
      <c r="AE538" s="293"/>
      <c r="AF538" s="293"/>
    </row>
    <row r="539" ht="16.5" customHeight="1">
      <c r="A539" s="293"/>
      <c r="B539" s="385"/>
      <c r="C539" s="299"/>
      <c r="D539" s="293"/>
      <c r="E539" s="293"/>
      <c r="F539" s="293"/>
      <c r="G539" s="300"/>
      <c r="H539" s="293"/>
      <c r="I539" s="313"/>
      <c r="J539" s="313"/>
      <c r="K539" s="313"/>
      <c r="L539" s="313"/>
      <c r="M539" s="293"/>
      <c r="N539" s="293"/>
      <c r="O539" s="293"/>
      <c r="P539" s="293"/>
      <c r="Q539" s="293"/>
      <c r="R539" s="293"/>
      <c r="S539" s="293"/>
      <c r="T539" s="293"/>
      <c r="U539" s="293"/>
      <c r="V539" s="293"/>
      <c r="W539" s="293"/>
      <c r="X539" s="293"/>
      <c r="Y539" s="293"/>
      <c r="Z539" s="293"/>
      <c r="AA539" s="293"/>
      <c r="AB539" s="293"/>
      <c r="AC539" s="293"/>
      <c r="AD539" s="293"/>
      <c r="AE539" s="293"/>
      <c r="AF539" s="293"/>
    </row>
    <row r="540" ht="16.5" customHeight="1">
      <c r="A540" s="293"/>
      <c r="B540" s="385"/>
      <c r="C540" s="299"/>
      <c r="D540" s="293"/>
      <c r="E540" s="293"/>
      <c r="F540" s="293"/>
      <c r="G540" s="300"/>
      <c r="H540" s="293"/>
      <c r="I540" s="313"/>
      <c r="J540" s="313"/>
      <c r="K540" s="313"/>
      <c r="L540" s="313"/>
      <c r="M540" s="293"/>
      <c r="N540" s="293"/>
      <c r="O540" s="293"/>
      <c r="P540" s="293"/>
      <c r="Q540" s="293"/>
      <c r="R540" s="293"/>
      <c r="S540" s="293"/>
      <c r="T540" s="293"/>
      <c r="U540" s="293"/>
      <c r="V540" s="293"/>
      <c r="W540" s="293"/>
      <c r="X540" s="293"/>
      <c r="Y540" s="293"/>
      <c r="Z540" s="293"/>
      <c r="AA540" s="293"/>
      <c r="AB540" s="293"/>
      <c r="AC540" s="293"/>
      <c r="AD540" s="293"/>
      <c r="AE540" s="293"/>
      <c r="AF540" s="293"/>
    </row>
    <row r="541" ht="16.5" customHeight="1">
      <c r="A541" s="293"/>
      <c r="B541" s="385"/>
      <c r="C541" s="299"/>
      <c r="D541" s="293"/>
      <c r="E541" s="293"/>
      <c r="F541" s="293"/>
      <c r="G541" s="300"/>
      <c r="H541" s="293"/>
      <c r="I541" s="313"/>
      <c r="J541" s="313"/>
      <c r="K541" s="313"/>
      <c r="L541" s="313"/>
      <c r="M541" s="293"/>
      <c r="N541" s="293"/>
      <c r="O541" s="293"/>
      <c r="P541" s="293"/>
      <c r="Q541" s="293"/>
      <c r="R541" s="293"/>
      <c r="S541" s="293"/>
      <c r="T541" s="293"/>
      <c r="U541" s="293"/>
      <c r="V541" s="293"/>
      <c r="W541" s="293"/>
      <c r="X541" s="293"/>
      <c r="Y541" s="293"/>
      <c r="Z541" s="293"/>
      <c r="AA541" s="293"/>
      <c r="AB541" s="293"/>
      <c r="AC541" s="293"/>
      <c r="AD541" s="293"/>
      <c r="AE541" s="293"/>
      <c r="AF541" s="293"/>
    </row>
    <row r="542" ht="16.5" customHeight="1">
      <c r="A542" s="293"/>
      <c r="B542" s="385"/>
      <c r="C542" s="299"/>
      <c r="D542" s="293"/>
      <c r="E542" s="293"/>
      <c r="F542" s="293"/>
      <c r="G542" s="300"/>
      <c r="H542" s="293"/>
      <c r="I542" s="313"/>
      <c r="J542" s="313"/>
      <c r="K542" s="313"/>
      <c r="L542" s="313"/>
      <c r="M542" s="293"/>
      <c r="N542" s="293"/>
      <c r="O542" s="293"/>
      <c r="P542" s="293"/>
      <c r="Q542" s="293"/>
      <c r="R542" s="293"/>
      <c r="S542" s="293"/>
      <c r="T542" s="293"/>
      <c r="U542" s="293"/>
      <c r="V542" s="293"/>
      <c r="W542" s="293"/>
      <c r="X542" s="293"/>
      <c r="Y542" s="293"/>
      <c r="Z542" s="293"/>
      <c r="AA542" s="293"/>
      <c r="AB542" s="293"/>
      <c r="AC542" s="293"/>
      <c r="AD542" s="293"/>
      <c r="AE542" s="293"/>
      <c r="AF542" s="293"/>
    </row>
    <row r="543" ht="16.5" customHeight="1">
      <c r="A543" s="293"/>
      <c r="B543" s="385"/>
      <c r="C543" s="299"/>
      <c r="D543" s="293"/>
      <c r="E543" s="293"/>
      <c r="F543" s="293"/>
      <c r="G543" s="300"/>
      <c r="H543" s="293"/>
      <c r="I543" s="313"/>
      <c r="J543" s="313"/>
      <c r="K543" s="313"/>
      <c r="L543" s="313"/>
      <c r="M543" s="293"/>
      <c r="N543" s="293"/>
      <c r="O543" s="293"/>
      <c r="P543" s="293"/>
      <c r="Q543" s="293"/>
      <c r="R543" s="293"/>
      <c r="S543" s="293"/>
      <c r="T543" s="293"/>
      <c r="U543" s="293"/>
      <c r="V543" s="293"/>
      <c r="W543" s="293"/>
      <c r="X543" s="293"/>
      <c r="Y543" s="293"/>
      <c r="Z543" s="293"/>
      <c r="AA543" s="293"/>
      <c r="AB543" s="293"/>
      <c r="AC543" s="293"/>
      <c r="AD543" s="293"/>
      <c r="AE543" s="293"/>
      <c r="AF543" s="293"/>
    </row>
    <row r="544" ht="16.5" customHeight="1">
      <c r="A544" s="293"/>
      <c r="B544" s="385"/>
      <c r="C544" s="299"/>
      <c r="D544" s="293"/>
      <c r="E544" s="293"/>
      <c r="F544" s="293"/>
      <c r="G544" s="300"/>
      <c r="H544" s="293"/>
      <c r="I544" s="313"/>
      <c r="J544" s="313"/>
      <c r="K544" s="313"/>
      <c r="L544" s="313"/>
      <c r="M544" s="293"/>
      <c r="N544" s="293"/>
      <c r="O544" s="293"/>
      <c r="P544" s="293"/>
      <c r="Q544" s="293"/>
      <c r="R544" s="293"/>
      <c r="S544" s="293"/>
      <c r="T544" s="293"/>
      <c r="U544" s="293"/>
      <c r="V544" s="293"/>
      <c r="W544" s="293"/>
      <c r="X544" s="293"/>
      <c r="Y544" s="293"/>
      <c r="Z544" s="293"/>
      <c r="AA544" s="293"/>
      <c r="AB544" s="293"/>
      <c r="AC544" s="293"/>
      <c r="AD544" s="293"/>
      <c r="AE544" s="293"/>
      <c r="AF544" s="293"/>
    </row>
    <row r="545" ht="16.5" customHeight="1">
      <c r="A545" s="293"/>
      <c r="B545" s="385"/>
      <c r="C545" s="299"/>
      <c r="D545" s="293"/>
      <c r="E545" s="293"/>
      <c r="F545" s="293"/>
      <c r="G545" s="300"/>
      <c r="H545" s="293"/>
      <c r="I545" s="313"/>
      <c r="J545" s="313"/>
      <c r="K545" s="313"/>
      <c r="L545" s="313"/>
      <c r="M545" s="293"/>
      <c r="N545" s="293"/>
      <c r="O545" s="293"/>
      <c r="P545" s="293"/>
      <c r="Q545" s="293"/>
      <c r="R545" s="293"/>
      <c r="S545" s="293"/>
      <c r="T545" s="293"/>
      <c r="U545" s="293"/>
      <c r="V545" s="293"/>
      <c r="W545" s="293"/>
      <c r="X545" s="293"/>
      <c r="Y545" s="293"/>
      <c r="Z545" s="293"/>
      <c r="AA545" s="293"/>
      <c r="AB545" s="293"/>
      <c r="AC545" s="293"/>
      <c r="AD545" s="293"/>
      <c r="AE545" s="293"/>
      <c r="AF545" s="293"/>
    </row>
    <row r="546" ht="16.5" customHeight="1">
      <c r="A546" s="293"/>
      <c r="B546" s="385"/>
      <c r="C546" s="299"/>
      <c r="D546" s="293"/>
      <c r="E546" s="293"/>
      <c r="F546" s="293"/>
      <c r="G546" s="300"/>
      <c r="H546" s="293"/>
      <c r="I546" s="313"/>
      <c r="J546" s="313"/>
      <c r="K546" s="313"/>
      <c r="L546" s="313"/>
      <c r="M546" s="293"/>
      <c r="N546" s="293"/>
      <c r="O546" s="293"/>
      <c r="P546" s="293"/>
      <c r="Q546" s="293"/>
      <c r="R546" s="293"/>
      <c r="S546" s="293"/>
      <c r="T546" s="293"/>
      <c r="U546" s="293"/>
      <c r="V546" s="293"/>
      <c r="W546" s="293"/>
      <c r="X546" s="293"/>
      <c r="Y546" s="293"/>
      <c r="Z546" s="293"/>
      <c r="AA546" s="293"/>
      <c r="AB546" s="293"/>
      <c r="AC546" s="293"/>
      <c r="AD546" s="293"/>
      <c r="AE546" s="293"/>
      <c r="AF546" s="293"/>
    </row>
    <row r="547" ht="16.5" customHeight="1">
      <c r="A547" s="293"/>
      <c r="B547" s="385"/>
      <c r="C547" s="299"/>
      <c r="D547" s="293"/>
      <c r="E547" s="293"/>
      <c r="F547" s="293"/>
      <c r="G547" s="300"/>
      <c r="H547" s="293"/>
      <c r="I547" s="313"/>
      <c r="J547" s="313"/>
      <c r="K547" s="313"/>
      <c r="L547" s="313"/>
      <c r="M547" s="293"/>
      <c r="N547" s="293"/>
      <c r="O547" s="293"/>
      <c r="P547" s="293"/>
      <c r="Q547" s="293"/>
      <c r="R547" s="293"/>
      <c r="S547" s="293"/>
      <c r="T547" s="293"/>
      <c r="U547" s="293"/>
      <c r="V547" s="293"/>
      <c r="W547" s="293"/>
      <c r="X547" s="293"/>
      <c r="Y547" s="293"/>
      <c r="Z547" s="293"/>
      <c r="AA547" s="293"/>
      <c r="AB547" s="293"/>
      <c r="AC547" s="293"/>
      <c r="AD547" s="293"/>
      <c r="AE547" s="293"/>
      <c r="AF547" s="293"/>
    </row>
    <row r="548" ht="16.5" customHeight="1">
      <c r="A548" s="293"/>
      <c r="B548" s="385"/>
      <c r="C548" s="299"/>
      <c r="D548" s="293"/>
      <c r="E548" s="293"/>
      <c r="F548" s="293"/>
      <c r="G548" s="300"/>
      <c r="H548" s="293"/>
      <c r="I548" s="313"/>
      <c r="J548" s="313"/>
      <c r="K548" s="313"/>
      <c r="L548" s="313"/>
      <c r="M548" s="293"/>
      <c r="N548" s="293"/>
      <c r="O548" s="293"/>
      <c r="P548" s="293"/>
      <c r="Q548" s="293"/>
      <c r="R548" s="293"/>
      <c r="S548" s="293"/>
      <c r="T548" s="293"/>
      <c r="U548" s="293"/>
      <c r="V548" s="293"/>
      <c r="W548" s="293"/>
      <c r="X548" s="293"/>
      <c r="Y548" s="293"/>
      <c r="Z548" s="293"/>
      <c r="AA548" s="293"/>
      <c r="AB548" s="293"/>
      <c r="AC548" s="293"/>
      <c r="AD548" s="293"/>
      <c r="AE548" s="293"/>
      <c r="AF548" s="293"/>
    </row>
    <row r="549" ht="16.5" customHeight="1">
      <c r="A549" s="293"/>
      <c r="B549" s="385"/>
      <c r="C549" s="299"/>
      <c r="D549" s="293"/>
      <c r="E549" s="293"/>
      <c r="F549" s="293"/>
      <c r="G549" s="300"/>
      <c r="H549" s="293"/>
      <c r="I549" s="313"/>
      <c r="J549" s="313"/>
      <c r="K549" s="313"/>
      <c r="L549" s="313"/>
      <c r="M549" s="293"/>
      <c r="N549" s="293"/>
      <c r="O549" s="293"/>
      <c r="P549" s="293"/>
      <c r="Q549" s="293"/>
      <c r="R549" s="293"/>
      <c r="S549" s="293"/>
      <c r="T549" s="293"/>
      <c r="U549" s="293"/>
      <c r="V549" s="293"/>
      <c r="W549" s="293"/>
      <c r="X549" s="293"/>
      <c r="Y549" s="293"/>
      <c r="Z549" s="293"/>
      <c r="AA549" s="293"/>
      <c r="AB549" s="293"/>
      <c r="AC549" s="293"/>
      <c r="AD549" s="293"/>
      <c r="AE549" s="293"/>
      <c r="AF549" s="293"/>
    </row>
    <row r="550" ht="16.5" customHeight="1">
      <c r="A550" s="293"/>
      <c r="B550" s="385"/>
      <c r="C550" s="299"/>
      <c r="D550" s="293"/>
      <c r="E550" s="293"/>
      <c r="F550" s="293"/>
      <c r="G550" s="300"/>
      <c r="H550" s="293"/>
      <c r="I550" s="313"/>
      <c r="J550" s="313"/>
      <c r="K550" s="313"/>
      <c r="L550" s="313"/>
      <c r="M550" s="293"/>
      <c r="N550" s="293"/>
      <c r="O550" s="293"/>
      <c r="P550" s="293"/>
      <c r="Q550" s="293"/>
      <c r="R550" s="293"/>
      <c r="S550" s="293"/>
      <c r="T550" s="293"/>
      <c r="U550" s="293"/>
      <c r="V550" s="293"/>
      <c r="W550" s="293"/>
      <c r="X550" s="293"/>
      <c r="Y550" s="293"/>
      <c r="Z550" s="293"/>
      <c r="AA550" s="293"/>
      <c r="AB550" s="293"/>
      <c r="AC550" s="293"/>
      <c r="AD550" s="293"/>
      <c r="AE550" s="293"/>
      <c r="AF550" s="293"/>
    </row>
    <row r="551" ht="16.5" customHeight="1">
      <c r="A551" s="293"/>
      <c r="B551" s="385"/>
      <c r="C551" s="299"/>
      <c r="D551" s="293"/>
      <c r="E551" s="293"/>
      <c r="F551" s="293"/>
      <c r="G551" s="300"/>
      <c r="H551" s="293"/>
      <c r="I551" s="313"/>
      <c r="J551" s="313"/>
      <c r="K551" s="313"/>
      <c r="L551" s="313"/>
      <c r="M551" s="293"/>
      <c r="N551" s="293"/>
      <c r="O551" s="293"/>
      <c r="P551" s="293"/>
      <c r="Q551" s="293"/>
      <c r="R551" s="293"/>
      <c r="S551" s="293"/>
      <c r="T551" s="293"/>
      <c r="U551" s="293"/>
      <c r="V551" s="293"/>
      <c r="W551" s="293"/>
      <c r="X551" s="293"/>
      <c r="Y551" s="293"/>
      <c r="Z551" s="293"/>
      <c r="AA551" s="293"/>
      <c r="AB551" s="293"/>
      <c r="AC551" s="293"/>
      <c r="AD551" s="293"/>
      <c r="AE551" s="293"/>
      <c r="AF551" s="293"/>
    </row>
    <row r="552" ht="16.5" customHeight="1">
      <c r="A552" s="293"/>
      <c r="B552" s="385"/>
      <c r="C552" s="299"/>
      <c r="D552" s="293"/>
      <c r="E552" s="293"/>
      <c r="F552" s="293"/>
      <c r="G552" s="300"/>
      <c r="H552" s="293"/>
      <c r="I552" s="313"/>
      <c r="J552" s="313"/>
      <c r="K552" s="313"/>
      <c r="L552" s="313"/>
      <c r="M552" s="293"/>
      <c r="N552" s="293"/>
      <c r="O552" s="293"/>
      <c r="P552" s="293"/>
      <c r="Q552" s="293"/>
      <c r="R552" s="293"/>
      <c r="S552" s="293"/>
      <c r="T552" s="293"/>
      <c r="U552" s="293"/>
      <c r="V552" s="293"/>
      <c r="W552" s="293"/>
      <c r="X552" s="293"/>
      <c r="Y552" s="293"/>
      <c r="Z552" s="293"/>
      <c r="AA552" s="293"/>
      <c r="AB552" s="293"/>
      <c r="AC552" s="293"/>
      <c r="AD552" s="293"/>
      <c r="AE552" s="293"/>
      <c r="AF552" s="293"/>
    </row>
    <row r="553" ht="16.5" customHeight="1">
      <c r="A553" s="293"/>
      <c r="B553" s="385"/>
      <c r="C553" s="299"/>
      <c r="D553" s="293"/>
      <c r="E553" s="293"/>
      <c r="F553" s="293"/>
      <c r="G553" s="300"/>
      <c r="H553" s="293"/>
      <c r="I553" s="313"/>
      <c r="J553" s="313"/>
      <c r="K553" s="313"/>
      <c r="L553" s="313"/>
      <c r="M553" s="293"/>
      <c r="N553" s="293"/>
      <c r="O553" s="293"/>
      <c r="P553" s="293"/>
      <c r="Q553" s="293"/>
      <c r="R553" s="293"/>
      <c r="S553" s="293"/>
      <c r="T553" s="293"/>
      <c r="U553" s="293"/>
      <c r="V553" s="293"/>
      <c r="W553" s="293"/>
      <c r="X553" s="293"/>
      <c r="Y553" s="293"/>
      <c r="Z553" s="293"/>
      <c r="AA553" s="293"/>
      <c r="AB553" s="293"/>
      <c r="AC553" s="293"/>
      <c r="AD553" s="293"/>
      <c r="AE553" s="293"/>
      <c r="AF553" s="293"/>
    </row>
    <row r="554" ht="16.5" customHeight="1">
      <c r="A554" s="293"/>
      <c r="B554" s="385"/>
      <c r="C554" s="299"/>
      <c r="D554" s="293"/>
      <c r="E554" s="293"/>
      <c r="F554" s="293"/>
      <c r="G554" s="300"/>
      <c r="H554" s="293"/>
      <c r="I554" s="313"/>
      <c r="J554" s="313"/>
      <c r="K554" s="313"/>
      <c r="L554" s="313"/>
      <c r="M554" s="293"/>
      <c r="N554" s="293"/>
      <c r="O554" s="293"/>
      <c r="P554" s="293"/>
      <c r="Q554" s="293"/>
      <c r="R554" s="293"/>
      <c r="S554" s="293"/>
      <c r="T554" s="293"/>
      <c r="U554" s="293"/>
      <c r="V554" s="293"/>
      <c r="W554" s="293"/>
      <c r="X554" s="293"/>
      <c r="Y554" s="293"/>
      <c r="Z554" s="293"/>
      <c r="AA554" s="293"/>
      <c r="AB554" s="293"/>
      <c r="AC554" s="293"/>
      <c r="AD554" s="293"/>
      <c r="AE554" s="293"/>
      <c r="AF554" s="293"/>
    </row>
    <row r="555" ht="16.5" customHeight="1">
      <c r="A555" s="293"/>
      <c r="B555" s="385"/>
      <c r="C555" s="299"/>
      <c r="D555" s="293"/>
      <c r="E555" s="293"/>
      <c r="F555" s="293"/>
      <c r="G555" s="300"/>
      <c r="H555" s="293"/>
      <c r="I555" s="313"/>
      <c r="J555" s="313"/>
      <c r="K555" s="313"/>
      <c r="L555" s="313"/>
      <c r="M555" s="293"/>
      <c r="N555" s="293"/>
      <c r="O555" s="293"/>
      <c r="P555" s="293"/>
      <c r="Q555" s="293"/>
      <c r="R555" s="293"/>
      <c r="S555" s="293"/>
      <c r="T555" s="293"/>
      <c r="U555" s="293"/>
      <c r="V555" s="293"/>
      <c r="W555" s="293"/>
      <c r="X555" s="293"/>
      <c r="Y555" s="293"/>
      <c r="Z555" s="293"/>
      <c r="AA555" s="293"/>
      <c r="AB555" s="293"/>
      <c r="AC555" s="293"/>
      <c r="AD555" s="293"/>
      <c r="AE555" s="293"/>
      <c r="AF555" s="293"/>
    </row>
    <row r="556" ht="16.5" customHeight="1">
      <c r="A556" s="293"/>
      <c r="B556" s="385"/>
      <c r="C556" s="299"/>
      <c r="D556" s="293"/>
      <c r="E556" s="293"/>
      <c r="F556" s="293"/>
      <c r="G556" s="300"/>
      <c r="H556" s="293"/>
      <c r="I556" s="313"/>
      <c r="J556" s="313"/>
      <c r="K556" s="313"/>
      <c r="L556" s="313"/>
      <c r="M556" s="293"/>
      <c r="N556" s="293"/>
      <c r="O556" s="293"/>
      <c r="P556" s="293"/>
      <c r="Q556" s="293"/>
      <c r="R556" s="293"/>
      <c r="S556" s="293"/>
      <c r="T556" s="293"/>
      <c r="U556" s="293"/>
      <c r="V556" s="293"/>
      <c r="W556" s="293"/>
      <c r="X556" s="293"/>
      <c r="Y556" s="293"/>
      <c r="Z556" s="293"/>
      <c r="AA556" s="293"/>
      <c r="AB556" s="293"/>
      <c r="AC556" s="293"/>
      <c r="AD556" s="293"/>
      <c r="AE556" s="293"/>
      <c r="AF556" s="293"/>
    </row>
    <row r="557" ht="16.5" customHeight="1">
      <c r="A557" s="293"/>
      <c r="B557" s="385"/>
      <c r="C557" s="299"/>
      <c r="D557" s="293"/>
      <c r="E557" s="293"/>
      <c r="F557" s="293"/>
      <c r="G557" s="300"/>
      <c r="H557" s="293"/>
      <c r="I557" s="313"/>
      <c r="J557" s="313"/>
      <c r="K557" s="313"/>
      <c r="L557" s="313"/>
      <c r="M557" s="293"/>
      <c r="N557" s="293"/>
      <c r="O557" s="293"/>
      <c r="P557" s="293"/>
      <c r="Q557" s="293"/>
      <c r="R557" s="293"/>
      <c r="S557" s="293"/>
      <c r="T557" s="293"/>
      <c r="U557" s="293"/>
      <c r="V557" s="293"/>
      <c r="W557" s="293"/>
      <c r="X557" s="293"/>
      <c r="Y557" s="293"/>
      <c r="Z557" s="293"/>
      <c r="AA557" s="293"/>
      <c r="AB557" s="293"/>
      <c r="AC557" s="293"/>
      <c r="AD557" s="293"/>
      <c r="AE557" s="293"/>
      <c r="AF557" s="293"/>
    </row>
    <row r="558" ht="16.5" customHeight="1">
      <c r="A558" s="293"/>
      <c r="B558" s="385"/>
      <c r="C558" s="299"/>
      <c r="D558" s="293"/>
      <c r="E558" s="293"/>
      <c r="F558" s="293"/>
      <c r="G558" s="300"/>
      <c r="H558" s="293"/>
      <c r="I558" s="313"/>
      <c r="J558" s="313"/>
      <c r="K558" s="313"/>
      <c r="L558" s="313"/>
      <c r="M558" s="293"/>
      <c r="N558" s="293"/>
      <c r="O558" s="293"/>
      <c r="P558" s="293"/>
      <c r="Q558" s="293"/>
      <c r="R558" s="293"/>
      <c r="S558" s="293"/>
      <c r="T558" s="293"/>
      <c r="U558" s="293"/>
      <c r="V558" s="293"/>
      <c r="W558" s="293"/>
      <c r="X558" s="293"/>
      <c r="Y558" s="293"/>
      <c r="Z558" s="293"/>
      <c r="AA558" s="293"/>
      <c r="AB558" s="293"/>
      <c r="AC558" s="293"/>
      <c r="AD558" s="293"/>
      <c r="AE558" s="293"/>
      <c r="AF558" s="293"/>
    </row>
    <row r="559" ht="16.5" customHeight="1">
      <c r="A559" s="293"/>
      <c r="B559" s="385"/>
      <c r="C559" s="299"/>
      <c r="D559" s="293"/>
      <c r="E559" s="293"/>
      <c r="F559" s="293"/>
      <c r="G559" s="300"/>
      <c r="H559" s="293"/>
      <c r="I559" s="313"/>
      <c r="J559" s="313"/>
      <c r="K559" s="313"/>
      <c r="L559" s="313"/>
      <c r="M559" s="293"/>
      <c r="N559" s="293"/>
      <c r="O559" s="293"/>
      <c r="P559" s="293"/>
      <c r="Q559" s="293"/>
      <c r="R559" s="293"/>
      <c r="S559" s="293"/>
      <c r="T559" s="293"/>
      <c r="U559" s="293"/>
      <c r="V559" s="293"/>
      <c r="W559" s="293"/>
      <c r="X559" s="293"/>
      <c r="Y559" s="293"/>
      <c r="Z559" s="293"/>
      <c r="AA559" s="293"/>
      <c r="AB559" s="293"/>
      <c r="AC559" s="293"/>
      <c r="AD559" s="293"/>
      <c r="AE559" s="293"/>
      <c r="AF559" s="293"/>
    </row>
    <row r="560" ht="16.5" customHeight="1">
      <c r="A560" s="293"/>
      <c r="B560" s="385"/>
      <c r="C560" s="299"/>
      <c r="D560" s="293"/>
      <c r="E560" s="293"/>
      <c r="F560" s="293"/>
      <c r="G560" s="300"/>
      <c r="H560" s="293"/>
      <c r="I560" s="313"/>
      <c r="J560" s="313"/>
      <c r="K560" s="313"/>
      <c r="L560" s="313"/>
      <c r="M560" s="293"/>
      <c r="N560" s="293"/>
      <c r="O560" s="293"/>
      <c r="P560" s="293"/>
      <c r="Q560" s="293"/>
      <c r="R560" s="293"/>
      <c r="S560" s="293"/>
      <c r="T560" s="293"/>
      <c r="U560" s="293"/>
      <c r="V560" s="293"/>
      <c r="W560" s="293"/>
      <c r="X560" s="293"/>
      <c r="Y560" s="293"/>
      <c r="Z560" s="293"/>
      <c r="AA560" s="293"/>
      <c r="AB560" s="293"/>
      <c r="AC560" s="293"/>
      <c r="AD560" s="293"/>
      <c r="AE560" s="293"/>
      <c r="AF560" s="293"/>
    </row>
    <row r="561" ht="16.5" customHeight="1">
      <c r="A561" s="293"/>
      <c r="B561" s="385"/>
      <c r="C561" s="299"/>
      <c r="D561" s="293"/>
      <c r="E561" s="293"/>
      <c r="F561" s="293"/>
      <c r="G561" s="300"/>
      <c r="H561" s="293"/>
      <c r="I561" s="313"/>
      <c r="J561" s="313"/>
      <c r="K561" s="313"/>
      <c r="L561" s="313"/>
      <c r="M561" s="293"/>
      <c r="N561" s="293"/>
      <c r="O561" s="293"/>
      <c r="P561" s="293"/>
      <c r="Q561" s="293"/>
      <c r="R561" s="293"/>
      <c r="S561" s="293"/>
      <c r="T561" s="293"/>
      <c r="U561" s="293"/>
      <c r="V561" s="293"/>
      <c r="W561" s="293"/>
      <c r="X561" s="293"/>
      <c r="Y561" s="293"/>
      <c r="Z561" s="293"/>
      <c r="AA561" s="293"/>
      <c r="AB561" s="293"/>
      <c r="AC561" s="293"/>
      <c r="AD561" s="293"/>
      <c r="AE561" s="293"/>
      <c r="AF561" s="293"/>
    </row>
    <row r="562" ht="16.5" customHeight="1">
      <c r="A562" s="293"/>
      <c r="B562" s="385"/>
      <c r="C562" s="299"/>
      <c r="D562" s="293"/>
      <c r="E562" s="293"/>
      <c r="F562" s="293"/>
      <c r="G562" s="300"/>
      <c r="H562" s="293"/>
      <c r="I562" s="313"/>
      <c r="J562" s="313"/>
      <c r="K562" s="313"/>
      <c r="L562" s="313"/>
      <c r="M562" s="293"/>
      <c r="N562" s="293"/>
      <c r="O562" s="293"/>
      <c r="P562" s="293"/>
      <c r="Q562" s="293"/>
      <c r="R562" s="293"/>
      <c r="S562" s="293"/>
      <c r="T562" s="293"/>
      <c r="U562" s="293"/>
      <c r="V562" s="293"/>
      <c r="W562" s="293"/>
      <c r="X562" s="293"/>
      <c r="Y562" s="293"/>
      <c r="Z562" s="293"/>
      <c r="AA562" s="293"/>
      <c r="AB562" s="293"/>
      <c r="AC562" s="293"/>
      <c r="AD562" s="293"/>
      <c r="AE562" s="293"/>
      <c r="AF562" s="293"/>
    </row>
    <row r="563" ht="16.5" customHeight="1">
      <c r="A563" s="293"/>
      <c r="B563" s="385"/>
      <c r="C563" s="299"/>
      <c r="D563" s="293"/>
      <c r="E563" s="293"/>
      <c r="F563" s="293"/>
      <c r="G563" s="300"/>
      <c r="H563" s="293"/>
      <c r="I563" s="313"/>
      <c r="J563" s="313"/>
      <c r="K563" s="313"/>
      <c r="L563" s="313"/>
      <c r="M563" s="293"/>
      <c r="N563" s="293"/>
      <c r="O563" s="293"/>
      <c r="P563" s="293"/>
      <c r="Q563" s="293"/>
      <c r="R563" s="293"/>
      <c r="S563" s="293"/>
      <c r="T563" s="293"/>
      <c r="U563" s="293"/>
      <c r="V563" s="293"/>
      <c r="W563" s="293"/>
      <c r="X563" s="293"/>
      <c r="Y563" s="293"/>
      <c r="Z563" s="293"/>
      <c r="AA563" s="293"/>
      <c r="AB563" s="293"/>
      <c r="AC563" s="293"/>
      <c r="AD563" s="293"/>
      <c r="AE563" s="293"/>
      <c r="AF563" s="293"/>
    </row>
    <row r="564" ht="16.5" customHeight="1">
      <c r="A564" s="293"/>
      <c r="B564" s="385"/>
      <c r="C564" s="299"/>
      <c r="D564" s="293"/>
      <c r="E564" s="293"/>
      <c r="F564" s="293"/>
      <c r="G564" s="300"/>
      <c r="H564" s="293"/>
      <c r="I564" s="313"/>
      <c r="J564" s="313"/>
      <c r="K564" s="313"/>
      <c r="L564" s="313"/>
      <c r="M564" s="293"/>
      <c r="N564" s="293"/>
      <c r="O564" s="293"/>
      <c r="P564" s="293"/>
      <c r="Q564" s="293"/>
      <c r="R564" s="293"/>
      <c r="S564" s="293"/>
      <c r="T564" s="293"/>
      <c r="U564" s="293"/>
      <c r="V564" s="293"/>
      <c r="W564" s="293"/>
      <c r="X564" s="293"/>
      <c r="Y564" s="293"/>
      <c r="Z564" s="293"/>
      <c r="AA564" s="293"/>
      <c r="AB564" s="293"/>
      <c r="AC564" s="293"/>
      <c r="AD564" s="293"/>
      <c r="AE564" s="293"/>
      <c r="AF564" s="293"/>
    </row>
    <row r="565" ht="16.5" customHeight="1">
      <c r="A565" s="293"/>
      <c r="B565" s="385"/>
      <c r="C565" s="299"/>
      <c r="D565" s="293"/>
      <c r="E565" s="293"/>
      <c r="F565" s="293"/>
      <c r="G565" s="300"/>
      <c r="H565" s="293"/>
      <c r="I565" s="313"/>
      <c r="J565" s="313"/>
      <c r="K565" s="313"/>
      <c r="L565" s="313"/>
      <c r="M565" s="293"/>
      <c r="N565" s="293"/>
      <c r="O565" s="293"/>
      <c r="P565" s="293"/>
      <c r="Q565" s="293"/>
      <c r="R565" s="293"/>
      <c r="S565" s="293"/>
      <c r="T565" s="293"/>
      <c r="U565" s="293"/>
      <c r="V565" s="293"/>
      <c r="W565" s="293"/>
      <c r="X565" s="293"/>
      <c r="Y565" s="293"/>
      <c r="Z565" s="293"/>
      <c r="AA565" s="293"/>
      <c r="AB565" s="293"/>
      <c r="AC565" s="293"/>
      <c r="AD565" s="293"/>
      <c r="AE565" s="293"/>
      <c r="AF565" s="293"/>
    </row>
    <row r="566" ht="16.5" customHeight="1">
      <c r="A566" s="293"/>
      <c r="B566" s="385"/>
      <c r="C566" s="299"/>
      <c r="D566" s="293"/>
      <c r="E566" s="293"/>
      <c r="F566" s="293"/>
      <c r="G566" s="300"/>
      <c r="H566" s="293"/>
      <c r="I566" s="313"/>
      <c r="J566" s="313"/>
      <c r="K566" s="313"/>
      <c r="L566" s="313"/>
      <c r="M566" s="293"/>
      <c r="N566" s="293"/>
      <c r="O566" s="293"/>
      <c r="P566" s="293"/>
      <c r="Q566" s="293"/>
      <c r="R566" s="293"/>
      <c r="S566" s="293"/>
      <c r="T566" s="293"/>
      <c r="U566" s="293"/>
      <c r="V566" s="293"/>
      <c r="W566" s="293"/>
      <c r="X566" s="293"/>
      <c r="Y566" s="293"/>
      <c r="Z566" s="293"/>
      <c r="AA566" s="293"/>
      <c r="AB566" s="293"/>
      <c r="AC566" s="293"/>
      <c r="AD566" s="293"/>
      <c r="AE566" s="293"/>
      <c r="AF566" s="293"/>
    </row>
    <row r="567" ht="16.5" customHeight="1">
      <c r="A567" s="293"/>
      <c r="B567" s="385"/>
      <c r="C567" s="299"/>
      <c r="D567" s="293"/>
      <c r="E567" s="293"/>
      <c r="F567" s="293"/>
      <c r="G567" s="300"/>
      <c r="H567" s="293"/>
      <c r="I567" s="313"/>
      <c r="J567" s="313"/>
      <c r="K567" s="313"/>
      <c r="L567" s="313"/>
      <c r="M567" s="293"/>
      <c r="N567" s="293"/>
      <c r="O567" s="293"/>
      <c r="P567" s="293"/>
      <c r="Q567" s="293"/>
      <c r="R567" s="293"/>
      <c r="S567" s="293"/>
      <c r="T567" s="293"/>
      <c r="U567" s="293"/>
      <c r="V567" s="293"/>
      <c r="W567" s="293"/>
      <c r="X567" s="293"/>
      <c r="Y567" s="293"/>
      <c r="Z567" s="293"/>
      <c r="AA567" s="293"/>
      <c r="AB567" s="293"/>
      <c r="AC567" s="293"/>
      <c r="AD567" s="293"/>
      <c r="AE567" s="293"/>
      <c r="AF567" s="293"/>
    </row>
    <row r="568" ht="16.5" customHeight="1">
      <c r="A568" s="293"/>
      <c r="B568" s="385"/>
      <c r="C568" s="299"/>
      <c r="D568" s="293"/>
      <c r="E568" s="293"/>
      <c r="F568" s="293"/>
      <c r="G568" s="300"/>
      <c r="H568" s="293"/>
      <c r="I568" s="313"/>
      <c r="J568" s="313"/>
      <c r="K568" s="313"/>
      <c r="L568" s="313"/>
      <c r="M568" s="293"/>
      <c r="N568" s="293"/>
      <c r="O568" s="293"/>
      <c r="P568" s="293"/>
      <c r="Q568" s="293"/>
      <c r="R568" s="293"/>
      <c r="S568" s="293"/>
      <c r="T568" s="293"/>
      <c r="U568" s="293"/>
      <c r="V568" s="293"/>
      <c r="W568" s="293"/>
      <c r="X568" s="293"/>
      <c r="Y568" s="293"/>
      <c r="Z568" s="293"/>
      <c r="AA568" s="293"/>
      <c r="AB568" s="293"/>
      <c r="AC568" s="293"/>
      <c r="AD568" s="293"/>
      <c r="AE568" s="293"/>
      <c r="AF568" s="293"/>
    </row>
    <row r="569" ht="16.5" customHeight="1">
      <c r="A569" s="293"/>
      <c r="B569" s="385"/>
      <c r="C569" s="299"/>
      <c r="D569" s="293"/>
      <c r="E569" s="293"/>
      <c r="F569" s="293"/>
      <c r="G569" s="300"/>
      <c r="H569" s="293"/>
      <c r="I569" s="313"/>
      <c r="J569" s="313"/>
      <c r="K569" s="313"/>
      <c r="L569" s="313"/>
      <c r="M569" s="293"/>
      <c r="N569" s="293"/>
      <c r="O569" s="293"/>
      <c r="P569" s="293"/>
      <c r="Q569" s="293"/>
      <c r="R569" s="293"/>
      <c r="S569" s="293"/>
      <c r="T569" s="293"/>
      <c r="U569" s="293"/>
      <c r="V569" s="293"/>
      <c r="W569" s="293"/>
      <c r="X569" s="293"/>
      <c r="Y569" s="293"/>
      <c r="Z569" s="293"/>
      <c r="AA569" s="293"/>
      <c r="AB569" s="293"/>
      <c r="AC569" s="293"/>
      <c r="AD569" s="293"/>
      <c r="AE569" s="293"/>
      <c r="AF569" s="293"/>
    </row>
    <row r="570" ht="16.5" customHeight="1">
      <c r="A570" s="293"/>
      <c r="B570" s="385"/>
      <c r="C570" s="299"/>
      <c r="D570" s="293"/>
      <c r="E570" s="293"/>
      <c r="F570" s="293"/>
      <c r="G570" s="300"/>
      <c r="H570" s="293"/>
      <c r="I570" s="313"/>
      <c r="J570" s="313"/>
      <c r="K570" s="313"/>
      <c r="L570" s="313"/>
      <c r="M570" s="293"/>
      <c r="N570" s="293"/>
      <c r="O570" s="293"/>
      <c r="P570" s="293"/>
      <c r="Q570" s="293"/>
      <c r="R570" s="293"/>
      <c r="S570" s="293"/>
      <c r="T570" s="293"/>
      <c r="U570" s="293"/>
      <c r="V570" s="293"/>
      <c r="W570" s="293"/>
      <c r="X570" s="293"/>
      <c r="Y570" s="293"/>
      <c r="Z570" s="293"/>
      <c r="AA570" s="293"/>
      <c r="AB570" s="293"/>
      <c r="AC570" s="293"/>
      <c r="AD570" s="293"/>
      <c r="AE570" s="293"/>
      <c r="AF570" s="293"/>
    </row>
    <row r="571" ht="16.5" customHeight="1">
      <c r="A571" s="293"/>
      <c r="B571" s="385"/>
      <c r="C571" s="299"/>
      <c r="D571" s="293"/>
      <c r="E571" s="293"/>
      <c r="F571" s="293"/>
      <c r="G571" s="300"/>
      <c r="H571" s="293"/>
      <c r="I571" s="313"/>
      <c r="J571" s="313"/>
      <c r="K571" s="313"/>
      <c r="L571" s="313"/>
      <c r="M571" s="293"/>
      <c r="N571" s="293"/>
      <c r="O571" s="293"/>
      <c r="P571" s="293"/>
      <c r="Q571" s="293"/>
      <c r="R571" s="293"/>
      <c r="S571" s="293"/>
      <c r="T571" s="293"/>
      <c r="U571" s="293"/>
      <c r="V571" s="293"/>
      <c r="W571" s="293"/>
      <c r="X571" s="293"/>
      <c r="Y571" s="293"/>
      <c r="Z571" s="293"/>
      <c r="AA571" s="293"/>
      <c r="AB571" s="293"/>
      <c r="AC571" s="293"/>
      <c r="AD571" s="293"/>
      <c r="AE571" s="293"/>
      <c r="AF571" s="293"/>
    </row>
    <row r="572" ht="16.5" customHeight="1">
      <c r="A572" s="293"/>
      <c r="B572" s="385"/>
      <c r="C572" s="299"/>
      <c r="D572" s="293"/>
      <c r="E572" s="293"/>
      <c r="F572" s="293"/>
      <c r="G572" s="300"/>
      <c r="H572" s="293"/>
      <c r="I572" s="313"/>
      <c r="J572" s="313"/>
      <c r="K572" s="313"/>
      <c r="L572" s="313"/>
      <c r="M572" s="293"/>
      <c r="N572" s="293"/>
      <c r="O572" s="293"/>
      <c r="P572" s="293"/>
      <c r="Q572" s="293"/>
      <c r="R572" s="293"/>
      <c r="S572" s="293"/>
      <c r="T572" s="293"/>
      <c r="U572" s="293"/>
      <c r="V572" s="293"/>
      <c r="W572" s="293"/>
      <c r="X572" s="293"/>
      <c r="Y572" s="293"/>
      <c r="Z572" s="293"/>
      <c r="AA572" s="293"/>
      <c r="AB572" s="293"/>
      <c r="AC572" s="293"/>
      <c r="AD572" s="293"/>
      <c r="AE572" s="293"/>
      <c r="AF572" s="293"/>
    </row>
    <row r="573" ht="16.5" customHeight="1">
      <c r="A573" s="293"/>
      <c r="B573" s="385"/>
      <c r="C573" s="299"/>
      <c r="D573" s="293"/>
      <c r="E573" s="293"/>
      <c r="F573" s="293"/>
      <c r="G573" s="300"/>
      <c r="H573" s="293"/>
      <c r="I573" s="313"/>
      <c r="J573" s="313"/>
      <c r="K573" s="313"/>
      <c r="L573" s="313"/>
      <c r="M573" s="293"/>
      <c r="N573" s="293"/>
      <c r="O573" s="293"/>
      <c r="P573" s="293"/>
      <c r="Q573" s="293"/>
      <c r="R573" s="293"/>
      <c r="S573" s="293"/>
      <c r="T573" s="293"/>
      <c r="U573" s="293"/>
      <c r="V573" s="293"/>
      <c r="W573" s="293"/>
      <c r="X573" s="293"/>
      <c r="Y573" s="293"/>
      <c r="Z573" s="293"/>
      <c r="AA573" s="293"/>
      <c r="AB573" s="293"/>
      <c r="AC573" s="293"/>
      <c r="AD573" s="293"/>
      <c r="AE573" s="293"/>
      <c r="AF573" s="293"/>
    </row>
    <row r="574" ht="16.5" customHeight="1">
      <c r="A574" s="293"/>
      <c r="B574" s="385"/>
      <c r="C574" s="299"/>
      <c r="D574" s="293"/>
      <c r="E574" s="293"/>
      <c r="F574" s="293"/>
      <c r="G574" s="300"/>
      <c r="H574" s="293"/>
      <c r="I574" s="313"/>
      <c r="J574" s="313"/>
      <c r="K574" s="313"/>
      <c r="L574" s="313"/>
      <c r="M574" s="293"/>
      <c r="N574" s="293"/>
      <c r="O574" s="293"/>
      <c r="P574" s="293"/>
      <c r="Q574" s="293"/>
      <c r="R574" s="293"/>
      <c r="S574" s="293"/>
      <c r="T574" s="293"/>
      <c r="U574" s="293"/>
      <c r="V574" s="293"/>
      <c r="W574" s="293"/>
      <c r="X574" s="293"/>
      <c r="Y574" s="293"/>
      <c r="Z574" s="293"/>
      <c r="AA574" s="293"/>
      <c r="AB574" s="293"/>
      <c r="AC574" s="293"/>
      <c r="AD574" s="293"/>
      <c r="AE574" s="293"/>
      <c r="AF574" s="293"/>
    </row>
    <row r="575" ht="16.5" customHeight="1">
      <c r="A575" s="293"/>
      <c r="B575" s="385"/>
      <c r="C575" s="299"/>
      <c r="D575" s="293"/>
      <c r="E575" s="293"/>
      <c r="F575" s="293"/>
      <c r="G575" s="300"/>
      <c r="H575" s="293"/>
      <c r="I575" s="313"/>
      <c r="J575" s="313"/>
      <c r="K575" s="313"/>
      <c r="L575" s="313"/>
      <c r="M575" s="293"/>
      <c r="N575" s="293"/>
      <c r="O575" s="293"/>
      <c r="P575" s="293"/>
      <c r="Q575" s="293"/>
      <c r="R575" s="293"/>
      <c r="S575" s="293"/>
      <c r="T575" s="293"/>
      <c r="U575" s="293"/>
      <c r="V575" s="293"/>
      <c r="W575" s="293"/>
      <c r="X575" s="293"/>
      <c r="Y575" s="293"/>
      <c r="Z575" s="293"/>
      <c r="AA575" s="293"/>
      <c r="AB575" s="293"/>
      <c r="AC575" s="293"/>
      <c r="AD575" s="293"/>
      <c r="AE575" s="293"/>
      <c r="AF575" s="293"/>
    </row>
    <row r="576" ht="16.5" customHeight="1">
      <c r="A576" s="293"/>
      <c r="B576" s="385"/>
      <c r="C576" s="299"/>
      <c r="D576" s="293"/>
      <c r="E576" s="293"/>
      <c r="F576" s="293"/>
      <c r="G576" s="300"/>
      <c r="H576" s="293"/>
      <c r="I576" s="313"/>
      <c r="J576" s="313"/>
      <c r="K576" s="313"/>
      <c r="L576" s="313"/>
      <c r="M576" s="293"/>
      <c r="N576" s="293"/>
      <c r="O576" s="293"/>
      <c r="P576" s="293"/>
      <c r="Q576" s="293"/>
      <c r="R576" s="293"/>
      <c r="S576" s="293"/>
      <c r="T576" s="293"/>
      <c r="U576" s="293"/>
      <c r="V576" s="293"/>
      <c r="W576" s="293"/>
      <c r="X576" s="293"/>
      <c r="Y576" s="293"/>
      <c r="Z576" s="293"/>
      <c r="AA576" s="293"/>
      <c r="AB576" s="293"/>
      <c r="AC576" s="293"/>
      <c r="AD576" s="293"/>
      <c r="AE576" s="293"/>
      <c r="AF576" s="293"/>
    </row>
    <row r="577" ht="16.5" customHeight="1">
      <c r="A577" s="293"/>
      <c r="B577" s="385"/>
      <c r="C577" s="299"/>
      <c r="D577" s="293"/>
      <c r="E577" s="293"/>
      <c r="F577" s="293"/>
      <c r="G577" s="300"/>
      <c r="H577" s="293"/>
      <c r="I577" s="313"/>
      <c r="J577" s="313"/>
      <c r="K577" s="313"/>
      <c r="L577" s="313"/>
      <c r="M577" s="293"/>
      <c r="N577" s="293"/>
      <c r="O577" s="293"/>
      <c r="P577" s="293"/>
      <c r="Q577" s="293"/>
      <c r="R577" s="293"/>
      <c r="S577" s="293"/>
      <c r="T577" s="293"/>
      <c r="U577" s="293"/>
      <c r="V577" s="293"/>
      <c r="W577" s="293"/>
      <c r="X577" s="293"/>
      <c r="Y577" s="293"/>
      <c r="Z577" s="293"/>
      <c r="AA577" s="293"/>
      <c r="AB577" s="293"/>
      <c r="AC577" s="293"/>
      <c r="AD577" s="293"/>
      <c r="AE577" s="293"/>
      <c r="AF577" s="293"/>
    </row>
    <row r="578" ht="16.5" customHeight="1">
      <c r="A578" s="293"/>
      <c r="B578" s="385"/>
      <c r="C578" s="299"/>
      <c r="D578" s="293"/>
      <c r="E578" s="293"/>
      <c r="F578" s="293"/>
      <c r="G578" s="300"/>
      <c r="H578" s="293"/>
      <c r="I578" s="313"/>
      <c r="J578" s="313"/>
      <c r="K578" s="313"/>
      <c r="L578" s="313"/>
      <c r="M578" s="293"/>
      <c r="N578" s="293"/>
      <c r="O578" s="293"/>
      <c r="P578" s="293"/>
      <c r="Q578" s="293"/>
      <c r="R578" s="293"/>
      <c r="S578" s="293"/>
      <c r="T578" s="293"/>
      <c r="U578" s="293"/>
      <c r="V578" s="293"/>
      <c r="W578" s="293"/>
      <c r="X578" s="293"/>
      <c r="Y578" s="293"/>
      <c r="Z578" s="293"/>
      <c r="AA578" s="293"/>
      <c r="AB578" s="293"/>
      <c r="AC578" s="293"/>
      <c r="AD578" s="293"/>
      <c r="AE578" s="293"/>
      <c r="AF578" s="293"/>
    </row>
    <row r="579" ht="16.5" customHeight="1">
      <c r="A579" s="293"/>
      <c r="B579" s="385"/>
      <c r="C579" s="299"/>
      <c r="D579" s="293"/>
      <c r="E579" s="293"/>
      <c r="F579" s="293"/>
      <c r="G579" s="300"/>
      <c r="H579" s="293"/>
      <c r="I579" s="313"/>
      <c r="J579" s="313"/>
      <c r="K579" s="313"/>
      <c r="L579" s="313"/>
      <c r="M579" s="293"/>
      <c r="N579" s="293"/>
      <c r="O579" s="293"/>
      <c r="P579" s="293"/>
      <c r="Q579" s="293"/>
      <c r="R579" s="293"/>
      <c r="S579" s="293"/>
      <c r="T579" s="293"/>
      <c r="U579" s="293"/>
      <c r="V579" s="293"/>
      <c r="W579" s="293"/>
      <c r="X579" s="293"/>
      <c r="Y579" s="293"/>
      <c r="Z579" s="293"/>
      <c r="AA579" s="293"/>
      <c r="AB579" s="293"/>
      <c r="AC579" s="293"/>
      <c r="AD579" s="293"/>
      <c r="AE579" s="293"/>
      <c r="AF579" s="293"/>
    </row>
    <row r="580" ht="16.5" customHeight="1">
      <c r="A580" s="293"/>
      <c r="B580" s="385"/>
      <c r="C580" s="299"/>
      <c r="D580" s="293"/>
      <c r="E580" s="293"/>
      <c r="F580" s="293"/>
      <c r="G580" s="300"/>
      <c r="H580" s="293"/>
      <c r="I580" s="313"/>
      <c r="J580" s="313"/>
      <c r="K580" s="313"/>
      <c r="L580" s="313"/>
      <c r="M580" s="293"/>
      <c r="N580" s="293"/>
      <c r="O580" s="293"/>
      <c r="P580" s="293"/>
      <c r="Q580" s="293"/>
      <c r="R580" s="293"/>
      <c r="S580" s="293"/>
      <c r="T580" s="293"/>
      <c r="U580" s="293"/>
      <c r="V580" s="293"/>
      <c r="W580" s="293"/>
      <c r="X580" s="293"/>
      <c r="Y580" s="293"/>
      <c r="Z580" s="293"/>
      <c r="AA580" s="293"/>
      <c r="AB580" s="293"/>
      <c r="AC580" s="293"/>
      <c r="AD580" s="293"/>
      <c r="AE580" s="293"/>
      <c r="AF580" s="293"/>
    </row>
    <row r="581" ht="16.5" customHeight="1">
      <c r="A581" s="293"/>
      <c r="B581" s="385"/>
      <c r="C581" s="299"/>
      <c r="D581" s="293"/>
      <c r="E581" s="293"/>
      <c r="F581" s="293"/>
      <c r="G581" s="300"/>
      <c r="H581" s="293"/>
      <c r="I581" s="313"/>
      <c r="J581" s="313"/>
      <c r="K581" s="313"/>
      <c r="L581" s="313"/>
      <c r="M581" s="293"/>
      <c r="N581" s="293"/>
      <c r="O581" s="293"/>
      <c r="P581" s="293"/>
      <c r="Q581" s="293"/>
      <c r="R581" s="293"/>
      <c r="S581" s="293"/>
      <c r="T581" s="293"/>
      <c r="U581" s="293"/>
      <c r="V581" s="293"/>
      <c r="W581" s="293"/>
      <c r="X581" s="293"/>
      <c r="Y581" s="293"/>
      <c r="Z581" s="293"/>
      <c r="AA581" s="293"/>
      <c r="AB581" s="293"/>
      <c r="AC581" s="293"/>
      <c r="AD581" s="293"/>
      <c r="AE581" s="293"/>
      <c r="AF581" s="293"/>
    </row>
    <row r="582" ht="16.5" customHeight="1">
      <c r="A582" s="293"/>
      <c r="B582" s="385"/>
      <c r="C582" s="299"/>
      <c r="D582" s="293"/>
      <c r="E582" s="293"/>
      <c r="F582" s="293"/>
      <c r="G582" s="300"/>
      <c r="H582" s="293"/>
      <c r="I582" s="313"/>
      <c r="J582" s="313"/>
      <c r="K582" s="313"/>
      <c r="L582" s="313"/>
      <c r="M582" s="293"/>
      <c r="N582" s="293"/>
      <c r="O582" s="293"/>
      <c r="P582" s="293"/>
      <c r="Q582" s="293"/>
      <c r="R582" s="293"/>
      <c r="S582" s="293"/>
      <c r="T582" s="293"/>
      <c r="U582" s="293"/>
      <c r="V582" s="293"/>
      <c r="W582" s="293"/>
      <c r="X582" s="293"/>
      <c r="Y582" s="293"/>
      <c r="Z582" s="293"/>
      <c r="AA582" s="293"/>
      <c r="AB582" s="293"/>
      <c r="AC582" s="293"/>
      <c r="AD582" s="293"/>
      <c r="AE582" s="293"/>
      <c r="AF582" s="293"/>
    </row>
    <row r="583" ht="16.5" customHeight="1">
      <c r="A583" s="293"/>
      <c r="B583" s="385"/>
      <c r="C583" s="299"/>
      <c r="D583" s="293"/>
      <c r="E583" s="293"/>
      <c r="F583" s="293"/>
      <c r="G583" s="300"/>
      <c r="H583" s="293"/>
      <c r="I583" s="313"/>
      <c r="J583" s="313"/>
      <c r="K583" s="313"/>
      <c r="L583" s="313"/>
      <c r="M583" s="293"/>
      <c r="N583" s="293"/>
      <c r="O583" s="293"/>
      <c r="P583" s="293"/>
      <c r="Q583" s="293"/>
      <c r="R583" s="293"/>
      <c r="S583" s="293"/>
      <c r="T583" s="293"/>
      <c r="U583" s="293"/>
      <c r="V583" s="293"/>
      <c r="W583" s="293"/>
      <c r="X583" s="293"/>
      <c r="Y583" s="293"/>
      <c r="Z583" s="293"/>
      <c r="AA583" s="293"/>
      <c r="AB583" s="293"/>
      <c r="AC583" s="293"/>
      <c r="AD583" s="293"/>
      <c r="AE583" s="293"/>
      <c r="AF583" s="293"/>
    </row>
    <row r="584" ht="16.5" customHeight="1">
      <c r="A584" s="293"/>
      <c r="B584" s="385"/>
      <c r="C584" s="299"/>
      <c r="D584" s="293"/>
      <c r="E584" s="293"/>
      <c r="F584" s="293"/>
      <c r="G584" s="300"/>
      <c r="H584" s="293"/>
      <c r="I584" s="313"/>
      <c r="J584" s="313"/>
      <c r="K584" s="313"/>
      <c r="L584" s="313"/>
      <c r="M584" s="293"/>
      <c r="N584" s="293"/>
      <c r="O584" s="293"/>
      <c r="P584" s="293"/>
      <c r="Q584" s="293"/>
      <c r="R584" s="293"/>
      <c r="S584" s="293"/>
      <c r="T584" s="293"/>
      <c r="U584" s="293"/>
      <c r="V584" s="293"/>
      <c r="W584" s="293"/>
      <c r="X584" s="293"/>
      <c r="Y584" s="293"/>
      <c r="Z584" s="293"/>
      <c r="AA584" s="293"/>
      <c r="AB584" s="293"/>
      <c r="AC584" s="293"/>
      <c r="AD584" s="293"/>
      <c r="AE584" s="293"/>
      <c r="AF584" s="293"/>
    </row>
    <row r="585" ht="16.5" customHeight="1">
      <c r="A585" s="293"/>
      <c r="B585" s="385"/>
      <c r="C585" s="299"/>
      <c r="D585" s="293"/>
      <c r="E585" s="293"/>
      <c r="F585" s="293"/>
      <c r="G585" s="300"/>
      <c r="H585" s="293"/>
      <c r="I585" s="313"/>
      <c r="J585" s="313"/>
      <c r="K585" s="313"/>
      <c r="L585" s="313"/>
      <c r="M585" s="293"/>
      <c r="N585" s="293"/>
      <c r="O585" s="293"/>
      <c r="P585" s="293"/>
      <c r="Q585" s="293"/>
      <c r="R585" s="293"/>
      <c r="S585" s="293"/>
      <c r="T585" s="293"/>
      <c r="U585" s="293"/>
      <c r="V585" s="293"/>
      <c r="W585" s="293"/>
      <c r="X585" s="293"/>
      <c r="Y585" s="293"/>
      <c r="Z585" s="293"/>
      <c r="AA585" s="293"/>
      <c r="AB585" s="293"/>
      <c r="AC585" s="293"/>
      <c r="AD585" s="293"/>
      <c r="AE585" s="293"/>
      <c r="AF585" s="293"/>
    </row>
    <row r="586" ht="16.5" customHeight="1">
      <c r="A586" s="293"/>
      <c r="B586" s="385"/>
      <c r="C586" s="299"/>
      <c r="D586" s="293"/>
      <c r="E586" s="293"/>
      <c r="F586" s="293"/>
      <c r="G586" s="300"/>
      <c r="H586" s="293"/>
      <c r="I586" s="313"/>
      <c r="J586" s="313"/>
      <c r="K586" s="313"/>
      <c r="L586" s="313"/>
      <c r="M586" s="293"/>
      <c r="N586" s="293"/>
      <c r="O586" s="293"/>
      <c r="P586" s="293"/>
      <c r="Q586" s="293"/>
      <c r="R586" s="293"/>
      <c r="S586" s="293"/>
      <c r="T586" s="293"/>
      <c r="U586" s="293"/>
      <c r="V586" s="293"/>
      <c r="W586" s="293"/>
      <c r="X586" s="293"/>
      <c r="Y586" s="293"/>
      <c r="Z586" s="293"/>
      <c r="AA586" s="293"/>
      <c r="AB586" s="293"/>
      <c r="AC586" s="293"/>
      <c r="AD586" s="293"/>
      <c r="AE586" s="293"/>
      <c r="AF586" s="293"/>
    </row>
    <row r="587" ht="16.5" customHeight="1">
      <c r="A587" s="293"/>
      <c r="B587" s="385"/>
      <c r="C587" s="299"/>
      <c r="D587" s="293"/>
      <c r="E587" s="293"/>
      <c r="F587" s="293"/>
      <c r="G587" s="300"/>
      <c r="H587" s="293"/>
      <c r="I587" s="313"/>
      <c r="J587" s="313"/>
      <c r="K587" s="313"/>
      <c r="L587" s="313"/>
      <c r="M587" s="293"/>
      <c r="N587" s="293"/>
      <c r="O587" s="293"/>
      <c r="P587" s="293"/>
      <c r="Q587" s="293"/>
      <c r="R587" s="293"/>
      <c r="S587" s="293"/>
      <c r="T587" s="293"/>
      <c r="U587" s="293"/>
      <c r="V587" s="293"/>
      <c r="W587" s="293"/>
      <c r="X587" s="293"/>
      <c r="Y587" s="293"/>
      <c r="Z587" s="293"/>
      <c r="AA587" s="293"/>
      <c r="AB587" s="293"/>
      <c r="AC587" s="293"/>
      <c r="AD587" s="293"/>
      <c r="AE587" s="293"/>
      <c r="AF587" s="293"/>
    </row>
    <row r="588" ht="16.5" customHeight="1">
      <c r="A588" s="293"/>
      <c r="B588" s="385"/>
      <c r="C588" s="299"/>
      <c r="D588" s="293"/>
      <c r="E588" s="293"/>
      <c r="F588" s="293"/>
      <c r="G588" s="300"/>
      <c r="H588" s="293"/>
      <c r="I588" s="313"/>
      <c r="J588" s="313"/>
      <c r="K588" s="313"/>
      <c r="L588" s="313"/>
      <c r="M588" s="293"/>
      <c r="N588" s="293"/>
      <c r="O588" s="293"/>
      <c r="P588" s="293"/>
      <c r="Q588" s="293"/>
      <c r="R588" s="293"/>
      <c r="S588" s="293"/>
      <c r="T588" s="293"/>
      <c r="U588" s="293"/>
      <c r="V588" s="293"/>
      <c r="W588" s="293"/>
      <c r="X588" s="293"/>
      <c r="Y588" s="293"/>
      <c r="Z588" s="293"/>
      <c r="AA588" s="293"/>
      <c r="AB588" s="293"/>
      <c r="AC588" s="293"/>
      <c r="AD588" s="293"/>
      <c r="AE588" s="293"/>
      <c r="AF588" s="293"/>
    </row>
    <row r="589" ht="16.5" customHeight="1">
      <c r="A589" s="293"/>
      <c r="B589" s="385"/>
      <c r="C589" s="299"/>
      <c r="D589" s="293"/>
      <c r="E589" s="293"/>
      <c r="F589" s="293"/>
      <c r="G589" s="300"/>
      <c r="H589" s="293"/>
      <c r="I589" s="313"/>
      <c r="J589" s="313"/>
      <c r="K589" s="313"/>
      <c r="L589" s="313"/>
      <c r="M589" s="293"/>
      <c r="N589" s="293"/>
      <c r="O589" s="293"/>
      <c r="P589" s="293"/>
      <c r="Q589" s="293"/>
      <c r="R589" s="293"/>
      <c r="S589" s="293"/>
      <c r="T589" s="293"/>
      <c r="U589" s="293"/>
      <c r="V589" s="293"/>
      <c r="W589" s="293"/>
      <c r="X589" s="293"/>
      <c r="Y589" s="293"/>
      <c r="Z589" s="293"/>
      <c r="AA589" s="293"/>
      <c r="AB589" s="293"/>
      <c r="AC589" s="293"/>
      <c r="AD589" s="293"/>
      <c r="AE589" s="293"/>
      <c r="AF589" s="293"/>
    </row>
    <row r="590" ht="16.5" customHeight="1">
      <c r="A590" s="293"/>
      <c r="B590" s="385"/>
      <c r="C590" s="299"/>
      <c r="D590" s="293"/>
      <c r="E590" s="293"/>
      <c r="F590" s="293"/>
      <c r="G590" s="300"/>
      <c r="H590" s="293"/>
      <c r="I590" s="313"/>
      <c r="J590" s="313"/>
      <c r="K590" s="313"/>
      <c r="L590" s="313"/>
      <c r="M590" s="293"/>
      <c r="N590" s="293"/>
      <c r="O590" s="293"/>
      <c r="P590" s="293"/>
      <c r="Q590" s="293"/>
      <c r="R590" s="293"/>
      <c r="S590" s="293"/>
      <c r="T590" s="293"/>
      <c r="U590" s="293"/>
      <c r="V590" s="293"/>
      <c r="W590" s="293"/>
      <c r="X590" s="293"/>
      <c r="Y590" s="293"/>
      <c r="Z590" s="293"/>
      <c r="AA590" s="293"/>
      <c r="AB590" s="293"/>
      <c r="AC590" s="293"/>
      <c r="AD590" s="293"/>
      <c r="AE590" s="293"/>
      <c r="AF590" s="293"/>
    </row>
    <row r="591" ht="16.5" customHeight="1">
      <c r="A591" s="293"/>
      <c r="B591" s="385"/>
      <c r="C591" s="299"/>
      <c r="D591" s="293"/>
      <c r="E591" s="293"/>
      <c r="F591" s="293"/>
      <c r="G591" s="300"/>
      <c r="H591" s="293"/>
      <c r="I591" s="313"/>
      <c r="J591" s="313"/>
      <c r="K591" s="313"/>
      <c r="L591" s="313"/>
      <c r="M591" s="293"/>
      <c r="N591" s="293"/>
      <c r="O591" s="293"/>
      <c r="P591" s="293"/>
      <c r="Q591" s="293"/>
      <c r="R591" s="293"/>
      <c r="S591" s="293"/>
      <c r="T591" s="293"/>
      <c r="U591" s="293"/>
      <c r="V591" s="293"/>
      <c r="W591" s="293"/>
      <c r="X591" s="293"/>
      <c r="Y591" s="293"/>
      <c r="Z591" s="293"/>
      <c r="AA591" s="293"/>
      <c r="AB591" s="293"/>
      <c r="AC591" s="293"/>
      <c r="AD591" s="293"/>
      <c r="AE591" s="293"/>
      <c r="AF591" s="293"/>
    </row>
    <row r="592" ht="16.5" customHeight="1">
      <c r="A592" s="293"/>
      <c r="B592" s="385"/>
      <c r="C592" s="299"/>
      <c r="D592" s="293"/>
      <c r="E592" s="293"/>
      <c r="F592" s="293"/>
      <c r="G592" s="300"/>
      <c r="H592" s="293"/>
      <c r="I592" s="313"/>
      <c r="J592" s="313"/>
      <c r="K592" s="313"/>
      <c r="L592" s="313"/>
      <c r="M592" s="293"/>
      <c r="N592" s="293"/>
      <c r="O592" s="293"/>
      <c r="P592" s="293"/>
      <c r="Q592" s="293"/>
      <c r="R592" s="293"/>
      <c r="S592" s="293"/>
      <c r="T592" s="293"/>
      <c r="U592" s="293"/>
      <c r="V592" s="293"/>
      <c r="W592" s="293"/>
      <c r="X592" s="293"/>
      <c r="Y592" s="293"/>
      <c r="Z592" s="293"/>
      <c r="AA592" s="293"/>
      <c r="AB592" s="293"/>
      <c r="AC592" s="293"/>
      <c r="AD592" s="293"/>
      <c r="AE592" s="293"/>
      <c r="AF592" s="293"/>
    </row>
    <row r="593" ht="16.5" customHeight="1">
      <c r="A593" s="293"/>
      <c r="B593" s="385"/>
      <c r="C593" s="299"/>
      <c r="D593" s="293"/>
      <c r="E593" s="293"/>
      <c r="F593" s="293"/>
      <c r="G593" s="300"/>
      <c r="H593" s="293"/>
      <c r="I593" s="313"/>
      <c r="J593" s="313"/>
      <c r="K593" s="313"/>
      <c r="L593" s="313"/>
      <c r="M593" s="293"/>
      <c r="N593" s="293"/>
      <c r="O593" s="293"/>
      <c r="P593" s="293"/>
      <c r="Q593" s="293"/>
      <c r="R593" s="293"/>
      <c r="S593" s="293"/>
      <c r="T593" s="293"/>
      <c r="U593" s="293"/>
      <c r="V593" s="293"/>
      <c r="W593" s="293"/>
      <c r="X593" s="293"/>
      <c r="Y593" s="293"/>
      <c r="Z593" s="293"/>
      <c r="AA593" s="293"/>
      <c r="AB593" s="293"/>
      <c r="AC593" s="293"/>
      <c r="AD593" s="293"/>
      <c r="AE593" s="293"/>
      <c r="AF593" s="293"/>
    </row>
    <row r="594" ht="16.5" customHeight="1">
      <c r="A594" s="293"/>
      <c r="B594" s="385"/>
      <c r="C594" s="299"/>
      <c r="D594" s="293"/>
      <c r="E594" s="293"/>
      <c r="F594" s="293"/>
      <c r="G594" s="300"/>
      <c r="H594" s="293"/>
      <c r="I594" s="313"/>
      <c r="J594" s="313"/>
      <c r="K594" s="313"/>
      <c r="L594" s="313"/>
      <c r="M594" s="293"/>
      <c r="N594" s="293"/>
      <c r="O594" s="293"/>
      <c r="P594" s="293"/>
      <c r="Q594" s="293"/>
      <c r="R594" s="293"/>
      <c r="S594" s="293"/>
      <c r="T594" s="293"/>
      <c r="U594" s="293"/>
      <c r="V594" s="293"/>
      <c r="W594" s="293"/>
      <c r="X594" s="293"/>
      <c r="Y594" s="293"/>
      <c r="Z594" s="293"/>
      <c r="AA594" s="293"/>
      <c r="AB594" s="293"/>
      <c r="AC594" s="293"/>
      <c r="AD594" s="293"/>
      <c r="AE594" s="293"/>
      <c r="AF594" s="293"/>
    </row>
    <row r="595" ht="16.5" customHeight="1">
      <c r="A595" s="293"/>
      <c r="B595" s="385"/>
      <c r="C595" s="299"/>
      <c r="D595" s="293"/>
      <c r="E595" s="293"/>
      <c r="F595" s="293"/>
      <c r="G595" s="300"/>
      <c r="H595" s="293"/>
      <c r="I595" s="313"/>
      <c r="J595" s="313"/>
      <c r="K595" s="313"/>
      <c r="L595" s="313"/>
      <c r="M595" s="293"/>
      <c r="N595" s="293"/>
      <c r="O595" s="293"/>
      <c r="P595" s="293"/>
      <c r="Q595" s="293"/>
      <c r="R595" s="293"/>
      <c r="S595" s="293"/>
      <c r="T595" s="293"/>
      <c r="U595" s="293"/>
      <c r="V595" s="293"/>
      <c r="W595" s="293"/>
      <c r="X595" s="293"/>
      <c r="Y595" s="293"/>
      <c r="Z595" s="293"/>
      <c r="AA595" s="293"/>
      <c r="AB595" s="293"/>
      <c r="AC595" s="293"/>
      <c r="AD595" s="293"/>
      <c r="AE595" s="293"/>
      <c r="AF595" s="293"/>
    </row>
    <row r="596" ht="16.5" customHeight="1">
      <c r="A596" s="293"/>
      <c r="B596" s="385"/>
      <c r="C596" s="299"/>
      <c r="D596" s="293"/>
      <c r="E596" s="293"/>
      <c r="F596" s="293"/>
      <c r="G596" s="300"/>
      <c r="H596" s="293"/>
      <c r="I596" s="313"/>
      <c r="J596" s="313"/>
      <c r="K596" s="313"/>
      <c r="L596" s="313"/>
      <c r="M596" s="293"/>
      <c r="N596" s="293"/>
      <c r="O596" s="293"/>
      <c r="P596" s="293"/>
      <c r="Q596" s="293"/>
      <c r="R596" s="293"/>
      <c r="S596" s="293"/>
      <c r="T596" s="293"/>
      <c r="U596" s="293"/>
      <c r="V596" s="293"/>
      <c r="W596" s="293"/>
      <c r="X596" s="293"/>
      <c r="Y596" s="293"/>
      <c r="Z596" s="293"/>
      <c r="AA596" s="293"/>
      <c r="AB596" s="293"/>
      <c r="AC596" s="293"/>
      <c r="AD596" s="293"/>
      <c r="AE596" s="293"/>
      <c r="AF596" s="293"/>
    </row>
    <row r="597" ht="16.5" customHeight="1">
      <c r="A597" s="293"/>
      <c r="B597" s="385"/>
      <c r="C597" s="299"/>
      <c r="D597" s="293"/>
      <c r="E597" s="293"/>
      <c r="F597" s="293"/>
      <c r="G597" s="300"/>
      <c r="H597" s="293"/>
      <c r="I597" s="313"/>
      <c r="J597" s="313"/>
      <c r="K597" s="313"/>
      <c r="L597" s="313"/>
      <c r="M597" s="293"/>
      <c r="N597" s="293"/>
      <c r="O597" s="293"/>
      <c r="P597" s="293"/>
      <c r="Q597" s="293"/>
      <c r="R597" s="293"/>
      <c r="S597" s="293"/>
      <c r="T597" s="293"/>
      <c r="U597" s="293"/>
      <c r="V597" s="293"/>
      <c r="W597" s="293"/>
      <c r="X597" s="293"/>
      <c r="Y597" s="293"/>
      <c r="Z597" s="293"/>
      <c r="AA597" s="293"/>
      <c r="AB597" s="293"/>
      <c r="AC597" s="293"/>
      <c r="AD597" s="293"/>
      <c r="AE597" s="293"/>
      <c r="AF597" s="293"/>
    </row>
    <row r="598" ht="16.5" customHeight="1">
      <c r="A598" s="293"/>
      <c r="B598" s="385"/>
      <c r="C598" s="299"/>
      <c r="D598" s="293"/>
      <c r="E598" s="293"/>
      <c r="F598" s="293"/>
      <c r="G598" s="300"/>
      <c r="H598" s="293"/>
      <c r="I598" s="313"/>
      <c r="J598" s="313"/>
      <c r="K598" s="313"/>
      <c r="L598" s="313"/>
      <c r="M598" s="293"/>
      <c r="N598" s="293"/>
      <c r="O598" s="293"/>
      <c r="P598" s="293"/>
      <c r="Q598" s="293"/>
      <c r="R598" s="293"/>
      <c r="S598" s="293"/>
      <c r="T598" s="293"/>
      <c r="U598" s="293"/>
      <c r="V598" s="293"/>
      <c r="W598" s="293"/>
      <c r="X598" s="293"/>
      <c r="Y598" s="293"/>
      <c r="Z598" s="293"/>
      <c r="AA598" s="293"/>
      <c r="AB598" s="293"/>
      <c r="AC598" s="293"/>
      <c r="AD598" s="293"/>
      <c r="AE598" s="293"/>
      <c r="AF598" s="293"/>
    </row>
    <row r="599" ht="16.5" customHeight="1">
      <c r="A599" s="293"/>
      <c r="B599" s="385"/>
      <c r="C599" s="299"/>
      <c r="D599" s="293"/>
      <c r="E599" s="293"/>
      <c r="F599" s="293"/>
      <c r="G599" s="300"/>
      <c r="H599" s="293"/>
      <c r="I599" s="313"/>
      <c r="J599" s="313"/>
      <c r="K599" s="313"/>
      <c r="L599" s="313"/>
      <c r="M599" s="293"/>
      <c r="N599" s="293"/>
      <c r="O599" s="293"/>
      <c r="P599" s="293"/>
      <c r="Q599" s="293"/>
      <c r="R599" s="293"/>
      <c r="S599" s="293"/>
      <c r="T599" s="293"/>
      <c r="U599" s="293"/>
      <c r="V599" s="293"/>
      <c r="W599" s="293"/>
      <c r="X599" s="293"/>
      <c r="Y599" s="293"/>
      <c r="Z599" s="293"/>
      <c r="AA599" s="293"/>
      <c r="AB599" s="293"/>
      <c r="AC599" s="293"/>
      <c r="AD599" s="293"/>
      <c r="AE599" s="293"/>
      <c r="AF599" s="293"/>
    </row>
    <row r="600" ht="16.5" customHeight="1">
      <c r="A600" s="293"/>
      <c r="B600" s="385"/>
      <c r="C600" s="299"/>
      <c r="D600" s="293"/>
      <c r="E600" s="293"/>
      <c r="F600" s="293"/>
      <c r="G600" s="300"/>
      <c r="H600" s="293"/>
      <c r="I600" s="313"/>
      <c r="J600" s="313"/>
      <c r="K600" s="313"/>
      <c r="L600" s="313"/>
      <c r="M600" s="293"/>
      <c r="N600" s="293"/>
      <c r="O600" s="293"/>
      <c r="P600" s="293"/>
      <c r="Q600" s="293"/>
      <c r="R600" s="293"/>
      <c r="S600" s="293"/>
      <c r="T600" s="293"/>
      <c r="U600" s="293"/>
      <c r="V600" s="293"/>
      <c r="W600" s="293"/>
      <c r="X600" s="293"/>
      <c r="Y600" s="293"/>
      <c r="Z600" s="293"/>
      <c r="AA600" s="293"/>
      <c r="AB600" s="293"/>
      <c r="AC600" s="293"/>
      <c r="AD600" s="293"/>
      <c r="AE600" s="293"/>
      <c r="AF600" s="293"/>
    </row>
    <row r="601" ht="16.5" customHeight="1">
      <c r="A601" s="293"/>
      <c r="B601" s="385"/>
      <c r="C601" s="299"/>
      <c r="D601" s="293"/>
      <c r="E601" s="293"/>
      <c r="F601" s="293"/>
      <c r="G601" s="300"/>
      <c r="H601" s="293"/>
      <c r="I601" s="313"/>
      <c r="J601" s="313"/>
      <c r="K601" s="313"/>
      <c r="L601" s="313"/>
      <c r="M601" s="293"/>
      <c r="N601" s="293"/>
      <c r="O601" s="293"/>
      <c r="P601" s="293"/>
      <c r="Q601" s="293"/>
      <c r="R601" s="293"/>
      <c r="S601" s="293"/>
      <c r="T601" s="293"/>
      <c r="U601" s="293"/>
      <c r="V601" s="293"/>
      <c r="W601" s="293"/>
      <c r="X601" s="293"/>
      <c r="Y601" s="293"/>
      <c r="Z601" s="293"/>
      <c r="AA601" s="293"/>
      <c r="AB601" s="293"/>
      <c r="AC601" s="293"/>
      <c r="AD601" s="293"/>
      <c r="AE601" s="293"/>
      <c r="AF601" s="293"/>
    </row>
    <row r="602" ht="16.5" customHeight="1">
      <c r="A602" s="293"/>
      <c r="B602" s="385"/>
      <c r="C602" s="299"/>
      <c r="D602" s="293"/>
      <c r="E602" s="293"/>
      <c r="F602" s="293"/>
      <c r="G602" s="300"/>
      <c r="H602" s="293"/>
      <c r="I602" s="313"/>
      <c r="J602" s="313"/>
      <c r="K602" s="313"/>
      <c r="L602" s="313"/>
      <c r="M602" s="293"/>
      <c r="N602" s="293"/>
      <c r="O602" s="293"/>
      <c r="P602" s="293"/>
      <c r="Q602" s="293"/>
      <c r="R602" s="293"/>
      <c r="S602" s="293"/>
      <c r="T602" s="293"/>
      <c r="U602" s="293"/>
      <c r="V602" s="293"/>
      <c r="W602" s="293"/>
      <c r="X602" s="293"/>
      <c r="Y602" s="293"/>
      <c r="Z602" s="293"/>
      <c r="AA602" s="293"/>
      <c r="AB602" s="293"/>
      <c r="AC602" s="293"/>
      <c r="AD602" s="293"/>
      <c r="AE602" s="293"/>
      <c r="AF602" s="293"/>
    </row>
    <row r="603" ht="16.5" customHeight="1">
      <c r="A603" s="293"/>
      <c r="B603" s="385"/>
      <c r="C603" s="299"/>
      <c r="D603" s="293"/>
      <c r="E603" s="293"/>
      <c r="F603" s="293"/>
      <c r="G603" s="300"/>
      <c r="H603" s="293"/>
      <c r="I603" s="313"/>
      <c r="J603" s="313"/>
      <c r="K603" s="313"/>
      <c r="L603" s="313"/>
      <c r="M603" s="293"/>
      <c r="N603" s="293"/>
      <c r="O603" s="293"/>
      <c r="P603" s="293"/>
      <c r="Q603" s="293"/>
      <c r="R603" s="293"/>
      <c r="S603" s="293"/>
      <c r="T603" s="293"/>
      <c r="U603" s="293"/>
      <c r="V603" s="293"/>
      <c r="W603" s="293"/>
      <c r="X603" s="293"/>
      <c r="Y603" s="293"/>
      <c r="Z603" s="293"/>
      <c r="AA603" s="293"/>
      <c r="AB603" s="293"/>
      <c r="AC603" s="293"/>
      <c r="AD603" s="293"/>
      <c r="AE603" s="293"/>
      <c r="AF603" s="293"/>
    </row>
    <row r="604" ht="16.5" customHeight="1">
      <c r="A604" s="293"/>
      <c r="B604" s="385"/>
      <c r="C604" s="299"/>
      <c r="D604" s="293"/>
      <c r="E604" s="293"/>
      <c r="F604" s="293"/>
      <c r="G604" s="300"/>
      <c r="H604" s="293"/>
      <c r="I604" s="313"/>
      <c r="J604" s="313"/>
      <c r="K604" s="313"/>
      <c r="L604" s="313"/>
      <c r="M604" s="293"/>
      <c r="N604" s="293"/>
      <c r="O604" s="293"/>
      <c r="P604" s="293"/>
      <c r="Q604" s="293"/>
      <c r="R604" s="293"/>
      <c r="S604" s="293"/>
      <c r="T604" s="293"/>
      <c r="U604" s="293"/>
      <c r="V604" s="293"/>
      <c r="W604" s="293"/>
      <c r="X604" s="293"/>
      <c r="Y604" s="293"/>
      <c r="Z604" s="293"/>
      <c r="AA604" s="293"/>
      <c r="AB604" s="293"/>
      <c r="AC604" s="293"/>
      <c r="AD604" s="293"/>
      <c r="AE604" s="293"/>
      <c r="AF604" s="293"/>
    </row>
    <row r="605" ht="16.5" customHeight="1">
      <c r="A605" s="293"/>
      <c r="B605" s="385"/>
      <c r="C605" s="299"/>
      <c r="D605" s="293"/>
      <c r="E605" s="293"/>
      <c r="F605" s="293"/>
      <c r="G605" s="300"/>
      <c r="H605" s="293"/>
      <c r="I605" s="313"/>
      <c r="J605" s="313"/>
      <c r="K605" s="313"/>
      <c r="L605" s="313"/>
      <c r="M605" s="293"/>
      <c r="N605" s="293"/>
      <c r="O605" s="293"/>
      <c r="P605" s="293"/>
      <c r="Q605" s="293"/>
      <c r="R605" s="293"/>
      <c r="S605" s="293"/>
      <c r="T605" s="293"/>
      <c r="U605" s="293"/>
      <c r="V605" s="293"/>
      <c r="W605" s="293"/>
      <c r="X605" s="293"/>
      <c r="Y605" s="293"/>
      <c r="Z605" s="293"/>
      <c r="AA605" s="293"/>
      <c r="AB605" s="293"/>
      <c r="AC605" s="293"/>
      <c r="AD605" s="293"/>
      <c r="AE605" s="293"/>
      <c r="AF605" s="293"/>
    </row>
    <row r="606" ht="16.5" customHeight="1">
      <c r="A606" s="293"/>
      <c r="B606" s="385"/>
      <c r="C606" s="299"/>
      <c r="D606" s="293"/>
      <c r="E606" s="293"/>
      <c r="F606" s="293"/>
      <c r="G606" s="300"/>
      <c r="H606" s="293"/>
      <c r="I606" s="313"/>
      <c r="J606" s="313"/>
      <c r="K606" s="313"/>
      <c r="L606" s="313"/>
      <c r="M606" s="293"/>
      <c r="N606" s="293"/>
      <c r="O606" s="293"/>
      <c r="P606" s="293"/>
      <c r="Q606" s="293"/>
      <c r="R606" s="293"/>
      <c r="S606" s="293"/>
      <c r="T606" s="293"/>
      <c r="U606" s="293"/>
      <c r="V606" s="293"/>
      <c r="W606" s="293"/>
      <c r="X606" s="293"/>
      <c r="Y606" s="293"/>
      <c r="Z606" s="293"/>
      <c r="AA606" s="293"/>
      <c r="AB606" s="293"/>
      <c r="AC606" s="293"/>
      <c r="AD606" s="293"/>
      <c r="AE606" s="293"/>
      <c r="AF606" s="293"/>
    </row>
    <row r="607" ht="16.5" customHeight="1">
      <c r="A607" s="293"/>
      <c r="B607" s="385"/>
      <c r="C607" s="299"/>
      <c r="D607" s="293"/>
      <c r="E607" s="293"/>
      <c r="F607" s="293"/>
      <c r="G607" s="300"/>
      <c r="H607" s="293"/>
      <c r="I607" s="313"/>
      <c r="J607" s="313"/>
      <c r="K607" s="313"/>
      <c r="L607" s="313"/>
      <c r="M607" s="293"/>
      <c r="N607" s="293"/>
      <c r="O607" s="293"/>
      <c r="P607" s="293"/>
      <c r="Q607" s="293"/>
      <c r="R607" s="293"/>
      <c r="S607" s="293"/>
      <c r="T607" s="293"/>
      <c r="U607" s="293"/>
      <c r="V607" s="293"/>
      <c r="W607" s="293"/>
      <c r="X607" s="293"/>
      <c r="Y607" s="293"/>
      <c r="Z607" s="293"/>
      <c r="AA607" s="293"/>
      <c r="AB607" s="293"/>
      <c r="AC607" s="293"/>
      <c r="AD607" s="293"/>
      <c r="AE607" s="293"/>
      <c r="AF607" s="293"/>
    </row>
    <row r="608" ht="16.5" customHeight="1">
      <c r="A608" s="293"/>
      <c r="B608" s="385"/>
      <c r="C608" s="299"/>
      <c r="D608" s="293"/>
      <c r="E608" s="293"/>
      <c r="F608" s="293"/>
      <c r="G608" s="300"/>
      <c r="H608" s="293"/>
      <c r="I608" s="313"/>
      <c r="J608" s="313"/>
      <c r="K608" s="313"/>
      <c r="L608" s="313"/>
      <c r="M608" s="293"/>
      <c r="N608" s="293"/>
      <c r="O608" s="293"/>
      <c r="P608" s="293"/>
      <c r="Q608" s="293"/>
      <c r="R608" s="293"/>
      <c r="S608" s="293"/>
      <c r="T608" s="293"/>
      <c r="U608" s="293"/>
      <c r="V608" s="293"/>
      <c r="W608" s="293"/>
      <c r="X608" s="293"/>
      <c r="Y608" s="293"/>
      <c r="Z608" s="293"/>
      <c r="AA608" s="293"/>
      <c r="AB608" s="293"/>
      <c r="AC608" s="293"/>
      <c r="AD608" s="293"/>
      <c r="AE608" s="293"/>
      <c r="AF608" s="293"/>
    </row>
    <row r="609" ht="16.5" customHeight="1">
      <c r="A609" s="293"/>
      <c r="B609" s="385"/>
      <c r="C609" s="299"/>
      <c r="D609" s="293"/>
      <c r="E609" s="293"/>
      <c r="F609" s="293"/>
      <c r="G609" s="300"/>
      <c r="H609" s="293"/>
      <c r="I609" s="313"/>
      <c r="J609" s="313"/>
      <c r="K609" s="313"/>
      <c r="L609" s="313"/>
      <c r="M609" s="293"/>
      <c r="N609" s="293"/>
      <c r="O609" s="293"/>
      <c r="P609" s="293"/>
      <c r="Q609" s="293"/>
      <c r="R609" s="293"/>
      <c r="S609" s="293"/>
      <c r="T609" s="293"/>
      <c r="U609" s="293"/>
      <c r="V609" s="293"/>
      <c r="W609" s="293"/>
      <c r="X609" s="293"/>
      <c r="Y609" s="293"/>
      <c r="Z609" s="293"/>
      <c r="AA609" s="293"/>
      <c r="AB609" s="293"/>
      <c r="AC609" s="293"/>
      <c r="AD609" s="293"/>
      <c r="AE609" s="293"/>
      <c r="AF609" s="293"/>
    </row>
    <row r="610" ht="16.5" customHeight="1">
      <c r="A610" s="293"/>
      <c r="B610" s="385"/>
      <c r="C610" s="299"/>
      <c r="D610" s="293"/>
      <c r="E610" s="293"/>
      <c r="F610" s="293"/>
      <c r="G610" s="300"/>
      <c r="H610" s="293"/>
      <c r="I610" s="313"/>
      <c r="J610" s="313"/>
      <c r="K610" s="313"/>
      <c r="L610" s="313"/>
      <c r="M610" s="293"/>
      <c r="N610" s="293"/>
      <c r="O610" s="293"/>
      <c r="P610" s="293"/>
      <c r="Q610" s="293"/>
      <c r="R610" s="293"/>
      <c r="S610" s="293"/>
      <c r="T610" s="293"/>
      <c r="U610" s="293"/>
      <c r="V610" s="293"/>
      <c r="W610" s="293"/>
      <c r="X610" s="293"/>
      <c r="Y610" s="293"/>
      <c r="Z610" s="293"/>
      <c r="AA610" s="293"/>
      <c r="AB610" s="293"/>
      <c r="AC610" s="293"/>
      <c r="AD610" s="293"/>
      <c r="AE610" s="293"/>
      <c r="AF610" s="293"/>
    </row>
    <row r="611" ht="16.5" customHeight="1">
      <c r="A611" s="293"/>
      <c r="B611" s="385"/>
      <c r="C611" s="299"/>
      <c r="D611" s="293"/>
      <c r="E611" s="293"/>
      <c r="F611" s="293"/>
      <c r="G611" s="300"/>
      <c r="H611" s="293"/>
      <c r="I611" s="313"/>
      <c r="J611" s="313"/>
      <c r="K611" s="313"/>
      <c r="L611" s="313"/>
      <c r="M611" s="293"/>
      <c r="N611" s="293"/>
      <c r="O611" s="293"/>
      <c r="P611" s="293"/>
      <c r="Q611" s="293"/>
      <c r="R611" s="293"/>
      <c r="S611" s="293"/>
      <c r="T611" s="293"/>
      <c r="U611" s="293"/>
      <c r="V611" s="293"/>
      <c r="W611" s="293"/>
      <c r="X611" s="293"/>
      <c r="Y611" s="293"/>
      <c r="Z611" s="293"/>
      <c r="AA611" s="293"/>
      <c r="AB611" s="293"/>
      <c r="AC611" s="293"/>
      <c r="AD611" s="293"/>
      <c r="AE611" s="293"/>
      <c r="AF611" s="293"/>
    </row>
    <row r="612" ht="16.5" customHeight="1">
      <c r="A612" s="293"/>
      <c r="B612" s="385"/>
      <c r="C612" s="299"/>
      <c r="D612" s="293"/>
      <c r="E612" s="293"/>
      <c r="F612" s="293"/>
      <c r="G612" s="300"/>
      <c r="H612" s="293"/>
      <c r="I612" s="313"/>
      <c r="J612" s="313"/>
      <c r="K612" s="313"/>
      <c r="L612" s="313"/>
      <c r="M612" s="293"/>
      <c r="N612" s="293"/>
      <c r="O612" s="293"/>
      <c r="P612" s="293"/>
      <c r="Q612" s="293"/>
      <c r="R612" s="293"/>
      <c r="S612" s="293"/>
      <c r="T612" s="293"/>
      <c r="U612" s="293"/>
      <c r="V612" s="293"/>
      <c r="W612" s="293"/>
      <c r="X612" s="293"/>
      <c r="Y612" s="293"/>
      <c r="Z612" s="293"/>
      <c r="AA612" s="293"/>
      <c r="AB612" s="293"/>
      <c r="AC612" s="293"/>
      <c r="AD612" s="293"/>
      <c r="AE612" s="293"/>
      <c r="AF612" s="293"/>
    </row>
    <row r="613" ht="16.5" customHeight="1">
      <c r="A613" s="293"/>
      <c r="B613" s="385"/>
      <c r="C613" s="299"/>
      <c r="D613" s="293"/>
      <c r="E613" s="293"/>
      <c r="F613" s="293"/>
      <c r="G613" s="300"/>
      <c r="H613" s="293"/>
      <c r="I613" s="313"/>
      <c r="J613" s="313"/>
      <c r="K613" s="313"/>
      <c r="L613" s="313"/>
      <c r="M613" s="293"/>
      <c r="N613" s="293"/>
      <c r="O613" s="293"/>
      <c r="P613" s="293"/>
      <c r="Q613" s="293"/>
      <c r="R613" s="293"/>
      <c r="S613" s="293"/>
      <c r="T613" s="293"/>
      <c r="U613" s="293"/>
      <c r="V613" s="293"/>
      <c r="W613" s="293"/>
      <c r="X613" s="293"/>
      <c r="Y613" s="293"/>
      <c r="Z613" s="293"/>
      <c r="AA613" s="293"/>
      <c r="AB613" s="293"/>
      <c r="AC613" s="293"/>
      <c r="AD613" s="293"/>
      <c r="AE613" s="293"/>
      <c r="AF613" s="293"/>
    </row>
    <row r="614" ht="16.5" customHeight="1">
      <c r="A614" s="293"/>
      <c r="B614" s="385"/>
      <c r="C614" s="299"/>
      <c r="D614" s="293"/>
      <c r="E614" s="293"/>
      <c r="F614" s="293"/>
      <c r="G614" s="300"/>
      <c r="H614" s="293"/>
      <c r="I614" s="313"/>
      <c r="J614" s="313"/>
      <c r="K614" s="313"/>
      <c r="L614" s="313"/>
      <c r="M614" s="293"/>
      <c r="N614" s="293"/>
      <c r="O614" s="293"/>
      <c r="P614" s="293"/>
      <c r="Q614" s="293"/>
      <c r="R614" s="293"/>
      <c r="S614" s="293"/>
      <c r="T614" s="293"/>
      <c r="U614" s="293"/>
      <c r="V614" s="293"/>
      <c r="W614" s="293"/>
      <c r="X614" s="293"/>
      <c r="Y614" s="293"/>
      <c r="Z614" s="293"/>
      <c r="AA614" s="293"/>
      <c r="AB614" s="293"/>
      <c r="AC614" s="293"/>
      <c r="AD614" s="293"/>
      <c r="AE614" s="293"/>
      <c r="AF614" s="293"/>
    </row>
    <row r="615" ht="16.5" customHeight="1">
      <c r="A615" s="293"/>
      <c r="B615" s="385"/>
      <c r="C615" s="299"/>
      <c r="D615" s="293"/>
      <c r="E615" s="293"/>
      <c r="F615" s="293"/>
      <c r="G615" s="300"/>
      <c r="H615" s="293"/>
      <c r="I615" s="313"/>
      <c r="J615" s="313"/>
      <c r="K615" s="313"/>
      <c r="L615" s="313"/>
      <c r="M615" s="293"/>
      <c r="N615" s="293"/>
      <c r="O615" s="293"/>
      <c r="P615" s="293"/>
      <c r="Q615" s="293"/>
      <c r="R615" s="293"/>
      <c r="S615" s="293"/>
      <c r="T615" s="293"/>
      <c r="U615" s="293"/>
      <c r="V615" s="293"/>
      <c r="W615" s="293"/>
      <c r="X615" s="293"/>
      <c r="Y615" s="293"/>
      <c r="Z615" s="293"/>
      <c r="AA615" s="293"/>
      <c r="AB615" s="293"/>
      <c r="AC615" s="293"/>
      <c r="AD615" s="293"/>
      <c r="AE615" s="293"/>
      <c r="AF615" s="293"/>
    </row>
    <row r="616" ht="16.5" customHeight="1">
      <c r="A616" s="293"/>
      <c r="B616" s="385"/>
      <c r="C616" s="299"/>
      <c r="D616" s="293"/>
      <c r="E616" s="293"/>
      <c r="F616" s="293"/>
      <c r="G616" s="300"/>
      <c r="H616" s="293"/>
      <c r="I616" s="313"/>
      <c r="J616" s="313"/>
      <c r="K616" s="313"/>
      <c r="L616" s="313"/>
      <c r="M616" s="293"/>
      <c r="N616" s="293"/>
      <c r="O616" s="293"/>
      <c r="P616" s="293"/>
      <c r="Q616" s="293"/>
      <c r="R616" s="293"/>
      <c r="S616" s="293"/>
      <c r="T616" s="293"/>
      <c r="U616" s="293"/>
      <c r="V616" s="293"/>
      <c r="W616" s="293"/>
      <c r="X616" s="293"/>
      <c r="Y616" s="293"/>
      <c r="Z616" s="293"/>
      <c r="AA616" s="293"/>
      <c r="AB616" s="293"/>
      <c r="AC616" s="293"/>
      <c r="AD616" s="293"/>
      <c r="AE616" s="293"/>
      <c r="AF616" s="293"/>
    </row>
    <row r="617" ht="16.5" customHeight="1">
      <c r="A617" s="293"/>
      <c r="B617" s="385"/>
      <c r="C617" s="299"/>
      <c r="D617" s="293"/>
      <c r="E617" s="293"/>
      <c r="F617" s="293"/>
      <c r="G617" s="300"/>
      <c r="H617" s="293"/>
      <c r="I617" s="313"/>
      <c r="J617" s="313"/>
      <c r="K617" s="313"/>
      <c r="L617" s="313"/>
      <c r="M617" s="293"/>
      <c r="N617" s="293"/>
      <c r="O617" s="293"/>
      <c r="P617" s="293"/>
      <c r="Q617" s="293"/>
      <c r="R617" s="293"/>
      <c r="S617" s="293"/>
      <c r="T617" s="293"/>
      <c r="U617" s="293"/>
      <c r="V617" s="293"/>
      <c r="W617" s="293"/>
      <c r="X617" s="293"/>
      <c r="Y617" s="293"/>
      <c r="Z617" s="293"/>
      <c r="AA617" s="293"/>
      <c r="AB617" s="293"/>
      <c r="AC617" s="293"/>
      <c r="AD617" s="293"/>
      <c r="AE617" s="293"/>
      <c r="AF617" s="293"/>
    </row>
    <row r="618" ht="16.5" customHeight="1">
      <c r="A618" s="293"/>
      <c r="B618" s="385"/>
      <c r="C618" s="299"/>
      <c r="D618" s="293"/>
      <c r="E618" s="293"/>
      <c r="F618" s="293"/>
      <c r="G618" s="300"/>
      <c r="H618" s="293"/>
      <c r="I618" s="313"/>
      <c r="J618" s="313"/>
      <c r="K618" s="313"/>
      <c r="L618" s="313"/>
      <c r="M618" s="293"/>
      <c r="N618" s="293"/>
      <c r="O618" s="293"/>
      <c r="P618" s="293"/>
      <c r="Q618" s="293"/>
      <c r="R618" s="293"/>
      <c r="S618" s="293"/>
      <c r="T618" s="293"/>
      <c r="U618" s="293"/>
      <c r="V618" s="293"/>
      <c r="W618" s="293"/>
      <c r="X618" s="293"/>
      <c r="Y618" s="293"/>
      <c r="Z618" s="293"/>
      <c r="AA618" s="293"/>
      <c r="AB618" s="293"/>
      <c r="AC618" s="293"/>
      <c r="AD618" s="293"/>
      <c r="AE618" s="293"/>
      <c r="AF618" s="293"/>
    </row>
    <row r="619" ht="16.5" customHeight="1">
      <c r="A619" s="293"/>
      <c r="B619" s="385"/>
      <c r="C619" s="299"/>
      <c r="D619" s="293"/>
      <c r="E619" s="293"/>
      <c r="F619" s="293"/>
      <c r="G619" s="300"/>
      <c r="H619" s="293"/>
      <c r="I619" s="313"/>
      <c r="J619" s="313"/>
      <c r="K619" s="313"/>
      <c r="L619" s="313"/>
      <c r="M619" s="293"/>
      <c r="N619" s="293"/>
      <c r="O619" s="293"/>
      <c r="P619" s="293"/>
      <c r="Q619" s="293"/>
      <c r="R619" s="293"/>
      <c r="S619" s="293"/>
      <c r="T619" s="293"/>
      <c r="U619" s="293"/>
      <c r="V619" s="293"/>
      <c r="W619" s="293"/>
      <c r="X619" s="293"/>
      <c r="Y619" s="293"/>
      <c r="Z619" s="293"/>
      <c r="AA619" s="293"/>
      <c r="AB619" s="293"/>
      <c r="AC619" s="293"/>
      <c r="AD619" s="293"/>
      <c r="AE619" s="293"/>
      <c r="AF619" s="293"/>
    </row>
    <row r="620" ht="16.5" customHeight="1">
      <c r="A620" s="293"/>
      <c r="B620" s="385"/>
      <c r="C620" s="299"/>
      <c r="D620" s="293"/>
      <c r="E620" s="293"/>
      <c r="F620" s="293"/>
      <c r="G620" s="300"/>
      <c r="H620" s="293"/>
      <c r="I620" s="313"/>
      <c r="J620" s="313"/>
      <c r="K620" s="313"/>
      <c r="L620" s="313"/>
      <c r="M620" s="293"/>
      <c r="N620" s="293"/>
      <c r="O620" s="293"/>
      <c r="P620" s="293"/>
      <c r="Q620" s="293"/>
      <c r="R620" s="293"/>
      <c r="S620" s="293"/>
      <c r="T620" s="293"/>
      <c r="U620" s="293"/>
      <c r="V620" s="293"/>
      <c r="W620" s="293"/>
      <c r="X620" s="293"/>
      <c r="Y620" s="293"/>
      <c r="Z620" s="293"/>
      <c r="AA620" s="293"/>
      <c r="AB620" s="293"/>
      <c r="AC620" s="293"/>
      <c r="AD620" s="293"/>
      <c r="AE620" s="293"/>
      <c r="AF620" s="293"/>
    </row>
    <row r="621" ht="16.5" customHeight="1">
      <c r="A621" s="293"/>
      <c r="B621" s="385"/>
      <c r="C621" s="299"/>
      <c r="D621" s="293"/>
      <c r="E621" s="293"/>
      <c r="F621" s="293"/>
      <c r="G621" s="300"/>
      <c r="H621" s="293"/>
      <c r="I621" s="313"/>
      <c r="J621" s="313"/>
      <c r="K621" s="313"/>
      <c r="L621" s="313"/>
      <c r="M621" s="293"/>
      <c r="N621" s="293"/>
      <c r="O621" s="293"/>
      <c r="P621" s="293"/>
      <c r="Q621" s="293"/>
      <c r="R621" s="293"/>
      <c r="S621" s="293"/>
      <c r="T621" s="293"/>
      <c r="U621" s="293"/>
      <c r="V621" s="293"/>
      <c r="W621" s="293"/>
      <c r="X621" s="293"/>
      <c r="Y621" s="293"/>
      <c r="Z621" s="293"/>
      <c r="AA621" s="293"/>
      <c r="AB621" s="293"/>
      <c r="AC621" s="293"/>
      <c r="AD621" s="293"/>
      <c r="AE621" s="293"/>
      <c r="AF621" s="293"/>
    </row>
    <row r="622" ht="16.5" customHeight="1">
      <c r="A622" s="293"/>
      <c r="B622" s="385"/>
      <c r="C622" s="299"/>
      <c r="D622" s="293"/>
      <c r="E622" s="293"/>
      <c r="F622" s="293"/>
      <c r="G622" s="300"/>
      <c r="H622" s="293"/>
      <c r="I622" s="313"/>
      <c r="J622" s="313"/>
      <c r="K622" s="313"/>
      <c r="L622" s="313"/>
      <c r="M622" s="293"/>
      <c r="N622" s="293"/>
      <c r="O622" s="293"/>
      <c r="P622" s="293"/>
      <c r="Q622" s="293"/>
      <c r="R622" s="293"/>
      <c r="S622" s="293"/>
      <c r="T622" s="293"/>
      <c r="U622" s="293"/>
      <c r="V622" s="293"/>
      <c r="W622" s="293"/>
      <c r="X622" s="293"/>
      <c r="Y622" s="293"/>
      <c r="Z622" s="293"/>
      <c r="AA622" s="293"/>
      <c r="AB622" s="293"/>
      <c r="AC622" s="293"/>
      <c r="AD622" s="293"/>
      <c r="AE622" s="293"/>
      <c r="AF622" s="293"/>
    </row>
    <row r="623" ht="16.5" customHeight="1">
      <c r="A623" s="293"/>
      <c r="B623" s="385"/>
      <c r="C623" s="299"/>
      <c r="D623" s="293"/>
      <c r="E623" s="293"/>
      <c r="F623" s="293"/>
      <c r="G623" s="300"/>
      <c r="H623" s="293"/>
      <c r="I623" s="313"/>
      <c r="J623" s="313"/>
      <c r="K623" s="313"/>
      <c r="L623" s="313"/>
      <c r="M623" s="293"/>
      <c r="N623" s="293"/>
      <c r="O623" s="293"/>
      <c r="P623" s="293"/>
      <c r="Q623" s="293"/>
      <c r="R623" s="293"/>
      <c r="S623" s="293"/>
      <c r="T623" s="293"/>
      <c r="U623" s="293"/>
      <c r="V623" s="293"/>
      <c r="W623" s="293"/>
      <c r="X623" s="293"/>
      <c r="Y623" s="293"/>
      <c r="Z623" s="293"/>
      <c r="AA623" s="293"/>
      <c r="AB623" s="293"/>
      <c r="AC623" s="293"/>
      <c r="AD623" s="293"/>
      <c r="AE623" s="293"/>
      <c r="AF623" s="293"/>
    </row>
    <row r="624" ht="16.5" customHeight="1">
      <c r="A624" s="293"/>
      <c r="B624" s="385"/>
      <c r="C624" s="299"/>
      <c r="D624" s="293"/>
      <c r="E624" s="293"/>
      <c r="F624" s="293"/>
      <c r="G624" s="300"/>
      <c r="H624" s="293"/>
      <c r="I624" s="313"/>
      <c r="J624" s="313"/>
      <c r="K624" s="313"/>
      <c r="L624" s="313"/>
      <c r="M624" s="293"/>
      <c r="N624" s="293"/>
      <c r="O624" s="293"/>
      <c r="P624" s="293"/>
      <c r="Q624" s="293"/>
      <c r="R624" s="293"/>
      <c r="S624" s="293"/>
      <c r="T624" s="293"/>
      <c r="U624" s="293"/>
      <c r="V624" s="293"/>
      <c r="W624" s="293"/>
      <c r="X624" s="293"/>
      <c r="Y624" s="293"/>
      <c r="Z624" s="293"/>
      <c r="AA624" s="293"/>
      <c r="AB624" s="293"/>
      <c r="AC624" s="293"/>
      <c r="AD624" s="293"/>
      <c r="AE624" s="293"/>
      <c r="AF624" s="293"/>
    </row>
    <row r="625" ht="16.5" customHeight="1">
      <c r="A625" s="293"/>
      <c r="B625" s="385"/>
      <c r="C625" s="299"/>
      <c r="D625" s="293"/>
      <c r="E625" s="293"/>
      <c r="F625" s="293"/>
      <c r="G625" s="300"/>
      <c r="H625" s="293"/>
      <c r="I625" s="313"/>
      <c r="J625" s="313"/>
      <c r="K625" s="313"/>
      <c r="L625" s="313"/>
      <c r="M625" s="293"/>
      <c r="N625" s="293"/>
      <c r="O625" s="293"/>
      <c r="P625" s="293"/>
      <c r="Q625" s="293"/>
      <c r="R625" s="293"/>
      <c r="S625" s="293"/>
      <c r="T625" s="293"/>
      <c r="U625" s="293"/>
      <c r="V625" s="293"/>
      <c r="W625" s="293"/>
      <c r="X625" s="293"/>
      <c r="Y625" s="293"/>
      <c r="Z625" s="293"/>
      <c r="AA625" s="293"/>
      <c r="AB625" s="293"/>
      <c r="AC625" s="293"/>
      <c r="AD625" s="293"/>
      <c r="AE625" s="293"/>
      <c r="AF625" s="293"/>
    </row>
    <row r="626" ht="16.5" customHeight="1">
      <c r="A626" s="293"/>
      <c r="B626" s="385"/>
      <c r="C626" s="299"/>
      <c r="D626" s="293"/>
      <c r="E626" s="293"/>
      <c r="F626" s="293"/>
      <c r="G626" s="300"/>
      <c r="H626" s="293"/>
      <c r="I626" s="313"/>
      <c r="J626" s="313"/>
      <c r="K626" s="313"/>
      <c r="L626" s="313"/>
      <c r="M626" s="293"/>
      <c r="N626" s="293"/>
      <c r="O626" s="293"/>
      <c r="P626" s="293"/>
      <c r="Q626" s="293"/>
      <c r="R626" s="293"/>
      <c r="S626" s="293"/>
      <c r="T626" s="293"/>
      <c r="U626" s="293"/>
      <c r="V626" s="293"/>
      <c r="W626" s="293"/>
      <c r="X626" s="293"/>
      <c r="Y626" s="293"/>
      <c r="Z626" s="293"/>
      <c r="AA626" s="293"/>
      <c r="AB626" s="293"/>
      <c r="AC626" s="293"/>
      <c r="AD626" s="293"/>
      <c r="AE626" s="293"/>
      <c r="AF626" s="293"/>
    </row>
    <row r="627" ht="16.5" customHeight="1">
      <c r="A627" s="293"/>
      <c r="B627" s="385"/>
      <c r="C627" s="299"/>
      <c r="D627" s="293"/>
      <c r="E627" s="293"/>
      <c r="F627" s="293"/>
      <c r="G627" s="300"/>
      <c r="H627" s="293"/>
      <c r="I627" s="313"/>
      <c r="J627" s="313"/>
      <c r="K627" s="313"/>
      <c r="L627" s="313"/>
      <c r="M627" s="293"/>
      <c r="N627" s="293"/>
      <c r="O627" s="293"/>
      <c r="P627" s="293"/>
      <c r="Q627" s="293"/>
      <c r="R627" s="293"/>
      <c r="S627" s="293"/>
      <c r="T627" s="293"/>
      <c r="U627" s="293"/>
      <c r="V627" s="293"/>
      <c r="W627" s="293"/>
      <c r="X627" s="293"/>
      <c r="Y627" s="293"/>
      <c r="Z627" s="293"/>
      <c r="AA627" s="293"/>
      <c r="AB627" s="293"/>
      <c r="AC627" s="293"/>
      <c r="AD627" s="293"/>
      <c r="AE627" s="293"/>
      <c r="AF627" s="293"/>
    </row>
    <row r="628" ht="16.5" customHeight="1">
      <c r="A628" s="293"/>
      <c r="B628" s="385"/>
      <c r="C628" s="299"/>
      <c r="D628" s="293"/>
      <c r="E628" s="293"/>
      <c r="F628" s="293"/>
      <c r="G628" s="300"/>
      <c r="H628" s="293"/>
      <c r="I628" s="313"/>
      <c r="J628" s="313"/>
      <c r="K628" s="313"/>
      <c r="L628" s="313"/>
      <c r="M628" s="293"/>
      <c r="N628" s="293"/>
      <c r="O628" s="293"/>
      <c r="P628" s="293"/>
      <c r="Q628" s="293"/>
      <c r="R628" s="293"/>
      <c r="S628" s="293"/>
      <c r="T628" s="293"/>
      <c r="U628" s="293"/>
      <c r="V628" s="293"/>
      <c r="W628" s="293"/>
      <c r="X628" s="293"/>
      <c r="Y628" s="293"/>
      <c r="Z628" s="293"/>
      <c r="AA628" s="293"/>
      <c r="AB628" s="293"/>
      <c r="AC628" s="293"/>
      <c r="AD628" s="293"/>
      <c r="AE628" s="293"/>
      <c r="AF628" s="293"/>
    </row>
    <row r="629" ht="16.5" customHeight="1">
      <c r="A629" s="293"/>
      <c r="B629" s="385"/>
      <c r="C629" s="299"/>
      <c r="D629" s="293"/>
      <c r="E629" s="293"/>
      <c r="F629" s="293"/>
      <c r="G629" s="300"/>
      <c r="H629" s="293"/>
      <c r="I629" s="313"/>
      <c r="J629" s="313"/>
      <c r="K629" s="313"/>
      <c r="L629" s="313"/>
      <c r="M629" s="293"/>
      <c r="N629" s="293"/>
      <c r="O629" s="293"/>
      <c r="P629" s="293"/>
      <c r="Q629" s="293"/>
      <c r="R629" s="293"/>
      <c r="S629" s="293"/>
      <c r="T629" s="293"/>
      <c r="U629" s="293"/>
      <c r="V629" s="293"/>
      <c r="W629" s="293"/>
      <c r="X629" s="293"/>
      <c r="Y629" s="293"/>
      <c r="Z629" s="293"/>
      <c r="AA629" s="293"/>
      <c r="AB629" s="293"/>
      <c r="AC629" s="293"/>
      <c r="AD629" s="293"/>
      <c r="AE629" s="293"/>
      <c r="AF629" s="293"/>
    </row>
    <row r="630" ht="16.5" customHeight="1">
      <c r="A630" s="293"/>
      <c r="B630" s="385"/>
      <c r="C630" s="299"/>
      <c r="D630" s="293"/>
      <c r="E630" s="293"/>
      <c r="F630" s="293"/>
      <c r="G630" s="300"/>
      <c r="H630" s="293"/>
      <c r="I630" s="313"/>
      <c r="J630" s="313"/>
      <c r="K630" s="313"/>
      <c r="L630" s="313"/>
      <c r="M630" s="293"/>
      <c r="N630" s="293"/>
      <c r="O630" s="293"/>
      <c r="P630" s="293"/>
      <c r="Q630" s="293"/>
      <c r="R630" s="293"/>
      <c r="S630" s="293"/>
      <c r="T630" s="293"/>
      <c r="U630" s="293"/>
      <c r="V630" s="293"/>
      <c r="W630" s="293"/>
      <c r="X630" s="293"/>
      <c r="Y630" s="293"/>
      <c r="Z630" s="293"/>
      <c r="AA630" s="293"/>
      <c r="AB630" s="293"/>
      <c r="AC630" s="293"/>
      <c r="AD630" s="293"/>
      <c r="AE630" s="293"/>
      <c r="AF630" s="293"/>
    </row>
    <row r="631" ht="16.5" customHeight="1">
      <c r="A631" s="293"/>
      <c r="B631" s="385"/>
      <c r="C631" s="299"/>
      <c r="D631" s="293"/>
      <c r="E631" s="293"/>
      <c r="F631" s="293"/>
      <c r="G631" s="300"/>
      <c r="H631" s="293"/>
      <c r="I631" s="313"/>
      <c r="J631" s="313"/>
      <c r="K631" s="313"/>
      <c r="L631" s="313"/>
      <c r="M631" s="293"/>
      <c r="N631" s="293"/>
      <c r="O631" s="293"/>
      <c r="P631" s="293"/>
      <c r="Q631" s="293"/>
      <c r="R631" s="293"/>
      <c r="S631" s="293"/>
      <c r="T631" s="293"/>
      <c r="U631" s="293"/>
      <c r="V631" s="293"/>
      <c r="W631" s="293"/>
      <c r="X631" s="293"/>
      <c r="Y631" s="293"/>
      <c r="Z631" s="293"/>
      <c r="AA631" s="293"/>
      <c r="AB631" s="293"/>
      <c r="AC631" s="293"/>
      <c r="AD631" s="293"/>
      <c r="AE631" s="293"/>
      <c r="AF631" s="293"/>
    </row>
    <row r="632" ht="16.5" customHeight="1">
      <c r="A632" s="293"/>
      <c r="B632" s="385"/>
      <c r="C632" s="299"/>
      <c r="D632" s="293"/>
      <c r="E632" s="293"/>
      <c r="F632" s="293"/>
      <c r="G632" s="300"/>
      <c r="H632" s="293"/>
      <c r="I632" s="313"/>
      <c r="J632" s="313"/>
      <c r="K632" s="313"/>
      <c r="L632" s="313"/>
      <c r="M632" s="293"/>
      <c r="N632" s="293"/>
      <c r="O632" s="293"/>
      <c r="P632" s="293"/>
      <c r="Q632" s="293"/>
      <c r="R632" s="293"/>
      <c r="S632" s="293"/>
      <c r="T632" s="293"/>
      <c r="U632" s="293"/>
      <c r="V632" s="293"/>
      <c r="W632" s="293"/>
      <c r="X632" s="293"/>
      <c r="Y632" s="293"/>
      <c r="Z632" s="293"/>
      <c r="AA632" s="293"/>
      <c r="AB632" s="293"/>
      <c r="AC632" s="293"/>
      <c r="AD632" s="293"/>
      <c r="AE632" s="293"/>
      <c r="AF632" s="293"/>
    </row>
    <row r="633" ht="16.5" customHeight="1">
      <c r="A633" s="293"/>
      <c r="B633" s="385"/>
      <c r="C633" s="299"/>
      <c r="D633" s="293"/>
      <c r="E633" s="293"/>
      <c r="F633" s="293"/>
      <c r="G633" s="300"/>
      <c r="H633" s="293"/>
      <c r="I633" s="313"/>
      <c r="J633" s="313"/>
      <c r="K633" s="313"/>
      <c r="L633" s="313"/>
      <c r="M633" s="293"/>
      <c r="N633" s="293"/>
      <c r="O633" s="293"/>
      <c r="P633" s="293"/>
      <c r="Q633" s="293"/>
      <c r="R633" s="293"/>
      <c r="S633" s="293"/>
      <c r="T633" s="293"/>
      <c r="U633" s="293"/>
      <c r="V633" s="293"/>
      <c r="W633" s="293"/>
      <c r="X633" s="293"/>
      <c r="Y633" s="293"/>
      <c r="Z633" s="293"/>
      <c r="AA633" s="293"/>
      <c r="AB633" s="293"/>
      <c r="AC633" s="293"/>
      <c r="AD633" s="293"/>
      <c r="AE633" s="293"/>
      <c r="AF633" s="293"/>
    </row>
    <row r="634" ht="16.5" customHeight="1">
      <c r="A634" s="293"/>
      <c r="B634" s="385"/>
      <c r="C634" s="299"/>
      <c r="D634" s="293"/>
      <c r="E634" s="293"/>
      <c r="F634" s="293"/>
      <c r="G634" s="300"/>
      <c r="H634" s="293"/>
      <c r="I634" s="313"/>
      <c r="J634" s="313"/>
      <c r="K634" s="313"/>
      <c r="L634" s="313"/>
      <c r="M634" s="293"/>
      <c r="N634" s="293"/>
      <c r="O634" s="293"/>
      <c r="P634" s="293"/>
      <c r="Q634" s="293"/>
      <c r="R634" s="293"/>
      <c r="S634" s="293"/>
      <c r="T634" s="293"/>
      <c r="U634" s="293"/>
      <c r="V634" s="293"/>
      <c r="W634" s="293"/>
      <c r="X634" s="293"/>
      <c r="Y634" s="293"/>
      <c r="Z634" s="293"/>
      <c r="AA634" s="293"/>
      <c r="AB634" s="293"/>
      <c r="AC634" s="293"/>
      <c r="AD634" s="293"/>
      <c r="AE634" s="293"/>
      <c r="AF634" s="293"/>
    </row>
    <row r="635" ht="16.5" customHeight="1">
      <c r="A635" s="293"/>
      <c r="B635" s="385"/>
      <c r="C635" s="299"/>
      <c r="D635" s="293"/>
      <c r="E635" s="293"/>
      <c r="F635" s="293"/>
      <c r="G635" s="300"/>
      <c r="H635" s="293"/>
      <c r="I635" s="313"/>
      <c r="J635" s="313"/>
      <c r="K635" s="313"/>
      <c r="L635" s="313"/>
      <c r="M635" s="293"/>
      <c r="N635" s="293"/>
      <c r="O635" s="293"/>
      <c r="P635" s="293"/>
      <c r="Q635" s="293"/>
      <c r="R635" s="293"/>
      <c r="S635" s="293"/>
      <c r="T635" s="293"/>
      <c r="U635" s="293"/>
      <c r="V635" s="293"/>
      <c r="W635" s="293"/>
      <c r="X635" s="293"/>
      <c r="Y635" s="293"/>
      <c r="Z635" s="293"/>
      <c r="AA635" s="293"/>
      <c r="AB635" s="293"/>
      <c r="AC635" s="293"/>
      <c r="AD635" s="293"/>
      <c r="AE635" s="293"/>
      <c r="AF635" s="293"/>
    </row>
    <row r="636" ht="16.5" customHeight="1">
      <c r="A636" s="293"/>
      <c r="B636" s="385"/>
      <c r="C636" s="299"/>
      <c r="D636" s="293"/>
      <c r="E636" s="293"/>
      <c r="F636" s="293"/>
      <c r="G636" s="300"/>
      <c r="H636" s="293"/>
      <c r="I636" s="313"/>
      <c r="J636" s="313"/>
      <c r="K636" s="313"/>
      <c r="L636" s="313"/>
      <c r="M636" s="293"/>
      <c r="N636" s="293"/>
      <c r="O636" s="293"/>
      <c r="P636" s="293"/>
      <c r="Q636" s="293"/>
      <c r="R636" s="293"/>
      <c r="S636" s="293"/>
      <c r="T636" s="293"/>
      <c r="U636" s="293"/>
      <c r="V636" s="293"/>
      <c r="W636" s="293"/>
      <c r="X636" s="293"/>
      <c r="Y636" s="293"/>
      <c r="Z636" s="293"/>
      <c r="AA636" s="293"/>
      <c r="AB636" s="293"/>
      <c r="AC636" s="293"/>
      <c r="AD636" s="293"/>
      <c r="AE636" s="293"/>
      <c r="AF636" s="293"/>
    </row>
    <row r="637" ht="16.5" customHeight="1">
      <c r="A637" s="293"/>
      <c r="B637" s="385"/>
      <c r="C637" s="299"/>
      <c r="D637" s="293"/>
      <c r="E637" s="293"/>
      <c r="F637" s="293"/>
      <c r="G637" s="300"/>
      <c r="H637" s="293"/>
      <c r="I637" s="313"/>
      <c r="J637" s="313"/>
      <c r="K637" s="313"/>
      <c r="L637" s="313"/>
      <c r="M637" s="293"/>
      <c r="N637" s="293"/>
      <c r="O637" s="293"/>
      <c r="P637" s="293"/>
      <c r="Q637" s="293"/>
      <c r="R637" s="293"/>
      <c r="S637" s="293"/>
      <c r="T637" s="293"/>
      <c r="U637" s="293"/>
      <c r="V637" s="293"/>
      <c r="W637" s="293"/>
      <c r="X637" s="293"/>
      <c r="Y637" s="293"/>
      <c r="Z637" s="293"/>
      <c r="AA637" s="293"/>
      <c r="AB637" s="293"/>
      <c r="AC637" s="293"/>
      <c r="AD637" s="293"/>
      <c r="AE637" s="293"/>
      <c r="AF637" s="293"/>
    </row>
    <row r="638" ht="16.5" customHeight="1">
      <c r="A638" s="293"/>
      <c r="B638" s="385"/>
      <c r="C638" s="299"/>
      <c r="D638" s="293"/>
      <c r="E638" s="293"/>
      <c r="F638" s="293"/>
      <c r="G638" s="300"/>
      <c r="H638" s="293"/>
      <c r="I638" s="313"/>
      <c r="J638" s="313"/>
      <c r="K638" s="313"/>
      <c r="L638" s="313"/>
      <c r="M638" s="293"/>
      <c r="N638" s="293"/>
      <c r="O638" s="293"/>
      <c r="P638" s="293"/>
      <c r="Q638" s="293"/>
      <c r="R638" s="293"/>
      <c r="S638" s="293"/>
      <c r="T638" s="293"/>
      <c r="U638" s="293"/>
      <c r="V638" s="293"/>
      <c r="W638" s="293"/>
      <c r="X638" s="293"/>
      <c r="Y638" s="293"/>
      <c r="Z638" s="293"/>
      <c r="AA638" s="293"/>
      <c r="AB638" s="293"/>
      <c r="AC638" s="293"/>
      <c r="AD638" s="293"/>
      <c r="AE638" s="293"/>
      <c r="AF638" s="293"/>
    </row>
    <row r="639" ht="16.5" customHeight="1">
      <c r="A639" s="293"/>
      <c r="B639" s="385"/>
      <c r="C639" s="299"/>
      <c r="D639" s="293"/>
      <c r="E639" s="293"/>
      <c r="F639" s="293"/>
      <c r="G639" s="300"/>
      <c r="H639" s="293"/>
      <c r="I639" s="313"/>
      <c r="J639" s="313"/>
      <c r="K639" s="313"/>
      <c r="L639" s="313"/>
      <c r="M639" s="293"/>
      <c r="N639" s="293"/>
      <c r="O639" s="293"/>
      <c r="P639" s="293"/>
      <c r="Q639" s="293"/>
      <c r="R639" s="293"/>
      <c r="S639" s="293"/>
      <c r="T639" s="293"/>
      <c r="U639" s="293"/>
      <c r="V639" s="293"/>
      <c r="W639" s="293"/>
      <c r="X639" s="293"/>
      <c r="Y639" s="293"/>
      <c r="Z639" s="293"/>
      <c r="AA639" s="293"/>
      <c r="AB639" s="293"/>
      <c r="AC639" s="293"/>
      <c r="AD639" s="293"/>
      <c r="AE639" s="293"/>
      <c r="AF639" s="293"/>
    </row>
    <row r="640" ht="16.5" customHeight="1">
      <c r="A640" s="293"/>
      <c r="B640" s="385"/>
      <c r="C640" s="299"/>
      <c r="D640" s="293"/>
      <c r="E640" s="293"/>
      <c r="F640" s="293"/>
      <c r="G640" s="300"/>
      <c r="H640" s="293"/>
      <c r="I640" s="313"/>
      <c r="J640" s="313"/>
      <c r="K640" s="313"/>
      <c r="L640" s="313"/>
      <c r="M640" s="293"/>
      <c r="N640" s="293"/>
      <c r="O640" s="293"/>
      <c r="P640" s="293"/>
      <c r="Q640" s="293"/>
      <c r="R640" s="293"/>
      <c r="S640" s="293"/>
      <c r="T640" s="293"/>
      <c r="U640" s="293"/>
      <c r="V640" s="293"/>
      <c r="W640" s="293"/>
      <c r="X640" s="293"/>
      <c r="Y640" s="293"/>
      <c r="Z640" s="293"/>
      <c r="AA640" s="293"/>
      <c r="AB640" s="293"/>
      <c r="AC640" s="293"/>
      <c r="AD640" s="293"/>
      <c r="AE640" s="293"/>
      <c r="AF640" s="293"/>
    </row>
    <row r="641" ht="16.5" customHeight="1">
      <c r="A641" s="293"/>
      <c r="B641" s="385"/>
      <c r="C641" s="299"/>
      <c r="D641" s="293"/>
      <c r="E641" s="293"/>
      <c r="F641" s="293"/>
      <c r="G641" s="300"/>
      <c r="H641" s="293"/>
      <c r="I641" s="313"/>
      <c r="J641" s="313"/>
      <c r="K641" s="313"/>
      <c r="L641" s="313"/>
      <c r="M641" s="293"/>
      <c r="N641" s="293"/>
      <c r="O641" s="293"/>
      <c r="P641" s="293"/>
      <c r="Q641" s="293"/>
      <c r="R641" s="293"/>
      <c r="S641" s="293"/>
      <c r="T641" s="293"/>
      <c r="U641" s="293"/>
      <c r="V641" s="293"/>
      <c r="W641" s="293"/>
      <c r="X641" s="293"/>
      <c r="Y641" s="293"/>
      <c r="Z641" s="293"/>
      <c r="AA641" s="293"/>
      <c r="AB641" s="293"/>
      <c r="AC641" s="293"/>
      <c r="AD641" s="293"/>
      <c r="AE641" s="293"/>
      <c r="AF641" s="293"/>
    </row>
    <row r="642" ht="16.5" customHeight="1">
      <c r="A642" s="293"/>
      <c r="B642" s="385"/>
      <c r="C642" s="299"/>
      <c r="D642" s="293"/>
      <c r="E642" s="293"/>
      <c r="F642" s="293"/>
      <c r="G642" s="300"/>
      <c r="H642" s="293"/>
      <c r="I642" s="313"/>
      <c r="J642" s="313"/>
      <c r="K642" s="313"/>
      <c r="L642" s="313"/>
      <c r="M642" s="293"/>
      <c r="N642" s="293"/>
      <c r="O642" s="293"/>
      <c r="P642" s="293"/>
      <c r="Q642" s="293"/>
      <c r="R642" s="293"/>
      <c r="S642" s="293"/>
      <c r="T642" s="293"/>
      <c r="U642" s="293"/>
      <c r="V642" s="293"/>
      <c r="W642" s="293"/>
      <c r="X642" s="293"/>
      <c r="Y642" s="293"/>
      <c r="Z642" s="293"/>
      <c r="AA642" s="293"/>
      <c r="AB642" s="293"/>
      <c r="AC642" s="293"/>
      <c r="AD642" s="293"/>
      <c r="AE642" s="293"/>
      <c r="AF642" s="293"/>
    </row>
    <row r="643" ht="16.5" customHeight="1">
      <c r="A643" s="293"/>
      <c r="B643" s="385"/>
      <c r="C643" s="299"/>
      <c r="D643" s="293"/>
      <c r="E643" s="293"/>
      <c r="F643" s="293"/>
      <c r="G643" s="300"/>
      <c r="H643" s="293"/>
      <c r="I643" s="313"/>
      <c r="J643" s="313"/>
      <c r="K643" s="313"/>
      <c r="L643" s="313"/>
      <c r="M643" s="293"/>
      <c r="N643" s="293"/>
      <c r="O643" s="293"/>
      <c r="P643" s="293"/>
      <c r="Q643" s="293"/>
      <c r="R643" s="293"/>
      <c r="S643" s="293"/>
      <c r="T643" s="293"/>
      <c r="U643" s="293"/>
      <c r="V643" s="293"/>
      <c r="W643" s="293"/>
      <c r="X643" s="293"/>
      <c r="Y643" s="293"/>
      <c r="Z643" s="293"/>
      <c r="AA643" s="293"/>
      <c r="AB643" s="293"/>
      <c r="AC643" s="293"/>
      <c r="AD643" s="293"/>
      <c r="AE643" s="293"/>
      <c r="AF643" s="293"/>
    </row>
    <row r="644" ht="16.5" customHeight="1">
      <c r="A644" s="293"/>
      <c r="B644" s="385"/>
      <c r="C644" s="299"/>
      <c r="D644" s="293"/>
      <c r="E644" s="293"/>
      <c r="F644" s="293"/>
      <c r="G644" s="300"/>
      <c r="H644" s="293"/>
      <c r="I644" s="313"/>
      <c r="J644" s="313"/>
      <c r="K644" s="313"/>
      <c r="L644" s="313"/>
      <c r="M644" s="293"/>
      <c r="N644" s="293"/>
      <c r="O644" s="293"/>
      <c r="P644" s="293"/>
      <c r="Q644" s="293"/>
      <c r="R644" s="293"/>
      <c r="S644" s="293"/>
      <c r="T644" s="293"/>
      <c r="U644" s="293"/>
      <c r="V644" s="293"/>
      <c r="W644" s="293"/>
      <c r="X644" s="293"/>
      <c r="Y644" s="293"/>
      <c r="Z644" s="293"/>
      <c r="AA644" s="293"/>
      <c r="AB644" s="293"/>
      <c r="AC644" s="293"/>
      <c r="AD644" s="293"/>
      <c r="AE644" s="293"/>
      <c r="AF644" s="293"/>
    </row>
    <row r="645" ht="16.5" customHeight="1">
      <c r="A645" s="293"/>
      <c r="B645" s="385"/>
      <c r="C645" s="299"/>
      <c r="D645" s="293"/>
      <c r="E645" s="293"/>
      <c r="F645" s="293"/>
      <c r="G645" s="300"/>
      <c r="H645" s="293"/>
      <c r="I645" s="313"/>
      <c r="J645" s="313"/>
      <c r="K645" s="313"/>
      <c r="L645" s="313"/>
      <c r="M645" s="293"/>
      <c r="N645" s="293"/>
      <c r="O645" s="293"/>
      <c r="P645" s="293"/>
      <c r="Q645" s="293"/>
      <c r="R645" s="293"/>
      <c r="S645" s="293"/>
      <c r="T645" s="293"/>
      <c r="U645" s="293"/>
      <c r="V645" s="293"/>
      <c r="W645" s="293"/>
      <c r="X645" s="293"/>
      <c r="Y645" s="293"/>
      <c r="Z645" s="293"/>
      <c r="AA645" s="293"/>
      <c r="AB645" s="293"/>
      <c r="AC645" s="293"/>
      <c r="AD645" s="293"/>
      <c r="AE645" s="293"/>
      <c r="AF645" s="293"/>
    </row>
    <row r="646" ht="16.5" customHeight="1">
      <c r="A646" s="293"/>
      <c r="B646" s="385"/>
      <c r="C646" s="299"/>
      <c r="D646" s="293"/>
      <c r="E646" s="293"/>
      <c r="F646" s="293"/>
      <c r="G646" s="300"/>
      <c r="H646" s="293"/>
      <c r="I646" s="313"/>
      <c r="J646" s="313"/>
      <c r="K646" s="313"/>
      <c r="L646" s="313"/>
      <c r="M646" s="293"/>
      <c r="N646" s="293"/>
      <c r="O646" s="293"/>
      <c r="P646" s="293"/>
      <c r="Q646" s="293"/>
      <c r="R646" s="293"/>
      <c r="S646" s="293"/>
      <c r="T646" s="293"/>
      <c r="U646" s="293"/>
      <c r="V646" s="293"/>
      <c r="W646" s="293"/>
      <c r="X646" s="293"/>
      <c r="Y646" s="293"/>
      <c r="Z646" s="293"/>
      <c r="AA646" s="293"/>
      <c r="AB646" s="293"/>
      <c r="AC646" s="293"/>
      <c r="AD646" s="293"/>
      <c r="AE646" s="293"/>
      <c r="AF646" s="293"/>
    </row>
    <row r="647" ht="16.5" customHeight="1">
      <c r="A647" s="293"/>
      <c r="B647" s="385"/>
      <c r="C647" s="299"/>
      <c r="D647" s="293"/>
      <c r="E647" s="293"/>
      <c r="F647" s="293"/>
      <c r="G647" s="300"/>
      <c r="H647" s="293"/>
      <c r="I647" s="313"/>
      <c r="J647" s="313"/>
      <c r="K647" s="313"/>
      <c r="L647" s="313"/>
      <c r="M647" s="293"/>
      <c r="N647" s="293"/>
      <c r="O647" s="293"/>
      <c r="P647" s="293"/>
      <c r="Q647" s="293"/>
      <c r="R647" s="293"/>
      <c r="S647" s="293"/>
      <c r="T647" s="293"/>
      <c r="U647" s="293"/>
      <c r="V647" s="293"/>
      <c r="W647" s="293"/>
      <c r="X647" s="293"/>
      <c r="Y647" s="293"/>
      <c r="Z647" s="293"/>
      <c r="AA647" s="293"/>
      <c r="AB647" s="293"/>
      <c r="AC647" s="293"/>
      <c r="AD647" s="293"/>
      <c r="AE647" s="293"/>
      <c r="AF647" s="293"/>
    </row>
    <row r="648" ht="16.5" customHeight="1">
      <c r="A648" s="293"/>
      <c r="B648" s="385"/>
      <c r="C648" s="299"/>
      <c r="D648" s="293"/>
      <c r="E648" s="293"/>
      <c r="F648" s="293"/>
      <c r="G648" s="300"/>
      <c r="H648" s="293"/>
      <c r="I648" s="313"/>
      <c r="J648" s="313"/>
      <c r="K648" s="313"/>
      <c r="L648" s="313"/>
      <c r="M648" s="293"/>
      <c r="N648" s="293"/>
      <c r="O648" s="293"/>
      <c r="P648" s="293"/>
      <c r="Q648" s="293"/>
      <c r="R648" s="293"/>
      <c r="S648" s="293"/>
      <c r="T648" s="293"/>
      <c r="U648" s="293"/>
      <c r="V648" s="293"/>
      <c r="W648" s="293"/>
      <c r="X648" s="293"/>
      <c r="Y648" s="293"/>
      <c r="Z648" s="293"/>
      <c r="AA648" s="293"/>
      <c r="AB648" s="293"/>
      <c r="AC648" s="293"/>
      <c r="AD648" s="293"/>
      <c r="AE648" s="293"/>
      <c r="AF648" s="293"/>
    </row>
    <row r="649" ht="16.5" customHeight="1">
      <c r="A649" s="293"/>
      <c r="B649" s="385"/>
      <c r="C649" s="299"/>
      <c r="D649" s="293"/>
      <c r="E649" s="293"/>
      <c r="F649" s="293"/>
      <c r="G649" s="300"/>
      <c r="H649" s="293"/>
      <c r="I649" s="313"/>
      <c r="J649" s="313"/>
      <c r="K649" s="313"/>
      <c r="L649" s="313"/>
      <c r="M649" s="293"/>
      <c r="N649" s="293"/>
      <c r="O649" s="293"/>
      <c r="P649" s="293"/>
      <c r="Q649" s="293"/>
      <c r="R649" s="293"/>
      <c r="S649" s="293"/>
      <c r="T649" s="293"/>
      <c r="U649" s="293"/>
      <c r="V649" s="293"/>
      <c r="W649" s="293"/>
      <c r="X649" s="293"/>
      <c r="Y649" s="293"/>
      <c r="Z649" s="293"/>
      <c r="AA649" s="293"/>
      <c r="AB649" s="293"/>
      <c r="AC649" s="293"/>
      <c r="AD649" s="293"/>
      <c r="AE649" s="293"/>
      <c r="AF649" s="293"/>
    </row>
    <row r="650" ht="16.5" customHeight="1">
      <c r="A650" s="293"/>
      <c r="B650" s="385"/>
      <c r="C650" s="299"/>
      <c r="D650" s="293"/>
      <c r="E650" s="293"/>
      <c r="F650" s="293"/>
      <c r="G650" s="300"/>
      <c r="H650" s="293"/>
      <c r="I650" s="313"/>
      <c r="J650" s="313"/>
      <c r="K650" s="313"/>
      <c r="L650" s="313"/>
      <c r="M650" s="293"/>
      <c r="N650" s="293"/>
      <c r="O650" s="293"/>
      <c r="P650" s="293"/>
      <c r="Q650" s="293"/>
      <c r="R650" s="293"/>
      <c r="S650" s="293"/>
      <c r="T650" s="293"/>
      <c r="U650" s="293"/>
      <c r="V650" s="293"/>
      <c r="W650" s="293"/>
      <c r="X650" s="293"/>
      <c r="Y650" s="293"/>
      <c r="Z650" s="293"/>
      <c r="AA650" s="293"/>
      <c r="AB650" s="293"/>
      <c r="AC650" s="293"/>
      <c r="AD650" s="293"/>
      <c r="AE650" s="293"/>
      <c r="AF650" s="293"/>
    </row>
    <row r="651" ht="16.5" customHeight="1">
      <c r="A651" s="293"/>
      <c r="B651" s="385"/>
      <c r="C651" s="299"/>
      <c r="D651" s="293"/>
      <c r="E651" s="293"/>
      <c r="F651" s="293"/>
      <c r="G651" s="300"/>
      <c r="H651" s="293"/>
      <c r="I651" s="313"/>
      <c r="J651" s="313"/>
      <c r="K651" s="313"/>
      <c r="L651" s="313"/>
      <c r="M651" s="293"/>
      <c r="N651" s="293"/>
      <c r="O651" s="293"/>
      <c r="P651" s="293"/>
      <c r="Q651" s="293"/>
      <c r="R651" s="293"/>
      <c r="S651" s="293"/>
      <c r="T651" s="293"/>
      <c r="U651" s="293"/>
      <c r="V651" s="293"/>
      <c r="W651" s="293"/>
      <c r="X651" s="293"/>
      <c r="Y651" s="293"/>
      <c r="Z651" s="293"/>
      <c r="AA651" s="293"/>
      <c r="AB651" s="293"/>
      <c r="AC651" s="293"/>
      <c r="AD651" s="293"/>
      <c r="AE651" s="293"/>
      <c r="AF651" s="293"/>
    </row>
    <row r="652" ht="16.5" customHeight="1">
      <c r="A652" s="293"/>
      <c r="B652" s="385"/>
      <c r="C652" s="299"/>
      <c r="D652" s="293"/>
      <c r="E652" s="293"/>
      <c r="F652" s="293"/>
      <c r="G652" s="300"/>
      <c r="H652" s="293"/>
      <c r="I652" s="313"/>
      <c r="J652" s="313"/>
      <c r="K652" s="313"/>
      <c r="L652" s="313"/>
      <c r="M652" s="293"/>
      <c r="N652" s="293"/>
      <c r="O652" s="293"/>
      <c r="P652" s="293"/>
      <c r="Q652" s="293"/>
      <c r="R652" s="293"/>
      <c r="S652" s="293"/>
      <c r="T652" s="293"/>
      <c r="U652" s="293"/>
      <c r="V652" s="293"/>
      <c r="W652" s="293"/>
      <c r="X652" s="293"/>
      <c r="Y652" s="293"/>
      <c r="Z652" s="293"/>
      <c r="AA652" s="293"/>
      <c r="AB652" s="293"/>
      <c r="AC652" s="293"/>
      <c r="AD652" s="293"/>
      <c r="AE652" s="293"/>
      <c r="AF652" s="293"/>
    </row>
    <row r="653" ht="16.5" customHeight="1">
      <c r="A653" s="293"/>
      <c r="B653" s="385"/>
      <c r="C653" s="299"/>
      <c r="D653" s="293"/>
      <c r="E653" s="293"/>
      <c r="F653" s="293"/>
      <c r="G653" s="300"/>
      <c r="H653" s="293"/>
      <c r="I653" s="313"/>
      <c r="J653" s="313"/>
      <c r="K653" s="313"/>
      <c r="L653" s="313"/>
      <c r="M653" s="293"/>
      <c r="N653" s="293"/>
      <c r="O653" s="293"/>
      <c r="P653" s="293"/>
      <c r="Q653" s="293"/>
      <c r="R653" s="293"/>
      <c r="S653" s="293"/>
      <c r="T653" s="293"/>
      <c r="U653" s="293"/>
      <c r="V653" s="293"/>
      <c r="W653" s="293"/>
      <c r="X653" s="293"/>
      <c r="Y653" s="293"/>
      <c r="Z653" s="293"/>
      <c r="AA653" s="293"/>
      <c r="AB653" s="293"/>
      <c r="AC653" s="293"/>
      <c r="AD653" s="293"/>
      <c r="AE653" s="293"/>
      <c r="AF653" s="293"/>
    </row>
    <row r="654" ht="16.5" customHeight="1">
      <c r="A654" s="293"/>
      <c r="B654" s="385"/>
      <c r="C654" s="299"/>
      <c r="D654" s="293"/>
      <c r="E654" s="293"/>
      <c r="F654" s="293"/>
      <c r="G654" s="300"/>
      <c r="H654" s="293"/>
      <c r="I654" s="313"/>
      <c r="J654" s="313"/>
      <c r="K654" s="313"/>
      <c r="L654" s="313"/>
      <c r="M654" s="293"/>
      <c r="N654" s="293"/>
      <c r="O654" s="293"/>
      <c r="P654" s="293"/>
      <c r="Q654" s="293"/>
      <c r="R654" s="293"/>
      <c r="S654" s="293"/>
      <c r="T654" s="293"/>
      <c r="U654" s="293"/>
      <c r="V654" s="293"/>
      <c r="W654" s="293"/>
      <c r="X654" s="293"/>
      <c r="Y654" s="293"/>
      <c r="Z654" s="293"/>
      <c r="AA654" s="293"/>
      <c r="AB654" s="293"/>
      <c r="AC654" s="293"/>
      <c r="AD654" s="293"/>
      <c r="AE654" s="293"/>
      <c r="AF654" s="293"/>
    </row>
    <row r="655" ht="16.5" customHeight="1">
      <c r="A655" s="293"/>
      <c r="B655" s="385"/>
      <c r="C655" s="299"/>
      <c r="D655" s="293"/>
      <c r="E655" s="293"/>
      <c r="F655" s="293"/>
      <c r="G655" s="300"/>
      <c r="H655" s="293"/>
      <c r="I655" s="313"/>
      <c r="J655" s="313"/>
      <c r="K655" s="313"/>
      <c r="L655" s="313"/>
      <c r="M655" s="293"/>
      <c r="N655" s="293"/>
      <c r="O655" s="293"/>
      <c r="P655" s="293"/>
      <c r="Q655" s="293"/>
      <c r="R655" s="293"/>
      <c r="S655" s="293"/>
      <c r="T655" s="293"/>
      <c r="U655" s="293"/>
      <c r="V655" s="293"/>
      <c r="W655" s="293"/>
      <c r="X655" s="293"/>
      <c r="Y655" s="293"/>
      <c r="Z655" s="293"/>
      <c r="AA655" s="293"/>
      <c r="AB655" s="293"/>
      <c r="AC655" s="293"/>
      <c r="AD655" s="293"/>
      <c r="AE655" s="293"/>
      <c r="AF655" s="293"/>
    </row>
    <row r="656" ht="16.5" customHeight="1">
      <c r="A656" s="293"/>
      <c r="B656" s="385"/>
      <c r="C656" s="299"/>
      <c r="D656" s="293"/>
      <c r="E656" s="293"/>
      <c r="F656" s="293"/>
      <c r="G656" s="300"/>
      <c r="H656" s="293"/>
      <c r="I656" s="313"/>
      <c r="J656" s="313"/>
      <c r="K656" s="313"/>
      <c r="L656" s="313"/>
      <c r="M656" s="293"/>
      <c r="N656" s="293"/>
      <c r="O656" s="293"/>
      <c r="P656" s="293"/>
      <c r="Q656" s="293"/>
      <c r="R656" s="293"/>
      <c r="S656" s="293"/>
      <c r="T656" s="293"/>
      <c r="U656" s="293"/>
      <c r="V656" s="293"/>
      <c r="W656" s="293"/>
      <c r="X656" s="293"/>
      <c r="Y656" s="293"/>
      <c r="Z656" s="293"/>
      <c r="AA656" s="293"/>
      <c r="AB656" s="293"/>
      <c r="AC656" s="293"/>
      <c r="AD656" s="293"/>
      <c r="AE656" s="293"/>
      <c r="AF656" s="293"/>
    </row>
    <row r="657" ht="16.5" customHeight="1">
      <c r="A657" s="293"/>
      <c r="B657" s="385"/>
      <c r="C657" s="299"/>
      <c r="D657" s="293"/>
      <c r="E657" s="293"/>
      <c r="F657" s="293"/>
      <c r="G657" s="300"/>
      <c r="H657" s="293"/>
      <c r="I657" s="313"/>
      <c r="J657" s="313"/>
      <c r="K657" s="313"/>
      <c r="L657" s="313"/>
      <c r="M657" s="293"/>
      <c r="N657" s="293"/>
      <c r="O657" s="293"/>
      <c r="P657" s="293"/>
      <c r="Q657" s="293"/>
      <c r="R657" s="293"/>
      <c r="S657" s="293"/>
      <c r="T657" s="293"/>
      <c r="U657" s="293"/>
      <c r="V657" s="293"/>
      <c r="W657" s="293"/>
      <c r="X657" s="293"/>
      <c r="Y657" s="293"/>
      <c r="Z657" s="293"/>
      <c r="AA657" s="293"/>
      <c r="AB657" s="293"/>
      <c r="AC657" s="293"/>
      <c r="AD657" s="293"/>
      <c r="AE657" s="293"/>
      <c r="AF657" s="293"/>
    </row>
    <row r="658" ht="16.5" customHeight="1">
      <c r="A658" s="293"/>
      <c r="B658" s="385"/>
      <c r="C658" s="299"/>
      <c r="D658" s="293"/>
      <c r="E658" s="293"/>
      <c r="F658" s="293"/>
      <c r="G658" s="300"/>
      <c r="H658" s="293"/>
      <c r="I658" s="313"/>
      <c r="J658" s="313"/>
      <c r="K658" s="313"/>
      <c r="L658" s="313"/>
      <c r="M658" s="293"/>
      <c r="N658" s="293"/>
      <c r="O658" s="293"/>
      <c r="P658" s="293"/>
      <c r="Q658" s="293"/>
      <c r="R658" s="293"/>
      <c r="S658" s="293"/>
      <c r="T658" s="293"/>
      <c r="U658" s="293"/>
      <c r="V658" s="293"/>
      <c r="W658" s="293"/>
      <c r="X658" s="293"/>
      <c r="Y658" s="293"/>
      <c r="Z658" s="293"/>
      <c r="AA658" s="293"/>
      <c r="AB658" s="293"/>
      <c r="AC658" s="293"/>
      <c r="AD658" s="293"/>
      <c r="AE658" s="293"/>
      <c r="AF658" s="293"/>
    </row>
    <row r="659" ht="16.5" customHeight="1">
      <c r="A659" s="293"/>
      <c r="B659" s="385"/>
      <c r="C659" s="299"/>
      <c r="D659" s="293"/>
      <c r="E659" s="293"/>
      <c r="F659" s="293"/>
      <c r="G659" s="300"/>
      <c r="H659" s="293"/>
      <c r="I659" s="313"/>
      <c r="J659" s="313"/>
      <c r="K659" s="313"/>
      <c r="L659" s="313"/>
      <c r="M659" s="293"/>
      <c r="N659" s="293"/>
      <c r="O659" s="293"/>
      <c r="P659" s="293"/>
      <c r="Q659" s="293"/>
      <c r="R659" s="293"/>
      <c r="S659" s="293"/>
      <c r="T659" s="293"/>
      <c r="U659" s="293"/>
      <c r="V659" s="293"/>
      <c r="W659" s="293"/>
      <c r="X659" s="293"/>
      <c r="Y659" s="293"/>
      <c r="Z659" s="293"/>
      <c r="AA659" s="293"/>
      <c r="AB659" s="293"/>
      <c r="AC659" s="293"/>
      <c r="AD659" s="293"/>
      <c r="AE659" s="293"/>
      <c r="AF659" s="293"/>
    </row>
    <row r="660" ht="16.5" customHeight="1">
      <c r="A660" s="293"/>
      <c r="B660" s="385"/>
      <c r="C660" s="299"/>
      <c r="D660" s="293"/>
      <c r="E660" s="293"/>
      <c r="F660" s="293"/>
      <c r="G660" s="300"/>
      <c r="H660" s="293"/>
      <c r="I660" s="313"/>
      <c r="J660" s="313"/>
      <c r="K660" s="313"/>
      <c r="L660" s="313"/>
      <c r="M660" s="293"/>
      <c r="N660" s="293"/>
      <c r="O660" s="293"/>
      <c r="P660" s="293"/>
      <c r="Q660" s="293"/>
      <c r="R660" s="293"/>
      <c r="S660" s="293"/>
      <c r="T660" s="293"/>
      <c r="U660" s="293"/>
      <c r="V660" s="293"/>
      <c r="W660" s="293"/>
      <c r="X660" s="293"/>
      <c r="Y660" s="293"/>
      <c r="Z660" s="293"/>
      <c r="AA660" s="293"/>
      <c r="AB660" s="293"/>
      <c r="AC660" s="293"/>
      <c r="AD660" s="293"/>
      <c r="AE660" s="293"/>
      <c r="AF660" s="293"/>
    </row>
    <row r="661" ht="16.5" customHeight="1">
      <c r="A661" s="293"/>
      <c r="B661" s="385"/>
      <c r="C661" s="299"/>
      <c r="D661" s="293"/>
      <c r="E661" s="293"/>
      <c r="F661" s="293"/>
      <c r="G661" s="300"/>
      <c r="H661" s="293"/>
      <c r="I661" s="313"/>
      <c r="J661" s="313"/>
      <c r="K661" s="313"/>
      <c r="L661" s="313"/>
      <c r="M661" s="293"/>
      <c r="N661" s="293"/>
      <c r="O661" s="293"/>
      <c r="P661" s="293"/>
      <c r="Q661" s="293"/>
      <c r="R661" s="293"/>
      <c r="S661" s="293"/>
      <c r="T661" s="293"/>
      <c r="U661" s="293"/>
      <c r="V661" s="293"/>
      <c r="W661" s="293"/>
      <c r="X661" s="293"/>
      <c r="Y661" s="293"/>
      <c r="Z661" s="293"/>
      <c r="AA661" s="293"/>
      <c r="AB661" s="293"/>
      <c r="AC661" s="293"/>
      <c r="AD661" s="293"/>
      <c r="AE661" s="293"/>
      <c r="AF661" s="293"/>
    </row>
    <row r="662" ht="16.5" customHeight="1">
      <c r="A662" s="293"/>
      <c r="B662" s="385"/>
      <c r="C662" s="299"/>
      <c r="D662" s="293"/>
      <c r="E662" s="293"/>
      <c r="F662" s="293"/>
      <c r="G662" s="300"/>
      <c r="H662" s="293"/>
      <c r="I662" s="313"/>
      <c r="J662" s="313"/>
      <c r="K662" s="313"/>
      <c r="L662" s="313"/>
      <c r="M662" s="293"/>
      <c r="N662" s="293"/>
      <c r="O662" s="293"/>
      <c r="P662" s="293"/>
      <c r="Q662" s="293"/>
      <c r="R662" s="293"/>
      <c r="S662" s="293"/>
      <c r="T662" s="293"/>
      <c r="U662" s="293"/>
      <c r="V662" s="293"/>
      <c r="W662" s="293"/>
      <c r="X662" s="293"/>
      <c r="Y662" s="293"/>
      <c r="Z662" s="293"/>
      <c r="AA662" s="293"/>
      <c r="AB662" s="293"/>
      <c r="AC662" s="293"/>
      <c r="AD662" s="293"/>
      <c r="AE662" s="293"/>
      <c r="AF662" s="293"/>
    </row>
    <row r="663" ht="16.5" customHeight="1">
      <c r="A663" s="293"/>
      <c r="B663" s="385"/>
      <c r="C663" s="299"/>
      <c r="D663" s="293"/>
      <c r="E663" s="293"/>
      <c r="F663" s="293"/>
      <c r="G663" s="300"/>
      <c r="H663" s="293"/>
      <c r="I663" s="313"/>
      <c r="J663" s="313"/>
      <c r="K663" s="313"/>
      <c r="L663" s="313"/>
      <c r="M663" s="293"/>
      <c r="N663" s="293"/>
      <c r="O663" s="293"/>
      <c r="P663" s="293"/>
      <c r="Q663" s="293"/>
      <c r="R663" s="293"/>
      <c r="S663" s="293"/>
      <c r="T663" s="293"/>
      <c r="U663" s="293"/>
      <c r="V663" s="293"/>
      <c r="W663" s="293"/>
      <c r="X663" s="293"/>
      <c r="Y663" s="293"/>
      <c r="Z663" s="293"/>
      <c r="AA663" s="293"/>
      <c r="AB663" s="293"/>
      <c r="AC663" s="293"/>
      <c r="AD663" s="293"/>
      <c r="AE663" s="293"/>
      <c r="AF663" s="293"/>
    </row>
    <row r="664" ht="16.5" customHeight="1">
      <c r="A664" s="293"/>
      <c r="B664" s="385"/>
      <c r="C664" s="299"/>
      <c r="D664" s="293"/>
      <c r="E664" s="293"/>
      <c r="F664" s="293"/>
      <c r="G664" s="300"/>
      <c r="H664" s="293"/>
      <c r="I664" s="313"/>
      <c r="J664" s="313"/>
      <c r="K664" s="313"/>
      <c r="L664" s="313"/>
      <c r="M664" s="293"/>
      <c r="N664" s="293"/>
      <c r="O664" s="293"/>
      <c r="P664" s="293"/>
      <c r="Q664" s="293"/>
      <c r="R664" s="293"/>
      <c r="S664" s="293"/>
      <c r="T664" s="293"/>
      <c r="U664" s="293"/>
      <c r="V664" s="293"/>
      <c r="W664" s="293"/>
      <c r="X664" s="293"/>
      <c r="Y664" s="293"/>
      <c r="Z664" s="293"/>
      <c r="AA664" s="293"/>
      <c r="AB664" s="293"/>
      <c r="AC664" s="293"/>
      <c r="AD664" s="293"/>
      <c r="AE664" s="293"/>
      <c r="AF664" s="293"/>
    </row>
    <row r="665" ht="16.5" customHeight="1">
      <c r="A665" s="293"/>
      <c r="B665" s="385"/>
      <c r="C665" s="299"/>
      <c r="D665" s="293"/>
      <c r="E665" s="293"/>
      <c r="F665" s="293"/>
      <c r="G665" s="300"/>
      <c r="H665" s="293"/>
      <c r="I665" s="313"/>
      <c r="J665" s="313"/>
      <c r="K665" s="313"/>
      <c r="L665" s="313"/>
      <c r="M665" s="293"/>
      <c r="N665" s="293"/>
      <c r="O665" s="293"/>
      <c r="P665" s="293"/>
      <c r="Q665" s="293"/>
      <c r="R665" s="293"/>
      <c r="S665" s="293"/>
      <c r="T665" s="293"/>
      <c r="U665" s="293"/>
      <c r="V665" s="293"/>
      <c r="W665" s="293"/>
      <c r="X665" s="293"/>
      <c r="Y665" s="293"/>
      <c r="Z665" s="293"/>
      <c r="AA665" s="293"/>
      <c r="AB665" s="293"/>
      <c r="AC665" s="293"/>
      <c r="AD665" s="293"/>
      <c r="AE665" s="293"/>
      <c r="AF665" s="293"/>
    </row>
    <row r="666" ht="16.5" customHeight="1">
      <c r="A666" s="293"/>
      <c r="B666" s="385"/>
      <c r="C666" s="299"/>
      <c r="D666" s="293"/>
      <c r="E666" s="293"/>
      <c r="F666" s="293"/>
      <c r="G666" s="300"/>
      <c r="H666" s="293"/>
      <c r="I666" s="313"/>
      <c r="J666" s="313"/>
      <c r="K666" s="313"/>
      <c r="L666" s="313"/>
      <c r="M666" s="293"/>
      <c r="N666" s="293"/>
      <c r="O666" s="293"/>
      <c r="P666" s="293"/>
      <c r="Q666" s="293"/>
      <c r="R666" s="293"/>
      <c r="S666" s="293"/>
      <c r="T666" s="293"/>
      <c r="U666" s="293"/>
      <c r="V666" s="293"/>
      <c r="W666" s="293"/>
      <c r="X666" s="293"/>
      <c r="Y666" s="293"/>
      <c r="Z666" s="293"/>
      <c r="AA666" s="293"/>
      <c r="AB666" s="293"/>
      <c r="AC666" s="293"/>
      <c r="AD666" s="293"/>
      <c r="AE666" s="293"/>
      <c r="AF666" s="293"/>
    </row>
    <row r="667" ht="16.5" customHeight="1">
      <c r="A667" s="293"/>
      <c r="B667" s="385"/>
      <c r="C667" s="299"/>
      <c r="D667" s="293"/>
      <c r="E667" s="293"/>
      <c r="F667" s="293"/>
      <c r="G667" s="300"/>
      <c r="H667" s="293"/>
      <c r="I667" s="313"/>
      <c r="J667" s="313"/>
      <c r="K667" s="313"/>
      <c r="L667" s="313"/>
      <c r="M667" s="293"/>
      <c r="N667" s="293"/>
      <c r="O667" s="293"/>
      <c r="P667" s="293"/>
      <c r="Q667" s="293"/>
      <c r="R667" s="293"/>
      <c r="S667" s="293"/>
      <c r="T667" s="293"/>
      <c r="U667" s="293"/>
      <c r="V667" s="293"/>
      <c r="W667" s="293"/>
      <c r="X667" s="293"/>
      <c r="Y667" s="293"/>
      <c r="Z667" s="293"/>
      <c r="AA667" s="293"/>
      <c r="AB667" s="293"/>
      <c r="AC667" s="293"/>
      <c r="AD667" s="293"/>
      <c r="AE667" s="293"/>
      <c r="AF667" s="293"/>
    </row>
    <row r="668" ht="16.5" customHeight="1">
      <c r="A668" s="293"/>
      <c r="B668" s="385"/>
      <c r="C668" s="299"/>
      <c r="D668" s="293"/>
      <c r="E668" s="293"/>
      <c r="F668" s="293"/>
      <c r="G668" s="300"/>
      <c r="H668" s="293"/>
      <c r="I668" s="313"/>
      <c r="J668" s="313"/>
      <c r="K668" s="313"/>
      <c r="L668" s="313"/>
      <c r="M668" s="293"/>
      <c r="N668" s="293"/>
      <c r="O668" s="293"/>
      <c r="P668" s="293"/>
      <c r="Q668" s="293"/>
      <c r="R668" s="293"/>
      <c r="S668" s="293"/>
      <c r="T668" s="293"/>
      <c r="U668" s="293"/>
      <c r="V668" s="293"/>
      <c r="W668" s="293"/>
      <c r="X668" s="293"/>
      <c r="Y668" s="293"/>
      <c r="Z668" s="293"/>
      <c r="AA668" s="293"/>
      <c r="AB668" s="293"/>
      <c r="AC668" s="293"/>
      <c r="AD668" s="293"/>
      <c r="AE668" s="293"/>
      <c r="AF668" s="293"/>
    </row>
    <row r="669" ht="16.5" customHeight="1">
      <c r="A669" s="293"/>
      <c r="B669" s="385"/>
      <c r="C669" s="299"/>
      <c r="D669" s="293"/>
      <c r="E669" s="293"/>
      <c r="F669" s="293"/>
      <c r="G669" s="300"/>
      <c r="H669" s="293"/>
      <c r="I669" s="313"/>
      <c r="J669" s="313"/>
      <c r="K669" s="313"/>
      <c r="L669" s="313"/>
      <c r="M669" s="293"/>
      <c r="N669" s="293"/>
      <c r="O669" s="293"/>
      <c r="P669" s="293"/>
      <c r="Q669" s="293"/>
      <c r="R669" s="293"/>
      <c r="S669" s="293"/>
      <c r="T669" s="293"/>
      <c r="U669" s="293"/>
      <c r="V669" s="293"/>
      <c r="W669" s="293"/>
      <c r="X669" s="293"/>
      <c r="Y669" s="293"/>
      <c r="Z669" s="293"/>
      <c r="AA669" s="293"/>
      <c r="AB669" s="293"/>
      <c r="AC669" s="293"/>
      <c r="AD669" s="293"/>
      <c r="AE669" s="293"/>
      <c r="AF669" s="293"/>
    </row>
    <row r="670" ht="16.5" customHeight="1">
      <c r="A670" s="293"/>
      <c r="B670" s="385"/>
      <c r="C670" s="299"/>
      <c r="D670" s="293"/>
      <c r="E670" s="293"/>
      <c r="F670" s="293"/>
      <c r="G670" s="300"/>
      <c r="H670" s="293"/>
      <c r="I670" s="313"/>
      <c r="J670" s="313"/>
      <c r="K670" s="313"/>
      <c r="L670" s="313"/>
      <c r="M670" s="293"/>
      <c r="N670" s="293"/>
      <c r="O670" s="293"/>
      <c r="P670" s="293"/>
      <c r="Q670" s="293"/>
      <c r="R670" s="293"/>
      <c r="S670" s="293"/>
      <c r="T670" s="293"/>
      <c r="U670" s="293"/>
      <c r="V670" s="293"/>
      <c r="W670" s="293"/>
      <c r="X670" s="293"/>
      <c r="Y670" s="293"/>
      <c r="Z670" s="293"/>
      <c r="AA670" s="293"/>
      <c r="AB670" s="293"/>
      <c r="AC670" s="293"/>
      <c r="AD670" s="293"/>
      <c r="AE670" s="293"/>
      <c r="AF670" s="293"/>
    </row>
    <row r="671" ht="16.5" customHeight="1">
      <c r="A671" s="293"/>
      <c r="B671" s="385"/>
      <c r="C671" s="299"/>
      <c r="D671" s="293"/>
      <c r="E671" s="293"/>
      <c r="F671" s="293"/>
      <c r="G671" s="300"/>
      <c r="H671" s="293"/>
      <c r="I671" s="313"/>
      <c r="J671" s="313"/>
      <c r="K671" s="313"/>
      <c r="L671" s="313"/>
      <c r="M671" s="293"/>
      <c r="N671" s="293"/>
      <c r="O671" s="293"/>
      <c r="P671" s="293"/>
      <c r="Q671" s="293"/>
      <c r="R671" s="293"/>
      <c r="S671" s="293"/>
      <c r="T671" s="293"/>
      <c r="U671" s="293"/>
      <c r="V671" s="293"/>
      <c r="W671" s="293"/>
      <c r="X671" s="293"/>
      <c r="Y671" s="293"/>
      <c r="Z671" s="293"/>
      <c r="AA671" s="293"/>
      <c r="AB671" s="293"/>
      <c r="AC671" s="293"/>
      <c r="AD671" s="293"/>
      <c r="AE671" s="293"/>
      <c r="AF671" s="293"/>
    </row>
    <row r="672" ht="16.5" customHeight="1">
      <c r="A672" s="293"/>
      <c r="B672" s="385"/>
      <c r="C672" s="299"/>
      <c r="D672" s="293"/>
      <c r="E672" s="293"/>
      <c r="F672" s="293"/>
      <c r="G672" s="300"/>
      <c r="H672" s="293"/>
      <c r="I672" s="313"/>
      <c r="J672" s="313"/>
      <c r="K672" s="313"/>
      <c r="L672" s="313"/>
      <c r="M672" s="293"/>
      <c r="N672" s="293"/>
      <c r="O672" s="293"/>
      <c r="P672" s="293"/>
      <c r="Q672" s="293"/>
      <c r="R672" s="293"/>
      <c r="S672" s="293"/>
      <c r="T672" s="293"/>
      <c r="U672" s="293"/>
      <c r="V672" s="293"/>
      <c r="W672" s="293"/>
      <c r="X672" s="293"/>
      <c r="Y672" s="293"/>
      <c r="Z672" s="293"/>
      <c r="AA672" s="293"/>
      <c r="AB672" s="293"/>
      <c r="AC672" s="293"/>
      <c r="AD672" s="293"/>
      <c r="AE672" s="293"/>
      <c r="AF672" s="293"/>
    </row>
    <row r="673" ht="16.5" customHeight="1">
      <c r="A673" s="293"/>
      <c r="B673" s="385"/>
      <c r="C673" s="299"/>
      <c r="D673" s="293"/>
      <c r="E673" s="293"/>
      <c r="F673" s="293"/>
      <c r="G673" s="300"/>
      <c r="H673" s="293"/>
      <c r="I673" s="313"/>
      <c r="J673" s="313"/>
      <c r="K673" s="313"/>
      <c r="L673" s="313"/>
      <c r="M673" s="293"/>
      <c r="N673" s="293"/>
      <c r="O673" s="293"/>
      <c r="P673" s="293"/>
      <c r="Q673" s="293"/>
      <c r="R673" s="293"/>
      <c r="S673" s="293"/>
      <c r="T673" s="293"/>
      <c r="U673" s="293"/>
      <c r="V673" s="293"/>
      <c r="W673" s="293"/>
      <c r="X673" s="293"/>
      <c r="Y673" s="293"/>
      <c r="Z673" s="293"/>
      <c r="AA673" s="293"/>
      <c r="AB673" s="293"/>
      <c r="AC673" s="293"/>
      <c r="AD673" s="293"/>
      <c r="AE673" s="293"/>
      <c r="AF673" s="293"/>
    </row>
    <row r="674" ht="16.5" customHeight="1">
      <c r="A674" s="293"/>
      <c r="B674" s="385"/>
      <c r="C674" s="299"/>
      <c r="D674" s="293"/>
      <c r="E674" s="293"/>
      <c r="F674" s="293"/>
      <c r="G674" s="300"/>
      <c r="H674" s="293"/>
      <c r="I674" s="313"/>
      <c r="J674" s="313"/>
      <c r="K674" s="313"/>
      <c r="L674" s="313"/>
      <c r="M674" s="293"/>
      <c r="N674" s="293"/>
      <c r="O674" s="293"/>
      <c r="P674" s="293"/>
      <c r="Q674" s="293"/>
      <c r="R674" s="293"/>
      <c r="S674" s="293"/>
      <c r="T674" s="293"/>
      <c r="U674" s="293"/>
      <c r="V674" s="293"/>
      <c r="W674" s="293"/>
      <c r="X674" s="293"/>
      <c r="Y674" s="293"/>
      <c r="Z674" s="293"/>
      <c r="AA674" s="293"/>
      <c r="AB674" s="293"/>
      <c r="AC674" s="293"/>
      <c r="AD674" s="293"/>
      <c r="AE674" s="293"/>
      <c r="AF674" s="293"/>
    </row>
    <row r="675" ht="16.5" customHeight="1">
      <c r="A675" s="293"/>
      <c r="B675" s="385"/>
      <c r="C675" s="299"/>
      <c r="D675" s="293"/>
      <c r="E675" s="293"/>
      <c r="F675" s="293"/>
      <c r="G675" s="300"/>
      <c r="H675" s="293"/>
      <c r="I675" s="313"/>
      <c r="J675" s="313"/>
      <c r="K675" s="313"/>
      <c r="L675" s="313"/>
      <c r="M675" s="293"/>
      <c r="N675" s="293"/>
      <c r="O675" s="293"/>
      <c r="P675" s="293"/>
      <c r="Q675" s="293"/>
      <c r="R675" s="293"/>
      <c r="S675" s="293"/>
      <c r="T675" s="293"/>
      <c r="U675" s="293"/>
      <c r="V675" s="293"/>
      <c r="W675" s="293"/>
      <c r="X675" s="293"/>
      <c r="Y675" s="293"/>
      <c r="Z675" s="293"/>
      <c r="AA675" s="293"/>
      <c r="AB675" s="293"/>
      <c r="AC675" s="293"/>
      <c r="AD675" s="293"/>
      <c r="AE675" s="293"/>
      <c r="AF675" s="293"/>
    </row>
    <row r="676" ht="16.5" customHeight="1">
      <c r="A676" s="293"/>
      <c r="B676" s="385"/>
      <c r="C676" s="299"/>
      <c r="D676" s="293"/>
      <c r="E676" s="293"/>
      <c r="F676" s="293"/>
      <c r="G676" s="300"/>
      <c r="H676" s="293"/>
      <c r="I676" s="313"/>
      <c r="J676" s="313"/>
      <c r="K676" s="313"/>
      <c r="L676" s="313"/>
      <c r="M676" s="293"/>
      <c r="N676" s="293"/>
      <c r="O676" s="293"/>
      <c r="P676" s="293"/>
      <c r="Q676" s="293"/>
      <c r="R676" s="293"/>
      <c r="S676" s="293"/>
      <c r="T676" s="293"/>
      <c r="U676" s="293"/>
      <c r="V676" s="293"/>
      <c r="W676" s="293"/>
      <c r="X676" s="293"/>
      <c r="Y676" s="293"/>
      <c r="Z676" s="293"/>
      <c r="AA676" s="293"/>
      <c r="AB676" s="293"/>
      <c r="AC676" s="293"/>
      <c r="AD676" s="293"/>
      <c r="AE676" s="293"/>
      <c r="AF676" s="293"/>
    </row>
    <row r="677" ht="16.5" customHeight="1">
      <c r="A677" s="293"/>
      <c r="B677" s="385"/>
      <c r="C677" s="299"/>
      <c r="D677" s="293"/>
      <c r="E677" s="293"/>
      <c r="F677" s="293"/>
      <c r="G677" s="300"/>
      <c r="H677" s="293"/>
      <c r="I677" s="313"/>
      <c r="J677" s="313"/>
      <c r="K677" s="313"/>
      <c r="L677" s="313"/>
      <c r="M677" s="293"/>
      <c r="N677" s="293"/>
      <c r="O677" s="293"/>
      <c r="P677" s="293"/>
      <c r="Q677" s="293"/>
      <c r="R677" s="293"/>
      <c r="S677" s="293"/>
      <c r="T677" s="293"/>
      <c r="U677" s="293"/>
      <c r="V677" s="293"/>
      <c r="W677" s="293"/>
      <c r="X677" s="293"/>
      <c r="Y677" s="293"/>
      <c r="Z677" s="293"/>
      <c r="AA677" s="293"/>
      <c r="AB677" s="293"/>
      <c r="AC677" s="293"/>
      <c r="AD677" s="293"/>
      <c r="AE677" s="293"/>
      <c r="AF677" s="293"/>
    </row>
    <row r="678" ht="16.5" customHeight="1">
      <c r="A678" s="293"/>
      <c r="B678" s="385"/>
      <c r="C678" s="299"/>
      <c r="D678" s="293"/>
      <c r="E678" s="293"/>
      <c r="F678" s="293"/>
      <c r="G678" s="300"/>
      <c r="H678" s="293"/>
      <c r="I678" s="313"/>
      <c r="J678" s="313"/>
      <c r="K678" s="313"/>
      <c r="L678" s="313"/>
      <c r="M678" s="293"/>
      <c r="N678" s="293"/>
      <c r="O678" s="293"/>
      <c r="P678" s="293"/>
      <c r="Q678" s="293"/>
      <c r="R678" s="293"/>
      <c r="S678" s="293"/>
      <c r="T678" s="293"/>
      <c r="U678" s="293"/>
      <c r="V678" s="293"/>
      <c r="W678" s="293"/>
      <c r="X678" s="293"/>
      <c r="Y678" s="293"/>
      <c r="Z678" s="293"/>
      <c r="AA678" s="293"/>
      <c r="AB678" s="293"/>
      <c r="AC678" s="293"/>
      <c r="AD678" s="293"/>
      <c r="AE678" s="293"/>
      <c r="AF678" s="293"/>
    </row>
    <row r="679" ht="16.5" customHeight="1">
      <c r="A679" s="293"/>
      <c r="B679" s="385"/>
      <c r="C679" s="299"/>
      <c r="D679" s="293"/>
      <c r="E679" s="293"/>
      <c r="F679" s="293"/>
      <c r="G679" s="300"/>
      <c r="H679" s="293"/>
      <c r="I679" s="313"/>
      <c r="J679" s="313"/>
      <c r="K679" s="313"/>
      <c r="L679" s="313"/>
      <c r="M679" s="293"/>
      <c r="N679" s="293"/>
      <c r="O679" s="293"/>
      <c r="P679" s="293"/>
      <c r="Q679" s="293"/>
      <c r="R679" s="293"/>
      <c r="S679" s="293"/>
      <c r="T679" s="293"/>
      <c r="U679" s="293"/>
      <c r="V679" s="293"/>
      <c r="W679" s="293"/>
      <c r="X679" s="293"/>
      <c r="Y679" s="293"/>
      <c r="Z679" s="293"/>
      <c r="AA679" s="293"/>
      <c r="AB679" s="293"/>
      <c r="AC679" s="293"/>
      <c r="AD679" s="293"/>
      <c r="AE679" s="293"/>
      <c r="AF679" s="293"/>
    </row>
    <row r="680" ht="16.5" customHeight="1">
      <c r="A680" s="293"/>
      <c r="B680" s="385"/>
      <c r="C680" s="299"/>
      <c r="D680" s="293"/>
      <c r="E680" s="293"/>
      <c r="F680" s="293"/>
      <c r="G680" s="300"/>
      <c r="H680" s="293"/>
      <c r="I680" s="313"/>
      <c r="J680" s="313"/>
      <c r="K680" s="313"/>
      <c r="L680" s="313"/>
      <c r="M680" s="293"/>
      <c r="N680" s="293"/>
      <c r="O680" s="293"/>
      <c r="P680" s="293"/>
      <c r="Q680" s="293"/>
      <c r="R680" s="293"/>
      <c r="S680" s="293"/>
      <c r="T680" s="293"/>
      <c r="U680" s="293"/>
      <c r="V680" s="293"/>
      <c r="W680" s="293"/>
      <c r="X680" s="293"/>
      <c r="Y680" s="293"/>
      <c r="Z680" s="293"/>
      <c r="AA680" s="293"/>
      <c r="AB680" s="293"/>
      <c r="AC680" s="293"/>
      <c r="AD680" s="293"/>
      <c r="AE680" s="293"/>
      <c r="AF680" s="293"/>
    </row>
    <row r="681" ht="16.5" customHeight="1">
      <c r="A681" s="293"/>
      <c r="B681" s="385"/>
      <c r="C681" s="299"/>
      <c r="D681" s="293"/>
      <c r="E681" s="293"/>
      <c r="F681" s="293"/>
      <c r="G681" s="300"/>
      <c r="H681" s="293"/>
      <c r="I681" s="313"/>
      <c r="J681" s="313"/>
      <c r="K681" s="313"/>
      <c r="L681" s="313"/>
      <c r="M681" s="293"/>
      <c r="N681" s="293"/>
      <c r="O681" s="293"/>
      <c r="P681" s="293"/>
      <c r="Q681" s="293"/>
      <c r="R681" s="293"/>
      <c r="S681" s="293"/>
      <c r="T681" s="293"/>
      <c r="U681" s="293"/>
      <c r="V681" s="293"/>
      <c r="W681" s="293"/>
      <c r="X681" s="293"/>
      <c r="Y681" s="293"/>
      <c r="Z681" s="293"/>
      <c r="AA681" s="293"/>
      <c r="AB681" s="293"/>
      <c r="AC681" s="293"/>
      <c r="AD681" s="293"/>
      <c r="AE681" s="293"/>
      <c r="AF681" s="293"/>
    </row>
    <row r="682" ht="16.5" customHeight="1">
      <c r="A682" s="293"/>
      <c r="B682" s="385"/>
      <c r="C682" s="299"/>
      <c r="D682" s="293"/>
      <c r="E682" s="293"/>
      <c r="F682" s="293"/>
      <c r="G682" s="300"/>
      <c r="H682" s="293"/>
      <c r="I682" s="313"/>
      <c r="J682" s="313"/>
      <c r="K682" s="313"/>
      <c r="L682" s="313"/>
      <c r="M682" s="293"/>
      <c r="N682" s="293"/>
      <c r="O682" s="293"/>
      <c r="P682" s="293"/>
      <c r="Q682" s="293"/>
      <c r="R682" s="293"/>
      <c r="S682" s="293"/>
      <c r="T682" s="293"/>
      <c r="U682" s="293"/>
      <c r="V682" s="293"/>
      <c r="W682" s="293"/>
      <c r="X682" s="293"/>
      <c r="Y682" s="293"/>
      <c r="Z682" s="293"/>
      <c r="AA682" s="293"/>
      <c r="AB682" s="293"/>
      <c r="AC682" s="293"/>
      <c r="AD682" s="293"/>
      <c r="AE682" s="293"/>
      <c r="AF682" s="293"/>
    </row>
    <row r="683" ht="16.5" customHeight="1">
      <c r="A683" s="293"/>
      <c r="B683" s="385"/>
      <c r="C683" s="299"/>
      <c r="D683" s="293"/>
      <c r="E683" s="293"/>
      <c r="F683" s="293"/>
      <c r="G683" s="300"/>
      <c r="H683" s="293"/>
      <c r="I683" s="313"/>
      <c r="J683" s="313"/>
      <c r="K683" s="313"/>
      <c r="L683" s="313"/>
      <c r="M683" s="293"/>
      <c r="N683" s="293"/>
      <c r="O683" s="293"/>
      <c r="P683" s="293"/>
      <c r="Q683" s="293"/>
      <c r="R683" s="293"/>
      <c r="S683" s="293"/>
      <c r="T683" s="293"/>
      <c r="U683" s="293"/>
      <c r="V683" s="293"/>
      <c r="W683" s="293"/>
      <c r="X683" s="293"/>
      <c r="Y683" s="293"/>
      <c r="Z683" s="293"/>
      <c r="AA683" s="293"/>
      <c r="AB683" s="293"/>
      <c r="AC683" s="293"/>
      <c r="AD683" s="293"/>
      <c r="AE683" s="293"/>
      <c r="AF683" s="293"/>
    </row>
    <row r="684" ht="16.5" customHeight="1">
      <c r="A684" s="293"/>
      <c r="B684" s="385"/>
      <c r="C684" s="299"/>
      <c r="D684" s="293"/>
      <c r="E684" s="293"/>
      <c r="F684" s="293"/>
      <c r="G684" s="300"/>
      <c r="H684" s="293"/>
      <c r="I684" s="313"/>
      <c r="J684" s="313"/>
      <c r="K684" s="313"/>
      <c r="L684" s="313"/>
      <c r="M684" s="293"/>
      <c r="N684" s="293"/>
      <c r="O684" s="293"/>
      <c r="P684" s="293"/>
      <c r="Q684" s="293"/>
      <c r="R684" s="293"/>
      <c r="S684" s="293"/>
      <c r="T684" s="293"/>
      <c r="U684" s="293"/>
      <c r="V684" s="293"/>
      <c r="W684" s="293"/>
      <c r="X684" s="293"/>
      <c r="Y684" s="293"/>
      <c r="Z684" s="293"/>
      <c r="AA684" s="293"/>
      <c r="AB684" s="293"/>
      <c r="AC684" s="293"/>
      <c r="AD684" s="293"/>
      <c r="AE684" s="293"/>
      <c r="AF684" s="293"/>
    </row>
    <row r="685" ht="16.5" customHeight="1">
      <c r="A685" s="293"/>
      <c r="B685" s="385"/>
      <c r="C685" s="299"/>
      <c r="D685" s="293"/>
      <c r="E685" s="293"/>
      <c r="F685" s="293"/>
      <c r="G685" s="300"/>
      <c r="H685" s="293"/>
      <c r="I685" s="313"/>
      <c r="J685" s="313"/>
      <c r="K685" s="313"/>
      <c r="L685" s="313"/>
      <c r="M685" s="293"/>
      <c r="N685" s="293"/>
      <c r="O685" s="293"/>
      <c r="P685" s="293"/>
      <c r="Q685" s="293"/>
      <c r="R685" s="293"/>
      <c r="S685" s="293"/>
      <c r="T685" s="293"/>
      <c r="U685" s="293"/>
      <c r="V685" s="293"/>
      <c r="W685" s="293"/>
      <c r="X685" s="293"/>
      <c r="Y685" s="293"/>
      <c r="Z685" s="293"/>
      <c r="AA685" s="293"/>
      <c r="AB685" s="293"/>
      <c r="AC685" s="293"/>
      <c r="AD685" s="293"/>
      <c r="AE685" s="293"/>
      <c r="AF685" s="293"/>
    </row>
    <row r="686" ht="16.5" customHeight="1">
      <c r="A686" s="293"/>
      <c r="B686" s="385"/>
      <c r="C686" s="299"/>
      <c r="D686" s="293"/>
      <c r="E686" s="293"/>
      <c r="F686" s="293"/>
      <c r="G686" s="300"/>
      <c r="H686" s="293"/>
      <c r="I686" s="313"/>
      <c r="J686" s="313"/>
      <c r="K686" s="313"/>
      <c r="L686" s="313"/>
      <c r="M686" s="293"/>
      <c r="N686" s="293"/>
      <c r="O686" s="293"/>
      <c r="P686" s="293"/>
      <c r="Q686" s="293"/>
      <c r="R686" s="293"/>
      <c r="S686" s="293"/>
      <c r="T686" s="293"/>
      <c r="U686" s="293"/>
      <c r="V686" s="293"/>
      <c r="W686" s="293"/>
      <c r="X686" s="293"/>
      <c r="Y686" s="293"/>
      <c r="Z686" s="293"/>
      <c r="AA686" s="293"/>
      <c r="AB686" s="293"/>
      <c r="AC686" s="293"/>
      <c r="AD686" s="293"/>
      <c r="AE686" s="293"/>
      <c r="AF686" s="293"/>
    </row>
    <row r="687" ht="16.5" customHeight="1">
      <c r="A687" s="293"/>
      <c r="B687" s="385"/>
      <c r="C687" s="299"/>
      <c r="D687" s="293"/>
      <c r="E687" s="293"/>
      <c r="F687" s="293"/>
      <c r="G687" s="300"/>
      <c r="H687" s="293"/>
      <c r="I687" s="313"/>
      <c r="J687" s="313"/>
      <c r="K687" s="313"/>
      <c r="L687" s="313"/>
      <c r="M687" s="293"/>
      <c r="N687" s="293"/>
      <c r="O687" s="293"/>
      <c r="P687" s="293"/>
      <c r="Q687" s="293"/>
      <c r="R687" s="293"/>
      <c r="S687" s="293"/>
      <c r="T687" s="293"/>
      <c r="U687" s="293"/>
      <c r="V687" s="293"/>
      <c r="W687" s="293"/>
      <c r="X687" s="293"/>
      <c r="Y687" s="293"/>
      <c r="Z687" s="293"/>
      <c r="AA687" s="293"/>
      <c r="AB687" s="293"/>
      <c r="AC687" s="293"/>
      <c r="AD687" s="293"/>
      <c r="AE687" s="293"/>
      <c r="AF687" s="293"/>
    </row>
    <row r="688" ht="16.5" customHeight="1">
      <c r="A688" s="293"/>
      <c r="B688" s="385"/>
      <c r="C688" s="299"/>
      <c r="D688" s="293"/>
      <c r="E688" s="293"/>
      <c r="F688" s="293"/>
      <c r="G688" s="300"/>
      <c r="H688" s="293"/>
      <c r="I688" s="313"/>
      <c r="J688" s="313"/>
      <c r="K688" s="313"/>
      <c r="L688" s="313"/>
      <c r="M688" s="293"/>
      <c r="N688" s="293"/>
      <c r="O688" s="293"/>
      <c r="P688" s="293"/>
      <c r="Q688" s="293"/>
      <c r="R688" s="293"/>
      <c r="S688" s="293"/>
      <c r="T688" s="293"/>
      <c r="U688" s="293"/>
      <c r="V688" s="293"/>
      <c r="W688" s="293"/>
      <c r="X688" s="293"/>
      <c r="Y688" s="293"/>
      <c r="Z688" s="293"/>
      <c r="AA688" s="293"/>
      <c r="AB688" s="293"/>
      <c r="AC688" s="293"/>
      <c r="AD688" s="293"/>
      <c r="AE688" s="293"/>
      <c r="AF688" s="293"/>
    </row>
    <row r="689" ht="16.5" customHeight="1">
      <c r="A689" s="293"/>
      <c r="B689" s="385"/>
      <c r="C689" s="299"/>
      <c r="D689" s="293"/>
      <c r="E689" s="293"/>
      <c r="F689" s="293"/>
      <c r="G689" s="300"/>
      <c r="H689" s="293"/>
      <c r="I689" s="313"/>
      <c r="J689" s="313"/>
      <c r="K689" s="313"/>
      <c r="L689" s="313"/>
      <c r="M689" s="293"/>
      <c r="N689" s="293"/>
      <c r="O689" s="293"/>
      <c r="P689" s="293"/>
      <c r="Q689" s="293"/>
      <c r="R689" s="293"/>
      <c r="S689" s="293"/>
      <c r="T689" s="293"/>
      <c r="U689" s="293"/>
      <c r="V689" s="293"/>
      <c r="W689" s="293"/>
      <c r="X689" s="293"/>
      <c r="Y689" s="293"/>
      <c r="Z689" s="293"/>
      <c r="AA689" s="293"/>
      <c r="AB689" s="293"/>
      <c r="AC689" s="293"/>
      <c r="AD689" s="293"/>
      <c r="AE689" s="293"/>
      <c r="AF689" s="293"/>
    </row>
    <row r="690" ht="16.5" customHeight="1">
      <c r="A690" s="293"/>
      <c r="B690" s="385"/>
      <c r="C690" s="299"/>
      <c r="D690" s="293"/>
      <c r="E690" s="293"/>
      <c r="F690" s="293"/>
      <c r="G690" s="300"/>
      <c r="H690" s="293"/>
      <c r="I690" s="313"/>
      <c r="J690" s="313"/>
      <c r="K690" s="313"/>
      <c r="L690" s="313"/>
      <c r="M690" s="293"/>
      <c r="N690" s="293"/>
      <c r="O690" s="293"/>
      <c r="P690" s="293"/>
      <c r="Q690" s="293"/>
      <c r="R690" s="293"/>
      <c r="S690" s="293"/>
      <c r="T690" s="293"/>
      <c r="U690" s="293"/>
      <c r="V690" s="293"/>
      <c r="W690" s="293"/>
      <c r="X690" s="293"/>
      <c r="Y690" s="293"/>
      <c r="Z690" s="293"/>
      <c r="AA690" s="293"/>
      <c r="AB690" s="293"/>
      <c r="AC690" s="293"/>
      <c r="AD690" s="293"/>
      <c r="AE690" s="293"/>
      <c r="AF690" s="293"/>
    </row>
    <row r="691" ht="16.5" customHeight="1">
      <c r="A691" s="293"/>
      <c r="B691" s="385"/>
      <c r="C691" s="299"/>
      <c r="D691" s="293"/>
      <c r="E691" s="293"/>
      <c r="F691" s="293"/>
      <c r="G691" s="300"/>
      <c r="H691" s="293"/>
      <c r="I691" s="313"/>
      <c r="J691" s="313"/>
      <c r="K691" s="313"/>
      <c r="L691" s="313"/>
      <c r="M691" s="293"/>
      <c r="N691" s="293"/>
      <c r="O691" s="293"/>
      <c r="P691" s="293"/>
      <c r="Q691" s="293"/>
      <c r="R691" s="293"/>
      <c r="S691" s="293"/>
      <c r="T691" s="293"/>
      <c r="U691" s="293"/>
      <c r="V691" s="293"/>
      <c r="W691" s="293"/>
      <c r="X691" s="293"/>
      <c r="Y691" s="293"/>
      <c r="Z691" s="293"/>
      <c r="AA691" s="293"/>
      <c r="AB691" s="293"/>
      <c r="AC691" s="293"/>
      <c r="AD691" s="293"/>
      <c r="AE691" s="293"/>
      <c r="AF691" s="293"/>
    </row>
    <row r="692" ht="16.5" customHeight="1">
      <c r="A692" s="293"/>
      <c r="B692" s="385"/>
      <c r="C692" s="299"/>
      <c r="D692" s="293"/>
      <c r="E692" s="293"/>
      <c r="F692" s="293"/>
      <c r="G692" s="300"/>
      <c r="H692" s="293"/>
      <c r="I692" s="313"/>
      <c r="J692" s="313"/>
      <c r="K692" s="313"/>
      <c r="L692" s="313"/>
      <c r="M692" s="293"/>
      <c r="N692" s="293"/>
      <c r="O692" s="293"/>
      <c r="P692" s="293"/>
      <c r="Q692" s="293"/>
      <c r="R692" s="293"/>
      <c r="S692" s="293"/>
      <c r="T692" s="293"/>
      <c r="U692" s="293"/>
      <c r="V692" s="293"/>
      <c r="W692" s="293"/>
      <c r="X692" s="293"/>
      <c r="Y692" s="293"/>
      <c r="Z692" s="293"/>
      <c r="AA692" s="293"/>
      <c r="AB692" s="293"/>
      <c r="AC692" s="293"/>
      <c r="AD692" s="293"/>
      <c r="AE692" s="293"/>
      <c r="AF692" s="293"/>
    </row>
    <row r="693" ht="16.5" customHeight="1">
      <c r="A693" s="293"/>
      <c r="B693" s="385"/>
      <c r="C693" s="299"/>
      <c r="D693" s="293"/>
      <c r="E693" s="293"/>
      <c r="F693" s="293"/>
      <c r="G693" s="300"/>
      <c r="H693" s="293"/>
      <c r="I693" s="313"/>
      <c r="J693" s="313"/>
      <c r="K693" s="313"/>
      <c r="L693" s="313"/>
      <c r="M693" s="293"/>
      <c r="N693" s="293"/>
      <c r="O693" s="293"/>
      <c r="P693" s="293"/>
      <c r="Q693" s="293"/>
      <c r="R693" s="293"/>
      <c r="S693" s="293"/>
      <c r="T693" s="293"/>
      <c r="U693" s="293"/>
      <c r="V693" s="293"/>
      <c r="W693" s="293"/>
      <c r="X693" s="293"/>
      <c r="Y693" s="293"/>
      <c r="Z693" s="293"/>
      <c r="AA693" s="293"/>
      <c r="AB693" s="293"/>
      <c r="AC693" s="293"/>
      <c r="AD693" s="293"/>
      <c r="AE693" s="293"/>
      <c r="AF693" s="293"/>
    </row>
    <row r="694" ht="16.5" customHeight="1">
      <c r="A694" s="293"/>
      <c r="B694" s="385"/>
      <c r="C694" s="299"/>
      <c r="D694" s="293"/>
      <c r="E694" s="293"/>
      <c r="F694" s="293"/>
      <c r="G694" s="300"/>
      <c r="H694" s="293"/>
      <c r="I694" s="313"/>
      <c r="J694" s="313"/>
      <c r="K694" s="313"/>
      <c r="L694" s="313"/>
      <c r="M694" s="293"/>
      <c r="N694" s="293"/>
      <c r="O694" s="293"/>
      <c r="P694" s="293"/>
      <c r="Q694" s="293"/>
      <c r="R694" s="293"/>
      <c r="S694" s="293"/>
      <c r="T694" s="293"/>
      <c r="U694" s="293"/>
      <c r="V694" s="293"/>
      <c r="W694" s="293"/>
      <c r="X694" s="293"/>
      <c r="Y694" s="293"/>
      <c r="Z694" s="293"/>
      <c r="AA694" s="293"/>
      <c r="AB694" s="293"/>
      <c r="AC694" s="293"/>
      <c r="AD694" s="293"/>
      <c r="AE694" s="293"/>
      <c r="AF694" s="293"/>
    </row>
    <row r="695" ht="16.5" customHeight="1">
      <c r="A695" s="293"/>
      <c r="B695" s="385"/>
      <c r="C695" s="299"/>
      <c r="D695" s="293"/>
      <c r="E695" s="293"/>
      <c r="F695" s="293"/>
      <c r="G695" s="300"/>
      <c r="H695" s="293"/>
      <c r="I695" s="313"/>
      <c r="J695" s="313"/>
      <c r="K695" s="313"/>
      <c r="L695" s="313"/>
      <c r="M695" s="293"/>
      <c r="N695" s="293"/>
      <c r="O695" s="293"/>
      <c r="P695" s="293"/>
      <c r="Q695" s="293"/>
      <c r="R695" s="293"/>
      <c r="S695" s="293"/>
      <c r="T695" s="293"/>
      <c r="U695" s="293"/>
      <c r="V695" s="293"/>
      <c r="W695" s="293"/>
      <c r="X695" s="293"/>
      <c r="Y695" s="293"/>
      <c r="Z695" s="293"/>
      <c r="AA695" s="293"/>
      <c r="AB695" s="293"/>
      <c r="AC695" s="293"/>
      <c r="AD695" s="293"/>
      <c r="AE695" s="293"/>
      <c r="AF695" s="293"/>
    </row>
    <row r="696" ht="16.5" customHeight="1">
      <c r="A696" s="293"/>
      <c r="B696" s="385"/>
      <c r="C696" s="299"/>
      <c r="D696" s="293"/>
      <c r="E696" s="293"/>
      <c r="F696" s="293"/>
      <c r="G696" s="300"/>
      <c r="H696" s="293"/>
      <c r="I696" s="313"/>
      <c r="J696" s="313"/>
      <c r="K696" s="313"/>
      <c r="L696" s="313"/>
      <c r="M696" s="293"/>
      <c r="N696" s="293"/>
      <c r="O696" s="293"/>
      <c r="P696" s="293"/>
      <c r="Q696" s="293"/>
      <c r="R696" s="293"/>
      <c r="S696" s="293"/>
      <c r="T696" s="293"/>
      <c r="U696" s="293"/>
      <c r="V696" s="293"/>
      <c r="W696" s="293"/>
      <c r="X696" s="293"/>
      <c r="Y696" s="293"/>
      <c r="Z696" s="293"/>
      <c r="AA696" s="293"/>
      <c r="AB696" s="293"/>
      <c r="AC696" s="293"/>
      <c r="AD696" s="293"/>
      <c r="AE696" s="293"/>
      <c r="AF696" s="293"/>
    </row>
    <row r="697" ht="16.5" customHeight="1">
      <c r="A697" s="293"/>
      <c r="B697" s="385"/>
      <c r="C697" s="299"/>
      <c r="D697" s="293"/>
      <c r="E697" s="293"/>
      <c r="F697" s="293"/>
      <c r="G697" s="300"/>
      <c r="H697" s="293"/>
      <c r="I697" s="313"/>
      <c r="J697" s="313"/>
      <c r="K697" s="313"/>
      <c r="L697" s="313"/>
      <c r="M697" s="293"/>
      <c r="N697" s="293"/>
      <c r="O697" s="293"/>
      <c r="P697" s="293"/>
      <c r="Q697" s="293"/>
      <c r="R697" s="293"/>
      <c r="S697" s="293"/>
      <c r="T697" s="293"/>
      <c r="U697" s="293"/>
      <c r="V697" s="293"/>
      <c r="W697" s="293"/>
      <c r="X697" s="293"/>
      <c r="Y697" s="293"/>
      <c r="Z697" s="293"/>
      <c r="AA697" s="293"/>
      <c r="AB697" s="293"/>
      <c r="AC697" s="293"/>
      <c r="AD697" s="293"/>
      <c r="AE697" s="293"/>
      <c r="AF697" s="293"/>
    </row>
    <row r="698" ht="16.5" customHeight="1">
      <c r="A698" s="293"/>
      <c r="B698" s="385"/>
      <c r="C698" s="299"/>
      <c r="D698" s="293"/>
      <c r="E698" s="293"/>
      <c r="F698" s="293"/>
      <c r="G698" s="300"/>
      <c r="H698" s="293"/>
      <c r="I698" s="313"/>
      <c r="J698" s="313"/>
      <c r="K698" s="313"/>
      <c r="L698" s="313"/>
      <c r="M698" s="293"/>
      <c r="N698" s="293"/>
      <c r="O698" s="293"/>
      <c r="P698" s="293"/>
      <c r="Q698" s="293"/>
      <c r="R698" s="293"/>
      <c r="S698" s="293"/>
      <c r="T698" s="293"/>
      <c r="U698" s="293"/>
      <c r="V698" s="293"/>
      <c r="W698" s="293"/>
      <c r="X698" s="293"/>
      <c r="Y698" s="293"/>
      <c r="Z698" s="293"/>
      <c r="AA698" s="293"/>
      <c r="AB698" s="293"/>
      <c r="AC698" s="293"/>
      <c r="AD698" s="293"/>
      <c r="AE698" s="293"/>
      <c r="AF698" s="293"/>
    </row>
    <row r="699" ht="16.5" customHeight="1">
      <c r="A699" s="293"/>
      <c r="B699" s="385"/>
      <c r="C699" s="299"/>
      <c r="D699" s="293"/>
      <c r="E699" s="293"/>
      <c r="F699" s="293"/>
      <c r="G699" s="300"/>
      <c r="H699" s="293"/>
      <c r="I699" s="313"/>
      <c r="J699" s="313"/>
      <c r="K699" s="313"/>
      <c r="L699" s="313"/>
      <c r="M699" s="293"/>
      <c r="N699" s="293"/>
      <c r="O699" s="293"/>
      <c r="P699" s="293"/>
      <c r="Q699" s="293"/>
      <c r="R699" s="293"/>
      <c r="S699" s="293"/>
      <c r="T699" s="293"/>
      <c r="U699" s="293"/>
      <c r="V699" s="293"/>
      <c r="W699" s="293"/>
      <c r="X699" s="293"/>
      <c r="Y699" s="293"/>
      <c r="Z699" s="293"/>
      <c r="AA699" s="293"/>
      <c r="AB699" s="293"/>
      <c r="AC699" s="293"/>
      <c r="AD699" s="293"/>
      <c r="AE699" s="293"/>
      <c r="AF699" s="293"/>
    </row>
    <row r="700" ht="16.5" customHeight="1">
      <c r="A700" s="293"/>
      <c r="B700" s="385"/>
      <c r="C700" s="299"/>
      <c r="D700" s="293"/>
      <c r="E700" s="293"/>
      <c r="F700" s="293"/>
      <c r="G700" s="300"/>
      <c r="H700" s="293"/>
      <c r="I700" s="313"/>
      <c r="J700" s="313"/>
      <c r="K700" s="313"/>
      <c r="L700" s="313"/>
      <c r="M700" s="293"/>
      <c r="N700" s="293"/>
      <c r="O700" s="293"/>
      <c r="P700" s="293"/>
      <c r="Q700" s="293"/>
      <c r="R700" s="293"/>
      <c r="S700" s="293"/>
      <c r="T700" s="293"/>
      <c r="U700" s="293"/>
      <c r="V700" s="293"/>
      <c r="W700" s="293"/>
      <c r="X700" s="293"/>
      <c r="Y700" s="293"/>
      <c r="Z700" s="293"/>
      <c r="AA700" s="293"/>
      <c r="AB700" s="293"/>
      <c r="AC700" s="293"/>
      <c r="AD700" s="293"/>
      <c r="AE700" s="293"/>
      <c r="AF700" s="293"/>
    </row>
    <row r="701" ht="16.5" customHeight="1">
      <c r="A701" s="293"/>
      <c r="B701" s="385"/>
      <c r="C701" s="299"/>
      <c r="D701" s="293"/>
      <c r="E701" s="293"/>
      <c r="F701" s="293"/>
      <c r="G701" s="300"/>
      <c r="H701" s="293"/>
      <c r="I701" s="313"/>
      <c r="J701" s="313"/>
      <c r="K701" s="313"/>
      <c r="L701" s="313"/>
      <c r="M701" s="293"/>
      <c r="N701" s="293"/>
      <c r="O701" s="293"/>
      <c r="P701" s="293"/>
      <c r="Q701" s="293"/>
      <c r="R701" s="293"/>
      <c r="S701" s="293"/>
      <c r="T701" s="293"/>
      <c r="U701" s="293"/>
      <c r="V701" s="293"/>
      <c r="W701" s="293"/>
      <c r="X701" s="293"/>
      <c r="Y701" s="293"/>
      <c r="Z701" s="293"/>
      <c r="AA701" s="293"/>
      <c r="AB701" s="293"/>
      <c r="AC701" s="293"/>
      <c r="AD701" s="293"/>
      <c r="AE701" s="293"/>
      <c r="AF701" s="293"/>
    </row>
    <row r="702" ht="16.5" customHeight="1">
      <c r="A702" s="293"/>
      <c r="B702" s="385"/>
      <c r="C702" s="299"/>
      <c r="D702" s="293"/>
      <c r="E702" s="293"/>
      <c r="F702" s="293"/>
      <c r="G702" s="300"/>
      <c r="H702" s="293"/>
      <c r="I702" s="313"/>
      <c r="J702" s="313"/>
      <c r="K702" s="313"/>
      <c r="L702" s="313"/>
      <c r="M702" s="293"/>
      <c r="N702" s="293"/>
      <c r="O702" s="293"/>
      <c r="P702" s="293"/>
      <c r="Q702" s="293"/>
      <c r="R702" s="293"/>
      <c r="S702" s="293"/>
      <c r="T702" s="293"/>
      <c r="U702" s="293"/>
      <c r="V702" s="293"/>
      <c r="W702" s="293"/>
      <c r="X702" s="293"/>
      <c r="Y702" s="293"/>
      <c r="Z702" s="293"/>
      <c r="AA702" s="293"/>
      <c r="AB702" s="293"/>
      <c r="AC702" s="293"/>
      <c r="AD702" s="293"/>
      <c r="AE702" s="293"/>
      <c r="AF702" s="293"/>
    </row>
    <row r="703" ht="16.5" customHeight="1">
      <c r="A703" s="293"/>
      <c r="B703" s="385"/>
      <c r="C703" s="299"/>
      <c r="D703" s="293"/>
      <c r="E703" s="293"/>
      <c r="F703" s="293"/>
      <c r="G703" s="300"/>
      <c r="H703" s="293"/>
      <c r="I703" s="313"/>
      <c r="J703" s="313"/>
      <c r="K703" s="313"/>
      <c r="L703" s="313"/>
      <c r="M703" s="293"/>
      <c r="N703" s="293"/>
      <c r="O703" s="293"/>
      <c r="P703" s="293"/>
      <c r="Q703" s="293"/>
      <c r="R703" s="293"/>
      <c r="S703" s="293"/>
      <c r="T703" s="293"/>
      <c r="U703" s="293"/>
      <c r="V703" s="293"/>
      <c r="W703" s="293"/>
      <c r="X703" s="293"/>
      <c r="Y703" s="293"/>
      <c r="Z703" s="293"/>
      <c r="AA703" s="293"/>
      <c r="AB703" s="293"/>
      <c r="AC703" s="293"/>
      <c r="AD703" s="293"/>
      <c r="AE703" s="293"/>
      <c r="AF703" s="293"/>
    </row>
    <row r="704" ht="16.5" customHeight="1">
      <c r="A704" s="293"/>
      <c r="B704" s="385"/>
      <c r="C704" s="299"/>
      <c r="D704" s="293"/>
      <c r="E704" s="293"/>
      <c r="F704" s="293"/>
      <c r="G704" s="300"/>
      <c r="H704" s="293"/>
      <c r="I704" s="313"/>
      <c r="J704" s="313"/>
      <c r="K704" s="313"/>
      <c r="L704" s="313"/>
      <c r="M704" s="293"/>
      <c r="N704" s="293"/>
      <c r="O704" s="293"/>
      <c r="P704" s="293"/>
      <c r="Q704" s="293"/>
      <c r="R704" s="293"/>
      <c r="S704" s="293"/>
      <c r="T704" s="293"/>
      <c r="U704" s="293"/>
      <c r="V704" s="293"/>
      <c r="W704" s="293"/>
      <c r="X704" s="293"/>
      <c r="Y704" s="293"/>
      <c r="Z704" s="293"/>
      <c r="AA704" s="293"/>
      <c r="AB704" s="293"/>
      <c r="AC704" s="293"/>
      <c r="AD704" s="293"/>
      <c r="AE704" s="293"/>
      <c r="AF704" s="293"/>
    </row>
    <row r="705" ht="16.5" customHeight="1">
      <c r="A705" s="293"/>
      <c r="B705" s="385"/>
      <c r="C705" s="299"/>
      <c r="D705" s="293"/>
      <c r="E705" s="293"/>
      <c r="F705" s="293"/>
      <c r="G705" s="300"/>
      <c r="H705" s="293"/>
      <c r="I705" s="313"/>
      <c r="J705" s="313"/>
      <c r="K705" s="313"/>
      <c r="L705" s="313"/>
      <c r="M705" s="293"/>
      <c r="N705" s="293"/>
      <c r="O705" s="293"/>
      <c r="P705" s="293"/>
      <c r="Q705" s="293"/>
      <c r="R705" s="293"/>
      <c r="S705" s="293"/>
      <c r="T705" s="293"/>
      <c r="U705" s="293"/>
      <c r="V705" s="293"/>
      <c r="W705" s="293"/>
      <c r="X705" s="293"/>
      <c r="Y705" s="293"/>
      <c r="Z705" s="293"/>
      <c r="AA705" s="293"/>
      <c r="AB705" s="293"/>
      <c r="AC705" s="293"/>
      <c r="AD705" s="293"/>
      <c r="AE705" s="293"/>
      <c r="AF705" s="293"/>
    </row>
    <row r="706" ht="16.5" customHeight="1">
      <c r="A706" s="293"/>
      <c r="B706" s="385"/>
      <c r="C706" s="299"/>
      <c r="D706" s="293"/>
      <c r="E706" s="293"/>
      <c r="F706" s="293"/>
      <c r="G706" s="300"/>
      <c r="H706" s="293"/>
      <c r="I706" s="313"/>
      <c r="J706" s="313"/>
      <c r="K706" s="313"/>
      <c r="L706" s="313"/>
      <c r="M706" s="293"/>
      <c r="N706" s="293"/>
      <c r="O706" s="293"/>
      <c r="P706" s="293"/>
      <c r="Q706" s="293"/>
      <c r="R706" s="293"/>
      <c r="S706" s="293"/>
      <c r="T706" s="293"/>
      <c r="U706" s="293"/>
      <c r="V706" s="293"/>
      <c r="W706" s="293"/>
      <c r="X706" s="293"/>
      <c r="Y706" s="293"/>
      <c r="Z706" s="293"/>
      <c r="AA706" s="293"/>
      <c r="AB706" s="293"/>
      <c r="AC706" s="293"/>
      <c r="AD706" s="293"/>
      <c r="AE706" s="293"/>
      <c r="AF706" s="293"/>
    </row>
    <row r="707" ht="16.5" customHeight="1">
      <c r="A707" s="293"/>
      <c r="B707" s="385"/>
      <c r="C707" s="299"/>
      <c r="D707" s="293"/>
      <c r="E707" s="293"/>
      <c r="F707" s="293"/>
      <c r="G707" s="300"/>
      <c r="H707" s="293"/>
      <c r="I707" s="313"/>
      <c r="J707" s="313"/>
      <c r="K707" s="313"/>
      <c r="L707" s="313"/>
      <c r="M707" s="293"/>
      <c r="N707" s="293"/>
      <c r="O707" s="293"/>
      <c r="P707" s="293"/>
      <c r="Q707" s="293"/>
      <c r="R707" s="293"/>
      <c r="S707" s="293"/>
      <c r="T707" s="293"/>
      <c r="U707" s="293"/>
      <c r="V707" s="293"/>
      <c r="W707" s="293"/>
      <c r="X707" s="293"/>
      <c r="Y707" s="293"/>
      <c r="Z707" s="293"/>
      <c r="AA707" s="293"/>
      <c r="AB707" s="293"/>
      <c r="AC707" s="293"/>
      <c r="AD707" s="293"/>
      <c r="AE707" s="293"/>
      <c r="AF707" s="293"/>
    </row>
    <row r="708" ht="16.5" customHeight="1">
      <c r="A708" s="293"/>
      <c r="B708" s="385"/>
      <c r="C708" s="299"/>
      <c r="D708" s="293"/>
      <c r="E708" s="293"/>
      <c r="F708" s="293"/>
      <c r="G708" s="300"/>
      <c r="H708" s="293"/>
      <c r="I708" s="313"/>
      <c r="J708" s="313"/>
      <c r="K708" s="313"/>
      <c r="L708" s="313"/>
      <c r="M708" s="293"/>
      <c r="N708" s="293"/>
      <c r="O708" s="293"/>
      <c r="P708" s="293"/>
      <c r="Q708" s="293"/>
      <c r="R708" s="293"/>
      <c r="S708" s="293"/>
      <c r="T708" s="293"/>
      <c r="U708" s="293"/>
      <c r="V708" s="293"/>
      <c r="W708" s="293"/>
      <c r="X708" s="293"/>
      <c r="Y708" s="293"/>
      <c r="Z708" s="293"/>
      <c r="AA708" s="293"/>
      <c r="AB708" s="293"/>
      <c r="AC708" s="293"/>
      <c r="AD708" s="293"/>
      <c r="AE708" s="293"/>
      <c r="AF708" s="293"/>
    </row>
    <row r="709" ht="16.5" customHeight="1">
      <c r="A709" s="293"/>
      <c r="B709" s="385"/>
      <c r="C709" s="299"/>
      <c r="D709" s="293"/>
      <c r="E709" s="293"/>
      <c r="F709" s="293"/>
      <c r="G709" s="300"/>
      <c r="H709" s="293"/>
      <c r="I709" s="313"/>
      <c r="J709" s="313"/>
      <c r="K709" s="313"/>
      <c r="L709" s="313"/>
      <c r="M709" s="293"/>
      <c r="N709" s="293"/>
      <c r="O709" s="293"/>
      <c r="P709" s="293"/>
      <c r="Q709" s="293"/>
      <c r="R709" s="293"/>
      <c r="S709" s="293"/>
      <c r="T709" s="293"/>
      <c r="U709" s="293"/>
      <c r="V709" s="293"/>
      <c r="W709" s="293"/>
      <c r="X709" s="293"/>
      <c r="Y709" s="293"/>
      <c r="Z709" s="293"/>
      <c r="AA709" s="293"/>
      <c r="AB709" s="293"/>
      <c r="AC709" s="293"/>
      <c r="AD709" s="293"/>
      <c r="AE709" s="293"/>
      <c r="AF709" s="293"/>
    </row>
    <row r="710" ht="16.5" customHeight="1">
      <c r="A710" s="293"/>
      <c r="B710" s="385"/>
      <c r="C710" s="299"/>
      <c r="D710" s="293"/>
      <c r="E710" s="293"/>
      <c r="F710" s="293"/>
      <c r="G710" s="300"/>
      <c r="H710" s="293"/>
      <c r="I710" s="313"/>
      <c r="J710" s="313"/>
      <c r="K710" s="313"/>
      <c r="L710" s="313"/>
      <c r="M710" s="293"/>
      <c r="N710" s="293"/>
      <c r="O710" s="293"/>
      <c r="P710" s="293"/>
      <c r="Q710" s="293"/>
      <c r="R710" s="293"/>
      <c r="S710" s="293"/>
      <c r="T710" s="293"/>
      <c r="U710" s="293"/>
      <c r="V710" s="293"/>
      <c r="W710" s="293"/>
      <c r="X710" s="293"/>
      <c r="Y710" s="293"/>
      <c r="Z710" s="293"/>
      <c r="AA710" s="293"/>
      <c r="AB710" s="293"/>
      <c r="AC710" s="293"/>
      <c r="AD710" s="293"/>
      <c r="AE710" s="293"/>
      <c r="AF710" s="293"/>
    </row>
    <row r="711" ht="16.5" customHeight="1">
      <c r="A711" s="293"/>
      <c r="B711" s="385"/>
      <c r="C711" s="299"/>
      <c r="D711" s="293"/>
      <c r="E711" s="293"/>
      <c r="F711" s="293"/>
      <c r="G711" s="300"/>
      <c r="H711" s="293"/>
      <c r="I711" s="313"/>
      <c r="J711" s="313"/>
      <c r="K711" s="313"/>
      <c r="L711" s="313"/>
      <c r="M711" s="293"/>
      <c r="N711" s="293"/>
      <c r="O711" s="293"/>
      <c r="P711" s="293"/>
      <c r="Q711" s="293"/>
      <c r="R711" s="293"/>
      <c r="S711" s="293"/>
      <c r="T711" s="293"/>
      <c r="U711" s="293"/>
      <c r="V711" s="293"/>
      <c r="W711" s="293"/>
      <c r="X711" s="293"/>
      <c r="Y711" s="293"/>
      <c r="Z711" s="293"/>
      <c r="AA711" s="293"/>
      <c r="AB711" s="293"/>
      <c r="AC711" s="293"/>
      <c r="AD711" s="293"/>
      <c r="AE711" s="293"/>
      <c r="AF711" s="293"/>
    </row>
    <row r="712" ht="16.5" customHeight="1">
      <c r="A712" s="293"/>
      <c r="B712" s="385"/>
      <c r="C712" s="299"/>
      <c r="D712" s="293"/>
      <c r="E712" s="293"/>
      <c r="F712" s="293"/>
      <c r="G712" s="300"/>
      <c r="H712" s="293"/>
      <c r="I712" s="313"/>
      <c r="J712" s="313"/>
      <c r="K712" s="313"/>
      <c r="L712" s="313"/>
      <c r="M712" s="293"/>
      <c r="N712" s="293"/>
      <c r="O712" s="293"/>
      <c r="P712" s="293"/>
      <c r="Q712" s="293"/>
      <c r="R712" s="293"/>
      <c r="S712" s="293"/>
      <c r="T712" s="293"/>
      <c r="U712" s="293"/>
      <c r="V712" s="293"/>
      <c r="W712" s="293"/>
      <c r="X712" s="293"/>
      <c r="Y712" s="293"/>
      <c r="Z712" s="293"/>
      <c r="AA712" s="293"/>
      <c r="AB712" s="293"/>
      <c r="AC712" s="293"/>
      <c r="AD712" s="293"/>
      <c r="AE712" s="293"/>
      <c r="AF712" s="293"/>
    </row>
    <row r="713" ht="16.5" customHeight="1">
      <c r="A713" s="293"/>
      <c r="B713" s="385"/>
      <c r="C713" s="299"/>
      <c r="D713" s="293"/>
      <c r="E713" s="293"/>
      <c r="F713" s="293"/>
      <c r="G713" s="300"/>
      <c r="H713" s="293"/>
      <c r="I713" s="313"/>
      <c r="J713" s="313"/>
      <c r="K713" s="313"/>
      <c r="L713" s="313"/>
      <c r="M713" s="293"/>
      <c r="N713" s="293"/>
      <c r="O713" s="293"/>
      <c r="P713" s="293"/>
      <c r="Q713" s="293"/>
      <c r="R713" s="293"/>
      <c r="S713" s="293"/>
      <c r="T713" s="293"/>
      <c r="U713" s="293"/>
      <c r="V713" s="293"/>
      <c r="W713" s="293"/>
      <c r="X713" s="293"/>
      <c r="Y713" s="293"/>
      <c r="Z713" s="293"/>
      <c r="AA713" s="293"/>
      <c r="AB713" s="293"/>
      <c r="AC713" s="293"/>
      <c r="AD713" s="293"/>
      <c r="AE713" s="293"/>
      <c r="AF713" s="293"/>
    </row>
    <row r="714" ht="16.5" customHeight="1">
      <c r="A714" s="293"/>
      <c r="B714" s="385"/>
      <c r="C714" s="299"/>
      <c r="D714" s="293"/>
      <c r="E714" s="293"/>
      <c r="F714" s="293"/>
      <c r="G714" s="300"/>
      <c r="H714" s="293"/>
      <c r="I714" s="313"/>
      <c r="J714" s="313"/>
      <c r="K714" s="313"/>
      <c r="L714" s="313"/>
      <c r="M714" s="293"/>
      <c r="N714" s="293"/>
      <c r="O714" s="293"/>
      <c r="P714" s="293"/>
      <c r="Q714" s="293"/>
      <c r="R714" s="293"/>
      <c r="S714" s="293"/>
      <c r="T714" s="293"/>
      <c r="U714" s="293"/>
      <c r="V714" s="293"/>
      <c r="W714" s="293"/>
      <c r="X714" s="293"/>
      <c r="Y714" s="293"/>
      <c r="Z714" s="293"/>
      <c r="AA714" s="293"/>
      <c r="AB714" s="293"/>
      <c r="AC714" s="293"/>
      <c r="AD714" s="293"/>
      <c r="AE714" s="293"/>
      <c r="AF714" s="293"/>
    </row>
    <row r="715" ht="16.5" customHeight="1">
      <c r="A715" s="293"/>
      <c r="B715" s="385"/>
      <c r="C715" s="299"/>
      <c r="D715" s="293"/>
      <c r="E715" s="293"/>
      <c r="F715" s="293"/>
      <c r="G715" s="300"/>
      <c r="H715" s="293"/>
      <c r="I715" s="313"/>
      <c r="J715" s="313"/>
      <c r="K715" s="313"/>
      <c r="L715" s="313"/>
      <c r="M715" s="293"/>
      <c r="N715" s="293"/>
      <c r="O715" s="293"/>
      <c r="P715" s="293"/>
      <c r="Q715" s="293"/>
      <c r="R715" s="293"/>
      <c r="S715" s="293"/>
      <c r="T715" s="293"/>
      <c r="U715" s="293"/>
      <c r="V715" s="293"/>
      <c r="W715" s="293"/>
      <c r="X715" s="293"/>
      <c r="Y715" s="293"/>
      <c r="Z715" s="293"/>
      <c r="AA715" s="293"/>
      <c r="AB715" s="293"/>
      <c r="AC715" s="293"/>
      <c r="AD715" s="293"/>
      <c r="AE715" s="293"/>
      <c r="AF715" s="293"/>
    </row>
    <row r="716" ht="16.5" customHeight="1">
      <c r="A716" s="293"/>
      <c r="B716" s="385"/>
      <c r="C716" s="299"/>
      <c r="D716" s="293"/>
      <c r="E716" s="293"/>
      <c r="F716" s="293"/>
      <c r="G716" s="300"/>
      <c r="H716" s="293"/>
      <c r="I716" s="313"/>
      <c r="J716" s="313"/>
      <c r="K716" s="313"/>
      <c r="L716" s="313"/>
      <c r="M716" s="293"/>
      <c r="N716" s="293"/>
      <c r="O716" s="293"/>
      <c r="P716" s="293"/>
      <c r="Q716" s="293"/>
      <c r="R716" s="293"/>
      <c r="S716" s="293"/>
      <c r="T716" s="293"/>
      <c r="U716" s="293"/>
      <c r="V716" s="293"/>
      <c r="W716" s="293"/>
      <c r="X716" s="293"/>
      <c r="Y716" s="293"/>
      <c r="Z716" s="293"/>
      <c r="AA716" s="293"/>
      <c r="AB716" s="293"/>
      <c r="AC716" s="293"/>
      <c r="AD716" s="293"/>
      <c r="AE716" s="293"/>
      <c r="AF716" s="293"/>
    </row>
    <row r="717" ht="16.5" customHeight="1">
      <c r="A717" s="293"/>
      <c r="B717" s="385"/>
      <c r="C717" s="299"/>
      <c r="D717" s="293"/>
      <c r="E717" s="293"/>
      <c r="F717" s="293"/>
      <c r="G717" s="300"/>
      <c r="H717" s="293"/>
      <c r="I717" s="313"/>
      <c r="J717" s="313"/>
      <c r="K717" s="313"/>
      <c r="L717" s="313"/>
      <c r="M717" s="293"/>
      <c r="N717" s="293"/>
      <c r="O717" s="293"/>
      <c r="P717" s="293"/>
      <c r="Q717" s="293"/>
      <c r="R717" s="293"/>
      <c r="S717" s="293"/>
      <c r="T717" s="293"/>
      <c r="U717" s="293"/>
      <c r="V717" s="293"/>
      <c r="W717" s="293"/>
      <c r="X717" s="293"/>
      <c r="Y717" s="293"/>
      <c r="Z717" s="293"/>
      <c r="AA717" s="293"/>
      <c r="AB717" s="293"/>
      <c r="AC717" s="293"/>
      <c r="AD717" s="293"/>
      <c r="AE717" s="293"/>
      <c r="AF717" s="293"/>
    </row>
    <row r="718" ht="16.5" customHeight="1">
      <c r="A718" s="293"/>
      <c r="B718" s="385"/>
      <c r="C718" s="299"/>
      <c r="D718" s="293"/>
      <c r="E718" s="293"/>
      <c r="F718" s="293"/>
      <c r="G718" s="300"/>
      <c r="H718" s="293"/>
      <c r="I718" s="313"/>
      <c r="J718" s="313"/>
      <c r="K718" s="313"/>
      <c r="L718" s="313"/>
      <c r="M718" s="293"/>
      <c r="N718" s="293"/>
      <c r="O718" s="293"/>
      <c r="P718" s="293"/>
      <c r="Q718" s="293"/>
      <c r="R718" s="293"/>
      <c r="S718" s="293"/>
      <c r="T718" s="293"/>
      <c r="U718" s="293"/>
      <c r="V718" s="293"/>
      <c r="W718" s="293"/>
      <c r="X718" s="293"/>
      <c r="Y718" s="293"/>
      <c r="Z718" s="293"/>
      <c r="AA718" s="293"/>
      <c r="AB718" s="293"/>
      <c r="AC718" s="293"/>
      <c r="AD718" s="293"/>
      <c r="AE718" s="293"/>
      <c r="AF718" s="293"/>
    </row>
    <row r="719" ht="16.5" customHeight="1">
      <c r="A719" s="293"/>
      <c r="B719" s="385"/>
      <c r="C719" s="299"/>
      <c r="D719" s="293"/>
      <c r="E719" s="293"/>
      <c r="F719" s="293"/>
      <c r="G719" s="300"/>
      <c r="H719" s="293"/>
      <c r="I719" s="313"/>
      <c r="J719" s="313"/>
      <c r="K719" s="313"/>
      <c r="L719" s="313"/>
      <c r="M719" s="293"/>
      <c r="N719" s="293"/>
      <c r="O719" s="293"/>
      <c r="P719" s="293"/>
      <c r="Q719" s="293"/>
      <c r="R719" s="293"/>
      <c r="S719" s="293"/>
      <c r="T719" s="293"/>
      <c r="U719" s="293"/>
      <c r="V719" s="293"/>
      <c r="W719" s="293"/>
      <c r="X719" s="293"/>
      <c r="Y719" s="293"/>
      <c r="Z719" s="293"/>
      <c r="AA719" s="293"/>
      <c r="AB719" s="293"/>
      <c r="AC719" s="293"/>
      <c r="AD719" s="293"/>
      <c r="AE719" s="293"/>
      <c r="AF719" s="293"/>
    </row>
    <row r="720" ht="16.5" customHeight="1">
      <c r="A720" s="293"/>
      <c r="B720" s="385"/>
      <c r="C720" s="299"/>
      <c r="D720" s="293"/>
      <c r="E720" s="293"/>
      <c r="F720" s="293"/>
      <c r="G720" s="300"/>
      <c r="H720" s="293"/>
      <c r="I720" s="313"/>
      <c r="J720" s="313"/>
      <c r="K720" s="313"/>
      <c r="L720" s="313"/>
      <c r="M720" s="293"/>
      <c r="N720" s="293"/>
      <c r="O720" s="293"/>
      <c r="P720" s="293"/>
      <c r="Q720" s="293"/>
      <c r="R720" s="293"/>
      <c r="S720" s="293"/>
      <c r="T720" s="293"/>
      <c r="U720" s="293"/>
      <c r="V720" s="293"/>
      <c r="W720" s="293"/>
      <c r="X720" s="293"/>
      <c r="Y720" s="293"/>
      <c r="Z720" s="293"/>
      <c r="AA720" s="293"/>
      <c r="AB720" s="293"/>
      <c r="AC720" s="293"/>
      <c r="AD720" s="293"/>
      <c r="AE720" s="293"/>
      <c r="AF720" s="293"/>
    </row>
    <row r="721" ht="16.5" customHeight="1">
      <c r="A721" s="293"/>
      <c r="B721" s="385"/>
      <c r="C721" s="299"/>
      <c r="D721" s="293"/>
      <c r="E721" s="293"/>
      <c r="F721" s="293"/>
      <c r="G721" s="300"/>
      <c r="H721" s="293"/>
      <c r="I721" s="313"/>
      <c r="J721" s="313"/>
      <c r="K721" s="313"/>
      <c r="L721" s="313"/>
      <c r="M721" s="293"/>
      <c r="N721" s="293"/>
      <c r="O721" s="293"/>
      <c r="P721" s="293"/>
      <c r="Q721" s="293"/>
      <c r="R721" s="293"/>
      <c r="S721" s="293"/>
      <c r="T721" s="293"/>
      <c r="U721" s="293"/>
      <c r="V721" s="293"/>
      <c r="W721" s="293"/>
      <c r="X721" s="293"/>
      <c r="Y721" s="293"/>
      <c r="Z721" s="293"/>
      <c r="AA721" s="293"/>
      <c r="AB721" s="293"/>
      <c r="AC721" s="293"/>
      <c r="AD721" s="293"/>
      <c r="AE721" s="293"/>
      <c r="AF721" s="293"/>
    </row>
    <row r="722" ht="16.5" customHeight="1">
      <c r="A722" s="293"/>
      <c r="B722" s="385"/>
      <c r="C722" s="299"/>
      <c r="D722" s="293"/>
      <c r="E722" s="293"/>
      <c r="F722" s="293"/>
      <c r="G722" s="300"/>
      <c r="H722" s="293"/>
      <c r="I722" s="313"/>
      <c r="J722" s="313"/>
      <c r="K722" s="313"/>
      <c r="L722" s="313"/>
      <c r="M722" s="293"/>
      <c r="N722" s="293"/>
      <c r="O722" s="293"/>
      <c r="P722" s="293"/>
      <c r="Q722" s="293"/>
      <c r="R722" s="293"/>
      <c r="S722" s="293"/>
      <c r="T722" s="293"/>
      <c r="U722" s="293"/>
      <c r="V722" s="293"/>
      <c r="W722" s="293"/>
      <c r="X722" s="293"/>
      <c r="Y722" s="293"/>
      <c r="Z722" s="293"/>
      <c r="AA722" s="293"/>
      <c r="AB722" s="293"/>
      <c r="AC722" s="293"/>
      <c r="AD722" s="293"/>
      <c r="AE722" s="293"/>
      <c r="AF722" s="293"/>
    </row>
    <row r="723" ht="16.5" customHeight="1">
      <c r="A723" s="293"/>
      <c r="B723" s="385"/>
      <c r="C723" s="299"/>
      <c r="D723" s="293"/>
      <c r="E723" s="293"/>
      <c r="F723" s="293"/>
      <c r="G723" s="300"/>
      <c r="H723" s="293"/>
      <c r="I723" s="313"/>
      <c r="J723" s="313"/>
      <c r="K723" s="313"/>
      <c r="L723" s="313"/>
      <c r="M723" s="293"/>
      <c r="N723" s="293"/>
      <c r="O723" s="293"/>
      <c r="P723" s="293"/>
      <c r="Q723" s="293"/>
      <c r="R723" s="293"/>
      <c r="S723" s="293"/>
      <c r="T723" s="293"/>
      <c r="U723" s="293"/>
      <c r="V723" s="293"/>
      <c r="W723" s="293"/>
      <c r="X723" s="293"/>
      <c r="Y723" s="293"/>
      <c r="Z723" s="293"/>
      <c r="AA723" s="293"/>
      <c r="AB723" s="293"/>
      <c r="AC723" s="293"/>
      <c r="AD723" s="293"/>
      <c r="AE723" s="293"/>
      <c r="AF723" s="293"/>
    </row>
    <row r="724" ht="16.5" customHeight="1">
      <c r="A724" s="293"/>
      <c r="B724" s="385"/>
      <c r="C724" s="299"/>
      <c r="D724" s="293"/>
      <c r="E724" s="293"/>
      <c r="F724" s="293"/>
      <c r="G724" s="300"/>
      <c r="H724" s="293"/>
      <c r="I724" s="313"/>
      <c r="J724" s="313"/>
      <c r="K724" s="313"/>
      <c r="L724" s="313"/>
      <c r="M724" s="293"/>
      <c r="N724" s="293"/>
      <c r="O724" s="293"/>
      <c r="P724" s="293"/>
      <c r="Q724" s="293"/>
      <c r="R724" s="293"/>
      <c r="S724" s="293"/>
      <c r="T724" s="293"/>
      <c r="U724" s="293"/>
      <c r="V724" s="293"/>
      <c r="W724" s="293"/>
      <c r="X724" s="293"/>
      <c r="Y724" s="293"/>
      <c r="Z724" s="293"/>
      <c r="AA724" s="293"/>
      <c r="AB724" s="293"/>
      <c r="AC724" s="293"/>
      <c r="AD724" s="293"/>
      <c r="AE724" s="293"/>
      <c r="AF724" s="293"/>
    </row>
    <row r="725" ht="16.5" customHeight="1">
      <c r="A725" s="293"/>
      <c r="B725" s="385"/>
      <c r="C725" s="299"/>
      <c r="D725" s="293"/>
      <c r="E725" s="293"/>
      <c r="F725" s="293"/>
      <c r="G725" s="300"/>
      <c r="H725" s="293"/>
      <c r="I725" s="313"/>
      <c r="J725" s="313"/>
      <c r="K725" s="313"/>
      <c r="L725" s="313"/>
      <c r="M725" s="293"/>
      <c r="N725" s="293"/>
      <c r="O725" s="293"/>
      <c r="P725" s="293"/>
      <c r="Q725" s="293"/>
      <c r="R725" s="293"/>
      <c r="S725" s="293"/>
      <c r="T725" s="293"/>
      <c r="U725" s="293"/>
      <c r="V725" s="293"/>
      <c r="W725" s="293"/>
      <c r="X725" s="293"/>
      <c r="Y725" s="293"/>
      <c r="Z725" s="293"/>
      <c r="AA725" s="293"/>
      <c r="AB725" s="293"/>
      <c r="AC725" s="293"/>
      <c r="AD725" s="293"/>
      <c r="AE725" s="293"/>
      <c r="AF725" s="293"/>
    </row>
    <row r="726" ht="16.5" customHeight="1">
      <c r="A726" s="293"/>
      <c r="B726" s="385"/>
      <c r="C726" s="299"/>
      <c r="D726" s="293"/>
      <c r="E726" s="293"/>
      <c r="F726" s="293"/>
      <c r="G726" s="300"/>
      <c r="H726" s="293"/>
      <c r="I726" s="313"/>
      <c r="J726" s="313"/>
      <c r="K726" s="313"/>
      <c r="L726" s="313"/>
      <c r="M726" s="293"/>
      <c r="N726" s="293"/>
      <c r="O726" s="293"/>
      <c r="P726" s="293"/>
      <c r="Q726" s="293"/>
      <c r="R726" s="293"/>
      <c r="S726" s="293"/>
      <c r="T726" s="293"/>
      <c r="U726" s="293"/>
      <c r="V726" s="293"/>
      <c r="W726" s="293"/>
      <c r="X726" s="293"/>
      <c r="Y726" s="293"/>
      <c r="Z726" s="293"/>
      <c r="AA726" s="293"/>
      <c r="AB726" s="293"/>
      <c r="AC726" s="293"/>
      <c r="AD726" s="293"/>
      <c r="AE726" s="293"/>
      <c r="AF726" s="293"/>
    </row>
    <row r="727" ht="16.5" customHeight="1">
      <c r="A727" s="293"/>
      <c r="B727" s="385"/>
      <c r="C727" s="299"/>
      <c r="D727" s="293"/>
      <c r="E727" s="293"/>
      <c r="F727" s="293"/>
      <c r="G727" s="300"/>
      <c r="H727" s="293"/>
      <c r="I727" s="313"/>
      <c r="J727" s="313"/>
      <c r="K727" s="313"/>
      <c r="L727" s="313"/>
      <c r="M727" s="293"/>
      <c r="N727" s="293"/>
      <c r="O727" s="293"/>
      <c r="P727" s="293"/>
      <c r="Q727" s="293"/>
      <c r="R727" s="293"/>
      <c r="S727" s="293"/>
      <c r="T727" s="293"/>
      <c r="U727" s="293"/>
      <c r="V727" s="293"/>
      <c r="W727" s="293"/>
      <c r="X727" s="293"/>
      <c r="Y727" s="293"/>
      <c r="Z727" s="293"/>
      <c r="AA727" s="293"/>
      <c r="AB727" s="293"/>
      <c r="AC727" s="293"/>
      <c r="AD727" s="293"/>
      <c r="AE727" s="293"/>
      <c r="AF727" s="293"/>
    </row>
    <row r="728" ht="16.5" customHeight="1">
      <c r="A728" s="293"/>
      <c r="B728" s="385"/>
      <c r="C728" s="299"/>
      <c r="D728" s="293"/>
      <c r="E728" s="293"/>
      <c r="F728" s="293"/>
      <c r="G728" s="300"/>
      <c r="H728" s="293"/>
      <c r="I728" s="313"/>
      <c r="J728" s="313"/>
      <c r="K728" s="313"/>
      <c r="L728" s="313"/>
      <c r="M728" s="293"/>
      <c r="N728" s="293"/>
      <c r="O728" s="293"/>
      <c r="P728" s="293"/>
      <c r="Q728" s="293"/>
      <c r="R728" s="293"/>
      <c r="S728" s="293"/>
      <c r="T728" s="293"/>
      <c r="U728" s="293"/>
      <c r="V728" s="293"/>
      <c r="W728" s="293"/>
      <c r="X728" s="293"/>
      <c r="Y728" s="293"/>
      <c r="Z728" s="293"/>
      <c r="AA728" s="293"/>
      <c r="AB728" s="293"/>
      <c r="AC728" s="293"/>
      <c r="AD728" s="293"/>
      <c r="AE728" s="293"/>
      <c r="AF728" s="293"/>
    </row>
    <row r="729" ht="16.5" customHeight="1">
      <c r="A729" s="293"/>
      <c r="B729" s="385"/>
      <c r="C729" s="299"/>
      <c r="D729" s="293"/>
      <c r="E729" s="293"/>
      <c r="F729" s="293"/>
      <c r="G729" s="300"/>
      <c r="H729" s="293"/>
      <c r="I729" s="313"/>
      <c r="J729" s="313"/>
      <c r="K729" s="313"/>
      <c r="L729" s="313"/>
      <c r="M729" s="293"/>
      <c r="N729" s="293"/>
      <c r="O729" s="293"/>
      <c r="P729" s="293"/>
      <c r="Q729" s="293"/>
      <c r="R729" s="293"/>
      <c r="S729" s="293"/>
      <c r="T729" s="293"/>
      <c r="U729" s="293"/>
      <c r="V729" s="293"/>
      <c r="W729" s="293"/>
      <c r="X729" s="293"/>
      <c r="Y729" s="293"/>
      <c r="Z729" s="293"/>
      <c r="AA729" s="293"/>
      <c r="AB729" s="293"/>
      <c r="AC729" s="293"/>
      <c r="AD729" s="293"/>
      <c r="AE729" s="293"/>
      <c r="AF729" s="293"/>
    </row>
    <row r="730" ht="16.5" customHeight="1">
      <c r="A730" s="293"/>
      <c r="B730" s="385"/>
      <c r="C730" s="299"/>
      <c r="D730" s="293"/>
      <c r="E730" s="293"/>
      <c r="F730" s="293"/>
      <c r="G730" s="300"/>
      <c r="H730" s="293"/>
      <c r="I730" s="313"/>
      <c r="J730" s="313"/>
      <c r="K730" s="313"/>
      <c r="L730" s="313"/>
      <c r="M730" s="293"/>
      <c r="N730" s="293"/>
      <c r="O730" s="293"/>
      <c r="P730" s="293"/>
      <c r="Q730" s="293"/>
      <c r="R730" s="293"/>
      <c r="S730" s="293"/>
      <c r="T730" s="293"/>
      <c r="U730" s="293"/>
      <c r="V730" s="293"/>
      <c r="W730" s="293"/>
      <c r="X730" s="293"/>
      <c r="Y730" s="293"/>
      <c r="Z730" s="293"/>
      <c r="AA730" s="293"/>
      <c r="AB730" s="293"/>
      <c r="AC730" s="293"/>
      <c r="AD730" s="293"/>
      <c r="AE730" s="293"/>
      <c r="AF730" s="293"/>
    </row>
    <row r="731" ht="16.5" customHeight="1">
      <c r="A731" s="293"/>
      <c r="B731" s="385"/>
      <c r="C731" s="299"/>
      <c r="D731" s="293"/>
      <c r="E731" s="293"/>
      <c r="F731" s="293"/>
      <c r="G731" s="300"/>
      <c r="H731" s="293"/>
      <c r="I731" s="313"/>
      <c r="J731" s="313"/>
      <c r="K731" s="313"/>
      <c r="L731" s="313"/>
      <c r="M731" s="293"/>
      <c r="N731" s="293"/>
      <c r="O731" s="293"/>
      <c r="P731" s="293"/>
      <c r="Q731" s="293"/>
      <c r="R731" s="293"/>
      <c r="S731" s="293"/>
      <c r="T731" s="293"/>
      <c r="U731" s="293"/>
      <c r="V731" s="293"/>
      <c r="W731" s="293"/>
      <c r="X731" s="293"/>
      <c r="Y731" s="293"/>
      <c r="Z731" s="293"/>
      <c r="AA731" s="293"/>
      <c r="AB731" s="293"/>
      <c r="AC731" s="293"/>
      <c r="AD731" s="293"/>
      <c r="AE731" s="293"/>
      <c r="AF731" s="293"/>
    </row>
    <row r="732" ht="16.5" customHeight="1">
      <c r="A732" s="293"/>
      <c r="B732" s="385"/>
      <c r="C732" s="299"/>
      <c r="D732" s="293"/>
      <c r="E732" s="293"/>
      <c r="F732" s="293"/>
      <c r="G732" s="300"/>
      <c r="H732" s="293"/>
      <c r="I732" s="313"/>
      <c r="J732" s="313"/>
      <c r="K732" s="313"/>
      <c r="L732" s="313"/>
      <c r="M732" s="293"/>
      <c r="N732" s="293"/>
      <c r="O732" s="293"/>
      <c r="P732" s="293"/>
      <c r="Q732" s="293"/>
      <c r="R732" s="293"/>
      <c r="S732" s="293"/>
      <c r="T732" s="293"/>
      <c r="U732" s="293"/>
      <c r="V732" s="293"/>
      <c r="W732" s="293"/>
      <c r="X732" s="293"/>
      <c r="Y732" s="293"/>
      <c r="Z732" s="293"/>
      <c r="AA732" s="293"/>
      <c r="AB732" s="293"/>
      <c r="AC732" s="293"/>
      <c r="AD732" s="293"/>
      <c r="AE732" s="293"/>
      <c r="AF732" s="293"/>
    </row>
    <row r="733" ht="16.5" customHeight="1">
      <c r="A733" s="293"/>
      <c r="B733" s="385"/>
      <c r="C733" s="299"/>
      <c r="D733" s="293"/>
      <c r="E733" s="293"/>
      <c r="F733" s="293"/>
      <c r="G733" s="300"/>
      <c r="H733" s="293"/>
      <c r="I733" s="313"/>
      <c r="J733" s="313"/>
      <c r="K733" s="313"/>
      <c r="L733" s="313"/>
      <c r="M733" s="293"/>
      <c r="N733" s="293"/>
      <c r="O733" s="293"/>
      <c r="P733" s="293"/>
      <c r="Q733" s="293"/>
      <c r="R733" s="293"/>
      <c r="S733" s="293"/>
      <c r="T733" s="293"/>
      <c r="U733" s="293"/>
      <c r="V733" s="293"/>
      <c r="W733" s="293"/>
      <c r="X733" s="293"/>
      <c r="Y733" s="293"/>
      <c r="Z733" s="293"/>
      <c r="AA733" s="293"/>
      <c r="AB733" s="293"/>
      <c r="AC733" s="293"/>
      <c r="AD733" s="293"/>
      <c r="AE733" s="293"/>
      <c r="AF733" s="293"/>
    </row>
    <row r="734" ht="16.5" customHeight="1">
      <c r="A734" s="293"/>
      <c r="B734" s="385"/>
      <c r="C734" s="299"/>
      <c r="D734" s="293"/>
      <c r="E734" s="293"/>
      <c r="F734" s="293"/>
      <c r="G734" s="300"/>
      <c r="H734" s="293"/>
      <c r="I734" s="313"/>
      <c r="J734" s="313"/>
      <c r="K734" s="313"/>
      <c r="L734" s="313"/>
      <c r="M734" s="293"/>
      <c r="N734" s="293"/>
      <c r="O734" s="293"/>
      <c r="P734" s="293"/>
      <c r="Q734" s="293"/>
      <c r="R734" s="293"/>
      <c r="S734" s="293"/>
      <c r="T734" s="293"/>
      <c r="U734" s="293"/>
      <c r="V734" s="293"/>
      <c r="W734" s="293"/>
      <c r="X734" s="293"/>
      <c r="Y734" s="293"/>
      <c r="Z734" s="293"/>
      <c r="AA734" s="293"/>
      <c r="AB734" s="293"/>
      <c r="AC734" s="293"/>
      <c r="AD734" s="293"/>
      <c r="AE734" s="293"/>
      <c r="AF734" s="293"/>
    </row>
    <row r="735" ht="16.5" customHeight="1">
      <c r="A735" s="293"/>
      <c r="B735" s="385"/>
      <c r="C735" s="299"/>
      <c r="D735" s="293"/>
      <c r="E735" s="293"/>
      <c r="F735" s="293"/>
      <c r="G735" s="300"/>
      <c r="H735" s="293"/>
      <c r="I735" s="313"/>
      <c r="J735" s="313"/>
      <c r="K735" s="313"/>
      <c r="L735" s="313"/>
      <c r="M735" s="293"/>
      <c r="N735" s="293"/>
      <c r="O735" s="293"/>
      <c r="P735" s="293"/>
      <c r="Q735" s="293"/>
      <c r="R735" s="293"/>
      <c r="S735" s="293"/>
      <c r="T735" s="293"/>
      <c r="U735" s="293"/>
      <c r="V735" s="293"/>
      <c r="W735" s="293"/>
      <c r="X735" s="293"/>
      <c r="Y735" s="293"/>
      <c r="Z735" s="293"/>
      <c r="AA735" s="293"/>
      <c r="AB735" s="293"/>
      <c r="AC735" s="293"/>
      <c r="AD735" s="293"/>
      <c r="AE735" s="293"/>
      <c r="AF735" s="293"/>
    </row>
    <row r="736" ht="16.5" customHeight="1">
      <c r="A736" s="293"/>
      <c r="B736" s="385"/>
      <c r="C736" s="299"/>
      <c r="D736" s="293"/>
      <c r="E736" s="293"/>
      <c r="F736" s="293"/>
      <c r="G736" s="300"/>
      <c r="H736" s="293"/>
      <c r="I736" s="313"/>
      <c r="J736" s="313"/>
      <c r="K736" s="313"/>
      <c r="L736" s="313"/>
      <c r="M736" s="293"/>
      <c r="N736" s="293"/>
      <c r="O736" s="293"/>
      <c r="P736" s="293"/>
      <c r="Q736" s="293"/>
      <c r="R736" s="293"/>
      <c r="S736" s="293"/>
      <c r="T736" s="293"/>
      <c r="U736" s="293"/>
      <c r="V736" s="293"/>
      <c r="W736" s="293"/>
      <c r="X736" s="293"/>
      <c r="Y736" s="293"/>
      <c r="Z736" s="293"/>
      <c r="AA736" s="293"/>
      <c r="AB736" s="293"/>
      <c r="AC736" s="293"/>
      <c r="AD736" s="293"/>
      <c r="AE736" s="293"/>
      <c r="AF736" s="293"/>
    </row>
    <row r="737" ht="16.5" customHeight="1">
      <c r="A737" s="293"/>
      <c r="B737" s="385"/>
      <c r="C737" s="299"/>
      <c r="D737" s="293"/>
      <c r="E737" s="293"/>
      <c r="F737" s="293"/>
      <c r="G737" s="300"/>
      <c r="H737" s="293"/>
      <c r="I737" s="313"/>
      <c r="J737" s="313"/>
      <c r="K737" s="313"/>
      <c r="L737" s="313"/>
      <c r="M737" s="293"/>
      <c r="N737" s="293"/>
      <c r="O737" s="293"/>
      <c r="P737" s="293"/>
      <c r="Q737" s="293"/>
      <c r="R737" s="293"/>
      <c r="S737" s="293"/>
      <c r="T737" s="293"/>
      <c r="U737" s="293"/>
      <c r="V737" s="293"/>
      <c r="W737" s="293"/>
      <c r="X737" s="293"/>
      <c r="Y737" s="293"/>
      <c r="Z737" s="293"/>
      <c r="AA737" s="293"/>
      <c r="AB737" s="293"/>
      <c r="AC737" s="293"/>
      <c r="AD737" s="293"/>
      <c r="AE737" s="293"/>
      <c r="AF737" s="293"/>
    </row>
    <row r="738" ht="16.5" customHeight="1">
      <c r="A738" s="293"/>
      <c r="B738" s="385"/>
      <c r="C738" s="299"/>
      <c r="D738" s="293"/>
      <c r="E738" s="293"/>
      <c r="F738" s="293"/>
      <c r="G738" s="300"/>
      <c r="H738" s="293"/>
      <c r="I738" s="313"/>
      <c r="J738" s="313"/>
      <c r="K738" s="313"/>
      <c r="L738" s="313"/>
      <c r="M738" s="293"/>
      <c r="N738" s="293"/>
      <c r="O738" s="293"/>
      <c r="P738" s="293"/>
      <c r="Q738" s="293"/>
      <c r="R738" s="293"/>
      <c r="S738" s="293"/>
      <c r="T738" s="293"/>
      <c r="U738" s="293"/>
      <c r="V738" s="293"/>
      <c r="W738" s="293"/>
      <c r="X738" s="293"/>
      <c r="Y738" s="293"/>
      <c r="Z738" s="293"/>
      <c r="AA738" s="293"/>
      <c r="AB738" s="293"/>
      <c r="AC738" s="293"/>
      <c r="AD738" s="293"/>
      <c r="AE738" s="293"/>
      <c r="AF738" s="293"/>
    </row>
    <row r="739" ht="16.5" customHeight="1">
      <c r="A739" s="293"/>
      <c r="B739" s="385"/>
      <c r="C739" s="299"/>
      <c r="D739" s="293"/>
      <c r="E739" s="293"/>
      <c r="F739" s="293"/>
      <c r="G739" s="300"/>
      <c r="H739" s="293"/>
      <c r="I739" s="313"/>
      <c r="J739" s="313"/>
      <c r="K739" s="313"/>
      <c r="L739" s="313"/>
      <c r="M739" s="293"/>
      <c r="N739" s="293"/>
      <c r="O739" s="293"/>
      <c r="P739" s="293"/>
      <c r="Q739" s="293"/>
      <c r="R739" s="293"/>
      <c r="S739" s="293"/>
      <c r="T739" s="293"/>
      <c r="U739" s="293"/>
      <c r="V739" s="293"/>
      <c r="W739" s="293"/>
      <c r="X739" s="293"/>
      <c r="Y739" s="293"/>
      <c r="Z739" s="293"/>
      <c r="AA739" s="293"/>
      <c r="AB739" s="293"/>
      <c r="AC739" s="293"/>
      <c r="AD739" s="293"/>
      <c r="AE739" s="293"/>
      <c r="AF739" s="293"/>
    </row>
    <row r="740" ht="16.5" customHeight="1">
      <c r="A740" s="293"/>
      <c r="B740" s="385"/>
      <c r="C740" s="299"/>
      <c r="D740" s="293"/>
      <c r="E740" s="293"/>
      <c r="F740" s="293"/>
      <c r="G740" s="300"/>
      <c r="H740" s="293"/>
      <c r="I740" s="313"/>
      <c r="J740" s="313"/>
      <c r="K740" s="313"/>
      <c r="L740" s="313"/>
      <c r="M740" s="293"/>
      <c r="N740" s="293"/>
      <c r="O740" s="293"/>
      <c r="P740" s="293"/>
      <c r="Q740" s="293"/>
      <c r="R740" s="293"/>
      <c r="S740" s="293"/>
      <c r="T740" s="293"/>
      <c r="U740" s="293"/>
      <c r="V740" s="293"/>
      <c r="W740" s="293"/>
      <c r="X740" s="293"/>
      <c r="Y740" s="293"/>
      <c r="Z740" s="293"/>
      <c r="AA740" s="293"/>
      <c r="AB740" s="293"/>
      <c r="AC740" s="293"/>
      <c r="AD740" s="293"/>
      <c r="AE740" s="293"/>
      <c r="AF740" s="293"/>
    </row>
    <row r="741" ht="16.5" customHeight="1">
      <c r="A741" s="293"/>
      <c r="B741" s="385"/>
      <c r="C741" s="299"/>
      <c r="D741" s="293"/>
      <c r="E741" s="293"/>
      <c r="F741" s="293"/>
      <c r="G741" s="300"/>
      <c r="H741" s="293"/>
      <c r="I741" s="313"/>
      <c r="J741" s="313"/>
      <c r="K741" s="313"/>
      <c r="L741" s="313"/>
      <c r="M741" s="293"/>
      <c r="N741" s="293"/>
      <c r="O741" s="293"/>
      <c r="P741" s="293"/>
      <c r="Q741" s="293"/>
      <c r="R741" s="293"/>
      <c r="S741" s="293"/>
      <c r="T741" s="293"/>
      <c r="U741" s="293"/>
      <c r="V741" s="293"/>
      <c r="W741" s="293"/>
      <c r="X741" s="293"/>
      <c r="Y741" s="293"/>
      <c r="Z741" s="293"/>
      <c r="AA741" s="293"/>
      <c r="AB741" s="293"/>
      <c r="AC741" s="293"/>
      <c r="AD741" s="293"/>
      <c r="AE741" s="293"/>
      <c r="AF741" s="293"/>
    </row>
    <row r="742" ht="16.5" customHeight="1">
      <c r="A742" s="293"/>
      <c r="B742" s="385"/>
      <c r="C742" s="299"/>
      <c r="D742" s="293"/>
      <c r="E742" s="293"/>
      <c r="F742" s="293"/>
      <c r="G742" s="300"/>
      <c r="H742" s="293"/>
      <c r="I742" s="313"/>
      <c r="J742" s="313"/>
      <c r="K742" s="313"/>
      <c r="L742" s="313"/>
      <c r="M742" s="293"/>
      <c r="N742" s="293"/>
      <c r="O742" s="293"/>
      <c r="P742" s="293"/>
      <c r="Q742" s="293"/>
      <c r="R742" s="293"/>
      <c r="S742" s="293"/>
      <c r="T742" s="293"/>
      <c r="U742" s="293"/>
      <c r="V742" s="293"/>
      <c r="W742" s="293"/>
      <c r="X742" s="293"/>
      <c r="Y742" s="293"/>
      <c r="Z742" s="293"/>
      <c r="AA742" s="293"/>
      <c r="AB742" s="293"/>
      <c r="AC742" s="293"/>
      <c r="AD742" s="293"/>
      <c r="AE742" s="293"/>
      <c r="AF742" s="293"/>
    </row>
    <row r="743" ht="16.5" customHeight="1">
      <c r="A743" s="293"/>
      <c r="B743" s="385"/>
      <c r="C743" s="299"/>
      <c r="D743" s="293"/>
      <c r="E743" s="293"/>
      <c r="F743" s="293"/>
      <c r="G743" s="300"/>
      <c r="H743" s="293"/>
      <c r="I743" s="313"/>
      <c r="J743" s="313"/>
      <c r="K743" s="313"/>
      <c r="L743" s="313"/>
      <c r="M743" s="293"/>
      <c r="N743" s="293"/>
      <c r="O743" s="293"/>
      <c r="P743" s="293"/>
      <c r="Q743" s="293"/>
      <c r="R743" s="293"/>
      <c r="S743" s="293"/>
      <c r="T743" s="293"/>
      <c r="U743" s="293"/>
      <c r="V743" s="293"/>
      <c r="W743" s="293"/>
      <c r="X743" s="293"/>
      <c r="Y743" s="293"/>
      <c r="Z743" s="293"/>
      <c r="AA743" s="293"/>
      <c r="AB743" s="293"/>
      <c r="AC743" s="293"/>
      <c r="AD743" s="293"/>
      <c r="AE743" s="293"/>
      <c r="AF743" s="293"/>
    </row>
    <row r="744" ht="16.5" customHeight="1">
      <c r="A744" s="293"/>
      <c r="B744" s="385"/>
      <c r="C744" s="299"/>
      <c r="D744" s="293"/>
      <c r="E744" s="293"/>
      <c r="F744" s="293"/>
      <c r="G744" s="300"/>
      <c r="H744" s="293"/>
      <c r="I744" s="313"/>
      <c r="J744" s="313"/>
      <c r="K744" s="313"/>
      <c r="L744" s="313"/>
      <c r="M744" s="293"/>
      <c r="N744" s="293"/>
      <c r="O744" s="293"/>
      <c r="P744" s="293"/>
      <c r="Q744" s="293"/>
      <c r="R744" s="293"/>
      <c r="S744" s="293"/>
      <c r="T744" s="293"/>
      <c r="U744" s="293"/>
      <c r="V744" s="293"/>
      <c r="W744" s="293"/>
      <c r="X744" s="293"/>
      <c r="Y744" s="293"/>
      <c r="Z744" s="293"/>
      <c r="AA744" s="293"/>
      <c r="AB744" s="293"/>
      <c r="AC744" s="293"/>
      <c r="AD744" s="293"/>
      <c r="AE744" s="293"/>
      <c r="AF744" s="293"/>
    </row>
    <row r="745" ht="16.5" customHeight="1">
      <c r="A745" s="293"/>
      <c r="B745" s="385"/>
      <c r="C745" s="299"/>
      <c r="D745" s="293"/>
      <c r="E745" s="293"/>
      <c r="F745" s="293"/>
      <c r="G745" s="300"/>
      <c r="H745" s="293"/>
      <c r="I745" s="313"/>
      <c r="J745" s="313"/>
      <c r="K745" s="313"/>
      <c r="L745" s="313"/>
      <c r="M745" s="293"/>
      <c r="N745" s="293"/>
      <c r="O745" s="293"/>
      <c r="P745" s="293"/>
      <c r="Q745" s="293"/>
      <c r="R745" s="293"/>
      <c r="S745" s="293"/>
      <c r="T745" s="293"/>
      <c r="U745" s="293"/>
      <c r="V745" s="293"/>
      <c r="W745" s="293"/>
      <c r="X745" s="293"/>
      <c r="Y745" s="293"/>
      <c r="Z745" s="293"/>
      <c r="AA745" s="293"/>
      <c r="AB745" s="293"/>
      <c r="AC745" s="293"/>
      <c r="AD745" s="293"/>
      <c r="AE745" s="293"/>
      <c r="AF745" s="293"/>
    </row>
    <row r="746" ht="16.5" customHeight="1">
      <c r="A746" s="293"/>
      <c r="B746" s="385"/>
      <c r="C746" s="299"/>
      <c r="D746" s="293"/>
      <c r="E746" s="293"/>
      <c r="F746" s="293"/>
      <c r="G746" s="300"/>
      <c r="H746" s="293"/>
      <c r="I746" s="313"/>
      <c r="J746" s="313"/>
      <c r="K746" s="313"/>
      <c r="L746" s="313"/>
      <c r="M746" s="293"/>
      <c r="N746" s="293"/>
      <c r="O746" s="293"/>
      <c r="P746" s="293"/>
      <c r="Q746" s="293"/>
      <c r="R746" s="293"/>
      <c r="S746" s="293"/>
      <c r="T746" s="293"/>
      <c r="U746" s="293"/>
      <c r="V746" s="293"/>
      <c r="W746" s="293"/>
      <c r="X746" s="293"/>
      <c r="Y746" s="293"/>
      <c r="Z746" s="293"/>
      <c r="AA746" s="293"/>
      <c r="AB746" s="293"/>
      <c r="AC746" s="293"/>
      <c r="AD746" s="293"/>
      <c r="AE746" s="293"/>
      <c r="AF746" s="293"/>
    </row>
    <row r="747" ht="16.5" customHeight="1">
      <c r="A747" s="293"/>
      <c r="B747" s="385"/>
      <c r="C747" s="299"/>
      <c r="D747" s="293"/>
      <c r="E747" s="293"/>
      <c r="F747" s="293"/>
      <c r="G747" s="300"/>
      <c r="H747" s="293"/>
      <c r="I747" s="313"/>
      <c r="J747" s="313"/>
      <c r="K747" s="313"/>
      <c r="L747" s="313"/>
      <c r="M747" s="293"/>
      <c r="N747" s="293"/>
      <c r="O747" s="293"/>
      <c r="P747" s="293"/>
      <c r="Q747" s="293"/>
      <c r="R747" s="293"/>
      <c r="S747" s="293"/>
      <c r="T747" s="293"/>
      <c r="U747" s="293"/>
      <c r="V747" s="293"/>
      <c r="W747" s="293"/>
      <c r="X747" s="293"/>
      <c r="Y747" s="293"/>
      <c r="Z747" s="293"/>
      <c r="AA747" s="293"/>
      <c r="AB747" s="293"/>
      <c r="AC747" s="293"/>
      <c r="AD747" s="293"/>
      <c r="AE747" s="293"/>
      <c r="AF747" s="293"/>
    </row>
    <row r="748" ht="16.5" customHeight="1">
      <c r="A748" s="293"/>
      <c r="B748" s="385"/>
      <c r="C748" s="299"/>
      <c r="D748" s="293"/>
      <c r="E748" s="293"/>
      <c r="F748" s="293"/>
      <c r="G748" s="300"/>
      <c r="H748" s="293"/>
      <c r="I748" s="313"/>
      <c r="J748" s="313"/>
      <c r="K748" s="313"/>
      <c r="L748" s="313"/>
      <c r="M748" s="293"/>
      <c r="N748" s="293"/>
      <c r="O748" s="293"/>
      <c r="P748" s="293"/>
      <c r="Q748" s="293"/>
      <c r="R748" s="293"/>
      <c r="S748" s="293"/>
      <c r="T748" s="293"/>
      <c r="U748" s="293"/>
      <c r="V748" s="293"/>
      <c r="W748" s="293"/>
      <c r="X748" s="293"/>
      <c r="Y748" s="293"/>
      <c r="Z748" s="293"/>
      <c r="AA748" s="293"/>
      <c r="AB748" s="293"/>
      <c r="AC748" s="293"/>
      <c r="AD748" s="293"/>
      <c r="AE748" s="293"/>
      <c r="AF748" s="293"/>
    </row>
    <row r="749" ht="16.5" customHeight="1">
      <c r="A749" s="293"/>
      <c r="B749" s="385"/>
      <c r="C749" s="299"/>
      <c r="D749" s="293"/>
      <c r="E749" s="293"/>
      <c r="F749" s="293"/>
      <c r="G749" s="300"/>
      <c r="H749" s="293"/>
      <c r="I749" s="313"/>
      <c r="J749" s="313"/>
      <c r="K749" s="313"/>
      <c r="L749" s="313"/>
      <c r="M749" s="293"/>
      <c r="N749" s="293"/>
      <c r="O749" s="293"/>
      <c r="P749" s="293"/>
      <c r="Q749" s="293"/>
      <c r="R749" s="293"/>
      <c r="S749" s="293"/>
      <c r="T749" s="293"/>
      <c r="U749" s="293"/>
      <c r="V749" s="293"/>
      <c r="W749" s="293"/>
      <c r="X749" s="293"/>
      <c r="Y749" s="293"/>
      <c r="Z749" s="293"/>
      <c r="AA749" s="293"/>
      <c r="AB749" s="293"/>
      <c r="AC749" s="293"/>
      <c r="AD749" s="293"/>
      <c r="AE749" s="293"/>
      <c r="AF749" s="293"/>
    </row>
    <row r="750" ht="16.5" customHeight="1">
      <c r="A750" s="293"/>
      <c r="B750" s="385"/>
      <c r="C750" s="299"/>
      <c r="D750" s="293"/>
      <c r="E750" s="293"/>
      <c r="F750" s="293"/>
      <c r="G750" s="300"/>
      <c r="H750" s="293"/>
      <c r="I750" s="313"/>
      <c r="J750" s="313"/>
      <c r="K750" s="313"/>
      <c r="L750" s="313"/>
      <c r="M750" s="293"/>
      <c r="N750" s="293"/>
      <c r="O750" s="293"/>
      <c r="P750" s="293"/>
      <c r="Q750" s="293"/>
      <c r="R750" s="293"/>
      <c r="S750" s="293"/>
      <c r="T750" s="293"/>
      <c r="U750" s="293"/>
      <c r="V750" s="293"/>
      <c r="W750" s="293"/>
      <c r="X750" s="293"/>
      <c r="Y750" s="293"/>
      <c r="Z750" s="293"/>
      <c r="AA750" s="293"/>
      <c r="AB750" s="293"/>
      <c r="AC750" s="293"/>
      <c r="AD750" s="293"/>
      <c r="AE750" s="293"/>
      <c r="AF750" s="293"/>
    </row>
    <row r="751" ht="16.5" customHeight="1">
      <c r="A751" s="293"/>
      <c r="B751" s="385"/>
      <c r="C751" s="299"/>
      <c r="D751" s="293"/>
      <c r="E751" s="293"/>
      <c r="F751" s="293"/>
      <c r="G751" s="300"/>
      <c r="H751" s="293"/>
      <c r="I751" s="313"/>
      <c r="J751" s="313"/>
      <c r="K751" s="313"/>
      <c r="L751" s="313"/>
      <c r="M751" s="293"/>
      <c r="N751" s="293"/>
      <c r="O751" s="293"/>
      <c r="P751" s="293"/>
      <c r="Q751" s="293"/>
      <c r="R751" s="293"/>
      <c r="S751" s="293"/>
      <c r="T751" s="293"/>
      <c r="U751" s="293"/>
      <c r="V751" s="293"/>
      <c r="W751" s="293"/>
      <c r="X751" s="293"/>
      <c r="Y751" s="293"/>
      <c r="Z751" s="293"/>
      <c r="AA751" s="293"/>
      <c r="AB751" s="293"/>
      <c r="AC751" s="293"/>
      <c r="AD751" s="293"/>
      <c r="AE751" s="293"/>
      <c r="AF751" s="293"/>
    </row>
    <row r="752" ht="16.5" customHeight="1">
      <c r="A752" s="293"/>
      <c r="B752" s="385"/>
      <c r="C752" s="299"/>
      <c r="D752" s="293"/>
      <c r="E752" s="293"/>
      <c r="F752" s="293"/>
      <c r="G752" s="300"/>
      <c r="H752" s="293"/>
      <c r="I752" s="313"/>
      <c r="J752" s="313"/>
      <c r="K752" s="313"/>
      <c r="L752" s="313"/>
      <c r="M752" s="293"/>
      <c r="N752" s="293"/>
      <c r="O752" s="293"/>
      <c r="P752" s="293"/>
      <c r="Q752" s="293"/>
      <c r="R752" s="293"/>
      <c r="S752" s="293"/>
      <c r="T752" s="293"/>
      <c r="U752" s="293"/>
      <c r="V752" s="293"/>
      <c r="W752" s="293"/>
      <c r="X752" s="293"/>
      <c r="Y752" s="293"/>
      <c r="Z752" s="293"/>
      <c r="AA752" s="293"/>
      <c r="AB752" s="293"/>
      <c r="AC752" s="293"/>
      <c r="AD752" s="293"/>
      <c r="AE752" s="293"/>
      <c r="AF752" s="293"/>
    </row>
    <row r="753" ht="16.5" customHeight="1">
      <c r="A753" s="293"/>
      <c r="B753" s="385"/>
      <c r="C753" s="299"/>
      <c r="D753" s="293"/>
      <c r="E753" s="293"/>
      <c r="F753" s="293"/>
      <c r="G753" s="300"/>
      <c r="H753" s="293"/>
      <c r="I753" s="313"/>
      <c r="J753" s="313"/>
      <c r="K753" s="313"/>
      <c r="L753" s="313"/>
      <c r="M753" s="293"/>
      <c r="N753" s="293"/>
      <c r="O753" s="293"/>
      <c r="P753" s="293"/>
      <c r="Q753" s="293"/>
      <c r="R753" s="293"/>
      <c r="S753" s="293"/>
      <c r="T753" s="293"/>
      <c r="U753" s="293"/>
      <c r="V753" s="293"/>
      <c r="W753" s="293"/>
      <c r="X753" s="293"/>
      <c r="Y753" s="293"/>
      <c r="Z753" s="293"/>
      <c r="AA753" s="293"/>
      <c r="AB753" s="293"/>
      <c r="AC753" s="293"/>
      <c r="AD753" s="293"/>
      <c r="AE753" s="293"/>
      <c r="AF753" s="293"/>
    </row>
    <row r="754" ht="16.5" customHeight="1">
      <c r="A754" s="293"/>
      <c r="B754" s="385"/>
      <c r="C754" s="299"/>
      <c r="D754" s="293"/>
      <c r="E754" s="293"/>
      <c r="F754" s="293"/>
      <c r="G754" s="300"/>
      <c r="H754" s="293"/>
      <c r="I754" s="313"/>
      <c r="J754" s="313"/>
      <c r="K754" s="313"/>
      <c r="L754" s="313"/>
      <c r="M754" s="293"/>
      <c r="N754" s="293"/>
      <c r="O754" s="293"/>
      <c r="P754" s="293"/>
      <c r="Q754" s="293"/>
      <c r="R754" s="293"/>
      <c r="S754" s="293"/>
      <c r="T754" s="293"/>
      <c r="U754" s="293"/>
      <c r="V754" s="293"/>
      <c r="W754" s="293"/>
      <c r="X754" s="293"/>
      <c r="Y754" s="293"/>
      <c r="Z754" s="293"/>
      <c r="AA754" s="293"/>
      <c r="AB754" s="293"/>
      <c r="AC754" s="293"/>
      <c r="AD754" s="293"/>
      <c r="AE754" s="293"/>
      <c r="AF754" s="293"/>
    </row>
    <row r="755" ht="16.5" customHeight="1">
      <c r="A755" s="293"/>
      <c r="B755" s="385"/>
      <c r="C755" s="299"/>
      <c r="D755" s="293"/>
      <c r="E755" s="293"/>
      <c r="F755" s="293"/>
      <c r="G755" s="300"/>
      <c r="H755" s="293"/>
      <c r="I755" s="313"/>
      <c r="J755" s="313"/>
      <c r="K755" s="313"/>
      <c r="L755" s="313"/>
      <c r="M755" s="293"/>
      <c r="N755" s="293"/>
      <c r="O755" s="293"/>
      <c r="P755" s="293"/>
      <c r="Q755" s="293"/>
      <c r="R755" s="293"/>
      <c r="S755" s="293"/>
      <c r="T755" s="293"/>
      <c r="U755" s="293"/>
      <c r="V755" s="293"/>
      <c r="W755" s="293"/>
      <c r="X755" s="293"/>
      <c r="Y755" s="293"/>
      <c r="Z755" s="293"/>
      <c r="AA755" s="293"/>
      <c r="AB755" s="293"/>
      <c r="AC755" s="293"/>
      <c r="AD755" s="293"/>
      <c r="AE755" s="293"/>
      <c r="AF755" s="293"/>
    </row>
    <row r="756" ht="16.5" customHeight="1">
      <c r="A756" s="293"/>
      <c r="B756" s="385"/>
      <c r="C756" s="299"/>
      <c r="D756" s="293"/>
      <c r="E756" s="293"/>
      <c r="F756" s="293"/>
      <c r="G756" s="300"/>
      <c r="H756" s="293"/>
      <c r="I756" s="313"/>
      <c r="J756" s="313"/>
      <c r="K756" s="313"/>
      <c r="L756" s="313"/>
      <c r="M756" s="293"/>
      <c r="N756" s="293"/>
      <c r="O756" s="293"/>
      <c r="P756" s="293"/>
      <c r="Q756" s="293"/>
      <c r="R756" s="293"/>
      <c r="S756" s="293"/>
      <c r="T756" s="293"/>
      <c r="U756" s="293"/>
      <c r="V756" s="293"/>
      <c r="W756" s="293"/>
      <c r="X756" s="293"/>
      <c r="Y756" s="293"/>
      <c r="Z756" s="293"/>
      <c r="AA756" s="293"/>
      <c r="AB756" s="293"/>
      <c r="AC756" s="293"/>
      <c r="AD756" s="293"/>
      <c r="AE756" s="293"/>
      <c r="AF756" s="293"/>
    </row>
    <row r="757" ht="16.5" customHeight="1">
      <c r="A757" s="293"/>
      <c r="B757" s="385"/>
      <c r="C757" s="299"/>
      <c r="D757" s="293"/>
      <c r="E757" s="293"/>
      <c r="F757" s="293"/>
      <c r="G757" s="300"/>
      <c r="H757" s="293"/>
      <c r="I757" s="313"/>
      <c r="J757" s="313"/>
      <c r="K757" s="313"/>
      <c r="L757" s="313"/>
      <c r="M757" s="293"/>
      <c r="N757" s="293"/>
      <c r="O757" s="293"/>
      <c r="P757" s="293"/>
      <c r="Q757" s="293"/>
      <c r="R757" s="293"/>
      <c r="S757" s="293"/>
      <c r="T757" s="293"/>
      <c r="U757" s="293"/>
      <c r="V757" s="293"/>
      <c r="W757" s="293"/>
      <c r="X757" s="293"/>
      <c r="Y757" s="293"/>
      <c r="Z757" s="293"/>
      <c r="AA757" s="293"/>
      <c r="AB757" s="293"/>
      <c r="AC757" s="293"/>
      <c r="AD757" s="293"/>
      <c r="AE757" s="293"/>
      <c r="AF757" s="293"/>
    </row>
    <row r="758" ht="16.5" customHeight="1">
      <c r="A758" s="293"/>
      <c r="B758" s="385"/>
      <c r="C758" s="299"/>
      <c r="D758" s="293"/>
      <c r="E758" s="293"/>
      <c r="F758" s="293"/>
      <c r="G758" s="300"/>
      <c r="H758" s="293"/>
      <c r="I758" s="313"/>
      <c r="J758" s="313"/>
      <c r="K758" s="313"/>
      <c r="L758" s="313"/>
      <c r="M758" s="293"/>
      <c r="N758" s="293"/>
      <c r="O758" s="293"/>
      <c r="P758" s="293"/>
      <c r="Q758" s="293"/>
      <c r="R758" s="293"/>
      <c r="S758" s="293"/>
      <c r="T758" s="293"/>
      <c r="U758" s="293"/>
      <c r="V758" s="293"/>
      <c r="W758" s="293"/>
      <c r="X758" s="293"/>
      <c r="Y758" s="293"/>
      <c r="Z758" s="293"/>
      <c r="AA758" s="293"/>
      <c r="AB758" s="293"/>
      <c r="AC758" s="293"/>
      <c r="AD758" s="293"/>
      <c r="AE758" s="293"/>
      <c r="AF758" s="293"/>
    </row>
    <row r="759" ht="16.5" customHeight="1">
      <c r="A759" s="293"/>
      <c r="B759" s="385"/>
      <c r="C759" s="299"/>
      <c r="D759" s="293"/>
      <c r="E759" s="293"/>
      <c r="F759" s="293"/>
      <c r="G759" s="300"/>
      <c r="H759" s="293"/>
      <c r="I759" s="313"/>
      <c r="J759" s="313"/>
      <c r="K759" s="313"/>
      <c r="L759" s="313"/>
      <c r="M759" s="293"/>
      <c r="N759" s="293"/>
      <c r="O759" s="293"/>
      <c r="P759" s="293"/>
      <c r="Q759" s="293"/>
      <c r="R759" s="293"/>
      <c r="S759" s="293"/>
      <c r="T759" s="293"/>
      <c r="U759" s="293"/>
      <c r="V759" s="293"/>
      <c r="W759" s="293"/>
      <c r="X759" s="293"/>
      <c r="Y759" s="293"/>
      <c r="Z759" s="293"/>
      <c r="AA759" s="293"/>
      <c r="AB759" s="293"/>
      <c r="AC759" s="293"/>
      <c r="AD759" s="293"/>
      <c r="AE759" s="293"/>
      <c r="AF759" s="293"/>
    </row>
    <row r="760" ht="16.5" customHeight="1">
      <c r="A760" s="293"/>
      <c r="B760" s="385"/>
      <c r="C760" s="299"/>
      <c r="D760" s="293"/>
      <c r="E760" s="293"/>
      <c r="F760" s="293"/>
      <c r="G760" s="300"/>
      <c r="H760" s="293"/>
      <c r="I760" s="313"/>
      <c r="J760" s="313"/>
      <c r="K760" s="313"/>
      <c r="L760" s="313"/>
      <c r="M760" s="293"/>
      <c r="N760" s="293"/>
      <c r="O760" s="293"/>
      <c r="P760" s="293"/>
      <c r="Q760" s="293"/>
      <c r="R760" s="293"/>
      <c r="S760" s="293"/>
      <c r="T760" s="293"/>
      <c r="U760" s="293"/>
      <c r="V760" s="293"/>
      <c r="W760" s="293"/>
      <c r="X760" s="293"/>
      <c r="Y760" s="293"/>
      <c r="Z760" s="293"/>
      <c r="AA760" s="293"/>
      <c r="AB760" s="293"/>
      <c r="AC760" s="293"/>
      <c r="AD760" s="293"/>
      <c r="AE760" s="293"/>
      <c r="AF760" s="293"/>
    </row>
    <row r="761" ht="16.5" customHeight="1">
      <c r="A761" s="293"/>
      <c r="B761" s="385"/>
      <c r="C761" s="299"/>
      <c r="D761" s="293"/>
      <c r="E761" s="293"/>
      <c r="F761" s="293"/>
      <c r="G761" s="300"/>
      <c r="H761" s="293"/>
      <c r="I761" s="313"/>
      <c r="J761" s="313"/>
      <c r="K761" s="313"/>
      <c r="L761" s="313"/>
      <c r="M761" s="293"/>
      <c r="N761" s="293"/>
      <c r="O761" s="293"/>
      <c r="P761" s="293"/>
      <c r="Q761" s="293"/>
      <c r="R761" s="293"/>
      <c r="S761" s="293"/>
      <c r="T761" s="293"/>
      <c r="U761" s="293"/>
      <c r="V761" s="293"/>
      <c r="W761" s="293"/>
      <c r="X761" s="293"/>
      <c r="Y761" s="293"/>
      <c r="Z761" s="293"/>
      <c r="AA761" s="293"/>
      <c r="AB761" s="293"/>
      <c r="AC761" s="293"/>
      <c r="AD761" s="293"/>
      <c r="AE761" s="293"/>
      <c r="AF761" s="293"/>
    </row>
    <row r="762" ht="16.5" customHeight="1">
      <c r="A762" s="293"/>
      <c r="B762" s="385"/>
      <c r="C762" s="299"/>
      <c r="D762" s="293"/>
      <c r="E762" s="293"/>
      <c r="F762" s="293"/>
      <c r="G762" s="300"/>
      <c r="H762" s="293"/>
      <c r="I762" s="313"/>
      <c r="J762" s="313"/>
      <c r="K762" s="313"/>
      <c r="L762" s="313"/>
      <c r="M762" s="293"/>
      <c r="N762" s="293"/>
      <c r="O762" s="293"/>
      <c r="P762" s="293"/>
      <c r="Q762" s="293"/>
      <c r="R762" s="293"/>
      <c r="S762" s="293"/>
      <c r="T762" s="293"/>
      <c r="U762" s="293"/>
      <c r="V762" s="293"/>
      <c r="W762" s="293"/>
      <c r="X762" s="293"/>
      <c r="Y762" s="293"/>
      <c r="Z762" s="293"/>
      <c r="AA762" s="293"/>
      <c r="AB762" s="293"/>
      <c r="AC762" s="293"/>
      <c r="AD762" s="293"/>
      <c r="AE762" s="293"/>
      <c r="AF762" s="293"/>
    </row>
    <row r="763" ht="16.5" customHeight="1">
      <c r="A763" s="293"/>
      <c r="B763" s="385"/>
      <c r="C763" s="299"/>
      <c r="D763" s="293"/>
      <c r="E763" s="293"/>
      <c r="F763" s="293"/>
      <c r="G763" s="300"/>
      <c r="H763" s="293"/>
      <c r="I763" s="313"/>
      <c r="J763" s="313"/>
      <c r="K763" s="313"/>
      <c r="L763" s="313"/>
      <c r="M763" s="293"/>
      <c r="N763" s="293"/>
      <c r="O763" s="293"/>
      <c r="P763" s="293"/>
      <c r="Q763" s="293"/>
      <c r="R763" s="293"/>
      <c r="S763" s="293"/>
      <c r="T763" s="293"/>
      <c r="U763" s="293"/>
      <c r="V763" s="293"/>
      <c r="W763" s="293"/>
      <c r="X763" s="293"/>
      <c r="Y763" s="293"/>
      <c r="Z763" s="293"/>
      <c r="AA763" s="293"/>
      <c r="AB763" s="293"/>
      <c r="AC763" s="293"/>
      <c r="AD763" s="293"/>
      <c r="AE763" s="293"/>
      <c r="AF763" s="293"/>
    </row>
    <row r="764" ht="16.5" customHeight="1">
      <c r="A764" s="293"/>
      <c r="B764" s="385"/>
      <c r="C764" s="299"/>
      <c r="D764" s="293"/>
      <c r="E764" s="293"/>
      <c r="F764" s="293"/>
      <c r="G764" s="300"/>
      <c r="H764" s="293"/>
      <c r="I764" s="313"/>
      <c r="J764" s="313"/>
      <c r="K764" s="313"/>
      <c r="L764" s="313"/>
      <c r="M764" s="293"/>
      <c r="N764" s="293"/>
      <c r="O764" s="293"/>
      <c r="P764" s="293"/>
      <c r="Q764" s="293"/>
      <c r="R764" s="293"/>
      <c r="S764" s="293"/>
      <c r="T764" s="293"/>
      <c r="U764" s="293"/>
      <c r="V764" s="293"/>
      <c r="W764" s="293"/>
      <c r="X764" s="293"/>
      <c r="Y764" s="293"/>
      <c r="Z764" s="293"/>
      <c r="AA764" s="293"/>
      <c r="AB764" s="293"/>
      <c r="AC764" s="293"/>
      <c r="AD764" s="293"/>
      <c r="AE764" s="293"/>
      <c r="AF764" s="293"/>
    </row>
    <row r="765" ht="16.5" customHeight="1">
      <c r="A765" s="293"/>
      <c r="B765" s="385"/>
      <c r="C765" s="299"/>
      <c r="D765" s="293"/>
      <c r="E765" s="293"/>
      <c r="F765" s="293"/>
      <c r="G765" s="300"/>
      <c r="H765" s="293"/>
      <c r="I765" s="313"/>
      <c r="J765" s="313"/>
      <c r="K765" s="313"/>
      <c r="L765" s="313"/>
      <c r="M765" s="293"/>
      <c r="N765" s="293"/>
      <c r="O765" s="293"/>
      <c r="P765" s="293"/>
      <c r="Q765" s="293"/>
      <c r="R765" s="293"/>
      <c r="S765" s="293"/>
      <c r="T765" s="293"/>
      <c r="U765" s="293"/>
      <c r="V765" s="293"/>
      <c r="W765" s="293"/>
      <c r="X765" s="293"/>
      <c r="Y765" s="293"/>
      <c r="Z765" s="293"/>
      <c r="AA765" s="293"/>
      <c r="AB765" s="293"/>
      <c r="AC765" s="293"/>
      <c r="AD765" s="293"/>
      <c r="AE765" s="293"/>
      <c r="AF765" s="293"/>
    </row>
    <row r="766" ht="16.5" customHeight="1">
      <c r="A766" s="293"/>
      <c r="B766" s="385"/>
      <c r="C766" s="299"/>
      <c r="D766" s="293"/>
      <c r="E766" s="293"/>
      <c r="F766" s="293"/>
      <c r="G766" s="300"/>
      <c r="H766" s="293"/>
      <c r="I766" s="313"/>
      <c r="J766" s="313"/>
      <c r="K766" s="313"/>
      <c r="L766" s="313"/>
      <c r="M766" s="293"/>
      <c r="N766" s="293"/>
      <c r="O766" s="293"/>
      <c r="P766" s="293"/>
      <c r="Q766" s="293"/>
      <c r="R766" s="293"/>
      <c r="S766" s="293"/>
      <c r="T766" s="293"/>
      <c r="U766" s="293"/>
      <c r="V766" s="293"/>
      <c r="W766" s="293"/>
      <c r="X766" s="293"/>
      <c r="Y766" s="293"/>
      <c r="Z766" s="293"/>
      <c r="AA766" s="293"/>
      <c r="AB766" s="293"/>
      <c r="AC766" s="293"/>
      <c r="AD766" s="293"/>
      <c r="AE766" s="293"/>
      <c r="AF766" s="293"/>
    </row>
    <row r="767" ht="16.5" customHeight="1">
      <c r="A767" s="293"/>
      <c r="B767" s="385"/>
      <c r="C767" s="299"/>
      <c r="D767" s="293"/>
      <c r="E767" s="293"/>
      <c r="F767" s="293"/>
      <c r="G767" s="300"/>
      <c r="H767" s="293"/>
      <c r="I767" s="313"/>
      <c r="J767" s="313"/>
      <c r="K767" s="313"/>
      <c r="L767" s="313"/>
      <c r="M767" s="293"/>
      <c r="N767" s="293"/>
      <c r="O767" s="293"/>
      <c r="P767" s="293"/>
      <c r="Q767" s="293"/>
      <c r="R767" s="293"/>
      <c r="S767" s="293"/>
      <c r="T767" s="293"/>
      <c r="U767" s="293"/>
      <c r="V767" s="293"/>
      <c r="W767" s="293"/>
      <c r="X767" s="293"/>
      <c r="Y767" s="293"/>
      <c r="Z767" s="293"/>
      <c r="AA767" s="293"/>
      <c r="AB767" s="293"/>
      <c r="AC767" s="293"/>
      <c r="AD767" s="293"/>
      <c r="AE767" s="293"/>
      <c r="AF767" s="293"/>
    </row>
    <row r="768" ht="16.5" customHeight="1">
      <c r="A768" s="293"/>
      <c r="B768" s="385"/>
      <c r="C768" s="299"/>
      <c r="D768" s="293"/>
      <c r="E768" s="293"/>
      <c r="F768" s="293"/>
      <c r="G768" s="300"/>
      <c r="H768" s="293"/>
      <c r="I768" s="313"/>
      <c r="J768" s="313"/>
      <c r="K768" s="313"/>
      <c r="L768" s="313"/>
      <c r="M768" s="293"/>
      <c r="N768" s="293"/>
      <c r="O768" s="293"/>
      <c r="P768" s="293"/>
      <c r="Q768" s="293"/>
      <c r="R768" s="293"/>
      <c r="S768" s="293"/>
      <c r="T768" s="293"/>
      <c r="U768" s="293"/>
      <c r="V768" s="293"/>
      <c r="W768" s="293"/>
      <c r="X768" s="293"/>
      <c r="Y768" s="293"/>
      <c r="Z768" s="293"/>
      <c r="AA768" s="293"/>
      <c r="AB768" s="293"/>
      <c r="AC768" s="293"/>
      <c r="AD768" s="293"/>
      <c r="AE768" s="293"/>
      <c r="AF768" s="293"/>
    </row>
    <row r="769" ht="16.5" customHeight="1">
      <c r="A769" s="293"/>
      <c r="B769" s="385"/>
      <c r="C769" s="299"/>
      <c r="D769" s="293"/>
      <c r="E769" s="293"/>
      <c r="F769" s="293"/>
      <c r="G769" s="300"/>
      <c r="H769" s="293"/>
      <c r="I769" s="313"/>
      <c r="J769" s="313"/>
      <c r="K769" s="313"/>
      <c r="L769" s="313"/>
      <c r="M769" s="293"/>
      <c r="N769" s="293"/>
      <c r="O769" s="293"/>
      <c r="P769" s="293"/>
      <c r="Q769" s="293"/>
      <c r="R769" s="293"/>
      <c r="S769" s="293"/>
      <c r="T769" s="293"/>
      <c r="U769" s="293"/>
      <c r="V769" s="293"/>
      <c r="W769" s="293"/>
      <c r="X769" s="293"/>
      <c r="Y769" s="293"/>
      <c r="Z769" s="293"/>
      <c r="AA769" s="293"/>
      <c r="AB769" s="293"/>
      <c r="AC769" s="293"/>
      <c r="AD769" s="293"/>
      <c r="AE769" s="293"/>
      <c r="AF769" s="293"/>
    </row>
    <row r="770" ht="16.5" customHeight="1">
      <c r="A770" s="293"/>
      <c r="B770" s="385"/>
      <c r="C770" s="299"/>
      <c r="D770" s="293"/>
      <c r="E770" s="293"/>
      <c r="F770" s="293"/>
      <c r="G770" s="300"/>
      <c r="H770" s="293"/>
      <c r="I770" s="313"/>
      <c r="J770" s="313"/>
      <c r="K770" s="313"/>
      <c r="L770" s="313"/>
      <c r="M770" s="293"/>
      <c r="N770" s="293"/>
      <c r="O770" s="293"/>
      <c r="P770" s="293"/>
      <c r="Q770" s="293"/>
      <c r="R770" s="293"/>
      <c r="S770" s="293"/>
      <c r="T770" s="293"/>
      <c r="U770" s="293"/>
      <c r="V770" s="293"/>
      <c r="W770" s="293"/>
      <c r="X770" s="293"/>
      <c r="Y770" s="293"/>
      <c r="Z770" s="293"/>
      <c r="AA770" s="293"/>
      <c r="AB770" s="293"/>
      <c r="AC770" s="293"/>
      <c r="AD770" s="293"/>
      <c r="AE770" s="293"/>
      <c r="AF770" s="293"/>
    </row>
    <row r="771" ht="16.5" customHeight="1">
      <c r="A771" s="293"/>
      <c r="B771" s="385"/>
      <c r="C771" s="299"/>
      <c r="D771" s="293"/>
      <c r="E771" s="293"/>
      <c r="F771" s="293"/>
      <c r="G771" s="300"/>
      <c r="H771" s="293"/>
      <c r="I771" s="313"/>
      <c r="J771" s="313"/>
      <c r="K771" s="313"/>
      <c r="L771" s="313"/>
      <c r="M771" s="293"/>
      <c r="N771" s="293"/>
      <c r="O771" s="293"/>
      <c r="P771" s="293"/>
      <c r="Q771" s="293"/>
      <c r="R771" s="293"/>
      <c r="S771" s="293"/>
      <c r="T771" s="293"/>
      <c r="U771" s="293"/>
      <c r="V771" s="293"/>
      <c r="W771" s="293"/>
      <c r="X771" s="293"/>
      <c r="Y771" s="293"/>
      <c r="Z771" s="293"/>
      <c r="AA771" s="293"/>
      <c r="AB771" s="293"/>
      <c r="AC771" s="293"/>
      <c r="AD771" s="293"/>
      <c r="AE771" s="293"/>
      <c r="AF771" s="293"/>
    </row>
    <row r="772" ht="16.5" customHeight="1">
      <c r="A772" s="293"/>
      <c r="B772" s="385"/>
      <c r="C772" s="299"/>
      <c r="D772" s="293"/>
      <c r="E772" s="293"/>
      <c r="F772" s="293"/>
      <c r="G772" s="300"/>
      <c r="H772" s="293"/>
      <c r="I772" s="313"/>
      <c r="J772" s="313"/>
      <c r="K772" s="313"/>
      <c r="L772" s="313"/>
      <c r="M772" s="293"/>
      <c r="N772" s="293"/>
      <c r="O772" s="293"/>
      <c r="P772" s="293"/>
      <c r="Q772" s="293"/>
      <c r="R772" s="293"/>
      <c r="S772" s="293"/>
      <c r="T772" s="293"/>
      <c r="U772" s="293"/>
      <c r="V772" s="293"/>
      <c r="W772" s="293"/>
      <c r="X772" s="293"/>
      <c r="Y772" s="293"/>
      <c r="Z772" s="293"/>
      <c r="AA772" s="293"/>
      <c r="AB772" s="293"/>
      <c r="AC772" s="293"/>
      <c r="AD772" s="293"/>
      <c r="AE772" s="293"/>
      <c r="AF772" s="293"/>
    </row>
    <row r="773" ht="16.5" customHeight="1">
      <c r="A773" s="293"/>
      <c r="B773" s="385"/>
      <c r="C773" s="299"/>
      <c r="D773" s="293"/>
      <c r="E773" s="293"/>
      <c r="F773" s="293"/>
      <c r="G773" s="300"/>
      <c r="H773" s="293"/>
      <c r="I773" s="313"/>
      <c r="J773" s="313"/>
      <c r="K773" s="313"/>
      <c r="L773" s="313"/>
      <c r="M773" s="293"/>
      <c r="N773" s="293"/>
      <c r="O773" s="293"/>
      <c r="P773" s="293"/>
      <c r="Q773" s="293"/>
      <c r="R773" s="293"/>
      <c r="S773" s="293"/>
      <c r="T773" s="293"/>
      <c r="U773" s="293"/>
      <c r="V773" s="293"/>
      <c r="W773" s="293"/>
      <c r="X773" s="293"/>
      <c r="Y773" s="293"/>
      <c r="Z773" s="293"/>
      <c r="AA773" s="293"/>
      <c r="AB773" s="293"/>
      <c r="AC773" s="293"/>
      <c r="AD773" s="293"/>
      <c r="AE773" s="293"/>
      <c r="AF773" s="293"/>
    </row>
    <row r="774" ht="16.5" customHeight="1">
      <c r="A774" s="293"/>
      <c r="B774" s="385"/>
      <c r="C774" s="299"/>
      <c r="D774" s="293"/>
      <c r="E774" s="293"/>
      <c r="F774" s="293"/>
      <c r="G774" s="300"/>
      <c r="H774" s="293"/>
      <c r="I774" s="313"/>
      <c r="J774" s="313"/>
      <c r="K774" s="313"/>
      <c r="L774" s="313"/>
      <c r="M774" s="293"/>
      <c r="N774" s="293"/>
      <c r="O774" s="293"/>
      <c r="P774" s="293"/>
      <c r="Q774" s="293"/>
      <c r="R774" s="293"/>
      <c r="S774" s="293"/>
      <c r="T774" s="293"/>
      <c r="U774" s="293"/>
      <c r="V774" s="293"/>
      <c r="W774" s="293"/>
      <c r="X774" s="293"/>
      <c r="Y774" s="293"/>
      <c r="Z774" s="293"/>
      <c r="AA774" s="293"/>
      <c r="AB774" s="293"/>
      <c r="AC774" s="293"/>
      <c r="AD774" s="293"/>
      <c r="AE774" s="293"/>
      <c r="AF774" s="293"/>
    </row>
    <row r="775" ht="16.5" customHeight="1">
      <c r="A775" s="293"/>
      <c r="B775" s="385"/>
      <c r="C775" s="299"/>
      <c r="D775" s="293"/>
      <c r="E775" s="293"/>
      <c r="F775" s="293"/>
      <c r="G775" s="300"/>
      <c r="H775" s="293"/>
      <c r="I775" s="313"/>
      <c r="J775" s="313"/>
      <c r="K775" s="313"/>
      <c r="L775" s="313"/>
      <c r="M775" s="293"/>
      <c r="N775" s="293"/>
      <c r="O775" s="293"/>
      <c r="P775" s="293"/>
      <c r="Q775" s="293"/>
      <c r="R775" s="293"/>
      <c r="S775" s="293"/>
      <c r="T775" s="293"/>
      <c r="U775" s="293"/>
      <c r="V775" s="293"/>
      <c r="W775" s="293"/>
      <c r="X775" s="293"/>
      <c r="Y775" s="293"/>
      <c r="Z775" s="293"/>
      <c r="AA775" s="293"/>
      <c r="AB775" s="293"/>
      <c r="AC775" s="293"/>
      <c r="AD775" s="293"/>
      <c r="AE775" s="293"/>
      <c r="AF775" s="293"/>
    </row>
    <row r="776" ht="16.5" customHeight="1">
      <c r="A776" s="293"/>
      <c r="B776" s="385"/>
      <c r="C776" s="299"/>
      <c r="D776" s="293"/>
      <c r="E776" s="293"/>
      <c r="F776" s="293"/>
      <c r="G776" s="300"/>
      <c r="H776" s="293"/>
      <c r="I776" s="313"/>
      <c r="J776" s="313"/>
      <c r="K776" s="313"/>
      <c r="L776" s="313"/>
      <c r="M776" s="293"/>
      <c r="N776" s="293"/>
      <c r="O776" s="293"/>
      <c r="P776" s="293"/>
      <c r="Q776" s="293"/>
      <c r="R776" s="293"/>
      <c r="S776" s="293"/>
      <c r="T776" s="293"/>
      <c r="U776" s="293"/>
      <c r="V776" s="293"/>
      <c r="W776" s="293"/>
      <c r="X776" s="293"/>
      <c r="Y776" s="293"/>
      <c r="Z776" s="293"/>
      <c r="AA776" s="293"/>
      <c r="AB776" s="293"/>
      <c r="AC776" s="293"/>
      <c r="AD776" s="293"/>
      <c r="AE776" s="293"/>
      <c r="AF776" s="293"/>
    </row>
    <row r="777" ht="16.5" customHeight="1">
      <c r="A777" s="293"/>
      <c r="B777" s="385"/>
      <c r="C777" s="299"/>
      <c r="D777" s="293"/>
      <c r="E777" s="293"/>
      <c r="F777" s="293"/>
      <c r="G777" s="300"/>
      <c r="H777" s="293"/>
      <c r="I777" s="313"/>
      <c r="J777" s="313"/>
      <c r="K777" s="313"/>
      <c r="L777" s="313"/>
      <c r="M777" s="293"/>
      <c r="N777" s="293"/>
      <c r="O777" s="293"/>
      <c r="P777" s="293"/>
      <c r="Q777" s="293"/>
      <c r="R777" s="293"/>
      <c r="S777" s="293"/>
      <c r="T777" s="293"/>
      <c r="U777" s="293"/>
      <c r="V777" s="293"/>
      <c r="W777" s="293"/>
      <c r="X777" s="293"/>
      <c r="Y777" s="293"/>
      <c r="Z777" s="293"/>
      <c r="AA777" s="293"/>
      <c r="AB777" s="293"/>
      <c r="AC777" s="293"/>
      <c r="AD777" s="293"/>
      <c r="AE777" s="293"/>
      <c r="AF777" s="293"/>
    </row>
    <row r="778" ht="16.5" customHeight="1">
      <c r="A778" s="293"/>
      <c r="B778" s="385"/>
      <c r="C778" s="299"/>
      <c r="D778" s="293"/>
      <c r="E778" s="293"/>
      <c r="F778" s="293"/>
      <c r="G778" s="300"/>
      <c r="H778" s="293"/>
      <c r="I778" s="313"/>
      <c r="J778" s="313"/>
      <c r="K778" s="313"/>
      <c r="L778" s="313"/>
      <c r="M778" s="293"/>
      <c r="N778" s="293"/>
      <c r="O778" s="293"/>
      <c r="P778" s="293"/>
      <c r="Q778" s="293"/>
      <c r="R778" s="293"/>
      <c r="S778" s="293"/>
      <c r="T778" s="293"/>
      <c r="U778" s="293"/>
      <c r="V778" s="293"/>
      <c r="W778" s="293"/>
      <c r="X778" s="293"/>
      <c r="Y778" s="293"/>
      <c r="Z778" s="293"/>
      <c r="AA778" s="293"/>
      <c r="AB778" s="293"/>
      <c r="AC778" s="293"/>
      <c r="AD778" s="293"/>
      <c r="AE778" s="293"/>
      <c r="AF778" s="293"/>
    </row>
    <row r="779" ht="16.5" customHeight="1">
      <c r="A779" s="293"/>
      <c r="B779" s="385"/>
      <c r="C779" s="299"/>
      <c r="D779" s="293"/>
      <c r="E779" s="293"/>
      <c r="F779" s="293"/>
      <c r="G779" s="300"/>
      <c r="H779" s="293"/>
      <c r="I779" s="313"/>
      <c r="J779" s="313"/>
      <c r="K779" s="313"/>
      <c r="L779" s="313"/>
      <c r="M779" s="293"/>
      <c r="N779" s="293"/>
      <c r="O779" s="293"/>
      <c r="P779" s="293"/>
      <c r="Q779" s="293"/>
      <c r="R779" s="293"/>
      <c r="S779" s="293"/>
      <c r="T779" s="293"/>
      <c r="U779" s="293"/>
      <c r="V779" s="293"/>
      <c r="W779" s="293"/>
      <c r="X779" s="293"/>
      <c r="Y779" s="293"/>
      <c r="Z779" s="293"/>
      <c r="AA779" s="293"/>
      <c r="AB779" s="293"/>
      <c r="AC779" s="293"/>
      <c r="AD779" s="293"/>
      <c r="AE779" s="293"/>
      <c r="AF779" s="293"/>
    </row>
    <row r="780" ht="16.5" customHeight="1">
      <c r="A780" s="293"/>
      <c r="B780" s="385"/>
      <c r="C780" s="299"/>
      <c r="D780" s="293"/>
      <c r="E780" s="293"/>
      <c r="F780" s="293"/>
      <c r="G780" s="300"/>
      <c r="H780" s="293"/>
      <c r="I780" s="313"/>
      <c r="J780" s="313"/>
      <c r="K780" s="313"/>
      <c r="L780" s="313"/>
      <c r="M780" s="293"/>
      <c r="N780" s="293"/>
      <c r="O780" s="293"/>
      <c r="P780" s="293"/>
      <c r="Q780" s="293"/>
      <c r="R780" s="293"/>
      <c r="S780" s="293"/>
      <c r="T780" s="293"/>
      <c r="U780" s="293"/>
      <c r="V780" s="293"/>
      <c r="W780" s="293"/>
      <c r="X780" s="293"/>
      <c r="Y780" s="293"/>
      <c r="Z780" s="293"/>
      <c r="AA780" s="293"/>
      <c r="AB780" s="293"/>
      <c r="AC780" s="293"/>
      <c r="AD780" s="293"/>
      <c r="AE780" s="293"/>
      <c r="AF780" s="293"/>
    </row>
    <row r="781" ht="16.5" customHeight="1">
      <c r="A781" s="293"/>
      <c r="B781" s="385"/>
      <c r="C781" s="299"/>
      <c r="D781" s="293"/>
      <c r="E781" s="293"/>
      <c r="F781" s="293"/>
      <c r="G781" s="300"/>
      <c r="H781" s="293"/>
      <c r="I781" s="313"/>
      <c r="J781" s="313"/>
      <c r="K781" s="313"/>
      <c r="L781" s="313"/>
      <c r="M781" s="293"/>
      <c r="N781" s="293"/>
      <c r="O781" s="293"/>
      <c r="P781" s="293"/>
      <c r="Q781" s="293"/>
      <c r="R781" s="293"/>
      <c r="S781" s="293"/>
      <c r="T781" s="293"/>
      <c r="U781" s="293"/>
      <c r="V781" s="293"/>
      <c r="W781" s="293"/>
      <c r="X781" s="293"/>
      <c r="Y781" s="293"/>
      <c r="Z781" s="293"/>
      <c r="AA781" s="293"/>
      <c r="AB781" s="293"/>
      <c r="AC781" s="293"/>
      <c r="AD781" s="293"/>
      <c r="AE781" s="293"/>
      <c r="AF781" s="293"/>
    </row>
    <row r="782" ht="16.5" customHeight="1">
      <c r="A782" s="293"/>
      <c r="B782" s="385"/>
      <c r="C782" s="299"/>
      <c r="D782" s="293"/>
      <c r="E782" s="293"/>
      <c r="F782" s="293"/>
      <c r="G782" s="300"/>
      <c r="H782" s="293"/>
      <c r="I782" s="313"/>
      <c r="J782" s="313"/>
      <c r="K782" s="313"/>
      <c r="L782" s="313"/>
      <c r="M782" s="293"/>
      <c r="N782" s="293"/>
      <c r="O782" s="293"/>
      <c r="P782" s="293"/>
      <c r="Q782" s="293"/>
      <c r="R782" s="293"/>
      <c r="S782" s="293"/>
      <c r="T782" s="293"/>
      <c r="U782" s="293"/>
      <c r="V782" s="293"/>
      <c r="W782" s="293"/>
      <c r="X782" s="293"/>
      <c r="Y782" s="293"/>
      <c r="Z782" s="293"/>
      <c r="AA782" s="293"/>
      <c r="AB782" s="293"/>
      <c r="AC782" s="293"/>
      <c r="AD782" s="293"/>
      <c r="AE782" s="293"/>
      <c r="AF782" s="293"/>
    </row>
    <row r="783" ht="16.5" customHeight="1">
      <c r="A783" s="293"/>
      <c r="B783" s="385"/>
      <c r="C783" s="299"/>
      <c r="D783" s="293"/>
      <c r="E783" s="293"/>
      <c r="F783" s="293"/>
      <c r="G783" s="300"/>
      <c r="H783" s="293"/>
      <c r="I783" s="313"/>
      <c r="J783" s="313"/>
      <c r="K783" s="313"/>
      <c r="L783" s="313"/>
      <c r="M783" s="293"/>
      <c r="N783" s="293"/>
      <c r="O783" s="293"/>
      <c r="P783" s="293"/>
      <c r="Q783" s="293"/>
      <c r="R783" s="293"/>
      <c r="S783" s="293"/>
      <c r="T783" s="293"/>
      <c r="U783" s="293"/>
      <c r="V783" s="293"/>
      <c r="W783" s="293"/>
      <c r="X783" s="293"/>
      <c r="Y783" s="293"/>
      <c r="Z783" s="293"/>
      <c r="AA783" s="293"/>
      <c r="AB783" s="293"/>
      <c r="AC783" s="293"/>
      <c r="AD783" s="293"/>
      <c r="AE783" s="293"/>
      <c r="AF783" s="293"/>
    </row>
    <row r="784" ht="16.5" customHeight="1">
      <c r="A784" s="293"/>
      <c r="B784" s="385"/>
      <c r="C784" s="299"/>
      <c r="D784" s="293"/>
      <c r="E784" s="293"/>
      <c r="F784" s="293"/>
      <c r="G784" s="300"/>
      <c r="H784" s="293"/>
      <c r="I784" s="313"/>
      <c r="J784" s="313"/>
      <c r="K784" s="313"/>
      <c r="L784" s="313"/>
      <c r="M784" s="293"/>
      <c r="N784" s="293"/>
      <c r="O784" s="293"/>
      <c r="P784" s="293"/>
      <c r="Q784" s="293"/>
      <c r="R784" s="293"/>
      <c r="S784" s="293"/>
      <c r="T784" s="293"/>
      <c r="U784" s="293"/>
      <c r="V784" s="293"/>
      <c r="W784" s="293"/>
      <c r="X784" s="293"/>
      <c r="Y784" s="293"/>
      <c r="Z784" s="293"/>
      <c r="AA784" s="293"/>
      <c r="AB784" s="293"/>
      <c r="AC784" s="293"/>
      <c r="AD784" s="293"/>
      <c r="AE784" s="293"/>
      <c r="AF784" s="293"/>
    </row>
    <row r="785" ht="16.5" customHeight="1">
      <c r="A785" s="293"/>
      <c r="B785" s="385"/>
      <c r="C785" s="299"/>
      <c r="D785" s="293"/>
      <c r="E785" s="293"/>
      <c r="F785" s="293"/>
      <c r="G785" s="300"/>
      <c r="H785" s="293"/>
      <c r="I785" s="313"/>
      <c r="J785" s="313"/>
      <c r="K785" s="313"/>
      <c r="L785" s="313"/>
      <c r="M785" s="293"/>
      <c r="N785" s="293"/>
      <c r="O785" s="293"/>
      <c r="P785" s="293"/>
      <c r="Q785" s="293"/>
      <c r="R785" s="293"/>
      <c r="S785" s="293"/>
      <c r="T785" s="293"/>
      <c r="U785" s="293"/>
      <c r="V785" s="293"/>
      <c r="W785" s="293"/>
      <c r="X785" s="293"/>
      <c r="Y785" s="293"/>
      <c r="Z785" s="293"/>
      <c r="AA785" s="293"/>
      <c r="AB785" s="293"/>
      <c r="AC785" s="293"/>
      <c r="AD785" s="293"/>
      <c r="AE785" s="293"/>
      <c r="AF785" s="293"/>
    </row>
    <row r="786" ht="16.5" customHeight="1">
      <c r="A786" s="293"/>
      <c r="B786" s="385"/>
      <c r="C786" s="299"/>
      <c r="D786" s="293"/>
      <c r="E786" s="293"/>
      <c r="F786" s="293"/>
      <c r="G786" s="300"/>
      <c r="H786" s="293"/>
      <c r="I786" s="313"/>
      <c r="J786" s="313"/>
      <c r="K786" s="313"/>
      <c r="L786" s="313"/>
      <c r="M786" s="293"/>
      <c r="N786" s="293"/>
      <c r="O786" s="293"/>
      <c r="P786" s="293"/>
      <c r="Q786" s="293"/>
      <c r="R786" s="293"/>
      <c r="S786" s="293"/>
      <c r="T786" s="293"/>
      <c r="U786" s="293"/>
      <c r="V786" s="293"/>
      <c r="W786" s="293"/>
      <c r="X786" s="293"/>
      <c r="Y786" s="293"/>
      <c r="Z786" s="293"/>
      <c r="AA786" s="293"/>
      <c r="AB786" s="293"/>
      <c r="AC786" s="293"/>
      <c r="AD786" s="293"/>
      <c r="AE786" s="293"/>
      <c r="AF786" s="293"/>
    </row>
    <row r="787" ht="16.5" customHeight="1">
      <c r="A787" s="293"/>
      <c r="B787" s="385"/>
      <c r="C787" s="299"/>
      <c r="D787" s="293"/>
      <c r="E787" s="293"/>
      <c r="F787" s="293"/>
      <c r="G787" s="300"/>
      <c r="H787" s="293"/>
      <c r="I787" s="313"/>
      <c r="J787" s="313"/>
      <c r="K787" s="313"/>
      <c r="L787" s="313"/>
      <c r="M787" s="293"/>
      <c r="N787" s="293"/>
      <c r="O787" s="293"/>
      <c r="P787" s="293"/>
      <c r="Q787" s="293"/>
      <c r="R787" s="293"/>
      <c r="S787" s="293"/>
      <c r="T787" s="293"/>
      <c r="U787" s="293"/>
      <c r="V787" s="293"/>
      <c r="W787" s="293"/>
      <c r="X787" s="293"/>
      <c r="Y787" s="293"/>
      <c r="Z787" s="293"/>
      <c r="AA787" s="293"/>
      <c r="AB787" s="293"/>
      <c r="AC787" s="293"/>
      <c r="AD787" s="293"/>
      <c r="AE787" s="293"/>
      <c r="AF787" s="293"/>
    </row>
    <row r="788" ht="16.5" customHeight="1">
      <c r="A788" s="293"/>
      <c r="B788" s="385"/>
      <c r="C788" s="299"/>
      <c r="D788" s="293"/>
      <c r="E788" s="293"/>
      <c r="F788" s="293"/>
      <c r="G788" s="300"/>
      <c r="H788" s="293"/>
      <c r="I788" s="313"/>
      <c r="J788" s="313"/>
      <c r="K788" s="313"/>
      <c r="L788" s="313"/>
      <c r="M788" s="293"/>
      <c r="N788" s="293"/>
      <c r="O788" s="293"/>
      <c r="P788" s="293"/>
      <c r="Q788" s="293"/>
      <c r="R788" s="293"/>
      <c r="S788" s="293"/>
      <c r="T788" s="293"/>
      <c r="U788" s="293"/>
      <c r="V788" s="293"/>
      <c r="W788" s="293"/>
      <c r="X788" s="293"/>
      <c r="Y788" s="293"/>
      <c r="Z788" s="293"/>
      <c r="AA788" s="293"/>
      <c r="AB788" s="293"/>
      <c r="AC788" s="293"/>
      <c r="AD788" s="293"/>
      <c r="AE788" s="293"/>
      <c r="AF788" s="293"/>
    </row>
    <row r="789" ht="16.5" customHeight="1">
      <c r="A789" s="293"/>
      <c r="B789" s="385"/>
      <c r="C789" s="299"/>
      <c r="D789" s="293"/>
      <c r="E789" s="293"/>
      <c r="F789" s="293"/>
      <c r="G789" s="300"/>
      <c r="H789" s="293"/>
      <c r="I789" s="313"/>
      <c r="J789" s="313"/>
      <c r="K789" s="313"/>
      <c r="L789" s="313"/>
      <c r="M789" s="293"/>
      <c r="N789" s="293"/>
      <c r="O789" s="293"/>
      <c r="P789" s="293"/>
      <c r="Q789" s="293"/>
      <c r="R789" s="293"/>
      <c r="S789" s="293"/>
      <c r="T789" s="293"/>
      <c r="U789" s="293"/>
      <c r="V789" s="293"/>
      <c r="W789" s="293"/>
      <c r="X789" s="293"/>
      <c r="Y789" s="293"/>
      <c r="Z789" s="293"/>
      <c r="AA789" s="293"/>
      <c r="AB789" s="293"/>
      <c r="AC789" s="293"/>
      <c r="AD789" s="293"/>
      <c r="AE789" s="293"/>
      <c r="AF789" s="293"/>
    </row>
    <row r="790" ht="16.5" customHeight="1">
      <c r="A790" s="293"/>
      <c r="B790" s="385"/>
      <c r="C790" s="299"/>
      <c r="D790" s="293"/>
      <c r="E790" s="293"/>
      <c r="F790" s="293"/>
      <c r="G790" s="300"/>
      <c r="H790" s="293"/>
      <c r="I790" s="313"/>
      <c r="J790" s="313"/>
      <c r="K790" s="313"/>
      <c r="L790" s="313"/>
      <c r="M790" s="293"/>
      <c r="N790" s="293"/>
      <c r="O790" s="293"/>
      <c r="P790" s="293"/>
      <c r="Q790" s="293"/>
      <c r="R790" s="293"/>
      <c r="S790" s="293"/>
      <c r="T790" s="293"/>
      <c r="U790" s="293"/>
      <c r="V790" s="293"/>
      <c r="W790" s="293"/>
      <c r="X790" s="293"/>
      <c r="Y790" s="293"/>
      <c r="Z790" s="293"/>
      <c r="AA790" s="293"/>
      <c r="AB790" s="293"/>
      <c r="AC790" s="293"/>
      <c r="AD790" s="293"/>
      <c r="AE790" s="293"/>
      <c r="AF790" s="293"/>
    </row>
    <row r="791" ht="16.5" customHeight="1">
      <c r="A791" s="293"/>
      <c r="B791" s="385"/>
      <c r="C791" s="299"/>
      <c r="D791" s="293"/>
      <c r="E791" s="293"/>
      <c r="F791" s="293"/>
      <c r="G791" s="300"/>
      <c r="H791" s="293"/>
      <c r="I791" s="313"/>
      <c r="J791" s="313"/>
      <c r="K791" s="313"/>
      <c r="L791" s="313"/>
      <c r="M791" s="293"/>
      <c r="N791" s="293"/>
      <c r="O791" s="293"/>
      <c r="P791" s="293"/>
      <c r="Q791" s="293"/>
      <c r="R791" s="293"/>
      <c r="S791" s="293"/>
      <c r="T791" s="293"/>
      <c r="U791" s="293"/>
      <c r="V791" s="293"/>
      <c r="W791" s="293"/>
      <c r="X791" s="293"/>
      <c r="Y791" s="293"/>
      <c r="Z791" s="293"/>
      <c r="AA791" s="293"/>
      <c r="AB791" s="293"/>
      <c r="AC791" s="293"/>
      <c r="AD791" s="293"/>
      <c r="AE791" s="293"/>
      <c r="AF791" s="293"/>
    </row>
    <row r="792" ht="16.5" customHeight="1">
      <c r="A792" s="293"/>
      <c r="B792" s="385"/>
      <c r="C792" s="299"/>
      <c r="D792" s="293"/>
      <c r="E792" s="293"/>
      <c r="F792" s="293"/>
      <c r="G792" s="300"/>
      <c r="H792" s="293"/>
      <c r="I792" s="313"/>
      <c r="J792" s="313"/>
      <c r="K792" s="313"/>
      <c r="L792" s="313"/>
      <c r="M792" s="293"/>
      <c r="N792" s="293"/>
      <c r="O792" s="293"/>
      <c r="P792" s="293"/>
      <c r="Q792" s="293"/>
      <c r="R792" s="293"/>
      <c r="S792" s="293"/>
      <c r="T792" s="293"/>
      <c r="U792" s="293"/>
      <c r="V792" s="293"/>
      <c r="W792" s="293"/>
      <c r="X792" s="293"/>
      <c r="Y792" s="293"/>
      <c r="Z792" s="293"/>
      <c r="AA792" s="293"/>
      <c r="AB792" s="293"/>
      <c r="AC792" s="293"/>
      <c r="AD792" s="293"/>
      <c r="AE792" s="293"/>
      <c r="AF792" s="293"/>
    </row>
    <row r="793" ht="16.5" customHeight="1">
      <c r="A793" s="293"/>
      <c r="B793" s="385"/>
      <c r="C793" s="299"/>
      <c r="D793" s="293"/>
      <c r="E793" s="293"/>
      <c r="F793" s="293"/>
      <c r="G793" s="300"/>
      <c r="H793" s="293"/>
      <c r="I793" s="313"/>
      <c r="J793" s="313"/>
      <c r="K793" s="313"/>
      <c r="L793" s="313"/>
      <c r="M793" s="293"/>
      <c r="N793" s="293"/>
      <c r="O793" s="293"/>
      <c r="P793" s="293"/>
      <c r="Q793" s="293"/>
      <c r="R793" s="293"/>
      <c r="S793" s="293"/>
      <c r="T793" s="293"/>
      <c r="U793" s="293"/>
      <c r="V793" s="293"/>
      <c r="W793" s="293"/>
      <c r="X793" s="293"/>
      <c r="Y793" s="293"/>
      <c r="Z793" s="293"/>
      <c r="AA793" s="293"/>
      <c r="AB793" s="293"/>
      <c r="AC793" s="293"/>
      <c r="AD793" s="293"/>
      <c r="AE793" s="293"/>
      <c r="AF793" s="293"/>
    </row>
    <row r="794" ht="16.5" customHeight="1">
      <c r="A794" s="293"/>
      <c r="B794" s="385"/>
      <c r="C794" s="299"/>
      <c r="D794" s="293"/>
      <c r="E794" s="293"/>
      <c r="F794" s="293"/>
      <c r="G794" s="300"/>
      <c r="H794" s="293"/>
      <c r="I794" s="313"/>
      <c r="J794" s="313"/>
      <c r="K794" s="313"/>
      <c r="L794" s="313"/>
      <c r="M794" s="293"/>
      <c r="N794" s="293"/>
      <c r="O794" s="293"/>
      <c r="P794" s="293"/>
      <c r="Q794" s="293"/>
      <c r="R794" s="293"/>
      <c r="S794" s="293"/>
      <c r="T794" s="293"/>
      <c r="U794" s="293"/>
      <c r="V794" s="293"/>
      <c r="W794" s="293"/>
      <c r="X794" s="293"/>
      <c r="Y794" s="293"/>
      <c r="Z794" s="293"/>
      <c r="AA794" s="293"/>
      <c r="AB794" s="293"/>
      <c r="AC794" s="293"/>
      <c r="AD794" s="293"/>
      <c r="AE794" s="293"/>
      <c r="AF794" s="293"/>
    </row>
    <row r="795" ht="16.5" customHeight="1">
      <c r="A795" s="293"/>
      <c r="B795" s="385"/>
      <c r="C795" s="299"/>
      <c r="D795" s="293"/>
      <c r="E795" s="293"/>
      <c r="F795" s="293"/>
      <c r="G795" s="300"/>
      <c r="H795" s="293"/>
      <c r="I795" s="313"/>
      <c r="J795" s="313"/>
      <c r="K795" s="313"/>
      <c r="L795" s="313"/>
      <c r="M795" s="293"/>
      <c r="N795" s="293"/>
      <c r="O795" s="293"/>
      <c r="P795" s="293"/>
      <c r="Q795" s="293"/>
      <c r="R795" s="293"/>
      <c r="S795" s="293"/>
      <c r="T795" s="293"/>
      <c r="U795" s="293"/>
      <c r="V795" s="293"/>
      <c r="W795" s="293"/>
      <c r="X795" s="293"/>
      <c r="Y795" s="293"/>
      <c r="Z795" s="293"/>
      <c r="AA795" s="293"/>
      <c r="AB795" s="293"/>
      <c r="AC795" s="293"/>
      <c r="AD795" s="293"/>
      <c r="AE795" s="293"/>
      <c r="AF795" s="293"/>
    </row>
    <row r="796" ht="16.5" customHeight="1">
      <c r="A796" s="293"/>
      <c r="B796" s="385"/>
      <c r="C796" s="299"/>
      <c r="D796" s="293"/>
      <c r="E796" s="293"/>
      <c r="F796" s="293"/>
      <c r="G796" s="300"/>
      <c r="H796" s="293"/>
      <c r="I796" s="313"/>
      <c r="J796" s="313"/>
      <c r="K796" s="313"/>
      <c r="L796" s="313"/>
      <c r="M796" s="293"/>
      <c r="N796" s="293"/>
      <c r="O796" s="293"/>
      <c r="P796" s="293"/>
      <c r="Q796" s="293"/>
      <c r="R796" s="293"/>
      <c r="S796" s="293"/>
      <c r="T796" s="293"/>
      <c r="U796" s="293"/>
      <c r="V796" s="293"/>
      <c r="W796" s="293"/>
      <c r="X796" s="293"/>
      <c r="Y796" s="293"/>
      <c r="Z796" s="293"/>
      <c r="AA796" s="293"/>
      <c r="AB796" s="293"/>
      <c r="AC796" s="293"/>
      <c r="AD796" s="293"/>
      <c r="AE796" s="293"/>
      <c r="AF796" s="293"/>
    </row>
    <row r="797" ht="16.5" customHeight="1">
      <c r="A797" s="293"/>
      <c r="B797" s="385"/>
      <c r="C797" s="299"/>
      <c r="D797" s="293"/>
      <c r="E797" s="293"/>
      <c r="F797" s="293"/>
      <c r="G797" s="300"/>
      <c r="H797" s="293"/>
      <c r="I797" s="313"/>
      <c r="J797" s="313"/>
      <c r="K797" s="313"/>
      <c r="L797" s="313"/>
      <c r="M797" s="293"/>
      <c r="N797" s="293"/>
      <c r="O797" s="293"/>
      <c r="P797" s="293"/>
      <c r="Q797" s="293"/>
      <c r="R797" s="293"/>
      <c r="S797" s="293"/>
      <c r="T797" s="293"/>
      <c r="U797" s="293"/>
      <c r="V797" s="293"/>
      <c r="W797" s="293"/>
      <c r="X797" s="293"/>
      <c r="Y797" s="293"/>
      <c r="Z797" s="293"/>
      <c r="AA797" s="293"/>
      <c r="AB797" s="293"/>
      <c r="AC797" s="293"/>
      <c r="AD797" s="293"/>
      <c r="AE797" s="293"/>
      <c r="AF797" s="293"/>
    </row>
    <row r="798" ht="16.5" customHeight="1">
      <c r="A798" s="293"/>
      <c r="B798" s="385"/>
      <c r="C798" s="299"/>
      <c r="D798" s="293"/>
      <c r="E798" s="293"/>
      <c r="F798" s="293"/>
      <c r="G798" s="300"/>
      <c r="H798" s="293"/>
      <c r="I798" s="313"/>
      <c r="J798" s="313"/>
      <c r="K798" s="313"/>
      <c r="L798" s="313"/>
      <c r="M798" s="293"/>
      <c r="N798" s="293"/>
      <c r="O798" s="293"/>
      <c r="P798" s="293"/>
      <c r="Q798" s="293"/>
      <c r="R798" s="293"/>
      <c r="S798" s="293"/>
      <c r="T798" s="293"/>
      <c r="U798" s="293"/>
      <c r="V798" s="293"/>
      <c r="W798" s="293"/>
      <c r="X798" s="293"/>
      <c r="Y798" s="293"/>
      <c r="Z798" s="293"/>
      <c r="AA798" s="293"/>
      <c r="AB798" s="293"/>
      <c r="AC798" s="293"/>
      <c r="AD798" s="293"/>
      <c r="AE798" s="293"/>
      <c r="AF798" s="293"/>
    </row>
    <row r="799" ht="16.5" customHeight="1">
      <c r="A799" s="293"/>
      <c r="B799" s="385"/>
      <c r="C799" s="299"/>
      <c r="D799" s="293"/>
      <c r="E799" s="293"/>
      <c r="F799" s="293"/>
      <c r="G799" s="300"/>
      <c r="H799" s="293"/>
      <c r="I799" s="313"/>
      <c r="J799" s="313"/>
      <c r="K799" s="313"/>
      <c r="L799" s="313"/>
      <c r="M799" s="293"/>
      <c r="N799" s="293"/>
      <c r="O799" s="293"/>
      <c r="P799" s="293"/>
      <c r="Q799" s="293"/>
      <c r="R799" s="293"/>
      <c r="S799" s="293"/>
      <c r="T799" s="293"/>
      <c r="U799" s="293"/>
      <c r="V799" s="293"/>
      <c r="W799" s="293"/>
      <c r="X799" s="293"/>
      <c r="Y799" s="293"/>
      <c r="Z799" s="293"/>
      <c r="AA799" s="293"/>
      <c r="AB799" s="293"/>
      <c r="AC799" s="293"/>
      <c r="AD799" s="293"/>
      <c r="AE799" s="293"/>
      <c r="AF799" s="293"/>
    </row>
    <row r="800" ht="16.5" customHeight="1">
      <c r="A800" s="293"/>
      <c r="B800" s="385"/>
      <c r="C800" s="299"/>
      <c r="D800" s="293"/>
      <c r="E800" s="293"/>
      <c r="F800" s="293"/>
      <c r="G800" s="300"/>
      <c r="H800" s="293"/>
      <c r="I800" s="313"/>
      <c r="J800" s="313"/>
      <c r="K800" s="313"/>
      <c r="L800" s="313"/>
      <c r="M800" s="293"/>
      <c r="N800" s="293"/>
      <c r="O800" s="293"/>
      <c r="P800" s="293"/>
      <c r="Q800" s="293"/>
      <c r="R800" s="293"/>
      <c r="S800" s="293"/>
      <c r="T800" s="293"/>
      <c r="U800" s="293"/>
      <c r="V800" s="293"/>
      <c r="W800" s="293"/>
      <c r="X800" s="293"/>
      <c r="Y800" s="293"/>
      <c r="Z800" s="293"/>
      <c r="AA800" s="293"/>
      <c r="AB800" s="293"/>
      <c r="AC800" s="293"/>
      <c r="AD800" s="293"/>
      <c r="AE800" s="293"/>
      <c r="AF800" s="293"/>
    </row>
    <row r="801" ht="16.5" customHeight="1">
      <c r="A801" s="293"/>
      <c r="B801" s="385"/>
      <c r="C801" s="299"/>
      <c r="D801" s="293"/>
      <c r="E801" s="293"/>
      <c r="F801" s="293"/>
      <c r="G801" s="300"/>
      <c r="H801" s="293"/>
      <c r="I801" s="313"/>
      <c r="J801" s="313"/>
      <c r="K801" s="313"/>
      <c r="L801" s="313"/>
      <c r="M801" s="293"/>
      <c r="N801" s="293"/>
      <c r="O801" s="293"/>
      <c r="P801" s="293"/>
      <c r="Q801" s="293"/>
      <c r="R801" s="293"/>
      <c r="S801" s="293"/>
      <c r="T801" s="293"/>
      <c r="U801" s="293"/>
      <c r="V801" s="293"/>
      <c r="W801" s="293"/>
      <c r="X801" s="293"/>
      <c r="Y801" s="293"/>
      <c r="Z801" s="293"/>
      <c r="AA801" s="293"/>
      <c r="AB801" s="293"/>
      <c r="AC801" s="293"/>
      <c r="AD801" s="293"/>
      <c r="AE801" s="293"/>
      <c r="AF801" s="293"/>
    </row>
    <row r="802" ht="16.5" customHeight="1">
      <c r="A802" s="293"/>
      <c r="B802" s="385"/>
      <c r="C802" s="299"/>
      <c r="D802" s="293"/>
      <c r="E802" s="293"/>
      <c r="F802" s="293"/>
      <c r="G802" s="300"/>
      <c r="H802" s="293"/>
      <c r="I802" s="313"/>
      <c r="J802" s="313"/>
      <c r="K802" s="313"/>
      <c r="L802" s="313"/>
      <c r="M802" s="293"/>
      <c r="N802" s="293"/>
      <c r="O802" s="293"/>
      <c r="P802" s="293"/>
      <c r="Q802" s="293"/>
      <c r="R802" s="293"/>
      <c r="S802" s="293"/>
      <c r="T802" s="293"/>
      <c r="U802" s="293"/>
      <c r="V802" s="293"/>
      <c r="W802" s="293"/>
      <c r="X802" s="293"/>
      <c r="Y802" s="293"/>
      <c r="Z802" s="293"/>
      <c r="AA802" s="293"/>
      <c r="AB802" s="293"/>
      <c r="AC802" s="293"/>
      <c r="AD802" s="293"/>
      <c r="AE802" s="293"/>
      <c r="AF802" s="293"/>
    </row>
    <row r="803" ht="16.5" customHeight="1">
      <c r="A803" s="293"/>
      <c r="B803" s="385"/>
      <c r="C803" s="299"/>
      <c r="D803" s="293"/>
      <c r="E803" s="293"/>
      <c r="F803" s="293"/>
      <c r="G803" s="300"/>
      <c r="H803" s="293"/>
      <c r="I803" s="313"/>
      <c r="J803" s="313"/>
      <c r="K803" s="313"/>
      <c r="L803" s="313"/>
      <c r="M803" s="293"/>
      <c r="N803" s="293"/>
      <c r="O803" s="293"/>
      <c r="P803" s="293"/>
      <c r="Q803" s="293"/>
      <c r="R803" s="293"/>
      <c r="S803" s="293"/>
      <c r="T803" s="293"/>
      <c r="U803" s="293"/>
      <c r="V803" s="293"/>
      <c r="W803" s="293"/>
      <c r="X803" s="293"/>
      <c r="Y803" s="293"/>
      <c r="Z803" s="293"/>
      <c r="AA803" s="293"/>
      <c r="AB803" s="293"/>
      <c r="AC803" s="293"/>
      <c r="AD803" s="293"/>
      <c r="AE803" s="293"/>
      <c r="AF803" s="293"/>
    </row>
    <row r="804" ht="16.5" customHeight="1">
      <c r="A804" s="293"/>
      <c r="B804" s="385"/>
      <c r="C804" s="299"/>
      <c r="D804" s="293"/>
      <c r="E804" s="293"/>
      <c r="F804" s="293"/>
      <c r="G804" s="300"/>
      <c r="H804" s="293"/>
      <c r="I804" s="313"/>
      <c r="J804" s="313"/>
      <c r="K804" s="313"/>
      <c r="L804" s="313"/>
      <c r="M804" s="293"/>
      <c r="N804" s="293"/>
      <c r="O804" s="293"/>
      <c r="P804" s="293"/>
      <c r="Q804" s="293"/>
      <c r="R804" s="293"/>
      <c r="S804" s="293"/>
      <c r="T804" s="293"/>
      <c r="U804" s="293"/>
      <c r="V804" s="293"/>
      <c r="W804" s="293"/>
      <c r="X804" s="293"/>
      <c r="Y804" s="293"/>
      <c r="Z804" s="293"/>
      <c r="AA804" s="293"/>
      <c r="AB804" s="293"/>
      <c r="AC804" s="293"/>
      <c r="AD804" s="293"/>
      <c r="AE804" s="293"/>
      <c r="AF804" s="293"/>
    </row>
    <row r="805" ht="16.5" customHeight="1">
      <c r="A805" s="293"/>
      <c r="B805" s="385"/>
      <c r="C805" s="299"/>
      <c r="D805" s="293"/>
      <c r="E805" s="293"/>
      <c r="F805" s="293"/>
      <c r="G805" s="300"/>
      <c r="H805" s="293"/>
      <c r="I805" s="313"/>
      <c r="J805" s="313"/>
      <c r="K805" s="313"/>
      <c r="L805" s="313"/>
      <c r="M805" s="293"/>
      <c r="N805" s="293"/>
      <c r="O805" s="293"/>
      <c r="P805" s="293"/>
      <c r="Q805" s="293"/>
      <c r="R805" s="293"/>
      <c r="S805" s="293"/>
      <c r="T805" s="293"/>
      <c r="U805" s="293"/>
      <c r="V805" s="293"/>
      <c r="W805" s="293"/>
      <c r="X805" s="293"/>
      <c r="Y805" s="293"/>
      <c r="Z805" s="293"/>
      <c r="AA805" s="293"/>
      <c r="AB805" s="293"/>
      <c r="AC805" s="293"/>
      <c r="AD805" s="293"/>
      <c r="AE805" s="293"/>
      <c r="AF805" s="293"/>
    </row>
    <row r="806" ht="16.5" customHeight="1">
      <c r="A806" s="293"/>
      <c r="B806" s="385"/>
      <c r="C806" s="299"/>
      <c r="D806" s="293"/>
      <c r="E806" s="293"/>
      <c r="F806" s="293"/>
      <c r="G806" s="300"/>
      <c r="H806" s="293"/>
      <c r="I806" s="313"/>
      <c r="J806" s="313"/>
      <c r="K806" s="313"/>
      <c r="L806" s="313"/>
      <c r="M806" s="293"/>
      <c r="N806" s="293"/>
      <c r="O806" s="293"/>
      <c r="P806" s="293"/>
      <c r="Q806" s="293"/>
      <c r="R806" s="293"/>
      <c r="S806" s="293"/>
      <c r="T806" s="293"/>
      <c r="U806" s="293"/>
      <c r="V806" s="293"/>
      <c r="W806" s="293"/>
      <c r="X806" s="293"/>
      <c r="Y806" s="293"/>
      <c r="Z806" s="293"/>
      <c r="AA806" s="293"/>
      <c r="AB806" s="293"/>
      <c r="AC806" s="293"/>
      <c r="AD806" s="293"/>
      <c r="AE806" s="293"/>
      <c r="AF806" s="293"/>
    </row>
    <row r="807" ht="16.5" customHeight="1">
      <c r="A807" s="293"/>
      <c r="B807" s="385"/>
      <c r="C807" s="299"/>
      <c r="D807" s="293"/>
      <c r="E807" s="293"/>
      <c r="F807" s="293"/>
      <c r="G807" s="300"/>
      <c r="H807" s="293"/>
      <c r="I807" s="313"/>
      <c r="J807" s="313"/>
      <c r="K807" s="313"/>
      <c r="L807" s="313"/>
      <c r="M807" s="293"/>
      <c r="N807" s="293"/>
      <c r="O807" s="293"/>
      <c r="P807" s="293"/>
      <c r="Q807" s="293"/>
      <c r="R807" s="293"/>
      <c r="S807" s="293"/>
      <c r="T807" s="293"/>
      <c r="U807" s="293"/>
      <c r="V807" s="293"/>
      <c r="W807" s="293"/>
      <c r="X807" s="293"/>
      <c r="Y807" s="293"/>
      <c r="Z807" s="293"/>
      <c r="AA807" s="293"/>
      <c r="AB807" s="293"/>
      <c r="AC807" s="293"/>
      <c r="AD807" s="293"/>
      <c r="AE807" s="293"/>
      <c r="AF807" s="293"/>
    </row>
    <row r="808" ht="16.5" customHeight="1">
      <c r="A808" s="293"/>
      <c r="B808" s="385"/>
      <c r="C808" s="299"/>
      <c r="D808" s="293"/>
      <c r="E808" s="293"/>
      <c r="F808" s="293"/>
      <c r="G808" s="300"/>
      <c r="H808" s="293"/>
      <c r="I808" s="313"/>
      <c r="J808" s="313"/>
      <c r="K808" s="313"/>
      <c r="L808" s="313"/>
      <c r="M808" s="293"/>
      <c r="N808" s="293"/>
      <c r="O808" s="293"/>
      <c r="P808" s="293"/>
      <c r="Q808" s="293"/>
      <c r="R808" s="293"/>
      <c r="S808" s="293"/>
      <c r="T808" s="293"/>
      <c r="U808" s="293"/>
      <c r="V808" s="293"/>
      <c r="W808" s="293"/>
      <c r="X808" s="293"/>
      <c r="Y808" s="293"/>
      <c r="Z808" s="293"/>
      <c r="AA808" s="293"/>
      <c r="AB808" s="293"/>
      <c r="AC808" s="293"/>
      <c r="AD808" s="293"/>
      <c r="AE808" s="293"/>
      <c r="AF808" s="293"/>
    </row>
    <row r="809" ht="16.5" customHeight="1">
      <c r="A809" s="293"/>
      <c r="B809" s="385"/>
      <c r="C809" s="299"/>
      <c r="D809" s="293"/>
      <c r="E809" s="293"/>
      <c r="F809" s="293"/>
      <c r="G809" s="300"/>
      <c r="H809" s="293"/>
      <c r="I809" s="313"/>
      <c r="J809" s="313"/>
      <c r="K809" s="313"/>
      <c r="L809" s="313"/>
      <c r="M809" s="293"/>
      <c r="N809" s="293"/>
      <c r="O809" s="293"/>
      <c r="P809" s="293"/>
      <c r="Q809" s="293"/>
      <c r="R809" s="293"/>
      <c r="S809" s="293"/>
      <c r="T809" s="293"/>
      <c r="U809" s="293"/>
      <c r="V809" s="293"/>
      <c r="W809" s="293"/>
      <c r="X809" s="293"/>
      <c r="Y809" s="293"/>
      <c r="Z809" s="293"/>
      <c r="AA809" s="293"/>
      <c r="AB809" s="293"/>
      <c r="AC809" s="293"/>
      <c r="AD809" s="293"/>
      <c r="AE809" s="293"/>
      <c r="AF809" s="293"/>
    </row>
    <row r="810" ht="16.5" customHeight="1">
      <c r="A810" s="293"/>
      <c r="B810" s="385"/>
      <c r="C810" s="299"/>
      <c r="D810" s="293"/>
      <c r="E810" s="293"/>
      <c r="F810" s="293"/>
      <c r="G810" s="300"/>
      <c r="H810" s="293"/>
      <c r="I810" s="313"/>
      <c r="J810" s="313"/>
      <c r="K810" s="313"/>
      <c r="L810" s="313"/>
      <c r="M810" s="293"/>
      <c r="N810" s="293"/>
      <c r="O810" s="293"/>
      <c r="P810" s="293"/>
      <c r="Q810" s="293"/>
      <c r="R810" s="293"/>
      <c r="S810" s="293"/>
      <c r="T810" s="293"/>
      <c r="U810" s="293"/>
      <c r="V810" s="293"/>
      <c r="W810" s="293"/>
      <c r="X810" s="293"/>
      <c r="Y810" s="293"/>
      <c r="Z810" s="293"/>
      <c r="AA810" s="293"/>
      <c r="AB810" s="293"/>
      <c r="AC810" s="293"/>
      <c r="AD810" s="293"/>
      <c r="AE810" s="293"/>
      <c r="AF810" s="293"/>
    </row>
    <row r="811" ht="16.5" customHeight="1">
      <c r="A811" s="293"/>
      <c r="B811" s="385"/>
      <c r="C811" s="299"/>
      <c r="D811" s="293"/>
      <c r="E811" s="293"/>
      <c r="F811" s="293"/>
      <c r="G811" s="300"/>
      <c r="H811" s="293"/>
      <c r="I811" s="313"/>
      <c r="J811" s="313"/>
      <c r="K811" s="313"/>
      <c r="L811" s="313"/>
      <c r="M811" s="293"/>
      <c r="N811" s="293"/>
      <c r="O811" s="293"/>
      <c r="P811" s="293"/>
      <c r="Q811" s="293"/>
      <c r="R811" s="293"/>
      <c r="S811" s="293"/>
      <c r="T811" s="293"/>
      <c r="U811" s="293"/>
      <c r="V811" s="293"/>
      <c r="W811" s="293"/>
      <c r="X811" s="293"/>
      <c r="Y811" s="293"/>
      <c r="Z811" s="293"/>
      <c r="AA811" s="293"/>
      <c r="AB811" s="293"/>
      <c r="AC811" s="293"/>
      <c r="AD811" s="293"/>
      <c r="AE811" s="293"/>
      <c r="AF811" s="293"/>
    </row>
    <row r="812" ht="16.5" customHeight="1">
      <c r="A812" s="293"/>
      <c r="B812" s="385"/>
      <c r="C812" s="299"/>
      <c r="D812" s="293"/>
      <c r="E812" s="293"/>
      <c r="F812" s="293"/>
      <c r="G812" s="300"/>
      <c r="H812" s="293"/>
      <c r="I812" s="313"/>
      <c r="J812" s="313"/>
      <c r="K812" s="313"/>
      <c r="L812" s="313"/>
      <c r="M812" s="293"/>
      <c r="N812" s="293"/>
      <c r="O812" s="293"/>
      <c r="P812" s="293"/>
      <c r="Q812" s="293"/>
      <c r="R812" s="293"/>
      <c r="S812" s="293"/>
      <c r="T812" s="293"/>
      <c r="U812" s="293"/>
      <c r="V812" s="293"/>
      <c r="W812" s="293"/>
      <c r="X812" s="293"/>
      <c r="Y812" s="293"/>
      <c r="Z812" s="293"/>
      <c r="AA812" s="293"/>
      <c r="AB812" s="293"/>
      <c r="AC812" s="293"/>
      <c r="AD812" s="293"/>
      <c r="AE812" s="293"/>
      <c r="AF812" s="293"/>
    </row>
    <row r="813" ht="16.5" customHeight="1">
      <c r="A813" s="293"/>
      <c r="B813" s="385"/>
      <c r="C813" s="299"/>
      <c r="D813" s="293"/>
      <c r="E813" s="293"/>
      <c r="F813" s="293"/>
      <c r="G813" s="300"/>
      <c r="H813" s="293"/>
      <c r="I813" s="313"/>
      <c r="J813" s="313"/>
      <c r="K813" s="313"/>
      <c r="L813" s="313"/>
      <c r="M813" s="293"/>
      <c r="N813" s="293"/>
      <c r="O813" s="293"/>
      <c r="P813" s="293"/>
      <c r="Q813" s="293"/>
      <c r="R813" s="293"/>
      <c r="S813" s="293"/>
      <c r="T813" s="293"/>
      <c r="U813" s="293"/>
      <c r="V813" s="293"/>
      <c r="W813" s="293"/>
      <c r="X813" s="293"/>
      <c r="Y813" s="293"/>
      <c r="Z813" s="293"/>
      <c r="AA813" s="293"/>
      <c r="AB813" s="293"/>
      <c r="AC813" s="293"/>
      <c r="AD813" s="293"/>
      <c r="AE813" s="293"/>
      <c r="AF813" s="293"/>
    </row>
    <row r="814" ht="16.5" customHeight="1">
      <c r="A814" s="293"/>
      <c r="B814" s="385"/>
      <c r="C814" s="299"/>
      <c r="D814" s="293"/>
      <c r="E814" s="293"/>
      <c r="F814" s="293"/>
      <c r="G814" s="300"/>
      <c r="H814" s="293"/>
      <c r="I814" s="313"/>
      <c r="J814" s="313"/>
      <c r="K814" s="313"/>
      <c r="L814" s="313"/>
      <c r="M814" s="293"/>
      <c r="N814" s="293"/>
      <c r="O814" s="293"/>
      <c r="P814" s="293"/>
      <c r="Q814" s="293"/>
      <c r="R814" s="293"/>
      <c r="S814" s="293"/>
      <c r="T814" s="293"/>
      <c r="U814" s="293"/>
      <c r="V814" s="293"/>
      <c r="W814" s="293"/>
      <c r="X814" s="293"/>
      <c r="Y814" s="293"/>
      <c r="Z814" s="293"/>
      <c r="AA814" s="293"/>
      <c r="AB814" s="293"/>
      <c r="AC814" s="293"/>
      <c r="AD814" s="293"/>
      <c r="AE814" s="293"/>
      <c r="AF814" s="293"/>
    </row>
    <row r="815" ht="16.5" customHeight="1">
      <c r="A815" s="293"/>
      <c r="B815" s="385"/>
      <c r="C815" s="299"/>
      <c r="D815" s="293"/>
      <c r="E815" s="293"/>
      <c r="F815" s="293"/>
      <c r="G815" s="300"/>
      <c r="H815" s="293"/>
      <c r="I815" s="313"/>
      <c r="J815" s="313"/>
      <c r="K815" s="313"/>
      <c r="L815" s="313"/>
      <c r="M815" s="293"/>
      <c r="N815" s="293"/>
      <c r="O815" s="293"/>
      <c r="P815" s="293"/>
      <c r="Q815" s="293"/>
      <c r="R815" s="293"/>
      <c r="S815" s="293"/>
      <c r="T815" s="293"/>
      <c r="U815" s="293"/>
      <c r="V815" s="293"/>
      <c r="W815" s="293"/>
      <c r="X815" s="293"/>
      <c r="Y815" s="293"/>
      <c r="Z815" s="293"/>
      <c r="AA815" s="293"/>
      <c r="AB815" s="293"/>
      <c r="AC815" s="293"/>
      <c r="AD815" s="293"/>
      <c r="AE815" s="293"/>
      <c r="AF815" s="293"/>
    </row>
    <row r="816" ht="16.5" customHeight="1">
      <c r="A816" s="293"/>
      <c r="B816" s="385"/>
      <c r="C816" s="299"/>
      <c r="D816" s="293"/>
      <c r="E816" s="293"/>
      <c r="F816" s="293"/>
      <c r="G816" s="300"/>
      <c r="H816" s="293"/>
      <c r="I816" s="313"/>
      <c r="J816" s="313"/>
      <c r="K816" s="313"/>
      <c r="L816" s="313"/>
      <c r="M816" s="293"/>
      <c r="N816" s="293"/>
      <c r="O816" s="293"/>
      <c r="P816" s="293"/>
      <c r="Q816" s="293"/>
      <c r="R816" s="293"/>
      <c r="S816" s="293"/>
      <c r="T816" s="293"/>
      <c r="U816" s="293"/>
      <c r="V816" s="293"/>
      <c r="W816" s="293"/>
      <c r="X816" s="293"/>
      <c r="Y816" s="293"/>
      <c r="Z816" s="293"/>
      <c r="AA816" s="293"/>
      <c r="AB816" s="293"/>
      <c r="AC816" s="293"/>
      <c r="AD816" s="293"/>
      <c r="AE816" s="293"/>
      <c r="AF816" s="293"/>
    </row>
    <row r="817" ht="16.5" customHeight="1">
      <c r="A817" s="293"/>
      <c r="B817" s="385"/>
      <c r="C817" s="299"/>
      <c r="D817" s="293"/>
      <c r="E817" s="293"/>
      <c r="F817" s="293"/>
      <c r="G817" s="300"/>
      <c r="H817" s="293"/>
      <c r="I817" s="313"/>
      <c r="J817" s="313"/>
      <c r="K817" s="313"/>
      <c r="L817" s="313"/>
      <c r="M817" s="293"/>
      <c r="N817" s="293"/>
      <c r="O817" s="293"/>
      <c r="P817" s="293"/>
      <c r="Q817" s="293"/>
      <c r="R817" s="293"/>
      <c r="S817" s="293"/>
      <c r="T817" s="293"/>
      <c r="U817" s="293"/>
      <c r="V817" s="293"/>
      <c r="W817" s="293"/>
      <c r="X817" s="293"/>
      <c r="Y817" s="293"/>
      <c r="Z817" s="293"/>
      <c r="AA817" s="293"/>
      <c r="AB817" s="293"/>
      <c r="AC817" s="293"/>
      <c r="AD817" s="293"/>
      <c r="AE817" s="293"/>
      <c r="AF817" s="293"/>
    </row>
    <row r="818" ht="16.5" customHeight="1">
      <c r="A818" s="293"/>
      <c r="B818" s="385"/>
      <c r="C818" s="299"/>
      <c r="D818" s="293"/>
      <c r="E818" s="293"/>
      <c r="F818" s="293"/>
      <c r="G818" s="300"/>
      <c r="H818" s="293"/>
      <c r="I818" s="313"/>
      <c r="J818" s="313"/>
      <c r="K818" s="313"/>
      <c r="L818" s="313"/>
      <c r="M818" s="293"/>
      <c r="N818" s="293"/>
      <c r="O818" s="293"/>
      <c r="P818" s="293"/>
      <c r="Q818" s="293"/>
      <c r="R818" s="293"/>
      <c r="S818" s="293"/>
      <c r="T818" s="293"/>
      <c r="U818" s="293"/>
      <c r="V818" s="293"/>
      <c r="W818" s="293"/>
      <c r="X818" s="293"/>
      <c r="Y818" s="293"/>
      <c r="Z818" s="293"/>
      <c r="AA818" s="293"/>
      <c r="AB818" s="293"/>
      <c r="AC818" s="293"/>
      <c r="AD818" s="293"/>
      <c r="AE818" s="293"/>
      <c r="AF818" s="293"/>
    </row>
    <row r="819" ht="16.5" customHeight="1">
      <c r="A819" s="293"/>
      <c r="B819" s="385"/>
      <c r="C819" s="299"/>
      <c r="D819" s="293"/>
      <c r="E819" s="293"/>
      <c r="F819" s="293"/>
      <c r="G819" s="300"/>
      <c r="H819" s="293"/>
      <c r="I819" s="313"/>
      <c r="J819" s="313"/>
      <c r="K819" s="313"/>
      <c r="L819" s="313"/>
      <c r="M819" s="293"/>
      <c r="N819" s="293"/>
      <c r="O819" s="293"/>
      <c r="P819" s="293"/>
      <c r="Q819" s="293"/>
      <c r="R819" s="293"/>
      <c r="S819" s="293"/>
      <c r="T819" s="293"/>
      <c r="U819" s="293"/>
      <c r="V819" s="293"/>
      <c r="W819" s="293"/>
      <c r="X819" s="293"/>
      <c r="Y819" s="293"/>
      <c r="Z819" s="293"/>
      <c r="AA819" s="293"/>
      <c r="AB819" s="293"/>
      <c r="AC819" s="293"/>
      <c r="AD819" s="293"/>
      <c r="AE819" s="293"/>
      <c r="AF819" s="293"/>
    </row>
    <row r="820" ht="16.5" customHeight="1">
      <c r="A820" s="293"/>
      <c r="B820" s="385"/>
      <c r="C820" s="299"/>
      <c r="D820" s="293"/>
      <c r="E820" s="293"/>
      <c r="F820" s="293"/>
      <c r="G820" s="300"/>
      <c r="H820" s="293"/>
      <c r="I820" s="313"/>
      <c r="J820" s="313"/>
      <c r="K820" s="313"/>
      <c r="L820" s="313"/>
      <c r="M820" s="293"/>
      <c r="N820" s="293"/>
      <c r="O820" s="293"/>
      <c r="P820" s="293"/>
      <c r="Q820" s="293"/>
      <c r="R820" s="293"/>
      <c r="S820" s="293"/>
      <c r="T820" s="293"/>
      <c r="U820" s="293"/>
      <c r="V820" s="293"/>
      <c r="W820" s="293"/>
      <c r="X820" s="293"/>
      <c r="Y820" s="293"/>
      <c r="Z820" s="293"/>
      <c r="AA820" s="293"/>
      <c r="AB820" s="293"/>
      <c r="AC820" s="293"/>
      <c r="AD820" s="293"/>
      <c r="AE820" s="293"/>
      <c r="AF820" s="293"/>
    </row>
    <row r="821" ht="16.5" customHeight="1">
      <c r="A821" s="293"/>
      <c r="B821" s="385"/>
      <c r="C821" s="299"/>
      <c r="D821" s="293"/>
      <c r="E821" s="293"/>
      <c r="F821" s="293"/>
      <c r="G821" s="300"/>
      <c r="H821" s="293"/>
      <c r="I821" s="313"/>
      <c r="J821" s="313"/>
      <c r="K821" s="313"/>
      <c r="L821" s="313"/>
      <c r="M821" s="293"/>
      <c r="N821" s="293"/>
      <c r="O821" s="293"/>
      <c r="P821" s="293"/>
      <c r="Q821" s="293"/>
      <c r="R821" s="293"/>
      <c r="S821" s="293"/>
      <c r="T821" s="293"/>
      <c r="U821" s="293"/>
      <c r="V821" s="293"/>
      <c r="W821" s="293"/>
      <c r="X821" s="293"/>
      <c r="Y821" s="293"/>
      <c r="Z821" s="293"/>
      <c r="AA821" s="293"/>
      <c r="AB821" s="293"/>
      <c r="AC821" s="293"/>
      <c r="AD821" s="293"/>
      <c r="AE821" s="293"/>
      <c r="AF821" s="293"/>
    </row>
    <row r="822" ht="16.5" customHeight="1">
      <c r="A822" s="293"/>
      <c r="B822" s="385"/>
      <c r="C822" s="299"/>
      <c r="D822" s="293"/>
      <c r="E822" s="293"/>
      <c r="F822" s="293"/>
      <c r="G822" s="300"/>
      <c r="H822" s="293"/>
      <c r="I822" s="313"/>
      <c r="J822" s="313"/>
      <c r="K822" s="313"/>
      <c r="L822" s="313"/>
      <c r="M822" s="293"/>
      <c r="N822" s="293"/>
      <c r="O822" s="293"/>
      <c r="P822" s="293"/>
      <c r="Q822" s="293"/>
      <c r="R822" s="293"/>
      <c r="S822" s="293"/>
      <c r="T822" s="293"/>
      <c r="U822" s="293"/>
      <c r="V822" s="293"/>
      <c r="W822" s="293"/>
      <c r="X822" s="293"/>
      <c r="Y822" s="293"/>
      <c r="Z822" s="293"/>
      <c r="AA822" s="293"/>
      <c r="AB822" s="293"/>
      <c r="AC822" s="293"/>
      <c r="AD822" s="293"/>
      <c r="AE822" s="293"/>
      <c r="AF822" s="293"/>
    </row>
    <row r="823" ht="16.5" customHeight="1">
      <c r="A823" s="293"/>
      <c r="B823" s="385"/>
      <c r="C823" s="299"/>
      <c r="D823" s="293"/>
      <c r="E823" s="293"/>
      <c r="F823" s="293"/>
      <c r="G823" s="300"/>
      <c r="H823" s="293"/>
      <c r="I823" s="313"/>
      <c r="J823" s="313"/>
      <c r="K823" s="313"/>
      <c r="L823" s="313"/>
      <c r="M823" s="293"/>
      <c r="N823" s="293"/>
      <c r="O823" s="293"/>
      <c r="P823" s="293"/>
      <c r="Q823" s="293"/>
      <c r="R823" s="293"/>
      <c r="S823" s="293"/>
      <c r="T823" s="293"/>
      <c r="U823" s="293"/>
      <c r="V823" s="293"/>
      <c r="W823" s="293"/>
      <c r="X823" s="293"/>
      <c r="Y823" s="293"/>
      <c r="Z823" s="293"/>
      <c r="AA823" s="293"/>
      <c r="AB823" s="293"/>
      <c r="AC823" s="293"/>
      <c r="AD823" s="293"/>
      <c r="AE823" s="293"/>
      <c r="AF823" s="293"/>
    </row>
    <row r="824" ht="16.5" customHeight="1">
      <c r="A824" s="293"/>
      <c r="B824" s="385"/>
      <c r="C824" s="299"/>
      <c r="D824" s="293"/>
      <c r="E824" s="293"/>
      <c r="F824" s="293"/>
      <c r="G824" s="300"/>
      <c r="H824" s="293"/>
      <c r="I824" s="313"/>
      <c r="J824" s="313"/>
      <c r="K824" s="313"/>
      <c r="L824" s="313"/>
      <c r="M824" s="293"/>
      <c r="N824" s="293"/>
      <c r="O824" s="293"/>
      <c r="P824" s="293"/>
      <c r="Q824" s="293"/>
      <c r="R824" s="293"/>
      <c r="S824" s="293"/>
      <c r="T824" s="293"/>
      <c r="U824" s="293"/>
      <c r="V824" s="293"/>
      <c r="W824" s="293"/>
      <c r="X824" s="293"/>
      <c r="Y824" s="293"/>
      <c r="Z824" s="293"/>
      <c r="AA824" s="293"/>
      <c r="AB824" s="293"/>
      <c r="AC824" s="293"/>
      <c r="AD824" s="293"/>
      <c r="AE824" s="293"/>
      <c r="AF824" s="293"/>
    </row>
    <row r="825" ht="16.5" customHeight="1">
      <c r="A825" s="293"/>
      <c r="B825" s="385"/>
      <c r="C825" s="299"/>
      <c r="D825" s="293"/>
      <c r="E825" s="293"/>
      <c r="F825" s="293"/>
      <c r="G825" s="300"/>
      <c r="H825" s="293"/>
      <c r="I825" s="313"/>
      <c r="J825" s="313"/>
      <c r="K825" s="313"/>
      <c r="L825" s="313"/>
      <c r="M825" s="293"/>
      <c r="N825" s="293"/>
      <c r="O825" s="293"/>
      <c r="P825" s="293"/>
      <c r="Q825" s="293"/>
      <c r="R825" s="293"/>
      <c r="S825" s="293"/>
      <c r="T825" s="293"/>
      <c r="U825" s="293"/>
      <c r="V825" s="293"/>
      <c r="W825" s="293"/>
      <c r="X825" s="293"/>
      <c r="Y825" s="293"/>
      <c r="Z825" s="293"/>
      <c r="AA825" s="293"/>
      <c r="AB825" s="293"/>
      <c r="AC825" s="293"/>
      <c r="AD825" s="293"/>
      <c r="AE825" s="293"/>
      <c r="AF825" s="293"/>
    </row>
    <row r="826" ht="16.5" customHeight="1">
      <c r="A826" s="293"/>
      <c r="B826" s="385"/>
      <c r="C826" s="299"/>
      <c r="D826" s="293"/>
      <c r="E826" s="293"/>
      <c r="F826" s="293"/>
      <c r="G826" s="300"/>
      <c r="H826" s="293"/>
      <c r="I826" s="313"/>
      <c r="J826" s="313"/>
      <c r="K826" s="313"/>
      <c r="L826" s="313"/>
      <c r="M826" s="293"/>
      <c r="N826" s="293"/>
      <c r="O826" s="293"/>
      <c r="P826" s="293"/>
      <c r="Q826" s="293"/>
      <c r="R826" s="293"/>
      <c r="S826" s="293"/>
      <c r="T826" s="293"/>
      <c r="U826" s="293"/>
      <c r="V826" s="293"/>
      <c r="W826" s="293"/>
      <c r="X826" s="293"/>
      <c r="Y826" s="293"/>
      <c r="Z826" s="293"/>
      <c r="AA826" s="293"/>
      <c r="AB826" s="293"/>
      <c r="AC826" s="293"/>
      <c r="AD826" s="293"/>
      <c r="AE826" s="293"/>
      <c r="AF826" s="293"/>
    </row>
    <row r="827" ht="16.5" customHeight="1">
      <c r="A827" s="293"/>
      <c r="B827" s="385"/>
      <c r="C827" s="299"/>
      <c r="D827" s="293"/>
      <c r="E827" s="293"/>
      <c r="F827" s="293"/>
      <c r="G827" s="300"/>
      <c r="H827" s="293"/>
      <c r="I827" s="313"/>
      <c r="J827" s="313"/>
      <c r="K827" s="313"/>
      <c r="L827" s="313"/>
      <c r="M827" s="293"/>
      <c r="N827" s="293"/>
      <c r="O827" s="293"/>
      <c r="P827" s="293"/>
      <c r="Q827" s="293"/>
      <c r="R827" s="293"/>
      <c r="S827" s="293"/>
      <c r="T827" s="293"/>
      <c r="U827" s="293"/>
      <c r="V827" s="293"/>
      <c r="W827" s="293"/>
      <c r="X827" s="293"/>
      <c r="Y827" s="293"/>
      <c r="Z827" s="293"/>
      <c r="AA827" s="293"/>
      <c r="AB827" s="293"/>
      <c r="AC827" s="293"/>
      <c r="AD827" s="293"/>
      <c r="AE827" s="293"/>
      <c r="AF827" s="293"/>
    </row>
    <row r="828" ht="16.5" customHeight="1">
      <c r="A828" s="293"/>
      <c r="B828" s="385"/>
      <c r="C828" s="299"/>
      <c r="D828" s="293"/>
      <c r="E828" s="293"/>
      <c r="F828" s="293"/>
      <c r="G828" s="300"/>
      <c r="H828" s="293"/>
      <c r="I828" s="313"/>
      <c r="J828" s="313"/>
      <c r="K828" s="313"/>
      <c r="L828" s="313"/>
      <c r="M828" s="293"/>
      <c r="N828" s="293"/>
      <c r="O828" s="293"/>
      <c r="P828" s="293"/>
      <c r="Q828" s="293"/>
      <c r="R828" s="293"/>
      <c r="S828" s="293"/>
      <c r="T828" s="293"/>
      <c r="U828" s="293"/>
      <c r="V828" s="293"/>
      <c r="W828" s="293"/>
      <c r="X828" s="293"/>
      <c r="Y828" s="293"/>
      <c r="Z828" s="293"/>
      <c r="AA828" s="293"/>
      <c r="AB828" s="293"/>
      <c r="AC828" s="293"/>
      <c r="AD828" s="293"/>
      <c r="AE828" s="293"/>
      <c r="AF828" s="293"/>
    </row>
    <row r="829" ht="16.5" customHeight="1">
      <c r="A829" s="293"/>
      <c r="B829" s="385"/>
      <c r="C829" s="299"/>
      <c r="D829" s="293"/>
      <c r="E829" s="293"/>
      <c r="F829" s="293"/>
      <c r="G829" s="300"/>
      <c r="H829" s="293"/>
      <c r="I829" s="313"/>
      <c r="J829" s="313"/>
      <c r="K829" s="313"/>
      <c r="L829" s="313"/>
      <c r="M829" s="293"/>
      <c r="N829" s="293"/>
      <c r="O829" s="293"/>
      <c r="P829" s="293"/>
      <c r="Q829" s="293"/>
      <c r="R829" s="293"/>
      <c r="S829" s="293"/>
      <c r="T829" s="293"/>
      <c r="U829" s="293"/>
      <c r="V829" s="293"/>
      <c r="W829" s="293"/>
      <c r="X829" s="293"/>
      <c r="Y829" s="293"/>
      <c r="Z829" s="293"/>
      <c r="AA829" s="293"/>
      <c r="AB829" s="293"/>
      <c r="AC829" s="293"/>
      <c r="AD829" s="293"/>
      <c r="AE829" s="293"/>
      <c r="AF829" s="293"/>
    </row>
    <row r="830" ht="16.5" customHeight="1">
      <c r="A830" s="293"/>
      <c r="B830" s="385"/>
      <c r="C830" s="299"/>
      <c r="D830" s="293"/>
      <c r="E830" s="293"/>
      <c r="F830" s="293"/>
      <c r="G830" s="300"/>
      <c r="H830" s="293"/>
      <c r="I830" s="313"/>
      <c r="J830" s="313"/>
      <c r="K830" s="313"/>
      <c r="L830" s="313"/>
      <c r="M830" s="293"/>
      <c r="N830" s="293"/>
      <c r="O830" s="293"/>
      <c r="P830" s="293"/>
      <c r="Q830" s="293"/>
      <c r="R830" s="293"/>
      <c r="S830" s="293"/>
      <c r="T830" s="293"/>
      <c r="U830" s="293"/>
      <c r="V830" s="293"/>
      <c r="W830" s="293"/>
      <c r="X830" s="293"/>
      <c r="Y830" s="293"/>
      <c r="Z830" s="293"/>
      <c r="AA830" s="293"/>
      <c r="AB830" s="293"/>
      <c r="AC830" s="293"/>
      <c r="AD830" s="293"/>
      <c r="AE830" s="293"/>
      <c r="AF830" s="293"/>
    </row>
    <row r="831" ht="16.5" customHeight="1">
      <c r="A831" s="293"/>
      <c r="B831" s="385"/>
      <c r="C831" s="299"/>
      <c r="D831" s="293"/>
      <c r="E831" s="293"/>
      <c r="F831" s="293"/>
      <c r="G831" s="300"/>
      <c r="H831" s="293"/>
      <c r="I831" s="313"/>
      <c r="J831" s="313"/>
      <c r="K831" s="313"/>
      <c r="L831" s="313"/>
      <c r="M831" s="293"/>
      <c r="N831" s="293"/>
      <c r="O831" s="293"/>
      <c r="P831" s="293"/>
      <c r="Q831" s="293"/>
      <c r="R831" s="293"/>
      <c r="S831" s="293"/>
      <c r="T831" s="293"/>
      <c r="U831" s="293"/>
      <c r="V831" s="293"/>
      <c r="W831" s="293"/>
      <c r="X831" s="293"/>
      <c r="Y831" s="293"/>
      <c r="Z831" s="293"/>
      <c r="AA831" s="293"/>
      <c r="AB831" s="293"/>
      <c r="AC831" s="293"/>
      <c r="AD831" s="293"/>
      <c r="AE831" s="293"/>
      <c r="AF831" s="293"/>
    </row>
    <row r="832" ht="16.5" customHeight="1">
      <c r="A832" s="293"/>
      <c r="B832" s="385"/>
      <c r="C832" s="299"/>
      <c r="D832" s="293"/>
      <c r="E832" s="293"/>
      <c r="F832" s="293"/>
      <c r="G832" s="300"/>
      <c r="H832" s="293"/>
      <c r="I832" s="313"/>
      <c r="J832" s="313"/>
      <c r="K832" s="313"/>
      <c r="L832" s="313"/>
      <c r="M832" s="293"/>
      <c r="N832" s="293"/>
      <c r="O832" s="293"/>
      <c r="P832" s="293"/>
      <c r="Q832" s="293"/>
      <c r="R832" s="293"/>
      <c r="S832" s="293"/>
      <c r="T832" s="293"/>
      <c r="U832" s="293"/>
      <c r="V832" s="293"/>
      <c r="W832" s="293"/>
      <c r="X832" s="293"/>
      <c r="Y832" s="293"/>
      <c r="Z832" s="293"/>
      <c r="AA832" s="293"/>
      <c r="AB832" s="293"/>
      <c r="AC832" s="293"/>
      <c r="AD832" s="293"/>
      <c r="AE832" s="293"/>
      <c r="AF832" s="293"/>
    </row>
    <row r="833" ht="16.5" customHeight="1">
      <c r="A833" s="293"/>
      <c r="B833" s="385"/>
      <c r="C833" s="299"/>
      <c r="D833" s="293"/>
      <c r="E833" s="293"/>
      <c r="F833" s="293"/>
      <c r="G833" s="300"/>
      <c r="H833" s="293"/>
      <c r="I833" s="313"/>
      <c r="J833" s="313"/>
      <c r="K833" s="313"/>
      <c r="L833" s="313"/>
      <c r="M833" s="293"/>
      <c r="N833" s="293"/>
      <c r="O833" s="293"/>
      <c r="P833" s="293"/>
      <c r="Q833" s="293"/>
      <c r="R833" s="293"/>
      <c r="S833" s="293"/>
      <c r="T833" s="293"/>
      <c r="U833" s="293"/>
      <c r="V833" s="293"/>
      <c r="W833" s="293"/>
      <c r="X833" s="293"/>
      <c r="Y833" s="293"/>
      <c r="Z833" s="293"/>
      <c r="AA833" s="293"/>
      <c r="AB833" s="293"/>
      <c r="AC833" s="293"/>
      <c r="AD833" s="293"/>
      <c r="AE833" s="293"/>
      <c r="AF833" s="293"/>
    </row>
    <row r="834" ht="16.5" customHeight="1">
      <c r="A834" s="293"/>
      <c r="B834" s="385"/>
      <c r="C834" s="299"/>
      <c r="D834" s="293"/>
      <c r="E834" s="293"/>
      <c r="F834" s="293"/>
      <c r="G834" s="300"/>
      <c r="H834" s="293"/>
      <c r="I834" s="313"/>
      <c r="J834" s="313"/>
      <c r="K834" s="313"/>
      <c r="L834" s="313"/>
      <c r="M834" s="293"/>
      <c r="N834" s="293"/>
      <c r="O834" s="293"/>
      <c r="P834" s="293"/>
      <c r="Q834" s="293"/>
      <c r="R834" s="293"/>
      <c r="S834" s="293"/>
      <c r="T834" s="293"/>
      <c r="U834" s="293"/>
      <c r="V834" s="293"/>
      <c r="W834" s="293"/>
      <c r="X834" s="293"/>
      <c r="Y834" s="293"/>
      <c r="Z834" s="293"/>
      <c r="AA834" s="293"/>
      <c r="AB834" s="293"/>
      <c r="AC834" s="293"/>
      <c r="AD834" s="293"/>
      <c r="AE834" s="293"/>
      <c r="AF834" s="293"/>
    </row>
    <row r="835" ht="16.5" customHeight="1">
      <c r="A835" s="293"/>
      <c r="B835" s="385"/>
      <c r="C835" s="299"/>
      <c r="D835" s="293"/>
      <c r="E835" s="293"/>
      <c r="F835" s="293"/>
      <c r="G835" s="300"/>
      <c r="H835" s="293"/>
      <c r="I835" s="313"/>
      <c r="J835" s="313"/>
      <c r="K835" s="313"/>
      <c r="L835" s="313"/>
      <c r="M835" s="293"/>
      <c r="N835" s="293"/>
      <c r="O835" s="293"/>
      <c r="P835" s="293"/>
      <c r="Q835" s="293"/>
      <c r="R835" s="293"/>
      <c r="S835" s="293"/>
      <c r="T835" s="293"/>
      <c r="U835" s="293"/>
      <c r="V835" s="293"/>
      <c r="W835" s="293"/>
      <c r="X835" s="293"/>
      <c r="Y835" s="293"/>
      <c r="Z835" s="293"/>
      <c r="AA835" s="293"/>
      <c r="AB835" s="293"/>
      <c r="AC835" s="293"/>
      <c r="AD835" s="293"/>
      <c r="AE835" s="293"/>
      <c r="AF835" s="293"/>
    </row>
    <row r="836" ht="16.5" customHeight="1">
      <c r="A836" s="293"/>
      <c r="B836" s="385"/>
      <c r="C836" s="299"/>
      <c r="D836" s="293"/>
      <c r="E836" s="293"/>
      <c r="F836" s="293"/>
      <c r="G836" s="300"/>
      <c r="H836" s="293"/>
      <c r="I836" s="313"/>
      <c r="J836" s="313"/>
      <c r="K836" s="313"/>
      <c r="L836" s="313"/>
      <c r="M836" s="293"/>
      <c r="N836" s="293"/>
      <c r="O836" s="293"/>
      <c r="P836" s="293"/>
      <c r="Q836" s="293"/>
      <c r="R836" s="293"/>
      <c r="S836" s="293"/>
      <c r="T836" s="293"/>
      <c r="U836" s="293"/>
      <c r="V836" s="293"/>
      <c r="W836" s="293"/>
      <c r="X836" s="293"/>
      <c r="Y836" s="293"/>
      <c r="Z836" s="293"/>
      <c r="AA836" s="293"/>
      <c r="AB836" s="293"/>
      <c r="AC836" s="293"/>
      <c r="AD836" s="293"/>
      <c r="AE836" s="293"/>
      <c r="AF836" s="293"/>
    </row>
    <row r="837" ht="16.5" customHeight="1">
      <c r="A837" s="293"/>
      <c r="B837" s="385"/>
      <c r="C837" s="299"/>
      <c r="D837" s="293"/>
      <c r="E837" s="293"/>
      <c r="F837" s="293"/>
      <c r="G837" s="300"/>
      <c r="H837" s="293"/>
      <c r="I837" s="313"/>
      <c r="J837" s="313"/>
      <c r="K837" s="313"/>
      <c r="L837" s="313"/>
      <c r="M837" s="293"/>
      <c r="N837" s="293"/>
      <c r="O837" s="293"/>
      <c r="P837" s="293"/>
      <c r="Q837" s="293"/>
      <c r="R837" s="293"/>
      <c r="S837" s="293"/>
      <c r="T837" s="293"/>
      <c r="U837" s="293"/>
      <c r="V837" s="293"/>
      <c r="W837" s="293"/>
      <c r="X837" s="293"/>
      <c r="Y837" s="293"/>
      <c r="Z837" s="293"/>
      <c r="AA837" s="293"/>
      <c r="AB837" s="293"/>
      <c r="AC837" s="293"/>
      <c r="AD837" s="293"/>
      <c r="AE837" s="293"/>
      <c r="AF837" s="293"/>
    </row>
    <row r="838" ht="16.5" customHeight="1">
      <c r="A838" s="293"/>
      <c r="B838" s="385"/>
      <c r="C838" s="299"/>
      <c r="D838" s="293"/>
      <c r="E838" s="293"/>
      <c r="F838" s="293"/>
      <c r="G838" s="300"/>
      <c r="H838" s="293"/>
      <c r="I838" s="313"/>
      <c r="J838" s="313"/>
      <c r="K838" s="313"/>
      <c r="L838" s="313"/>
      <c r="M838" s="293"/>
      <c r="N838" s="293"/>
      <c r="O838" s="293"/>
      <c r="P838" s="293"/>
      <c r="Q838" s="293"/>
      <c r="R838" s="293"/>
      <c r="S838" s="293"/>
      <c r="T838" s="293"/>
      <c r="U838" s="293"/>
      <c r="V838" s="293"/>
      <c r="W838" s="293"/>
      <c r="X838" s="293"/>
      <c r="Y838" s="293"/>
      <c r="Z838" s="293"/>
      <c r="AA838" s="293"/>
      <c r="AB838" s="293"/>
      <c r="AC838" s="293"/>
      <c r="AD838" s="293"/>
      <c r="AE838" s="293"/>
      <c r="AF838" s="293"/>
    </row>
    <row r="839" ht="16.5" customHeight="1">
      <c r="A839" s="293"/>
      <c r="B839" s="385"/>
      <c r="C839" s="299"/>
      <c r="D839" s="293"/>
      <c r="E839" s="293"/>
      <c r="F839" s="293"/>
      <c r="G839" s="300"/>
      <c r="H839" s="293"/>
      <c r="I839" s="313"/>
      <c r="J839" s="313"/>
      <c r="K839" s="313"/>
      <c r="L839" s="313"/>
      <c r="M839" s="293"/>
      <c r="N839" s="293"/>
      <c r="O839" s="293"/>
      <c r="P839" s="293"/>
      <c r="Q839" s="293"/>
      <c r="R839" s="293"/>
      <c r="S839" s="293"/>
      <c r="T839" s="293"/>
      <c r="U839" s="293"/>
      <c r="V839" s="293"/>
      <c r="W839" s="293"/>
      <c r="X839" s="293"/>
      <c r="Y839" s="293"/>
      <c r="Z839" s="293"/>
      <c r="AA839" s="293"/>
      <c r="AB839" s="293"/>
      <c r="AC839" s="293"/>
      <c r="AD839" s="293"/>
      <c r="AE839" s="293"/>
      <c r="AF839" s="293"/>
    </row>
    <row r="840" ht="16.5" customHeight="1">
      <c r="A840" s="293"/>
      <c r="B840" s="385"/>
      <c r="C840" s="299"/>
      <c r="D840" s="293"/>
      <c r="E840" s="293"/>
      <c r="F840" s="293"/>
      <c r="G840" s="300"/>
      <c r="H840" s="293"/>
      <c r="I840" s="313"/>
      <c r="J840" s="313"/>
      <c r="K840" s="313"/>
      <c r="L840" s="313"/>
      <c r="M840" s="293"/>
      <c r="N840" s="293"/>
      <c r="O840" s="293"/>
      <c r="P840" s="293"/>
      <c r="Q840" s="293"/>
      <c r="R840" s="293"/>
      <c r="S840" s="293"/>
      <c r="T840" s="293"/>
      <c r="U840" s="293"/>
      <c r="V840" s="293"/>
      <c r="W840" s="293"/>
      <c r="X840" s="293"/>
      <c r="Y840" s="293"/>
      <c r="Z840" s="293"/>
      <c r="AA840" s="293"/>
      <c r="AB840" s="293"/>
      <c r="AC840" s="293"/>
      <c r="AD840" s="293"/>
      <c r="AE840" s="293"/>
      <c r="AF840" s="293"/>
    </row>
    <row r="841" ht="16.5" customHeight="1">
      <c r="A841" s="293"/>
      <c r="B841" s="385"/>
      <c r="C841" s="299"/>
      <c r="D841" s="293"/>
      <c r="E841" s="293"/>
      <c r="F841" s="293"/>
      <c r="G841" s="300"/>
      <c r="H841" s="293"/>
      <c r="I841" s="313"/>
      <c r="J841" s="313"/>
      <c r="K841" s="313"/>
      <c r="L841" s="313"/>
      <c r="M841" s="293"/>
      <c r="N841" s="293"/>
      <c r="O841" s="293"/>
      <c r="P841" s="293"/>
      <c r="Q841" s="293"/>
      <c r="R841" s="293"/>
      <c r="S841" s="293"/>
      <c r="T841" s="293"/>
      <c r="U841" s="293"/>
      <c r="V841" s="293"/>
      <c r="W841" s="293"/>
      <c r="X841" s="293"/>
      <c r="Y841" s="293"/>
      <c r="Z841" s="293"/>
      <c r="AA841" s="293"/>
      <c r="AB841" s="293"/>
      <c r="AC841" s="293"/>
      <c r="AD841" s="293"/>
      <c r="AE841" s="293"/>
      <c r="AF841" s="293"/>
    </row>
    <row r="842" ht="16.5" customHeight="1">
      <c r="A842" s="293"/>
      <c r="B842" s="385"/>
      <c r="C842" s="299"/>
      <c r="D842" s="293"/>
      <c r="E842" s="293"/>
      <c r="F842" s="293"/>
      <c r="G842" s="300"/>
      <c r="H842" s="293"/>
      <c r="I842" s="313"/>
      <c r="J842" s="313"/>
      <c r="K842" s="313"/>
      <c r="L842" s="313"/>
      <c r="M842" s="293"/>
      <c r="N842" s="293"/>
      <c r="O842" s="293"/>
      <c r="P842" s="293"/>
      <c r="Q842" s="293"/>
      <c r="R842" s="293"/>
      <c r="S842" s="293"/>
      <c r="T842" s="293"/>
      <c r="U842" s="293"/>
      <c r="V842" s="293"/>
      <c r="W842" s="293"/>
      <c r="X842" s="293"/>
      <c r="Y842" s="293"/>
      <c r="Z842" s="293"/>
      <c r="AA842" s="293"/>
      <c r="AB842" s="293"/>
      <c r="AC842" s="293"/>
      <c r="AD842" s="293"/>
      <c r="AE842" s="293"/>
      <c r="AF842" s="293"/>
    </row>
    <row r="843" ht="16.5" customHeight="1">
      <c r="A843" s="293"/>
      <c r="B843" s="385"/>
      <c r="C843" s="299"/>
      <c r="D843" s="293"/>
      <c r="E843" s="293"/>
      <c r="F843" s="293"/>
      <c r="G843" s="300"/>
      <c r="H843" s="293"/>
      <c r="I843" s="313"/>
      <c r="J843" s="313"/>
      <c r="K843" s="313"/>
      <c r="L843" s="313"/>
      <c r="M843" s="293"/>
      <c r="N843" s="293"/>
      <c r="O843" s="293"/>
      <c r="P843" s="293"/>
      <c r="Q843" s="293"/>
      <c r="R843" s="293"/>
      <c r="S843" s="293"/>
      <c r="T843" s="293"/>
      <c r="U843" s="293"/>
      <c r="V843" s="293"/>
      <c r="W843" s="293"/>
      <c r="X843" s="293"/>
      <c r="Y843" s="293"/>
      <c r="Z843" s="293"/>
      <c r="AA843" s="293"/>
      <c r="AB843" s="293"/>
      <c r="AC843" s="293"/>
      <c r="AD843" s="293"/>
      <c r="AE843" s="293"/>
      <c r="AF843" s="293"/>
    </row>
    <row r="844" ht="16.5" customHeight="1">
      <c r="A844" s="293"/>
      <c r="B844" s="385"/>
      <c r="C844" s="299"/>
      <c r="D844" s="293"/>
      <c r="E844" s="293"/>
      <c r="F844" s="293"/>
      <c r="G844" s="300"/>
      <c r="H844" s="293"/>
      <c r="I844" s="313"/>
      <c r="J844" s="313"/>
      <c r="K844" s="313"/>
      <c r="L844" s="313"/>
      <c r="M844" s="293"/>
      <c r="N844" s="293"/>
      <c r="O844" s="293"/>
      <c r="P844" s="293"/>
      <c r="Q844" s="293"/>
      <c r="R844" s="293"/>
      <c r="S844" s="293"/>
      <c r="T844" s="293"/>
      <c r="U844" s="293"/>
      <c r="V844" s="293"/>
      <c r="W844" s="293"/>
      <c r="X844" s="293"/>
      <c r="Y844" s="293"/>
      <c r="Z844" s="293"/>
      <c r="AA844" s="293"/>
      <c r="AB844" s="293"/>
      <c r="AC844" s="293"/>
      <c r="AD844" s="293"/>
      <c r="AE844" s="293"/>
      <c r="AF844" s="293"/>
    </row>
    <row r="845" ht="16.5" customHeight="1">
      <c r="A845" s="293"/>
      <c r="B845" s="385"/>
      <c r="C845" s="299"/>
      <c r="D845" s="293"/>
      <c r="E845" s="293"/>
      <c r="F845" s="293"/>
      <c r="G845" s="300"/>
      <c r="H845" s="293"/>
      <c r="I845" s="313"/>
      <c r="J845" s="313"/>
      <c r="K845" s="313"/>
      <c r="L845" s="313"/>
      <c r="M845" s="293"/>
      <c r="N845" s="293"/>
      <c r="O845" s="293"/>
      <c r="P845" s="293"/>
      <c r="Q845" s="293"/>
      <c r="R845" s="293"/>
      <c r="S845" s="293"/>
      <c r="T845" s="293"/>
      <c r="U845" s="293"/>
      <c r="V845" s="293"/>
      <c r="W845" s="293"/>
      <c r="X845" s="293"/>
      <c r="Y845" s="293"/>
      <c r="Z845" s="293"/>
      <c r="AA845" s="293"/>
      <c r="AB845" s="293"/>
      <c r="AC845" s="293"/>
      <c r="AD845" s="293"/>
      <c r="AE845" s="293"/>
      <c r="AF845" s="293"/>
    </row>
    <row r="846" ht="16.5" customHeight="1">
      <c r="A846" s="293"/>
      <c r="B846" s="385"/>
      <c r="C846" s="299"/>
      <c r="D846" s="293"/>
      <c r="E846" s="293"/>
      <c r="F846" s="293"/>
      <c r="G846" s="300"/>
      <c r="H846" s="293"/>
      <c r="I846" s="313"/>
      <c r="J846" s="313"/>
      <c r="K846" s="313"/>
      <c r="L846" s="313"/>
      <c r="M846" s="293"/>
      <c r="N846" s="293"/>
      <c r="O846" s="293"/>
      <c r="P846" s="293"/>
      <c r="Q846" s="293"/>
      <c r="R846" s="293"/>
      <c r="S846" s="293"/>
      <c r="T846" s="293"/>
      <c r="U846" s="293"/>
      <c r="V846" s="293"/>
      <c r="W846" s="293"/>
      <c r="X846" s="293"/>
      <c r="Y846" s="293"/>
      <c r="Z846" s="293"/>
      <c r="AA846" s="293"/>
      <c r="AB846" s="293"/>
      <c r="AC846" s="293"/>
      <c r="AD846" s="293"/>
      <c r="AE846" s="293"/>
      <c r="AF846" s="293"/>
    </row>
    <row r="847" ht="16.5" customHeight="1">
      <c r="A847" s="293"/>
      <c r="B847" s="385"/>
      <c r="C847" s="299"/>
      <c r="D847" s="293"/>
      <c r="E847" s="293"/>
      <c r="F847" s="293"/>
      <c r="G847" s="300"/>
      <c r="H847" s="293"/>
      <c r="I847" s="313"/>
      <c r="J847" s="313"/>
      <c r="K847" s="313"/>
      <c r="L847" s="313"/>
      <c r="M847" s="293"/>
      <c r="N847" s="293"/>
      <c r="O847" s="293"/>
      <c r="P847" s="293"/>
      <c r="Q847" s="293"/>
      <c r="R847" s="293"/>
      <c r="S847" s="293"/>
      <c r="T847" s="293"/>
      <c r="U847" s="293"/>
      <c r="V847" s="293"/>
      <c r="W847" s="293"/>
      <c r="X847" s="293"/>
      <c r="Y847" s="293"/>
      <c r="Z847" s="293"/>
      <c r="AA847" s="293"/>
      <c r="AB847" s="293"/>
      <c r="AC847" s="293"/>
      <c r="AD847" s="293"/>
      <c r="AE847" s="293"/>
      <c r="AF847" s="293"/>
    </row>
    <row r="848" ht="16.5" customHeight="1">
      <c r="A848" s="293"/>
      <c r="B848" s="385"/>
      <c r="C848" s="299"/>
      <c r="D848" s="293"/>
      <c r="E848" s="293"/>
      <c r="F848" s="293"/>
      <c r="G848" s="300"/>
      <c r="H848" s="293"/>
      <c r="I848" s="313"/>
      <c r="J848" s="313"/>
      <c r="K848" s="313"/>
      <c r="L848" s="313"/>
      <c r="M848" s="293"/>
      <c r="N848" s="293"/>
      <c r="O848" s="293"/>
      <c r="P848" s="293"/>
      <c r="Q848" s="293"/>
      <c r="R848" s="293"/>
      <c r="S848" s="293"/>
      <c r="T848" s="293"/>
      <c r="U848" s="293"/>
      <c r="V848" s="293"/>
      <c r="W848" s="293"/>
      <c r="X848" s="293"/>
      <c r="Y848" s="293"/>
      <c r="Z848" s="293"/>
      <c r="AA848" s="293"/>
      <c r="AB848" s="293"/>
      <c r="AC848" s="293"/>
      <c r="AD848" s="293"/>
      <c r="AE848" s="293"/>
      <c r="AF848" s="293"/>
    </row>
    <row r="849" ht="16.5" customHeight="1">
      <c r="A849" s="293"/>
      <c r="B849" s="385"/>
      <c r="C849" s="299"/>
      <c r="D849" s="293"/>
      <c r="E849" s="293"/>
      <c r="F849" s="293"/>
      <c r="G849" s="300"/>
      <c r="H849" s="293"/>
      <c r="I849" s="313"/>
      <c r="J849" s="313"/>
      <c r="K849" s="313"/>
      <c r="L849" s="313"/>
      <c r="M849" s="293"/>
      <c r="N849" s="293"/>
      <c r="O849" s="293"/>
      <c r="P849" s="293"/>
      <c r="Q849" s="293"/>
      <c r="R849" s="293"/>
      <c r="S849" s="293"/>
      <c r="T849" s="293"/>
      <c r="U849" s="293"/>
      <c r="V849" s="293"/>
      <c r="W849" s="293"/>
      <c r="X849" s="293"/>
      <c r="Y849" s="293"/>
      <c r="Z849" s="293"/>
      <c r="AA849" s="293"/>
      <c r="AB849" s="293"/>
      <c r="AC849" s="293"/>
      <c r="AD849" s="293"/>
      <c r="AE849" s="293"/>
      <c r="AF849" s="293"/>
    </row>
    <row r="850" ht="16.5" customHeight="1">
      <c r="A850" s="293"/>
      <c r="B850" s="385"/>
      <c r="C850" s="299"/>
      <c r="D850" s="293"/>
      <c r="E850" s="293"/>
      <c r="F850" s="293"/>
      <c r="G850" s="300"/>
      <c r="H850" s="293"/>
      <c r="I850" s="313"/>
      <c r="J850" s="313"/>
      <c r="K850" s="313"/>
      <c r="L850" s="313"/>
      <c r="M850" s="293"/>
      <c r="N850" s="293"/>
      <c r="O850" s="293"/>
      <c r="P850" s="293"/>
      <c r="Q850" s="293"/>
      <c r="R850" s="293"/>
      <c r="S850" s="293"/>
      <c r="T850" s="293"/>
      <c r="U850" s="293"/>
      <c r="V850" s="293"/>
      <c r="W850" s="293"/>
      <c r="X850" s="293"/>
      <c r="Y850" s="293"/>
      <c r="Z850" s="293"/>
      <c r="AA850" s="293"/>
      <c r="AB850" s="293"/>
      <c r="AC850" s="293"/>
      <c r="AD850" s="293"/>
      <c r="AE850" s="293"/>
      <c r="AF850" s="293"/>
    </row>
    <row r="851" ht="16.5" customHeight="1">
      <c r="A851" s="293"/>
      <c r="B851" s="385"/>
      <c r="C851" s="299"/>
      <c r="D851" s="293"/>
      <c r="E851" s="293"/>
      <c r="F851" s="293"/>
      <c r="G851" s="300"/>
      <c r="H851" s="293"/>
      <c r="I851" s="313"/>
      <c r="J851" s="313"/>
      <c r="K851" s="313"/>
      <c r="L851" s="313"/>
      <c r="M851" s="293"/>
      <c r="N851" s="293"/>
      <c r="O851" s="293"/>
      <c r="P851" s="293"/>
      <c r="Q851" s="293"/>
      <c r="R851" s="293"/>
      <c r="S851" s="293"/>
      <c r="T851" s="293"/>
      <c r="U851" s="293"/>
      <c r="V851" s="293"/>
      <c r="W851" s="293"/>
      <c r="X851" s="293"/>
      <c r="Y851" s="293"/>
      <c r="Z851" s="293"/>
      <c r="AA851" s="293"/>
      <c r="AB851" s="293"/>
      <c r="AC851" s="293"/>
      <c r="AD851" s="293"/>
      <c r="AE851" s="293"/>
      <c r="AF851" s="293"/>
    </row>
    <row r="852" ht="16.5" customHeight="1">
      <c r="A852" s="293"/>
      <c r="B852" s="385"/>
      <c r="C852" s="299"/>
      <c r="D852" s="293"/>
      <c r="E852" s="293"/>
      <c r="F852" s="293"/>
      <c r="G852" s="300"/>
      <c r="H852" s="293"/>
      <c r="I852" s="313"/>
      <c r="J852" s="313"/>
      <c r="K852" s="313"/>
      <c r="L852" s="313"/>
      <c r="M852" s="293"/>
      <c r="N852" s="293"/>
      <c r="O852" s="293"/>
      <c r="P852" s="293"/>
      <c r="Q852" s="293"/>
      <c r="R852" s="293"/>
      <c r="S852" s="293"/>
      <c r="T852" s="293"/>
      <c r="U852" s="293"/>
      <c r="V852" s="293"/>
      <c r="W852" s="293"/>
      <c r="X852" s="293"/>
      <c r="Y852" s="293"/>
      <c r="Z852" s="293"/>
      <c r="AA852" s="293"/>
      <c r="AB852" s="293"/>
      <c r="AC852" s="293"/>
      <c r="AD852" s="293"/>
      <c r="AE852" s="293"/>
      <c r="AF852" s="293"/>
    </row>
    <row r="853" ht="16.5" customHeight="1">
      <c r="A853" s="293"/>
      <c r="B853" s="385"/>
      <c r="C853" s="299"/>
      <c r="D853" s="293"/>
      <c r="E853" s="293"/>
      <c r="F853" s="293"/>
      <c r="G853" s="300"/>
      <c r="H853" s="293"/>
      <c r="I853" s="313"/>
      <c r="J853" s="313"/>
      <c r="K853" s="313"/>
      <c r="L853" s="313"/>
      <c r="M853" s="293"/>
      <c r="N853" s="293"/>
      <c r="O853" s="293"/>
      <c r="P853" s="293"/>
      <c r="Q853" s="293"/>
      <c r="R853" s="293"/>
      <c r="S853" s="293"/>
      <c r="T853" s="293"/>
      <c r="U853" s="293"/>
      <c r="V853" s="293"/>
      <c r="W853" s="293"/>
      <c r="X853" s="293"/>
      <c r="Y853" s="293"/>
      <c r="Z853" s="293"/>
      <c r="AA853" s="293"/>
      <c r="AB853" s="293"/>
      <c r="AC853" s="293"/>
      <c r="AD853" s="293"/>
      <c r="AE853" s="293"/>
      <c r="AF853" s="293"/>
    </row>
    <row r="854" ht="16.5" customHeight="1">
      <c r="A854" s="293"/>
      <c r="B854" s="385"/>
      <c r="C854" s="299"/>
      <c r="D854" s="293"/>
      <c r="E854" s="293"/>
      <c r="F854" s="293"/>
      <c r="G854" s="300"/>
      <c r="H854" s="293"/>
      <c r="I854" s="313"/>
      <c r="J854" s="313"/>
      <c r="K854" s="313"/>
      <c r="L854" s="313"/>
      <c r="M854" s="293"/>
      <c r="N854" s="293"/>
      <c r="O854" s="293"/>
      <c r="P854" s="293"/>
      <c r="Q854" s="293"/>
      <c r="R854" s="293"/>
      <c r="S854" s="293"/>
      <c r="T854" s="293"/>
      <c r="U854" s="293"/>
      <c r="V854" s="293"/>
      <c r="W854" s="293"/>
      <c r="X854" s="293"/>
      <c r="Y854" s="293"/>
      <c r="Z854" s="293"/>
      <c r="AA854" s="293"/>
      <c r="AB854" s="293"/>
      <c r="AC854" s="293"/>
      <c r="AD854" s="293"/>
      <c r="AE854" s="293"/>
      <c r="AF854" s="293"/>
    </row>
    <row r="855" ht="16.5" customHeight="1">
      <c r="A855" s="293"/>
      <c r="B855" s="385"/>
      <c r="C855" s="299"/>
      <c r="D855" s="293"/>
      <c r="E855" s="293"/>
      <c r="F855" s="293"/>
      <c r="G855" s="300"/>
      <c r="H855" s="293"/>
      <c r="I855" s="313"/>
      <c r="J855" s="313"/>
      <c r="K855" s="313"/>
      <c r="L855" s="313"/>
      <c r="M855" s="293"/>
      <c r="N855" s="293"/>
      <c r="O855" s="293"/>
      <c r="P855" s="293"/>
      <c r="Q855" s="293"/>
      <c r="R855" s="293"/>
      <c r="S855" s="293"/>
      <c r="T855" s="293"/>
      <c r="U855" s="293"/>
      <c r="V855" s="293"/>
      <c r="W855" s="293"/>
      <c r="X855" s="293"/>
      <c r="Y855" s="293"/>
      <c r="Z855" s="293"/>
      <c r="AA855" s="293"/>
      <c r="AB855" s="293"/>
      <c r="AC855" s="293"/>
      <c r="AD855" s="293"/>
      <c r="AE855" s="293"/>
      <c r="AF855" s="293"/>
    </row>
    <row r="856" ht="16.5" customHeight="1">
      <c r="A856" s="293"/>
      <c r="B856" s="385"/>
      <c r="C856" s="299"/>
      <c r="D856" s="293"/>
      <c r="E856" s="293"/>
      <c r="F856" s="293"/>
      <c r="G856" s="300"/>
      <c r="H856" s="293"/>
      <c r="I856" s="313"/>
      <c r="J856" s="313"/>
      <c r="K856" s="313"/>
      <c r="L856" s="313"/>
      <c r="M856" s="293"/>
      <c r="N856" s="293"/>
      <c r="O856" s="293"/>
      <c r="P856" s="293"/>
      <c r="Q856" s="293"/>
      <c r="R856" s="293"/>
      <c r="S856" s="293"/>
      <c r="T856" s="293"/>
      <c r="U856" s="293"/>
      <c r="V856" s="293"/>
      <c r="W856" s="293"/>
      <c r="X856" s="293"/>
      <c r="Y856" s="293"/>
      <c r="Z856" s="293"/>
      <c r="AA856" s="293"/>
      <c r="AB856" s="293"/>
      <c r="AC856" s="293"/>
      <c r="AD856" s="293"/>
      <c r="AE856" s="293"/>
      <c r="AF856" s="293"/>
    </row>
    <row r="857" ht="16.5" customHeight="1">
      <c r="A857" s="293"/>
      <c r="B857" s="385"/>
      <c r="C857" s="299"/>
      <c r="D857" s="293"/>
      <c r="E857" s="293"/>
      <c r="F857" s="293"/>
      <c r="G857" s="300"/>
      <c r="H857" s="293"/>
      <c r="I857" s="313"/>
      <c r="J857" s="313"/>
      <c r="K857" s="313"/>
      <c r="L857" s="313"/>
      <c r="M857" s="293"/>
      <c r="N857" s="293"/>
      <c r="O857" s="293"/>
      <c r="P857" s="293"/>
      <c r="Q857" s="293"/>
      <c r="R857" s="293"/>
      <c r="S857" s="293"/>
      <c r="T857" s="293"/>
      <c r="U857" s="293"/>
      <c r="V857" s="293"/>
      <c r="W857" s="293"/>
      <c r="X857" s="293"/>
      <c r="Y857" s="293"/>
      <c r="Z857" s="293"/>
      <c r="AA857" s="293"/>
      <c r="AB857" s="293"/>
      <c r="AC857" s="293"/>
      <c r="AD857" s="293"/>
      <c r="AE857" s="293"/>
      <c r="AF857" s="293"/>
    </row>
    <row r="858" ht="16.5" customHeight="1">
      <c r="A858" s="293"/>
      <c r="B858" s="385"/>
      <c r="C858" s="299"/>
      <c r="D858" s="293"/>
      <c r="E858" s="293"/>
      <c r="F858" s="293"/>
      <c r="G858" s="300"/>
      <c r="H858" s="293"/>
      <c r="I858" s="313"/>
      <c r="J858" s="313"/>
      <c r="K858" s="313"/>
      <c r="L858" s="313"/>
      <c r="M858" s="293"/>
      <c r="N858" s="293"/>
      <c r="O858" s="293"/>
      <c r="P858" s="293"/>
      <c r="Q858" s="293"/>
      <c r="R858" s="293"/>
      <c r="S858" s="293"/>
      <c r="T858" s="293"/>
      <c r="U858" s="293"/>
      <c r="V858" s="293"/>
      <c r="W858" s="293"/>
      <c r="X858" s="293"/>
      <c r="Y858" s="293"/>
      <c r="Z858" s="293"/>
      <c r="AA858" s="293"/>
      <c r="AB858" s="293"/>
      <c r="AC858" s="293"/>
      <c r="AD858" s="293"/>
      <c r="AE858" s="293"/>
      <c r="AF858" s="293"/>
    </row>
    <row r="859" ht="16.5" customHeight="1">
      <c r="A859" s="293"/>
      <c r="B859" s="385"/>
      <c r="C859" s="299"/>
      <c r="D859" s="293"/>
      <c r="E859" s="293"/>
      <c r="F859" s="293"/>
      <c r="G859" s="300"/>
      <c r="H859" s="293"/>
      <c r="I859" s="313"/>
      <c r="J859" s="313"/>
      <c r="K859" s="313"/>
      <c r="L859" s="313"/>
      <c r="M859" s="293"/>
      <c r="N859" s="293"/>
      <c r="O859" s="293"/>
      <c r="P859" s="293"/>
      <c r="Q859" s="293"/>
      <c r="R859" s="293"/>
      <c r="S859" s="293"/>
      <c r="T859" s="293"/>
      <c r="U859" s="293"/>
      <c r="V859" s="293"/>
      <c r="W859" s="293"/>
      <c r="X859" s="293"/>
      <c r="Y859" s="293"/>
      <c r="Z859" s="293"/>
      <c r="AA859" s="293"/>
      <c r="AB859" s="293"/>
      <c r="AC859" s="293"/>
      <c r="AD859" s="293"/>
      <c r="AE859" s="293"/>
      <c r="AF859" s="293"/>
    </row>
    <row r="860" ht="16.5" customHeight="1">
      <c r="A860" s="293"/>
      <c r="B860" s="385"/>
      <c r="C860" s="299"/>
      <c r="D860" s="293"/>
      <c r="E860" s="293"/>
      <c r="F860" s="293"/>
      <c r="G860" s="300"/>
      <c r="H860" s="293"/>
      <c r="I860" s="313"/>
      <c r="J860" s="313"/>
      <c r="K860" s="313"/>
      <c r="L860" s="313"/>
      <c r="M860" s="293"/>
      <c r="N860" s="293"/>
      <c r="O860" s="293"/>
      <c r="P860" s="293"/>
      <c r="Q860" s="293"/>
      <c r="R860" s="293"/>
      <c r="S860" s="293"/>
      <c r="T860" s="293"/>
      <c r="U860" s="293"/>
      <c r="V860" s="293"/>
      <c r="W860" s="293"/>
      <c r="X860" s="293"/>
      <c r="Y860" s="293"/>
      <c r="Z860" s="293"/>
      <c r="AA860" s="293"/>
      <c r="AB860" s="293"/>
      <c r="AC860" s="293"/>
      <c r="AD860" s="293"/>
      <c r="AE860" s="293"/>
      <c r="AF860" s="293"/>
    </row>
    <row r="861" ht="16.5" customHeight="1">
      <c r="A861" s="293"/>
      <c r="B861" s="385"/>
      <c r="C861" s="299"/>
      <c r="D861" s="293"/>
      <c r="E861" s="293"/>
      <c r="F861" s="293"/>
      <c r="G861" s="300"/>
      <c r="H861" s="293"/>
      <c r="I861" s="313"/>
      <c r="J861" s="313"/>
      <c r="K861" s="313"/>
      <c r="L861" s="313"/>
      <c r="M861" s="293"/>
      <c r="N861" s="293"/>
      <c r="O861" s="293"/>
      <c r="P861" s="293"/>
      <c r="Q861" s="293"/>
      <c r="R861" s="293"/>
      <c r="S861" s="293"/>
      <c r="T861" s="293"/>
      <c r="U861" s="293"/>
      <c r="V861" s="293"/>
      <c r="W861" s="293"/>
      <c r="X861" s="293"/>
      <c r="Y861" s="293"/>
      <c r="Z861" s="293"/>
      <c r="AA861" s="293"/>
      <c r="AB861" s="293"/>
      <c r="AC861" s="293"/>
      <c r="AD861" s="293"/>
      <c r="AE861" s="293"/>
      <c r="AF861" s="293"/>
    </row>
    <row r="862" ht="16.5" customHeight="1">
      <c r="A862" s="293"/>
      <c r="B862" s="385"/>
      <c r="C862" s="299"/>
      <c r="D862" s="293"/>
      <c r="E862" s="293"/>
      <c r="F862" s="293"/>
      <c r="G862" s="300"/>
      <c r="H862" s="293"/>
      <c r="I862" s="313"/>
      <c r="J862" s="313"/>
      <c r="K862" s="313"/>
      <c r="L862" s="313"/>
      <c r="M862" s="293"/>
      <c r="N862" s="293"/>
      <c r="O862" s="293"/>
      <c r="P862" s="293"/>
      <c r="Q862" s="293"/>
      <c r="R862" s="293"/>
      <c r="S862" s="293"/>
      <c r="T862" s="293"/>
      <c r="U862" s="293"/>
      <c r="V862" s="293"/>
      <c r="W862" s="293"/>
      <c r="X862" s="293"/>
      <c r="Y862" s="293"/>
      <c r="Z862" s="293"/>
      <c r="AA862" s="293"/>
      <c r="AB862" s="293"/>
      <c r="AC862" s="293"/>
      <c r="AD862" s="293"/>
      <c r="AE862" s="293"/>
      <c r="AF862" s="293"/>
    </row>
    <row r="863" ht="16.5" customHeight="1">
      <c r="A863" s="293"/>
      <c r="B863" s="385"/>
      <c r="C863" s="299"/>
      <c r="D863" s="293"/>
      <c r="E863" s="293"/>
      <c r="F863" s="293"/>
      <c r="G863" s="300"/>
      <c r="H863" s="293"/>
      <c r="I863" s="313"/>
      <c r="J863" s="313"/>
      <c r="K863" s="313"/>
      <c r="L863" s="313"/>
      <c r="M863" s="293"/>
      <c r="N863" s="293"/>
      <c r="O863" s="293"/>
      <c r="P863" s="293"/>
      <c r="Q863" s="293"/>
      <c r="R863" s="293"/>
      <c r="S863" s="293"/>
      <c r="T863" s="293"/>
      <c r="U863" s="293"/>
      <c r="V863" s="293"/>
      <c r="W863" s="293"/>
      <c r="X863" s="293"/>
      <c r="Y863" s="293"/>
      <c r="Z863" s="293"/>
      <c r="AA863" s="293"/>
      <c r="AB863" s="293"/>
      <c r="AC863" s="293"/>
      <c r="AD863" s="293"/>
      <c r="AE863" s="293"/>
      <c r="AF863" s="293"/>
    </row>
    <row r="864" ht="16.5" customHeight="1">
      <c r="A864" s="293"/>
      <c r="B864" s="385"/>
      <c r="C864" s="299"/>
      <c r="D864" s="293"/>
      <c r="E864" s="293"/>
      <c r="F864" s="293"/>
      <c r="G864" s="300"/>
      <c r="H864" s="293"/>
      <c r="I864" s="313"/>
      <c r="J864" s="313"/>
      <c r="K864" s="313"/>
      <c r="L864" s="313"/>
      <c r="M864" s="293"/>
      <c r="N864" s="293"/>
      <c r="O864" s="293"/>
      <c r="P864" s="293"/>
      <c r="Q864" s="293"/>
      <c r="R864" s="293"/>
      <c r="S864" s="293"/>
      <c r="T864" s="293"/>
      <c r="U864" s="293"/>
      <c r="V864" s="293"/>
      <c r="W864" s="293"/>
      <c r="X864" s="293"/>
      <c r="Y864" s="293"/>
      <c r="Z864" s="293"/>
      <c r="AA864" s="293"/>
      <c r="AB864" s="293"/>
      <c r="AC864" s="293"/>
      <c r="AD864" s="293"/>
      <c r="AE864" s="293"/>
      <c r="AF864" s="293"/>
    </row>
    <row r="865" ht="16.5" customHeight="1">
      <c r="A865" s="293"/>
      <c r="B865" s="385"/>
      <c r="C865" s="299"/>
      <c r="D865" s="293"/>
      <c r="E865" s="293"/>
      <c r="F865" s="293"/>
      <c r="G865" s="300"/>
      <c r="H865" s="293"/>
      <c r="I865" s="313"/>
      <c r="J865" s="313"/>
      <c r="K865" s="313"/>
      <c r="L865" s="313"/>
      <c r="M865" s="293"/>
      <c r="N865" s="293"/>
      <c r="O865" s="293"/>
      <c r="P865" s="293"/>
      <c r="Q865" s="293"/>
      <c r="R865" s="293"/>
      <c r="S865" s="293"/>
      <c r="T865" s="293"/>
      <c r="U865" s="293"/>
      <c r="V865" s="293"/>
      <c r="W865" s="293"/>
      <c r="X865" s="293"/>
      <c r="Y865" s="293"/>
      <c r="Z865" s="293"/>
      <c r="AA865" s="293"/>
      <c r="AB865" s="293"/>
      <c r="AC865" s="293"/>
      <c r="AD865" s="293"/>
      <c r="AE865" s="293"/>
      <c r="AF865" s="293"/>
    </row>
  </sheetData>
  <mergeCells count="104">
    <mergeCell ref="C3:I3"/>
    <mergeCell ref="B7:B13"/>
    <mergeCell ref="C7:C13"/>
    <mergeCell ref="D7:D13"/>
    <mergeCell ref="B14:B20"/>
    <mergeCell ref="C14:C20"/>
    <mergeCell ref="D14:D20"/>
    <mergeCell ref="C35:C41"/>
    <mergeCell ref="D35:D41"/>
    <mergeCell ref="B21:B27"/>
    <mergeCell ref="C21:C27"/>
    <mergeCell ref="D21:D27"/>
    <mergeCell ref="B28:B34"/>
    <mergeCell ref="C28:C34"/>
    <mergeCell ref="D28:D34"/>
    <mergeCell ref="B35:B41"/>
    <mergeCell ref="C59:C65"/>
    <mergeCell ref="D59:D65"/>
    <mergeCell ref="B42:B48"/>
    <mergeCell ref="C42:C48"/>
    <mergeCell ref="D42:D48"/>
    <mergeCell ref="B49:B58"/>
    <mergeCell ref="C49:C58"/>
    <mergeCell ref="D49:D58"/>
    <mergeCell ref="B59:B65"/>
    <mergeCell ref="C86:C97"/>
    <mergeCell ref="D86:D97"/>
    <mergeCell ref="B66:B75"/>
    <mergeCell ref="C66:C75"/>
    <mergeCell ref="D66:D75"/>
    <mergeCell ref="B76:B85"/>
    <mergeCell ref="C76:C85"/>
    <mergeCell ref="D76:D85"/>
    <mergeCell ref="B86:B97"/>
    <mergeCell ref="C197:C209"/>
    <mergeCell ref="D197:D209"/>
    <mergeCell ref="B173:B187"/>
    <mergeCell ref="C173:C187"/>
    <mergeCell ref="D173:D187"/>
    <mergeCell ref="B189:B195"/>
    <mergeCell ref="C189:C195"/>
    <mergeCell ref="D189:D195"/>
    <mergeCell ref="B197:B209"/>
    <mergeCell ref="C240:C246"/>
    <mergeCell ref="D240:D246"/>
    <mergeCell ref="B211:B222"/>
    <mergeCell ref="C211:C222"/>
    <mergeCell ref="D211:D222"/>
    <mergeCell ref="B224:B238"/>
    <mergeCell ref="C224:C238"/>
    <mergeCell ref="D224:D238"/>
    <mergeCell ref="B240:B246"/>
    <mergeCell ref="C277:C289"/>
    <mergeCell ref="D277:D289"/>
    <mergeCell ref="B248:B263"/>
    <mergeCell ref="C248:C263"/>
    <mergeCell ref="D248:D263"/>
    <mergeCell ref="B265:B269"/>
    <mergeCell ref="C265:C275"/>
    <mergeCell ref="D265:D275"/>
    <mergeCell ref="B277:B289"/>
    <mergeCell ref="C119:C133"/>
    <mergeCell ref="D119:D133"/>
    <mergeCell ref="B98:B107"/>
    <mergeCell ref="C98:C107"/>
    <mergeCell ref="D98:D107"/>
    <mergeCell ref="B108:B118"/>
    <mergeCell ref="C108:C118"/>
    <mergeCell ref="D108:D118"/>
    <mergeCell ref="B119:B133"/>
    <mergeCell ref="B134:B146"/>
    <mergeCell ref="C134:C146"/>
    <mergeCell ref="D134:D146"/>
    <mergeCell ref="B148:B160"/>
    <mergeCell ref="C148:C160"/>
    <mergeCell ref="D148:D160"/>
    <mergeCell ref="B162:B171"/>
    <mergeCell ref="C162:C171"/>
    <mergeCell ref="D162:D171"/>
    <mergeCell ref="A173:A174"/>
    <mergeCell ref="E173:E174"/>
    <mergeCell ref="F173:F174"/>
    <mergeCell ref="G173:G174"/>
    <mergeCell ref="L173:L174"/>
    <mergeCell ref="M173:M174"/>
    <mergeCell ref="N173:N174"/>
    <mergeCell ref="O173:O174"/>
    <mergeCell ref="P173:P174"/>
    <mergeCell ref="Q173:Q174"/>
    <mergeCell ref="R173:R174"/>
    <mergeCell ref="S173:S174"/>
    <mergeCell ref="AA173:AA174"/>
    <mergeCell ref="AB173:AB174"/>
    <mergeCell ref="AC173:AC174"/>
    <mergeCell ref="AD173:AD174"/>
    <mergeCell ref="AE173:AE174"/>
    <mergeCell ref="AF173:AF174"/>
    <mergeCell ref="T173:T174"/>
    <mergeCell ref="U173:U174"/>
    <mergeCell ref="V173:V174"/>
    <mergeCell ref="W173:W174"/>
    <mergeCell ref="X173:X174"/>
    <mergeCell ref="Y173:Y174"/>
    <mergeCell ref="Z173:Z174"/>
  </mergeCells>
  <dataValidations>
    <dataValidation type="list" allowBlank="1" sqref="H176:K178">
      <formula1>"GetDailyCash,UpdateDailyCash,CreateDoneAwayOrder,PricingInput,CreateOrderPTT,TradeNewSubOrder,CreateNewSubOrder,Copy of Data 1,UpdateBeta,Copy of Data 2,UpdateBetage,Copy of Data 3,Copy of Data 4,Copy of Data 5,Copy of Data 6,Copy of Data 6_conflict175913"&amp;"9689"</formula1>
    </dataValidation>
    <dataValidation type="list" allowBlank="1" sqref="H11:K13">
      <formula1>"CalculatePTT,VerifyPTT,CreateDoneAwayOrder,PricingInput,UpdateDailyCash,GetDailyCash,Copy of Data,Copy of Data 1,Copy of Data 2,Copy of Data 3"</formula1>
    </dataValidation>
    <dataValidation type="list" allowBlank="1" sqref="F74 F84 F96 F106">
      <formula1>"GetDataClosing,ManualClosing,UnwindClosing,VerifyClosedTrades,VerifyLongPositionsGrid,VerifyShortPositionsGrid,SelectTradeUnexpiredUnsettled,CashSettlementAtCost,CashSettlementAtZeroPrice,CashSettlementAtClosingDtSpotPx,PhysicalSettlement,AutomaticClosing"&amp;",Expire,ExerciseAssignment,ExerciseAssignmentAtZero,SwapExpireAndRollover,SwapExpire,VerifyExpiredSettledGrid,VerifyUnExpiredUnSettledGrid,UnWindTradeSettlement,CloseOrder,VerifyCloseOrder,UnWindCloseOrder,ClosingCleanUp,CloseClosingUI,,,,,,,,,,,,,,,,,,,,"&amp;",,,,,,,,,,,,,,,,,,,,,,,,,,,,,,,,,,,,,,,,,,,,,,,,,,,,,,,,,,,,,,,,,,,,,,,,,,,,,,,,,,,,,,,,,,,,,,,,,,,,,,,,,,,,,,,,,,,,,,,,,,,,,,,,,,,,,,,,,,,,,,,,,,,,,,,,,,,,,,,,,,,,,,,,,,,,,,,,,,,,,,,,,,,,,,,,,,,,,,,,,,,,,,,,,,,,,,,,,,,,,,,,,,,,,,,,,,,,,,,,,,,,,,,,,,,,,,,"&amp;",,,,,,,,,,,,,,,,,,,,,,,,,,,,,,,,,,,,,,,,,,,,,,,,,,,,,,,,,,,,,,,,,,,,,,,,,,,,,,,,,,,,,,,,,,,,,,,,,,,,,,,,,,,,,,,,,,,,,,,,,,,,,,,,,,,,,,,,,,,,,,,,,,,,,,,,,,,,,,,,,,,,,,,,,,,,,,,,,,,,,,,,,,,,,,,,,,,,,"</formula1>
    </dataValidation>
    <dataValidation type="list" allowBlank="1" sqref="H32:K34 H46:K48">
      <formula1>"CalculatePTT,VerifyPTT,GetDailyCash,UpdateDailyCash,CreateDoneAwayOrder,PricingInput,Copy of Data,Copy of Data 1,Copy of Data 2"</formula1>
    </dataValidation>
    <dataValidation type="list" allowBlank="1" sqref="H273:K273">
      <formula1>"GetDailyCash,UpdateDailyCash,CalculatePTT,VerifyPTT,CreateDoneAwayOrder,PricingInput,CalculatePTT1"</formula1>
    </dataValidation>
    <dataValidation type="list" allowBlank="1" sqref="H87:K87">
      <formula1>"CreateDoneAwayOrder,PricingInput,UpdateDailyCash,TradePTT,CheckAllocatedGroups,VerifyLongPositionsGrid,CheckPortfolioManagement,GetDailyCash,CreateDoneAwayOrder1,Copy of Data"</formula1>
    </dataValidation>
    <dataValidation type="list" allowBlank="1" sqref="H198:K198 H212:K212">
      <formula1>"CleanUp,CreateDoneAwayOrder"</formula1>
    </dataValidation>
    <dataValidation type="list" allowBlank="1" sqref="H232:K232">
      <formula1>"CleanUp,GetDailyCash,UpdateDailyCash,CreateDoneAwayOrder,PricingInput,CalculatePTT,VerifyPTT,TradePTT,BulkChangeTradeDoneAway"</formula1>
    </dataValidation>
    <dataValidation type="list" allowBlank="1" sqref="H135:K135">
      <formula1>"PricingInput,CalculatePTT,UpdateDailyCash,VerifyPTT,CalculatePTT1,VerifyPTT1,CalculatePTT2,VerifyPTT2,CreateDoneAwayOrder,GetDailyCash,CalculatePTT3,VerifyPTT3,Copy of Data"</formula1>
    </dataValidation>
    <dataValidation type="list" allowBlank="1" sqref="H110:K110">
      <formula1>"CreateDoneAwayOrder,PricingInput,CalculatePTT,VerifyPTT,CalculatePTT1,VerifyPTT1,CalculatePTT2,VerifyPTT2,GetDailyCash,UpdateDailyCash,Copy of Data,Copy of Data 1"</formula1>
    </dataValidation>
    <dataValidation type="list" allowBlank="1" sqref="F187:F188 F222 F238 F263">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99:K99">
      <formula1>"CreateDoneAwayOrder,PricingInput,UpdateDailyCash,CheckAllocatedGroups,VerifyLongPositionsGrid,CheckPortfolioManagement,TradePTT,GetDailyCash,CreateDoneAwayOrder1,Copy of Data"</formula1>
    </dataValidation>
    <dataValidation type="list" allowBlank="1" sqref="H237:K237">
      <formula1>"CleanUp,GetDailyCash,UpdateDailyCash,CreateDoneAwayOrder,PricingInput,CalculatePTT,VerifyPTT,TradePTT,BulkChangeTradeDoneAway,GetDataAllocation,CheckAllocatedGroups,VerifyLongPositionsGrid,VerifyShortPositionsGrid"</formula1>
    </dataValidation>
    <dataValidation type="list" allowBlank="1" sqref="H22:K23 H36:K37 H60:K60">
      <formula1>"CalculatePTT,VerifyPTT,GetDailyCash,UpdateDailyCash,CreateDoneAwayOrder,PricingInput"</formula1>
    </dataValidation>
    <dataValidation type="list" allowBlank="1" sqref="H56:K56">
      <formula1>"GetDailyCash,UpdateDailyCash,CreateDoneAwayOrder,PricingInput,CreateOrderPTT,VerifyOrder,CalculatePTT"</formula1>
    </dataValidation>
    <dataValidation type="list" allowBlank="1" sqref="F81 F93 F103 F113:F118 F123 F139:F146 F153:F160">
      <formula1>"SetAccountFactor,EditMultiTT,SelectMultiTT,OpenMultiTTFromPTT,VerifyPTT,TradePTT,CreateOrderPTT,StageOrderUsingPTT,TradeUsingPTT,CalculatePTT,,,,,,,,,,,,,,,,,,,,,,,,,,,,,,,,,,,,,,,,,,,,,,,,,,,,,,,,,,,,,,,,,,,,,,,,,,,,,,,,,,,,,,,,,,,,,,,,,,,,,,,,,,,,,,,,,,"&amp;",,,,,,,,,,,,,,,,,,,,,,,,,,,,,,,,,,,,,,,,,,,,,,,,,,,,,,,,,,,,,,,,,,,,,,,,,,,,,,,,,,,,,,,,,,,,,,,,,,,,,,,,,,,,,,,,,,,,,,,,,,,,,,,,,,,,,,,,,,,,,,,,,,,,,,,,,,,,,,,,,,,,,,,,,,,,,,,,,,,,,,,,,,,,,,,,,,,,,,,,,,,,,,,,,,,,,,,,,,,,,,,,,,,,,,,,,,,,,,,,,,,,,,,,,,,,,,,"&amp;",,,,,,,,,,,,,,,,,,,,,,,,,,,,,,,,,,,,,,,,,,,,,,,,,,,,,,,,,,,,,,,,,,,,,,,,,,,,,,,,,,,,,,,,,,,,,,,,,,,,,,,,,,,,,,,,,,,,,,"</formula1>
    </dataValidation>
    <dataValidation type="list" allowBlank="1" sqref="H221:K221">
      <formula1>"CleanUp,CreateDoneAwayOrder,PricingInput,GetDailyCash,UpdateDailyCash,TradePTT,CreateDoneAwayOrder1,CheckAllocatedGroups,VerifyLongPositionsGrid"</formula1>
    </dataValidation>
    <dataValidation type="list" allowBlank="1" sqref="H278:K278">
      <formula1>"GetDailyCash"</formula1>
    </dataValidation>
    <dataValidation type="list" allowBlank="1" sqref="H269:K269">
      <formula1>"GetDailyCash,UpdateDailyCash,Copy of Data,CalculatePTT,Copy of Data 1,VerifyPTT"</formula1>
    </dataValidation>
    <dataValidation type="list" allowBlank="1" sqref="F77:F78 F89:F90 F101:F102 F111:F112 F120:F121 F137:F138 F151:F152">
      <formula1>"UpdateBeta,UpdateDailyCash,UpdateForexConversion,UpdateMarkPrice,CleanUp,GetMarkPriceData,UpdateForwardPoints,GetForwardPoints,UpdateForwardPoints,GetForexConversion,DeleteNAV,GetDailyCash,GetDailyOutstandings,GetDailyVolatility,GetDailyDividendYield,GetD"&amp;"ailyBeta,GetDailyTradingVolume,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H270:K270">
      <formula1>"GetDailyCash,UpdateDailyCash,CalculatePTT,VerifyPTT,CreateDoneAwayOrder"</formula1>
    </dataValidation>
    <dataValidation type="list" allowBlank="1" sqref="H57:K57">
      <formula1>"GetDailyCash,UpdateDailyCash,CreateDoneAwayOrder,PricingInput,CreateOrderPTT,VerifyOrder,CalculatePTT,VerifyPTT,SelectPTTRecord"</formula1>
    </dataValidation>
    <dataValidation type="list" allowBlank="1" sqref="H81:K81">
      <formula1>"TradePTT,BulkChangeTradeDoneAway,CheckAllocatedGroups,VerifyLongPositionsGrid,CheckPortfolioManagement,GetDailyCash,UpdateDailyCash,CreateDoneAwayOrder,PricingInput,GetDataAllocation,GetDataClosing,Copy of Data,CleanUp,Copy of Data 1,Copy of Data 2,Copy o"&amp;"f Data 3,Copy of Data 4,Copy of Data 5"</formula1>
    </dataValidation>
    <dataValidation type="list" allowBlank="1" sqref="H83:K83">
      <formula1>"TradePTT,BulkChangeTradeDoneAway,CheckAllocatedGroups,VerifyLongPositionsGrid,CheckPortfolioManagement,GetDailyCash,UpdateDailyCash,CreateDoneAwayOrder,PricingInput,GetDataAllocation,GetDataClosing,Copy of Data,CleanUp,Copy of Data 1,Copy of Data 2,Copy o"&amp;"f Data 3,Copy of Data 4,Copy of Data 5,Copy of Data 6,Copy of Data 7"</formula1>
    </dataValidation>
    <dataValidation type="list" allowBlank="1" sqref="H218:K219">
      <formula1>"CleanUp,CreateDoneAwayOrder,PricingInput,GetDailyCash,UpdateDailyCash,TradePTT"</formula1>
    </dataValidation>
    <dataValidation type="list" allowBlank="1" sqref="H154:K154">
      <formula1>"PricingInput,UpdateDailyCash,CalculatePTT,VerifyPTT,CalculatePTT1,VerifyPTT1,CreateDoneAwayOrder,GetDailyCash,CalculatePTT2,VerifyPTT2,CalculatePTT3,VerifyPTT3,Copy of Data"</formula1>
    </dataValidation>
    <dataValidation type="list" allowBlank="1" sqref="H153:K153">
      <formula1>"PricingInput,UpdateDailyCash,CalculatePTT,VerifyPTT,CalculatePTT1,VerifyPTT1,CreateDoneAwayOrder,GetDailyCash,CalculatePTT2,VerifyPTT2,CalculatePTT3,VerifyPTT3,Copy of Data,Copy of Data 1"</formula1>
    </dataValidation>
    <dataValidation type="list" allowBlank="1" sqref="H185:K185">
      <formula1>"GetDailyCash,UpdateDailyCash,CreateDoneAwayOrder,PricingInput,CreateOrderPTT,TradeNewSubOrder,CreateNewSubOrder,Copy of Data 1,UpdateBeta,Copy of Data 2,UpdateBetage,Copy of Data 3,Copy of Data 4,Copy of Data 5,Copy of Data 6,Copy of Data 6_conflict175913"&amp;"9689,CalculatePTT,Copy of Data 7,Copy of Data 8,VerifyOrder,TradePTT,GetDataAllocation"</formula1>
    </dataValidation>
    <dataValidation type="list" allowBlank="1" sqref="H141:K142">
      <formula1>"PricingInput,CalculatePTT,UpdateDailyCash,VerifyPTT,CalculatePTT1,VerifyPTT1,CalculatePTT2,VerifyPTT2,CreateDoneAwayOrder,GetDailyCash,CalculatePTT3,VerifyPTT3"</formula1>
    </dataValidation>
    <dataValidation type="list" allowBlank="1" sqref="H267:K267">
      <formula1>"Copy of Data,Copy of Data 1,CreateDoneAwayOrder,VerifyPTT,Copy of Data 2,GetDailyCash,Copy of Data 3,UpdateDailyCash"</formula1>
    </dataValidation>
    <dataValidation type="list" allowBlank="1" sqref="H88:K88">
      <formula1>"CreateDoneAwayOrder,PricingInput,UpdateDailyCash,TradePTT,CheckAllocatedGroups,VerifyLongPositionsGrid,CheckPortfolioManagement,GetDailyCash,CreateDoneAwayOrder1,Copy of Data,Copy of Data 1"</formula1>
    </dataValidation>
    <dataValidation type="list" allowBlank="1" sqref="H174:K174">
      <formula1>"CleanUp"</formula1>
    </dataValidation>
    <dataValidation type="list" allowBlank="1" sqref="H121:K122">
      <formula1>"GetDailyCash,UpdateDailyCash,PricingInput,CreateDoneAwayOrder,TradePTT,Unallocate,SelectUnallocatedGroup,EnterAccountValuesToAllocate,EnterAllocatePreference,SelectUnallocatedGroup1,Unallocate1,EnterAllocatePreference1,CreateDoneAwayOrder1,DoneAwayUsingMT"&amp;"T,Copy of Data,Copy of Data 1"</formula1>
    </dataValidation>
    <dataValidation type="list" allowBlank="1" sqref="F287 F289">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VerifyViewAllocationDetails,,,,,,,,,,,,,,,,,,,,,,,,,,,,,,,,,,,,,,,,,,,,,,,,,,,,,,,,,,,,,,,,,,,,,,,,,,,,,,,,,,,,,,,,,,,,,,,,,,,,,,,,,,,,,,,,,"&amp;",,,,,,,,,,,,,,,,,,,,,,,,,,,,,,,,,,,,,,,,,,,,,,,,,,,,,,,,,,,,,,,,,,,,,,,,,,,,,,,,,,,,,,,,,,,,,,,,,,,,,,,,,,,,,,,,,,,,,,,,,,,,,,,,,,,,,,,,,,,,,,,,,,,,,,,,,,,,,,,,,,,,,,,,,,,,,,,,,,,,,,,,,,,,,,,,,,,,,,,,,,,,,,,,,,,,,,,,,,,,,,,,,,,,,,,,,,,,,,,,,,,,,,,,,,,,,,,"&amp;",,,,,,,,,,,,,,,,,,,,,,,,,,,,,,,,,,,,,,,,,,,,,,,,,,,,,,,,,,,,,,,,,,,,,,,,,,,,,,,,,,,,,,,"</formula1>
    </dataValidation>
    <dataValidation type="list" allowBlank="1" sqref="H50:K51">
      <formula1>"CreateOrderPTT,VerifyOrder,GetDailyCash,UpdateDailyCash,CreateDoneAwayOrder,PricingInput,Copy of Data"</formula1>
    </dataValidation>
    <dataValidation type="list" allowBlank="1" sqref="H284:K284">
      <formula1>"GetDailyCash,UpdateDailyCash,CreateDoneAwayOrder,PricingInput,GetForexConversion,UpdateForexConversion,CalculatePTT"</formula1>
    </dataValidation>
    <dataValidation type="list" allowBlank="1" sqref="H77:K78">
      <formula1>"TradePTT,BulkChangeTradeDoneAway,CheckAllocatedGroups,VerifyLongPositionsGrid,CheckPortfolioManagement,GetDailyCash,UpdateDailyCash,CreateDoneAwayOrder,PricingInput,GetDataAllocation,GetDataClosing,Copy of Data,CleanUp,Copy of Data 1"</formula1>
    </dataValidation>
    <dataValidation type="list" allowBlank="1" sqref="H72:K72">
      <formula1>"TradePTT,CreateDoneAwayOrder,CheckPortfolioManagement,CheckAllocatedGroups,VerifyLongPositionsGrid,GetDailyCash,UpdateDailyCash,PricingInput,CreateDoneAwayOrder1"</formula1>
    </dataValidation>
    <dataValidation type="list" allowBlank="1" sqref="H80:K80">
      <formula1>"TradePTT,BulkChangeTradeDoneAway,CheckAllocatedGroups,VerifyLongPositionsGrid,CheckPortfolioManagement,GetDailyCash,UpdateDailyCash,CreateDoneAwayOrder,PricingInput,GetDataAllocation,GetDataClosing,Copy of Data,CleanUp,Copy of Data 1,Copy of Data 2,Copy o"&amp;"f Data 3,Copy of Data 4"</formula1>
    </dataValidation>
    <dataValidation type="list" allowBlank="1" sqref="H286:K286">
      <formula1>"GetDailyCash,UpdateDailyCash,CreateDoneAwayOrder,PricingInput,GetForexConversion,UpdateForexConversion,CalculatePTT,VerifyPTT,CreateOrderPTT"</formula1>
    </dataValidation>
    <dataValidation type="list" allowBlank="1" sqref="H69:K71">
      <formula1>"TradePTT,CreateDoneAwayOrder,CheckPortfolioManagement,CheckAllocatedGroups,VerifyLongPositionsGrid,GetDailyCash,UpdateDailyCash,PricingInput,CreateDoneAwayOrder1,GetDataAllocation,GetDataClosing,Copy of Data,Copy of Data 1,Copy of Data 2"</formula1>
    </dataValidation>
    <dataValidation type="list" allowBlank="1" sqref="H190:K190 H225:K225 H249:K249">
      <formula1>"CleanUp,GetDailyCash"</formula1>
    </dataValidation>
    <dataValidation type="list" allowBlank="1" sqref="H84:K84">
      <formula1>"TradePTT,BulkChangeTradeDoneAway,CheckAllocatedGroups,VerifyLongPositionsGrid,CheckPortfolioManagement,GetDailyCash,UpdateDailyCash,CreateDoneAwayOrder,PricingInput,GetDataAllocation,GetDataClosing,Copy of Data,CleanUp,Copy of Data 1,Copy of Data 2,Copy o"&amp;"f Data 3,Copy of Data 4,Copy of Data 5,Copy of Data 6,Copy of Data 7,Copy of Data 8"</formula1>
    </dataValidation>
    <dataValidation type="list" allowBlank="1" sqref="F11 F18 F25 F32 F39 F46 F53 F63 F70 F80 F88 F100 F110 F136 F150 F178 F193 F199 F213 F228 F244 F252 F271 F281">
      <formula1>"PricingInput,UpdateSharesOutstanding,EODTPreferences,LiveData,,,,,,,,,,,,,,,,,,,,,,,,,,,,,,,,,,,,,,,,,,,,,,,,,,,,,,,,,,,,,,,,,,,,,,,,,,,,,,,,,,,,,,,,,,,,,,,,,,,,,,,,,,,,,,,,,,,,,,,,,,,,,,,,,,,,,,,,,,,,,,,,,,,,,,,,,,,,,,,,,,,,,,,,,,,,,,,,,,,,,,,,,,,,,,,,,,"&amp;",,,,,,,,,,,,,,,,,,,,,,,,,,,,,,,,,,,,,,,,,,,,,,,,,,,,,,,,,,,,,,,,,,,,,,,,,,,,,,,,,,,,,,,,,,,,,,,,,,,,,,,,,,,,,,,,,,,,,,,,,,,,,,,,,,,,,,,,,,,,,,,,,,,,,,,,,,,,,,,,,,,,,,,,,,,,,,,,,,,,,,,,,,,,,,,,,,,,,,,,,,,,,,,,,,,,,,,,,,,,,,,,,,,,,,,,,,,,,,,,,,,,,,,,,,,,,,,"&amp;",,,,,,,,,,,,,,,,,,,,,,,,,,,,,,,,,,,,,,,,,,,,"</formula1>
    </dataValidation>
    <dataValidation type="list" allowBlank="1" sqref="H274:K274">
      <formula1>"GetDailyCash,UpdateDailyCash,CalculatePTT,VerifyPTT,CreateDoneAwayOrder,PricingInput,CalculatePTT1,VerifyPTT1"</formula1>
    </dataValidation>
    <dataValidation type="list" allowBlank="1" sqref="H24:K27 H29:K29 H43:K44 H62:K62">
      <formula1>"CalculatePTT,VerifyPTT,GetDailyCash,UpdateDailyCash,CreateDoneAwayOrder,PricingInput,Copy of Data"</formula1>
    </dataValidation>
    <dataValidation type="list" allowBlank="1" sqref="H92:K92">
      <formula1>"CreateDoneAwayOrder,PricingInput,GetDailyCash,UpdateDailyCash,TradePTT,CreateDoneAwayOrder1,CheckAllocatedGroups,VerifyLongPositionsGrid,CheckPortfolioManagement,CalculatePTT,VerifyPTT"</formula1>
    </dataValidation>
    <dataValidation type="list" allowBlank="1" sqref="H280:K280">
      <formula1>"GetDailyCash,UpdateDailyCash,CreateDoneAwayOrder"</formula1>
    </dataValidation>
    <dataValidation type="list" allowBlank="1" sqref="H54:K55">
      <formula1>"CreateOrderPTT,VerifyOrder,GetDailyCash,UpdateDailyCash,CreateDoneAwayOrder,PricingInput,Copy of Data,Copy of Data 1,Copy of Data 2"</formula1>
    </dataValidation>
    <dataValidation type="list" allowBlank="1" sqref="H85:K85">
      <formula1>"TradePTT,BulkChangeTradeDoneAway,CheckAllocatedGroups,VerifyLongPositionsGrid,CheckPortfolioManagement,GetDailyCash,UpdateDailyCash,CreateDoneAwayOrder,PricingInput,GetDataAllocation,GetDataClosing,Copy of Data,CleanUp,Copy of Data 1,Copy of Data 2,Copy o"&amp;"f Data 3,Copy of Data 4,Copy of Data 5,Copy of Data 6,Copy of Data 7,Copy of Data 8,Copy of Data 9"</formula1>
    </dataValidation>
    <dataValidation type="list" allowBlank="1" sqref="H233:K233">
      <formula1>"CleanUp,GetDailyCash,UpdateDailyCash,CreateDoneAwayOrder,PricingInput,CalculatePTT,VerifyPTT,TradePTT,BulkChangeTradeDoneAway,GetDataAllocation"</formula1>
    </dataValidation>
    <dataValidation type="list" allowBlank="1" sqref="E6:E70 E72:E173 E175:E865">
      <formula1>'_Modules'!$A$4:$A865</formula1>
    </dataValidation>
    <dataValidation type="list" allowBlank="1" sqref="H82:K82">
      <formula1>"TradePTT,BulkChangeTradeDoneAway,CheckAllocatedGroups,VerifyLongPositionsGrid,CheckPortfolioManagement,GetDailyCash,UpdateDailyCash,CreateDoneAwayOrder,PricingInput,GetDataAllocation,GetDataClosing,Copy of Data,CleanUp,Copy of Data 1,Copy of Data 2,Copy o"&amp;"f Data 3,Copy of Data 4,Copy of Data 5,Copy of Data 6"</formula1>
    </dataValidation>
    <dataValidation type="list" allowBlank="1" sqref="H136:K136">
      <formula1>"PricingInput,CalculatePTT,UpdateDailyCash,VerifyPTT,CalculatePTT1,VerifyPTT1,CalculatePTT2,VerifyPTT2,CreateDoneAwayOrder,GetDailyCash,CalculatePTT3,VerifyPTT3,Copy of Data,Copy of Data 1"</formula1>
    </dataValidation>
    <dataValidation type="list" allowBlank="1" sqref="H194:K194 H229:K229">
      <formula1>"CleanUp,GetDailyCash,UpdateDailyCash,CreateDoneAwayOrder,PricingInput,CalculatePTT"</formula1>
    </dataValidation>
    <dataValidation type="list" allowBlank="1" sqref="H109:K109">
      <formula1>"CreateDoneAwayOrder,PricingInput,CalculatePTT,VerifyPTT,CalculatePTT1,VerifyPTT1,CalculatePTT2,VerifyPTT2,GetDailyCash,UpdateDailyCash"</formula1>
    </dataValidation>
    <dataValidation type="list" allowBlank="1" sqref="H279:K279">
      <formula1>"GetDailyCash,UpdateDailyCash"</formula1>
    </dataValidation>
    <dataValidation type="list" allowBlank="1" sqref="H15:K15">
      <formula1>"CalculatePTT,VerifyPTT,UpdateDailyCash,GetDailyCash,CreateDoneAwayOrder,PricingInput,Copy of Data"</formula1>
    </dataValidation>
    <dataValidation type="list" allowBlank="1" sqref="H193:K193 H228:K228 H252:K252">
      <formula1>"CleanUp,GetDailyCash,UpdateDailyCash,CreateDoneAwayOrder,PricingInput"</formula1>
    </dataValidation>
    <dataValidation type="list" allowBlank="1" sqref="H222:K222">
      <formula1>"CleanUp,CreateDoneAwayOrder,PricingInput,GetDailyCash,UpdateDailyCash,TradePTT,CreateDoneAwayOrder1,CheckAllocatedGroups,VerifyLongPositionsGrid,CheckPortfolioManagement"</formula1>
    </dataValidation>
    <dataValidation type="list" allowBlank="1" sqref="H38:K40">
      <formula1>"CalculatePTT,VerifyPTT,GetDailyCash,UpdateDailyCash,CreateDoneAwayOrder,PricingInput,Copy of Data,Copy of Data_conflict968599477"</formula1>
    </dataValidation>
    <dataValidation type="list" allowBlank="1" sqref="H16:K20">
      <formula1>"CalculatePTT,VerifyPTT,UpdateDailyCash,GetDailyCash,CreateDoneAwayOrder,PricingInput,Copy of Data,Copy of Data 1"</formula1>
    </dataValidation>
    <dataValidation type="list" allowBlank="1" sqref="H181:K181">
      <formula1>"GetDailyCash,UpdateDailyCash,CreateDoneAwayOrder,PricingInput,CreateOrderPTT,TradeNewSubOrder,CreateNewSubOrder,Copy of Data 1,UpdateBeta,Copy of Data 2,UpdateBetage,Copy of Data 3,Copy of Data 4,Copy of Data 5,Copy of Data 6,Copy of Data 6_conflict175913"&amp;"9689,CalculatePTT,Copy of Data 7,Copy of Data 8"</formula1>
    </dataValidation>
    <dataValidation type="list" allowBlank="1" sqref="H186:K186">
      <formula1>"GetDailyCash,UpdateDailyCash,CreateDoneAwayOrder,PricingInput,CreateOrderPTT,TradeNewSubOrder,CreateNewSubOrder,Copy of Data 1,UpdateBeta,Copy of Data 2,UpdateBetage,Copy of Data 3,Copy of Data 4,Copy of Data 5,Copy of Data 6,Copy of Data 6_conflict175913"&amp;"9689,CalculatePTT,Copy of Data 7,Copy of Data 8,VerifyOrder,TradePTT,GetDataAllocation,CheckAllocatedGroups"</formula1>
    </dataValidation>
    <dataValidation type="list" allowBlank="1" sqref="H195:K195 H230:K230">
      <formula1>"CleanUp,GetDailyCash,UpdateDailyCash,CreateDoneAwayOrder,PricingInput,CalculatePTT,VerifyPTT"</formula1>
    </dataValidation>
    <dataValidation type="list" allowBlank="1" sqref="H149:K149 G158 G159:J171">
      <formula1>"PricingInput,UpdateDailyCash,CalculatePTT,VerifyPTT,CalculatePTT1,VerifyPTT1,CreateDoneAwayOrder,GetDailyCash,CalculatePTT2,VerifyPTT2,CalculatePTT3,VerifyPTT3,Copy of Data,Copy of Data 1,Copy of Data 2,Copy of Data 3,Copy of Data 4,Copy of Data 5"</formula1>
    </dataValidation>
    <dataValidation type="list" allowBlank="1" sqref="H259:K259">
      <formula1>"CleanUp,GetDailyCash,UpdateDailyCash,CreateDoneAwayOrder,PricingInput,CreateOrderPTT,TradeNewSubOrder"</formula1>
    </dataValidation>
    <dataValidation type="list" allowBlank="1" sqref="H155:K156 K159:K160">
      <formula1>"PricingInput,UpdateDailyCash,CalculatePTT,VerifyPTT,CalculatePTT1,VerifyPTT1,CreateDoneAwayOrder,GetDailyCash,CalculatePTT2,VerifyPTT2,CalculatePTT3,VerifyPTT3"</formula1>
    </dataValidation>
    <dataValidation type="list" allowBlank="1" sqref="H201:K201 H215:K215">
      <formula1>"CleanUp,CreateDoneAwayOrder,PricingInput,GetDailyCash,UpdateDailyCash"</formula1>
    </dataValidation>
    <dataValidation type="list" allowBlank="1" sqref="H282:K282">
      <formula1>"GetDailyCash,UpdateDailyCash,CreateDoneAwayOrder,PricingInput,Copy of Data,GetForexConversion"</formula1>
    </dataValidation>
    <dataValidation type="list" allowBlank="1" sqref="H35:K35">
      <formula1>"CalculatePTT,VerifyPTT,GetDailyCash,Copy of Data_conflict493139413"</formula1>
    </dataValidation>
    <dataValidation type="list" allowBlank="1" sqref="H30:K31 H45:K45 H61:K61 H63:K65">
      <formula1>"CalculatePTT,VerifyPTT,GetDailyCash,UpdateDailyCash,CreateDoneAwayOrder,PricingInput,Copy of Data,Copy of Data 1"</formula1>
    </dataValidation>
    <dataValidation type="list" allowBlank="1" sqref="H96:K97">
      <formula1>"CreateDoneAwayOrder,PricingInput,UpdateDailyCash,TradePTT,CheckAllocatedGroups,VerifyLongPositionsGrid,CheckPortfolioManagement,GetDailyCash,CreateDoneAwayOrder1,Copy of Data,Copy of Data 1,Copy of Data 2,Copy of Data 3,Copy of Data 4,Copy of Data 5"</formula1>
    </dataValidation>
    <dataValidation type="list" allowBlank="1" sqref="F56 F179:F181 F183 F194:F195 F202:F209 F216:F218 F229:F231 F245:F246 F255:F257 F268:F269 F272:F275 F284:F286">
      <formula1>"CalculatePTT,TradeUsingPTT,StageOrderUsingPTT,CreateOrderPTT,TradePTT,VerifyPTT,OpenMultiTTFromPTT,SelectMultiTT,EditMultiTT,SetAccountFactor,SetPTTPreference,SetLongShortPTTPreference,,,,,,,,,,,,,,,,,,,,,,,,,,,,,,,,,,,,,,,,,,,,,,,,,,,,,,,,,,,,,,,,,,,,,,,"&amp;",,,,,,,,,,,,,,,,,,,,,,,,,,,,,,,,,,,,,,,,,,,,,,,,,,,,,,,,,,,,,,,,,,,,,,,,,,,,,,,,,,,,,,,,,,,,,,,,,,,,,,,,,,,,,,,,,,,,,,,,,,,,,,,,,,,,,,,,,,,,,,,,,,,,,,,,,,,,,,,,,,,,,,,,,,,,,,,,,,,,,,,,,,,,,,,,,,,,,,,,,,,,,,,,,,,,,,,,,,,,,,,,,,,,,,,,,,,,,,,,,,,,,,,,,,,,,,,"&amp;",,,,,,,,,,,,,,,,,,,,,,,,,,,,,,,,,,,,,,,,,,,,,,,,,,,,,,,,,,,,,,,,,,,,,,,,,,,,,,,,,,,,,,,,,,,,,,,,,,,,,,,,,,,,,,,,,,,,,,,,,,,,,,,,,,,,,,,,,,,,,,,,,,,,,,,,,,,,,,,"</formula1>
    </dataValidation>
    <dataValidation type="list" allowBlank="1" sqref="F172:F173 F185:F186 F189 F196:F197 F211 F220 F223:F224 F233:F234 F239:F240 F248 F261:F262 F265 F276:F277">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245:K245">
      <formula1>"GetDailyCash,UpdateDailyCash,CreateDoneAwayOrder,Copy of Data,Copy of Data 1,Copy of Data 2,Copy of Data 3,PricingInput,Copy of Data 4,CalculatePTT"</formula1>
    </dataValidation>
    <dataValidation type="list" allowBlank="1" sqref="H216:K216">
      <formula1>"CleanUp,CreateDoneAwayOrder,PricingInput,GetDailyCash,UpdateDailyCash,TradePTT,CreateDoneAwayOrder1,CheckAllocatedGroups,VerifyLongPositionsGrid,CheckPortfolioManagement,CalculatePTT"</formula1>
    </dataValidation>
    <dataValidation type="list" allowBlank="1" sqref="H271:K272">
      <formula1>"GetDailyCash,UpdateDailyCash,CalculatePTT,VerifyPTT,CreateDoneAwayOrder,PricingInput"</formula1>
    </dataValidation>
    <dataValidation type="list" allowBlank="1" sqref="F6">
      <formula1>"DeleteClientDataUsingScript,DeleteClientData,,,,,,,,,,,,,,,,,,,,,,,,,,,,,,,,,,,,,,,,,,,,,,,,,,,,,,,,,,,,,,,,,,,,,,,,,,,,,,,,,,,,,,,,,,,,,,,,,,,,,,,,,,,,,,,,,,,,,,,,,,,,,,,,,,,,,,,,,,,,,,,,,,,,,,,,,,,,,,,,,,,,,,,,,,,,,,,,,,,,,,,,,,,,,,,,,,,,,,,,,,,,,,,,,,,"&amp;",,,,,,,,,,,,,,,,,,,,,,,,,,,,,,,,,,,,,,,,,,,,,,,,,,,,,,,,,,,,,,,,,,,,,,,,,,,,,,,,,,,,,,,,,,,,,,,,,,,,,,,,,,,,,,,,,,,,,,,,,,,,,,,,,,,,,,,,,,,,,,,,,,,,,,,,,,,,,,,,,,,,,,,,,,,,,,,,,,,,,,,,,,,,,,,,,,,,,,,,,,,,,,,,,,,,,,,,,,,,,,,,,,,,,,,,,,,,,,,,,,,,,,,,,,,,,,,"&amp;",,,,,,,,,,,,,,,,,,,,,,,,,,,,,"</formula1>
    </dataValidation>
    <dataValidation type="list" allowBlank="1" sqref="H241:K242">
      <formula1>"GetDailyCash,UpdateDailyCash,CreateDoneAwayOrder,Copy of Data"</formula1>
    </dataValidation>
    <dataValidation type="list" allowBlank="1" sqref="H283:K283">
      <formula1>"GetDailyCash,UpdateDailyCash,CreateDoneAwayOrder,PricingInput,GetForexConversion,UpdateForexConversion"</formula1>
    </dataValidation>
    <dataValidation type="list" allowBlank="1" sqref="D6:D7 D14 D21 D28 D35 D42 D49 D59 D66 D76 D86 D98 D108 D119 D134 D147:D148 D161:D162 D172:D173 D188:D189 D196:D197 D210:D211 D223:D224 D239:D240 D247:D248 D264:D265 D276:D277 D290:D865">
      <formula1>'_Categories'!$A$4:$A865</formula1>
    </dataValidation>
    <dataValidation type="list" allowBlank="1" sqref="F12:F13 F19:F20 F26:F27 F33:F34 F40:F41 F47:F48 F54 F64:F65 F71">
      <formula1>"CalculatePTT,TradeUsingPTT,StageOrderUsingPTT,CreateStagePTT,TradePTT,CreateOrderPTT,VerifyPTT,OpenPTTFromPM,MultiTTFromPTT,SelectMultiTT,EditMultiPTT,SelectMultiPTT,MultiTTFromTT,SelectMultiTT,EditMultiTT,OpenMultiTTFromPTT,,,,,,,,,,,,,,,,,,,,,,,,,,,,,,,"&amp;",,,,,,,,,,,,,,,,,,,,,,,,,,,,,,,,,,,,,,,,,,,,,,,,,,,,,,,,,,,,,,,,,,,,,,,,,,,,,,,,,,,,,,,,,,,,,,,,,,,,,,,,,,,,,,,,,,,,,,,,,,,,,,,,,,,,,,,,,,,,,,,,,,,,,,,,,,,,,,,,,,,,,,,,,,,,,,,,,,,,,,,,,,,,,,,,,,,,,,,,,,,,,,,,,,,,,,,,,,,,,,,,,,,,,,,,,,,,,,,,,,,,,,,,,,,,,,,"&amp;",,,,,,,,,,,,,,,,,,,,,,,,,,,,,,,,,,,,,,,,,,,,,,,,,,,,,,,,,,,,,,,,,,,,,,,,,,,,,,,,,,,,,,,,,,,,,,,,,,,,,,,,,,,,,,,,,,,,,,,,,,,,,,,,,,,,,,,,,,,,,,,,,,,,,,,,,,,,,,,,,,,,,,,,,,,,,,,,,,,,,,,,,,,,,,,,,,,"</formula1>
    </dataValidation>
    <dataValidation type="list" allowBlank="1" sqref="H94:K94">
      <formula1>"CreateDoneAwayOrder,PricingInput,UpdateDailyCash,TradePTT,CheckAllocatedGroups,VerifyLongPositionsGrid,CheckPortfolioManagement,GetDailyCash,CreateDoneAwayOrder1"</formula1>
    </dataValidation>
    <dataValidation type="list" allowBlank="1" sqref="H49:K49">
      <formula1>"CreateOrderPTT,VerifyOrder,Copy of Data,GetDailyCash"</formula1>
    </dataValidation>
    <dataValidation type="list" allowBlank="1" sqref="H68:K68">
      <formula1>"TradePTT,CreateDoneAwayOrder,CheckPortfolioManagement,CheckAllocatedGroups,VerifyLongPositionsGrid,GetDailyCash,UpdateDailyCash,PricingInput,CreateDoneAwayOrder1,GetDataAllocation,GetDataClosing,Copy of Data,Copy of Data 1"</formula1>
    </dataValidation>
    <dataValidation type="list" allowBlank="1" sqref="H234:K234">
      <formula1>"CleanUp,GetDailyCash,UpdateDailyCash,CreateDoneAwayOrder,PricingInput,CalculatePTT,VerifyPTT,TradePTT,BulkChangeTradeDoneAway,GetDataAllocation,CheckAllocatedGroups"</formula1>
    </dataValidation>
    <dataValidation type="list" allowBlank="1" sqref="H91:K91">
      <formula1>"CreateDoneAwayOrder,PricingInput,GetDailyCash,UpdateDailyCash,CalculatePTT,VerifyPTT,TradePTT,CreateDoneAwayOrder1,CheckAllocatedGroups,VerifyLongPositionsGrid,CheckPortfolioManagement,Copy of Data"</formula1>
    </dataValidation>
    <dataValidation type="list" allowBlank="1" sqref="H111:K111">
      <formula1>"CreateDoneAwayOrder,PricingInput,CalculatePTT,VerifyPTT,CalculatePTT1,VerifyPTT1,CalculatePTT2,VerifyPTT2,GetDailyCash,UpdateDailyCash,Copy of Data,Copy of Data 1,Copy of Data 2"</formula1>
    </dataValidation>
    <dataValidation type="list" allowBlank="1" sqref="H138:K138">
      <formula1>"PricingInput,CalculatePTT,UpdateDailyCash,VerifyPTT,CalculatePTT1,VerifyPTT1,CalculatePTT2,VerifyPTT2,CreateDoneAwayOrder,GetDailyCash,CalculatePTT3,VerifyPTT3,Copy of Data,Copy of Data 1,Copy of Data 2,Copy of Data 3"</formula1>
    </dataValidation>
    <dataValidation type="list" allowBlank="1" sqref="H187:K187">
      <formula1>"GetDailyCash,UpdateDailyCash,CreateDoneAwayOrder,PricingInput,CreateOrderPTT,TradeNewSubOrder,CreateNewSubOrder,Copy of Data 1,UpdateBeta,Copy of Data 2,UpdateBetage,Copy of Data 3,Copy of Data 4,Copy of Data 5,Copy of Data 6,Copy of Data 6_conflict175913"&amp;"9689,CalculatePTT,Copy of Data 7,Copy of Data 8,VerifyOrder,TradePTT,GetDataAllocation,CheckAllocatedGroups,CheckPortfolioManagement"</formula1>
    </dataValidation>
    <dataValidation type="list" allowBlank="1" sqref="H254:K254">
      <formula1>"CleanUp,GetDailyCash,UpdateDailyCash,CreateDoneAwayOrder,PricingInput,CreateOrderPTT,TradeNewSubOrder,CreateDoneAwayOrder1,VerifyOrder,CheckAllocatedGroups,Copy of Data,UpdateForexConversionMonthly"</formula1>
    </dataValidation>
    <dataValidation type="list" allowBlank="1" sqref="H100:K103 H105:K107">
      <formula1>"CreateDoneAwayOrder,PricingInput,UpdateDailyCash,CheckAllocatedGroups,VerifyLongPositionsGrid,CheckPortfolioManagement,TradePTT,GetDailyCash,CreateDoneAwayOrder1,Copy of Data,Copy of Data 1"</formula1>
    </dataValidation>
    <dataValidation type="list" allowBlank="1" sqref="H253:K253">
      <formula1>"GetDailyCash,UpdateDailyCash,CreateDoneAwayOrder,PricingInput,CreateOrderPTT,TradeNewSubOrder,CreateDoneAwayOrder1,VerifyOrder,CheckAllocatedGroups,UpdateForexConversionMonthly,CalculatePTT,VerifyPTT,CheckPortfolioManagement,GetDataAllocation,GetForexConv"&amp;"ersion"</formula1>
    </dataValidation>
    <dataValidation type="list" allowBlank="1" sqref="H285:K285">
      <formula1>"GetDailyCash,UpdateDailyCash,CreateDoneAwayOrder,PricingInput,GetForexConversion,UpdateForexConversion,CalculatePTT,VerifyPTT"</formula1>
    </dataValidation>
    <dataValidation type="list" allowBlank="1" sqref="F73 F86 F98 F108 F119">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76 F83 F95 F105 F125:F132 F134 F147:F148">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F7 F14 F21 F28 F35 F42 F49 F59 F66">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amp;",,,,,,,,,,,,,,,,,,,,,,,,,,,,,,,,,,,,,,,,,,,,,,,,,,,,,,,,,,,,,,,,,,,,,,,,,,,,,,,,,,,,,,,,,,,,,,,,,,,,,,,,,,,,,,,,,,,,,,,,,,,,,,,,,,,,,,,,,,,,,,,,,,,,,,,,,,,,,,,,,,,,,,,,,,,,,,,,,,,,,,,,,,,,,,,,,,,,,,,,,,,,,,,,,,,,,,,,,,,,,,,,,,,,,,,,,,,,,,,,,,,,,,,,,,,,,,,"&amp;",,,,,,,,,,,,,,,,,,,,,,,,,,,,,,,,,,,,,,,,,,,,,,,,,,,,,,,,,,,,,,,,,,,,,,,,,,,,,,,,,,,,,,,,,,,,,,,,,,,,,,,,,,,,,,,,,,,,,"</formula1>
    </dataValidation>
    <dataValidation type="list" allowBlank="1" sqref="H206:K206">
      <formula1>"CleanUp,CreateDoneAwayOrder,PricingInput,GetDailyCash,UpdateDailyCash,CalculatePTT,VerifyPTT,CalculatePTT3,VerifyPTT3"</formula1>
    </dataValidation>
    <dataValidation type="list" allowBlank="1" sqref="H236:K236">
      <formula1>"CleanUp,GetDailyCash,UpdateDailyCash,CreateDoneAwayOrder,PricingInput,CalculatePTT,VerifyPTT,TradePTT,BulkChangeTradeDoneAway,GetDataAllocation,CheckAllocatedGroups,VerifyLongPositionsGrid"</formula1>
    </dataValidation>
    <dataValidation type="list" allowBlank="1" sqref="F8:F9 F15:F16 F22:F23 F29:F30 F36:F37 F43:F44 F50:F51 F60:F61 F67:F68">
      <formula1>"UpdateBeta,UpdateDailyCash,UpdateForexConversion,CleanUp,GetMarkPriceData,GetForwardPoints,GetForexConversion,AddForexConversion,GetNAV,AddNAV,DeleteNAV,GetDailyCash,AddDailyCash,GetDailyBeta,GetDailyVolatility,GetDailyDividendYield,GetDailyTradingVolume,"&amp;"GetDailyOutstandings,GetDailyDelta,UpdateDailyVolatility,UpdateDividendYield,DataManagement.Click(MouseButtons.Left);,UpdateTradingVolume,UpdateDailyDelta,UpdateDailyOutstandings,AddForexConversion,UpdateBeta,UpdateNAV,UpdateDailyCash,UpdateCreditLimt,Upd"&amp;"ateDailyCreditLimt,AddDailyCreditLimit,RemoveDailyCreditLimt,RemoveDailyCreditLimit,RemoveDailyCash,RemoveNAV,UpdateMarkPrice,UpdateForwardPoints,,,,,,,,,,,,,,,,,,,,,,,,,,,,,,,,,,,,,,,,,,,,,,,,,,,,,,,,,,,,,,,,,,,,,,,,,,,,,,,,,,,,,,,,,,,,,,,,,,,,,,,,,,,,,,"&amp;",,,,,,,,,,,,,,,,,,,,,,,,,,,,,,,,,,,,,,,,,,,,,,,,,,,,,,,,,,,,,,,,,,,,,,,,,,,,,,,,,,,,,,,,,,,,,,,,,,,,,,,,,,,,,,,,,,,,,,,,,,,,,,,,,,,,,,,,,,,,,,,,,,,,,,,,,,,,,,,,,,,,,,,,,,,,,,,,,,,,,,,,,,,,,,,,,,,,,,,,,,,,,,,,,,,,,,,,,,,,,,,,,,,,,,,,,,,,,,,,,,,,,,,,,,,,,,,"&amp;",,,,,,,,,,,,,,,,,,,,,,,,,,,,,,,,,,,,,,,,,,,,,,,,,,,,,,,,,,,,,,,,,,,,,,,,,,,,,,,,,,,,,,,,,,,,,,"</formula1>
    </dataValidation>
    <dataValidation type="list" allowBlank="1" sqref="F177 F192 F198 F212 F219 F227 F243">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246:K246">
      <formula1>"GetDailyCash,UpdateDailyCash,CreateDoneAwayOrder,Copy of Data,Copy of Data 1,Copy of Data 2,Copy of Data 3,PricingInput,Copy of Data 4,CalculatePTT,Copy of Data 5,VerifyPTT"</formula1>
    </dataValidation>
    <dataValidation type="list" allowBlank="1" sqref="H42:K42">
      <formula1>"CalculatePTT,VerifyPTT,Copy of Data,GetDailyCash"</formula1>
    </dataValidation>
    <dataValidation type="list" allowBlank="1" sqref="H238:K238">
      <formula1>"CleanUp,GetDailyCash,UpdateDailyCash,CreateDoneAwayOrder,PricingInput,CalculatePTT,VerifyPTT,TradePTT,BulkChangeTradeDoneAway,GetDataAllocation,CheckAllocatedGroups,GetDataClosing,VerifyLongPositionsGrid,VerifyShortPositionsGrid,CheckPortfolioManagement"</formula1>
    </dataValidation>
    <dataValidation type="list" allowBlank="1" sqref="H255:K255">
      <formula1>"CleanUp,GetDailyCash,UpdateDailyCash,CreateDoneAwayOrder,PricingInput,CreateOrderPTT,TradeNewSubOrder,CreateDoneAwayOrder1,VerifyOrder,CheckAllocatedGroups,Copy of Data,UpdateForexConversionMonthly,Copy of Data 1,Copy of Data 2,CalculatePTT"</formula1>
    </dataValidation>
    <dataValidation type="list" allowBlank="1" sqref="H289:K289">
      <formula1>"GetDailyCash,UpdateDailyCash,CreateDoneAwayOrder,PricingInput,GetForexConversion,UpdateForexConversion,CalculatePTT,VerifyPTT,CreateOrderPTT,TradeNewSubOrder,CreateDoneAwayOrder1,Copy of Data,VerifyOrder"</formula1>
    </dataValidation>
    <dataValidation type="list" allowBlank="1" sqref="H203:K204">
      <formula1>"CleanUp,CreateDoneAwayOrder,PricingInput,GetDailyCash,UpdateDailyCash,CalculatePTT,VerifyPTT"</formula1>
    </dataValidation>
    <dataValidation type="list" allowBlank="1" sqref="H205:K205">
      <formula1>"CleanUp,CreateDoneAwayOrder,PricingInput,GetDailyCash,UpdateDailyCash,CalculatePTT,VerifyPTT,CalculatePTT3"</formula1>
    </dataValidation>
    <dataValidation type="list" allowBlank="1" sqref="H263:K263">
      <formula1>"CleanUp,GetDailyCash,UpdateDailyCash,CreateDoneAwayOrder,PricingInput,CreateOrderPTT,TradeNewSubOrder,CreateDoneAwayOrder1,VerifyOrder,CheckAllocatedGroups,UpdateForexConversionMonthly,CalculatePTT,VerifyPTT,Copy of Data,CheckPortfolioManagement"</formula1>
    </dataValidation>
    <dataValidation type="list" allowBlank="1" sqref="H256:K257">
      <formula1>"CleanUp,GetDailyCash,UpdateDailyCash,CreateDoneAwayOrder,PricingInput,CreateOrderPTT,TradeNewSubOrder,CreateDoneAwayOrder1,VerifyOrder,CheckAllocatedGroups,Copy of Data,UpdateForexConversionMonthly,CalculatePTT,VerifyPTT"</formula1>
    </dataValidation>
    <dataValidation type="list" allowBlank="1" sqref="H258:K258">
      <formula1>"CleanUp,GetDailyCash,UpdateDailyCash,CreateDoneAwayOrder,PricingInput,CreateOrderPTT,SelectTradeOnOrderGrid,TradeNewSubOrder,Copy of Data,Copy of Data 1,Copy of Data 2,Copy of Data 2_conflict1949380216"</formula1>
    </dataValidation>
    <dataValidation type="list" allowBlank="1" sqref="H150:K151">
      <formula1>"PricingInput,UpdateDailyCash,CalculatePTT,VerifyPTT,CalculatePTT1,VerifyPTT1,CreateDoneAwayOrder,GetDailyCash,CalculatePTT2,VerifyPTT2,CalculatePTT3,VerifyPTT3,Copy of Data,Copy of Data 1,Copy of Data 2,Copy of Data 3"</formula1>
    </dataValidation>
    <dataValidation type="list" allowBlank="1" sqref="H191:K191 H226:K226 H250:K250">
      <formula1>"CleanUp,GetDailyCash,UpdateDailyCash"</formula1>
    </dataValidation>
    <dataValidation type="list" allowBlank="1" sqref="H208:K209">
      <formula1>"CleanUp,CreateDoneAwayOrder,PricingInput,GetDailyCash,UpdateDailyCash,CalculatePTT,VerifyPTT,CalculatePTT3,VerifyPTT3,CalculatePTT1,VerifyPTT1"</formula1>
    </dataValidation>
    <dataValidation type="list" allowBlank="1" sqref="H79:K79">
      <formula1>"TradePTT,BulkChangeTradeDoneAway,CheckAllocatedGroups,VerifyLongPositionsGrid,CheckPortfolioManagement,GetDailyCash,UpdateDailyCash,CreateDoneAwayOrder,PricingInput,GetDataAllocation,GetDataClosing,Copy of Data,CleanUp,Copy of Data 1,Copy of Data 2,Copy o"&amp;"f Data 3"</formula1>
    </dataValidation>
    <dataValidation type="list" allowBlank="1" sqref="H104:K104">
      <formula1>"CreateDoneAwayOrder,PricingInput,UpdateDailyCash,CheckAllocatedGroups,VerifyLongPositionsGrid,CheckPortfolioManagement,TradePTT,GetDailyCash,CreateDoneAwayOrder1"</formula1>
    </dataValidation>
    <dataValidation type="list" allowBlank="1" sqref="H157:K157">
      <formula1>"PricingInput,UpdateDailyCash,CalculatePTT,VerifyPTT,CalculatePTT1,VerifyPTT1,CreateDoneAwayOrder,GetDailyCash,CalculatePTT2,VerifyPTT2,CalculatePTT3,VerifyPTT3,Copy of Data,Copy of Data_conflict2072103544,Copy of Data 1,Copy of Data 1_conflict1731905544"</formula1>
    </dataValidation>
    <dataValidation type="list" allowBlank="1" sqref="H59:K59">
      <formula1>"CalculatePTT,VerifyPTT,GetDailyCash,GetDailyCash_conflict1072866851"</formula1>
    </dataValidation>
    <dataValidation type="list" allowBlank="1" sqref="H244:K244">
      <formula1>"GetDailyCash,UpdateDailyCash,CreateDoneAwayOrder,Copy of Data,Copy of Data 1,Copy of Data 2,Copy of Data 3,PricingInput"</formula1>
    </dataValidation>
    <dataValidation type="list" allowBlank="1" sqref="H67:K67">
      <formula1>"TradePTT,CreateDoneAwayOrder,CheckPortfolioManagement,CheckAllocatedGroups,VerifyLongPositionsGrid,GetDailyCash,UpdateDailyCash,PricingInput,CreateDoneAwayOrder1,GetDataAllocation,GetDataClosing"</formula1>
    </dataValidation>
    <dataValidation type="list" allowBlank="1" sqref="H74:K75">
      <formula1>"TradePTT,CreateDoneAwayOrder,CheckPortfolioManagement,CheckAllocatedGroups,VerifyLongPositionsGrid,GetDailyCash,UpdateDailyCash,PricingInput,CreateDoneAwayOrder1,GetDataAllocation,GetDataClosing,Copy of Data,Copy of Data 1,Copy of Data 2,Copy of Data 3,Co"&amp;"py of Data 4,Copy of Data 5"</formula1>
    </dataValidation>
    <dataValidation type="list" allowBlank="1" sqref="H287:K287">
      <formula1>"GetDailyCash,UpdateDailyCash,CreateDoneAwayOrder,PricingInput,GetForexConversion,UpdateForexConversion,CalculatePTT,VerifyPTT,CreateOrderPTT,TradeNewSubOrder"</formula1>
    </dataValidation>
    <dataValidation type="list" allowBlank="1" sqref="H183:K184">
      <formula1>"GetDailyCash,UpdateDailyCash,CreateDoneAwayOrder,PricingInput,CreateOrderPTT,TradeNewSubOrder,CreateNewSubOrder,Copy of Data 1,UpdateBeta,Copy of Data 2,UpdateBetage,Copy of Data 3,Copy of Data 4,Copy of Data 5,Copy of Data 6,Copy of Data 6_conflict175913"&amp;"9689,CalculatePTT,Copy of Data 7,Copy of Data 8,VerifyOrder,TradePTT"</formula1>
    </dataValidation>
    <dataValidation type="list" allowBlank="1" sqref="H260:K260">
      <formula1>"CleanUp,GetDailyCash,UpdateDailyCash,CreateDoneAwayOrder,PricingInput,CreateOrderPTT,TradeNewSubOrder,CreateDoneAwayOrder1,VerifyOrder"</formula1>
    </dataValidation>
    <dataValidation type="list" allowBlank="1" sqref="H261:K261">
      <formula1>"GetDailyCash,UpdateDailyCash,CreateDoneAwayOrder,PricingInput,CreateOrderPTT,TradeNewSubOrder,CreateDoneAwayOrder1,VerifyOrder,CheckAllocatedGroups,UpdateForexConversionMonthly,CalculatePTT,VerifyPTT,CheckPortfolioManagement,GetDataAllocation"</formula1>
    </dataValidation>
    <dataValidation type="list" allowBlank="1" sqref="H139:K140 H143:K146">
      <formula1>"PricingInput,CalculatePTT,UpdateDailyCash,VerifyPTT,CalculatePTT1,VerifyPTT1,CalculatePTT2,VerifyPTT2,CreateDoneAwayOrder,GetDailyCash,CalculatePTT3,VerifyPTT3,Copy of Data,Copy of Data 1,Copy of Data 2,Copy of Data 3,Copy of Data 4"</formula1>
    </dataValidation>
    <dataValidation type="list" allowBlank="1" sqref="H180:K180">
      <formula1>"GetDailyCash,UpdateDailyCash,CreateDoneAwayOrder,PricingInput,CalculatePTT,CreateOrderPTT,VerifyOrder,TradePTT,CreateDoneAwayOrder1,GetDataAllocation,CheckAllocatedGroups,CheckPortfolioManagement,VerifyPTT"</formula1>
    </dataValidation>
    <dataValidation type="list" allowBlank="1" sqref="H137:K137">
      <formula1>"PricingInput,CalculatePTT,UpdateDailyCash,VerifyPTT,CalculatePTT1,VerifyPTT1,CalculatePTT2,VerifyPTT2,CreateDoneAwayOrder,GetDailyCash,CalculatePTT3,VerifyPTT3,Copy of Data,Copy of Data 1,Copy of Data 2"</formula1>
    </dataValidation>
    <dataValidation type="list" allowBlank="1" sqref="H21:K21 H28:K28">
      <formula1>"CalculatePTT,VerifyPTT,GetDailyCash"</formula1>
    </dataValidation>
    <dataValidation type="list" allowBlank="1" sqref="H281:K281">
      <formula1>"GetDailyCash,UpdateDailyCash,CreateDoneAwayOrder,PricingInput"</formula1>
    </dataValidation>
    <dataValidation type="list" allowBlank="1" sqref="H220:K220">
      <formula1>"CleanUp,CreateDoneAwayOrder,PricingInput,GetDailyCash,UpdateDailyCash,TradePTT,CreateDoneAwayOrder1,CheckAllocatedGroups"</formula1>
    </dataValidation>
    <dataValidation type="list" allowBlank="1" sqref="H112:K118">
      <formula1>"CreateDoneAwayOrder,PricingInput,CalculatePTT,VerifyPTT,CalculatePTT1,VerifyPTT1,CalculatePTT2,VerifyPTT2,GetDailyCash,UpdateDailyCash,Copy of Data,Copy of Data 1,Copy of Data 2,Copy of Data 3"</formula1>
    </dataValidation>
    <dataValidation type="list" allowBlank="1" sqref="H73:K73">
      <formula1>"TradePTT,CreateDoneAwayOrder,CheckPortfolioManagement,CheckAllocatedGroups,VerifyLongPositionsGrid,GetDailyCash,UpdateDailyCash,PricingInput,CreateDoneAwayOrder1,GetDataAllocation,GetDataClosing,Copy of Data,Copy of Data 1,Copy of Data 2,Copy of Data 3,Co"&amp;"py of Data 4"</formula1>
    </dataValidation>
    <dataValidation type="list" allowBlank="1" sqref="F75 F85 F97 F107">
      <formula1>"CheckDashboardPM,CheckPortfolioManagement,OpenPSTFromPM,ClosePM,OpenPTTFromPM,FilterPM,GroupRowPM,CheckDashboardWithPM,RemoveFilterPM,CheckSummaryRows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275:K275">
      <formula1>"GetDailyCash,UpdateDailyCash,CalculatePTT,VerifyPTT,CreateDoneAwayOrder,PricingInput,CalculatePTT1,VerifyPTT1,CalculatePTT2"</formula1>
    </dataValidation>
    <dataValidation type="list" allowBlank="1" sqref="H175:K175">
      <formula1>"GetDailyCash,UpdateDailyCash,CreateDoneAwayOrder,PricingInput,CreateOrderPTT,TradeNewSubOrder,CreateNewSubOrder,Copy of Data,Copy of Data 1,UpdateBeta,Copy of Data 2,UpdateBetage"</formula1>
    </dataValidation>
    <dataValidation type="list" allowBlank="1" sqref="H200:K200 H214:K214">
      <formula1>"CleanUp,CreateDoneAwayOrder,PricingInput,GetDailyCash"</formula1>
    </dataValidation>
    <dataValidation type="list" allowBlank="1" sqref="H207:K207">
      <formula1>"CleanUp,CreateDoneAwayOrder,PricingInput,GetDailyCash,UpdateDailyCash,CalculatePTT,VerifyPTT,CalculatePTT3,VerifyPTT3,CalculatePTT1"</formula1>
    </dataValidation>
    <dataValidation type="list" allowBlank="1" sqref="H95:K95">
      <formula1>"CreateDoneAwayOrder,PricingInput,UpdateDailyCash,TradePTT,CheckAllocatedGroups,VerifyLongPositionsGrid,CheckPortfolioManagement,GetDailyCash,CreateDoneAwayOrder1,Copy of Data,Copy of Data 1,Copy of Data 2,Copy of Data 3,Copy of Data 4"</formula1>
    </dataValidation>
    <dataValidation type="list" allowBlank="1" sqref="F175:F176 F190:F191 F200:F201 F214:F215 F225:F226 F241:F242 F249:F250 F253:F254 F266:F267 F278:F279 F282:F283">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52:K53">
      <formula1>"CreateOrderPTT,VerifyOrder,GetDailyCash,UpdateDailyCash,CreateDoneAwayOrder,PricingInput,Copy of Data,Copy of Data 1"</formula1>
    </dataValidation>
    <dataValidation type="list" allowBlank="1" sqref="H89:K89">
      <formula1>"CreateDoneAwayOrder,PricingInput,UpdateDailyCash,TradePTT,CheckAllocatedGroups,VerifyLongPositionsGrid,CheckPortfolioManagement,GetDailyCash,CreateDoneAwayOrder1,Copy of Data,Copy of Data 1,Copy of Data 2"</formula1>
    </dataValidation>
    <dataValidation type="list" allowBlank="1" sqref="H288:K288">
      <formula1>"GetDailyCash,UpdateDailyCash,CreateDoneAwayOrder,PricingInput,GetForexConversion,UpdateForexConversion,CalculatePTT,VerifyPTT,CreateOrderPTT,TradeNewSubOrder,VerifyOrder"</formula1>
    </dataValidation>
    <dataValidation type="list" allowBlank="1" sqref="H90:K90 H93:K93">
      <formula1>"CreateDoneAwayOrder,PricingInput,UpdateDailyCash,TradePTT,CheckAllocatedGroups,VerifyLongPositionsGrid,CheckPortfolioManagement,GetDailyCash,CreateDoneAwayOrder1,Copy of Data,Copy of Data 1,Copy of Data 2,Copy of Data 3"</formula1>
    </dataValidation>
    <dataValidation type="list" allowBlank="1" sqref="H7:K7">
      <formula1>"CalculatePTT,VerifyPTT,PricingInput,CreateDoneAwayOrder,Copy of Data_conflict1094215541,UpdateDailyCash,Copy of Data 1,Copy of Data 2,GetDailyCash"</formula1>
    </dataValidation>
    <dataValidation type="list" allowBlank="1" sqref="H41:K41">
      <formula1>"Copy of Data,CalculatePTT,VerifyPTT,Copy of Data 1_conflict1154827587"</formula1>
    </dataValidation>
    <dataValidation type="list" allowBlank="1" sqref="H123:K123 H125:K128 H130:K132">
      <formula1>"GetDailyCash,UpdateDailyCash,PricingInput,CreateDoneAwayOrder,TradePTT,Unallocate,SelectUnallocatedGroup,EnterAccountValuesToAllocate,EnterAllocatePreference,SelectUnallocatedGroup1,Unallocate1,EnterAllocatePreference1,CreateDoneAwayOrder1,DoneAwayUsingMT"&amp;"T,Copy of Data,Copy of Data 1,Copy of Data 2"</formula1>
    </dataValidation>
    <dataValidation type="list" allowBlank="1" sqref="F10 F17 F24 F31 F38 F45 F52 F62 F69 F72 F104">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F232">
      <formula1>"EditTradeUsingMTT,SelectTradeUsingMTT,GetPriceUsingMTT,DoneAwayUsingMTT,SendOrderUsingMTT,BulkChangeTradeDoneAway,,,,,,,,,,,,,,,,,,,,,,,,,,,,,,,,,,,,,,,,,,,,,,,,,,,,,,,,,,,,,,,,,,,,,,,,,,,,,,,,,,,,,,,,,,,,,,,,,,,,,,,,,,,,,,,,,,,,,,,,,,,,,,,,,,,,,,,,,,,,,,"&amp;",,,,,,,,,,,,,,,,,,,,,,,,,,,,,,,,,,,,,,,,,,,,,,,,,,,,,,,,,,,,,,,,,,,,,,,,,,,,,,,,,,,,,,,,,,,,,,,,,,,,,,,,,,,,,,,,,,,,,,,,,,,,,,,,,,,,,,,,,,,,,,,,,,,,,,,,,,,,,,,,,,,,,,,,,,,,,,,,,,,,,,,,,,,,,,,,,,,,,,,,,,,,,,,,,,,,,,,,,,,,,,,,,,,,,,,,,,,,,,,,,,,,,,,,,,,,,,,"&amp;",,,,,,,,,,,,,,,,,,,,,,,,,,,,,,,,,,,,,,,,,,,,,,,,,,,,,,,,,,,,,,,,,,,,,,,,,,,,,,,,,,,,,,,,,,,,,,"</formula1>
    </dataValidation>
    <dataValidation type="list" allowBlank="1" sqref="H235:K235">
      <formula1>"CleanUp,GetDailyCash,UpdateDailyCash,CreateDoneAwayOrder,PricingInput,CalculatePTT,VerifyPTT,TradePTT,BulkChangeTradeDoneAway,GetDataAllocation,CheckAllocatedGroups,VerifyLongPositionsGrid,VerifyShortPositionsGrid,GetDataClosing"</formula1>
    </dataValidation>
    <dataValidation type="list" allowBlank="1" sqref="F55">
      <formula1>"ReplaceFillsOnBlotter,CheckBlotter,BlotterFunctionalities,TransferToUserWorkingSubs,CancelWorkingSubs,ReplaceWorkingSubs,ViewAllocationDetailsWorkingSubs,ShowDetailsForAlgoTradeSubOrder,SelectTradeOrderBlotter,AddFillsWorkingSubs,ShowDetailsForAlgoTradeWo"&amp;"rkingSubs,EditAddFillsDetails,SelectTradeOnOrderGrid,ViewAllocationDetailsWorkingSub,VerifyWorkingSubs,TransferToUserOrder,TransferToUserOrder,TransferToUserOrder,SelectTradeSubOrderBlotter,VerifyOrder,VerifySubOrder,RemoveSelectedOrders,CancelAllSelected"&amp;"Subs,MultiTradingTicket,AuditTrailOrderBlotter,TradeNewSubOrder,RemoveStageOrder,SelectTradeSubOrderBlotter,SelectTradeSubOrderBlotter,TransferToUserSubOrder,AddFillsSubOrder,DetailsForAlgoTradeOrder,ViewAllocationDetailsSubOrder,EditAddFillsDetails,ViewA"&amp;"llocationDetailsSubOrder,AddFillsSubOrder,CancelAllSubs,CancelSubOrder,EditStageOrder,ReplaceSubOrder,SelectTradeWorkingSub,SelectTradeWorkingSubsBlotter,VerifyAlgoDetails,VerifyTransferToUserOrder,VerifyTransferToUserSubOdr,VerifyTransferToUserWorkSub,Sa"&amp;"veLayoutOrderGrid,SaveLayoutOrderGrid,ReplaceStageOrder,MultiTradingTicketFromBlotter,,,,,,,,,,,,,,,,,,,,,,,,,,,,,,,,,,,,,,,,,,,,,,,,,,,,,,,,,,,,,,,,,,,,,,,,,,,,,,,,,,,,,,,,,,,,,,,,,,,,,,,,,,,,,,,,,,,,,,,,,,,,,,,,,,,,,,,,,,,,,,,,,,,,,,,,,,,,,,,,,,,,,,,,,,"&amp;",,,,,,,,,,,,,,,,,,,,,,,,,,,,,,,,,,,,,,,,,,,,,,,,,,,,,,,,,,,,,,,,,,,,,,,,,,,,,,,,,,,,,,,,,,,,,,,,,,,,,,,,,,,,,,,,,,,,,,,,,,,,,,,,,,,,,,,,,,,,,,,,,,,,,,,,,,,,,,,,,,,,,,,,,,,,,,,,,,,,,,,,,,,,,,,,,,,,,,,,,,,,,,,,,,,,,,,,,,,,,,,,,,,,,,,,,,,,,,,,,,,,,,,,,,,,,,,"&amp;",,,,,,,,,,,,,,,,,,,,,,"</formula1>
    </dataValidation>
    <dataValidation type="list" allowBlank="1" sqref="H58:K58">
      <formula1>"GetDailyCash,UpdateDailyCash,CreateDoneAwayOrder,PricingInput,CreateOrderPTT,VerifyOrder,CalculatePTT,VerifyPTT,SelectPTTRecord,EditPTTRecord"</formula1>
    </dataValidation>
    <dataValidation type="list" allowBlank="1" sqref="F184 F251 F259 F270 F280 F288">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F182 F258 F260">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199:K199 H213:K213">
      <formula1>"CleanUp,CreateDoneAwayOrder,PricingInput"</formula1>
    </dataValidation>
    <dataValidation type="list" allowBlank="1" sqref="F221 F235:F237">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262:K262">
      <formula1>"CleanUp,GetDailyCash,UpdateDailyCash,CreateDoneAwayOrder,PricingInput,CreateOrderPTT,TradeNewSubOrder,CreateDoneAwayOrder1,VerifyOrder,CheckAllocatedGroups"</formula1>
    </dataValidation>
    <dataValidation type="list" allowBlank="1" sqref="F82">
      <formula1>"BulkChangeTradeDoneAway,SendOrderUsingMTT,DoneAwayUsingMTT,SelectTradeUsingMTT,EditTradeUsingMTT,GetPriceUsingMTT,,,,,,,,,,,,,,,,,,,,,,,,,,,,,,,,,,,,,,,,,,,,,,,,,,,,,,,,,,,,,,,,,,,,,,,,,,,,,,,,,,,,,,,,,,,,,,,,,,,,,,,,,,,,,,,,,,,,,,,,,,,,,,,,,,,,,,,,,,,,,,"&amp;",,,,,,,,,,,,,,,,,,,,,,,,,,,,,,,,,,,,,,,,,,,,,,,,,,,,,,,,,,,,,,,,,,,,,,,,,,,,,,,,,,,,,,,,,,,,,,,,,,,,,,,,,,,,,,,,,,,,,,,,,,,,,,,,,,,,,,,,,,,,,,,,,,,,,,,,,,,,,,,,,,,,,,,,,,,,,,,,,,,,,,,,,,,,,,,,,,,,,,,,,,,,,,,,,,,,,,,,,,,,,,,,,,,,,,,,,,,,,,,,,,,,,,,,,,,,,,,"&amp;",,,,,,,,,,,,,,,,,,,,,,,,,,,,,,,,,,,,,,,,,,,,,,,,,,,,,,,,,,,,,,,,,,,,,,,,,,,,,,,,,,,,,,,,,,,,,,"</formula1>
    </dataValidation>
    <dataValidation type="list" allowBlank="1" sqref="H217:K217">
      <formula1>"CleanUp,CreateDoneAwayOrder,PricingInput,GetDailyCash,UpdateDailyCash,TradePTT,CreateDoneAwayOrder1,CheckAllocatedGroups,VerifyLongPositionsGrid,CheckPortfolioManagement,CalculatePTT,VerifyPTT"</formula1>
    </dataValidation>
    <dataValidation type="list" allowBlank="1" sqref="H152:K152">
      <formula1>"PricingInput,UpdateDailyCash,CalculatePTT,VerifyPTT,CalculatePTT1,VerifyPTT1,CreateDoneAwayOrder,GetDailyCash,CalculatePTT2,VerifyPTT2,CalculatePTT3,VerifyPTT3,Copy of Data,Copy of Data 1,Copy of Data 2"</formula1>
    </dataValidation>
    <dataValidation type="list" allowBlank="1" sqref="H8:K8">
      <formula1>"CalculatePTT,VerifyPTT,CreateDoneAwayOrder,PricingInput,UpdateDailyCash,GetDailyCash,Copy of Data"</formula1>
    </dataValidation>
    <dataValidation type="list" allowBlank="1" sqref="H266:K266">
      <formula1>"Copy of Data,Copy of Data 1,CreateDoneAwayOrder,VerifyPTT,Copy of Data 2,GetDailyCash"</formula1>
    </dataValidation>
    <dataValidation type="list" allowBlank="1" sqref="H231:K231">
      <formula1>"CleanUp,GetDailyCash,UpdateDailyCash,CreateDoneAwayOrder,PricingInput,CalculatePTT,VerifyPTT,TradePTT"</formula1>
    </dataValidation>
    <dataValidation type="list" allowBlank="1" sqref="H243:K243">
      <formula1>"GetDailyCash,UpdateDailyCash,CreateDoneAwayOrder,Copy of Data,Copy of Data 1,Copy of Data 2"</formula1>
    </dataValidation>
    <dataValidation type="list" allowBlank="1" sqref="H120:K120">
      <formula1>"GetDailyCash,UpdateDailyCash,PricingInput,CreateDoneAwayOrder,TradePTT,Unallocate,SelectUnallocatedGroup,EnterAccountValuesToAllocate,EnterAllocatePreference,SelectUnallocatedGroup1,Unallocate1,EnterAllocatePreference1,CreateDoneAwayOrder1,DoneAwayUsingMT"&amp;"T"</formula1>
    </dataValidation>
    <dataValidation type="list" allowBlank="1" sqref="H10:K10">
      <formula1>"CalculatePTT,VerifyPTT,CreateDoneAwayOrder,PricingInput,UpdateDailyCash,GetDailyCash,Copy of Data,Copy of Data 1,Copy of Data 2"</formula1>
    </dataValidation>
    <dataValidation type="list" allowBlank="1" sqref="H179:K179">
      <formula1>"GetDailyCash,UpdateDailyCash,CreateDoneAwayOrder,PricingInput,CreateOrderPTT,VerifyOrder,TradePTT,CreateDoneAwayOrder1,GetDataAllocation,CheckAllocatedGroups,CheckPortfolioManagement,CalculatePTT"</formula1>
    </dataValidation>
    <dataValidation type="list" allowBlank="1" sqref="F79 F87 F94 F99 F109 F122 F124 F135 F149">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202:K202">
      <formula1>"CleanUp,CreateDoneAwayOrder,PricingInput,GetDailyCash,UpdateDailyCash,CalculatePTT"</formula1>
    </dataValidation>
    <dataValidation type="list" allowBlank="1" sqref="H14:K14">
      <formula1>"CalculatePTT,VerifyPTT,GetDailyCash,GetDailyCash_conflict868016783"</formula1>
    </dataValidation>
    <dataValidation type="list" allowBlank="1" sqref="H268:K268">
      <formula1>"GetDailyCash,UpdateDailyCash,Copy of Data,CalculatePTT"</formula1>
    </dataValidation>
    <dataValidation type="list" allowBlank="1" sqref="H158:K158">
      <formula1>"PricingInput,UpdateDailyCash,CalculatePTT,VerifyPTT,CalculatePTT1,VerifyPTT1,CreateDoneAwayOrder,GetDailyCash,CalculatePTT2,VerifyPTT2,CalculatePTT3,VerifyPTT3,Copy of Data,Copy of Data_conflict2072103544"</formula1>
    </dataValidation>
    <dataValidation type="list" allowBlank="1" sqref="F57:F58 F91:F92">
      <formula1>"CalculatePTT,TradeUsingPTT,StageOrderUsingPTT,CreateOrderPTT,TradePTT,VerifyPTT,OpenMultiTTFromPTT,SelectMultiTT,EditMultiTT,SetAccountFactor,SetPTTPreference,SetLongShortPTTPreference,SelectPTTRecord,EditPTTRecord,,,,,,,,,,,,,,,,,,,,,,,,,,,,,,,,,,,,,,,,,"&amp;",,,,,,,,,,,,,,,,,,,,,,,,,,,,,,,,,,,,,,,,,,,,,,,,,,,,,,,,,,,,,,,,,,,,,,,,,,,,,,,,,,,,,,,,,,,,,,,,,,,,,,,,,,,,,,,,,,,,,,,,,,,,,,,,,,,,,,,,,,,,,,,,,,,,,,,,,,,,,,,,,,,,,,,,,,,,,,,,,,,,,,,,,,,,,,,,,,,,,,,,,,,,,,,,,,,,,,,,,,,,,,,,,,,,,,,,,,,,,,,,,,,,,,,,,,,,,,,"&amp;",,,,,,,,,,,,,,,,,,,,,,,,,,,,,,,,,,,,,,,,,,,,,,,,,,,,,,,,,,,,,,,,,,,,,,,,,,,,,,,,,,,,,,,,,,,,,,,,,,,,,,,,,,,,,,,,,,,,,,,,,,,,,,,,,,,,,,,,,,,,,,,,,,,,,,,,,,,,,,,,,,,,,,,,,,,,,,,,,,,,,,,,,,,"</formula1>
    </dataValidation>
    <dataValidation type="list" allowBlank="1" sqref="H66:K66">
      <formula1>"TradePTT,CreateDoneAwayOrder,CheckPortfolioManagement,CheckAllocatedGroups,VerifyLongPositionsGrid,GetDailyCash_conflict763106957,GetDailyCash"</formula1>
    </dataValidation>
    <dataValidation type="list" allowBlank="1" sqref="H9:K9">
      <formula1>"CalculatePTT,VerifyPTT,CreateDoneAwayOrder,PricingInput,UpdateDailyCash,GetDailyCash,Copy of Data,Copy of Data 1"</formula1>
    </dataValidation>
    <dataValidation type="list" allowBlank="1" sqref="H182:K182">
      <formula1>"GetDailyCash,UpdateDailyCash,CreateDoneAwayOrder,PricingInput,CreateOrderPTT,TradeNewSubOrder,CreateNewSubOrder,Copy of Data 1,UpdateBeta,Copy of Data 2,UpdateBetage,Copy of Data 3,Copy of Data 4,Copy of Data 5,Copy of Data 6,Copy of Data 6_conflict175913"&amp;"9689,CalculatePTT,Copy of Data 7,Copy of Data 8,VerifyOrder"</formula1>
    </dataValidation>
    <dataValidation type="list" allowBlank="1" sqref="H192:K192 H227:K227 H251:K251">
      <formula1>"CleanUp,GetDailyCash,UpdateDailyCash,CreateDoneAwayOrder"</formula1>
    </dataValidation>
  </dataValidations>
  <hyperlinks>
    <hyperlink r:id="rId1" location="gid=607069978" ref="G8"/>
    <hyperlink r:id="rId2" location="gid=591571074" ref="G9"/>
    <hyperlink r:id="rId3" location="gid=1208070965" ref="G10"/>
    <hyperlink r:id="rId4" location="gid=992022602" ref="G11"/>
    <hyperlink r:id="rId5" location="gid=440817402" ref="G12"/>
    <hyperlink r:id="rId6" location="gid=1502328248" ref="G13"/>
    <hyperlink r:id="rId7" location="gid=1737044678" ref="G15"/>
    <hyperlink r:id="rId8" location="gid=1735820806" ref="G16"/>
    <hyperlink r:id="rId9" location="gid=1753412831" ref="G17"/>
    <hyperlink r:id="rId10" location="gid=498634450" ref="G18"/>
    <hyperlink r:id="rId11" location="gid=559902083" ref="G19"/>
    <hyperlink r:id="rId12" location="gid=456705482" ref="G20"/>
    <hyperlink r:id="rId13" location="gid=979281596" ref="G22"/>
    <hyperlink r:id="rId14" location="gid=2020056508" ref="G23"/>
    <hyperlink r:id="rId15" location="gid=2100601803" ref="G24"/>
    <hyperlink r:id="rId16" location="gid=65063638" ref="G25"/>
    <hyperlink r:id="rId17" location="gid=1063100955" ref="G26"/>
    <hyperlink r:id="rId18" location="gid=235348770" ref="G27"/>
    <hyperlink r:id="rId19" location="gid=404592982" ref="G29"/>
    <hyperlink r:id="rId20" location="gid=1208741387" ref="G30"/>
    <hyperlink r:id="rId21" location="gid=1378822152" ref="G31"/>
    <hyperlink r:id="rId22" location="gid=1551135700" ref="G32"/>
    <hyperlink r:id="rId23" location="gid=203157323" ref="G33"/>
    <hyperlink r:id="rId24" location="gid=1249147766" ref="G34"/>
    <hyperlink r:id="rId25" location="gid=250531914" ref="G36"/>
    <hyperlink r:id="rId26" location="gid=1442484658" ref="G37"/>
    <hyperlink r:id="rId27" location="gid=226446592" ref="G38"/>
    <hyperlink r:id="rId28" location="gid=73427515" ref="G39"/>
    <hyperlink r:id="rId29" location="gid=1606809494" ref="G40"/>
    <hyperlink r:id="rId30" location="gid=1490301610" ref="G41"/>
    <hyperlink r:id="rId31" location="gid=1674176216" ref="G43"/>
    <hyperlink r:id="rId32" location="gid=187992005" ref="G44"/>
    <hyperlink r:id="rId33" location="gid=1124963330" ref="G45"/>
    <hyperlink r:id="rId34" location="gid=1161077968" ref="G46"/>
    <hyperlink r:id="rId35" location="gid=1084832460" ref="G47"/>
    <hyperlink r:id="rId36" location="gid=463140365" ref="G48"/>
    <hyperlink r:id="rId37" location="gid=1952631794" ref="G50"/>
    <hyperlink r:id="rId38" location="gid=2102779558" ref="G51"/>
    <hyperlink r:id="rId39" location="gid=172605906" ref="G52"/>
    <hyperlink r:id="rId40" location="gid=567178054" ref="G53"/>
    <hyperlink r:id="rId41" location="gid=94081125" ref="G54"/>
    <hyperlink r:id="rId42" location="gid=1363145223" ref="G55"/>
    <hyperlink r:id="rId43" location="gid=92297053" ref="G60"/>
    <hyperlink r:id="rId44" location="gid=333770643" ref="G61"/>
    <hyperlink r:id="rId45" location="gid=386887887" ref="G62"/>
    <hyperlink r:id="rId46" location="gid=903711915" ref="G63"/>
    <hyperlink r:id="rId47" location="gid=1180413794" ref="G64"/>
    <hyperlink r:id="rId48" location="gid=1067841590" ref="G65"/>
    <hyperlink r:id="rId49" location="gid=1694903098" ref="G67"/>
    <hyperlink r:id="rId50" location="gid=932398674" ref="G68"/>
    <hyperlink r:id="rId51" location="gid=835966412" ref="G69"/>
    <hyperlink r:id="rId52" location="gid=1359343923" ref="G70"/>
    <hyperlink r:id="rId53" location="gid=1312972039" ref="G71"/>
    <hyperlink r:id="rId54" location="gid=725275439" ref="G72"/>
    <hyperlink r:id="rId55" location="gid=1455257981" ref="G73"/>
    <hyperlink r:id="rId56" location="gid=1517833658" ref="G74"/>
    <hyperlink r:id="rId57" location="gid=1263985464" ref="G75"/>
    <hyperlink r:id="rId58" location="gid=1297721327" ref="G77"/>
    <hyperlink r:id="rId59" location="gid=1464067194" ref="G78"/>
    <hyperlink r:id="rId60" location="gid=156308038" ref="G79"/>
    <hyperlink r:id="rId61" location="gid=944882631" ref="G80"/>
    <hyperlink r:id="rId62" location="gid=830355473" ref="G81"/>
    <hyperlink r:id="rId63" location="gid=766682827" ref="G82"/>
    <hyperlink r:id="rId64" location="gid=2132566125" ref="G83"/>
    <hyperlink r:id="rId65" location="gid=868144174" ref="G84"/>
    <hyperlink r:id="rId66" location="gid=2039139109" ref="G85"/>
    <hyperlink r:id="rId67" location="gid=1003397716" ref="G87"/>
    <hyperlink r:id="rId68" location="gid=272485735" ref="G88"/>
    <hyperlink r:id="rId69" location="gid=1168296470" ref="G89"/>
    <hyperlink r:id="rId70" location="gid=475899890" ref="G90"/>
    <hyperlink r:id="rId71" location="gid=1325504686" ref="G93"/>
    <hyperlink r:id="rId72" location="gid=1968181927" ref="G94"/>
    <hyperlink r:id="rId73" location="gid=96059089" ref="G95"/>
    <hyperlink r:id="rId74" location="gid=1325215704" ref="G96"/>
    <hyperlink r:id="rId75" location="gid=1471874401" ref="G97"/>
    <hyperlink r:id="rId76" location="gid=1946637159" ref="G99"/>
    <hyperlink r:id="rId77" location="gid=362418463" ref="G100"/>
    <hyperlink r:id="rId78" location="gid=2099385109" ref="G101"/>
    <hyperlink r:id="rId79" location="gid=1614600556" ref="G102"/>
    <hyperlink r:id="rId80" location="gid=2044753713" ref="G103"/>
    <hyperlink r:id="rId81" location="gid=351481837" ref="G104"/>
    <hyperlink r:id="rId82" location="gid=1190817346" ref="G105"/>
    <hyperlink r:id="rId83" location="gid=552739001" ref="G106"/>
    <hyperlink r:id="rId84" location="gid=2086521675" ref="G107"/>
    <hyperlink r:id="rId85" location="gid=1964185499" ref="G109"/>
    <hyperlink r:id="rId86" location="gid=1439825464" ref="G110"/>
    <hyperlink r:id="rId87" location="gid=1291673460" ref="G111"/>
    <hyperlink r:id="rId88" location="gid=758444692" ref="G112"/>
    <hyperlink r:id="rId89" location="gid=648747949" ref="G113"/>
    <hyperlink r:id="rId90" location="gid=2062173590" ref="G114"/>
    <hyperlink r:id="rId91" location="gid=1847297832" ref="G115"/>
    <hyperlink r:id="rId92" location="gid=1574725234" ref="G116"/>
    <hyperlink r:id="rId93" location="gid=418625085" ref="G117"/>
    <hyperlink r:id="rId94" location="gid=1443249940" ref="G118"/>
    <hyperlink r:id="rId95" location="gid=1289356787" ref="G120"/>
    <hyperlink r:id="rId96" location="gid=981302302" ref="G121"/>
    <hyperlink r:id="rId97" location="gid=1691592695" ref="G122"/>
    <hyperlink r:id="rId98" location="gid=761619852" ref="G123"/>
    <hyperlink r:id="rId99" location="gid=368203443" ref="G124"/>
    <hyperlink r:id="rId100" location="gid=2088184291" ref="G125"/>
    <hyperlink r:id="rId101" location="gid=564217137" ref="G126"/>
    <hyperlink r:id="rId102" location="gid=1996385108" ref="G127"/>
    <hyperlink r:id="rId103" location="gid=1028663906" ref="G128"/>
    <hyperlink r:id="rId104" location="gid=850280978" ref="G130"/>
    <hyperlink r:id="rId105" location="gid=1984257165" ref="G131"/>
    <hyperlink r:id="rId106" location="gid=1709397632" ref="G132"/>
    <hyperlink r:id="rId107" location="gid=1678015852" ref="G135"/>
    <hyperlink r:id="rId108" location="gid=1845130604" ref="G136"/>
    <hyperlink r:id="rId109" location="gid=1703161567" ref="G137"/>
    <hyperlink r:id="rId110" location="gid=872716895" ref="G138"/>
    <hyperlink r:id="rId111" location="gid=772320473" ref="G139"/>
    <hyperlink r:id="rId112" location="gid=1109774129" ref="G140"/>
    <hyperlink r:id="rId113" location="gid=320573032" ref="G141"/>
    <hyperlink r:id="rId114" location="gid=1031251295" ref="G142"/>
    <hyperlink r:id="rId115" location="gid=1080547557" ref="G143"/>
    <hyperlink r:id="rId116" location="gid=90145508" ref="G144"/>
    <hyperlink r:id="rId117" location="gid=606449831" ref="G145"/>
    <hyperlink r:id="rId118" location="gid=2094238473" ref="G146"/>
    <hyperlink r:id="rId119" location="gid=841052326" ref="G149"/>
    <hyperlink r:id="rId120" location="gid=519101010" ref="G150"/>
    <hyperlink r:id="rId121" location="gid=1407511321" ref="G151"/>
    <hyperlink r:id="rId122" location="gid=1924883094" ref="G152"/>
    <hyperlink r:id="rId123" location="gid=1134374375" ref="G153"/>
    <hyperlink r:id="rId124" location="gid=1870026414" ref="G154"/>
    <hyperlink r:id="rId125" location="gid=843296533" ref="G155"/>
    <hyperlink r:id="rId126" location="gid=944737197" ref="G156"/>
    <hyperlink r:id="rId127" location="gid=1871390738" ref="G159"/>
    <hyperlink r:id="rId128" location="gid=335843577" ref="G160"/>
    <hyperlink r:id="rId129" location="gid=14257122" ref="G163"/>
    <hyperlink r:id="rId130" location="gid=684841316" ref="G164"/>
    <hyperlink r:id="rId131" location="gid=502426157" ref="G165"/>
    <hyperlink r:id="rId132" location="gid=153858332" ref="G166"/>
    <hyperlink r:id="rId133" location="gid=725759795" ref="G167"/>
    <hyperlink r:id="rId134" location="gid=1130870725" ref="G168"/>
    <hyperlink r:id="rId135" location="gid=1918591545" ref="G169"/>
    <hyperlink r:id="rId136" location="gid=578601544" ref="G170"/>
    <hyperlink r:id="rId137" location="gid=1111702831" ref="G171"/>
    <hyperlink r:id="rId138" location="gid=2146703672" ref="G190"/>
    <hyperlink r:id="rId139" location="gid=2113840601" ref="G191"/>
    <hyperlink r:id="rId140" location="gid=1973651129" ref="G192"/>
    <hyperlink r:id="rId141" location="gid=1750248757" ref="G193"/>
    <hyperlink r:id="rId142" location="gid=2030414354" ref="G194"/>
    <hyperlink r:id="rId143" location="gid=1983490623" ref="G195"/>
    <hyperlink r:id="rId144" location="gid=2084343866" ref="G198"/>
    <hyperlink r:id="rId145" location="gid=1642082472" ref="G199"/>
    <hyperlink r:id="rId146" location="gid=1328003788" ref="G200"/>
    <hyperlink r:id="rId147" location="gid=860463184" ref="G201"/>
    <hyperlink r:id="rId148" location="gid=1306444256" ref="G202"/>
    <hyperlink r:id="rId149" location="gid=1936850007" ref="G203"/>
    <hyperlink r:id="rId150" location="gid=1640411238" ref="G204"/>
    <hyperlink r:id="rId151" location="gid=2125410187" ref="G205"/>
    <hyperlink r:id="rId152" location="gid=1274460235" ref="G206"/>
    <hyperlink r:id="rId153" location="gid=761838493" ref="G207"/>
    <hyperlink r:id="rId154" location="gid=1134254766" ref="G208"/>
    <hyperlink r:id="rId155" location="gid=319840858" ref="G209"/>
    <hyperlink r:id="rId156" location="gid=1893899037" ref="G212"/>
    <hyperlink r:id="rId157" location="gid=1293487671" ref="G213"/>
    <hyperlink r:id="rId158" location="gid=712544272" ref="G214"/>
    <hyperlink r:id="rId159" location="gid=317530331" ref="G215"/>
    <hyperlink r:id="rId160" location="gid=17310441" ref="G218"/>
    <hyperlink r:id="rId161" location="gid=229682597" ref="G219"/>
    <hyperlink r:id="rId162" location="gid=498706488" ref="G220"/>
    <hyperlink r:id="rId163" location="gid=683110785" ref="G221"/>
    <hyperlink r:id="rId164" location="gid=473951967" ref="G222"/>
    <hyperlink r:id="rId165" location="gid=323486396" ref="G225"/>
    <hyperlink r:id="rId166" location="gid=1737826303" ref="G226"/>
    <hyperlink r:id="rId167" location="gid=7782311" ref="G227"/>
    <hyperlink r:id="rId168" location="gid=1793556253" ref="G228"/>
    <hyperlink r:id="rId169" location="gid=354719320" ref="G229"/>
    <hyperlink r:id="rId170" location="gid=1225862651" ref="G230"/>
  </hyperlinks>
  <drawing r:id="rId17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7.29" defaultRowHeight="15.0"/>
  <cols>
    <col customWidth="1" min="1" max="1" width="0.43"/>
    <col customWidth="1" min="2" max="2" width="16.71"/>
    <col customWidth="1" min="3" max="3" width="44.0"/>
    <col customWidth="1" min="4" max="4" width="17.14"/>
    <col customWidth="1" min="5" max="5" width="20.57"/>
    <col customWidth="1" min="6" max="6" width="36.71"/>
    <col customWidth="1" min="7" max="7" width="62.14"/>
    <col customWidth="1" min="8" max="8" width="28.86"/>
    <col customWidth="1" min="9" max="12" width="18.0"/>
    <col customWidth="1" min="13" max="35" width="14.43"/>
  </cols>
  <sheetData>
    <row r="1" ht="1.5" customHeight="1">
      <c r="A1" s="14" t="s">
        <v>2918</v>
      </c>
      <c r="B1" s="12"/>
      <c r="C1" s="13"/>
      <c r="D1" s="14"/>
      <c r="E1" s="14"/>
      <c r="F1" s="14"/>
      <c r="G1" s="386"/>
      <c r="H1" s="14"/>
      <c r="I1" s="14"/>
      <c r="J1" s="12"/>
      <c r="K1" s="12"/>
      <c r="L1" s="12"/>
      <c r="M1" s="15"/>
      <c r="N1" s="15"/>
      <c r="O1" s="15"/>
      <c r="P1" s="15"/>
      <c r="Q1" s="15"/>
      <c r="R1" s="15"/>
      <c r="S1" s="15"/>
      <c r="T1" s="15"/>
      <c r="U1" s="15"/>
      <c r="V1" s="15"/>
      <c r="W1" s="15"/>
      <c r="X1" s="15"/>
      <c r="Y1" s="15"/>
      <c r="Z1" s="15"/>
      <c r="AA1" s="15"/>
      <c r="AB1" s="15"/>
      <c r="AC1" s="15"/>
      <c r="AD1" s="15"/>
      <c r="AE1" s="15"/>
      <c r="AF1" s="15"/>
      <c r="AG1" s="15"/>
      <c r="AH1" s="15"/>
      <c r="AI1" s="15"/>
    </row>
    <row r="2" ht="1.5" customHeight="1">
      <c r="A2" s="12"/>
      <c r="B2" s="12"/>
      <c r="C2" s="13"/>
      <c r="D2" s="14"/>
      <c r="E2" s="14"/>
      <c r="F2" s="14"/>
      <c r="G2" s="386"/>
      <c r="H2" s="14"/>
      <c r="I2" s="14"/>
      <c r="J2" s="12"/>
      <c r="K2" s="12"/>
      <c r="L2" s="12"/>
      <c r="M2" s="15"/>
      <c r="N2" s="15"/>
      <c r="O2" s="15"/>
      <c r="P2" s="15"/>
      <c r="Q2" s="15"/>
      <c r="R2" s="15"/>
      <c r="S2" s="15"/>
      <c r="T2" s="15"/>
      <c r="U2" s="15"/>
      <c r="V2" s="15"/>
      <c r="W2" s="15"/>
      <c r="X2" s="15"/>
      <c r="Y2" s="15"/>
      <c r="Z2" s="15"/>
      <c r="AA2" s="15"/>
      <c r="AB2" s="15"/>
      <c r="AC2" s="15"/>
      <c r="AD2" s="15"/>
      <c r="AE2" s="15"/>
      <c r="AF2" s="15"/>
      <c r="AG2" s="15"/>
      <c r="AH2" s="15"/>
      <c r="AI2" s="15"/>
    </row>
    <row r="3" ht="1.5" customHeight="1">
      <c r="A3" s="14" t="s">
        <v>5</v>
      </c>
      <c r="B3" s="14" t="s">
        <v>5</v>
      </c>
      <c r="C3" s="13" t="s">
        <v>6</v>
      </c>
      <c r="J3" s="12"/>
      <c r="K3" s="12"/>
      <c r="L3" s="12"/>
      <c r="M3" s="15"/>
      <c r="N3" s="15"/>
      <c r="O3" s="15"/>
      <c r="P3" s="15"/>
      <c r="Q3" s="15"/>
      <c r="R3" s="15"/>
      <c r="S3" s="15"/>
      <c r="T3" s="15"/>
      <c r="U3" s="15"/>
      <c r="V3" s="15"/>
      <c r="W3" s="15"/>
      <c r="X3" s="15"/>
      <c r="Y3" s="15"/>
      <c r="Z3" s="15"/>
      <c r="AA3" s="15"/>
      <c r="AB3" s="15"/>
      <c r="AC3" s="15"/>
      <c r="AD3" s="15"/>
      <c r="AE3" s="15"/>
      <c r="AF3" s="15"/>
      <c r="AG3" s="15"/>
      <c r="AH3" s="15"/>
      <c r="AI3" s="15"/>
    </row>
    <row r="4" ht="17.25" customHeight="1">
      <c r="A4" s="20"/>
      <c r="B4" s="20"/>
      <c r="C4" s="21"/>
      <c r="D4" s="20"/>
      <c r="E4" s="20"/>
      <c r="F4" s="20"/>
      <c r="G4" s="387"/>
      <c r="H4" s="20"/>
      <c r="I4" s="20"/>
      <c r="J4" s="20"/>
      <c r="K4" s="20"/>
      <c r="L4" s="20"/>
      <c r="M4" s="15"/>
      <c r="N4" s="15"/>
      <c r="O4" s="15"/>
      <c r="P4" s="15"/>
      <c r="Q4" s="15"/>
      <c r="R4" s="15"/>
      <c r="S4" s="15"/>
      <c r="T4" s="15"/>
      <c r="U4" s="15"/>
      <c r="V4" s="15"/>
      <c r="W4" s="15"/>
      <c r="X4" s="15"/>
      <c r="Y4" s="15"/>
      <c r="Z4" s="15"/>
      <c r="AA4" s="15"/>
      <c r="AB4" s="15"/>
      <c r="AC4" s="15"/>
      <c r="AD4" s="15"/>
      <c r="AE4" s="15"/>
      <c r="AF4" s="15"/>
      <c r="AG4" s="15"/>
      <c r="AH4" s="15"/>
      <c r="AI4" s="15"/>
    </row>
    <row r="5" ht="16.5" customHeight="1">
      <c r="A5" s="22" t="s">
        <v>5</v>
      </c>
      <c r="B5" s="22" t="s">
        <v>7</v>
      </c>
      <c r="C5" s="228" t="s">
        <v>8</v>
      </c>
      <c r="D5" s="22" t="s">
        <v>9</v>
      </c>
      <c r="E5" s="22" t="s">
        <v>10</v>
      </c>
      <c r="F5" s="22" t="s">
        <v>11</v>
      </c>
      <c r="G5" s="388" t="s">
        <v>12</v>
      </c>
      <c r="H5" s="229" t="s">
        <v>13</v>
      </c>
      <c r="I5" s="22" t="s">
        <v>14</v>
      </c>
      <c r="J5" s="22" t="s">
        <v>15</v>
      </c>
      <c r="K5" s="22" t="s">
        <v>16</v>
      </c>
      <c r="L5" s="22" t="s">
        <v>17</v>
      </c>
      <c r="M5" s="15"/>
      <c r="N5" s="15"/>
      <c r="O5" s="15"/>
      <c r="P5" s="15"/>
      <c r="Q5" s="15"/>
      <c r="R5" s="15"/>
      <c r="S5" s="15"/>
      <c r="T5" s="15"/>
      <c r="U5" s="15"/>
      <c r="V5" s="15"/>
      <c r="W5" s="15"/>
      <c r="X5" s="15"/>
      <c r="Y5" s="15"/>
      <c r="Z5" s="15"/>
      <c r="AA5" s="15"/>
      <c r="AB5" s="15"/>
      <c r="AC5" s="15"/>
      <c r="AD5" s="15"/>
      <c r="AE5" s="15"/>
      <c r="AF5" s="15"/>
      <c r="AG5" s="15"/>
      <c r="AH5" s="15"/>
      <c r="AI5" s="15"/>
    </row>
    <row r="6" ht="18.0" customHeight="1">
      <c r="A6" s="32" t="s">
        <v>5</v>
      </c>
      <c r="B6" s="195" t="s">
        <v>1140</v>
      </c>
      <c r="C6" s="87" t="s">
        <v>5</v>
      </c>
      <c r="D6" s="8" t="s">
        <v>20</v>
      </c>
      <c r="E6" s="389" t="s">
        <v>89</v>
      </c>
      <c r="F6" s="390" t="s">
        <v>291</v>
      </c>
      <c r="G6" s="391"/>
      <c r="H6" s="392"/>
      <c r="I6" s="393"/>
      <c r="J6" s="393"/>
      <c r="K6" s="394"/>
      <c r="L6" s="394"/>
      <c r="M6" s="15"/>
      <c r="N6" s="15"/>
      <c r="O6" s="15"/>
      <c r="P6" s="15"/>
      <c r="Q6" s="15"/>
      <c r="R6" s="15"/>
      <c r="S6" s="15"/>
      <c r="T6" s="15"/>
      <c r="U6" s="15"/>
      <c r="V6" s="15"/>
      <c r="W6" s="15"/>
      <c r="X6" s="15"/>
      <c r="Y6" s="15"/>
      <c r="Z6" s="15"/>
      <c r="AA6" s="15"/>
      <c r="AB6" s="15"/>
      <c r="AC6" s="15"/>
      <c r="AD6" s="15"/>
      <c r="AE6" s="15"/>
      <c r="AF6" s="15"/>
      <c r="AG6" s="15"/>
      <c r="AH6" s="15"/>
      <c r="AI6" s="15"/>
    </row>
    <row r="7" ht="16.5" customHeight="1">
      <c r="A7" s="395" t="s">
        <v>5</v>
      </c>
      <c r="B7" s="395" t="s">
        <v>2919</v>
      </c>
      <c r="C7" s="396" t="s">
        <v>2920</v>
      </c>
      <c r="D7" s="395" t="s">
        <v>20</v>
      </c>
      <c r="E7" s="395" t="s">
        <v>178</v>
      </c>
      <c r="F7" s="169" t="s">
        <v>665</v>
      </c>
      <c r="G7" s="397" t="s">
        <v>2921</v>
      </c>
      <c r="H7" s="169" t="s">
        <v>665</v>
      </c>
      <c r="I7" s="398"/>
      <c r="J7" s="398"/>
      <c r="K7" s="398"/>
      <c r="L7" s="399"/>
      <c r="M7" s="18"/>
      <c r="N7" s="18"/>
      <c r="O7" s="18"/>
      <c r="P7" s="18"/>
      <c r="Q7" s="18"/>
      <c r="R7" s="18"/>
      <c r="S7" s="18"/>
      <c r="T7" s="18"/>
      <c r="U7" s="18"/>
      <c r="V7" s="18"/>
      <c r="W7" s="18"/>
      <c r="X7" s="18"/>
      <c r="Y7" s="18"/>
      <c r="Z7" s="18"/>
      <c r="AA7" s="18"/>
      <c r="AB7" s="18"/>
      <c r="AC7" s="18"/>
      <c r="AD7" s="18"/>
      <c r="AE7" s="18"/>
      <c r="AF7" s="18"/>
      <c r="AG7" s="18"/>
      <c r="AH7" s="18"/>
      <c r="AI7" s="18"/>
    </row>
    <row r="8" ht="16.5" customHeight="1">
      <c r="A8" s="395" t="s">
        <v>5</v>
      </c>
      <c r="E8" s="395" t="s">
        <v>178</v>
      </c>
      <c r="F8" s="169" t="s">
        <v>673</v>
      </c>
      <c r="G8" s="397" t="s">
        <v>2922</v>
      </c>
      <c r="H8" s="169" t="s">
        <v>673</v>
      </c>
      <c r="I8" s="398"/>
      <c r="J8" s="398"/>
      <c r="K8" s="398"/>
      <c r="L8" s="399"/>
      <c r="M8" s="18"/>
      <c r="N8" s="18"/>
      <c r="O8" s="18"/>
      <c r="P8" s="18"/>
      <c r="Q8" s="18"/>
      <c r="R8" s="18"/>
      <c r="S8" s="18"/>
      <c r="T8" s="18"/>
      <c r="U8" s="18"/>
      <c r="V8" s="18"/>
      <c r="W8" s="18"/>
      <c r="X8" s="18"/>
      <c r="Y8" s="18"/>
      <c r="Z8" s="18"/>
      <c r="AA8" s="18"/>
      <c r="AB8" s="18"/>
      <c r="AC8" s="18"/>
      <c r="AD8" s="18"/>
      <c r="AE8" s="18"/>
      <c r="AF8" s="18"/>
      <c r="AG8" s="18"/>
      <c r="AH8" s="18"/>
      <c r="AI8" s="18"/>
    </row>
    <row r="9" ht="16.5" customHeight="1">
      <c r="A9" s="395" t="s">
        <v>5</v>
      </c>
      <c r="E9" s="395" t="s">
        <v>178</v>
      </c>
      <c r="F9" s="400" t="s">
        <v>526</v>
      </c>
      <c r="G9" s="397" t="s">
        <v>2923</v>
      </c>
      <c r="H9" s="400" t="s">
        <v>526</v>
      </c>
      <c r="I9" s="398"/>
      <c r="J9" s="398"/>
      <c r="K9" s="398"/>
      <c r="L9" s="399"/>
      <c r="M9" s="18"/>
      <c r="N9" s="18"/>
      <c r="O9" s="18"/>
      <c r="P9" s="18"/>
      <c r="Q9" s="18"/>
      <c r="R9" s="18"/>
      <c r="S9" s="18"/>
      <c r="T9" s="18"/>
      <c r="U9" s="18"/>
      <c r="V9" s="18"/>
      <c r="W9" s="18"/>
      <c r="X9" s="18"/>
      <c r="Y9" s="18"/>
      <c r="Z9" s="18"/>
      <c r="AA9" s="18"/>
      <c r="AB9" s="18"/>
      <c r="AC9" s="18"/>
      <c r="AD9" s="18"/>
      <c r="AE9" s="18"/>
      <c r="AF9" s="18"/>
      <c r="AG9" s="18"/>
      <c r="AH9" s="18"/>
      <c r="AI9" s="18"/>
    </row>
    <row r="10" ht="16.5" customHeight="1">
      <c r="A10" s="395" t="s">
        <v>5</v>
      </c>
      <c r="E10" s="395" t="s">
        <v>178</v>
      </c>
      <c r="F10" s="169" t="s">
        <v>803</v>
      </c>
      <c r="G10" s="397" t="s">
        <v>2924</v>
      </c>
      <c r="H10" s="169" t="s">
        <v>803</v>
      </c>
      <c r="I10" s="398"/>
      <c r="J10" s="398"/>
      <c r="K10" s="398"/>
      <c r="L10" s="399"/>
      <c r="M10" s="18"/>
      <c r="N10" s="18"/>
      <c r="O10" s="18"/>
      <c r="P10" s="18"/>
      <c r="Q10" s="18"/>
      <c r="R10" s="18"/>
      <c r="S10" s="18"/>
      <c r="T10" s="18"/>
      <c r="U10" s="18"/>
      <c r="V10" s="18"/>
      <c r="W10" s="18"/>
      <c r="X10" s="18"/>
      <c r="Y10" s="18"/>
      <c r="Z10" s="18"/>
      <c r="AA10" s="18"/>
      <c r="AB10" s="18"/>
      <c r="AC10" s="18"/>
      <c r="AD10" s="18"/>
      <c r="AE10" s="18"/>
      <c r="AF10" s="18"/>
      <c r="AG10" s="18"/>
      <c r="AH10" s="18"/>
      <c r="AI10" s="18"/>
    </row>
    <row r="11" ht="16.5" customHeight="1">
      <c r="A11" s="401" t="s">
        <v>5</v>
      </c>
      <c r="E11" s="401" t="s">
        <v>178</v>
      </c>
      <c r="F11" s="402" t="s">
        <v>800</v>
      </c>
      <c r="G11" s="403"/>
      <c r="H11" s="404"/>
      <c r="I11" s="404"/>
      <c r="J11" s="404"/>
      <c r="K11" s="404"/>
      <c r="L11" s="405"/>
      <c r="M11" s="18"/>
      <c r="N11" s="18"/>
      <c r="O11" s="18"/>
      <c r="P11" s="18"/>
      <c r="Q11" s="18"/>
      <c r="R11" s="18"/>
      <c r="S11" s="18"/>
      <c r="T11" s="18"/>
      <c r="U11" s="406"/>
      <c r="V11" s="406"/>
      <c r="W11" s="406"/>
      <c r="X11" s="406"/>
      <c r="Y11" s="406"/>
      <c r="Z11" s="406"/>
      <c r="AA11" s="406"/>
      <c r="AB11" s="406"/>
      <c r="AC11" s="406"/>
      <c r="AD11" s="406"/>
      <c r="AE11" s="406"/>
      <c r="AF11" s="406"/>
      <c r="AG11" s="406"/>
      <c r="AH11" s="406"/>
      <c r="AI11" s="406"/>
    </row>
    <row r="12" ht="17.25" customHeight="1">
      <c r="A12" s="407" t="s">
        <v>5</v>
      </c>
      <c r="B12" s="196" t="s">
        <v>2925</v>
      </c>
      <c r="C12" s="87" t="s">
        <v>2926</v>
      </c>
      <c r="D12" s="8" t="s">
        <v>42</v>
      </c>
      <c r="E12" s="408" t="s">
        <v>89</v>
      </c>
      <c r="F12" s="408" t="s">
        <v>291</v>
      </c>
      <c r="G12" s="409"/>
      <c r="H12" s="409"/>
      <c r="I12" s="409"/>
      <c r="J12" s="409"/>
      <c r="K12" s="409"/>
      <c r="L12" s="409"/>
      <c r="M12" s="9"/>
      <c r="N12" s="9"/>
      <c r="O12" s="9"/>
      <c r="P12" s="9"/>
      <c r="Q12" s="9"/>
      <c r="R12" s="9"/>
      <c r="S12" s="9"/>
      <c r="T12" s="9"/>
      <c r="U12" s="409"/>
      <c r="V12" s="409"/>
      <c r="W12" s="409"/>
      <c r="X12" s="409"/>
      <c r="Y12" s="409"/>
      <c r="Z12" s="409"/>
      <c r="AA12" s="409"/>
      <c r="AB12" s="409"/>
      <c r="AC12" s="409"/>
      <c r="AD12" s="409"/>
      <c r="AE12" s="409"/>
      <c r="AF12" s="409"/>
      <c r="AG12" s="409"/>
      <c r="AH12" s="409"/>
      <c r="AI12" s="409"/>
    </row>
    <row r="13" ht="16.5" customHeight="1">
      <c r="A13" s="8" t="s">
        <v>5</v>
      </c>
      <c r="B13" s="8" t="s">
        <v>2927</v>
      </c>
      <c r="C13" s="410" t="s">
        <v>2928</v>
      </c>
      <c r="D13" s="8" t="s">
        <v>42</v>
      </c>
      <c r="E13" s="8" t="s">
        <v>21</v>
      </c>
      <c r="F13" s="8" t="s">
        <v>51</v>
      </c>
      <c r="G13" s="34" t="s">
        <v>2929</v>
      </c>
      <c r="H13" s="173" t="s">
        <v>51</v>
      </c>
      <c r="I13" s="9"/>
      <c r="J13" s="9"/>
      <c r="K13" s="9"/>
      <c r="L13" s="9"/>
      <c r="M13" s="9"/>
      <c r="N13" s="9"/>
      <c r="O13" s="9"/>
      <c r="P13" s="9"/>
      <c r="Q13" s="9"/>
      <c r="R13" s="9"/>
      <c r="S13" s="9"/>
      <c r="T13" s="9"/>
      <c r="U13" s="9"/>
      <c r="V13" s="9"/>
      <c r="W13" s="9"/>
      <c r="X13" s="9"/>
      <c r="Y13" s="9"/>
      <c r="Z13" s="9"/>
      <c r="AA13" s="9"/>
      <c r="AB13" s="9"/>
      <c r="AC13" s="9"/>
      <c r="AD13" s="9"/>
      <c r="AE13" s="9"/>
      <c r="AF13" s="9"/>
      <c r="AG13" s="15"/>
      <c r="AH13" s="15"/>
      <c r="AI13" s="15"/>
    </row>
    <row r="14" ht="16.5" customHeight="1">
      <c r="A14" s="8" t="s">
        <v>5</v>
      </c>
      <c r="E14" s="8" t="s">
        <v>172</v>
      </c>
      <c r="F14" s="8" t="s">
        <v>173</v>
      </c>
      <c r="G14" s="34" t="s">
        <v>2930</v>
      </c>
      <c r="H14" s="8" t="s">
        <v>173</v>
      </c>
      <c r="I14" s="9"/>
      <c r="J14" s="9"/>
      <c r="K14" s="9"/>
      <c r="L14" s="9"/>
      <c r="M14" s="9"/>
      <c r="N14" s="9"/>
      <c r="O14" s="9"/>
      <c r="P14" s="9"/>
      <c r="Q14" s="9"/>
      <c r="R14" s="9"/>
      <c r="S14" s="9"/>
      <c r="T14" s="9"/>
      <c r="U14" s="9"/>
      <c r="V14" s="9"/>
      <c r="W14" s="9"/>
      <c r="X14" s="9"/>
      <c r="Y14" s="9"/>
      <c r="Z14" s="9"/>
      <c r="AA14" s="9"/>
      <c r="AB14" s="9"/>
      <c r="AC14" s="9"/>
      <c r="AD14" s="9"/>
      <c r="AE14" s="9"/>
      <c r="AF14" s="9"/>
      <c r="AG14" s="15"/>
      <c r="AH14" s="15"/>
      <c r="AI14" s="15"/>
    </row>
    <row r="15" ht="16.5" customHeight="1">
      <c r="A15" s="8" t="s">
        <v>5</v>
      </c>
      <c r="E15" s="8" t="s">
        <v>172</v>
      </c>
      <c r="F15" s="8" t="s">
        <v>402</v>
      </c>
      <c r="G15" s="34" t="s">
        <v>2931</v>
      </c>
      <c r="H15" s="8" t="s">
        <v>402</v>
      </c>
      <c r="I15" s="9"/>
      <c r="J15" s="9"/>
      <c r="K15" s="9"/>
      <c r="L15" s="9"/>
      <c r="M15" s="9"/>
      <c r="N15" s="9"/>
      <c r="O15" s="9"/>
      <c r="P15" s="9"/>
      <c r="Q15" s="9"/>
      <c r="R15" s="9"/>
      <c r="S15" s="9"/>
      <c r="T15" s="9"/>
      <c r="U15" s="9"/>
      <c r="V15" s="9"/>
      <c r="W15" s="9"/>
      <c r="X15" s="9"/>
      <c r="Y15" s="9"/>
      <c r="Z15" s="9"/>
      <c r="AA15" s="9"/>
      <c r="AB15" s="9"/>
      <c r="AC15" s="9"/>
      <c r="AD15" s="9"/>
      <c r="AE15" s="9"/>
      <c r="AF15" s="9"/>
      <c r="AG15" s="15"/>
      <c r="AH15" s="15"/>
      <c r="AI15" s="15"/>
    </row>
    <row r="16" ht="16.5" customHeight="1">
      <c r="A16" s="8" t="s">
        <v>5</v>
      </c>
      <c r="E16" s="8" t="s">
        <v>172</v>
      </c>
      <c r="F16" s="8" t="s">
        <v>203</v>
      </c>
      <c r="G16" s="34" t="s">
        <v>2932</v>
      </c>
      <c r="H16" s="8" t="s">
        <v>203</v>
      </c>
      <c r="I16" s="9"/>
      <c r="J16" s="9"/>
      <c r="K16" s="9"/>
      <c r="L16" s="9"/>
      <c r="M16" s="9"/>
      <c r="N16" s="9"/>
      <c r="O16" s="9"/>
      <c r="P16" s="9"/>
      <c r="Q16" s="9"/>
      <c r="R16" s="9"/>
      <c r="S16" s="9"/>
      <c r="T16" s="9"/>
      <c r="U16" s="9"/>
      <c r="V16" s="9"/>
      <c r="W16" s="9"/>
      <c r="X16" s="9"/>
      <c r="Y16" s="9"/>
      <c r="Z16" s="9"/>
      <c r="AA16" s="9"/>
      <c r="AB16" s="9"/>
      <c r="AC16" s="9"/>
      <c r="AD16" s="9"/>
      <c r="AE16" s="9"/>
      <c r="AF16" s="9"/>
      <c r="AG16" s="15"/>
      <c r="AH16" s="15"/>
      <c r="AI16" s="15"/>
    </row>
    <row r="17" ht="16.5" customHeight="1">
      <c r="A17" s="8" t="s">
        <v>5</v>
      </c>
      <c r="E17" s="8" t="s">
        <v>172</v>
      </c>
      <c r="F17" s="8" t="s">
        <v>204</v>
      </c>
      <c r="G17" s="34" t="s">
        <v>2933</v>
      </c>
      <c r="H17" s="8" t="s">
        <v>204</v>
      </c>
      <c r="I17" s="9"/>
      <c r="J17" s="9"/>
      <c r="K17" s="9"/>
      <c r="L17" s="9"/>
      <c r="M17" s="9"/>
      <c r="N17" s="9"/>
      <c r="O17" s="9"/>
      <c r="P17" s="9"/>
      <c r="Q17" s="9"/>
      <c r="R17" s="9"/>
      <c r="S17" s="9"/>
      <c r="T17" s="9"/>
      <c r="U17" s="9"/>
      <c r="V17" s="9"/>
      <c r="W17" s="9"/>
      <c r="X17" s="9"/>
      <c r="Y17" s="9"/>
      <c r="Z17" s="9"/>
      <c r="AA17" s="9"/>
      <c r="AB17" s="9"/>
      <c r="AC17" s="9"/>
      <c r="AD17" s="9"/>
      <c r="AE17" s="9"/>
      <c r="AF17" s="9"/>
      <c r="AG17" s="15"/>
      <c r="AH17" s="15"/>
      <c r="AI17" s="15"/>
    </row>
    <row r="18" ht="16.5" customHeight="1">
      <c r="A18" s="8" t="s">
        <v>5</v>
      </c>
      <c r="E18" s="8" t="s">
        <v>88</v>
      </c>
      <c r="F18" s="8" t="s">
        <v>95</v>
      </c>
      <c r="G18" s="34" t="s">
        <v>2934</v>
      </c>
      <c r="H18" s="8" t="s">
        <v>95</v>
      </c>
      <c r="I18" s="9"/>
      <c r="J18" s="9"/>
      <c r="K18" s="9"/>
      <c r="L18" s="9"/>
      <c r="M18" s="9"/>
      <c r="N18" s="9"/>
      <c r="O18" s="9"/>
      <c r="P18" s="9"/>
      <c r="Q18" s="9"/>
      <c r="R18" s="9"/>
      <c r="S18" s="9"/>
      <c r="T18" s="9"/>
      <c r="U18" s="9"/>
      <c r="V18" s="9"/>
      <c r="W18" s="9"/>
      <c r="X18" s="9"/>
      <c r="Y18" s="9"/>
      <c r="Z18" s="9"/>
      <c r="AA18" s="9"/>
      <c r="AB18" s="9"/>
      <c r="AC18" s="9"/>
      <c r="AD18" s="9"/>
      <c r="AE18" s="9"/>
      <c r="AF18" s="9"/>
      <c r="AG18" s="15"/>
      <c r="AH18" s="15"/>
      <c r="AI18" s="15"/>
    </row>
    <row r="19" ht="16.5" customHeight="1">
      <c r="A19" s="8" t="s">
        <v>5</v>
      </c>
      <c r="E19" s="8" t="s">
        <v>88</v>
      </c>
      <c r="F19" s="8" t="s">
        <v>154</v>
      </c>
      <c r="G19" s="34" t="s">
        <v>2935</v>
      </c>
      <c r="H19" s="8" t="s">
        <v>154</v>
      </c>
      <c r="I19" s="9"/>
      <c r="J19" s="9"/>
      <c r="K19" s="9"/>
      <c r="L19" s="9"/>
      <c r="M19" s="9"/>
      <c r="N19" s="9"/>
      <c r="O19" s="9"/>
      <c r="P19" s="9"/>
      <c r="Q19" s="9"/>
      <c r="R19" s="9"/>
      <c r="S19" s="9"/>
      <c r="T19" s="9"/>
      <c r="U19" s="9"/>
      <c r="V19" s="9"/>
      <c r="W19" s="9"/>
      <c r="X19" s="9"/>
      <c r="Y19" s="9"/>
      <c r="Z19" s="9"/>
      <c r="AA19" s="9"/>
      <c r="AB19" s="9"/>
      <c r="AC19" s="9"/>
      <c r="AD19" s="9"/>
      <c r="AE19" s="9"/>
      <c r="AF19" s="9"/>
      <c r="AG19" s="15"/>
      <c r="AH19" s="15"/>
      <c r="AI19" s="15"/>
    </row>
    <row r="20" ht="16.5" customHeight="1">
      <c r="A20" s="8" t="s">
        <v>5</v>
      </c>
      <c r="E20" s="8" t="s">
        <v>88</v>
      </c>
      <c r="F20" s="8" t="s">
        <v>120</v>
      </c>
      <c r="G20" s="34" t="s">
        <v>2936</v>
      </c>
      <c r="H20" s="8" t="s">
        <v>120</v>
      </c>
      <c r="I20" s="9"/>
      <c r="J20" s="9"/>
      <c r="K20" s="9"/>
      <c r="L20" s="9"/>
      <c r="M20" s="9"/>
      <c r="N20" s="9"/>
      <c r="O20" s="9"/>
      <c r="P20" s="9"/>
      <c r="Q20" s="9"/>
      <c r="R20" s="9"/>
      <c r="S20" s="9"/>
      <c r="T20" s="9"/>
      <c r="U20" s="9"/>
      <c r="V20" s="9"/>
      <c r="W20" s="9"/>
      <c r="X20" s="9"/>
      <c r="Y20" s="9"/>
      <c r="Z20" s="9"/>
      <c r="AA20" s="9"/>
      <c r="AB20" s="9"/>
      <c r="AC20" s="9"/>
      <c r="AD20" s="9"/>
      <c r="AE20" s="9"/>
      <c r="AF20" s="9"/>
      <c r="AG20" s="15"/>
      <c r="AH20" s="15"/>
      <c r="AI20" s="15"/>
    </row>
    <row r="21" ht="16.5" customHeight="1">
      <c r="A21" s="8" t="s">
        <v>5</v>
      </c>
      <c r="E21" s="8" t="s">
        <v>88</v>
      </c>
      <c r="F21" s="173" t="s">
        <v>544</v>
      </c>
      <c r="G21" s="34" t="s">
        <v>2937</v>
      </c>
      <c r="H21" s="8" t="s">
        <v>544</v>
      </c>
      <c r="I21" s="9"/>
      <c r="J21" s="9"/>
      <c r="K21" s="9"/>
      <c r="L21" s="9"/>
      <c r="M21" s="9"/>
      <c r="N21" s="9"/>
      <c r="O21" s="9"/>
      <c r="P21" s="9"/>
      <c r="Q21" s="9"/>
      <c r="R21" s="9"/>
      <c r="S21" s="9"/>
      <c r="T21" s="9"/>
      <c r="U21" s="9"/>
      <c r="V21" s="9"/>
      <c r="W21" s="9"/>
      <c r="X21" s="9"/>
      <c r="Y21" s="9"/>
      <c r="Z21" s="9"/>
      <c r="AA21" s="9"/>
      <c r="AB21" s="9"/>
      <c r="AC21" s="9"/>
      <c r="AD21" s="9"/>
      <c r="AE21" s="9"/>
      <c r="AF21" s="9"/>
      <c r="AG21" s="15"/>
      <c r="AH21" s="15"/>
      <c r="AI21" s="15"/>
    </row>
    <row r="22" ht="16.5" customHeight="1">
      <c r="A22" s="8" t="s">
        <v>5</v>
      </c>
      <c r="E22" s="8" t="s">
        <v>88</v>
      </c>
      <c r="F22" s="8" t="s">
        <v>246</v>
      </c>
      <c r="G22" s="34" t="s">
        <v>2938</v>
      </c>
      <c r="H22" s="173" t="s">
        <v>246</v>
      </c>
      <c r="I22" s="9"/>
      <c r="J22" s="9"/>
      <c r="K22" s="9"/>
      <c r="L22" s="9"/>
      <c r="M22" s="9"/>
      <c r="N22" s="9"/>
      <c r="O22" s="9"/>
      <c r="P22" s="9"/>
      <c r="Q22" s="9"/>
      <c r="R22" s="9"/>
      <c r="S22" s="9"/>
      <c r="T22" s="9"/>
      <c r="U22" s="9"/>
      <c r="V22" s="9"/>
      <c r="W22" s="9"/>
      <c r="X22" s="9"/>
      <c r="Y22" s="9"/>
      <c r="Z22" s="9"/>
      <c r="AA22" s="9"/>
      <c r="AB22" s="9"/>
      <c r="AC22" s="9"/>
      <c r="AD22" s="9"/>
      <c r="AE22" s="9"/>
      <c r="AF22" s="9"/>
      <c r="AG22" s="15"/>
      <c r="AH22" s="15"/>
      <c r="AI22" s="15"/>
    </row>
    <row r="23" ht="16.5" customHeight="1">
      <c r="A23" s="8" t="s">
        <v>5</v>
      </c>
      <c r="E23" s="8" t="s">
        <v>88</v>
      </c>
      <c r="F23" s="8" t="s">
        <v>247</v>
      </c>
      <c r="G23" s="29"/>
      <c r="H23" s="31"/>
      <c r="I23" s="9"/>
      <c r="J23" s="9"/>
      <c r="K23" s="9"/>
      <c r="L23" s="9"/>
      <c r="M23" s="9"/>
      <c r="N23" s="9"/>
      <c r="O23" s="9"/>
      <c r="P23" s="9"/>
      <c r="Q23" s="9"/>
      <c r="R23" s="9"/>
      <c r="S23" s="9"/>
      <c r="T23" s="9"/>
      <c r="U23" s="9"/>
      <c r="V23" s="9"/>
      <c r="W23" s="9"/>
      <c r="X23" s="9"/>
      <c r="Y23" s="9"/>
      <c r="Z23" s="9"/>
      <c r="AA23" s="9"/>
      <c r="AB23" s="9"/>
      <c r="AC23" s="9"/>
      <c r="AD23" s="9"/>
      <c r="AE23" s="9"/>
      <c r="AF23" s="9"/>
      <c r="AG23" s="15"/>
      <c r="AH23" s="15"/>
      <c r="AI23" s="15"/>
    </row>
    <row r="24" ht="16.5" customHeight="1">
      <c r="A24" s="8" t="s">
        <v>5</v>
      </c>
      <c r="E24" s="8" t="s">
        <v>88</v>
      </c>
      <c r="F24" s="8" t="s">
        <v>125</v>
      </c>
      <c r="G24" s="34" t="s">
        <v>2939</v>
      </c>
      <c r="H24" s="8" t="s">
        <v>125</v>
      </c>
      <c r="I24" s="9"/>
      <c r="J24" s="9"/>
      <c r="K24" s="9"/>
      <c r="L24" s="9"/>
      <c r="M24" s="9"/>
      <c r="N24" s="9"/>
      <c r="O24" s="9"/>
      <c r="P24" s="9"/>
      <c r="Q24" s="9"/>
      <c r="R24" s="9"/>
      <c r="S24" s="9"/>
      <c r="T24" s="9"/>
      <c r="U24" s="9"/>
      <c r="V24" s="9"/>
      <c r="W24" s="9"/>
      <c r="X24" s="9"/>
      <c r="Y24" s="9"/>
      <c r="Z24" s="9"/>
      <c r="AA24" s="9"/>
      <c r="AB24" s="9"/>
      <c r="AC24" s="9"/>
      <c r="AD24" s="9"/>
      <c r="AE24" s="9"/>
      <c r="AF24" s="9"/>
      <c r="AG24" s="15"/>
      <c r="AH24" s="15"/>
      <c r="AI24" s="15"/>
    </row>
    <row r="25" ht="16.5" customHeight="1">
      <c r="A25" s="8" t="s">
        <v>5</v>
      </c>
      <c r="E25" s="8" t="s">
        <v>88</v>
      </c>
      <c r="F25" s="8" t="s">
        <v>531</v>
      </c>
      <c r="G25" s="34" t="s">
        <v>2940</v>
      </c>
      <c r="H25" s="8" t="s">
        <v>531</v>
      </c>
      <c r="I25" s="9"/>
      <c r="J25" s="9"/>
      <c r="K25" s="9"/>
      <c r="L25" s="9"/>
      <c r="M25" s="9"/>
      <c r="N25" s="9"/>
      <c r="O25" s="9"/>
      <c r="P25" s="9"/>
      <c r="Q25" s="9"/>
      <c r="R25" s="9"/>
      <c r="S25" s="9"/>
      <c r="T25" s="9"/>
      <c r="U25" s="9"/>
      <c r="V25" s="9"/>
      <c r="W25" s="9"/>
      <c r="X25" s="9"/>
      <c r="Y25" s="9"/>
      <c r="Z25" s="9"/>
      <c r="AA25" s="9"/>
      <c r="AB25" s="9"/>
      <c r="AC25" s="9"/>
      <c r="AD25" s="9"/>
      <c r="AE25" s="9"/>
      <c r="AF25" s="9"/>
      <c r="AG25" s="15"/>
      <c r="AH25" s="15"/>
      <c r="AI25" s="15"/>
    </row>
    <row r="26" ht="16.5" customHeight="1">
      <c r="A26" s="8" t="s">
        <v>5</v>
      </c>
      <c r="E26" s="8" t="s">
        <v>88</v>
      </c>
      <c r="F26" s="8" t="s">
        <v>892</v>
      </c>
      <c r="G26" s="29"/>
      <c r="H26" s="31"/>
      <c r="I26" s="9"/>
      <c r="J26" s="9"/>
      <c r="K26" s="9"/>
      <c r="L26" s="9"/>
      <c r="M26" s="9"/>
      <c r="N26" s="9"/>
      <c r="O26" s="9"/>
      <c r="P26" s="9"/>
      <c r="Q26" s="9"/>
      <c r="R26" s="9"/>
      <c r="S26" s="9"/>
      <c r="T26" s="9"/>
      <c r="U26" s="9"/>
      <c r="V26" s="9"/>
      <c r="W26" s="9"/>
      <c r="X26" s="9"/>
      <c r="Y26" s="9"/>
      <c r="Z26" s="9"/>
      <c r="AA26" s="9"/>
      <c r="AB26" s="9"/>
      <c r="AC26" s="9"/>
      <c r="AD26" s="9"/>
      <c r="AE26" s="9"/>
      <c r="AF26" s="9"/>
      <c r="AG26" s="15"/>
      <c r="AH26" s="15"/>
      <c r="AI26" s="15"/>
    </row>
    <row r="27" ht="16.5" customHeight="1">
      <c r="A27" s="8" t="s">
        <v>5</v>
      </c>
      <c r="E27" s="8" t="s">
        <v>86</v>
      </c>
      <c r="F27" s="8" t="s">
        <v>90</v>
      </c>
      <c r="G27" s="34" t="s">
        <v>2941</v>
      </c>
      <c r="H27" s="8" t="s">
        <v>90</v>
      </c>
      <c r="I27" s="9"/>
      <c r="J27" s="9"/>
      <c r="K27" s="9"/>
      <c r="L27" s="9"/>
      <c r="M27" s="9"/>
      <c r="N27" s="9"/>
      <c r="O27" s="9"/>
      <c r="P27" s="9"/>
      <c r="Q27" s="9"/>
      <c r="R27" s="9"/>
      <c r="S27" s="9"/>
      <c r="T27" s="9"/>
      <c r="U27" s="9"/>
      <c r="V27" s="9"/>
      <c r="W27" s="9"/>
      <c r="X27" s="9"/>
      <c r="Y27" s="9"/>
      <c r="Z27" s="9"/>
      <c r="AA27" s="9"/>
      <c r="AB27" s="9"/>
      <c r="AC27" s="9"/>
      <c r="AD27" s="9"/>
      <c r="AE27" s="9"/>
      <c r="AF27" s="9"/>
      <c r="AG27" s="15"/>
      <c r="AH27" s="15"/>
      <c r="AI27" s="15"/>
    </row>
    <row r="28" ht="16.5" customHeight="1">
      <c r="A28" s="8" t="s">
        <v>5</v>
      </c>
      <c r="E28" s="8" t="s">
        <v>86</v>
      </c>
      <c r="F28" s="8" t="s">
        <v>339</v>
      </c>
      <c r="G28" s="34" t="s">
        <v>2942</v>
      </c>
      <c r="H28" s="8" t="s">
        <v>339</v>
      </c>
      <c r="I28" s="9"/>
      <c r="J28" s="31"/>
      <c r="K28" s="9"/>
      <c r="L28" s="9"/>
      <c r="M28" s="9"/>
      <c r="N28" s="9"/>
      <c r="O28" s="9"/>
      <c r="P28" s="9"/>
      <c r="Q28" s="9"/>
      <c r="R28" s="9"/>
      <c r="S28" s="9"/>
      <c r="T28" s="9"/>
      <c r="U28" s="9"/>
      <c r="V28" s="9"/>
      <c r="W28" s="9"/>
      <c r="X28" s="9"/>
      <c r="Y28" s="9"/>
      <c r="Z28" s="9"/>
      <c r="AA28" s="9"/>
      <c r="AB28" s="9"/>
      <c r="AC28" s="9"/>
      <c r="AD28" s="9"/>
      <c r="AE28" s="9"/>
      <c r="AF28" s="9"/>
      <c r="AG28" s="15"/>
      <c r="AH28" s="15"/>
      <c r="AI28" s="15"/>
    </row>
    <row r="29" ht="16.5" customHeight="1">
      <c r="A29" s="8" t="s">
        <v>5</v>
      </c>
      <c r="E29" s="8" t="s">
        <v>178</v>
      </c>
      <c r="F29" s="8" t="s">
        <v>209</v>
      </c>
      <c r="G29" s="34" t="s">
        <v>2943</v>
      </c>
      <c r="H29" s="8" t="s">
        <v>209</v>
      </c>
      <c r="I29" s="31"/>
      <c r="J29" s="31"/>
      <c r="K29" s="9"/>
      <c r="L29" s="9"/>
      <c r="M29" s="9"/>
      <c r="N29" s="9"/>
      <c r="O29" s="9"/>
      <c r="P29" s="9"/>
      <c r="Q29" s="9"/>
      <c r="R29" s="9"/>
      <c r="S29" s="9"/>
      <c r="T29" s="9"/>
      <c r="U29" s="9"/>
      <c r="V29" s="9"/>
      <c r="W29" s="9"/>
      <c r="X29" s="9"/>
      <c r="Y29" s="9"/>
      <c r="Z29" s="9"/>
      <c r="AA29" s="9"/>
      <c r="AB29" s="9"/>
      <c r="AC29" s="9"/>
      <c r="AD29" s="9"/>
      <c r="AE29" s="9"/>
      <c r="AF29" s="9"/>
      <c r="AG29" s="15"/>
      <c r="AH29" s="15"/>
      <c r="AI29" s="15"/>
    </row>
    <row r="30" ht="16.5" customHeight="1">
      <c r="A30" s="8" t="s">
        <v>5</v>
      </c>
      <c r="E30" s="8" t="s">
        <v>178</v>
      </c>
      <c r="F30" s="8" t="s">
        <v>210</v>
      </c>
      <c r="G30" s="34" t="s">
        <v>2944</v>
      </c>
      <c r="H30" s="8" t="s">
        <v>210</v>
      </c>
      <c r="I30" s="31"/>
      <c r="J30" s="31"/>
      <c r="K30" s="9"/>
      <c r="L30" s="9"/>
      <c r="M30" s="9"/>
      <c r="N30" s="9"/>
      <c r="O30" s="9"/>
      <c r="P30" s="9"/>
      <c r="Q30" s="9"/>
      <c r="R30" s="9"/>
      <c r="S30" s="9"/>
      <c r="T30" s="9"/>
      <c r="U30" s="9"/>
      <c r="V30" s="9"/>
      <c r="W30" s="9"/>
      <c r="X30" s="9"/>
      <c r="Y30" s="9"/>
      <c r="Z30" s="9"/>
      <c r="AA30" s="9"/>
      <c r="AB30" s="9"/>
      <c r="AC30" s="9"/>
      <c r="AD30" s="9"/>
      <c r="AE30" s="9"/>
      <c r="AF30" s="9"/>
      <c r="AG30" s="15"/>
      <c r="AH30" s="15"/>
      <c r="AI30" s="15"/>
    </row>
    <row r="31" ht="16.5" customHeight="1">
      <c r="A31" s="8" t="s">
        <v>5</v>
      </c>
      <c r="E31" s="8" t="s">
        <v>178</v>
      </c>
      <c r="F31" s="8" t="s">
        <v>179</v>
      </c>
      <c r="G31" s="34" t="s">
        <v>2945</v>
      </c>
      <c r="H31" s="8" t="s">
        <v>179</v>
      </c>
      <c r="I31" s="31"/>
      <c r="J31" s="31"/>
      <c r="K31" s="9"/>
      <c r="L31" s="9"/>
      <c r="M31" s="9"/>
      <c r="N31" s="9"/>
      <c r="O31" s="9"/>
      <c r="P31" s="9"/>
      <c r="Q31" s="9"/>
      <c r="R31" s="9"/>
      <c r="S31" s="9"/>
      <c r="T31" s="9"/>
      <c r="U31" s="9"/>
      <c r="V31" s="9"/>
      <c r="W31" s="9"/>
      <c r="X31" s="9"/>
      <c r="Y31" s="9"/>
      <c r="Z31" s="9"/>
      <c r="AA31" s="9"/>
      <c r="AB31" s="9"/>
      <c r="AC31" s="9"/>
      <c r="AD31" s="9"/>
      <c r="AE31" s="9"/>
      <c r="AF31" s="9"/>
      <c r="AG31" s="15"/>
      <c r="AH31" s="15"/>
      <c r="AI31" s="15"/>
    </row>
    <row r="32" ht="16.5" customHeight="1">
      <c r="A32" s="8" t="s">
        <v>5</v>
      </c>
      <c r="E32" s="8" t="s">
        <v>178</v>
      </c>
      <c r="F32" s="173" t="s">
        <v>180</v>
      </c>
      <c r="G32" s="34" t="s">
        <v>2946</v>
      </c>
      <c r="H32" s="173" t="s">
        <v>180</v>
      </c>
      <c r="I32" s="31"/>
      <c r="J32" s="31"/>
      <c r="K32" s="9"/>
      <c r="L32" s="9"/>
      <c r="M32" s="9"/>
      <c r="N32" s="9"/>
      <c r="O32" s="9"/>
      <c r="P32" s="9"/>
      <c r="Q32" s="9"/>
      <c r="R32" s="9"/>
      <c r="S32" s="9"/>
      <c r="T32" s="9"/>
      <c r="U32" s="9"/>
      <c r="V32" s="9"/>
      <c r="W32" s="9"/>
      <c r="X32" s="9"/>
      <c r="Y32" s="9"/>
      <c r="Z32" s="9"/>
      <c r="AA32" s="9"/>
      <c r="AB32" s="9"/>
      <c r="AC32" s="9"/>
      <c r="AD32" s="9"/>
      <c r="AE32" s="9"/>
      <c r="AF32" s="9"/>
      <c r="AG32" s="15"/>
      <c r="AH32" s="15"/>
      <c r="AI32" s="15"/>
    </row>
    <row r="33" ht="16.5" customHeight="1">
      <c r="A33" s="8" t="s">
        <v>5</v>
      </c>
      <c r="E33" s="8" t="s">
        <v>178</v>
      </c>
      <c r="F33" s="8" t="s">
        <v>205</v>
      </c>
      <c r="G33" s="34" t="s">
        <v>2947</v>
      </c>
      <c r="H33" s="173" t="s">
        <v>205</v>
      </c>
      <c r="I33" s="31"/>
      <c r="J33" s="31"/>
      <c r="K33" s="9"/>
      <c r="L33" s="9"/>
      <c r="M33" s="9"/>
      <c r="N33" s="9"/>
      <c r="O33" s="9"/>
      <c r="P33" s="9"/>
      <c r="Q33" s="9"/>
      <c r="R33" s="9"/>
      <c r="S33" s="9"/>
      <c r="T33" s="9"/>
      <c r="U33" s="9"/>
      <c r="V33" s="9"/>
      <c r="W33" s="9"/>
      <c r="X33" s="9"/>
      <c r="Y33" s="9"/>
      <c r="Z33" s="9"/>
      <c r="AA33" s="9"/>
      <c r="AB33" s="9"/>
      <c r="AC33" s="9"/>
      <c r="AD33" s="9"/>
      <c r="AE33" s="9"/>
      <c r="AF33" s="9"/>
      <c r="AG33" s="15"/>
      <c r="AH33" s="15"/>
      <c r="AI33" s="15"/>
    </row>
    <row r="34" ht="16.5" customHeight="1">
      <c r="A34" s="8" t="s">
        <v>5</v>
      </c>
      <c r="E34" s="8" t="s">
        <v>178</v>
      </c>
      <c r="F34" s="8" t="s">
        <v>206</v>
      </c>
      <c r="G34" s="29"/>
      <c r="H34" s="36"/>
      <c r="I34" s="36"/>
      <c r="J34" s="36"/>
      <c r="L34" s="9"/>
      <c r="M34" s="9"/>
      <c r="N34" s="9"/>
      <c r="O34" s="9"/>
      <c r="P34" s="9"/>
      <c r="Q34" s="9"/>
      <c r="R34" s="9"/>
      <c r="S34" s="9"/>
      <c r="T34" s="9"/>
      <c r="U34" s="9"/>
      <c r="V34" s="9"/>
      <c r="W34" s="9"/>
      <c r="X34" s="9"/>
      <c r="Y34" s="9"/>
      <c r="Z34" s="9"/>
      <c r="AA34" s="9"/>
      <c r="AB34" s="9"/>
      <c r="AC34" s="9"/>
      <c r="AD34" s="9"/>
      <c r="AE34" s="9"/>
      <c r="AF34" s="9"/>
      <c r="AG34" s="15"/>
      <c r="AH34" s="15"/>
      <c r="AI34" s="15"/>
    </row>
    <row r="35" ht="16.5" customHeight="1">
      <c r="A35" s="8" t="s">
        <v>5</v>
      </c>
      <c r="E35" s="8" t="s">
        <v>178</v>
      </c>
      <c r="F35" s="8" t="s">
        <v>639</v>
      </c>
      <c r="G35" s="34" t="s">
        <v>2948</v>
      </c>
      <c r="H35" s="8" t="s">
        <v>639</v>
      </c>
      <c r="I35" s="31"/>
      <c r="J35" s="31"/>
      <c r="K35" s="9"/>
      <c r="L35" s="9"/>
      <c r="M35" s="9"/>
      <c r="N35" s="9"/>
      <c r="O35" s="9"/>
      <c r="P35" s="9"/>
      <c r="Q35" s="9"/>
      <c r="R35" s="9"/>
      <c r="S35" s="9"/>
      <c r="T35" s="9"/>
      <c r="U35" s="9"/>
      <c r="V35" s="9"/>
      <c r="W35" s="9"/>
      <c r="X35" s="9"/>
      <c r="Y35" s="9"/>
      <c r="Z35" s="9"/>
      <c r="AA35" s="9"/>
      <c r="AB35" s="9"/>
      <c r="AC35" s="9"/>
      <c r="AD35" s="9"/>
      <c r="AE35" s="9"/>
      <c r="AF35" s="9"/>
      <c r="AG35" s="15"/>
      <c r="AH35" s="15"/>
      <c r="AI35" s="15"/>
    </row>
    <row r="36" ht="16.5" customHeight="1">
      <c r="A36" s="8" t="s">
        <v>5</v>
      </c>
      <c r="E36" s="8" t="s">
        <v>172</v>
      </c>
      <c r="F36" s="8" t="s">
        <v>194</v>
      </c>
      <c r="G36" s="34" t="s">
        <v>2949</v>
      </c>
      <c r="H36" s="8" t="s">
        <v>194</v>
      </c>
      <c r="I36" s="31"/>
      <c r="J36" s="31"/>
      <c r="K36" s="9"/>
      <c r="L36" s="9"/>
      <c r="M36" s="9"/>
      <c r="N36" s="9"/>
      <c r="O36" s="9"/>
      <c r="P36" s="9"/>
      <c r="Q36" s="9"/>
      <c r="R36" s="9"/>
      <c r="S36" s="9"/>
      <c r="T36" s="9"/>
      <c r="U36" s="9"/>
      <c r="V36" s="9"/>
      <c r="W36" s="9"/>
      <c r="X36" s="9"/>
      <c r="Y36" s="9"/>
      <c r="Z36" s="9"/>
      <c r="AA36" s="9"/>
      <c r="AB36" s="9"/>
      <c r="AC36" s="9"/>
      <c r="AD36" s="9"/>
      <c r="AE36" s="9"/>
      <c r="AF36" s="9"/>
      <c r="AG36" s="15"/>
      <c r="AH36" s="15"/>
      <c r="AI36" s="15"/>
    </row>
    <row r="37" ht="16.5" customHeight="1">
      <c r="A37" s="8" t="s">
        <v>5</v>
      </c>
      <c r="E37" s="8" t="s">
        <v>178</v>
      </c>
      <c r="F37" s="8" t="s">
        <v>207</v>
      </c>
      <c r="G37" s="34" t="s">
        <v>2950</v>
      </c>
      <c r="H37" s="35" t="s">
        <v>207</v>
      </c>
      <c r="I37" s="36"/>
      <c r="J37" s="36"/>
      <c r="L37" s="9"/>
      <c r="M37" s="9"/>
      <c r="N37" s="9"/>
      <c r="O37" s="9"/>
      <c r="P37" s="9"/>
      <c r="Q37" s="9"/>
      <c r="R37" s="9"/>
      <c r="S37" s="9"/>
      <c r="T37" s="9"/>
      <c r="U37" s="9"/>
      <c r="V37" s="9"/>
      <c r="W37" s="9"/>
      <c r="X37" s="9"/>
      <c r="Y37" s="9"/>
      <c r="Z37" s="9"/>
      <c r="AA37" s="9"/>
      <c r="AB37" s="9"/>
      <c r="AC37" s="9"/>
      <c r="AD37" s="9"/>
      <c r="AE37" s="9"/>
      <c r="AF37" s="9"/>
      <c r="AG37" s="15"/>
      <c r="AH37" s="15"/>
      <c r="AI37" s="15"/>
    </row>
    <row r="38" ht="16.5" customHeight="1">
      <c r="A38" s="8" t="s">
        <v>5</v>
      </c>
      <c r="E38" s="8" t="s">
        <v>178</v>
      </c>
      <c r="F38" s="71" t="s">
        <v>2951</v>
      </c>
      <c r="G38" s="29"/>
      <c r="H38" s="36"/>
      <c r="I38" s="36"/>
      <c r="L38" s="9"/>
      <c r="M38" s="9"/>
      <c r="N38" s="9"/>
      <c r="O38" s="9"/>
      <c r="P38" s="9"/>
      <c r="Q38" s="9"/>
      <c r="R38" s="9"/>
      <c r="S38" s="9"/>
      <c r="T38" s="9"/>
      <c r="U38" s="9"/>
      <c r="V38" s="9"/>
      <c r="W38" s="9"/>
      <c r="X38" s="9"/>
      <c r="Y38" s="9"/>
      <c r="Z38" s="9"/>
      <c r="AA38" s="9"/>
      <c r="AB38" s="9"/>
      <c r="AC38" s="9"/>
      <c r="AD38" s="9"/>
      <c r="AE38" s="9"/>
      <c r="AF38" s="9"/>
      <c r="AG38" s="15"/>
      <c r="AH38" s="15"/>
      <c r="AI38" s="15"/>
    </row>
    <row r="39" ht="16.5" customHeight="1">
      <c r="A39" s="8" t="s">
        <v>5</v>
      </c>
      <c r="E39" s="8" t="s">
        <v>178</v>
      </c>
      <c r="F39" s="8" t="s">
        <v>209</v>
      </c>
      <c r="G39" s="34" t="s">
        <v>2943</v>
      </c>
      <c r="H39" s="8" t="s">
        <v>209</v>
      </c>
      <c r="I39" s="9"/>
      <c r="J39" s="9"/>
      <c r="K39" s="9"/>
      <c r="L39" s="9"/>
      <c r="M39" s="9"/>
      <c r="N39" s="9"/>
      <c r="O39" s="9"/>
      <c r="P39" s="9"/>
      <c r="Q39" s="9"/>
      <c r="R39" s="9"/>
      <c r="S39" s="9"/>
      <c r="T39" s="9"/>
      <c r="U39" s="9"/>
      <c r="V39" s="9"/>
      <c r="W39" s="9"/>
      <c r="X39" s="9"/>
      <c r="Y39" s="9"/>
      <c r="Z39" s="9"/>
      <c r="AA39" s="9"/>
      <c r="AB39" s="9"/>
      <c r="AC39" s="9"/>
      <c r="AD39" s="9"/>
      <c r="AE39" s="9"/>
      <c r="AF39" s="9"/>
      <c r="AG39" s="15"/>
      <c r="AH39" s="15"/>
      <c r="AI39" s="15"/>
    </row>
    <row r="40" ht="16.5" customHeight="1">
      <c r="A40" s="8" t="s">
        <v>5</v>
      </c>
      <c r="E40" s="8" t="s">
        <v>178</v>
      </c>
      <c r="F40" s="8" t="s">
        <v>210</v>
      </c>
      <c r="G40" s="34" t="s">
        <v>2952</v>
      </c>
      <c r="H40" s="35" t="s">
        <v>1987</v>
      </c>
      <c r="L40" s="9"/>
      <c r="M40" s="9"/>
      <c r="N40" s="9"/>
      <c r="O40" s="9"/>
      <c r="P40" s="9"/>
      <c r="Q40" s="9"/>
      <c r="R40" s="9"/>
      <c r="S40" s="9"/>
      <c r="T40" s="9"/>
      <c r="U40" s="9"/>
      <c r="V40" s="9"/>
      <c r="W40" s="9"/>
      <c r="X40" s="9"/>
      <c r="Y40" s="9"/>
      <c r="Z40" s="9"/>
      <c r="AA40" s="9"/>
      <c r="AB40" s="9"/>
      <c r="AC40" s="9"/>
      <c r="AD40" s="9"/>
      <c r="AE40" s="9"/>
      <c r="AF40" s="9"/>
      <c r="AG40" s="15"/>
      <c r="AH40" s="15"/>
      <c r="AI40" s="15"/>
    </row>
    <row r="41" ht="16.5" customHeight="1">
      <c r="A41" s="8" t="s">
        <v>5</v>
      </c>
      <c r="E41" s="8" t="s">
        <v>178</v>
      </c>
      <c r="F41" s="8" t="s">
        <v>208</v>
      </c>
      <c r="G41" s="34" t="s">
        <v>2953</v>
      </c>
      <c r="H41" s="35" t="s">
        <v>208</v>
      </c>
      <c r="L41" s="9"/>
      <c r="M41" s="9"/>
      <c r="N41" s="9"/>
      <c r="O41" s="9"/>
      <c r="P41" s="9"/>
      <c r="Q41" s="9"/>
      <c r="R41" s="9"/>
      <c r="S41" s="9"/>
      <c r="T41" s="9"/>
      <c r="U41" s="9"/>
      <c r="V41" s="9"/>
      <c r="W41" s="9"/>
      <c r="X41" s="9"/>
      <c r="Y41" s="9"/>
      <c r="Z41" s="9"/>
      <c r="AA41" s="9"/>
      <c r="AB41" s="9"/>
      <c r="AC41" s="9"/>
      <c r="AD41" s="9"/>
      <c r="AE41" s="9"/>
      <c r="AF41" s="9"/>
      <c r="AG41" s="15"/>
      <c r="AH41" s="15"/>
      <c r="AI41" s="15"/>
    </row>
    <row r="42" ht="16.5" customHeight="1">
      <c r="A42" s="408" t="s">
        <v>5</v>
      </c>
      <c r="E42" s="408" t="s">
        <v>178</v>
      </c>
      <c r="F42" s="408" t="s">
        <v>182</v>
      </c>
      <c r="G42" s="411" t="s">
        <v>2954</v>
      </c>
      <c r="H42" s="412" t="s">
        <v>182</v>
      </c>
      <c r="I42" s="413"/>
      <c r="J42" s="413"/>
      <c r="K42" s="413"/>
      <c r="L42" s="409"/>
      <c r="M42" s="9"/>
      <c r="N42" s="9"/>
      <c r="O42" s="9"/>
      <c r="P42" s="9"/>
      <c r="Q42" s="9"/>
      <c r="R42" s="9"/>
      <c r="S42" s="9"/>
      <c r="T42" s="9"/>
      <c r="U42" s="409"/>
      <c r="V42" s="409"/>
      <c r="W42" s="409"/>
      <c r="X42" s="409"/>
      <c r="Y42" s="409"/>
      <c r="Z42" s="409"/>
      <c r="AA42" s="409"/>
      <c r="AB42" s="409"/>
      <c r="AC42" s="409"/>
      <c r="AD42" s="409"/>
      <c r="AE42" s="409"/>
      <c r="AF42" s="409"/>
      <c r="AG42" s="414"/>
      <c r="AH42" s="414"/>
      <c r="AI42" s="414"/>
    </row>
    <row r="43" ht="16.5" customHeight="1">
      <c r="A43" s="408" t="s">
        <v>5</v>
      </c>
      <c r="B43" s="8" t="s">
        <v>2955</v>
      </c>
      <c r="C43" s="87" t="s">
        <v>2926</v>
      </c>
      <c r="D43" s="8" t="s">
        <v>42</v>
      </c>
      <c r="E43" s="408" t="s">
        <v>89</v>
      </c>
      <c r="F43" s="408" t="s">
        <v>291</v>
      </c>
      <c r="G43" s="393"/>
      <c r="H43" s="393"/>
      <c r="I43" s="409"/>
      <c r="J43" s="409"/>
      <c r="K43" s="409"/>
      <c r="L43" s="409"/>
      <c r="M43" s="9"/>
      <c r="N43" s="9"/>
      <c r="O43" s="9"/>
      <c r="P43" s="9"/>
      <c r="Q43" s="9"/>
      <c r="R43" s="9"/>
      <c r="S43" s="9"/>
      <c r="T43" s="9"/>
      <c r="U43" s="409"/>
      <c r="V43" s="409"/>
      <c r="W43" s="409"/>
      <c r="X43" s="409"/>
      <c r="Y43" s="409"/>
      <c r="Z43" s="409"/>
      <c r="AA43" s="409"/>
      <c r="AB43" s="409"/>
      <c r="AC43" s="409"/>
      <c r="AD43" s="409"/>
      <c r="AE43" s="409"/>
      <c r="AF43" s="409"/>
      <c r="AG43" s="414"/>
      <c r="AH43" s="414"/>
      <c r="AI43" s="414"/>
    </row>
    <row r="44" ht="16.5" customHeight="1">
      <c r="A44" s="8" t="s">
        <v>5</v>
      </c>
      <c r="B44" s="196" t="s">
        <v>2956</v>
      </c>
      <c r="C44" s="410" t="s">
        <v>2957</v>
      </c>
      <c r="D44" s="196" t="s">
        <v>42</v>
      </c>
      <c r="E44" s="8" t="s">
        <v>21</v>
      </c>
      <c r="F44" s="8" t="s">
        <v>51</v>
      </c>
      <c r="G44" s="34" t="s">
        <v>2958</v>
      </c>
      <c r="H44" s="35" t="s">
        <v>51</v>
      </c>
      <c r="L44" s="9"/>
      <c r="M44" s="9"/>
      <c r="N44" s="9"/>
      <c r="O44" s="9"/>
      <c r="P44" s="9"/>
      <c r="Q44" s="9"/>
      <c r="R44" s="9"/>
      <c r="S44" s="9"/>
      <c r="T44" s="9"/>
      <c r="U44" s="9"/>
      <c r="V44" s="9"/>
      <c r="W44" s="9"/>
      <c r="X44" s="9"/>
      <c r="Y44" s="9"/>
      <c r="Z44" s="9"/>
      <c r="AA44" s="9"/>
      <c r="AB44" s="9"/>
      <c r="AC44" s="9"/>
      <c r="AD44" s="9"/>
      <c r="AE44" s="9"/>
      <c r="AF44" s="9"/>
      <c r="AG44" s="15"/>
      <c r="AH44" s="15"/>
      <c r="AI44" s="15"/>
    </row>
    <row r="45" ht="16.5" customHeight="1">
      <c r="A45" s="8" t="s">
        <v>5</v>
      </c>
      <c r="E45" s="8" t="s">
        <v>178</v>
      </c>
      <c r="F45" s="8" t="s">
        <v>542</v>
      </c>
      <c r="G45" s="34" t="s">
        <v>2959</v>
      </c>
      <c r="H45" s="8" t="s">
        <v>542</v>
      </c>
      <c r="I45" s="9"/>
      <c r="J45" s="9"/>
      <c r="K45" s="9"/>
      <c r="L45" s="9"/>
      <c r="M45" s="9"/>
      <c r="N45" s="9"/>
      <c r="O45" s="9"/>
      <c r="P45" s="9"/>
      <c r="Q45" s="9"/>
      <c r="R45" s="9"/>
      <c r="S45" s="9"/>
      <c r="T45" s="9"/>
      <c r="U45" s="9"/>
      <c r="V45" s="9"/>
      <c r="W45" s="9"/>
      <c r="X45" s="9"/>
      <c r="Y45" s="9"/>
      <c r="Z45" s="9"/>
      <c r="AA45" s="9"/>
      <c r="AB45" s="9"/>
      <c r="AC45" s="9"/>
      <c r="AD45" s="9"/>
      <c r="AE45" s="9"/>
      <c r="AF45" s="9"/>
      <c r="AG45" s="15"/>
      <c r="AH45" s="15"/>
      <c r="AI45" s="15"/>
    </row>
    <row r="46" ht="16.5" customHeight="1">
      <c r="A46" s="8" t="s">
        <v>5</v>
      </c>
      <c r="E46" s="8" t="s">
        <v>178</v>
      </c>
      <c r="F46" s="8" t="s">
        <v>708</v>
      </c>
      <c r="G46" s="34" t="s">
        <v>2960</v>
      </c>
      <c r="H46" s="8" t="s">
        <v>708</v>
      </c>
      <c r="I46" s="9"/>
      <c r="J46" s="9"/>
      <c r="K46" s="9"/>
      <c r="L46" s="9"/>
      <c r="M46" s="9"/>
      <c r="N46" s="9"/>
      <c r="O46" s="9"/>
      <c r="P46" s="9"/>
      <c r="Q46" s="9"/>
      <c r="R46" s="9"/>
      <c r="S46" s="9"/>
      <c r="T46" s="9"/>
      <c r="U46" s="9"/>
      <c r="V46" s="9"/>
      <c r="W46" s="9"/>
      <c r="X46" s="9"/>
      <c r="Y46" s="9"/>
      <c r="Z46" s="9"/>
      <c r="AA46" s="9"/>
      <c r="AB46" s="9"/>
      <c r="AC46" s="9"/>
      <c r="AD46" s="9"/>
      <c r="AE46" s="9"/>
      <c r="AF46" s="9"/>
      <c r="AG46" s="15"/>
      <c r="AH46" s="15"/>
      <c r="AI46" s="15"/>
    </row>
    <row r="47" ht="16.5" customHeight="1">
      <c r="A47" s="8" t="s">
        <v>5</v>
      </c>
      <c r="E47" s="8" t="s">
        <v>178</v>
      </c>
      <c r="F47" s="8" t="s">
        <v>571</v>
      </c>
      <c r="G47" s="34" t="s">
        <v>2961</v>
      </c>
      <c r="H47" s="8" t="s">
        <v>571</v>
      </c>
      <c r="I47" s="9"/>
      <c r="J47" s="9"/>
      <c r="K47" s="9"/>
      <c r="L47" s="9"/>
      <c r="M47" s="9"/>
      <c r="N47" s="9"/>
      <c r="O47" s="9"/>
      <c r="P47" s="9"/>
      <c r="Q47" s="9"/>
      <c r="R47" s="9"/>
      <c r="S47" s="9"/>
      <c r="T47" s="9"/>
      <c r="U47" s="9"/>
      <c r="V47" s="9"/>
      <c r="W47" s="9"/>
      <c r="X47" s="9"/>
      <c r="Y47" s="9"/>
      <c r="Z47" s="9"/>
      <c r="AA47" s="9"/>
      <c r="AB47" s="9"/>
      <c r="AC47" s="9"/>
      <c r="AD47" s="9"/>
      <c r="AE47" s="9"/>
      <c r="AF47" s="9"/>
      <c r="AG47" s="15"/>
      <c r="AH47" s="15"/>
      <c r="AI47" s="15"/>
    </row>
    <row r="48" ht="16.5" customHeight="1">
      <c r="A48" s="8" t="s">
        <v>5</v>
      </c>
      <c r="E48" s="8" t="s">
        <v>21</v>
      </c>
      <c r="F48" s="8" t="s">
        <v>51</v>
      </c>
      <c r="G48" s="34" t="s">
        <v>2962</v>
      </c>
      <c r="H48" s="35" t="s">
        <v>1383</v>
      </c>
      <c r="L48" s="9"/>
      <c r="M48" s="9"/>
      <c r="N48" s="9"/>
      <c r="O48" s="9"/>
      <c r="P48" s="9"/>
      <c r="Q48" s="9"/>
      <c r="R48" s="9"/>
      <c r="S48" s="9"/>
      <c r="T48" s="9"/>
      <c r="U48" s="9"/>
      <c r="V48" s="9"/>
      <c r="W48" s="9"/>
      <c r="X48" s="9"/>
      <c r="Y48" s="9"/>
      <c r="Z48" s="9"/>
      <c r="AA48" s="9"/>
      <c r="AB48" s="9"/>
      <c r="AC48" s="9"/>
      <c r="AD48" s="9"/>
      <c r="AE48" s="9"/>
      <c r="AF48" s="9"/>
      <c r="AG48" s="15"/>
      <c r="AH48" s="15"/>
      <c r="AI48" s="15"/>
    </row>
    <row r="49" ht="16.5" customHeight="1">
      <c r="A49" s="8" t="s">
        <v>5</v>
      </c>
      <c r="E49" s="8" t="s">
        <v>172</v>
      </c>
      <c r="F49" s="8" t="s">
        <v>173</v>
      </c>
      <c r="G49" s="34" t="s">
        <v>2963</v>
      </c>
      <c r="H49" s="8" t="s">
        <v>173</v>
      </c>
      <c r="I49" s="9"/>
      <c r="J49" s="9"/>
      <c r="K49" s="9"/>
      <c r="L49" s="9"/>
      <c r="M49" s="9"/>
      <c r="N49" s="9"/>
      <c r="O49" s="9"/>
      <c r="P49" s="9"/>
      <c r="Q49" s="9"/>
      <c r="R49" s="9"/>
      <c r="S49" s="9"/>
      <c r="T49" s="9"/>
      <c r="U49" s="9"/>
      <c r="V49" s="9"/>
      <c r="W49" s="9"/>
      <c r="X49" s="9"/>
      <c r="Y49" s="9"/>
      <c r="Z49" s="9"/>
      <c r="AA49" s="9"/>
      <c r="AB49" s="9"/>
      <c r="AC49" s="9"/>
      <c r="AD49" s="9"/>
      <c r="AE49" s="9"/>
      <c r="AF49" s="9"/>
      <c r="AG49" s="15"/>
      <c r="AH49" s="15"/>
      <c r="AI49" s="15"/>
    </row>
    <row r="50" ht="16.5" customHeight="1">
      <c r="A50" s="8" t="s">
        <v>5</v>
      </c>
      <c r="E50" s="8" t="s">
        <v>172</v>
      </c>
      <c r="F50" s="8" t="s">
        <v>402</v>
      </c>
      <c r="G50" s="34" t="s">
        <v>2964</v>
      </c>
      <c r="H50" s="8" t="s">
        <v>402</v>
      </c>
      <c r="I50" s="9"/>
      <c r="J50" s="9"/>
      <c r="K50" s="9"/>
      <c r="L50" s="9"/>
      <c r="M50" s="9"/>
      <c r="N50" s="9"/>
      <c r="O50" s="9"/>
      <c r="P50" s="9"/>
      <c r="Q50" s="9"/>
      <c r="R50" s="9"/>
      <c r="S50" s="9"/>
      <c r="T50" s="9"/>
      <c r="U50" s="9"/>
      <c r="V50" s="9"/>
      <c r="W50" s="9"/>
      <c r="X50" s="9"/>
      <c r="Y50" s="9"/>
      <c r="Z50" s="9"/>
      <c r="AA50" s="9"/>
      <c r="AB50" s="9"/>
      <c r="AC50" s="9"/>
      <c r="AD50" s="9"/>
      <c r="AE50" s="9"/>
      <c r="AF50" s="9"/>
      <c r="AG50" s="15"/>
      <c r="AH50" s="15"/>
      <c r="AI50" s="15"/>
    </row>
    <row r="51" ht="16.5" customHeight="1">
      <c r="A51" s="8" t="s">
        <v>5</v>
      </c>
      <c r="E51" s="8" t="s">
        <v>172</v>
      </c>
      <c r="F51" s="173" t="s">
        <v>203</v>
      </c>
      <c r="G51" s="34" t="s">
        <v>2965</v>
      </c>
      <c r="H51" s="35" t="s">
        <v>1995</v>
      </c>
      <c r="I51" s="36"/>
      <c r="L51" s="9"/>
      <c r="M51" s="9"/>
      <c r="N51" s="9"/>
      <c r="O51" s="9"/>
      <c r="P51" s="9"/>
      <c r="Q51" s="9"/>
      <c r="R51" s="9"/>
      <c r="S51" s="9"/>
      <c r="T51" s="9"/>
      <c r="U51" s="9"/>
      <c r="V51" s="9"/>
      <c r="W51" s="9"/>
      <c r="X51" s="9"/>
      <c r="Y51" s="9"/>
      <c r="Z51" s="9"/>
      <c r="AA51" s="9"/>
      <c r="AB51" s="9"/>
      <c r="AC51" s="9"/>
      <c r="AD51" s="9"/>
      <c r="AE51" s="9"/>
      <c r="AF51" s="9"/>
      <c r="AG51" s="15"/>
      <c r="AH51" s="15"/>
      <c r="AI51" s="15"/>
    </row>
    <row r="52" ht="16.5" customHeight="1">
      <c r="A52" s="8" t="s">
        <v>5</v>
      </c>
      <c r="E52" s="8" t="s">
        <v>172</v>
      </c>
      <c r="F52" s="8" t="s">
        <v>204</v>
      </c>
      <c r="G52" s="34" t="s">
        <v>2966</v>
      </c>
      <c r="H52" s="35" t="s">
        <v>1996</v>
      </c>
      <c r="I52" s="36"/>
      <c r="L52" s="9"/>
      <c r="M52" s="9"/>
      <c r="N52" s="9"/>
      <c r="O52" s="9"/>
      <c r="P52" s="9"/>
      <c r="Q52" s="9"/>
      <c r="R52" s="9"/>
      <c r="S52" s="9"/>
      <c r="T52" s="9"/>
      <c r="U52" s="9"/>
      <c r="V52" s="9"/>
      <c r="W52" s="9"/>
      <c r="X52" s="9"/>
      <c r="Y52" s="9"/>
      <c r="Z52" s="9"/>
      <c r="AA52" s="9"/>
      <c r="AB52" s="9"/>
      <c r="AC52" s="9"/>
      <c r="AD52" s="9"/>
      <c r="AE52" s="9"/>
      <c r="AF52" s="9"/>
      <c r="AG52" s="15"/>
      <c r="AH52" s="15"/>
      <c r="AI52" s="15"/>
    </row>
    <row r="53" ht="16.5" customHeight="1">
      <c r="A53" s="8" t="s">
        <v>5</v>
      </c>
      <c r="E53" s="8" t="s">
        <v>172</v>
      </c>
      <c r="F53" s="8" t="s">
        <v>203</v>
      </c>
      <c r="G53" s="34" t="s">
        <v>2967</v>
      </c>
      <c r="H53" s="8" t="s">
        <v>203</v>
      </c>
      <c r="I53" s="9"/>
      <c r="J53" s="9"/>
      <c r="K53" s="9"/>
      <c r="L53" s="9"/>
      <c r="M53" s="9"/>
      <c r="N53" s="9"/>
      <c r="O53" s="9"/>
      <c r="P53" s="9"/>
      <c r="Q53" s="9"/>
      <c r="R53" s="9"/>
      <c r="S53" s="9"/>
      <c r="T53" s="9"/>
      <c r="U53" s="9"/>
      <c r="V53" s="9"/>
      <c r="W53" s="9"/>
      <c r="X53" s="9"/>
      <c r="Y53" s="9"/>
      <c r="Z53" s="9"/>
      <c r="AA53" s="9"/>
      <c r="AB53" s="9"/>
      <c r="AC53" s="9"/>
      <c r="AD53" s="9"/>
      <c r="AE53" s="9"/>
      <c r="AF53" s="9"/>
      <c r="AG53" s="15"/>
      <c r="AH53" s="15"/>
      <c r="AI53" s="15"/>
    </row>
    <row r="54" ht="16.5" customHeight="1">
      <c r="A54" s="8" t="s">
        <v>5</v>
      </c>
      <c r="E54" s="8" t="s">
        <v>172</v>
      </c>
      <c r="F54" s="8" t="s">
        <v>204</v>
      </c>
      <c r="G54" s="34" t="s">
        <v>2968</v>
      </c>
      <c r="H54" s="8" t="s">
        <v>204</v>
      </c>
      <c r="I54" s="9"/>
      <c r="J54" s="9"/>
      <c r="K54" s="9"/>
      <c r="L54" s="9"/>
      <c r="M54" s="9"/>
      <c r="N54" s="9"/>
      <c r="O54" s="9"/>
      <c r="P54" s="9"/>
      <c r="Q54" s="9"/>
      <c r="R54" s="9"/>
      <c r="S54" s="9"/>
      <c r="T54" s="9"/>
      <c r="U54" s="9"/>
      <c r="V54" s="9"/>
      <c r="W54" s="9"/>
      <c r="X54" s="9"/>
      <c r="Y54" s="9"/>
      <c r="Z54" s="9"/>
      <c r="AA54" s="9"/>
      <c r="AB54" s="9"/>
      <c r="AC54" s="9"/>
      <c r="AD54" s="9"/>
      <c r="AE54" s="9"/>
      <c r="AF54" s="9"/>
      <c r="AG54" s="15"/>
      <c r="AH54" s="15"/>
      <c r="AI54" s="15"/>
    </row>
    <row r="55" ht="16.5" customHeight="1">
      <c r="A55" s="8" t="s">
        <v>5</v>
      </c>
      <c r="E55" s="8" t="s">
        <v>88</v>
      </c>
      <c r="F55" s="8" t="s">
        <v>95</v>
      </c>
      <c r="G55" s="34" t="s">
        <v>2969</v>
      </c>
      <c r="H55" s="8" t="s">
        <v>95</v>
      </c>
      <c r="I55" s="9"/>
      <c r="J55" s="9"/>
      <c r="K55" s="9"/>
      <c r="L55" s="9"/>
      <c r="M55" s="9"/>
      <c r="N55" s="9"/>
      <c r="O55" s="9"/>
      <c r="P55" s="9"/>
      <c r="Q55" s="9"/>
      <c r="R55" s="9"/>
      <c r="S55" s="9"/>
      <c r="T55" s="9"/>
      <c r="U55" s="9"/>
      <c r="V55" s="9"/>
      <c r="W55" s="9"/>
      <c r="X55" s="9"/>
      <c r="Y55" s="9"/>
      <c r="Z55" s="9"/>
      <c r="AA55" s="9"/>
      <c r="AB55" s="9"/>
      <c r="AC55" s="9"/>
      <c r="AD55" s="9"/>
      <c r="AE55" s="9"/>
      <c r="AF55" s="9"/>
      <c r="AG55" s="15"/>
      <c r="AH55" s="15"/>
      <c r="AI55" s="15"/>
    </row>
    <row r="56" ht="16.5" customHeight="1">
      <c r="A56" s="8" t="s">
        <v>5</v>
      </c>
      <c r="E56" s="8" t="s">
        <v>88</v>
      </c>
      <c r="F56" s="8" t="s">
        <v>154</v>
      </c>
      <c r="G56" s="34" t="s">
        <v>2970</v>
      </c>
      <c r="H56" s="8" t="s">
        <v>154</v>
      </c>
      <c r="I56" s="9"/>
      <c r="J56" s="9"/>
      <c r="K56" s="9"/>
      <c r="L56" s="9"/>
      <c r="M56" s="9"/>
      <c r="N56" s="9"/>
      <c r="O56" s="9"/>
      <c r="P56" s="9"/>
      <c r="Q56" s="9"/>
      <c r="R56" s="9"/>
      <c r="S56" s="9"/>
      <c r="T56" s="9"/>
      <c r="U56" s="9"/>
      <c r="V56" s="9"/>
      <c r="W56" s="9"/>
      <c r="X56" s="9"/>
      <c r="Y56" s="9"/>
      <c r="Z56" s="9"/>
      <c r="AA56" s="9"/>
      <c r="AB56" s="9"/>
      <c r="AC56" s="9"/>
      <c r="AD56" s="9"/>
      <c r="AE56" s="9"/>
      <c r="AF56" s="9"/>
      <c r="AG56" s="15"/>
      <c r="AH56" s="15"/>
      <c r="AI56" s="15"/>
    </row>
    <row r="57" ht="16.5" customHeight="1">
      <c r="A57" s="8" t="s">
        <v>5</v>
      </c>
      <c r="E57" s="8" t="s">
        <v>88</v>
      </c>
      <c r="F57" s="8" t="s">
        <v>120</v>
      </c>
      <c r="G57" s="34" t="s">
        <v>2971</v>
      </c>
      <c r="H57" s="8" t="s">
        <v>120</v>
      </c>
      <c r="I57" s="9"/>
      <c r="J57" s="9"/>
      <c r="K57" s="9"/>
      <c r="L57" s="9"/>
      <c r="M57" s="9"/>
      <c r="N57" s="9"/>
      <c r="O57" s="9"/>
      <c r="P57" s="9"/>
      <c r="Q57" s="9"/>
      <c r="R57" s="9"/>
      <c r="S57" s="9"/>
      <c r="T57" s="9"/>
      <c r="U57" s="9"/>
      <c r="V57" s="9"/>
      <c r="W57" s="9"/>
      <c r="X57" s="9"/>
      <c r="Y57" s="9"/>
      <c r="Z57" s="9"/>
      <c r="AA57" s="9"/>
      <c r="AB57" s="9"/>
      <c r="AC57" s="9"/>
      <c r="AD57" s="9"/>
      <c r="AE57" s="9"/>
      <c r="AF57" s="9"/>
      <c r="AG57" s="15"/>
      <c r="AH57" s="15"/>
      <c r="AI57" s="15"/>
    </row>
    <row r="58" ht="16.5" customHeight="1">
      <c r="A58" s="8" t="s">
        <v>5</v>
      </c>
      <c r="E58" s="8" t="s">
        <v>88</v>
      </c>
      <c r="F58" s="8" t="s">
        <v>544</v>
      </c>
      <c r="G58" s="34" t="s">
        <v>2972</v>
      </c>
      <c r="H58" s="8" t="s">
        <v>544</v>
      </c>
      <c r="I58" s="9"/>
      <c r="J58" s="9"/>
      <c r="K58" s="9"/>
      <c r="L58" s="9"/>
      <c r="M58" s="9"/>
      <c r="N58" s="9"/>
      <c r="O58" s="9"/>
      <c r="P58" s="9"/>
      <c r="Q58" s="9"/>
      <c r="R58" s="9"/>
      <c r="S58" s="9"/>
      <c r="T58" s="9"/>
      <c r="U58" s="9"/>
      <c r="V58" s="9"/>
      <c r="W58" s="9"/>
      <c r="X58" s="9"/>
      <c r="Y58" s="9"/>
      <c r="Z58" s="9"/>
      <c r="AA58" s="9"/>
      <c r="AB58" s="9"/>
      <c r="AC58" s="9"/>
      <c r="AD58" s="9"/>
      <c r="AE58" s="9"/>
      <c r="AF58" s="9"/>
      <c r="AG58" s="15"/>
      <c r="AH58" s="15"/>
      <c r="AI58" s="15"/>
    </row>
    <row r="59" ht="16.5" customHeight="1">
      <c r="A59" s="8" t="s">
        <v>5</v>
      </c>
      <c r="E59" s="8" t="s">
        <v>88</v>
      </c>
      <c r="F59" s="8" t="s">
        <v>246</v>
      </c>
      <c r="G59" s="34" t="s">
        <v>2973</v>
      </c>
      <c r="H59" s="8" t="s">
        <v>246</v>
      </c>
      <c r="I59" s="31"/>
      <c r="J59" s="9"/>
      <c r="K59" s="9"/>
      <c r="L59" s="9"/>
      <c r="M59" s="9"/>
      <c r="N59" s="9"/>
      <c r="O59" s="9"/>
      <c r="P59" s="9"/>
      <c r="Q59" s="9"/>
      <c r="R59" s="9"/>
      <c r="S59" s="9"/>
      <c r="T59" s="9"/>
      <c r="U59" s="9"/>
      <c r="V59" s="9"/>
      <c r="W59" s="9"/>
      <c r="X59" s="9"/>
      <c r="Y59" s="9"/>
      <c r="Z59" s="9"/>
      <c r="AA59" s="9"/>
      <c r="AB59" s="9"/>
      <c r="AC59" s="9"/>
      <c r="AD59" s="9"/>
      <c r="AE59" s="9"/>
      <c r="AF59" s="9"/>
      <c r="AG59" s="15"/>
      <c r="AH59" s="15"/>
      <c r="AI59" s="15"/>
    </row>
    <row r="60" ht="16.5" customHeight="1">
      <c r="A60" s="8" t="s">
        <v>5</v>
      </c>
      <c r="E60" s="8" t="s">
        <v>88</v>
      </c>
      <c r="F60" s="8" t="s">
        <v>247</v>
      </c>
      <c r="G60" s="29"/>
      <c r="H60" s="31"/>
      <c r="I60" s="31"/>
      <c r="J60" s="9"/>
      <c r="K60" s="9"/>
      <c r="L60" s="9"/>
      <c r="M60" s="9"/>
      <c r="N60" s="9"/>
      <c r="O60" s="9"/>
      <c r="P60" s="9"/>
      <c r="Q60" s="9"/>
      <c r="R60" s="9"/>
      <c r="S60" s="9"/>
      <c r="T60" s="9"/>
      <c r="U60" s="9"/>
      <c r="V60" s="9"/>
      <c r="W60" s="9"/>
      <c r="X60" s="9"/>
      <c r="Y60" s="9"/>
      <c r="Z60" s="9"/>
      <c r="AA60" s="9"/>
      <c r="AB60" s="9"/>
      <c r="AC60" s="9"/>
      <c r="AD60" s="9"/>
      <c r="AE60" s="9"/>
      <c r="AF60" s="9"/>
      <c r="AG60" s="15"/>
      <c r="AH60" s="15"/>
      <c r="AI60" s="15"/>
    </row>
    <row r="61" ht="16.5" customHeight="1">
      <c r="A61" s="8" t="s">
        <v>5</v>
      </c>
      <c r="E61" s="8" t="s">
        <v>88</v>
      </c>
      <c r="F61" s="8" t="s">
        <v>125</v>
      </c>
      <c r="G61" s="34" t="str">
        <f>HYPERLINK("https://docs.google.com/spreadsheets/d/1EsD58Wo3A2L19SP8bHIajKtjIcQjde9l22rHBlb7YeI/edit#gid=1999856107", "https://docs.google.com/spreadsheets/d/1EsD58Wo3A2L19SP8bHIajKtjIcQjde9l22rHBlb7YeI/edit#gid=1999856107")</f>
        <v>https://docs.google.com/spreadsheets/d/1EsD58Wo3A2L19SP8bHIajKtjIcQjde9l22rHBlb7YeI/edit#gid=1999856107</v>
      </c>
      <c r="H61" s="35" t="s">
        <v>1919</v>
      </c>
      <c r="L61" s="9"/>
      <c r="M61" s="9"/>
      <c r="N61" s="9"/>
      <c r="O61" s="9"/>
      <c r="P61" s="9"/>
      <c r="Q61" s="9"/>
      <c r="R61" s="9"/>
      <c r="S61" s="9"/>
      <c r="T61" s="9"/>
      <c r="U61" s="9"/>
      <c r="V61" s="9"/>
      <c r="W61" s="9"/>
      <c r="X61" s="9"/>
      <c r="Y61" s="9"/>
      <c r="Z61" s="9"/>
      <c r="AA61" s="9"/>
      <c r="AB61" s="9"/>
      <c r="AC61" s="9"/>
      <c r="AD61" s="9"/>
      <c r="AE61" s="9"/>
      <c r="AF61" s="9"/>
      <c r="AG61" s="15"/>
      <c r="AH61" s="15"/>
      <c r="AI61" s="15"/>
    </row>
    <row r="62" ht="16.5" customHeight="1">
      <c r="A62" s="8" t="s">
        <v>5</v>
      </c>
      <c r="E62" s="8" t="s">
        <v>88</v>
      </c>
      <c r="F62" s="8" t="s">
        <v>675</v>
      </c>
      <c r="G62" s="34" t="str">
        <f>HYPERLINK("https://docs.google.com/spreadsheets/d/1EsD58Wo3A2L19SP8bHIajKtjIcQjde9l22rHBlb7YeI/edit#gid=874345991", "https://docs.google.com/spreadsheets/d/1EsD58Wo3A2L19SP8bHIajKtjIcQjde9l22rHBlb7YeI/edit#gid=874345991")</f>
        <v>https://docs.google.com/spreadsheets/d/1EsD58Wo3A2L19SP8bHIajKtjIcQjde9l22rHBlb7YeI/edit#gid=874345991</v>
      </c>
      <c r="H62" s="35" t="s">
        <v>675</v>
      </c>
      <c r="L62" s="9"/>
      <c r="M62" s="9"/>
      <c r="N62" s="9"/>
      <c r="O62" s="9"/>
      <c r="P62" s="9"/>
      <c r="Q62" s="9"/>
      <c r="R62" s="9"/>
      <c r="S62" s="9"/>
      <c r="T62" s="9"/>
      <c r="U62" s="9"/>
      <c r="V62" s="9"/>
      <c r="W62" s="9"/>
      <c r="X62" s="9"/>
      <c r="Y62" s="9"/>
      <c r="Z62" s="9"/>
      <c r="AA62" s="9"/>
      <c r="AB62" s="9"/>
      <c r="AC62" s="9"/>
      <c r="AD62" s="9"/>
      <c r="AE62" s="9"/>
      <c r="AF62" s="9"/>
      <c r="AG62" s="15"/>
      <c r="AH62" s="15"/>
      <c r="AI62" s="15"/>
    </row>
    <row r="63" ht="16.5" customHeight="1">
      <c r="A63" s="8" t="s">
        <v>5</v>
      </c>
      <c r="E63" s="8" t="s">
        <v>88</v>
      </c>
      <c r="F63" s="8" t="s">
        <v>125</v>
      </c>
      <c r="G63" s="34" t="s">
        <v>2974</v>
      </c>
      <c r="H63" s="8" t="s">
        <v>125</v>
      </c>
      <c r="I63" s="9"/>
      <c r="J63" s="9"/>
      <c r="K63" s="9"/>
      <c r="L63" s="9"/>
      <c r="M63" s="9"/>
      <c r="N63" s="9"/>
      <c r="O63" s="9"/>
      <c r="P63" s="9"/>
      <c r="Q63" s="9"/>
      <c r="R63" s="9"/>
      <c r="S63" s="9"/>
      <c r="T63" s="9"/>
      <c r="U63" s="9"/>
      <c r="V63" s="9"/>
      <c r="W63" s="9"/>
      <c r="X63" s="9"/>
      <c r="Y63" s="9"/>
      <c r="Z63" s="9"/>
      <c r="AA63" s="9"/>
      <c r="AB63" s="9"/>
      <c r="AC63" s="9"/>
      <c r="AD63" s="9"/>
      <c r="AE63" s="9"/>
      <c r="AF63" s="9"/>
      <c r="AG63" s="15"/>
      <c r="AH63" s="15"/>
      <c r="AI63" s="15"/>
    </row>
    <row r="64" ht="16.5" customHeight="1">
      <c r="A64" s="8" t="s">
        <v>5</v>
      </c>
      <c r="E64" s="8" t="s">
        <v>88</v>
      </c>
      <c r="F64" s="8" t="s">
        <v>531</v>
      </c>
      <c r="G64" s="34" t="s">
        <v>2975</v>
      </c>
      <c r="H64" s="8" t="s">
        <v>531</v>
      </c>
      <c r="I64" s="9"/>
      <c r="J64" s="9"/>
      <c r="K64" s="9"/>
      <c r="L64" s="9"/>
      <c r="M64" s="9"/>
      <c r="N64" s="9"/>
      <c r="O64" s="9"/>
      <c r="P64" s="9"/>
      <c r="Q64" s="9"/>
      <c r="R64" s="9"/>
      <c r="S64" s="9"/>
      <c r="T64" s="9"/>
      <c r="U64" s="9"/>
      <c r="V64" s="9"/>
      <c r="W64" s="9"/>
      <c r="X64" s="9"/>
      <c r="Y64" s="9"/>
      <c r="Z64" s="9"/>
      <c r="AA64" s="9"/>
      <c r="AB64" s="9"/>
      <c r="AC64" s="9"/>
      <c r="AD64" s="9"/>
      <c r="AE64" s="9"/>
      <c r="AF64" s="9"/>
      <c r="AG64" s="15"/>
      <c r="AH64" s="15"/>
      <c r="AI64" s="15"/>
    </row>
    <row r="65" ht="16.5" customHeight="1">
      <c r="A65" s="8" t="s">
        <v>5</v>
      </c>
      <c r="E65" s="8" t="s">
        <v>88</v>
      </c>
      <c r="F65" s="8" t="s">
        <v>892</v>
      </c>
      <c r="G65" s="29"/>
      <c r="H65" s="31"/>
      <c r="I65" s="9"/>
      <c r="J65" s="9"/>
      <c r="K65" s="9"/>
      <c r="L65" s="9"/>
      <c r="M65" s="9"/>
      <c r="N65" s="9"/>
      <c r="O65" s="9"/>
      <c r="P65" s="9"/>
      <c r="Q65" s="9"/>
      <c r="R65" s="9"/>
      <c r="S65" s="9"/>
      <c r="T65" s="9"/>
      <c r="U65" s="9"/>
      <c r="V65" s="9"/>
      <c r="W65" s="9"/>
      <c r="X65" s="9"/>
      <c r="Y65" s="9"/>
      <c r="Z65" s="9"/>
      <c r="AA65" s="9"/>
      <c r="AB65" s="9"/>
      <c r="AC65" s="9"/>
      <c r="AD65" s="9"/>
      <c r="AE65" s="9"/>
      <c r="AF65" s="9"/>
      <c r="AG65" s="15"/>
      <c r="AH65" s="15"/>
      <c r="AI65" s="15"/>
    </row>
    <row r="66" ht="16.5" customHeight="1">
      <c r="A66" s="8" t="s">
        <v>5</v>
      </c>
      <c r="E66" s="8" t="s">
        <v>86</v>
      </c>
      <c r="F66" s="8" t="s">
        <v>90</v>
      </c>
      <c r="G66" s="34" t="s">
        <v>2976</v>
      </c>
      <c r="H66" s="8" t="s">
        <v>90</v>
      </c>
      <c r="I66" s="9"/>
      <c r="J66" s="9"/>
      <c r="K66" s="9"/>
      <c r="L66" s="9"/>
      <c r="M66" s="9"/>
      <c r="N66" s="9"/>
      <c r="O66" s="9"/>
      <c r="P66" s="9"/>
      <c r="Q66" s="9"/>
      <c r="R66" s="9"/>
      <c r="S66" s="9"/>
      <c r="T66" s="9"/>
      <c r="U66" s="9"/>
      <c r="V66" s="9"/>
      <c r="W66" s="9"/>
      <c r="X66" s="9"/>
      <c r="Y66" s="9"/>
      <c r="Z66" s="9"/>
      <c r="AA66" s="9"/>
      <c r="AB66" s="9"/>
      <c r="AC66" s="9"/>
      <c r="AD66" s="9"/>
      <c r="AE66" s="9"/>
      <c r="AF66" s="9"/>
      <c r="AG66" s="15"/>
      <c r="AH66" s="15"/>
      <c r="AI66" s="15"/>
    </row>
    <row r="67" ht="16.5" customHeight="1">
      <c r="A67" s="8" t="s">
        <v>5</v>
      </c>
      <c r="E67" s="8" t="s">
        <v>86</v>
      </c>
      <c r="F67" s="173" t="s">
        <v>339</v>
      </c>
      <c r="G67" s="34" t="s">
        <v>2977</v>
      </c>
      <c r="H67" s="173" t="s">
        <v>339</v>
      </c>
      <c r="I67" s="31"/>
      <c r="J67" s="9"/>
      <c r="K67" s="9"/>
      <c r="L67" s="9"/>
      <c r="M67" s="9"/>
      <c r="N67" s="9"/>
      <c r="O67" s="9"/>
      <c r="P67" s="9"/>
      <c r="Q67" s="9"/>
      <c r="R67" s="9"/>
      <c r="S67" s="9"/>
      <c r="T67" s="9"/>
      <c r="U67" s="9"/>
      <c r="V67" s="9"/>
      <c r="W67" s="9"/>
      <c r="X67" s="9"/>
      <c r="Y67" s="9"/>
      <c r="Z67" s="9"/>
      <c r="AA67" s="9"/>
      <c r="AB67" s="9"/>
      <c r="AC67" s="9"/>
      <c r="AD67" s="9"/>
      <c r="AE67" s="9"/>
      <c r="AF67" s="9"/>
      <c r="AG67" s="15"/>
      <c r="AH67" s="15"/>
      <c r="AI67" s="15"/>
    </row>
    <row r="68" ht="16.5" customHeight="1">
      <c r="A68" s="8" t="s">
        <v>5</v>
      </c>
      <c r="E68" s="8" t="s">
        <v>178</v>
      </c>
      <c r="F68" s="8" t="s">
        <v>209</v>
      </c>
      <c r="G68" s="34" t="s">
        <v>2978</v>
      </c>
      <c r="H68" s="173" t="s">
        <v>209</v>
      </c>
      <c r="I68" s="31"/>
      <c r="J68" s="9"/>
      <c r="K68" s="9"/>
      <c r="L68" s="9"/>
      <c r="M68" s="9"/>
      <c r="N68" s="9"/>
      <c r="O68" s="9"/>
      <c r="P68" s="9"/>
      <c r="Q68" s="9"/>
      <c r="R68" s="9"/>
      <c r="S68" s="9"/>
      <c r="T68" s="9"/>
      <c r="U68" s="9"/>
      <c r="V68" s="9"/>
      <c r="W68" s="9"/>
      <c r="X68" s="9"/>
      <c r="Y68" s="9"/>
      <c r="Z68" s="9"/>
      <c r="AA68" s="9"/>
      <c r="AB68" s="9"/>
      <c r="AC68" s="9"/>
      <c r="AD68" s="9"/>
      <c r="AE68" s="9"/>
      <c r="AF68" s="9"/>
      <c r="AG68" s="15"/>
      <c r="AH68" s="15"/>
      <c r="AI68" s="15"/>
    </row>
    <row r="69" ht="16.5" customHeight="1">
      <c r="A69" s="8" t="s">
        <v>5</v>
      </c>
      <c r="E69" s="8" t="s">
        <v>178</v>
      </c>
      <c r="F69" s="8" t="s">
        <v>210</v>
      </c>
      <c r="G69" s="34" t="s">
        <v>2979</v>
      </c>
      <c r="H69" s="35" t="s">
        <v>210</v>
      </c>
      <c r="L69" s="9"/>
      <c r="M69" s="9"/>
      <c r="N69" s="9"/>
      <c r="O69" s="9"/>
      <c r="P69" s="9"/>
      <c r="Q69" s="9"/>
      <c r="R69" s="9"/>
      <c r="S69" s="9"/>
      <c r="T69" s="9"/>
      <c r="U69" s="9"/>
      <c r="V69" s="9"/>
      <c r="W69" s="9"/>
      <c r="X69" s="9"/>
      <c r="Y69" s="9"/>
      <c r="Z69" s="9"/>
      <c r="AA69" s="9"/>
      <c r="AB69" s="9"/>
      <c r="AC69" s="9"/>
      <c r="AD69" s="9"/>
      <c r="AE69" s="9"/>
      <c r="AF69" s="9"/>
      <c r="AG69" s="15"/>
      <c r="AH69" s="15"/>
      <c r="AI69" s="15"/>
    </row>
    <row r="70" ht="16.5" customHeight="1">
      <c r="A70" s="8" t="s">
        <v>5</v>
      </c>
      <c r="E70" s="8" t="s">
        <v>178</v>
      </c>
      <c r="F70" s="8" t="s">
        <v>179</v>
      </c>
      <c r="G70" s="34" t="s">
        <v>2980</v>
      </c>
      <c r="H70" s="8" t="s">
        <v>179</v>
      </c>
      <c r="I70" s="9"/>
      <c r="J70" s="9"/>
      <c r="K70" s="9"/>
      <c r="L70" s="9"/>
      <c r="M70" s="9"/>
      <c r="N70" s="9"/>
      <c r="O70" s="9"/>
      <c r="P70" s="9"/>
      <c r="Q70" s="9"/>
      <c r="R70" s="9"/>
      <c r="S70" s="9"/>
      <c r="T70" s="9"/>
      <c r="U70" s="9"/>
      <c r="V70" s="9"/>
      <c r="W70" s="9"/>
      <c r="X70" s="9"/>
      <c r="Y70" s="9"/>
      <c r="Z70" s="9"/>
      <c r="AA70" s="9"/>
      <c r="AB70" s="9"/>
      <c r="AC70" s="9"/>
      <c r="AD70" s="9"/>
      <c r="AE70" s="9"/>
      <c r="AF70" s="9"/>
      <c r="AG70" s="15"/>
      <c r="AH70" s="15"/>
      <c r="AI70" s="15"/>
    </row>
    <row r="71" ht="16.5" customHeight="1">
      <c r="A71" s="8" t="s">
        <v>5</v>
      </c>
      <c r="E71" s="8" t="s">
        <v>178</v>
      </c>
      <c r="F71" s="8" t="s">
        <v>180</v>
      </c>
      <c r="G71" s="34" t="s">
        <v>2981</v>
      </c>
      <c r="H71" s="8" t="s">
        <v>180</v>
      </c>
      <c r="I71" s="9"/>
      <c r="J71" s="9"/>
      <c r="K71" s="9"/>
      <c r="L71" s="9"/>
      <c r="M71" s="9"/>
      <c r="N71" s="9"/>
      <c r="O71" s="9"/>
      <c r="P71" s="9"/>
      <c r="Q71" s="9"/>
      <c r="R71" s="9"/>
      <c r="S71" s="9"/>
      <c r="T71" s="9"/>
      <c r="U71" s="9"/>
      <c r="V71" s="9"/>
      <c r="W71" s="9"/>
      <c r="X71" s="9"/>
      <c r="Y71" s="9"/>
      <c r="Z71" s="9"/>
      <c r="AA71" s="9"/>
      <c r="AB71" s="9"/>
      <c r="AC71" s="9"/>
      <c r="AD71" s="9"/>
      <c r="AE71" s="9"/>
      <c r="AF71" s="9"/>
      <c r="AG71" s="15"/>
      <c r="AH71" s="15"/>
      <c r="AI71" s="15"/>
    </row>
    <row r="72" ht="16.5" customHeight="1">
      <c r="A72" s="8" t="s">
        <v>5</v>
      </c>
      <c r="E72" s="8" t="s">
        <v>178</v>
      </c>
      <c r="F72" s="8" t="s">
        <v>205</v>
      </c>
      <c r="G72" s="34" t="s">
        <v>2982</v>
      </c>
      <c r="H72" s="8" t="s">
        <v>205</v>
      </c>
      <c r="I72" s="9"/>
      <c r="J72" s="9"/>
      <c r="K72" s="9"/>
      <c r="L72" s="9"/>
      <c r="M72" s="9"/>
      <c r="N72" s="9"/>
      <c r="O72" s="9"/>
      <c r="P72" s="9"/>
      <c r="Q72" s="9"/>
      <c r="R72" s="9"/>
      <c r="S72" s="9"/>
      <c r="T72" s="9"/>
      <c r="U72" s="9"/>
      <c r="V72" s="9"/>
      <c r="W72" s="9"/>
      <c r="X72" s="9"/>
      <c r="Y72" s="9"/>
      <c r="Z72" s="9"/>
      <c r="AA72" s="9"/>
      <c r="AB72" s="9"/>
      <c r="AC72" s="9"/>
      <c r="AD72" s="9"/>
      <c r="AE72" s="9"/>
      <c r="AF72" s="9"/>
      <c r="AG72" s="15"/>
      <c r="AH72" s="15"/>
      <c r="AI72" s="15"/>
    </row>
    <row r="73" ht="16.5" customHeight="1">
      <c r="A73" s="8" t="s">
        <v>5</v>
      </c>
      <c r="E73" s="8" t="s">
        <v>178</v>
      </c>
      <c r="F73" s="8" t="s">
        <v>206</v>
      </c>
      <c r="G73" s="29"/>
      <c r="H73" s="31"/>
      <c r="I73" s="9"/>
      <c r="J73" s="9"/>
      <c r="K73" s="9"/>
      <c r="L73" s="9"/>
      <c r="M73" s="9"/>
      <c r="N73" s="9"/>
      <c r="O73" s="9"/>
      <c r="P73" s="9"/>
      <c r="Q73" s="9"/>
      <c r="R73" s="9"/>
      <c r="S73" s="9"/>
      <c r="T73" s="9"/>
      <c r="U73" s="9"/>
      <c r="V73" s="9"/>
      <c r="W73" s="9"/>
      <c r="X73" s="9"/>
      <c r="Y73" s="9"/>
      <c r="Z73" s="9"/>
      <c r="AA73" s="9"/>
      <c r="AB73" s="9"/>
      <c r="AC73" s="9"/>
      <c r="AD73" s="9"/>
      <c r="AE73" s="9"/>
      <c r="AF73" s="9"/>
      <c r="AG73" s="15"/>
      <c r="AH73" s="15"/>
      <c r="AI73" s="15"/>
    </row>
    <row r="74" ht="16.5" customHeight="1">
      <c r="A74" s="8" t="s">
        <v>5</v>
      </c>
      <c r="E74" s="8" t="s">
        <v>178</v>
      </c>
      <c r="F74" s="8" t="s">
        <v>639</v>
      </c>
      <c r="G74" s="34" t="s">
        <v>2983</v>
      </c>
      <c r="H74" s="8" t="s">
        <v>639</v>
      </c>
      <c r="I74" s="9"/>
      <c r="J74" s="9"/>
      <c r="K74" s="9"/>
      <c r="L74" s="9"/>
      <c r="M74" s="9"/>
      <c r="N74" s="9"/>
      <c r="O74" s="9"/>
      <c r="P74" s="9"/>
      <c r="Q74" s="9"/>
      <c r="R74" s="9"/>
      <c r="S74" s="9"/>
      <c r="T74" s="9"/>
      <c r="U74" s="9"/>
      <c r="V74" s="9"/>
      <c r="W74" s="9"/>
      <c r="X74" s="9"/>
      <c r="Y74" s="9"/>
      <c r="Z74" s="9"/>
      <c r="AA74" s="9"/>
      <c r="AB74" s="9"/>
      <c r="AC74" s="9"/>
      <c r="AD74" s="9"/>
      <c r="AE74" s="9"/>
      <c r="AF74" s="9"/>
      <c r="AG74" s="15"/>
      <c r="AH74" s="15"/>
      <c r="AI74" s="15"/>
    </row>
    <row r="75" ht="16.5" customHeight="1">
      <c r="A75" s="8" t="s">
        <v>5</v>
      </c>
      <c r="E75" s="8" t="s">
        <v>172</v>
      </c>
      <c r="F75" s="173" t="s">
        <v>194</v>
      </c>
      <c r="G75" s="34" t="s">
        <v>2984</v>
      </c>
      <c r="H75" s="173" t="s">
        <v>194</v>
      </c>
      <c r="I75" s="31"/>
      <c r="J75" s="9"/>
      <c r="K75" s="9"/>
      <c r="L75" s="9"/>
      <c r="M75" s="9"/>
      <c r="N75" s="9"/>
      <c r="O75" s="9"/>
      <c r="P75" s="9"/>
      <c r="Q75" s="9"/>
      <c r="R75" s="9"/>
      <c r="S75" s="9"/>
      <c r="T75" s="9"/>
      <c r="U75" s="9"/>
      <c r="V75" s="9"/>
      <c r="W75" s="9"/>
      <c r="X75" s="9"/>
      <c r="Y75" s="9"/>
      <c r="Z75" s="9"/>
      <c r="AA75" s="9"/>
      <c r="AB75" s="9"/>
      <c r="AC75" s="9"/>
      <c r="AD75" s="9"/>
      <c r="AE75" s="9"/>
      <c r="AF75" s="9"/>
      <c r="AG75" s="15"/>
      <c r="AH75" s="15"/>
      <c r="AI75" s="15"/>
    </row>
    <row r="76" ht="16.5" customHeight="1">
      <c r="A76" s="8"/>
      <c r="E76" s="8" t="s">
        <v>172</v>
      </c>
      <c r="F76" s="8" t="s">
        <v>2985</v>
      </c>
      <c r="G76" s="34" t="str">
        <f>HYPERLINK("https://docs.google.com/spreadsheets/d/1EsD58Wo3A2L19SP8bHIajKtjIcQjde9l22rHBlb7YeI/edit#gid=216676873", "https://docs.google.com/spreadsheets/d/1EsD58Wo3A2L19SP8bHIajKtjIcQjde9l22rHBlb7YeI/edit#gid=216676873")</f>
        <v>https://docs.google.com/spreadsheets/d/1EsD58Wo3A2L19SP8bHIajKtjIcQjde9l22rHBlb7YeI/edit#gid=216676873</v>
      </c>
      <c r="H76" s="173" t="s">
        <v>2985</v>
      </c>
      <c r="I76" s="31"/>
      <c r="J76" s="9"/>
      <c r="K76" s="9"/>
      <c r="L76" s="9"/>
      <c r="M76" s="9"/>
      <c r="N76" s="9"/>
      <c r="O76" s="9"/>
      <c r="P76" s="9"/>
      <c r="Q76" s="9"/>
      <c r="R76" s="9"/>
      <c r="S76" s="9"/>
      <c r="T76" s="9"/>
      <c r="U76" s="9"/>
      <c r="V76" s="9"/>
      <c r="W76" s="9"/>
      <c r="X76" s="9"/>
      <c r="Y76" s="9"/>
      <c r="Z76" s="9"/>
      <c r="AA76" s="9"/>
      <c r="AB76" s="9"/>
      <c r="AC76" s="9"/>
      <c r="AD76" s="9"/>
      <c r="AE76" s="9"/>
      <c r="AF76" s="9"/>
      <c r="AG76" s="15"/>
      <c r="AH76" s="15"/>
      <c r="AI76" s="15"/>
    </row>
    <row r="77" ht="16.5" customHeight="1">
      <c r="A77" s="8" t="s">
        <v>5</v>
      </c>
      <c r="E77" s="8" t="s">
        <v>178</v>
      </c>
      <c r="F77" s="8" t="s">
        <v>205</v>
      </c>
      <c r="G77" s="34" t="s">
        <v>2986</v>
      </c>
      <c r="H77" s="173" t="s">
        <v>1997</v>
      </c>
      <c r="I77" s="31"/>
      <c r="J77" s="9"/>
      <c r="K77" s="9"/>
      <c r="L77" s="9"/>
      <c r="M77" s="9"/>
      <c r="N77" s="9"/>
      <c r="O77" s="9"/>
      <c r="P77" s="9"/>
      <c r="Q77" s="9"/>
      <c r="R77" s="9"/>
      <c r="S77" s="9"/>
      <c r="T77" s="9"/>
      <c r="U77" s="9"/>
      <c r="V77" s="9"/>
      <c r="W77" s="9"/>
      <c r="X77" s="9"/>
      <c r="Y77" s="9"/>
      <c r="Z77" s="9"/>
      <c r="AA77" s="9"/>
      <c r="AB77" s="9"/>
      <c r="AC77" s="9"/>
      <c r="AD77" s="9"/>
      <c r="AE77" s="9"/>
      <c r="AF77" s="9"/>
      <c r="AG77" s="15"/>
      <c r="AH77" s="15"/>
      <c r="AI77" s="15"/>
    </row>
    <row r="78" ht="16.5" customHeight="1">
      <c r="A78" s="8" t="s">
        <v>5</v>
      </c>
      <c r="E78" s="8" t="s">
        <v>178</v>
      </c>
      <c r="F78" s="8" t="s">
        <v>206</v>
      </c>
      <c r="G78" s="29"/>
      <c r="H78" s="36"/>
      <c r="L78" s="9"/>
      <c r="M78" s="9"/>
      <c r="N78" s="9"/>
      <c r="O78" s="9"/>
      <c r="P78" s="9"/>
      <c r="Q78" s="9"/>
      <c r="R78" s="9"/>
      <c r="S78" s="9"/>
      <c r="T78" s="9"/>
      <c r="U78" s="9"/>
      <c r="V78" s="9"/>
      <c r="W78" s="9"/>
      <c r="X78" s="9"/>
      <c r="Y78" s="9"/>
      <c r="Z78" s="9"/>
      <c r="AA78" s="9"/>
      <c r="AB78" s="9"/>
      <c r="AC78" s="9"/>
      <c r="AD78" s="9"/>
      <c r="AE78" s="9"/>
      <c r="AF78" s="9"/>
      <c r="AG78" s="15"/>
      <c r="AH78" s="15"/>
      <c r="AI78" s="15"/>
    </row>
    <row r="79" ht="16.5" customHeight="1">
      <c r="A79" s="8" t="s">
        <v>5</v>
      </c>
      <c r="E79" s="8" t="s">
        <v>178</v>
      </c>
      <c r="F79" s="8" t="s">
        <v>639</v>
      </c>
      <c r="G79" s="34" t="s">
        <v>2987</v>
      </c>
      <c r="H79" s="35" t="s">
        <v>2988</v>
      </c>
      <c r="L79" s="9"/>
      <c r="M79" s="9"/>
      <c r="N79" s="9"/>
      <c r="O79" s="9"/>
      <c r="P79" s="9"/>
      <c r="Q79" s="9"/>
      <c r="R79" s="9"/>
      <c r="S79" s="9"/>
      <c r="T79" s="9"/>
      <c r="U79" s="9"/>
      <c r="V79" s="9"/>
      <c r="W79" s="9"/>
      <c r="X79" s="9"/>
      <c r="Y79" s="9"/>
      <c r="Z79" s="9"/>
      <c r="AA79" s="9"/>
      <c r="AB79" s="9"/>
      <c r="AC79" s="9"/>
      <c r="AD79" s="9"/>
      <c r="AE79" s="9"/>
      <c r="AF79" s="9"/>
      <c r="AG79" s="15"/>
      <c r="AH79" s="15"/>
      <c r="AI79" s="15"/>
    </row>
    <row r="80" ht="16.5" customHeight="1">
      <c r="A80" s="8" t="s">
        <v>5</v>
      </c>
      <c r="E80" s="8" t="s">
        <v>172</v>
      </c>
      <c r="F80" s="8" t="s">
        <v>194</v>
      </c>
      <c r="G80" s="34" t="s">
        <v>2989</v>
      </c>
      <c r="H80" s="173" t="s">
        <v>2990</v>
      </c>
      <c r="I80" s="9"/>
      <c r="J80" s="9"/>
      <c r="K80" s="9"/>
      <c r="L80" s="9"/>
      <c r="M80" s="9"/>
      <c r="N80" s="9"/>
      <c r="O80" s="9"/>
      <c r="P80" s="9"/>
      <c r="Q80" s="9"/>
      <c r="R80" s="9"/>
      <c r="S80" s="9"/>
      <c r="T80" s="9"/>
      <c r="U80" s="9"/>
      <c r="V80" s="9"/>
      <c r="W80" s="9"/>
      <c r="X80" s="9"/>
      <c r="Y80" s="9"/>
      <c r="Z80" s="9"/>
      <c r="AA80" s="9"/>
      <c r="AB80" s="9"/>
      <c r="AC80" s="9"/>
      <c r="AD80" s="9"/>
      <c r="AE80" s="9"/>
      <c r="AF80" s="9"/>
      <c r="AG80" s="15"/>
      <c r="AH80" s="15"/>
      <c r="AI80" s="15"/>
    </row>
    <row r="81" ht="16.5" customHeight="1">
      <c r="A81" s="8"/>
      <c r="E81" s="8" t="s">
        <v>172</v>
      </c>
      <c r="F81" s="8" t="s">
        <v>2985</v>
      </c>
      <c r="G81" s="34" t="str">
        <f>HYPERLINK("https://docs.google.com/spreadsheets/d/1EsD58Wo3A2L19SP8bHIajKtjIcQjde9l22rHBlb7YeI/edit#gid=1532304615", "https://docs.google.com/spreadsheets/d/1EsD58Wo3A2L19SP8bHIajKtjIcQjde9l22rHBlb7YeI/edit#gid=1532304615")</f>
        <v>https://docs.google.com/spreadsheets/d/1EsD58Wo3A2L19SP8bHIajKtjIcQjde9l22rHBlb7YeI/edit#gid=1532304615</v>
      </c>
      <c r="H81" s="173" t="s">
        <v>2991</v>
      </c>
      <c r="I81" s="9"/>
      <c r="J81" s="9"/>
      <c r="K81" s="9"/>
      <c r="L81" s="9"/>
      <c r="M81" s="9"/>
      <c r="N81" s="9"/>
      <c r="O81" s="9"/>
      <c r="P81" s="9"/>
      <c r="Q81" s="9"/>
      <c r="R81" s="9"/>
      <c r="S81" s="9"/>
      <c r="T81" s="9"/>
      <c r="U81" s="9"/>
      <c r="V81" s="9"/>
      <c r="W81" s="9"/>
      <c r="X81" s="9"/>
      <c r="Y81" s="9"/>
      <c r="Z81" s="9"/>
      <c r="AA81" s="9"/>
      <c r="AB81" s="9"/>
      <c r="AC81" s="9"/>
      <c r="AD81" s="9"/>
      <c r="AE81" s="9"/>
      <c r="AF81" s="9"/>
      <c r="AG81" s="15"/>
      <c r="AH81" s="15"/>
      <c r="AI81" s="15"/>
    </row>
    <row r="82" ht="16.5" customHeight="1">
      <c r="A82" s="8" t="s">
        <v>5</v>
      </c>
      <c r="E82" s="8" t="s">
        <v>178</v>
      </c>
      <c r="F82" s="8" t="s">
        <v>207</v>
      </c>
      <c r="G82" s="34" t="s">
        <v>2992</v>
      </c>
      <c r="H82" s="173" t="s">
        <v>207</v>
      </c>
      <c r="I82" s="9"/>
      <c r="J82" s="9"/>
      <c r="K82" s="9"/>
      <c r="L82" s="9"/>
      <c r="M82" s="9"/>
      <c r="N82" s="9"/>
      <c r="O82" s="9"/>
      <c r="P82" s="9"/>
      <c r="Q82" s="9"/>
      <c r="R82" s="9"/>
      <c r="S82" s="9"/>
      <c r="T82" s="9"/>
      <c r="U82" s="9"/>
      <c r="V82" s="9"/>
      <c r="W82" s="9"/>
      <c r="X82" s="9"/>
      <c r="Y82" s="9"/>
      <c r="Z82" s="9"/>
      <c r="AA82" s="9"/>
      <c r="AB82" s="9"/>
      <c r="AC82" s="9"/>
      <c r="AD82" s="9"/>
      <c r="AE82" s="9"/>
      <c r="AF82" s="9"/>
      <c r="AG82" s="15"/>
      <c r="AH82" s="15"/>
      <c r="AI82" s="15"/>
    </row>
    <row r="83" ht="16.5" customHeight="1">
      <c r="A83" s="8" t="s">
        <v>5</v>
      </c>
      <c r="E83" s="8" t="s">
        <v>178</v>
      </c>
      <c r="F83" s="8" t="s">
        <v>2951</v>
      </c>
      <c r="G83" s="29"/>
      <c r="H83" s="36"/>
      <c r="L83" s="9"/>
      <c r="M83" s="9"/>
      <c r="N83" s="9"/>
      <c r="O83" s="9"/>
      <c r="P83" s="9"/>
      <c r="Q83" s="9"/>
      <c r="R83" s="9"/>
      <c r="S83" s="9"/>
      <c r="T83" s="9"/>
      <c r="U83" s="9"/>
      <c r="V83" s="9"/>
      <c r="W83" s="9"/>
      <c r="X83" s="9"/>
      <c r="Y83" s="9"/>
      <c r="Z83" s="9"/>
      <c r="AA83" s="9"/>
      <c r="AB83" s="9"/>
      <c r="AC83" s="9"/>
      <c r="AD83" s="9"/>
      <c r="AE83" s="9"/>
      <c r="AF83" s="9"/>
      <c r="AG83" s="15"/>
      <c r="AH83" s="15"/>
      <c r="AI83" s="15"/>
    </row>
    <row r="84" ht="16.5" customHeight="1">
      <c r="A84" s="8" t="s">
        <v>5</v>
      </c>
      <c r="E84" s="8" t="s">
        <v>178</v>
      </c>
      <c r="F84" s="8" t="s">
        <v>209</v>
      </c>
      <c r="G84" s="34" t="s">
        <v>2978</v>
      </c>
      <c r="H84" s="8" t="s">
        <v>209</v>
      </c>
      <c r="I84" s="9"/>
      <c r="J84" s="9"/>
      <c r="K84" s="9"/>
      <c r="L84" s="9"/>
      <c r="M84" s="9"/>
      <c r="N84" s="9"/>
      <c r="O84" s="9"/>
      <c r="P84" s="9"/>
      <c r="Q84" s="9"/>
      <c r="R84" s="9"/>
      <c r="S84" s="9"/>
      <c r="T84" s="9"/>
      <c r="U84" s="9"/>
      <c r="V84" s="9"/>
      <c r="W84" s="9"/>
      <c r="X84" s="9"/>
      <c r="Y84" s="9"/>
      <c r="Z84" s="9"/>
      <c r="AA84" s="9"/>
      <c r="AB84" s="9"/>
      <c r="AC84" s="9"/>
      <c r="AD84" s="9"/>
      <c r="AE84" s="9"/>
      <c r="AF84" s="9"/>
      <c r="AG84" s="15"/>
      <c r="AH84" s="15"/>
      <c r="AI84" s="15"/>
    </row>
    <row r="85" ht="16.5" customHeight="1">
      <c r="A85" s="8" t="s">
        <v>5</v>
      </c>
      <c r="E85" s="8" t="s">
        <v>178</v>
      </c>
      <c r="F85" s="8" t="s">
        <v>210</v>
      </c>
      <c r="G85" s="34" t="s">
        <v>2993</v>
      </c>
      <c r="H85" s="8" t="s">
        <v>1987</v>
      </c>
      <c r="I85" s="9"/>
      <c r="J85" s="9"/>
      <c r="K85" s="9"/>
      <c r="L85" s="9"/>
      <c r="M85" s="9"/>
      <c r="N85" s="9"/>
      <c r="O85" s="9"/>
      <c r="P85" s="9"/>
      <c r="Q85" s="9"/>
      <c r="R85" s="9"/>
      <c r="S85" s="9"/>
      <c r="T85" s="9"/>
      <c r="U85" s="9"/>
      <c r="V85" s="9"/>
      <c r="W85" s="9"/>
      <c r="X85" s="9"/>
      <c r="Y85" s="9"/>
      <c r="Z85" s="9"/>
      <c r="AA85" s="9"/>
      <c r="AB85" s="9"/>
      <c r="AC85" s="9"/>
      <c r="AD85" s="9"/>
      <c r="AE85" s="9"/>
      <c r="AF85" s="9"/>
      <c r="AG85" s="15"/>
      <c r="AH85" s="15"/>
      <c r="AI85" s="15"/>
    </row>
    <row r="86" ht="16.5" customHeight="1">
      <c r="A86" s="8" t="s">
        <v>5</v>
      </c>
      <c r="E86" s="8" t="s">
        <v>178</v>
      </c>
      <c r="F86" s="173" t="s">
        <v>208</v>
      </c>
      <c r="G86" s="34" t="s">
        <v>2994</v>
      </c>
      <c r="H86" s="173" t="s">
        <v>208</v>
      </c>
      <c r="I86" s="9"/>
      <c r="J86" s="9"/>
      <c r="K86" s="9"/>
      <c r="L86" s="9"/>
      <c r="M86" s="9"/>
      <c r="N86" s="9"/>
      <c r="O86" s="9"/>
      <c r="P86" s="9"/>
      <c r="Q86" s="9"/>
      <c r="R86" s="9"/>
      <c r="S86" s="9"/>
      <c r="T86" s="9"/>
      <c r="U86" s="9"/>
      <c r="V86" s="9"/>
      <c r="W86" s="9"/>
      <c r="X86" s="9"/>
      <c r="Y86" s="9"/>
      <c r="Z86" s="9"/>
      <c r="AA86" s="9"/>
      <c r="AB86" s="9"/>
      <c r="AC86" s="9"/>
      <c r="AD86" s="9"/>
      <c r="AE86" s="9"/>
      <c r="AF86" s="9"/>
      <c r="AG86" s="15"/>
      <c r="AH86" s="15"/>
      <c r="AI86" s="15"/>
    </row>
    <row r="87" ht="16.5" customHeight="1">
      <c r="A87" s="408" t="s">
        <v>5</v>
      </c>
      <c r="E87" s="408" t="s">
        <v>178</v>
      </c>
      <c r="F87" s="408" t="s">
        <v>182</v>
      </c>
      <c r="G87" s="411" t="s">
        <v>2995</v>
      </c>
      <c r="H87" s="415" t="s">
        <v>182</v>
      </c>
      <c r="I87" s="409"/>
      <c r="J87" s="409"/>
      <c r="K87" s="409"/>
      <c r="L87" s="409"/>
      <c r="M87" s="9"/>
      <c r="N87" s="9"/>
      <c r="O87" s="9"/>
      <c r="P87" s="9"/>
      <c r="Q87" s="9"/>
      <c r="R87" s="9"/>
      <c r="S87" s="9"/>
      <c r="T87" s="9"/>
      <c r="U87" s="409"/>
      <c r="V87" s="409"/>
      <c r="W87" s="409"/>
      <c r="X87" s="409"/>
      <c r="Y87" s="409"/>
      <c r="Z87" s="409"/>
      <c r="AA87" s="409"/>
      <c r="AB87" s="409"/>
      <c r="AC87" s="409"/>
      <c r="AD87" s="409"/>
      <c r="AE87" s="409"/>
      <c r="AF87" s="409"/>
      <c r="AG87" s="414"/>
      <c r="AH87" s="414"/>
      <c r="AI87" s="414"/>
    </row>
    <row r="88" ht="16.5" customHeight="1">
      <c r="A88" s="407" t="s">
        <v>5</v>
      </c>
      <c r="B88" s="195" t="s">
        <v>2996</v>
      </c>
      <c r="C88" s="87" t="s">
        <v>2926</v>
      </c>
      <c r="D88" s="8" t="s">
        <v>42</v>
      </c>
      <c r="E88" s="408" t="s">
        <v>89</v>
      </c>
      <c r="F88" s="408" t="s">
        <v>291</v>
      </c>
      <c r="G88" s="391"/>
      <c r="H88" s="392"/>
      <c r="I88" s="393"/>
      <c r="J88" s="409"/>
      <c r="K88" s="394"/>
      <c r="L88" s="394"/>
      <c r="M88" s="15"/>
      <c r="N88" s="15"/>
      <c r="O88" s="15"/>
      <c r="P88" s="15"/>
      <c r="Q88" s="15"/>
      <c r="R88" s="15"/>
      <c r="S88" s="15"/>
      <c r="T88" s="15"/>
      <c r="U88" s="414"/>
      <c r="V88" s="414"/>
      <c r="W88" s="414"/>
      <c r="X88" s="414"/>
      <c r="Y88" s="414"/>
      <c r="Z88" s="414"/>
      <c r="AA88" s="414"/>
      <c r="AB88" s="414"/>
      <c r="AC88" s="414"/>
      <c r="AD88" s="414"/>
      <c r="AE88" s="414"/>
      <c r="AF88" s="414"/>
      <c r="AG88" s="414"/>
      <c r="AH88" s="414"/>
      <c r="AI88" s="414"/>
    </row>
    <row r="89" ht="16.5" customHeight="1">
      <c r="A89" s="8" t="s">
        <v>5</v>
      </c>
      <c r="B89" s="8" t="s">
        <v>2997</v>
      </c>
      <c r="C89" s="85" t="s">
        <v>2998</v>
      </c>
      <c r="D89" s="8" t="s">
        <v>42</v>
      </c>
      <c r="E89" s="8" t="s">
        <v>21</v>
      </c>
      <c r="F89" s="58" t="s">
        <v>51</v>
      </c>
      <c r="G89" s="34" t="s">
        <v>2999</v>
      </c>
      <c r="H89" s="35" t="s">
        <v>51</v>
      </c>
      <c r="L89" s="9"/>
      <c r="M89" s="9"/>
      <c r="N89" s="9"/>
      <c r="O89" s="9"/>
      <c r="P89" s="9"/>
      <c r="Q89" s="9"/>
      <c r="R89" s="9"/>
      <c r="S89" s="9"/>
      <c r="T89" s="9"/>
      <c r="U89" s="9"/>
      <c r="V89" s="9"/>
      <c r="W89" s="9"/>
      <c r="X89" s="9"/>
      <c r="Y89" s="9"/>
      <c r="Z89" s="9"/>
      <c r="AA89" s="9"/>
      <c r="AB89" s="9"/>
      <c r="AC89" s="9"/>
      <c r="AD89" s="9"/>
      <c r="AE89" s="9"/>
      <c r="AF89" s="9"/>
      <c r="AG89" s="15"/>
      <c r="AH89" s="15"/>
      <c r="AI89" s="15"/>
    </row>
    <row r="90" ht="16.5" customHeight="1">
      <c r="A90" s="8" t="s">
        <v>5</v>
      </c>
      <c r="E90" s="8" t="s">
        <v>88</v>
      </c>
      <c r="F90" s="8" t="s">
        <v>95</v>
      </c>
      <c r="G90" s="34" t="s">
        <v>3000</v>
      </c>
      <c r="H90" s="8" t="s">
        <v>95</v>
      </c>
      <c r="I90" s="9"/>
      <c r="J90" s="9"/>
      <c r="K90" s="9"/>
      <c r="L90" s="9"/>
      <c r="M90" s="9"/>
      <c r="N90" s="9"/>
      <c r="O90" s="9"/>
      <c r="P90" s="9"/>
      <c r="Q90" s="9"/>
      <c r="R90" s="9"/>
      <c r="S90" s="9"/>
      <c r="T90" s="9"/>
      <c r="U90" s="9"/>
      <c r="V90" s="9"/>
      <c r="W90" s="9"/>
      <c r="X90" s="9"/>
      <c r="Y90" s="9"/>
      <c r="Z90" s="9"/>
      <c r="AA90" s="9"/>
      <c r="AB90" s="9"/>
      <c r="AC90" s="9"/>
      <c r="AD90" s="9"/>
      <c r="AE90" s="9"/>
      <c r="AF90" s="9"/>
      <c r="AG90" s="15"/>
      <c r="AH90" s="15"/>
      <c r="AI90" s="15"/>
    </row>
    <row r="91" ht="16.5" customHeight="1">
      <c r="A91" s="8" t="s">
        <v>5</v>
      </c>
      <c r="E91" s="8" t="s">
        <v>172</v>
      </c>
      <c r="F91" s="8" t="s">
        <v>203</v>
      </c>
      <c r="G91" s="34" t="s">
        <v>3001</v>
      </c>
      <c r="H91" s="8" t="s">
        <v>203</v>
      </c>
      <c r="I91" s="9"/>
      <c r="J91" s="9"/>
      <c r="K91" s="9"/>
      <c r="L91" s="9"/>
      <c r="M91" s="9"/>
      <c r="N91" s="9"/>
      <c r="O91" s="9"/>
      <c r="P91" s="9"/>
      <c r="Q91" s="9"/>
      <c r="R91" s="9"/>
      <c r="S91" s="9"/>
      <c r="T91" s="9"/>
      <c r="U91" s="9"/>
      <c r="V91" s="9"/>
      <c r="W91" s="9"/>
      <c r="X91" s="9"/>
      <c r="Y91" s="9"/>
      <c r="Z91" s="9"/>
      <c r="AA91" s="9"/>
      <c r="AB91" s="9"/>
      <c r="AC91" s="9"/>
      <c r="AD91" s="9"/>
      <c r="AE91" s="9"/>
      <c r="AF91" s="9"/>
      <c r="AG91" s="15"/>
      <c r="AH91" s="15"/>
      <c r="AI91" s="15"/>
    </row>
    <row r="92" ht="16.5" customHeight="1">
      <c r="A92" s="8" t="s">
        <v>5</v>
      </c>
      <c r="E92" s="8" t="s">
        <v>172</v>
      </c>
      <c r="F92" s="8" t="s">
        <v>204</v>
      </c>
      <c r="G92" s="34" t="s">
        <v>3002</v>
      </c>
      <c r="H92" s="8" t="s">
        <v>204</v>
      </c>
      <c r="I92" s="9"/>
      <c r="J92" s="9"/>
      <c r="K92" s="9"/>
      <c r="L92" s="9"/>
      <c r="M92" s="9"/>
      <c r="N92" s="9"/>
      <c r="O92" s="9"/>
      <c r="P92" s="9"/>
      <c r="Q92" s="9"/>
      <c r="R92" s="9"/>
      <c r="S92" s="9"/>
      <c r="T92" s="9"/>
      <c r="U92" s="9"/>
      <c r="V92" s="9"/>
      <c r="W92" s="9"/>
      <c r="X92" s="9"/>
      <c r="Y92" s="9"/>
      <c r="Z92" s="9"/>
      <c r="AA92" s="9"/>
      <c r="AB92" s="9"/>
      <c r="AC92" s="9"/>
      <c r="AD92" s="9"/>
      <c r="AE92" s="9"/>
      <c r="AF92" s="9"/>
      <c r="AG92" s="15"/>
      <c r="AH92" s="15"/>
      <c r="AI92" s="15"/>
    </row>
    <row r="93" ht="16.5" customHeight="1">
      <c r="A93" s="8" t="s">
        <v>5</v>
      </c>
      <c r="E93" s="8" t="s">
        <v>172</v>
      </c>
      <c r="F93" s="8" t="s">
        <v>173</v>
      </c>
      <c r="G93" s="34" t="s">
        <v>3003</v>
      </c>
      <c r="H93" s="8" t="s">
        <v>173</v>
      </c>
      <c r="I93" s="9"/>
      <c r="J93" s="9"/>
      <c r="K93" s="9"/>
      <c r="L93" s="9"/>
      <c r="M93" s="9"/>
      <c r="N93" s="9"/>
      <c r="O93" s="9"/>
      <c r="P93" s="9"/>
      <c r="Q93" s="9"/>
      <c r="R93" s="9"/>
      <c r="S93" s="9"/>
      <c r="T93" s="9"/>
      <c r="U93" s="9"/>
      <c r="V93" s="9"/>
      <c r="W93" s="9"/>
      <c r="X93" s="9"/>
      <c r="Y93" s="9"/>
      <c r="Z93" s="9"/>
      <c r="AA93" s="9"/>
      <c r="AB93" s="9"/>
      <c r="AC93" s="9"/>
      <c r="AD93" s="9"/>
      <c r="AE93" s="9"/>
      <c r="AF93" s="9"/>
      <c r="AG93" s="15"/>
      <c r="AH93" s="15"/>
      <c r="AI93" s="15"/>
    </row>
    <row r="94" ht="16.5" customHeight="1">
      <c r="A94" s="8" t="s">
        <v>5</v>
      </c>
      <c r="E94" s="8" t="s">
        <v>172</v>
      </c>
      <c r="F94" s="8" t="s">
        <v>174</v>
      </c>
      <c r="G94" s="34" t="s">
        <v>3004</v>
      </c>
      <c r="H94" s="8" t="s">
        <v>174</v>
      </c>
      <c r="I94" s="9"/>
      <c r="J94" s="9"/>
      <c r="K94" s="9"/>
      <c r="L94" s="9"/>
      <c r="M94" s="9"/>
      <c r="N94" s="9"/>
      <c r="O94" s="9"/>
      <c r="P94" s="9"/>
      <c r="Q94" s="9"/>
      <c r="R94" s="9"/>
      <c r="S94" s="9"/>
      <c r="T94" s="9"/>
      <c r="U94" s="9"/>
      <c r="V94" s="9"/>
      <c r="W94" s="9"/>
      <c r="X94" s="9"/>
      <c r="Y94" s="9"/>
      <c r="Z94" s="9"/>
      <c r="AA94" s="9"/>
      <c r="AB94" s="9"/>
      <c r="AC94" s="9"/>
      <c r="AD94" s="9"/>
      <c r="AE94" s="9"/>
      <c r="AF94" s="9"/>
      <c r="AG94" s="15"/>
      <c r="AH94" s="15"/>
      <c r="AI94" s="15"/>
    </row>
    <row r="95" ht="16.5" customHeight="1">
      <c r="A95" s="8" t="s">
        <v>5</v>
      </c>
      <c r="E95" s="8" t="s">
        <v>86</v>
      </c>
      <c r="F95" s="8" t="s">
        <v>90</v>
      </c>
      <c r="G95" s="34" t="s">
        <v>3005</v>
      </c>
      <c r="H95" s="8" t="s">
        <v>90</v>
      </c>
      <c r="I95" s="9"/>
      <c r="J95" s="9"/>
      <c r="K95" s="9"/>
      <c r="L95" s="9"/>
      <c r="M95" s="9"/>
      <c r="N95" s="9"/>
      <c r="O95" s="9"/>
      <c r="P95" s="9"/>
      <c r="Q95" s="9"/>
      <c r="R95" s="9"/>
      <c r="S95" s="9"/>
      <c r="T95" s="9"/>
      <c r="U95" s="9"/>
      <c r="V95" s="9"/>
      <c r="W95" s="9"/>
      <c r="X95" s="9"/>
      <c r="Y95" s="9"/>
      <c r="Z95" s="9"/>
      <c r="AA95" s="9"/>
      <c r="AB95" s="9"/>
      <c r="AC95" s="9"/>
      <c r="AD95" s="9"/>
      <c r="AE95" s="9"/>
      <c r="AF95" s="9"/>
      <c r="AG95" s="15"/>
      <c r="AH95" s="15"/>
      <c r="AI95" s="15"/>
    </row>
    <row r="96" ht="16.5" customHeight="1">
      <c r="A96" s="8" t="s">
        <v>5</v>
      </c>
      <c r="E96" s="8" t="s">
        <v>86</v>
      </c>
      <c r="F96" s="8" t="s">
        <v>339</v>
      </c>
      <c r="G96" s="34" t="s">
        <v>3006</v>
      </c>
      <c r="H96" s="8" t="s">
        <v>339</v>
      </c>
      <c r="I96" s="9"/>
      <c r="J96" s="9"/>
      <c r="K96" s="9"/>
      <c r="L96" s="9"/>
      <c r="M96" s="9"/>
      <c r="N96" s="9"/>
      <c r="O96" s="9"/>
      <c r="P96" s="9"/>
      <c r="Q96" s="9"/>
      <c r="R96" s="9"/>
      <c r="S96" s="9"/>
      <c r="T96" s="9"/>
      <c r="U96" s="9"/>
      <c r="V96" s="9"/>
      <c r="W96" s="9"/>
      <c r="X96" s="9"/>
      <c r="Y96" s="9"/>
      <c r="Z96" s="9"/>
      <c r="AA96" s="9"/>
      <c r="AB96" s="9"/>
      <c r="AC96" s="9"/>
      <c r="AD96" s="9"/>
      <c r="AE96" s="9"/>
      <c r="AF96" s="9"/>
      <c r="AG96" s="15"/>
      <c r="AH96" s="15"/>
      <c r="AI96" s="15"/>
    </row>
    <row r="97" ht="16.5" customHeight="1">
      <c r="A97" s="8" t="s">
        <v>5</v>
      </c>
      <c r="E97" s="8" t="s">
        <v>178</v>
      </c>
      <c r="F97" s="8" t="s">
        <v>209</v>
      </c>
      <c r="G97" s="34" t="s">
        <v>3007</v>
      </c>
      <c r="H97" s="8" t="s">
        <v>209</v>
      </c>
      <c r="I97" s="9"/>
      <c r="J97" s="9"/>
      <c r="K97" s="9"/>
      <c r="L97" s="9"/>
      <c r="M97" s="9"/>
      <c r="N97" s="9"/>
      <c r="O97" s="9"/>
      <c r="P97" s="9"/>
      <c r="Q97" s="9"/>
      <c r="R97" s="9"/>
      <c r="S97" s="9"/>
      <c r="T97" s="9"/>
      <c r="U97" s="9"/>
      <c r="V97" s="9"/>
      <c r="W97" s="9"/>
      <c r="X97" s="9"/>
      <c r="Y97" s="9"/>
      <c r="Z97" s="9"/>
      <c r="AA97" s="9"/>
      <c r="AB97" s="9"/>
      <c r="AC97" s="9"/>
      <c r="AD97" s="9"/>
      <c r="AE97" s="9"/>
      <c r="AF97" s="9"/>
      <c r="AG97" s="15"/>
      <c r="AH97" s="15"/>
      <c r="AI97" s="15"/>
    </row>
    <row r="98" ht="16.5" customHeight="1">
      <c r="A98" s="8" t="s">
        <v>5</v>
      </c>
      <c r="E98" s="8" t="s">
        <v>178</v>
      </c>
      <c r="F98" s="8" t="s">
        <v>210</v>
      </c>
      <c r="G98" s="34" t="s">
        <v>3008</v>
      </c>
      <c r="H98" s="8" t="s">
        <v>210</v>
      </c>
      <c r="I98" s="31"/>
      <c r="J98" s="9"/>
      <c r="K98" s="9"/>
      <c r="L98" s="9"/>
      <c r="M98" s="9"/>
      <c r="N98" s="9"/>
      <c r="O98" s="9"/>
      <c r="P98" s="9"/>
      <c r="Q98" s="9"/>
      <c r="R98" s="9"/>
      <c r="S98" s="9"/>
      <c r="T98" s="9"/>
      <c r="U98" s="9"/>
      <c r="V98" s="9"/>
      <c r="W98" s="9"/>
      <c r="X98" s="9"/>
      <c r="Y98" s="9"/>
      <c r="Z98" s="9"/>
      <c r="AA98" s="9"/>
      <c r="AB98" s="9"/>
      <c r="AC98" s="9"/>
      <c r="AD98" s="9"/>
      <c r="AE98" s="9"/>
      <c r="AF98" s="9"/>
      <c r="AG98" s="15"/>
      <c r="AH98" s="15"/>
      <c r="AI98" s="15"/>
    </row>
    <row r="99" ht="16.5" customHeight="1">
      <c r="A99" s="8" t="s">
        <v>5</v>
      </c>
      <c r="E99" s="8" t="s">
        <v>178</v>
      </c>
      <c r="F99" s="8" t="s">
        <v>179</v>
      </c>
      <c r="G99" s="34" t="s">
        <v>3009</v>
      </c>
      <c r="H99" s="8" t="s">
        <v>179</v>
      </c>
      <c r="I99" s="31"/>
      <c r="J99" s="9"/>
      <c r="K99" s="9"/>
      <c r="L99" s="9"/>
      <c r="M99" s="9"/>
      <c r="N99" s="9"/>
      <c r="O99" s="9"/>
      <c r="P99" s="9"/>
      <c r="Q99" s="9"/>
      <c r="R99" s="9"/>
      <c r="S99" s="9"/>
      <c r="T99" s="9"/>
      <c r="U99" s="9"/>
      <c r="V99" s="9"/>
      <c r="W99" s="9"/>
      <c r="X99" s="9"/>
      <c r="Y99" s="9"/>
      <c r="Z99" s="9"/>
      <c r="AA99" s="9"/>
      <c r="AB99" s="9"/>
      <c r="AC99" s="9"/>
      <c r="AD99" s="9"/>
      <c r="AE99" s="9"/>
      <c r="AF99" s="9"/>
      <c r="AG99" s="15"/>
      <c r="AH99" s="15"/>
      <c r="AI99" s="15"/>
    </row>
    <row r="100" ht="16.5" customHeight="1">
      <c r="A100" s="8" t="s">
        <v>5</v>
      </c>
      <c r="E100" s="8" t="s">
        <v>178</v>
      </c>
      <c r="F100" s="8" t="s">
        <v>180</v>
      </c>
      <c r="G100" s="34" t="s">
        <v>3010</v>
      </c>
      <c r="H100" s="8" t="s">
        <v>180</v>
      </c>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15"/>
      <c r="AH100" s="15"/>
      <c r="AI100" s="15"/>
    </row>
    <row r="101" ht="16.5" customHeight="1">
      <c r="A101" s="8" t="s">
        <v>5</v>
      </c>
      <c r="E101" s="8" t="s">
        <v>178</v>
      </c>
      <c r="F101" s="8" t="s">
        <v>773</v>
      </c>
      <c r="G101" s="34" t="s">
        <v>3011</v>
      </c>
      <c r="H101" s="8" t="s">
        <v>773</v>
      </c>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15"/>
      <c r="AH101" s="15"/>
      <c r="AI101" s="15"/>
    </row>
    <row r="102" ht="16.5" customHeight="1">
      <c r="A102" s="8" t="s">
        <v>5</v>
      </c>
      <c r="E102" s="8" t="s">
        <v>178</v>
      </c>
      <c r="F102" s="8" t="s">
        <v>775</v>
      </c>
      <c r="G102" s="29"/>
      <c r="H102" s="36"/>
      <c r="L102" s="9"/>
      <c r="M102" s="9"/>
      <c r="N102" s="9"/>
      <c r="O102" s="9"/>
      <c r="P102" s="9"/>
      <c r="Q102" s="9"/>
      <c r="R102" s="9"/>
      <c r="S102" s="9"/>
      <c r="T102" s="9"/>
      <c r="U102" s="9"/>
      <c r="V102" s="9"/>
      <c r="W102" s="9"/>
      <c r="X102" s="9"/>
      <c r="Y102" s="9"/>
      <c r="Z102" s="9"/>
      <c r="AA102" s="9"/>
      <c r="AB102" s="9"/>
      <c r="AC102" s="9"/>
      <c r="AD102" s="9"/>
      <c r="AE102" s="9"/>
      <c r="AF102" s="9"/>
      <c r="AG102" s="15"/>
      <c r="AH102" s="15"/>
      <c r="AI102" s="15"/>
    </row>
    <row r="103" ht="16.5" customHeight="1">
      <c r="A103" s="8" t="s">
        <v>5</v>
      </c>
      <c r="E103" s="8" t="s">
        <v>178</v>
      </c>
      <c r="F103" s="8" t="s">
        <v>782</v>
      </c>
      <c r="G103" s="34" t="s">
        <v>3012</v>
      </c>
      <c r="H103" s="416" t="s">
        <v>782</v>
      </c>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15"/>
      <c r="AH103" s="15"/>
      <c r="AI103" s="15"/>
    </row>
    <row r="104" ht="16.5" customHeight="1">
      <c r="A104" s="8" t="s">
        <v>5</v>
      </c>
      <c r="E104" s="8" t="s">
        <v>178</v>
      </c>
      <c r="F104" s="8" t="s">
        <v>205</v>
      </c>
      <c r="G104" s="34" t="s">
        <v>3013</v>
      </c>
      <c r="H104" s="8" t="s">
        <v>205</v>
      </c>
      <c r="I104" s="31"/>
      <c r="J104" s="9"/>
      <c r="K104" s="9"/>
      <c r="L104" s="9"/>
      <c r="M104" s="9"/>
      <c r="N104" s="9"/>
      <c r="O104" s="9"/>
      <c r="P104" s="9"/>
      <c r="Q104" s="9"/>
      <c r="R104" s="9"/>
      <c r="S104" s="9"/>
      <c r="T104" s="9"/>
      <c r="U104" s="9"/>
      <c r="V104" s="9"/>
      <c r="W104" s="9"/>
      <c r="X104" s="9"/>
      <c r="Y104" s="9"/>
      <c r="Z104" s="9"/>
      <c r="AA104" s="9"/>
      <c r="AB104" s="9"/>
      <c r="AC104" s="9"/>
      <c r="AD104" s="9"/>
      <c r="AE104" s="9"/>
      <c r="AF104" s="9"/>
      <c r="AG104" s="15"/>
      <c r="AH104" s="15"/>
      <c r="AI104" s="15"/>
    </row>
    <row r="105" ht="16.5" customHeight="1">
      <c r="A105" s="8" t="s">
        <v>5</v>
      </c>
      <c r="E105" s="8" t="s">
        <v>178</v>
      </c>
      <c r="F105" s="8" t="s">
        <v>206</v>
      </c>
      <c r="G105" s="29"/>
      <c r="H105" s="36"/>
      <c r="L105" s="9"/>
      <c r="M105" s="9"/>
      <c r="N105" s="9"/>
      <c r="O105" s="9"/>
      <c r="P105" s="9"/>
      <c r="Q105" s="9"/>
      <c r="R105" s="9"/>
      <c r="S105" s="9"/>
      <c r="T105" s="9"/>
      <c r="U105" s="9"/>
      <c r="V105" s="9"/>
      <c r="W105" s="9"/>
      <c r="X105" s="9"/>
      <c r="Y105" s="9"/>
      <c r="Z105" s="9"/>
      <c r="AA105" s="9"/>
      <c r="AB105" s="9"/>
      <c r="AC105" s="9"/>
      <c r="AD105" s="9"/>
      <c r="AE105" s="9"/>
      <c r="AF105" s="9"/>
      <c r="AG105" s="15"/>
      <c r="AH105" s="15"/>
      <c r="AI105" s="15"/>
    </row>
    <row r="106" ht="16.5" customHeight="1">
      <c r="A106" s="8" t="s">
        <v>5</v>
      </c>
      <c r="E106" s="8" t="s">
        <v>178</v>
      </c>
      <c r="F106" s="8" t="s">
        <v>639</v>
      </c>
      <c r="G106" s="34" t="s">
        <v>3014</v>
      </c>
      <c r="H106" s="8" t="s">
        <v>639</v>
      </c>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15"/>
      <c r="AH106" s="15"/>
      <c r="AI106" s="15"/>
    </row>
    <row r="107" ht="16.5" customHeight="1">
      <c r="A107" s="8" t="s">
        <v>5</v>
      </c>
      <c r="E107" s="8" t="s">
        <v>178</v>
      </c>
      <c r="F107" s="8" t="s">
        <v>207</v>
      </c>
      <c r="G107" s="34" t="s">
        <v>3015</v>
      </c>
      <c r="H107" s="8" t="s">
        <v>207</v>
      </c>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15"/>
      <c r="AH107" s="15"/>
      <c r="AI107" s="15"/>
    </row>
    <row r="108" ht="16.5" customHeight="1">
      <c r="A108" s="8" t="s">
        <v>5</v>
      </c>
      <c r="E108" s="8" t="s">
        <v>178</v>
      </c>
      <c r="F108" s="8" t="s">
        <v>209</v>
      </c>
      <c r="G108" s="34" t="s">
        <v>3016</v>
      </c>
      <c r="H108" s="35" t="s">
        <v>209</v>
      </c>
      <c r="L108" s="9"/>
      <c r="M108" s="9"/>
      <c r="N108" s="9"/>
      <c r="O108" s="9"/>
      <c r="P108" s="9"/>
      <c r="Q108" s="9"/>
      <c r="R108" s="9"/>
      <c r="S108" s="9"/>
      <c r="T108" s="9"/>
      <c r="U108" s="9"/>
      <c r="V108" s="9"/>
      <c r="W108" s="9"/>
      <c r="X108" s="9"/>
      <c r="Y108" s="9"/>
      <c r="Z108" s="9"/>
      <c r="AA108" s="9"/>
      <c r="AB108" s="9"/>
      <c r="AC108" s="9"/>
      <c r="AD108" s="9"/>
      <c r="AE108" s="9"/>
      <c r="AF108" s="9"/>
      <c r="AG108" s="15"/>
      <c r="AH108" s="15"/>
      <c r="AI108" s="15"/>
    </row>
    <row r="109" ht="16.5" customHeight="1">
      <c r="A109" s="8" t="s">
        <v>5</v>
      </c>
      <c r="E109" s="8" t="s">
        <v>178</v>
      </c>
      <c r="F109" s="8" t="s">
        <v>210</v>
      </c>
      <c r="G109" s="34" t="s">
        <v>3017</v>
      </c>
      <c r="H109" s="35" t="s">
        <v>1987</v>
      </c>
      <c r="L109" s="9"/>
      <c r="M109" s="9"/>
      <c r="N109" s="9"/>
      <c r="O109" s="9"/>
      <c r="P109" s="9"/>
      <c r="Q109" s="9"/>
      <c r="R109" s="9"/>
      <c r="S109" s="9"/>
      <c r="T109" s="9"/>
      <c r="U109" s="9"/>
      <c r="V109" s="9"/>
      <c r="W109" s="9"/>
      <c r="X109" s="9"/>
      <c r="Y109" s="9"/>
      <c r="Z109" s="9"/>
      <c r="AA109" s="9"/>
      <c r="AB109" s="9"/>
      <c r="AC109" s="9"/>
      <c r="AD109" s="9"/>
      <c r="AE109" s="9"/>
      <c r="AF109" s="9"/>
      <c r="AG109" s="15"/>
      <c r="AH109" s="15"/>
      <c r="AI109" s="15"/>
    </row>
    <row r="110" ht="16.5" customHeight="1">
      <c r="A110" s="8" t="s">
        <v>5</v>
      </c>
      <c r="E110" s="8" t="s">
        <v>178</v>
      </c>
      <c r="F110" s="8" t="s">
        <v>208</v>
      </c>
      <c r="G110" s="34" t="s">
        <v>3018</v>
      </c>
      <c r="H110" s="8" t="s">
        <v>208</v>
      </c>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15"/>
      <c r="AH110" s="15"/>
      <c r="AI110" s="15"/>
    </row>
    <row r="111" ht="16.5" customHeight="1">
      <c r="A111" s="408" t="s">
        <v>5</v>
      </c>
      <c r="E111" s="408" t="s">
        <v>178</v>
      </c>
      <c r="F111" s="408" t="s">
        <v>182</v>
      </c>
      <c r="G111" s="411" t="s">
        <v>3019</v>
      </c>
      <c r="H111" s="408" t="s">
        <v>182</v>
      </c>
      <c r="I111" s="393"/>
      <c r="J111" s="409"/>
      <c r="K111" s="409"/>
      <c r="L111" s="409"/>
      <c r="M111" s="9"/>
      <c r="N111" s="9"/>
      <c r="O111" s="9"/>
      <c r="P111" s="9"/>
      <c r="Q111" s="9"/>
      <c r="R111" s="9"/>
      <c r="S111" s="9"/>
      <c r="T111" s="9"/>
      <c r="U111" s="9"/>
      <c r="V111" s="409"/>
      <c r="W111" s="409"/>
      <c r="X111" s="409"/>
      <c r="Y111" s="409"/>
      <c r="Z111" s="409"/>
      <c r="AA111" s="409"/>
      <c r="AB111" s="409"/>
      <c r="AC111" s="409"/>
      <c r="AD111" s="409"/>
      <c r="AE111" s="409"/>
      <c r="AF111" s="409"/>
      <c r="AG111" s="414"/>
      <c r="AH111" s="414"/>
      <c r="AI111" s="414"/>
    </row>
    <row r="112" ht="16.5" customHeight="1">
      <c r="A112" s="407" t="s">
        <v>5</v>
      </c>
      <c r="B112" s="195" t="s">
        <v>3020</v>
      </c>
      <c r="C112" s="87" t="s">
        <v>2926</v>
      </c>
      <c r="D112" s="8" t="s">
        <v>42</v>
      </c>
      <c r="E112" s="408" t="s">
        <v>89</v>
      </c>
      <c r="F112" s="408" t="s">
        <v>291</v>
      </c>
      <c r="G112" s="391"/>
      <c r="H112" s="393"/>
      <c r="I112" s="409"/>
      <c r="J112" s="409"/>
      <c r="K112" s="394"/>
      <c r="L112" s="394"/>
      <c r="M112" s="15"/>
      <c r="N112" s="15"/>
      <c r="O112" s="15"/>
      <c r="P112" s="15"/>
      <c r="Q112" s="15"/>
      <c r="R112" s="15"/>
      <c r="S112" s="15"/>
      <c r="T112" s="15"/>
      <c r="U112" s="15"/>
      <c r="V112" s="414"/>
      <c r="W112" s="414"/>
      <c r="X112" s="414"/>
      <c r="Y112" s="414"/>
      <c r="Z112" s="414"/>
      <c r="AA112" s="414"/>
      <c r="AB112" s="414"/>
      <c r="AC112" s="414"/>
      <c r="AD112" s="414"/>
      <c r="AE112" s="414"/>
      <c r="AF112" s="414"/>
      <c r="AG112" s="414"/>
      <c r="AH112" s="414"/>
      <c r="AI112" s="414"/>
    </row>
    <row r="113" ht="16.5" customHeight="1">
      <c r="A113" s="8" t="s">
        <v>5</v>
      </c>
      <c r="B113" s="8" t="s">
        <v>3021</v>
      </c>
      <c r="C113" s="85" t="s">
        <v>3022</v>
      </c>
      <c r="D113" s="8" t="s">
        <v>42</v>
      </c>
      <c r="E113" s="8" t="s">
        <v>21</v>
      </c>
      <c r="F113" s="8" t="s">
        <v>51</v>
      </c>
      <c r="G113" s="34" t="s">
        <v>3023</v>
      </c>
      <c r="H113" s="8" t="s">
        <v>51</v>
      </c>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15"/>
      <c r="AH113" s="15"/>
      <c r="AI113" s="15"/>
    </row>
    <row r="114" ht="16.5" customHeight="1">
      <c r="A114" s="8" t="s">
        <v>5</v>
      </c>
      <c r="E114" s="8" t="s">
        <v>88</v>
      </c>
      <c r="F114" s="8" t="s">
        <v>95</v>
      </c>
      <c r="G114" s="34" t="s">
        <v>3024</v>
      </c>
      <c r="H114" s="8" t="s">
        <v>95</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15"/>
      <c r="AH114" s="15"/>
      <c r="AI114" s="15"/>
    </row>
    <row r="115" ht="16.5" customHeight="1">
      <c r="A115" s="8" t="s">
        <v>5</v>
      </c>
      <c r="E115" s="8" t="s">
        <v>178</v>
      </c>
      <c r="F115" s="8" t="s">
        <v>209</v>
      </c>
      <c r="G115" s="34" t="s">
        <v>3025</v>
      </c>
      <c r="H115" s="8" t="s">
        <v>209</v>
      </c>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15"/>
      <c r="AH115" s="15"/>
      <c r="AI115" s="15"/>
    </row>
    <row r="116" ht="16.5" customHeight="1">
      <c r="A116" s="8" t="s">
        <v>5</v>
      </c>
      <c r="E116" s="8" t="s">
        <v>178</v>
      </c>
      <c r="F116" s="8" t="s">
        <v>210</v>
      </c>
      <c r="G116" s="34" t="s">
        <v>3026</v>
      </c>
      <c r="H116" s="8" t="s">
        <v>210</v>
      </c>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15"/>
      <c r="AH116" s="15"/>
      <c r="AI116" s="15"/>
    </row>
    <row r="117" ht="16.5" customHeight="1">
      <c r="A117" s="8" t="s">
        <v>5</v>
      </c>
      <c r="E117" s="8" t="s">
        <v>178</v>
      </c>
      <c r="F117" s="8" t="s">
        <v>179</v>
      </c>
      <c r="G117" s="34" t="s">
        <v>3027</v>
      </c>
      <c r="H117" s="8" t="s">
        <v>179</v>
      </c>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15"/>
      <c r="AH117" s="15"/>
      <c r="AI117" s="15"/>
    </row>
    <row r="118" ht="16.5" customHeight="1">
      <c r="A118" s="8" t="s">
        <v>5</v>
      </c>
      <c r="E118" s="8" t="s">
        <v>178</v>
      </c>
      <c r="F118" s="8" t="s">
        <v>180</v>
      </c>
      <c r="G118" s="34" t="s">
        <v>3028</v>
      </c>
      <c r="H118" s="8" t="s">
        <v>180</v>
      </c>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15"/>
      <c r="AH118" s="15"/>
      <c r="AI118" s="15"/>
    </row>
    <row r="119" ht="16.5" customHeight="1">
      <c r="A119" s="8" t="s">
        <v>5</v>
      </c>
      <c r="E119" s="8" t="s">
        <v>172</v>
      </c>
      <c r="F119" s="8" t="s">
        <v>203</v>
      </c>
      <c r="G119" s="34" t="s">
        <v>3029</v>
      </c>
      <c r="H119" s="8" t="s">
        <v>203</v>
      </c>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15"/>
      <c r="AH119" s="15"/>
      <c r="AI119" s="15"/>
    </row>
    <row r="120" ht="16.5" customHeight="1">
      <c r="A120" s="8" t="s">
        <v>5</v>
      </c>
      <c r="E120" s="8" t="s">
        <v>172</v>
      </c>
      <c r="F120" s="8" t="s">
        <v>204</v>
      </c>
      <c r="G120" s="34" t="s">
        <v>3030</v>
      </c>
      <c r="H120" s="8" t="s">
        <v>204</v>
      </c>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15"/>
      <c r="AH120" s="15"/>
      <c r="AI120" s="15"/>
    </row>
    <row r="121" ht="16.5" customHeight="1">
      <c r="A121" s="8" t="s">
        <v>5</v>
      </c>
      <c r="E121" s="8" t="s">
        <v>172</v>
      </c>
      <c r="F121" s="8" t="s">
        <v>173</v>
      </c>
      <c r="G121" s="34" t="s">
        <v>3031</v>
      </c>
      <c r="H121" s="8" t="s">
        <v>173</v>
      </c>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15"/>
      <c r="AH121" s="15"/>
      <c r="AI121" s="15"/>
    </row>
    <row r="122" ht="16.5" customHeight="1">
      <c r="A122" s="8" t="s">
        <v>5</v>
      </c>
      <c r="E122" s="8" t="s">
        <v>172</v>
      </c>
      <c r="F122" s="8" t="s">
        <v>174</v>
      </c>
      <c r="G122" s="34" t="s">
        <v>3032</v>
      </c>
      <c r="H122" s="8" t="s">
        <v>174</v>
      </c>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15"/>
      <c r="AH122" s="15"/>
      <c r="AI122" s="15"/>
    </row>
    <row r="123" ht="16.5" customHeight="1">
      <c r="A123" s="8" t="s">
        <v>5</v>
      </c>
      <c r="E123" s="8" t="s">
        <v>86</v>
      </c>
      <c r="F123" s="8" t="s">
        <v>90</v>
      </c>
      <c r="G123" s="34" t="s">
        <v>3033</v>
      </c>
      <c r="H123" s="8" t="s">
        <v>90</v>
      </c>
      <c r="I123" s="31"/>
      <c r="J123" s="9"/>
      <c r="K123" s="9"/>
      <c r="L123" s="9"/>
      <c r="M123" s="9"/>
      <c r="N123" s="9"/>
      <c r="O123" s="9"/>
      <c r="P123" s="9"/>
      <c r="Q123" s="9"/>
      <c r="R123" s="9"/>
      <c r="S123" s="9"/>
      <c r="T123" s="9"/>
      <c r="U123" s="9"/>
      <c r="V123" s="9"/>
      <c r="W123" s="9"/>
      <c r="X123" s="9"/>
      <c r="Y123" s="9"/>
      <c r="Z123" s="9"/>
      <c r="AA123" s="9"/>
      <c r="AB123" s="9"/>
      <c r="AC123" s="9"/>
      <c r="AD123" s="9"/>
      <c r="AE123" s="9"/>
      <c r="AF123" s="9"/>
      <c r="AG123" s="15"/>
      <c r="AH123" s="15"/>
      <c r="AI123" s="15"/>
    </row>
    <row r="124" ht="16.5" customHeight="1">
      <c r="A124" s="8" t="s">
        <v>5</v>
      </c>
      <c r="E124" s="8" t="s">
        <v>86</v>
      </c>
      <c r="F124" s="8" t="s">
        <v>339</v>
      </c>
      <c r="G124" s="34" t="s">
        <v>3034</v>
      </c>
      <c r="H124" s="8" t="s">
        <v>339</v>
      </c>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15"/>
      <c r="AH124" s="15"/>
      <c r="AI124" s="15"/>
    </row>
    <row r="125" ht="16.5" customHeight="1">
      <c r="A125" s="8" t="s">
        <v>5</v>
      </c>
      <c r="E125" s="8" t="s">
        <v>178</v>
      </c>
      <c r="F125" s="8" t="s">
        <v>205</v>
      </c>
      <c r="G125" s="34" t="s">
        <v>3035</v>
      </c>
      <c r="H125" s="8" t="s">
        <v>205</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15"/>
      <c r="AH125" s="15"/>
      <c r="AI125" s="15"/>
    </row>
    <row r="126" ht="16.5" customHeight="1">
      <c r="A126" s="8" t="s">
        <v>5</v>
      </c>
      <c r="E126" s="8" t="s">
        <v>178</v>
      </c>
      <c r="F126" s="8" t="s">
        <v>206</v>
      </c>
      <c r="G126" s="34" t="s">
        <v>3036</v>
      </c>
      <c r="H126" s="8"/>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15"/>
      <c r="AH126" s="15"/>
      <c r="AI126" s="15"/>
    </row>
    <row r="127" ht="16.5" customHeight="1">
      <c r="A127" s="8" t="s">
        <v>5</v>
      </c>
      <c r="E127" s="8" t="s">
        <v>178</v>
      </c>
      <c r="F127" s="8" t="s">
        <v>639</v>
      </c>
      <c r="G127" s="34" t="s">
        <v>3037</v>
      </c>
      <c r="H127" s="8" t="s">
        <v>639</v>
      </c>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15"/>
      <c r="AH127" s="15"/>
      <c r="AI127" s="15"/>
    </row>
    <row r="128" ht="16.5" customHeight="1">
      <c r="A128" s="8" t="s">
        <v>5</v>
      </c>
      <c r="E128" s="8" t="s">
        <v>178</v>
      </c>
      <c r="F128" s="8" t="s">
        <v>207</v>
      </c>
      <c r="G128" s="34" t="s">
        <v>3038</v>
      </c>
      <c r="H128" s="8" t="s">
        <v>207</v>
      </c>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15"/>
      <c r="AH128" s="15"/>
      <c r="AI128" s="15"/>
    </row>
    <row r="129" ht="16.5" customHeight="1">
      <c r="A129" s="8" t="s">
        <v>5</v>
      </c>
      <c r="E129" s="8" t="s">
        <v>178</v>
      </c>
      <c r="F129" s="8" t="s">
        <v>209</v>
      </c>
      <c r="G129" s="34" t="s">
        <v>3039</v>
      </c>
      <c r="H129" s="8" t="s">
        <v>209</v>
      </c>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15"/>
      <c r="AH129" s="15"/>
      <c r="AI129" s="15"/>
    </row>
    <row r="130" ht="16.5" customHeight="1">
      <c r="A130" s="8" t="s">
        <v>5</v>
      </c>
      <c r="E130" s="8" t="s">
        <v>178</v>
      </c>
      <c r="F130" s="8" t="s">
        <v>210</v>
      </c>
      <c r="G130" s="34" t="s">
        <v>3040</v>
      </c>
      <c r="H130" s="8" t="s">
        <v>1987</v>
      </c>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15"/>
      <c r="AH130" s="15"/>
      <c r="AI130" s="15"/>
    </row>
    <row r="131" ht="16.5" customHeight="1">
      <c r="A131" s="8" t="s">
        <v>5</v>
      </c>
      <c r="E131" s="8" t="s">
        <v>178</v>
      </c>
      <c r="F131" s="8" t="s">
        <v>208</v>
      </c>
      <c r="G131" s="34" t="s">
        <v>3041</v>
      </c>
      <c r="H131" s="8" t="s">
        <v>208</v>
      </c>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15"/>
      <c r="AH131" s="15"/>
      <c r="AI131" s="15"/>
    </row>
    <row r="132" ht="16.5" customHeight="1">
      <c r="A132" s="8" t="s">
        <v>5</v>
      </c>
      <c r="E132" s="8" t="s">
        <v>178</v>
      </c>
      <c r="F132" s="8" t="s">
        <v>182</v>
      </c>
      <c r="G132" s="34" t="s">
        <v>3042</v>
      </c>
      <c r="H132" s="8" t="s">
        <v>2003</v>
      </c>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15"/>
      <c r="AH132" s="15"/>
      <c r="AI132" s="15"/>
    </row>
    <row r="133" ht="16.5" customHeight="1">
      <c r="A133" s="8" t="s">
        <v>5</v>
      </c>
      <c r="E133" s="8" t="s">
        <v>178</v>
      </c>
      <c r="F133" s="8" t="s">
        <v>773</v>
      </c>
      <c r="G133" s="34" t="s">
        <v>3043</v>
      </c>
      <c r="H133" s="8" t="s">
        <v>773</v>
      </c>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15"/>
      <c r="AH133" s="15"/>
      <c r="AI133" s="15"/>
    </row>
    <row r="134" ht="16.5" customHeight="1">
      <c r="A134" s="8" t="s">
        <v>5</v>
      </c>
      <c r="E134" s="8" t="s">
        <v>178</v>
      </c>
      <c r="F134" s="8" t="s">
        <v>775</v>
      </c>
      <c r="G134" s="29"/>
      <c r="H134" s="36"/>
      <c r="L134" s="9"/>
      <c r="M134" s="9"/>
      <c r="N134" s="9"/>
      <c r="O134" s="9"/>
      <c r="P134" s="9"/>
      <c r="Q134" s="9"/>
      <c r="R134" s="9"/>
      <c r="S134" s="9"/>
      <c r="T134" s="9"/>
      <c r="U134" s="9"/>
      <c r="V134" s="9"/>
      <c r="W134" s="9"/>
      <c r="X134" s="9"/>
      <c r="Y134" s="9"/>
      <c r="Z134" s="9"/>
      <c r="AA134" s="9"/>
      <c r="AB134" s="9"/>
      <c r="AC134" s="9"/>
      <c r="AD134" s="9"/>
      <c r="AE134" s="9"/>
      <c r="AF134" s="9"/>
      <c r="AG134" s="15"/>
      <c r="AH134" s="15"/>
      <c r="AI134" s="15"/>
    </row>
    <row r="135" ht="16.5" customHeight="1">
      <c r="A135" s="8" t="s">
        <v>5</v>
      </c>
      <c r="E135" s="8" t="s">
        <v>178</v>
      </c>
      <c r="F135" s="8" t="s">
        <v>782</v>
      </c>
      <c r="G135" s="34" t="s">
        <v>3044</v>
      </c>
      <c r="H135" s="8" t="s">
        <v>782</v>
      </c>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15"/>
      <c r="AH135" s="15"/>
      <c r="AI135" s="15"/>
    </row>
    <row r="136" ht="16.5" customHeight="1">
      <c r="A136" s="8" t="s">
        <v>5</v>
      </c>
      <c r="E136" s="8" t="s">
        <v>178</v>
      </c>
      <c r="F136" s="8" t="s">
        <v>205</v>
      </c>
      <c r="G136" s="34" t="s">
        <v>3045</v>
      </c>
      <c r="H136" s="8" t="s">
        <v>205</v>
      </c>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15"/>
      <c r="AH136" s="15"/>
      <c r="AI136" s="15"/>
    </row>
    <row r="137" ht="16.5" customHeight="1">
      <c r="A137" s="8" t="s">
        <v>5</v>
      </c>
      <c r="E137" s="8" t="s">
        <v>178</v>
      </c>
      <c r="F137" s="8" t="s">
        <v>206</v>
      </c>
      <c r="G137" s="29"/>
      <c r="H137" s="36"/>
      <c r="L137" s="9"/>
      <c r="M137" s="9"/>
      <c r="N137" s="9"/>
      <c r="O137" s="9"/>
      <c r="P137" s="9"/>
      <c r="Q137" s="9"/>
      <c r="R137" s="9"/>
      <c r="S137" s="9"/>
      <c r="T137" s="9"/>
      <c r="U137" s="9"/>
      <c r="V137" s="9"/>
      <c r="W137" s="9"/>
      <c r="X137" s="9"/>
      <c r="Y137" s="9"/>
      <c r="Z137" s="9"/>
      <c r="AA137" s="9"/>
      <c r="AB137" s="9"/>
      <c r="AC137" s="9"/>
      <c r="AD137" s="9"/>
      <c r="AE137" s="9"/>
      <c r="AF137" s="9"/>
      <c r="AG137" s="15"/>
      <c r="AH137" s="15"/>
      <c r="AI137" s="15"/>
    </row>
    <row r="138" ht="16.5" customHeight="1">
      <c r="A138" s="8" t="s">
        <v>5</v>
      </c>
      <c r="E138" s="8" t="s">
        <v>178</v>
      </c>
      <c r="F138" s="8" t="s">
        <v>639</v>
      </c>
      <c r="G138" s="34" t="s">
        <v>3046</v>
      </c>
      <c r="H138" s="8" t="s">
        <v>639</v>
      </c>
      <c r="I138" s="31"/>
      <c r="J138" s="9"/>
      <c r="K138" s="9"/>
      <c r="L138" s="9"/>
      <c r="M138" s="9"/>
      <c r="N138" s="9"/>
      <c r="O138" s="9"/>
      <c r="P138" s="9"/>
      <c r="Q138" s="9"/>
      <c r="R138" s="9"/>
      <c r="S138" s="9"/>
      <c r="T138" s="9"/>
      <c r="U138" s="9"/>
      <c r="V138" s="9"/>
      <c r="W138" s="9"/>
      <c r="X138" s="9"/>
      <c r="Y138" s="9"/>
      <c r="Z138" s="9"/>
      <c r="AA138" s="9"/>
      <c r="AB138" s="9"/>
      <c r="AC138" s="9"/>
      <c r="AD138" s="9"/>
      <c r="AE138" s="9"/>
      <c r="AF138" s="9"/>
      <c r="AG138" s="15"/>
      <c r="AH138" s="15"/>
      <c r="AI138" s="15"/>
    </row>
    <row r="139" ht="16.5" customHeight="1">
      <c r="A139" s="8" t="s">
        <v>5</v>
      </c>
      <c r="E139" s="8" t="s">
        <v>178</v>
      </c>
      <c r="F139" s="8" t="s">
        <v>207</v>
      </c>
      <c r="G139" s="34" t="s">
        <v>3047</v>
      </c>
      <c r="H139" s="8" t="s">
        <v>207</v>
      </c>
      <c r="I139" s="31"/>
      <c r="J139" s="9"/>
      <c r="K139" s="9"/>
      <c r="L139" s="9"/>
      <c r="M139" s="9"/>
      <c r="N139" s="9"/>
      <c r="O139" s="9"/>
      <c r="P139" s="9"/>
      <c r="Q139" s="9"/>
      <c r="R139" s="9"/>
      <c r="S139" s="9"/>
      <c r="T139" s="9"/>
      <c r="U139" s="9"/>
      <c r="V139" s="9"/>
      <c r="W139" s="9"/>
      <c r="X139" s="9"/>
      <c r="Y139" s="9"/>
      <c r="Z139" s="9"/>
      <c r="AA139" s="9"/>
      <c r="AB139" s="9"/>
      <c r="AC139" s="9"/>
      <c r="AD139" s="9"/>
      <c r="AE139" s="9"/>
      <c r="AF139" s="9"/>
      <c r="AG139" s="15"/>
      <c r="AH139" s="15"/>
      <c r="AI139" s="15"/>
    </row>
    <row r="140" ht="16.5" customHeight="1">
      <c r="A140" s="8" t="s">
        <v>5</v>
      </c>
      <c r="E140" s="8" t="s">
        <v>178</v>
      </c>
      <c r="F140" s="8" t="s">
        <v>2951</v>
      </c>
      <c r="L140" s="9"/>
      <c r="M140" s="9"/>
      <c r="N140" s="9"/>
      <c r="O140" s="9"/>
      <c r="P140" s="9"/>
      <c r="Q140" s="9"/>
      <c r="R140" s="9"/>
      <c r="S140" s="9"/>
      <c r="T140" s="9"/>
      <c r="U140" s="9"/>
      <c r="V140" s="9"/>
      <c r="W140" s="9"/>
      <c r="X140" s="9"/>
      <c r="Y140" s="9"/>
      <c r="Z140" s="9"/>
      <c r="AA140" s="9"/>
      <c r="AB140" s="9"/>
      <c r="AC140" s="9"/>
      <c r="AD140" s="9"/>
      <c r="AE140" s="9"/>
      <c r="AF140" s="9"/>
      <c r="AG140" s="15"/>
      <c r="AH140" s="15"/>
      <c r="AI140" s="15"/>
    </row>
    <row r="141" ht="16.5" customHeight="1">
      <c r="A141" s="8" t="s">
        <v>5</v>
      </c>
      <c r="E141" s="8" t="s">
        <v>178</v>
      </c>
      <c r="F141" s="8" t="s">
        <v>209</v>
      </c>
      <c r="G141" s="34" t="s">
        <v>3025</v>
      </c>
      <c r="H141" s="8" t="s">
        <v>209</v>
      </c>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15"/>
      <c r="AH141" s="15"/>
      <c r="AI141" s="15"/>
    </row>
    <row r="142" ht="16.5" customHeight="1">
      <c r="A142" s="8" t="s">
        <v>5</v>
      </c>
      <c r="E142" s="8" t="s">
        <v>178</v>
      </c>
      <c r="F142" s="8" t="s">
        <v>210</v>
      </c>
      <c r="G142" s="34" t="s">
        <v>3048</v>
      </c>
      <c r="H142" s="35" t="s">
        <v>2037</v>
      </c>
      <c r="L142" s="9"/>
      <c r="M142" s="9"/>
      <c r="N142" s="9"/>
      <c r="O142" s="9"/>
      <c r="P142" s="9"/>
      <c r="Q142" s="9"/>
      <c r="R142" s="9"/>
      <c r="S142" s="9"/>
      <c r="T142" s="9"/>
      <c r="U142" s="9"/>
      <c r="V142" s="9"/>
      <c r="W142" s="9"/>
      <c r="X142" s="9"/>
      <c r="Y142" s="9"/>
      <c r="Z142" s="9"/>
      <c r="AA142" s="9"/>
      <c r="AB142" s="9"/>
      <c r="AC142" s="9"/>
      <c r="AD142" s="9"/>
      <c r="AE142" s="9"/>
      <c r="AF142" s="9"/>
      <c r="AG142" s="15"/>
      <c r="AH142" s="15"/>
      <c r="AI142" s="15"/>
    </row>
    <row r="143" ht="16.5" customHeight="1">
      <c r="A143" s="8" t="s">
        <v>5</v>
      </c>
      <c r="E143" s="8" t="s">
        <v>178</v>
      </c>
      <c r="F143" s="8" t="s">
        <v>208</v>
      </c>
      <c r="G143" s="34" t="s">
        <v>3049</v>
      </c>
      <c r="H143" s="8" t="s">
        <v>208</v>
      </c>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15"/>
      <c r="AH143" s="15"/>
      <c r="AI143" s="15"/>
    </row>
    <row r="144" ht="16.5" customHeight="1">
      <c r="A144" s="408" t="s">
        <v>5</v>
      </c>
      <c r="E144" s="408" t="s">
        <v>178</v>
      </c>
      <c r="F144" s="408" t="s">
        <v>182</v>
      </c>
      <c r="G144" s="411" t="s">
        <v>3050</v>
      </c>
      <c r="H144" s="408" t="s">
        <v>182</v>
      </c>
      <c r="I144" s="409"/>
      <c r="J144" s="409"/>
      <c r="K144" s="409"/>
      <c r="L144" s="409"/>
      <c r="M144" s="9"/>
      <c r="N144" s="9"/>
      <c r="O144" s="9"/>
      <c r="P144" s="9"/>
      <c r="Q144" s="9"/>
      <c r="R144" s="9"/>
      <c r="S144" s="9"/>
      <c r="T144" s="9"/>
      <c r="U144" s="9"/>
      <c r="V144" s="9"/>
      <c r="W144" s="409"/>
      <c r="X144" s="409"/>
      <c r="Y144" s="409"/>
      <c r="Z144" s="409"/>
      <c r="AA144" s="409"/>
      <c r="AB144" s="409"/>
      <c r="AC144" s="409"/>
      <c r="AD144" s="409"/>
      <c r="AE144" s="409"/>
      <c r="AF144" s="409"/>
      <c r="AG144" s="414"/>
      <c r="AH144" s="414"/>
      <c r="AI144" s="414"/>
    </row>
    <row r="145" ht="16.5" customHeight="1">
      <c r="A145" s="407" t="s">
        <v>5</v>
      </c>
      <c r="B145" s="195" t="s">
        <v>3051</v>
      </c>
      <c r="C145" s="87" t="s">
        <v>2926</v>
      </c>
      <c r="D145" s="8" t="s">
        <v>42</v>
      </c>
      <c r="E145" s="408" t="s">
        <v>89</v>
      </c>
      <c r="F145" s="408" t="s">
        <v>291</v>
      </c>
      <c r="G145" s="417"/>
      <c r="H145" s="409"/>
      <c r="I145" s="409"/>
      <c r="J145" s="409"/>
      <c r="K145" s="394"/>
      <c r="L145" s="394"/>
      <c r="M145" s="15"/>
      <c r="N145" s="15"/>
      <c r="O145" s="15"/>
      <c r="P145" s="15"/>
      <c r="Q145" s="15"/>
      <c r="R145" s="15"/>
      <c r="S145" s="15"/>
      <c r="T145" s="15"/>
      <c r="U145" s="15"/>
      <c r="V145" s="15"/>
      <c r="W145" s="414"/>
      <c r="X145" s="414"/>
      <c r="Y145" s="414"/>
      <c r="Z145" s="414"/>
      <c r="AA145" s="414"/>
      <c r="AB145" s="414"/>
      <c r="AC145" s="414"/>
      <c r="AD145" s="414"/>
      <c r="AE145" s="414"/>
      <c r="AF145" s="414"/>
      <c r="AG145" s="414"/>
      <c r="AH145" s="414"/>
      <c r="AI145" s="414"/>
    </row>
    <row r="146" ht="16.5" customHeight="1">
      <c r="A146" s="8" t="s">
        <v>5</v>
      </c>
      <c r="B146" s="8" t="s">
        <v>3052</v>
      </c>
      <c r="C146" s="85" t="s">
        <v>3053</v>
      </c>
      <c r="D146" s="342" t="s">
        <v>5</v>
      </c>
      <c r="E146" s="8" t="s">
        <v>21</v>
      </c>
      <c r="F146" s="8" t="s">
        <v>51</v>
      </c>
      <c r="G146" s="34" t="s">
        <v>3054</v>
      </c>
      <c r="H146" s="8" t="s">
        <v>51</v>
      </c>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15"/>
      <c r="AH146" s="15"/>
      <c r="AI146" s="15"/>
    </row>
    <row r="147" ht="16.5" customHeight="1">
      <c r="A147" s="8" t="s">
        <v>5</v>
      </c>
      <c r="E147" s="8" t="s">
        <v>172</v>
      </c>
      <c r="F147" s="8" t="s">
        <v>203</v>
      </c>
      <c r="G147" s="34" t="str">
        <f>HYPERLINK("https://docs.google.com/spreadsheets/d/1zInvAiqnSrVQj2hL_4TJ45iWLqYs9Y4C6WnbrJ-VyRU/edit#gid=570939202", "https://docs.google.com/spreadsheets/d/1zInvAiqnSrVQj2hL_4TJ45iWLqYs9Y4C6WnbrJ-VyRU/edit#gid=570939202")</f>
        <v>https://docs.google.com/spreadsheets/d/1zInvAiqnSrVQj2hL_4TJ45iWLqYs9Y4C6WnbrJ-VyRU/edit#gid=570939202</v>
      </c>
      <c r="H147" s="35" t="s">
        <v>203</v>
      </c>
      <c r="L147" s="9"/>
      <c r="M147" s="9"/>
      <c r="N147" s="9"/>
      <c r="O147" s="9"/>
      <c r="P147" s="9"/>
      <c r="Q147" s="9"/>
      <c r="R147" s="9"/>
      <c r="S147" s="9"/>
      <c r="T147" s="9"/>
      <c r="U147" s="9"/>
      <c r="V147" s="9"/>
      <c r="W147" s="9"/>
      <c r="X147" s="9"/>
      <c r="Y147" s="9"/>
      <c r="Z147" s="9"/>
      <c r="AA147" s="9"/>
      <c r="AB147" s="9"/>
      <c r="AC147" s="9"/>
      <c r="AD147" s="9"/>
      <c r="AE147" s="9"/>
      <c r="AF147" s="9"/>
      <c r="AG147" s="15"/>
      <c r="AH147" s="15"/>
      <c r="AI147" s="15"/>
    </row>
    <row r="148" ht="16.5" customHeight="1">
      <c r="A148" s="8" t="s">
        <v>5</v>
      </c>
      <c r="E148" s="8" t="s">
        <v>172</v>
      </c>
      <c r="F148" s="8" t="s">
        <v>204</v>
      </c>
      <c r="G148" s="34" t="str">
        <f>HYPERLINK("https://docs.google.com/spreadsheets/d/1zInvAiqnSrVQj2hL_4TJ45iWLqYs9Y4C6WnbrJ-VyRU/edit#gid=1871237719", "https://docs.google.com/spreadsheets/d/1zInvAiqnSrVQj2hL_4TJ45iWLqYs9Y4C6WnbrJ-VyRU/edit#gid=1871237719")</f>
        <v>https://docs.google.com/spreadsheets/d/1zInvAiqnSrVQj2hL_4TJ45iWLqYs9Y4C6WnbrJ-VyRU/edit#gid=1871237719</v>
      </c>
      <c r="H148" s="35" t="s">
        <v>204</v>
      </c>
      <c r="L148" s="9"/>
      <c r="M148" s="9"/>
      <c r="N148" s="9"/>
      <c r="O148" s="9"/>
      <c r="P148" s="9"/>
      <c r="Q148" s="9"/>
      <c r="R148" s="9"/>
      <c r="S148" s="9"/>
      <c r="T148" s="9"/>
      <c r="U148" s="9"/>
      <c r="V148" s="9"/>
      <c r="W148" s="9"/>
      <c r="X148" s="9"/>
      <c r="Y148" s="9"/>
      <c r="Z148" s="9"/>
      <c r="AA148" s="9"/>
      <c r="AB148" s="9"/>
      <c r="AC148" s="9"/>
      <c r="AD148" s="9"/>
      <c r="AE148" s="9"/>
      <c r="AF148" s="9"/>
      <c r="AG148" s="15"/>
      <c r="AH148" s="15"/>
      <c r="AI148" s="15"/>
    </row>
    <row r="149" ht="16.5" customHeight="1">
      <c r="A149" s="8" t="s">
        <v>5</v>
      </c>
      <c r="E149" s="8" t="s">
        <v>88</v>
      </c>
      <c r="F149" s="8" t="s">
        <v>95</v>
      </c>
      <c r="G149" s="34" t="str">
        <f>HYPERLINK("https://docs.google.com/spreadsheets/d/1zInvAiqnSrVQj2hL_4TJ45iWLqYs9Y4C6WnbrJ-VyRU/edit#gid=645946073", "https://docs.google.com/spreadsheets/d/1zInvAiqnSrVQj2hL_4TJ45iWLqYs9Y4C6WnbrJ-VyRU/edit#gid=645946073")</f>
        <v>https://docs.google.com/spreadsheets/d/1zInvAiqnSrVQj2hL_4TJ45iWLqYs9Y4C6WnbrJ-VyRU/edit#gid=645946073</v>
      </c>
      <c r="H149" s="35" t="s">
        <v>95</v>
      </c>
      <c r="L149" s="9"/>
      <c r="M149" s="9"/>
      <c r="N149" s="9"/>
      <c r="O149" s="9"/>
      <c r="P149" s="9"/>
      <c r="Q149" s="9"/>
      <c r="R149" s="9"/>
      <c r="S149" s="9"/>
      <c r="T149" s="9"/>
      <c r="U149" s="9"/>
      <c r="V149" s="9"/>
      <c r="W149" s="9"/>
      <c r="X149" s="9"/>
      <c r="Y149" s="9"/>
      <c r="Z149" s="9"/>
      <c r="AA149" s="9"/>
      <c r="AB149" s="9"/>
      <c r="AC149" s="9"/>
      <c r="AD149" s="9"/>
      <c r="AE149" s="9"/>
      <c r="AF149" s="9"/>
      <c r="AG149" s="15"/>
      <c r="AH149" s="15"/>
      <c r="AI149" s="15"/>
    </row>
    <row r="150" ht="16.5" customHeight="1">
      <c r="A150" s="8" t="s">
        <v>5</v>
      </c>
      <c r="E150" s="8" t="s">
        <v>178</v>
      </c>
      <c r="F150" s="8" t="s">
        <v>209</v>
      </c>
      <c r="G150" s="34" t="s">
        <v>3055</v>
      </c>
      <c r="H150" s="8" t="s">
        <v>209</v>
      </c>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15"/>
      <c r="AH150" s="15"/>
      <c r="AI150" s="15"/>
    </row>
    <row r="151" ht="16.5" customHeight="1">
      <c r="A151" s="8" t="s">
        <v>5</v>
      </c>
      <c r="E151" s="8" t="s">
        <v>178</v>
      </c>
      <c r="F151" s="8" t="s">
        <v>210</v>
      </c>
      <c r="G151" s="34" t="s">
        <v>3056</v>
      </c>
      <c r="H151" s="8" t="s">
        <v>210</v>
      </c>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15"/>
      <c r="AH151" s="15"/>
      <c r="AI151" s="15"/>
    </row>
    <row r="152" ht="16.5" customHeight="1">
      <c r="A152" s="8" t="s">
        <v>5</v>
      </c>
      <c r="E152" s="8" t="s">
        <v>178</v>
      </c>
      <c r="F152" s="8" t="s">
        <v>179</v>
      </c>
      <c r="G152" s="34" t="s">
        <v>3057</v>
      </c>
      <c r="H152" s="8" t="s">
        <v>179</v>
      </c>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15"/>
      <c r="AH152" s="15"/>
      <c r="AI152" s="15"/>
    </row>
    <row r="153" ht="16.5" customHeight="1">
      <c r="A153" s="8" t="s">
        <v>5</v>
      </c>
      <c r="E153" s="8" t="s">
        <v>178</v>
      </c>
      <c r="F153" s="8" t="s">
        <v>180</v>
      </c>
      <c r="G153" s="34" t="s">
        <v>3058</v>
      </c>
      <c r="H153" s="8" t="s">
        <v>180</v>
      </c>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15"/>
      <c r="AH153" s="15"/>
      <c r="AI153" s="15"/>
    </row>
    <row r="154" ht="16.5" customHeight="1">
      <c r="A154" s="8" t="s">
        <v>5</v>
      </c>
      <c r="E154" s="8" t="s">
        <v>178</v>
      </c>
      <c r="F154" s="8" t="s">
        <v>773</v>
      </c>
      <c r="G154" s="34" t="s">
        <v>3059</v>
      </c>
      <c r="H154" s="8" t="s">
        <v>773</v>
      </c>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15"/>
      <c r="AH154" s="15"/>
      <c r="AI154" s="15"/>
    </row>
    <row r="155" ht="16.5" customHeight="1">
      <c r="A155" s="8" t="s">
        <v>5</v>
      </c>
      <c r="E155" s="8" t="s">
        <v>178</v>
      </c>
      <c r="F155" s="8" t="s">
        <v>775</v>
      </c>
      <c r="G155" s="42"/>
      <c r="L155" s="9"/>
      <c r="M155" s="9"/>
      <c r="N155" s="9"/>
      <c r="O155" s="9"/>
      <c r="P155" s="9"/>
      <c r="Q155" s="9"/>
      <c r="R155" s="9"/>
      <c r="S155" s="9"/>
      <c r="T155" s="9"/>
      <c r="U155" s="9"/>
      <c r="V155" s="9"/>
      <c r="W155" s="9"/>
      <c r="X155" s="9"/>
      <c r="Y155" s="9"/>
      <c r="Z155" s="9"/>
      <c r="AA155" s="9"/>
      <c r="AB155" s="9"/>
      <c r="AC155" s="9"/>
      <c r="AD155" s="9"/>
      <c r="AE155" s="9"/>
      <c r="AF155" s="9"/>
      <c r="AG155" s="15"/>
      <c r="AH155" s="15"/>
      <c r="AI155" s="15"/>
    </row>
    <row r="156" ht="16.5" customHeight="1">
      <c r="A156" s="8" t="s">
        <v>5</v>
      </c>
      <c r="E156" s="8" t="s">
        <v>178</v>
      </c>
      <c r="F156" s="8" t="s">
        <v>782</v>
      </c>
      <c r="G156" s="34" t="s">
        <v>3060</v>
      </c>
      <c r="H156" s="8" t="s">
        <v>782</v>
      </c>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15"/>
      <c r="AH156" s="15"/>
      <c r="AI156" s="15"/>
    </row>
    <row r="157" ht="16.5" customHeight="1">
      <c r="A157" s="8" t="s">
        <v>5</v>
      </c>
      <c r="E157" s="8" t="s">
        <v>178</v>
      </c>
      <c r="F157" s="8" t="s">
        <v>179</v>
      </c>
      <c r="G157" s="34" t="s">
        <v>3061</v>
      </c>
      <c r="H157" s="35" t="s">
        <v>3062</v>
      </c>
      <c r="L157" s="9"/>
      <c r="M157" s="9"/>
      <c r="N157" s="9"/>
      <c r="O157" s="9"/>
      <c r="P157" s="9"/>
      <c r="Q157" s="9"/>
      <c r="R157" s="9"/>
      <c r="S157" s="9"/>
      <c r="T157" s="9"/>
      <c r="U157" s="9"/>
      <c r="V157" s="9"/>
      <c r="W157" s="9"/>
      <c r="X157" s="9"/>
      <c r="Y157" s="9"/>
      <c r="Z157" s="9"/>
      <c r="AA157" s="9"/>
      <c r="AB157" s="9"/>
      <c r="AC157" s="9"/>
      <c r="AD157" s="9"/>
      <c r="AE157" s="9"/>
      <c r="AF157" s="9"/>
      <c r="AG157" s="15"/>
      <c r="AH157" s="15"/>
      <c r="AI157" s="15"/>
    </row>
    <row r="158" ht="16.5" customHeight="1">
      <c r="A158" s="8" t="s">
        <v>5</v>
      </c>
      <c r="E158" s="8" t="s">
        <v>178</v>
      </c>
      <c r="F158" s="8" t="s">
        <v>180</v>
      </c>
      <c r="G158" s="34" t="s">
        <v>3063</v>
      </c>
      <c r="H158" s="35" t="s">
        <v>2004</v>
      </c>
      <c r="L158" s="9"/>
      <c r="M158" s="9"/>
      <c r="N158" s="9"/>
      <c r="O158" s="9"/>
      <c r="P158" s="9"/>
      <c r="Q158" s="9"/>
      <c r="R158" s="9"/>
      <c r="S158" s="9"/>
      <c r="T158" s="9"/>
      <c r="U158" s="9"/>
      <c r="V158" s="9"/>
      <c r="W158" s="9"/>
      <c r="X158" s="9"/>
      <c r="Y158" s="9"/>
      <c r="Z158" s="9"/>
      <c r="AA158" s="9"/>
      <c r="AB158" s="9"/>
      <c r="AC158" s="9"/>
      <c r="AD158" s="9"/>
      <c r="AE158" s="9"/>
      <c r="AF158" s="9"/>
      <c r="AG158" s="15"/>
      <c r="AH158" s="15"/>
      <c r="AI158" s="15"/>
    </row>
    <row r="159" ht="16.5" customHeight="1">
      <c r="A159" s="8" t="s">
        <v>5</v>
      </c>
      <c r="E159" s="8" t="s">
        <v>86</v>
      </c>
      <c r="F159" s="8" t="s">
        <v>90</v>
      </c>
      <c r="G159" s="34" t="s">
        <v>3064</v>
      </c>
      <c r="H159" s="8" t="s">
        <v>90</v>
      </c>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15"/>
      <c r="AH159" s="15"/>
      <c r="AI159" s="15"/>
    </row>
    <row r="160" ht="16.5" customHeight="1">
      <c r="A160" s="8" t="s">
        <v>5</v>
      </c>
      <c r="E160" s="8" t="s">
        <v>86</v>
      </c>
      <c r="F160" s="8" t="s">
        <v>339</v>
      </c>
      <c r="G160" s="34" t="s">
        <v>3065</v>
      </c>
      <c r="H160" s="8" t="s">
        <v>339</v>
      </c>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15"/>
      <c r="AH160" s="15"/>
      <c r="AI160" s="15"/>
    </row>
    <row r="161" ht="16.5" customHeight="1">
      <c r="A161" s="8" t="s">
        <v>5</v>
      </c>
      <c r="E161" s="8" t="s">
        <v>178</v>
      </c>
      <c r="F161" s="8" t="s">
        <v>773</v>
      </c>
      <c r="G161" s="34" t="s">
        <v>3066</v>
      </c>
      <c r="H161" s="35" t="s">
        <v>3067</v>
      </c>
      <c r="L161" s="9"/>
      <c r="M161" s="9"/>
      <c r="N161" s="9"/>
      <c r="O161" s="9"/>
      <c r="P161" s="9"/>
      <c r="Q161" s="9"/>
      <c r="R161" s="9"/>
      <c r="S161" s="9"/>
      <c r="T161" s="9"/>
      <c r="U161" s="9"/>
      <c r="V161" s="9"/>
      <c r="W161" s="9"/>
      <c r="X161" s="9"/>
      <c r="Y161" s="9"/>
      <c r="Z161" s="9"/>
      <c r="AA161" s="9"/>
      <c r="AB161" s="9"/>
      <c r="AC161" s="9"/>
      <c r="AD161" s="9"/>
      <c r="AE161" s="9"/>
      <c r="AF161" s="9"/>
      <c r="AG161" s="15"/>
      <c r="AH161" s="15"/>
      <c r="AI161" s="15"/>
    </row>
    <row r="162" ht="16.5" customHeight="1">
      <c r="A162" s="8" t="s">
        <v>5</v>
      </c>
      <c r="E162" s="8" t="s">
        <v>178</v>
      </c>
      <c r="F162" s="8" t="s">
        <v>775</v>
      </c>
      <c r="G162" s="42"/>
      <c r="L162" s="9"/>
      <c r="M162" s="9"/>
      <c r="N162" s="9"/>
      <c r="O162" s="9"/>
      <c r="P162" s="9"/>
      <c r="Q162" s="9"/>
      <c r="R162" s="9"/>
      <c r="S162" s="9"/>
      <c r="T162" s="9"/>
      <c r="U162" s="9"/>
      <c r="V162" s="9"/>
      <c r="W162" s="9"/>
      <c r="X162" s="9"/>
      <c r="Y162" s="9"/>
      <c r="Z162" s="9"/>
      <c r="AA162" s="9"/>
      <c r="AB162" s="9"/>
      <c r="AC162" s="9"/>
      <c r="AD162" s="9"/>
      <c r="AE162" s="9"/>
      <c r="AF162" s="9"/>
      <c r="AG162" s="15"/>
      <c r="AH162" s="15"/>
      <c r="AI162" s="15"/>
    </row>
    <row r="163" ht="16.5" customHeight="1">
      <c r="A163" s="8" t="s">
        <v>5</v>
      </c>
      <c r="E163" s="8" t="s">
        <v>178</v>
      </c>
      <c r="F163" s="8" t="s">
        <v>782</v>
      </c>
      <c r="G163" s="34" t="s">
        <v>3068</v>
      </c>
      <c r="H163" s="35" t="s">
        <v>3069</v>
      </c>
      <c r="L163" s="9"/>
      <c r="M163" s="9"/>
      <c r="N163" s="9"/>
      <c r="O163" s="9"/>
      <c r="P163" s="9"/>
      <c r="Q163" s="9"/>
      <c r="R163" s="9"/>
      <c r="S163" s="9"/>
      <c r="T163" s="9"/>
      <c r="U163" s="9"/>
      <c r="V163" s="9"/>
      <c r="W163" s="9"/>
      <c r="X163" s="9"/>
      <c r="Y163" s="9"/>
      <c r="Z163" s="9"/>
      <c r="AA163" s="9"/>
      <c r="AB163" s="9"/>
      <c r="AC163" s="9"/>
      <c r="AD163" s="9"/>
      <c r="AE163" s="9"/>
      <c r="AF163" s="9"/>
      <c r="AG163" s="15"/>
      <c r="AH163" s="15"/>
      <c r="AI163" s="15"/>
    </row>
    <row r="164" ht="16.5" customHeight="1">
      <c r="A164" s="8" t="s">
        <v>5</v>
      </c>
      <c r="E164" s="8" t="s">
        <v>178</v>
      </c>
      <c r="F164" s="8" t="s">
        <v>773</v>
      </c>
      <c r="G164" s="34" t="s">
        <v>3070</v>
      </c>
      <c r="H164" s="35" t="s">
        <v>3071</v>
      </c>
      <c r="L164" s="9"/>
      <c r="M164" s="9"/>
      <c r="N164" s="9"/>
      <c r="O164" s="9"/>
      <c r="P164" s="9"/>
      <c r="Q164" s="9"/>
      <c r="R164" s="9"/>
      <c r="S164" s="9"/>
      <c r="T164" s="9"/>
      <c r="U164" s="9"/>
      <c r="V164" s="9"/>
      <c r="W164" s="9"/>
      <c r="X164" s="9"/>
      <c r="Y164" s="9"/>
      <c r="Z164" s="9"/>
      <c r="AA164" s="9"/>
      <c r="AB164" s="9"/>
      <c r="AC164" s="9"/>
      <c r="AD164" s="9"/>
      <c r="AE164" s="9"/>
      <c r="AF164" s="9"/>
      <c r="AG164" s="15"/>
      <c r="AH164" s="15"/>
      <c r="AI164" s="15"/>
    </row>
    <row r="165" ht="16.5" customHeight="1">
      <c r="A165" s="8" t="s">
        <v>5</v>
      </c>
      <c r="E165" s="8" t="s">
        <v>178</v>
      </c>
      <c r="F165" s="8" t="s">
        <v>775</v>
      </c>
      <c r="G165" s="29"/>
      <c r="H165" s="36"/>
      <c r="L165" s="9"/>
      <c r="M165" s="9"/>
      <c r="N165" s="9"/>
      <c r="O165" s="9"/>
      <c r="P165" s="9"/>
      <c r="Q165" s="9"/>
      <c r="R165" s="9"/>
      <c r="S165" s="9"/>
      <c r="T165" s="9"/>
      <c r="U165" s="9"/>
      <c r="V165" s="9"/>
      <c r="W165" s="9"/>
      <c r="X165" s="9"/>
      <c r="Y165" s="9"/>
      <c r="Z165" s="9"/>
      <c r="AA165" s="9"/>
      <c r="AB165" s="9"/>
      <c r="AC165" s="9"/>
      <c r="AD165" s="9"/>
      <c r="AE165" s="9"/>
      <c r="AF165" s="9"/>
      <c r="AG165" s="15"/>
      <c r="AH165" s="15"/>
      <c r="AI165" s="15"/>
    </row>
    <row r="166" ht="16.5" customHeight="1">
      <c r="A166" s="8" t="s">
        <v>5</v>
      </c>
      <c r="E166" s="8" t="s">
        <v>178</v>
      </c>
      <c r="F166" s="8" t="s">
        <v>782</v>
      </c>
      <c r="G166" s="34" t="s">
        <v>3072</v>
      </c>
      <c r="H166" s="35" t="s">
        <v>3073</v>
      </c>
      <c r="L166" s="9"/>
      <c r="M166" s="9"/>
      <c r="N166" s="9"/>
      <c r="O166" s="9"/>
      <c r="P166" s="9"/>
      <c r="Q166" s="9"/>
      <c r="R166" s="9"/>
      <c r="S166" s="9"/>
      <c r="T166" s="9"/>
      <c r="U166" s="9"/>
      <c r="V166" s="9"/>
      <c r="W166" s="9"/>
      <c r="X166" s="9"/>
      <c r="Y166" s="9"/>
      <c r="Z166" s="9"/>
      <c r="AA166" s="9"/>
      <c r="AB166" s="9"/>
      <c r="AC166" s="9"/>
      <c r="AD166" s="9"/>
      <c r="AE166" s="9"/>
      <c r="AF166" s="9"/>
      <c r="AG166" s="15"/>
      <c r="AH166" s="15"/>
      <c r="AI166" s="15"/>
    </row>
    <row r="167" ht="16.5" customHeight="1">
      <c r="A167" s="8" t="s">
        <v>5</v>
      </c>
      <c r="E167" s="8" t="s">
        <v>178</v>
      </c>
      <c r="F167" s="8" t="s">
        <v>205</v>
      </c>
      <c r="G167" s="34" t="s">
        <v>3074</v>
      </c>
      <c r="H167" s="8" t="s">
        <v>205</v>
      </c>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15"/>
      <c r="AH167" s="15"/>
      <c r="AI167" s="15"/>
    </row>
    <row r="168" ht="16.5" customHeight="1">
      <c r="A168" s="8" t="s">
        <v>5</v>
      </c>
      <c r="E168" s="8" t="s">
        <v>178</v>
      </c>
      <c r="F168" s="8" t="s">
        <v>206</v>
      </c>
      <c r="G168" s="29"/>
      <c r="H168" s="36"/>
      <c r="L168" s="9"/>
      <c r="M168" s="9"/>
      <c r="N168" s="9"/>
      <c r="O168" s="9"/>
      <c r="P168" s="9"/>
      <c r="Q168" s="9"/>
      <c r="R168" s="9"/>
      <c r="S168" s="9"/>
      <c r="T168" s="9"/>
      <c r="U168" s="9"/>
      <c r="V168" s="9"/>
      <c r="W168" s="9"/>
      <c r="X168" s="9"/>
      <c r="Y168" s="9"/>
      <c r="Z168" s="9"/>
      <c r="AA168" s="9"/>
      <c r="AB168" s="9"/>
      <c r="AC168" s="9"/>
      <c r="AD168" s="9"/>
      <c r="AE168" s="9"/>
      <c r="AF168" s="9"/>
      <c r="AG168" s="15"/>
      <c r="AH168" s="15"/>
      <c r="AI168" s="15"/>
    </row>
    <row r="169" ht="16.5" customHeight="1">
      <c r="A169" s="8" t="s">
        <v>5</v>
      </c>
      <c r="E169" s="8" t="s">
        <v>178</v>
      </c>
      <c r="F169" s="8" t="s">
        <v>639</v>
      </c>
      <c r="G169" s="34" t="s">
        <v>3075</v>
      </c>
      <c r="H169" s="8" t="s">
        <v>639</v>
      </c>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15"/>
      <c r="AH169" s="15"/>
      <c r="AI169" s="15"/>
    </row>
    <row r="170" ht="16.5" customHeight="1">
      <c r="A170" s="8" t="s">
        <v>5</v>
      </c>
      <c r="E170" s="8" t="s">
        <v>172</v>
      </c>
      <c r="F170" s="8" t="s">
        <v>194</v>
      </c>
      <c r="G170" s="34" t="str">
        <f>HYPERLINK("https://docs.google.com/spreadsheets/d/1zInvAiqnSrVQj2hL_4TJ45iWLqYs9Y4C6WnbrJ-VyRU/edit#gid=306068758", "https://docs.google.com/spreadsheets/d/1zInvAiqnSrVQj2hL_4TJ45iWLqYs9Y4C6WnbrJ-VyRU/edit#gid=306068758")</f>
        <v>https://docs.google.com/spreadsheets/d/1zInvAiqnSrVQj2hL_4TJ45iWLqYs9Y4C6WnbrJ-VyRU/edit#gid=306068758</v>
      </c>
      <c r="H170" s="35" t="s">
        <v>194</v>
      </c>
      <c r="L170" s="9"/>
      <c r="M170" s="9"/>
      <c r="N170" s="9"/>
      <c r="O170" s="9"/>
      <c r="P170" s="9"/>
      <c r="Q170" s="9"/>
      <c r="R170" s="9"/>
      <c r="S170" s="9"/>
      <c r="T170" s="9"/>
      <c r="U170" s="9"/>
      <c r="V170" s="9"/>
      <c r="W170" s="9"/>
      <c r="X170" s="9"/>
      <c r="Y170" s="9"/>
      <c r="Z170" s="9"/>
      <c r="AA170" s="9"/>
      <c r="AB170" s="9"/>
      <c r="AC170" s="9"/>
      <c r="AD170" s="9"/>
      <c r="AE170" s="9"/>
      <c r="AF170" s="9"/>
      <c r="AG170" s="15"/>
      <c r="AH170" s="15"/>
      <c r="AI170" s="15"/>
    </row>
    <row r="171" ht="16.5" customHeight="1">
      <c r="A171" s="8"/>
      <c r="E171" s="8" t="s">
        <v>172</v>
      </c>
      <c r="F171" s="8" t="s">
        <v>2985</v>
      </c>
      <c r="G171" s="34" t="str">
        <f>HYPERLINK("https://docs.google.com/spreadsheets/d/1zInvAiqnSrVQj2hL_4TJ45iWLqYs9Y4C6WnbrJ-VyRU/edit#gid=342349397", "https://docs.google.com/spreadsheets/d/1zInvAiqnSrVQj2hL_4TJ45iWLqYs9Y4C6WnbrJ-VyRU/edit#gid=342349397")</f>
        <v>https://docs.google.com/spreadsheets/d/1zInvAiqnSrVQj2hL_4TJ45iWLqYs9Y4C6WnbrJ-VyRU/edit#gid=342349397</v>
      </c>
      <c r="H171" s="8" t="s">
        <v>2985</v>
      </c>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15"/>
      <c r="AH171" s="15"/>
      <c r="AI171" s="15"/>
    </row>
    <row r="172" ht="16.5" customHeight="1">
      <c r="A172" s="8" t="s">
        <v>5</v>
      </c>
      <c r="E172" s="8" t="s">
        <v>178</v>
      </c>
      <c r="F172" s="8" t="s">
        <v>207</v>
      </c>
      <c r="G172" s="34" t="s">
        <v>3076</v>
      </c>
      <c r="H172" s="8" t="s">
        <v>207</v>
      </c>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15"/>
      <c r="AH172" s="15"/>
      <c r="AI172" s="15"/>
    </row>
    <row r="173" ht="16.5" customHeight="1">
      <c r="A173" s="8" t="s">
        <v>5</v>
      </c>
      <c r="E173" s="8" t="s">
        <v>178</v>
      </c>
      <c r="F173" s="8" t="s">
        <v>209</v>
      </c>
      <c r="G173" s="34" t="s">
        <v>3055</v>
      </c>
      <c r="H173" s="8" t="s">
        <v>209</v>
      </c>
      <c r="I173" s="31"/>
      <c r="J173" s="9"/>
      <c r="K173" s="9"/>
      <c r="L173" s="9"/>
      <c r="M173" s="9"/>
      <c r="N173" s="9"/>
      <c r="O173" s="9"/>
      <c r="P173" s="9"/>
      <c r="Q173" s="9"/>
      <c r="R173" s="9"/>
      <c r="S173" s="9"/>
      <c r="T173" s="9"/>
      <c r="U173" s="9"/>
      <c r="V173" s="9"/>
      <c r="W173" s="9"/>
      <c r="X173" s="9"/>
      <c r="Y173" s="9"/>
      <c r="Z173" s="9"/>
      <c r="AA173" s="9"/>
      <c r="AB173" s="9"/>
      <c r="AC173" s="9"/>
      <c r="AD173" s="9"/>
      <c r="AE173" s="9"/>
      <c r="AF173" s="9"/>
      <c r="AG173" s="15"/>
      <c r="AH173" s="15"/>
      <c r="AI173" s="15"/>
    </row>
    <row r="174" ht="16.5" customHeight="1">
      <c r="A174" s="8" t="s">
        <v>5</v>
      </c>
      <c r="E174" s="8" t="s">
        <v>178</v>
      </c>
      <c r="F174" s="8" t="s">
        <v>210</v>
      </c>
      <c r="G174" s="34" t="s">
        <v>3077</v>
      </c>
      <c r="H174" s="35" t="s">
        <v>1987</v>
      </c>
      <c r="I174" s="36"/>
      <c r="L174" s="9"/>
      <c r="M174" s="9"/>
      <c r="N174" s="9"/>
      <c r="O174" s="9"/>
      <c r="P174" s="9"/>
      <c r="Q174" s="9"/>
      <c r="R174" s="9"/>
      <c r="S174" s="9"/>
      <c r="T174" s="9"/>
      <c r="U174" s="9"/>
      <c r="V174" s="9"/>
      <c r="W174" s="9"/>
      <c r="X174" s="9"/>
      <c r="Y174" s="9"/>
      <c r="Z174" s="9"/>
      <c r="AA174" s="9"/>
      <c r="AB174" s="9"/>
      <c r="AC174" s="9"/>
      <c r="AD174" s="9"/>
      <c r="AE174" s="9"/>
      <c r="AF174" s="9"/>
      <c r="AG174" s="15"/>
      <c r="AH174" s="15"/>
      <c r="AI174" s="15"/>
    </row>
    <row r="175" ht="16.5" customHeight="1">
      <c r="A175" s="8" t="s">
        <v>5</v>
      </c>
      <c r="E175" s="8" t="s">
        <v>178</v>
      </c>
      <c r="F175" s="8" t="s">
        <v>208</v>
      </c>
      <c r="G175" s="34" t="s">
        <v>3078</v>
      </c>
      <c r="H175" s="8" t="s">
        <v>208</v>
      </c>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15"/>
      <c r="AH175" s="15"/>
      <c r="AI175" s="15"/>
    </row>
    <row r="176" ht="16.5" customHeight="1">
      <c r="A176" s="8" t="s">
        <v>5</v>
      </c>
      <c r="E176" s="8" t="s">
        <v>178</v>
      </c>
      <c r="F176" s="8" t="s">
        <v>182</v>
      </c>
      <c r="G176" s="34" t="s">
        <v>3079</v>
      </c>
      <c r="H176" s="8" t="s">
        <v>182</v>
      </c>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15"/>
      <c r="AH176" s="15"/>
      <c r="AI176" s="15"/>
    </row>
    <row r="177" ht="16.5" customHeight="1">
      <c r="A177" s="8" t="s">
        <v>5</v>
      </c>
      <c r="E177" s="8" t="s">
        <v>88</v>
      </c>
      <c r="F177" s="8" t="s">
        <v>95</v>
      </c>
      <c r="G177" s="34" t="s">
        <v>3080</v>
      </c>
      <c r="H177" s="35" t="s">
        <v>176</v>
      </c>
      <c r="L177" s="9"/>
      <c r="M177" s="9"/>
      <c r="N177" s="9"/>
      <c r="O177" s="9"/>
      <c r="P177" s="9"/>
      <c r="Q177" s="9"/>
      <c r="R177" s="9"/>
      <c r="S177" s="9"/>
      <c r="T177" s="9"/>
      <c r="U177" s="9"/>
      <c r="V177" s="9"/>
      <c r="W177" s="9"/>
      <c r="X177" s="9"/>
      <c r="Y177" s="9"/>
      <c r="Z177" s="9"/>
      <c r="AA177" s="9"/>
      <c r="AB177" s="9"/>
      <c r="AC177" s="9"/>
      <c r="AD177" s="9"/>
      <c r="AE177" s="9"/>
      <c r="AF177" s="9"/>
      <c r="AG177" s="15"/>
      <c r="AH177" s="15"/>
      <c r="AI177" s="15"/>
    </row>
    <row r="178" ht="16.5" customHeight="1">
      <c r="A178" s="8" t="s">
        <v>5</v>
      </c>
      <c r="E178" s="8" t="s">
        <v>88</v>
      </c>
      <c r="F178" s="8" t="s">
        <v>125</v>
      </c>
      <c r="G178" s="34" t="s">
        <v>3081</v>
      </c>
      <c r="H178" s="8" t="s">
        <v>125</v>
      </c>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15"/>
      <c r="AH178" s="15"/>
      <c r="AI178" s="15"/>
    </row>
    <row r="179" ht="16.5" customHeight="1">
      <c r="A179" s="8" t="s">
        <v>5</v>
      </c>
      <c r="E179" s="8" t="s">
        <v>88</v>
      </c>
      <c r="F179" s="8" t="s">
        <v>675</v>
      </c>
      <c r="G179" s="34" t="s">
        <v>3082</v>
      </c>
      <c r="H179" s="8" t="s">
        <v>675</v>
      </c>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15"/>
      <c r="AH179" s="15"/>
      <c r="AI179" s="15"/>
    </row>
    <row r="180" ht="16.5" customHeight="1">
      <c r="A180" s="8" t="s">
        <v>5</v>
      </c>
      <c r="E180" s="8" t="s">
        <v>88</v>
      </c>
      <c r="F180" s="8" t="s">
        <v>125</v>
      </c>
      <c r="G180" s="34" t="s">
        <v>3083</v>
      </c>
      <c r="H180" s="35" t="s">
        <v>1919</v>
      </c>
      <c r="L180" s="9"/>
      <c r="M180" s="9"/>
      <c r="N180" s="9"/>
      <c r="O180" s="9"/>
      <c r="P180" s="9"/>
      <c r="Q180" s="9"/>
      <c r="R180" s="9"/>
      <c r="S180" s="9"/>
      <c r="T180" s="9"/>
      <c r="U180" s="9"/>
      <c r="V180" s="9"/>
      <c r="W180" s="9"/>
      <c r="X180" s="9"/>
      <c r="Y180" s="9"/>
      <c r="Z180" s="9"/>
      <c r="AA180" s="9"/>
      <c r="AB180" s="9"/>
      <c r="AC180" s="9"/>
      <c r="AD180" s="9"/>
      <c r="AE180" s="9"/>
      <c r="AF180" s="9"/>
      <c r="AG180" s="15"/>
      <c r="AH180" s="15"/>
      <c r="AI180" s="15"/>
    </row>
    <row r="181" ht="16.5" customHeight="1">
      <c r="A181" s="8" t="s">
        <v>5</v>
      </c>
      <c r="E181" s="8" t="s">
        <v>88</v>
      </c>
      <c r="F181" s="8" t="s">
        <v>675</v>
      </c>
      <c r="G181" s="34" t="s">
        <v>3084</v>
      </c>
      <c r="H181" s="35" t="s">
        <v>1920</v>
      </c>
      <c r="I181" s="36"/>
      <c r="L181" s="9"/>
      <c r="M181" s="9"/>
      <c r="N181" s="9"/>
      <c r="O181" s="9"/>
      <c r="P181" s="9"/>
      <c r="Q181" s="9"/>
      <c r="R181" s="9"/>
      <c r="S181" s="9"/>
      <c r="T181" s="9"/>
      <c r="U181" s="9"/>
      <c r="V181" s="9"/>
      <c r="W181" s="9"/>
      <c r="X181" s="9"/>
      <c r="Y181" s="9"/>
      <c r="Z181" s="9"/>
      <c r="AA181" s="9"/>
      <c r="AB181" s="9"/>
      <c r="AC181" s="9"/>
      <c r="AD181" s="9"/>
      <c r="AE181" s="9"/>
      <c r="AF181" s="9"/>
      <c r="AG181" s="15"/>
      <c r="AH181" s="15"/>
      <c r="AI181" s="15"/>
    </row>
    <row r="182" ht="16.5" customHeight="1">
      <c r="A182" s="8" t="s">
        <v>5</v>
      </c>
      <c r="E182" s="8" t="s">
        <v>178</v>
      </c>
      <c r="F182" s="8" t="s">
        <v>207</v>
      </c>
      <c r="G182" s="34" t="s">
        <v>3085</v>
      </c>
      <c r="H182" s="35" t="s">
        <v>1998</v>
      </c>
      <c r="I182" s="36"/>
      <c r="L182" s="9"/>
      <c r="M182" s="9"/>
      <c r="N182" s="9"/>
      <c r="O182" s="9"/>
      <c r="P182" s="9"/>
      <c r="Q182" s="9"/>
      <c r="R182" s="9"/>
      <c r="S182" s="9"/>
      <c r="T182" s="9"/>
      <c r="U182" s="9"/>
      <c r="V182" s="9"/>
      <c r="W182" s="9"/>
      <c r="X182" s="9"/>
      <c r="Y182" s="9"/>
      <c r="Z182" s="9"/>
      <c r="AA182" s="9"/>
      <c r="AB182" s="9"/>
      <c r="AC182" s="9"/>
      <c r="AD182" s="9"/>
      <c r="AE182" s="9"/>
      <c r="AF182" s="9"/>
      <c r="AG182" s="15"/>
      <c r="AH182" s="15"/>
      <c r="AI182" s="15"/>
    </row>
    <row r="183" ht="16.5" customHeight="1">
      <c r="A183" s="8" t="s">
        <v>5</v>
      </c>
      <c r="E183" s="8" t="s">
        <v>178</v>
      </c>
      <c r="F183" s="8" t="s">
        <v>209</v>
      </c>
      <c r="G183" s="34" t="s">
        <v>3055</v>
      </c>
      <c r="H183" s="8" t="s">
        <v>209</v>
      </c>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15"/>
      <c r="AH183" s="15"/>
      <c r="AI183" s="15"/>
    </row>
    <row r="184" ht="16.5" customHeight="1">
      <c r="A184" s="8" t="s">
        <v>5</v>
      </c>
      <c r="E184" s="8" t="s">
        <v>178</v>
      </c>
      <c r="F184" s="8" t="s">
        <v>210</v>
      </c>
      <c r="G184" s="34" t="s">
        <v>3086</v>
      </c>
      <c r="H184" s="35" t="s">
        <v>2037</v>
      </c>
      <c r="L184" s="9"/>
      <c r="M184" s="9"/>
      <c r="N184" s="9"/>
      <c r="O184" s="9"/>
      <c r="P184" s="9"/>
      <c r="Q184" s="9"/>
      <c r="R184" s="9"/>
      <c r="S184" s="9"/>
      <c r="T184" s="9"/>
      <c r="U184" s="9"/>
      <c r="V184" s="9"/>
      <c r="W184" s="9"/>
      <c r="X184" s="9"/>
      <c r="Y184" s="9"/>
      <c r="Z184" s="9"/>
      <c r="AA184" s="9"/>
      <c r="AB184" s="9"/>
      <c r="AC184" s="9"/>
      <c r="AD184" s="9"/>
      <c r="AE184" s="9"/>
      <c r="AF184" s="9"/>
      <c r="AG184" s="15"/>
      <c r="AH184" s="15"/>
      <c r="AI184" s="15"/>
    </row>
    <row r="185" ht="16.5" customHeight="1">
      <c r="A185" s="8" t="s">
        <v>5</v>
      </c>
      <c r="E185" s="8" t="s">
        <v>178</v>
      </c>
      <c r="F185" s="8" t="s">
        <v>179</v>
      </c>
      <c r="G185" s="34" t="s">
        <v>3057</v>
      </c>
      <c r="H185" s="8" t="s">
        <v>179</v>
      </c>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15"/>
      <c r="AH185" s="15"/>
      <c r="AI185" s="15"/>
    </row>
    <row r="186" ht="16.5" customHeight="1">
      <c r="A186" s="8" t="s">
        <v>5</v>
      </c>
      <c r="E186" s="8" t="s">
        <v>178</v>
      </c>
      <c r="F186" s="8" t="s">
        <v>180</v>
      </c>
      <c r="G186" s="34" t="s">
        <v>3087</v>
      </c>
      <c r="H186" s="35" t="s">
        <v>2009</v>
      </c>
      <c r="L186" s="9"/>
      <c r="M186" s="9"/>
      <c r="N186" s="9"/>
      <c r="O186" s="9"/>
      <c r="P186" s="9"/>
      <c r="Q186" s="9"/>
      <c r="R186" s="9"/>
      <c r="S186" s="9"/>
      <c r="T186" s="9"/>
      <c r="U186" s="9"/>
      <c r="V186" s="9"/>
      <c r="W186" s="9"/>
      <c r="X186" s="9"/>
      <c r="Y186" s="9"/>
      <c r="Z186" s="9"/>
      <c r="AA186" s="9"/>
      <c r="AB186" s="9"/>
      <c r="AC186" s="9"/>
      <c r="AD186" s="9"/>
      <c r="AE186" s="9"/>
      <c r="AF186" s="9"/>
      <c r="AG186" s="15"/>
      <c r="AH186" s="15"/>
      <c r="AI186" s="15"/>
    </row>
    <row r="187" ht="16.5" customHeight="1">
      <c r="A187" s="8" t="s">
        <v>5</v>
      </c>
      <c r="E187" s="8" t="s">
        <v>178</v>
      </c>
      <c r="F187" s="8" t="s">
        <v>208</v>
      </c>
      <c r="G187" s="34" t="s">
        <v>3078</v>
      </c>
      <c r="H187" s="8" t="s">
        <v>208</v>
      </c>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15"/>
      <c r="AH187" s="15"/>
      <c r="AI187" s="15"/>
    </row>
    <row r="188" ht="16.5" customHeight="1">
      <c r="A188" s="408" t="s">
        <v>5</v>
      </c>
      <c r="E188" s="408" t="s">
        <v>178</v>
      </c>
      <c r="F188" s="408" t="s">
        <v>182</v>
      </c>
      <c r="G188" s="411" t="s">
        <v>3088</v>
      </c>
      <c r="H188" s="412" t="s">
        <v>2003</v>
      </c>
      <c r="I188" s="413"/>
      <c r="J188" s="413"/>
      <c r="K188" s="413"/>
      <c r="L188" s="409"/>
      <c r="M188" s="9"/>
      <c r="N188" s="9"/>
      <c r="O188" s="9"/>
      <c r="P188" s="9"/>
      <c r="Q188" s="9"/>
      <c r="R188" s="9"/>
      <c r="S188" s="9"/>
      <c r="T188" s="9"/>
      <c r="U188" s="9"/>
      <c r="V188" s="9"/>
      <c r="W188" s="9"/>
      <c r="X188" s="9"/>
      <c r="Y188" s="9"/>
      <c r="Z188" s="9"/>
      <c r="AA188" s="409"/>
      <c r="AB188" s="409"/>
      <c r="AC188" s="409"/>
      <c r="AD188" s="409"/>
      <c r="AE188" s="409"/>
      <c r="AF188" s="409"/>
      <c r="AG188" s="414"/>
      <c r="AH188" s="414"/>
      <c r="AI188" s="414"/>
    </row>
    <row r="189" ht="16.5" customHeight="1">
      <c r="A189" s="407" t="s">
        <v>5</v>
      </c>
      <c r="B189" s="195" t="s">
        <v>3089</v>
      </c>
      <c r="C189" s="87" t="s">
        <v>2926</v>
      </c>
      <c r="D189" s="8" t="s">
        <v>42</v>
      </c>
      <c r="E189" s="408" t="s">
        <v>89</v>
      </c>
      <c r="F189" s="408" t="s">
        <v>291</v>
      </c>
      <c r="G189" s="391"/>
      <c r="H189" s="393"/>
      <c r="I189" s="409"/>
      <c r="J189" s="409"/>
      <c r="K189" s="394"/>
      <c r="L189" s="394"/>
      <c r="M189" s="15"/>
      <c r="N189" s="15"/>
      <c r="O189" s="15"/>
      <c r="P189" s="15"/>
      <c r="Q189" s="15"/>
      <c r="R189" s="15"/>
      <c r="S189" s="15"/>
      <c r="T189" s="15"/>
      <c r="U189" s="15"/>
      <c r="V189" s="15"/>
      <c r="W189" s="15"/>
      <c r="X189" s="15"/>
      <c r="Y189" s="15"/>
      <c r="Z189" s="15"/>
      <c r="AA189" s="414"/>
      <c r="AB189" s="414"/>
      <c r="AC189" s="414"/>
      <c r="AD189" s="414"/>
      <c r="AE189" s="414"/>
      <c r="AF189" s="414"/>
      <c r="AG189" s="414"/>
      <c r="AH189" s="414"/>
      <c r="AI189" s="414"/>
    </row>
    <row r="190" ht="16.5" customHeight="1">
      <c r="A190" s="8" t="s">
        <v>3090</v>
      </c>
      <c r="B190" s="8" t="s">
        <v>3091</v>
      </c>
      <c r="C190" s="418" t="s">
        <v>3092</v>
      </c>
      <c r="D190" s="8" t="s">
        <v>42</v>
      </c>
      <c r="E190" s="8" t="s">
        <v>21</v>
      </c>
      <c r="F190" s="8" t="s">
        <v>51</v>
      </c>
      <c r="G190" s="34" t="s">
        <v>3093</v>
      </c>
      <c r="H190" s="8" t="s">
        <v>51</v>
      </c>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15"/>
      <c r="AH190" s="15"/>
      <c r="AI190" s="15"/>
    </row>
    <row r="191" ht="16.5" customHeight="1">
      <c r="A191" s="8" t="s">
        <v>5</v>
      </c>
      <c r="E191" s="8" t="s">
        <v>88</v>
      </c>
      <c r="F191" s="8" t="s">
        <v>95</v>
      </c>
      <c r="G191" s="34" t="s">
        <v>3094</v>
      </c>
      <c r="H191" s="8" t="s">
        <v>95</v>
      </c>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15"/>
      <c r="AH191" s="15"/>
      <c r="AI191" s="15"/>
    </row>
    <row r="192" ht="16.5" customHeight="1">
      <c r="A192" s="8" t="s">
        <v>5</v>
      </c>
      <c r="E192" s="8" t="s">
        <v>172</v>
      </c>
      <c r="F192" s="8" t="s">
        <v>203</v>
      </c>
      <c r="G192" s="34" t="s">
        <v>3095</v>
      </c>
      <c r="H192" s="8" t="s">
        <v>203</v>
      </c>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15"/>
      <c r="AH192" s="15"/>
      <c r="AI192" s="15"/>
    </row>
    <row r="193" ht="16.5" customHeight="1">
      <c r="A193" s="8" t="s">
        <v>5</v>
      </c>
      <c r="E193" s="8" t="s">
        <v>172</v>
      </c>
      <c r="F193" s="8" t="s">
        <v>204</v>
      </c>
      <c r="G193" s="34" t="s">
        <v>3096</v>
      </c>
      <c r="H193" s="8" t="s">
        <v>204</v>
      </c>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15"/>
      <c r="AH193" s="15"/>
      <c r="AI193" s="15"/>
    </row>
    <row r="194" ht="16.5" customHeight="1">
      <c r="A194" s="8" t="s">
        <v>5</v>
      </c>
      <c r="E194" s="8" t="s">
        <v>86</v>
      </c>
      <c r="F194" s="8" t="s">
        <v>90</v>
      </c>
      <c r="G194" s="34" t="s">
        <v>3097</v>
      </c>
      <c r="H194" s="8" t="s">
        <v>90</v>
      </c>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15"/>
      <c r="AH194" s="15"/>
      <c r="AI194" s="15"/>
    </row>
    <row r="195" ht="16.5" customHeight="1">
      <c r="A195" s="8" t="s">
        <v>5</v>
      </c>
      <c r="E195" s="8" t="s">
        <v>86</v>
      </c>
      <c r="F195" s="8" t="s">
        <v>739</v>
      </c>
      <c r="G195" s="34" t="s">
        <v>3098</v>
      </c>
      <c r="H195" s="8" t="s">
        <v>739</v>
      </c>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15"/>
      <c r="AH195" s="15"/>
      <c r="AI195" s="15"/>
    </row>
    <row r="196" ht="16.5" customHeight="1">
      <c r="A196" s="8" t="s">
        <v>5</v>
      </c>
      <c r="E196" s="8" t="s">
        <v>178</v>
      </c>
      <c r="F196" s="173" t="s">
        <v>209</v>
      </c>
      <c r="G196" s="34" t="s">
        <v>3099</v>
      </c>
      <c r="H196" s="173" t="s">
        <v>209</v>
      </c>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15"/>
      <c r="AH196" s="15"/>
      <c r="AI196" s="15"/>
    </row>
    <row r="197" ht="16.5" customHeight="1">
      <c r="A197" s="8" t="s">
        <v>5</v>
      </c>
      <c r="E197" s="8" t="s">
        <v>178</v>
      </c>
      <c r="F197" s="8" t="s">
        <v>210</v>
      </c>
      <c r="G197" s="34" t="s">
        <v>3100</v>
      </c>
      <c r="H197" s="173" t="s">
        <v>210</v>
      </c>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15"/>
      <c r="AH197" s="15"/>
      <c r="AI197" s="15"/>
    </row>
    <row r="198" ht="16.5" customHeight="1">
      <c r="A198" s="8" t="s">
        <v>5</v>
      </c>
      <c r="E198" s="8" t="s">
        <v>178</v>
      </c>
      <c r="F198" s="173" t="s">
        <v>179</v>
      </c>
      <c r="G198" s="34" t="s">
        <v>3101</v>
      </c>
      <c r="H198" s="173" t="s">
        <v>179</v>
      </c>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15"/>
      <c r="AH198" s="15"/>
      <c r="AI198" s="15"/>
    </row>
    <row r="199" ht="16.5" customHeight="1">
      <c r="A199" s="8" t="s">
        <v>5</v>
      </c>
      <c r="E199" s="8" t="s">
        <v>178</v>
      </c>
      <c r="F199" s="8" t="s">
        <v>180</v>
      </c>
      <c r="G199" s="34" t="s">
        <v>3102</v>
      </c>
      <c r="H199" s="173" t="s">
        <v>180</v>
      </c>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15"/>
      <c r="AH199" s="15"/>
      <c r="AI199" s="15"/>
    </row>
    <row r="200" ht="16.5" customHeight="1">
      <c r="A200" s="8" t="s">
        <v>5</v>
      </c>
      <c r="E200" s="8" t="s">
        <v>178</v>
      </c>
      <c r="F200" s="173" t="s">
        <v>773</v>
      </c>
      <c r="G200" s="34" t="s">
        <v>3103</v>
      </c>
      <c r="H200" s="173" t="s">
        <v>773</v>
      </c>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15"/>
      <c r="AH200" s="15"/>
      <c r="AI200" s="15"/>
    </row>
    <row r="201" ht="16.5" customHeight="1">
      <c r="A201" s="8" t="s">
        <v>5</v>
      </c>
      <c r="E201" s="8" t="s">
        <v>178</v>
      </c>
      <c r="F201" s="8" t="s">
        <v>775</v>
      </c>
      <c r="G201" s="29"/>
      <c r="H201" s="36"/>
      <c r="L201" s="9"/>
      <c r="M201" s="9"/>
      <c r="N201" s="9"/>
      <c r="O201" s="9"/>
      <c r="P201" s="9"/>
      <c r="Q201" s="9"/>
      <c r="R201" s="9"/>
      <c r="S201" s="9"/>
      <c r="T201" s="9"/>
      <c r="U201" s="9"/>
      <c r="V201" s="9"/>
      <c r="W201" s="9"/>
      <c r="X201" s="9"/>
      <c r="Y201" s="9"/>
      <c r="Z201" s="9"/>
      <c r="AA201" s="9"/>
      <c r="AB201" s="9"/>
      <c r="AC201" s="9"/>
      <c r="AD201" s="9"/>
      <c r="AE201" s="9"/>
      <c r="AF201" s="9"/>
      <c r="AG201" s="15"/>
      <c r="AH201" s="15"/>
      <c r="AI201" s="15"/>
    </row>
    <row r="202" ht="16.5" customHeight="1">
      <c r="A202" s="8" t="s">
        <v>5</v>
      </c>
      <c r="E202" s="8" t="s">
        <v>178</v>
      </c>
      <c r="F202" s="8" t="s">
        <v>782</v>
      </c>
      <c r="G202" s="34" t="s">
        <v>3104</v>
      </c>
      <c r="H202" s="8" t="s">
        <v>782</v>
      </c>
      <c r="I202" s="31"/>
      <c r="J202" s="9"/>
      <c r="K202" s="9"/>
      <c r="L202" s="9"/>
      <c r="M202" s="9"/>
      <c r="N202" s="9"/>
      <c r="O202" s="9"/>
      <c r="P202" s="9"/>
      <c r="Q202" s="9"/>
      <c r="R202" s="9"/>
      <c r="S202" s="9"/>
      <c r="T202" s="9"/>
      <c r="U202" s="9"/>
      <c r="V202" s="9"/>
      <c r="W202" s="9"/>
      <c r="X202" s="9"/>
      <c r="Y202" s="9"/>
      <c r="Z202" s="9"/>
      <c r="AA202" s="9"/>
      <c r="AB202" s="9"/>
      <c r="AC202" s="9"/>
      <c r="AD202" s="9"/>
      <c r="AE202" s="9"/>
      <c r="AF202" s="9"/>
      <c r="AG202" s="15"/>
      <c r="AH202" s="15"/>
      <c r="AI202" s="15"/>
    </row>
    <row r="203" ht="16.5" customHeight="1">
      <c r="A203" s="8" t="s">
        <v>5</v>
      </c>
      <c r="E203" s="8" t="s">
        <v>178</v>
      </c>
      <c r="F203" s="8" t="s">
        <v>205</v>
      </c>
      <c r="G203" s="34" t="s">
        <v>3105</v>
      </c>
      <c r="H203" s="8" t="s">
        <v>205</v>
      </c>
      <c r="I203" s="31"/>
      <c r="J203" s="9"/>
      <c r="K203" s="9"/>
      <c r="L203" s="9"/>
      <c r="M203" s="9"/>
      <c r="N203" s="9"/>
      <c r="O203" s="9"/>
      <c r="P203" s="9"/>
      <c r="Q203" s="9"/>
      <c r="R203" s="9"/>
      <c r="S203" s="9"/>
      <c r="T203" s="9"/>
      <c r="U203" s="9"/>
      <c r="V203" s="9"/>
      <c r="W203" s="9"/>
      <c r="X203" s="9"/>
      <c r="Y203" s="9"/>
      <c r="Z203" s="9"/>
      <c r="AA203" s="9"/>
      <c r="AB203" s="9"/>
      <c r="AC203" s="9"/>
      <c r="AD203" s="9"/>
      <c r="AE203" s="9"/>
      <c r="AF203" s="9"/>
      <c r="AG203" s="15"/>
      <c r="AH203" s="15"/>
      <c r="AI203" s="15"/>
    </row>
    <row r="204" ht="16.5" customHeight="1">
      <c r="A204" s="8" t="s">
        <v>5</v>
      </c>
      <c r="E204" s="8" t="s">
        <v>178</v>
      </c>
      <c r="F204" s="8" t="s">
        <v>206</v>
      </c>
      <c r="G204" s="29"/>
      <c r="H204" s="36"/>
      <c r="L204" s="9"/>
      <c r="M204" s="9"/>
      <c r="N204" s="9"/>
      <c r="O204" s="9"/>
      <c r="P204" s="9"/>
      <c r="Q204" s="9"/>
      <c r="R204" s="9"/>
      <c r="S204" s="9"/>
      <c r="T204" s="9"/>
      <c r="U204" s="9"/>
      <c r="V204" s="9"/>
      <c r="W204" s="9"/>
      <c r="X204" s="9"/>
      <c r="Y204" s="9"/>
      <c r="Z204" s="9"/>
      <c r="AA204" s="9"/>
      <c r="AB204" s="9"/>
      <c r="AC204" s="9"/>
      <c r="AD204" s="9"/>
      <c r="AE204" s="9"/>
      <c r="AF204" s="9"/>
      <c r="AG204" s="15"/>
      <c r="AH204" s="15"/>
      <c r="AI204" s="15"/>
    </row>
    <row r="205" ht="16.5" customHeight="1">
      <c r="A205" s="8" t="s">
        <v>5</v>
      </c>
      <c r="E205" s="8" t="s">
        <v>178</v>
      </c>
      <c r="F205" s="173" t="s">
        <v>639</v>
      </c>
      <c r="G205" s="34" t="s">
        <v>3106</v>
      </c>
      <c r="H205" s="173" t="s">
        <v>639</v>
      </c>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15"/>
      <c r="AH205" s="15"/>
      <c r="AI205" s="15"/>
    </row>
    <row r="206" ht="16.5" customHeight="1">
      <c r="A206" s="8" t="s">
        <v>5</v>
      </c>
      <c r="E206" s="8" t="s">
        <v>178</v>
      </c>
      <c r="F206" s="8" t="s">
        <v>207</v>
      </c>
      <c r="G206" s="34" t="s">
        <v>3107</v>
      </c>
      <c r="H206" s="173" t="s">
        <v>207</v>
      </c>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15"/>
      <c r="AH206" s="15"/>
      <c r="AI206" s="15"/>
    </row>
    <row r="207" ht="16.5" customHeight="1">
      <c r="A207" s="8" t="s">
        <v>5</v>
      </c>
      <c r="E207" s="8" t="s">
        <v>178</v>
      </c>
      <c r="F207" s="173" t="s">
        <v>209</v>
      </c>
      <c r="G207" s="34" t="s">
        <v>3099</v>
      </c>
      <c r="H207" s="173" t="s">
        <v>209</v>
      </c>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15"/>
      <c r="AH207" s="15"/>
      <c r="AI207" s="15"/>
    </row>
    <row r="208" ht="16.5" customHeight="1">
      <c r="A208" s="8" t="s">
        <v>5</v>
      </c>
      <c r="E208" s="8" t="s">
        <v>178</v>
      </c>
      <c r="F208" s="8" t="s">
        <v>210</v>
      </c>
      <c r="G208" s="34" t="s">
        <v>3108</v>
      </c>
      <c r="H208" s="35" t="s">
        <v>1987</v>
      </c>
      <c r="L208" s="9"/>
      <c r="M208" s="9"/>
      <c r="N208" s="9"/>
      <c r="O208" s="9"/>
      <c r="P208" s="9"/>
      <c r="Q208" s="9"/>
      <c r="R208" s="9"/>
      <c r="S208" s="9"/>
      <c r="T208" s="9"/>
      <c r="U208" s="9"/>
      <c r="V208" s="9"/>
      <c r="W208" s="9"/>
      <c r="X208" s="9"/>
      <c r="Y208" s="9"/>
      <c r="Z208" s="9"/>
      <c r="AA208" s="9"/>
      <c r="AB208" s="9"/>
      <c r="AC208" s="9"/>
      <c r="AD208" s="9"/>
      <c r="AE208" s="9"/>
      <c r="AF208" s="9"/>
      <c r="AG208" s="15"/>
      <c r="AH208" s="15"/>
      <c r="AI208" s="15"/>
    </row>
    <row r="209" ht="16.5" customHeight="1">
      <c r="A209" s="8" t="s">
        <v>5</v>
      </c>
      <c r="E209" s="8" t="s">
        <v>178</v>
      </c>
      <c r="F209" s="173" t="s">
        <v>208</v>
      </c>
      <c r="G209" s="34" t="s">
        <v>3109</v>
      </c>
      <c r="H209" s="173" t="s">
        <v>208</v>
      </c>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15"/>
      <c r="AH209" s="15"/>
      <c r="AI209" s="15"/>
    </row>
    <row r="210" ht="16.5" customHeight="1">
      <c r="A210" s="408" t="s">
        <v>5</v>
      </c>
      <c r="E210" s="408" t="s">
        <v>178</v>
      </c>
      <c r="F210" s="408" t="s">
        <v>182</v>
      </c>
      <c r="G210" s="411" t="s">
        <v>3110</v>
      </c>
      <c r="H210" s="415" t="s">
        <v>182</v>
      </c>
      <c r="I210" s="393"/>
      <c r="J210" s="409"/>
      <c r="K210" s="409"/>
      <c r="L210" s="409"/>
      <c r="M210" s="9"/>
      <c r="N210" s="9"/>
      <c r="O210" s="9"/>
      <c r="P210" s="9"/>
      <c r="Q210" s="9"/>
      <c r="R210" s="9"/>
      <c r="S210" s="9"/>
      <c r="T210" s="9"/>
      <c r="U210" s="9"/>
      <c r="V210" s="9"/>
      <c r="W210" s="9"/>
      <c r="X210" s="409"/>
      <c r="Y210" s="409"/>
      <c r="Z210" s="409"/>
      <c r="AA210" s="409"/>
      <c r="AB210" s="409"/>
      <c r="AC210" s="409"/>
      <c r="AD210" s="409"/>
      <c r="AE210" s="409"/>
      <c r="AF210" s="409"/>
      <c r="AG210" s="414"/>
      <c r="AH210" s="414"/>
      <c r="AI210" s="414"/>
    </row>
    <row r="211" ht="16.5" customHeight="1">
      <c r="A211" s="32" t="s">
        <v>5</v>
      </c>
      <c r="B211" s="195" t="s">
        <v>3111</v>
      </c>
      <c r="C211" s="343" t="s">
        <v>2926</v>
      </c>
      <c r="D211" s="53" t="s">
        <v>42</v>
      </c>
      <c r="E211" s="389" t="s">
        <v>89</v>
      </c>
      <c r="F211" s="390" t="s">
        <v>291</v>
      </c>
      <c r="G211" s="391"/>
      <c r="H211" s="390"/>
      <c r="I211" s="409"/>
      <c r="J211" s="409"/>
      <c r="K211" s="394"/>
      <c r="L211" s="394"/>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row>
    <row r="212" ht="16.5" customHeight="1">
      <c r="A212" s="32" t="s">
        <v>5</v>
      </c>
      <c r="B212" s="195" t="s">
        <v>3112</v>
      </c>
      <c r="C212" s="343" t="s">
        <v>3113</v>
      </c>
      <c r="D212" s="53" t="s">
        <v>42</v>
      </c>
      <c r="E212" s="28" t="s">
        <v>21</v>
      </c>
      <c r="F212" s="28" t="s">
        <v>51</v>
      </c>
      <c r="G212" s="149" t="s">
        <v>3114</v>
      </c>
      <c r="H212" s="38" t="s">
        <v>51</v>
      </c>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row>
    <row r="213" ht="16.5" customHeight="1">
      <c r="A213" s="32" t="s">
        <v>5</v>
      </c>
      <c r="E213" s="8" t="s">
        <v>178</v>
      </c>
      <c r="F213" s="8" t="s">
        <v>201</v>
      </c>
      <c r="G213" s="149" t="s">
        <v>3115</v>
      </c>
      <c r="H213" s="8" t="s">
        <v>201</v>
      </c>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row>
    <row r="214" ht="16.5" customHeight="1">
      <c r="A214" s="32" t="s">
        <v>5</v>
      </c>
      <c r="E214" s="8" t="s">
        <v>178</v>
      </c>
      <c r="F214" s="8" t="s">
        <v>202</v>
      </c>
      <c r="G214" s="149" t="s">
        <v>3116</v>
      </c>
      <c r="H214" s="8" t="s">
        <v>202</v>
      </c>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row>
    <row r="215" ht="16.5" customHeight="1">
      <c r="A215" s="32" t="s">
        <v>5</v>
      </c>
      <c r="E215" s="8" t="s">
        <v>178</v>
      </c>
      <c r="F215" s="8" t="s">
        <v>202</v>
      </c>
      <c r="G215" s="149" t="s">
        <v>3117</v>
      </c>
      <c r="H215" s="8" t="s">
        <v>2025</v>
      </c>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row>
    <row r="216" ht="16.5" customHeight="1">
      <c r="A216" s="32" t="s">
        <v>5</v>
      </c>
      <c r="E216" s="8" t="s">
        <v>178</v>
      </c>
      <c r="F216" s="8" t="s">
        <v>202</v>
      </c>
      <c r="G216" s="149" t="s">
        <v>3118</v>
      </c>
      <c r="H216" s="8" t="s">
        <v>3119</v>
      </c>
      <c r="I216" s="9"/>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row>
    <row r="217" ht="16.5" customHeight="1">
      <c r="A217" s="32" t="s">
        <v>5</v>
      </c>
      <c r="E217" s="8" t="s">
        <v>178</v>
      </c>
      <c r="F217" s="8" t="s">
        <v>536</v>
      </c>
      <c r="G217" s="149" t="s">
        <v>3120</v>
      </c>
      <c r="H217" s="8" t="s">
        <v>536</v>
      </c>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row>
    <row r="218" ht="16.5" customHeight="1">
      <c r="A218" s="32" t="s">
        <v>5</v>
      </c>
      <c r="E218" s="28" t="s">
        <v>172</v>
      </c>
      <c r="F218" s="8" t="s">
        <v>173</v>
      </c>
      <c r="G218" s="149" t="s">
        <v>3121</v>
      </c>
      <c r="H218" s="8" t="s">
        <v>173</v>
      </c>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row>
    <row r="219" ht="16.5" customHeight="1">
      <c r="A219" s="32" t="s">
        <v>5</v>
      </c>
      <c r="E219" s="28" t="s">
        <v>172</v>
      </c>
      <c r="F219" s="38" t="s">
        <v>174</v>
      </c>
      <c r="G219" s="149" t="s">
        <v>3122</v>
      </c>
      <c r="H219" s="38" t="s">
        <v>174</v>
      </c>
      <c r="I219" s="9"/>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row>
    <row r="220" ht="16.5" customHeight="1">
      <c r="A220" s="32" t="s">
        <v>5</v>
      </c>
      <c r="E220" s="8" t="s">
        <v>172</v>
      </c>
      <c r="F220" s="8" t="s">
        <v>203</v>
      </c>
      <c r="G220" s="149" t="s">
        <v>3123</v>
      </c>
      <c r="H220" s="8" t="s">
        <v>203</v>
      </c>
      <c r="I220" s="9"/>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row>
    <row r="221" ht="16.5" customHeight="1">
      <c r="A221" s="32" t="s">
        <v>5</v>
      </c>
      <c r="E221" s="8" t="s">
        <v>172</v>
      </c>
      <c r="F221" s="8" t="s">
        <v>945</v>
      </c>
      <c r="G221" s="149" t="s">
        <v>3124</v>
      </c>
      <c r="H221" s="8" t="s">
        <v>945</v>
      </c>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row>
    <row r="222" ht="16.5" customHeight="1">
      <c r="A222" s="32" t="s">
        <v>5</v>
      </c>
      <c r="E222" s="28" t="s">
        <v>88</v>
      </c>
      <c r="F222" s="38" t="s">
        <v>95</v>
      </c>
      <c r="G222" s="149" t="s">
        <v>3125</v>
      </c>
      <c r="H222" s="38" t="s">
        <v>95</v>
      </c>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row>
    <row r="223" ht="16.5" customHeight="1">
      <c r="A223" s="32" t="s">
        <v>5</v>
      </c>
      <c r="E223" s="28" t="s">
        <v>88</v>
      </c>
      <c r="F223" s="28" t="s">
        <v>154</v>
      </c>
      <c r="G223" s="149" t="s">
        <v>3126</v>
      </c>
      <c r="H223" s="38" t="s">
        <v>154</v>
      </c>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row>
    <row r="224" ht="16.5" customHeight="1">
      <c r="A224" s="32" t="s">
        <v>5</v>
      </c>
      <c r="E224" s="8" t="s">
        <v>88</v>
      </c>
      <c r="F224" s="8" t="s">
        <v>120</v>
      </c>
      <c r="G224" s="149" t="s">
        <v>3127</v>
      </c>
      <c r="H224" s="8" t="s">
        <v>120</v>
      </c>
      <c r="I224" s="31"/>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row>
    <row r="225" ht="16.5" customHeight="1">
      <c r="A225" s="32" t="s">
        <v>5</v>
      </c>
      <c r="E225" s="8" t="s">
        <v>88</v>
      </c>
      <c r="F225" s="8" t="s">
        <v>544</v>
      </c>
      <c r="G225" s="149" t="s">
        <v>3128</v>
      </c>
      <c r="H225" s="8" t="s">
        <v>544</v>
      </c>
      <c r="I225" s="31"/>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row>
    <row r="226" ht="16.5" customHeight="1">
      <c r="A226" s="32" t="s">
        <v>5</v>
      </c>
      <c r="E226" s="8" t="s">
        <v>88</v>
      </c>
      <c r="F226" s="8" t="s">
        <v>246</v>
      </c>
      <c r="G226" s="149" t="s">
        <v>3129</v>
      </c>
      <c r="H226" s="8" t="s">
        <v>246</v>
      </c>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row>
    <row r="227" ht="16.5" customHeight="1">
      <c r="A227" s="32" t="s">
        <v>5</v>
      </c>
      <c r="E227" s="8" t="s">
        <v>88</v>
      </c>
      <c r="F227" s="8" t="s">
        <v>247</v>
      </c>
      <c r="G227" s="69"/>
      <c r="H227" s="36"/>
      <c r="L227" s="11"/>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row>
    <row r="228" ht="16.5" customHeight="1">
      <c r="A228" s="32" t="s">
        <v>5</v>
      </c>
      <c r="E228" s="8" t="s">
        <v>88</v>
      </c>
      <c r="F228" s="8" t="s">
        <v>125</v>
      </c>
      <c r="G228" s="149" t="s">
        <v>3130</v>
      </c>
      <c r="H228" s="8" t="s">
        <v>1921</v>
      </c>
      <c r="I228" s="31"/>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row>
    <row r="229" ht="16.5" customHeight="1">
      <c r="A229" s="32" t="s">
        <v>5</v>
      </c>
      <c r="E229" s="8" t="s">
        <v>88</v>
      </c>
      <c r="F229" s="8" t="s">
        <v>531</v>
      </c>
      <c r="G229" s="149" t="s">
        <v>3131</v>
      </c>
      <c r="H229" s="8" t="s">
        <v>531</v>
      </c>
      <c r="I229" s="31"/>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row>
    <row r="230" ht="16.5" customHeight="1">
      <c r="A230" s="32" t="s">
        <v>5</v>
      </c>
      <c r="E230" s="8" t="s">
        <v>88</v>
      </c>
      <c r="F230" s="8" t="s">
        <v>892</v>
      </c>
      <c r="G230" s="69"/>
      <c r="H230" s="36"/>
      <c r="L230" s="11"/>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row>
    <row r="231" ht="16.5" customHeight="1">
      <c r="A231" s="32" t="s">
        <v>5</v>
      </c>
      <c r="E231" s="8" t="s">
        <v>86</v>
      </c>
      <c r="F231" s="8" t="s">
        <v>90</v>
      </c>
      <c r="G231" s="149" t="s">
        <v>3132</v>
      </c>
      <c r="H231" s="8" t="s">
        <v>90</v>
      </c>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row>
    <row r="232" ht="16.5" customHeight="1">
      <c r="A232" s="32" t="s">
        <v>5</v>
      </c>
      <c r="E232" s="8" t="s">
        <v>86</v>
      </c>
      <c r="F232" s="8" t="s">
        <v>339</v>
      </c>
      <c r="G232" s="149" t="s">
        <v>3133</v>
      </c>
      <c r="H232" s="8" t="s">
        <v>339</v>
      </c>
      <c r="I232" s="9"/>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row>
    <row r="233" ht="16.5" customHeight="1">
      <c r="A233" s="32" t="s">
        <v>5</v>
      </c>
      <c r="E233" s="28" t="s">
        <v>178</v>
      </c>
      <c r="F233" s="8" t="s">
        <v>209</v>
      </c>
      <c r="G233" s="149" t="s">
        <v>3134</v>
      </c>
      <c r="H233" s="8" t="s">
        <v>209</v>
      </c>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row>
    <row r="234" ht="16.5" customHeight="1">
      <c r="A234" s="32" t="s">
        <v>5</v>
      </c>
      <c r="E234" s="28" t="s">
        <v>178</v>
      </c>
      <c r="F234" s="38" t="s">
        <v>210</v>
      </c>
      <c r="G234" s="149" t="s">
        <v>3135</v>
      </c>
      <c r="H234" s="38" t="s">
        <v>210</v>
      </c>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row>
    <row r="235" ht="16.5" customHeight="1">
      <c r="A235" s="32" t="s">
        <v>5</v>
      </c>
      <c r="E235" s="28" t="s">
        <v>178</v>
      </c>
      <c r="F235" s="28" t="s">
        <v>179</v>
      </c>
      <c r="G235" s="149" t="s">
        <v>3136</v>
      </c>
      <c r="H235" s="38" t="s">
        <v>179</v>
      </c>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row>
    <row r="236" ht="16.5" customHeight="1">
      <c r="A236" s="32" t="s">
        <v>5</v>
      </c>
      <c r="E236" s="8" t="s">
        <v>178</v>
      </c>
      <c r="F236" s="8" t="s">
        <v>180</v>
      </c>
      <c r="G236" s="149" t="s">
        <v>3137</v>
      </c>
      <c r="H236" s="8" t="s">
        <v>180</v>
      </c>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row>
    <row r="237" ht="16.5" customHeight="1">
      <c r="A237" s="32" t="s">
        <v>5</v>
      </c>
      <c r="E237" s="8" t="s">
        <v>178</v>
      </c>
      <c r="F237" s="8" t="s">
        <v>773</v>
      </c>
      <c r="G237" s="149" t="s">
        <v>3138</v>
      </c>
      <c r="H237" s="8" t="s">
        <v>773</v>
      </c>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row>
    <row r="238" ht="16.5" customHeight="1">
      <c r="A238" s="32" t="s">
        <v>5</v>
      </c>
      <c r="E238" s="8" t="s">
        <v>178</v>
      </c>
      <c r="F238" s="8" t="s">
        <v>775</v>
      </c>
      <c r="G238" s="149" t="s">
        <v>3139</v>
      </c>
      <c r="H238" s="8"/>
      <c r="I238" s="9"/>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row>
    <row r="239" ht="16.5" customHeight="1">
      <c r="A239" s="32" t="s">
        <v>5</v>
      </c>
      <c r="E239" s="8" t="s">
        <v>178</v>
      </c>
      <c r="F239" s="8" t="s">
        <v>782</v>
      </c>
      <c r="G239" s="149" t="s">
        <v>3140</v>
      </c>
      <c r="H239" s="8" t="s">
        <v>782</v>
      </c>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row>
    <row r="240" ht="16.5" customHeight="1">
      <c r="A240" s="32" t="s">
        <v>5</v>
      </c>
      <c r="E240" s="8" t="s">
        <v>178</v>
      </c>
      <c r="F240" s="8" t="s">
        <v>205</v>
      </c>
      <c r="G240" s="149" t="s">
        <v>3141</v>
      </c>
      <c r="H240" s="8" t="s">
        <v>205</v>
      </c>
      <c r="I240" s="9"/>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row>
    <row r="241" ht="16.5" customHeight="1">
      <c r="A241" s="32" t="s">
        <v>5</v>
      </c>
      <c r="E241" s="8" t="s">
        <v>178</v>
      </c>
      <c r="F241" s="8" t="s">
        <v>206</v>
      </c>
      <c r="G241" s="149" t="s">
        <v>3142</v>
      </c>
      <c r="H241" s="8"/>
      <c r="I241" s="9"/>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row>
    <row r="242" ht="16.5" customHeight="1">
      <c r="A242" s="32" t="s">
        <v>5</v>
      </c>
      <c r="E242" s="28" t="s">
        <v>178</v>
      </c>
      <c r="F242" s="8" t="s">
        <v>639</v>
      </c>
      <c r="G242" s="149" t="s">
        <v>3143</v>
      </c>
      <c r="H242" s="8" t="s">
        <v>639</v>
      </c>
      <c r="I242" s="9"/>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row>
    <row r="243" ht="16.5" customHeight="1">
      <c r="A243" s="32" t="s">
        <v>5</v>
      </c>
      <c r="E243" s="28" t="s">
        <v>172</v>
      </c>
      <c r="F243" s="38" t="s">
        <v>194</v>
      </c>
      <c r="G243" s="149" t="s">
        <v>3144</v>
      </c>
      <c r="H243" s="38" t="s">
        <v>194</v>
      </c>
      <c r="I243" s="31"/>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row>
    <row r="244" ht="16.5" customHeight="1">
      <c r="A244" s="32" t="s">
        <v>5</v>
      </c>
      <c r="E244" s="28" t="s">
        <v>178</v>
      </c>
      <c r="F244" s="28" t="s">
        <v>207</v>
      </c>
      <c r="G244" s="149" t="s">
        <v>3145</v>
      </c>
      <c r="H244" s="38" t="s">
        <v>207</v>
      </c>
      <c r="I244" s="31"/>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row>
    <row r="245" ht="16.5" customHeight="1">
      <c r="A245" s="32" t="s">
        <v>5</v>
      </c>
      <c r="E245" s="8" t="s">
        <v>178</v>
      </c>
      <c r="F245" s="58" t="s">
        <v>2951</v>
      </c>
      <c r="G245" s="149" t="s">
        <v>3146</v>
      </c>
      <c r="H245" s="58"/>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row>
    <row r="246" ht="16.5" customHeight="1">
      <c r="A246" s="32" t="s">
        <v>5</v>
      </c>
      <c r="E246" s="8" t="s">
        <v>178</v>
      </c>
      <c r="F246" s="8" t="s">
        <v>209</v>
      </c>
      <c r="G246" s="149" t="s">
        <v>3134</v>
      </c>
      <c r="H246" s="8" t="s">
        <v>209</v>
      </c>
      <c r="I246" s="9"/>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row>
    <row r="247" ht="16.5" customHeight="1">
      <c r="A247" s="32" t="s">
        <v>5</v>
      </c>
      <c r="E247" s="8" t="s">
        <v>178</v>
      </c>
      <c r="F247" s="8" t="s">
        <v>210</v>
      </c>
      <c r="G247" s="149" t="s">
        <v>3147</v>
      </c>
      <c r="H247" s="8" t="s">
        <v>1987</v>
      </c>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row>
    <row r="248" ht="16.5" customHeight="1">
      <c r="A248" s="32" t="s">
        <v>5</v>
      </c>
      <c r="E248" s="8" t="s">
        <v>178</v>
      </c>
      <c r="F248" s="8" t="s">
        <v>179</v>
      </c>
      <c r="G248" s="149" t="s">
        <v>3136</v>
      </c>
      <c r="H248" s="8" t="s">
        <v>179</v>
      </c>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row>
    <row r="249" ht="16.5" customHeight="1">
      <c r="A249" s="32" t="s">
        <v>5</v>
      </c>
      <c r="E249" s="8" t="s">
        <v>178</v>
      </c>
      <c r="F249" s="8" t="s">
        <v>180</v>
      </c>
      <c r="G249" s="149" t="s">
        <v>3137</v>
      </c>
      <c r="H249" s="8" t="s">
        <v>180</v>
      </c>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row>
    <row r="250" ht="16.5" customHeight="1">
      <c r="A250" s="32" t="s">
        <v>5</v>
      </c>
      <c r="E250" s="8" t="s">
        <v>178</v>
      </c>
      <c r="F250" s="8" t="s">
        <v>208</v>
      </c>
      <c r="G250" s="149" t="s">
        <v>3148</v>
      </c>
      <c r="H250" s="8" t="s">
        <v>208</v>
      </c>
      <c r="I250" s="31"/>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row>
    <row r="251" ht="16.5" customHeight="1">
      <c r="A251" s="32" t="s">
        <v>5</v>
      </c>
      <c r="E251" s="389" t="s">
        <v>178</v>
      </c>
      <c r="F251" s="408" t="s">
        <v>182</v>
      </c>
      <c r="G251" s="419" t="s">
        <v>3149</v>
      </c>
      <c r="H251" s="408" t="s">
        <v>182</v>
      </c>
      <c r="I251" s="393"/>
      <c r="J251" s="409"/>
      <c r="K251" s="394"/>
      <c r="L251" s="394"/>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row>
    <row r="252" ht="16.5" customHeight="1">
      <c r="A252" s="32" t="s">
        <v>5</v>
      </c>
      <c r="B252" s="195" t="s">
        <v>3150</v>
      </c>
      <c r="C252" s="87" t="s">
        <v>2926</v>
      </c>
      <c r="D252" s="8" t="s">
        <v>42</v>
      </c>
      <c r="E252" s="389" t="s">
        <v>89</v>
      </c>
      <c r="F252" s="408" t="s">
        <v>291</v>
      </c>
      <c r="G252" s="419"/>
      <c r="H252" s="404"/>
      <c r="I252" s="413"/>
      <c r="J252" s="413"/>
      <c r="K252" s="413"/>
      <c r="L252" s="394"/>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row>
    <row r="253" ht="16.5" customHeight="1">
      <c r="A253" s="8" t="s">
        <v>5</v>
      </c>
      <c r="B253" s="8" t="s">
        <v>3151</v>
      </c>
      <c r="C253" s="85" t="s">
        <v>3152</v>
      </c>
      <c r="D253" s="8" t="s">
        <v>42</v>
      </c>
      <c r="E253" s="420" t="s">
        <v>21</v>
      </c>
      <c r="F253" s="421" t="s">
        <v>51</v>
      </c>
      <c r="G253" s="422" t="s">
        <v>3153</v>
      </c>
      <c r="H253" s="421" t="s">
        <v>51</v>
      </c>
      <c r="I253" s="423"/>
      <c r="J253" s="423"/>
      <c r="K253" s="423"/>
      <c r="L253" s="423"/>
      <c r="M253" s="9"/>
      <c r="N253" s="9"/>
      <c r="O253" s="9"/>
      <c r="P253" s="9"/>
      <c r="Q253" s="9"/>
      <c r="R253" s="9"/>
      <c r="S253" s="9"/>
      <c r="T253" s="9"/>
      <c r="U253" s="9"/>
      <c r="V253" s="9"/>
      <c r="W253" s="9"/>
      <c r="X253" s="9"/>
      <c r="Y253" s="9"/>
      <c r="Z253" s="9"/>
      <c r="AA253" s="9"/>
      <c r="AB253" s="9"/>
      <c r="AC253" s="9"/>
      <c r="AD253" s="9"/>
      <c r="AE253" s="9"/>
      <c r="AF253" s="9"/>
      <c r="AG253" s="9"/>
      <c r="AH253" s="9"/>
      <c r="AI253" s="9"/>
    </row>
    <row r="254" ht="16.5" customHeight="1">
      <c r="A254" s="8" t="s">
        <v>5</v>
      </c>
      <c r="E254" s="8" t="s">
        <v>172</v>
      </c>
      <c r="F254" s="8" t="s">
        <v>203</v>
      </c>
      <c r="G254" s="149" t="s">
        <v>3154</v>
      </c>
      <c r="H254" s="173" t="s">
        <v>203</v>
      </c>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ht="16.5" customHeight="1">
      <c r="A255" s="8" t="s">
        <v>5</v>
      </c>
      <c r="E255" s="8" t="s">
        <v>172</v>
      </c>
      <c r="F255" s="8" t="s">
        <v>945</v>
      </c>
      <c r="G255" s="149" t="s">
        <v>3155</v>
      </c>
      <c r="H255" s="8" t="s">
        <v>945</v>
      </c>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ht="16.5" customHeight="1">
      <c r="A256" s="8" t="s">
        <v>5</v>
      </c>
      <c r="E256" s="8" t="s">
        <v>172</v>
      </c>
      <c r="F256" s="58" t="s">
        <v>173</v>
      </c>
      <c r="G256" s="149" t="s">
        <v>3156</v>
      </c>
      <c r="H256" s="58" t="s">
        <v>173</v>
      </c>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ht="16.5" customHeight="1">
      <c r="A257" s="8" t="s">
        <v>5</v>
      </c>
      <c r="E257" s="8" t="s">
        <v>172</v>
      </c>
      <c r="F257" s="58" t="s">
        <v>174</v>
      </c>
      <c r="G257" s="149" t="s">
        <v>3157</v>
      </c>
      <c r="H257" s="58" t="s">
        <v>174</v>
      </c>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ht="16.5" customHeight="1">
      <c r="A258" s="8" t="s">
        <v>5</v>
      </c>
      <c r="E258" s="8" t="s">
        <v>178</v>
      </c>
      <c r="F258" s="58" t="s">
        <v>209</v>
      </c>
      <c r="G258" s="149" t="s">
        <v>3158</v>
      </c>
      <c r="H258" s="58" t="s">
        <v>209</v>
      </c>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ht="16.5" customHeight="1">
      <c r="A259" s="8" t="s">
        <v>5</v>
      </c>
      <c r="E259" s="8" t="s">
        <v>178</v>
      </c>
      <c r="F259" s="8" t="s">
        <v>210</v>
      </c>
      <c r="G259" s="149" t="s">
        <v>3159</v>
      </c>
      <c r="H259" s="8" t="s">
        <v>210</v>
      </c>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ht="16.5" customHeight="1">
      <c r="A260" s="8" t="s">
        <v>5</v>
      </c>
      <c r="E260" s="8" t="s">
        <v>178</v>
      </c>
      <c r="F260" s="8" t="s">
        <v>179</v>
      </c>
      <c r="G260" s="149" t="s">
        <v>3160</v>
      </c>
      <c r="H260" s="8" t="s">
        <v>179</v>
      </c>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ht="16.5" customHeight="1">
      <c r="A261" s="8" t="s">
        <v>5</v>
      </c>
      <c r="E261" s="8" t="s">
        <v>178</v>
      </c>
      <c r="F261" s="8" t="s">
        <v>180</v>
      </c>
      <c r="G261" s="149" t="s">
        <v>3161</v>
      </c>
      <c r="H261" s="8" t="s">
        <v>180</v>
      </c>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ht="16.5" customHeight="1">
      <c r="A262" s="8" t="s">
        <v>5</v>
      </c>
      <c r="E262" s="8" t="s">
        <v>178</v>
      </c>
      <c r="F262" s="8" t="s">
        <v>773</v>
      </c>
      <c r="G262" s="149" t="s">
        <v>3162</v>
      </c>
      <c r="H262" s="8" t="s">
        <v>773</v>
      </c>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ht="16.5" customHeight="1">
      <c r="A263" s="8" t="s">
        <v>5</v>
      </c>
      <c r="E263" s="8" t="s">
        <v>178</v>
      </c>
      <c r="F263" s="8" t="s">
        <v>775</v>
      </c>
      <c r="G263" s="149" t="s">
        <v>3163</v>
      </c>
      <c r="H263" s="31"/>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ht="16.5" customHeight="1">
      <c r="A264" s="8" t="s">
        <v>5</v>
      </c>
      <c r="E264" s="8" t="s">
        <v>178</v>
      </c>
      <c r="F264" s="173" t="s">
        <v>782</v>
      </c>
      <c r="G264" s="149" t="s">
        <v>3164</v>
      </c>
      <c r="H264" s="173" t="s">
        <v>782</v>
      </c>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ht="16.5" customHeight="1">
      <c r="A265" s="8" t="s">
        <v>5</v>
      </c>
      <c r="E265" s="8" t="s">
        <v>178</v>
      </c>
      <c r="F265" s="8" t="s">
        <v>205</v>
      </c>
      <c r="G265" s="149" t="s">
        <v>3165</v>
      </c>
      <c r="H265" s="173" t="s">
        <v>205</v>
      </c>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ht="16.5" customHeight="1">
      <c r="A266" s="8" t="s">
        <v>5</v>
      </c>
      <c r="E266" s="8" t="s">
        <v>178</v>
      </c>
      <c r="F266" s="8" t="s">
        <v>206</v>
      </c>
      <c r="G266" s="149" t="s">
        <v>3166</v>
      </c>
      <c r="H266" s="31"/>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ht="16.5" customHeight="1">
      <c r="A267" s="8" t="s">
        <v>5</v>
      </c>
      <c r="E267" s="8" t="s">
        <v>178</v>
      </c>
      <c r="F267" s="58" t="s">
        <v>639</v>
      </c>
      <c r="G267" s="149" t="s">
        <v>3167</v>
      </c>
      <c r="H267" s="58" t="s">
        <v>639</v>
      </c>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ht="16.5" customHeight="1">
      <c r="A268" s="8" t="s">
        <v>5</v>
      </c>
      <c r="E268" s="8" t="s">
        <v>178</v>
      </c>
      <c r="F268" s="8" t="s">
        <v>207</v>
      </c>
      <c r="G268" s="149" t="s">
        <v>3168</v>
      </c>
      <c r="H268" s="8" t="s">
        <v>207</v>
      </c>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ht="16.5" customHeight="1">
      <c r="A269" s="8" t="s">
        <v>5</v>
      </c>
      <c r="E269" s="8" t="s">
        <v>178</v>
      </c>
      <c r="F269" s="8" t="s">
        <v>209</v>
      </c>
      <c r="G269" s="149" t="s">
        <v>3158</v>
      </c>
      <c r="H269" s="8" t="s">
        <v>209</v>
      </c>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ht="16.5" customHeight="1">
      <c r="A270" s="8" t="s">
        <v>5</v>
      </c>
      <c r="E270" s="8" t="s">
        <v>178</v>
      </c>
      <c r="F270" s="8" t="s">
        <v>210</v>
      </c>
      <c r="G270" s="149" t="s">
        <v>3169</v>
      </c>
      <c r="H270" s="8" t="s">
        <v>1987</v>
      </c>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ht="16.5" customHeight="1">
      <c r="A271" s="8" t="s">
        <v>5</v>
      </c>
      <c r="E271" s="8" t="s">
        <v>178</v>
      </c>
      <c r="F271" s="8" t="s">
        <v>208</v>
      </c>
      <c r="G271" s="149" t="s">
        <v>3170</v>
      </c>
      <c r="H271" s="8" t="s">
        <v>208</v>
      </c>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ht="16.5" customHeight="1">
      <c r="A272" s="8" t="s">
        <v>5</v>
      </c>
      <c r="E272" s="8" t="s">
        <v>178</v>
      </c>
      <c r="F272" s="8" t="s">
        <v>182</v>
      </c>
      <c r="G272" s="149" t="s">
        <v>3171</v>
      </c>
      <c r="H272" s="8" t="s">
        <v>182</v>
      </c>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ht="16.5" customHeight="1">
      <c r="A273" s="8" t="s">
        <v>5</v>
      </c>
      <c r="E273" s="8" t="s">
        <v>88</v>
      </c>
      <c r="F273" s="8" t="s">
        <v>95</v>
      </c>
      <c r="G273" s="149" t="s">
        <v>3172</v>
      </c>
      <c r="H273" s="8" t="s">
        <v>95</v>
      </c>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ht="16.5" customHeight="1">
      <c r="A274" s="8" t="s">
        <v>5</v>
      </c>
      <c r="E274" s="8" t="s">
        <v>88</v>
      </c>
      <c r="F274" s="8" t="s">
        <v>125</v>
      </c>
      <c r="G274" s="149" t="s">
        <v>3173</v>
      </c>
      <c r="H274" s="8" t="s">
        <v>125</v>
      </c>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ht="16.5" customHeight="1">
      <c r="A275" s="8" t="s">
        <v>5</v>
      </c>
      <c r="E275" s="8" t="s">
        <v>88</v>
      </c>
      <c r="F275" s="8" t="s">
        <v>675</v>
      </c>
      <c r="G275" s="149" t="s">
        <v>3174</v>
      </c>
      <c r="H275" s="8" t="s">
        <v>675</v>
      </c>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ht="16.5" customHeight="1">
      <c r="A276" s="8" t="s">
        <v>5</v>
      </c>
      <c r="E276" s="8" t="s">
        <v>178</v>
      </c>
      <c r="F276" s="8" t="s">
        <v>207</v>
      </c>
      <c r="G276" s="149" t="s">
        <v>3168</v>
      </c>
      <c r="H276" s="173" t="s">
        <v>207</v>
      </c>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ht="16.5" customHeight="1">
      <c r="A277" s="8" t="s">
        <v>5</v>
      </c>
      <c r="E277" s="8" t="s">
        <v>178</v>
      </c>
      <c r="F277" s="8" t="s">
        <v>208</v>
      </c>
      <c r="G277" s="149" t="s">
        <v>3170</v>
      </c>
      <c r="H277" s="173" t="s">
        <v>208</v>
      </c>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ht="16.5" customHeight="1">
      <c r="A278" s="8" t="s">
        <v>5</v>
      </c>
      <c r="E278" s="408" t="s">
        <v>178</v>
      </c>
      <c r="F278" s="408" t="s">
        <v>182</v>
      </c>
      <c r="G278" s="419" t="s">
        <v>3175</v>
      </c>
      <c r="H278" s="415" t="s">
        <v>2003</v>
      </c>
      <c r="I278" s="409"/>
      <c r="J278" s="409"/>
      <c r="K278" s="409"/>
      <c r="L278" s="409"/>
      <c r="M278" s="9"/>
      <c r="N278" s="9"/>
      <c r="O278" s="9"/>
      <c r="P278" s="9"/>
      <c r="Q278" s="9"/>
      <c r="R278" s="9"/>
      <c r="S278" s="9"/>
      <c r="T278" s="9"/>
      <c r="U278" s="9"/>
      <c r="V278" s="9"/>
      <c r="W278" s="9"/>
      <c r="X278" s="9"/>
      <c r="Y278" s="9"/>
      <c r="Z278" s="9"/>
      <c r="AA278" s="9"/>
      <c r="AB278" s="9"/>
      <c r="AC278" s="9"/>
      <c r="AD278" s="9"/>
      <c r="AE278" s="9"/>
      <c r="AF278" s="9"/>
      <c r="AG278" s="9"/>
      <c r="AH278" s="9"/>
      <c r="AI278" s="9"/>
    </row>
    <row r="279" ht="16.5" customHeight="1">
      <c r="A279" s="32" t="s">
        <v>5</v>
      </c>
      <c r="B279" s="195" t="s">
        <v>3176</v>
      </c>
      <c r="C279" s="71" t="s">
        <v>2926</v>
      </c>
      <c r="D279" s="8" t="s">
        <v>42</v>
      </c>
      <c r="E279" s="389" t="s">
        <v>89</v>
      </c>
      <c r="F279" s="408" t="s">
        <v>291</v>
      </c>
      <c r="G279" s="424"/>
      <c r="H279" s="404"/>
      <c r="I279" s="413"/>
      <c r="J279" s="413"/>
      <c r="K279" s="413"/>
      <c r="L279" s="394"/>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row>
    <row r="280" ht="16.5" customHeight="1">
      <c r="A280" s="8" t="s">
        <v>5</v>
      </c>
      <c r="B280" s="8" t="s">
        <v>3177</v>
      </c>
      <c r="C280" s="85" t="s">
        <v>3178</v>
      </c>
      <c r="D280" s="8" t="s">
        <v>42</v>
      </c>
      <c r="E280" s="420" t="s">
        <v>178</v>
      </c>
      <c r="F280" s="420" t="s">
        <v>673</v>
      </c>
      <c r="G280" s="422" t="s">
        <v>3179</v>
      </c>
      <c r="H280" s="420" t="s">
        <v>673</v>
      </c>
      <c r="I280" s="423"/>
      <c r="J280" s="423"/>
      <c r="K280" s="423"/>
      <c r="L280" s="423"/>
      <c r="M280" s="9"/>
      <c r="N280" s="9"/>
      <c r="O280" s="9"/>
      <c r="P280" s="9"/>
      <c r="Q280" s="9"/>
      <c r="R280" s="9"/>
      <c r="S280" s="9"/>
      <c r="T280" s="9"/>
      <c r="U280" s="9"/>
      <c r="V280" s="9"/>
      <c r="W280" s="9"/>
      <c r="X280" s="9"/>
      <c r="Y280" s="9"/>
      <c r="Z280" s="9"/>
      <c r="AA280" s="9"/>
      <c r="AB280" s="9"/>
      <c r="AC280" s="9"/>
      <c r="AD280" s="9"/>
      <c r="AE280" s="9"/>
      <c r="AF280" s="9"/>
      <c r="AG280" s="9"/>
      <c r="AH280" s="9"/>
      <c r="AI280" s="9"/>
    </row>
    <row r="281" ht="16.5" customHeight="1">
      <c r="A281" s="8" t="s">
        <v>5</v>
      </c>
      <c r="E281" s="8" t="s">
        <v>178</v>
      </c>
      <c r="F281" s="8" t="s">
        <v>673</v>
      </c>
      <c r="G281" s="149" t="s">
        <v>3180</v>
      </c>
      <c r="H281" s="8" t="s">
        <v>3181</v>
      </c>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ht="16.5" customHeight="1">
      <c r="A282" s="8"/>
      <c r="E282" s="8" t="s">
        <v>178</v>
      </c>
      <c r="F282" s="8" t="s">
        <v>673</v>
      </c>
      <c r="G282" s="149" t="str">
        <f>HYPERLINK("https://docs.google.com/spreadsheets/d/10t91WY4I9PGcpNfp5foLxGWqQW452mbt9JokUKXvg-4/edit#gid=897133813", "https://docs.google.com/spreadsheets/d/10t91WY4I9PGcpNfp5foLxGWqQW452mbt9JokUKXvg-4/edit#gid=897133813")</f>
        <v>https://docs.google.com/spreadsheets/d/10t91WY4I9PGcpNfp5foLxGWqQW452mbt9JokUKXvg-4/edit#gid=897133813</v>
      </c>
      <c r="H282" s="8" t="s">
        <v>3182</v>
      </c>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row>
    <row r="283" ht="16.5" customHeight="1">
      <c r="A283" s="8"/>
      <c r="E283" s="8" t="s">
        <v>178</v>
      </c>
      <c r="F283" s="8" t="s">
        <v>665</v>
      </c>
      <c r="G283" s="149" t="str">
        <f>HYPERLINK("https://docs.google.com/spreadsheets/d/10t91WY4I9PGcpNfp5foLxGWqQW452mbt9JokUKXvg-4/edit#gid=725127478", "https://docs.google.com/spreadsheets/d/10t91WY4I9PGcpNfp5foLxGWqQW452mbt9JokUKXvg-4/edit#gid=725127478")</f>
        <v>https://docs.google.com/spreadsheets/d/10t91WY4I9PGcpNfp5foLxGWqQW452mbt9JokUKXvg-4/edit#gid=725127478</v>
      </c>
      <c r="H283" s="8" t="s">
        <v>665</v>
      </c>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ht="16.5" customHeight="1">
      <c r="A284" s="8"/>
      <c r="E284" s="8" t="s">
        <v>178</v>
      </c>
      <c r="F284" s="8" t="s">
        <v>3183</v>
      </c>
      <c r="G284" s="149" t="str">
        <f>HYPERLINK("https://docs.google.com/spreadsheets/d/10t91WY4I9PGcpNfp5foLxGWqQW452mbt9JokUKXvg-4/edit#gid=727465895", "https://docs.google.com/spreadsheets/d/10t91WY4I9PGcpNfp5foLxGWqQW452mbt9JokUKXvg-4/edit#gid=727465895")</f>
        <v>https://docs.google.com/spreadsheets/d/10t91WY4I9PGcpNfp5foLxGWqQW452mbt9JokUKXvg-4/edit#gid=727465895</v>
      </c>
      <c r="H284" s="8" t="s">
        <v>3183</v>
      </c>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ht="16.5" customHeight="1">
      <c r="A285" s="8" t="s">
        <v>5</v>
      </c>
      <c r="E285" s="8" t="s">
        <v>172</v>
      </c>
      <c r="F285" s="8" t="s">
        <v>173</v>
      </c>
      <c r="G285" s="149" t="s">
        <v>3184</v>
      </c>
      <c r="H285" s="8" t="s">
        <v>173</v>
      </c>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ht="16.5" customHeight="1">
      <c r="A286" s="8" t="s">
        <v>5</v>
      </c>
      <c r="E286" s="8" t="s">
        <v>172</v>
      </c>
      <c r="F286" s="8" t="s">
        <v>174</v>
      </c>
      <c r="G286" s="149" t="s">
        <v>3185</v>
      </c>
      <c r="H286" s="8" t="s">
        <v>174</v>
      </c>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ht="16.5" customHeight="1">
      <c r="A287" s="8" t="s">
        <v>5</v>
      </c>
      <c r="E287" s="8" t="s">
        <v>178</v>
      </c>
      <c r="F287" s="8" t="s">
        <v>209</v>
      </c>
      <c r="G287" s="149" t="s">
        <v>3186</v>
      </c>
      <c r="H287" s="8" t="s">
        <v>209</v>
      </c>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ht="16.5" customHeight="1">
      <c r="A288" s="8" t="s">
        <v>5</v>
      </c>
      <c r="E288" s="8" t="s">
        <v>178</v>
      </c>
      <c r="F288" s="8" t="s">
        <v>210</v>
      </c>
      <c r="G288" s="149" t="s">
        <v>3187</v>
      </c>
      <c r="H288" s="8" t="s">
        <v>210</v>
      </c>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ht="16.5" customHeight="1">
      <c r="A289" s="8" t="s">
        <v>5</v>
      </c>
      <c r="E289" s="8" t="s">
        <v>178</v>
      </c>
      <c r="F289" s="8" t="s">
        <v>533</v>
      </c>
      <c r="G289" s="149" t="s">
        <v>3188</v>
      </c>
      <c r="H289" s="8" t="s">
        <v>533</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ht="16.5" customHeight="1">
      <c r="A290" s="8" t="s">
        <v>5</v>
      </c>
      <c r="E290" s="8" t="s">
        <v>178</v>
      </c>
      <c r="F290" s="8" t="s">
        <v>539</v>
      </c>
      <c r="G290" s="149" t="s">
        <v>3189</v>
      </c>
      <c r="H290" s="8" t="s">
        <v>539</v>
      </c>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ht="16.5" customHeight="1">
      <c r="A291" s="8" t="s">
        <v>5</v>
      </c>
      <c r="E291" s="8" t="s">
        <v>178</v>
      </c>
      <c r="F291" s="8" t="s">
        <v>205</v>
      </c>
      <c r="G291" s="149" t="s">
        <v>3190</v>
      </c>
      <c r="H291" s="8" t="s">
        <v>205</v>
      </c>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ht="16.5" customHeight="1">
      <c r="A292" s="8" t="s">
        <v>5</v>
      </c>
      <c r="E292" s="8" t="s">
        <v>178</v>
      </c>
      <c r="F292" s="8" t="s">
        <v>206</v>
      </c>
      <c r="G292" s="149" t="s">
        <v>3191</v>
      </c>
      <c r="H292" s="31"/>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ht="16.5" customHeight="1">
      <c r="A293" s="8" t="s">
        <v>5</v>
      </c>
      <c r="E293" s="8" t="s">
        <v>178</v>
      </c>
      <c r="F293" s="8" t="s">
        <v>639</v>
      </c>
      <c r="G293" s="149" t="s">
        <v>3192</v>
      </c>
      <c r="H293" s="8" t="s">
        <v>639</v>
      </c>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ht="16.5" customHeight="1">
      <c r="A294" s="8" t="s">
        <v>5</v>
      </c>
      <c r="E294" s="8" t="s">
        <v>178</v>
      </c>
      <c r="F294" s="8" t="s">
        <v>207</v>
      </c>
      <c r="G294" s="149" t="s">
        <v>3193</v>
      </c>
      <c r="H294" s="8" t="s">
        <v>207</v>
      </c>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ht="16.5" customHeight="1">
      <c r="A295" s="8" t="s">
        <v>5</v>
      </c>
      <c r="E295" s="8" t="s">
        <v>178</v>
      </c>
      <c r="F295" s="8" t="s">
        <v>209</v>
      </c>
      <c r="G295" s="149" t="s">
        <v>3186</v>
      </c>
      <c r="H295" s="8" t="s">
        <v>209</v>
      </c>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ht="16.5" customHeight="1">
      <c r="A296" s="8" t="s">
        <v>5</v>
      </c>
      <c r="E296" s="8" t="s">
        <v>178</v>
      </c>
      <c r="F296" s="8" t="s">
        <v>210</v>
      </c>
      <c r="G296" s="149" t="s">
        <v>3194</v>
      </c>
      <c r="H296" s="8" t="s">
        <v>1987</v>
      </c>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ht="16.5" customHeight="1">
      <c r="A297" s="8" t="s">
        <v>5</v>
      </c>
      <c r="E297" s="8" t="s">
        <v>178</v>
      </c>
      <c r="F297" s="8" t="s">
        <v>208</v>
      </c>
      <c r="G297" s="149" t="s">
        <v>3195</v>
      </c>
      <c r="H297" s="8" t="s">
        <v>208</v>
      </c>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ht="16.5" customHeight="1">
      <c r="A298" s="8" t="s">
        <v>5</v>
      </c>
      <c r="E298" s="8" t="s">
        <v>178</v>
      </c>
      <c r="F298" s="173" t="s">
        <v>182</v>
      </c>
      <c r="G298" s="149" t="s">
        <v>3196</v>
      </c>
      <c r="H298" s="173" t="s">
        <v>182</v>
      </c>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ht="16.5" customHeight="1">
      <c r="A299" s="8" t="s">
        <v>5</v>
      </c>
      <c r="E299" s="8" t="s">
        <v>178</v>
      </c>
      <c r="F299" s="173" t="s">
        <v>665</v>
      </c>
      <c r="G299" s="149" t="s">
        <v>3197</v>
      </c>
      <c r="H299" s="8" t="s">
        <v>665</v>
      </c>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ht="16.5" customHeight="1">
      <c r="A300" s="8" t="s">
        <v>5</v>
      </c>
      <c r="E300" s="8" t="s">
        <v>178</v>
      </c>
      <c r="F300" s="173" t="s">
        <v>667</v>
      </c>
      <c r="G300" s="149" t="s">
        <v>3198</v>
      </c>
      <c r="H300" s="8" t="s">
        <v>667</v>
      </c>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ht="16.5" customHeight="1">
      <c r="A301" s="8" t="s">
        <v>5</v>
      </c>
      <c r="E301" s="8" t="s">
        <v>178</v>
      </c>
      <c r="F301" s="173" t="s">
        <v>671</v>
      </c>
      <c r="G301" s="149" t="s">
        <v>3199</v>
      </c>
      <c r="H301" s="8" t="s">
        <v>671</v>
      </c>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ht="16.5" customHeight="1">
      <c r="A302" s="8" t="s">
        <v>5</v>
      </c>
      <c r="E302" s="8" t="s">
        <v>178</v>
      </c>
      <c r="F302" s="173" t="s">
        <v>533</v>
      </c>
      <c r="G302" s="149" t="s">
        <v>3188</v>
      </c>
      <c r="H302" s="8" t="s">
        <v>533</v>
      </c>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ht="16.5" customHeight="1">
      <c r="A303" s="8" t="s">
        <v>5</v>
      </c>
      <c r="E303" s="8" t="s">
        <v>178</v>
      </c>
      <c r="F303" s="8" t="s">
        <v>539</v>
      </c>
      <c r="G303" s="149" t="s">
        <v>3200</v>
      </c>
      <c r="H303" s="8" t="s">
        <v>3201</v>
      </c>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ht="16.5" customHeight="1">
      <c r="A304" s="8" t="s">
        <v>5</v>
      </c>
      <c r="E304" s="8" t="s">
        <v>178</v>
      </c>
      <c r="F304" s="8" t="s">
        <v>205</v>
      </c>
      <c r="G304" s="149" t="s">
        <v>3202</v>
      </c>
      <c r="H304" s="58" t="s">
        <v>1997</v>
      </c>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ht="16.5" customHeight="1">
      <c r="A305" s="8" t="s">
        <v>5</v>
      </c>
      <c r="E305" s="8" t="s">
        <v>178</v>
      </c>
      <c r="F305" s="8" t="s">
        <v>206</v>
      </c>
      <c r="G305" s="149" t="s">
        <v>3203</v>
      </c>
      <c r="H305" s="31"/>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ht="16.5" customHeight="1">
      <c r="A306" s="8" t="s">
        <v>5</v>
      </c>
      <c r="E306" s="8" t="s">
        <v>178</v>
      </c>
      <c r="F306" s="8" t="s">
        <v>639</v>
      </c>
      <c r="G306" s="149" t="s">
        <v>3192</v>
      </c>
      <c r="H306" s="8" t="s">
        <v>639</v>
      </c>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ht="16.5" customHeight="1">
      <c r="A307" s="8" t="s">
        <v>5</v>
      </c>
      <c r="E307" s="8" t="s">
        <v>178</v>
      </c>
      <c r="F307" s="8" t="s">
        <v>207</v>
      </c>
      <c r="G307" s="149" t="s">
        <v>3204</v>
      </c>
      <c r="H307" s="8" t="s">
        <v>1998</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row>
    <row r="308" ht="16.5" customHeight="1">
      <c r="A308" s="8" t="s">
        <v>5</v>
      </c>
      <c r="E308" s="8" t="s">
        <v>178</v>
      </c>
      <c r="F308" s="8" t="s">
        <v>209</v>
      </c>
      <c r="G308" s="149" t="s">
        <v>3186</v>
      </c>
      <c r="H308" s="8" t="s">
        <v>209</v>
      </c>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ht="16.5" customHeight="1">
      <c r="A309" s="8" t="s">
        <v>5</v>
      </c>
      <c r="E309" s="8" t="s">
        <v>178</v>
      </c>
      <c r="F309" s="8" t="s">
        <v>210</v>
      </c>
      <c r="G309" s="149" t="s">
        <v>3205</v>
      </c>
      <c r="H309" s="8" t="s">
        <v>2037</v>
      </c>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ht="16.5" customHeight="1">
      <c r="A310" s="8" t="s">
        <v>5</v>
      </c>
      <c r="E310" s="8" t="s">
        <v>178</v>
      </c>
      <c r="F310" s="8" t="s">
        <v>208</v>
      </c>
      <c r="G310" s="149" t="s">
        <v>3206</v>
      </c>
      <c r="H310" s="8" t="s">
        <v>2002</v>
      </c>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row r="311" ht="16.5" customHeight="1">
      <c r="A311" s="8" t="s">
        <v>5</v>
      </c>
      <c r="E311" s="8" t="s">
        <v>178</v>
      </c>
      <c r="F311" s="8" t="s">
        <v>182</v>
      </c>
      <c r="G311" s="149" t="s">
        <v>3207</v>
      </c>
      <c r="H311" s="8" t="s">
        <v>2003</v>
      </c>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row>
    <row r="312" ht="16.5" customHeight="1">
      <c r="A312" s="8" t="s">
        <v>5</v>
      </c>
      <c r="E312" s="8" t="s">
        <v>178</v>
      </c>
      <c r="F312" s="8" t="s">
        <v>665</v>
      </c>
      <c r="G312" s="149" t="s">
        <v>3197</v>
      </c>
      <c r="H312" s="8" t="s">
        <v>665</v>
      </c>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row>
    <row r="313" ht="16.5" customHeight="1">
      <c r="A313" s="8" t="s">
        <v>5</v>
      </c>
      <c r="E313" s="8" t="s">
        <v>178</v>
      </c>
      <c r="F313" s="8" t="s">
        <v>667</v>
      </c>
      <c r="G313" s="149" t="s">
        <v>3208</v>
      </c>
      <c r="H313" s="8" t="s">
        <v>3209</v>
      </c>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row>
    <row r="314" ht="16.5" customHeight="1">
      <c r="A314" s="8" t="s">
        <v>5</v>
      </c>
      <c r="E314" s="8" t="s">
        <v>178</v>
      </c>
      <c r="F314" s="8" t="s">
        <v>669</v>
      </c>
      <c r="G314" s="149" t="s">
        <v>3210</v>
      </c>
      <c r="H314" s="8" t="s">
        <v>669</v>
      </c>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row>
    <row r="315" ht="16.5" customHeight="1">
      <c r="A315" s="8" t="s">
        <v>5</v>
      </c>
      <c r="E315" s="8" t="s">
        <v>178</v>
      </c>
      <c r="F315" s="8" t="s">
        <v>665</v>
      </c>
      <c r="G315" s="149" t="s">
        <v>3197</v>
      </c>
      <c r="H315" s="8" t="s">
        <v>665</v>
      </c>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row>
    <row r="316" ht="16.5" customHeight="1">
      <c r="A316" s="8" t="s">
        <v>5</v>
      </c>
      <c r="E316" s="8" t="s">
        <v>178</v>
      </c>
      <c r="F316" s="8" t="s">
        <v>667</v>
      </c>
      <c r="G316" s="149" t="s">
        <v>3211</v>
      </c>
      <c r="H316" s="8" t="s">
        <v>3212</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row>
    <row r="317" ht="16.5" customHeight="1">
      <c r="A317" s="8" t="s">
        <v>5</v>
      </c>
      <c r="E317" s="8" t="s">
        <v>178</v>
      </c>
      <c r="F317" s="8" t="s">
        <v>669</v>
      </c>
      <c r="G317" s="149" t="s">
        <v>3213</v>
      </c>
      <c r="H317" s="8" t="s">
        <v>3214</v>
      </c>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row>
    <row r="318" ht="16.5" customHeight="1">
      <c r="A318" s="8"/>
      <c r="E318" s="8" t="s">
        <v>178</v>
      </c>
      <c r="F318" s="8" t="s">
        <v>665</v>
      </c>
      <c r="G318" s="149" t="str">
        <f>HYPERLINK("https://docs.google.com/spreadsheets/d/10t91WY4I9PGcpNfp5foLxGWqQW452mbt9JokUKXvg-4/edit#gid=725127478", "https://docs.google.com/spreadsheets/d/10t91WY4I9PGcpNfp5foLxGWqQW452mbt9JokUKXvg-4/edit#gid=725127478")</f>
        <v>https://docs.google.com/spreadsheets/d/10t91WY4I9PGcpNfp5foLxGWqQW452mbt9JokUKXvg-4/edit#gid=725127478</v>
      </c>
      <c r="H318" s="8" t="s">
        <v>665</v>
      </c>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row>
    <row r="319" ht="16.5" customHeight="1">
      <c r="A319" s="8"/>
      <c r="E319" s="8" t="s">
        <v>178</v>
      </c>
      <c r="F319" s="8" t="s">
        <v>667</v>
      </c>
      <c r="G319" s="149" t="str">
        <f>HYPERLINK("https://docs.google.com/spreadsheets/d/10t91WY4I9PGcpNfp5foLxGWqQW452mbt9JokUKXvg-4/edit#gid=1962902936", "https://docs.google.com/spreadsheets/d/10t91WY4I9PGcpNfp5foLxGWqQW452mbt9JokUKXvg-4/edit#gid=1962902936")</f>
        <v>https://docs.google.com/spreadsheets/d/10t91WY4I9PGcpNfp5foLxGWqQW452mbt9JokUKXvg-4/edit#gid=1962902936</v>
      </c>
      <c r="H319" s="8" t="s">
        <v>3215</v>
      </c>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row>
    <row r="320" ht="16.5" customHeight="1">
      <c r="A320" s="8"/>
      <c r="E320" s="8" t="s">
        <v>178</v>
      </c>
      <c r="F320" s="8" t="s">
        <v>669</v>
      </c>
      <c r="G320" s="149" t="str">
        <f>HYPERLINK("https://docs.google.com/spreadsheets/d/10t91WY4I9PGcpNfp5foLxGWqQW452mbt9JokUKXvg-4/edit#gid=224157897", "https://docs.google.com/spreadsheets/d/10t91WY4I9PGcpNfp5foLxGWqQW452mbt9JokUKXvg-4/edit#gid=224157897")</f>
        <v>https://docs.google.com/spreadsheets/d/10t91WY4I9PGcpNfp5foLxGWqQW452mbt9JokUKXvg-4/edit#gid=224157897</v>
      </c>
      <c r="H320" s="8" t="s">
        <v>3216</v>
      </c>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row>
    <row r="321" ht="16.5" customHeight="1">
      <c r="A321" s="8" t="s">
        <v>5</v>
      </c>
      <c r="E321" s="8" t="s">
        <v>178</v>
      </c>
      <c r="F321" s="8" t="s">
        <v>207</v>
      </c>
      <c r="G321" s="149" t="s">
        <v>3204</v>
      </c>
      <c r="H321" s="8" t="s">
        <v>1998</v>
      </c>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row>
    <row r="322" ht="16.5" customHeight="1">
      <c r="A322" s="8" t="s">
        <v>5</v>
      </c>
      <c r="E322" s="8" t="s">
        <v>178</v>
      </c>
      <c r="F322" s="8" t="s">
        <v>209</v>
      </c>
      <c r="G322" s="149" t="s">
        <v>3186</v>
      </c>
      <c r="H322" s="8" t="s">
        <v>209</v>
      </c>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row>
    <row r="323" ht="16.5" customHeight="1">
      <c r="A323" s="8" t="s">
        <v>5</v>
      </c>
      <c r="E323" s="8" t="s">
        <v>178</v>
      </c>
      <c r="F323" s="8" t="s">
        <v>210</v>
      </c>
      <c r="G323" s="149" t="s">
        <v>3217</v>
      </c>
      <c r="H323" s="8" t="s">
        <v>3218</v>
      </c>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row>
    <row r="324" ht="16.5" customHeight="1">
      <c r="A324" s="8" t="s">
        <v>5</v>
      </c>
      <c r="E324" s="8" t="s">
        <v>178</v>
      </c>
      <c r="F324" s="8" t="s">
        <v>208</v>
      </c>
      <c r="G324" s="149" t="s">
        <v>3195</v>
      </c>
      <c r="H324" s="8" t="s">
        <v>208</v>
      </c>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row>
    <row r="325" ht="16.5" customHeight="1">
      <c r="A325" s="8" t="s">
        <v>5</v>
      </c>
      <c r="E325" s="408" t="s">
        <v>178</v>
      </c>
      <c r="F325" s="408" t="s">
        <v>182</v>
      </c>
      <c r="G325" s="419" t="s">
        <v>3219</v>
      </c>
      <c r="H325" s="408" t="s">
        <v>2071</v>
      </c>
      <c r="I325" s="409"/>
      <c r="J325" s="409"/>
      <c r="K325" s="409"/>
      <c r="L325" s="409"/>
      <c r="M325" s="9"/>
      <c r="N325" s="9"/>
      <c r="O325" s="9"/>
      <c r="P325" s="9"/>
      <c r="Q325" s="9"/>
      <c r="R325" s="9"/>
      <c r="S325" s="9"/>
      <c r="T325" s="9"/>
      <c r="U325" s="9"/>
      <c r="V325" s="9"/>
      <c r="W325" s="9"/>
      <c r="X325" s="9"/>
      <c r="Y325" s="9"/>
      <c r="Z325" s="9"/>
      <c r="AA325" s="9"/>
      <c r="AB325" s="9"/>
      <c r="AC325" s="9"/>
      <c r="AD325" s="9"/>
      <c r="AE325" s="9"/>
      <c r="AF325" s="9"/>
      <c r="AG325" s="9"/>
      <c r="AH325" s="9"/>
      <c r="AI325" s="9"/>
    </row>
    <row r="326" ht="16.5" customHeight="1">
      <c r="A326" s="32" t="s">
        <v>5</v>
      </c>
      <c r="B326" s="195" t="s">
        <v>3220</v>
      </c>
      <c r="C326" s="66" t="s">
        <v>2926</v>
      </c>
      <c r="D326" s="32" t="s">
        <v>42</v>
      </c>
      <c r="E326" s="407" t="s">
        <v>89</v>
      </c>
      <c r="F326" s="407" t="s">
        <v>291</v>
      </c>
      <c r="G326" s="425"/>
      <c r="H326" s="404"/>
      <c r="I326" s="413"/>
      <c r="J326" s="413"/>
      <c r="K326" s="413"/>
      <c r="L326" s="394"/>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row>
    <row r="327" ht="16.5" customHeight="1">
      <c r="A327" s="8" t="s">
        <v>5</v>
      </c>
      <c r="B327" s="8" t="s">
        <v>3221</v>
      </c>
      <c r="C327" s="85" t="s">
        <v>3222</v>
      </c>
      <c r="D327" s="8" t="s">
        <v>5</v>
      </c>
      <c r="E327" s="420" t="s">
        <v>178</v>
      </c>
      <c r="F327" s="420" t="s">
        <v>542</v>
      </c>
      <c r="G327" s="422" t="s">
        <v>3223</v>
      </c>
      <c r="H327" s="420" t="s">
        <v>542</v>
      </c>
      <c r="I327" s="423"/>
      <c r="J327" s="423"/>
      <c r="K327" s="423"/>
      <c r="L327" s="423"/>
      <c r="M327" s="9"/>
      <c r="N327" s="9"/>
      <c r="O327" s="9"/>
      <c r="P327" s="9"/>
      <c r="Q327" s="9"/>
      <c r="R327" s="9"/>
      <c r="S327" s="9"/>
      <c r="T327" s="9"/>
      <c r="U327" s="9"/>
      <c r="V327" s="9"/>
      <c r="W327" s="9"/>
      <c r="X327" s="9"/>
      <c r="Y327" s="9"/>
      <c r="Z327" s="9"/>
      <c r="AA327" s="9"/>
      <c r="AB327" s="9"/>
      <c r="AC327" s="9"/>
      <c r="AD327" s="9"/>
      <c r="AE327" s="9"/>
      <c r="AF327" s="9"/>
      <c r="AG327" s="9"/>
      <c r="AH327" s="9"/>
      <c r="AI327" s="9"/>
    </row>
    <row r="328" ht="16.5" customHeight="1">
      <c r="A328" s="8" t="s">
        <v>5</v>
      </c>
      <c r="E328" s="8" t="s">
        <v>178</v>
      </c>
      <c r="F328" s="8" t="s">
        <v>708</v>
      </c>
      <c r="G328" s="149" t="s">
        <v>3224</v>
      </c>
      <c r="H328" s="8" t="s">
        <v>708</v>
      </c>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row>
    <row r="329" ht="16.5" customHeight="1">
      <c r="A329" s="8" t="s">
        <v>5</v>
      </c>
      <c r="E329" s="8" t="s">
        <v>178</v>
      </c>
      <c r="F329" s="8" t="s">
        <v>710</v>
      </c>
      <c r="G329" s="149" t="s">
        <v>3225</v>
      </c>
      <c r="H329" s="8" t="s">
        <v>710</v>
      </c>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row>
    <row r="330" ht="16.5" customHeight="1">
      <c r="A330" s="8" t="s">
        <v>5</v>
      </c>
      <c r="E330" s="8" t="s">
        <v>178</v>
      </c>
      <c r="F330" s="8" t="s">
        <v>710</v>
      </c>
      <c r="G330" s="149" t="s">
        <v>3226</v>
      </c>
      <c r="H330" s="8" t="s">
        <v>3227</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row>
    <row r="331" ht="16.5" customHeight="1">
      <c r="A331" s="8" t="s">
        <v>5</v>
      </c>
      <c r="E331" s="8" t="s">
        <v>178</v>
      </c>
      <c r="F331" s="8" t="s">
        <v>924</v>
      </c>
      <c r="G331" s="149" t="s">
        <v>3228</v>
      </c>
      <c r="H331" s="31"/>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row>
    <row r="332" ht="16.5" customHeight="1">
      <c r="A332" s="8" t="s">
        <v>5</v>
      </c>
      <c r="E332" s="8" t="s">
        <v>178</v>
      </c>
      <c r="F332" s="8" t="s">
        <v>571</v>
      </c>
      <c r="G332" s="149" t="s">
        <v>3229</v>
      </c>
      <c r="H332" s="8" t="s">
        <v>571</v>
      </c>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row>
    <row r="333" ht="16.5" customHeight="1">
      <c r="A333" s="8" t="s">
        <v>5</v>
      </c>
      <c r="E333" s="8" t="s">
        <v>172</v>
      </c>
      <c r="F333" s="8" t="s">
        <v>173</v>
      </c>
      <c r="G333" s="149" t="s">
        <v>3230</v>
      </c>
      <c r="H333" s="8" t="s">
        <v>173</v>
      </c>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row>
    <row r="334" ht="16.5" customHeight="1">
      <c r="A334" s="8" t="s">
        <v>5</v>
      </c>
      <c r="E334" s="8" t="s">
        <v>172</v>
      </c>
      <c r="F334" s="8" t="s">
        <v>174</v>
      </c>
      <c r="G334" s="149" t="s">
        <v>3231</v>
      </c>
      <c r="H334" s="8" t="s">
        <v>174</v>
      </c>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row>
    <row r="335" ht="16.5" customHeight="1">
      <c r="A335" s="8" t="s">
        <v>5</v>
      </c>
      <c r="E335" s="8" t="s">
        <v>178</v>
      </c>
      <c r="F335" s="8" t="s">
        <v>209</v>
      </c>
      <c r="G335" s="149" t="s">
        <v>3232</v>
      </c>
      <c r="H335" s="8" t="s">
        <v>209</v>
      </c>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row>
    <row r="336" ht="16.5" customHeight="1">
      <c r="A336" s="8" t="s">
        <v>5</v>
      </c>
      <c r="E336" s="8" t="s">
        <v>178</v>
      </c>
      <c r="F336" s="8" t="s">
        <v>210</v>
      </c>
      <c r="G336" s="149" t="s">
        <v>3233</v>
      </c>
      <c r="H336" s="8" t="s">
        <v>210</v>
      </c>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row>
    <row r="337" ht="16.5" customHeight="1">
      <c r="A337" s="8" t="s">
        <v>5</v>
      </c>
      <c r="E337" s="8" t="s">
        <v>178</v>
      </c>
      <c r="F337" s="8" t="s">
        <v>205</v>
      </c>
      <c r="G337" s="149" t="s">
        <v>3234</v>
      </c>
      <c r="H337" s="8" t="s">
        <v>205</v>
      </c>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row>
    <row r="338" ht="16.5" customHeight="1">
      <c r="A338" s="8" t="s">
        <v>5</v>
      </c>
      <c r="E338" s="8" t="s">
        <v>178</v>
      </c>
      <c r="F338" s="8" t="s">
        <v>206</v>
      </c>
      <c r="G338" s="149" t="s">
        <v>3235</v>
      </c>
      <c r="H338" s="31"/>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row>
    <row r="339" ht="16.5" customHeight="1">
      <c r="A339" s="8" t="s">
        <v>5</v>
      </c>
      <c r="E339" s="8" t="s">
        <v>178</v>
      </c>
      <c r="F339" s="8" t="s">
        <v>639</v>
      </c>
      <c r="G339" s="149" t="s">
        <v>3236</v>
      </c>
      <c r="H339" s="8" t="s">
        <v>639</v>
      </c>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row>
    <row r="340" ht="16.5" customHeight="1">
      <c r="A340" s="8" t="s">
        <v>5</v>
      </c>
      <c r="E340" s="8" t="s">
        <v>178</v>
      </c>
      <c r="F340" s="8" t="s">
        <v>207</v>
      </c>
      <c r="G340" s="149" t="s">
        <v>3237</v>
      </c>
      <c r="H340" s="8" t="s">
        <v>207</v>
      </c>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row>
    <row r="341" ht="16.5" customHeight="1">
      <c r="A341" s="8" t="s">
        <v>5</v>
      </c>
      <c r="E341" s="8" t="s">
        <v>178</v>
      </c>
      <c r="F341" s="8" t="s">
        <v>208</v>
      </c>
      <c r="G341" s="149" t="s">
        <v>3238</v>
      </c>
      <c r="H341" s="8" t="s">
        <v>208</v>
      </c>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row>
    <row r="342" ht="16.5" customHeight="1">
      <c r="A342" s="8" t="s">
        <v>5</v>
      </c>
      <c r="E342" s="8" t="s">
        <v>178</v>
      </c>
      <c r="F342" s="8" t="s">
        <v>182</v>
      </c>
      <c r="G342" s="149" t="s">
        <v>3239</v>
      </c>
      <c r="H342" s="8" t="s">
        <v>182</v>
      </c>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row>
    <row r="343" ht="16.5" customHeight="1">
      <c r="A343" s="8" t="s">
        <v>5</v>
      </c>
      <c r="E343" s="8" t="s">
        <v>178</v>
      </c>
      <c r="F343" s="8" t="s">
        <v>573</v>
      </c>
      <c r="G343" s="149" t="s">
        <v>3240</v>
      </c>
      <c r="H343" s="8" t="s">
        <v>573</v>
      </c>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row>
    <row r="344" ht="16.5" customHeight="1">
      <c r="A344" s="8" t="s">
        <v>5</v>
      </c>
      <c r="E344" s="8" t="s">
        <v>178</v>
      </c>
      <c r="F344" s="8" t="s">
        <v>776</v>
      </c>
      <c r="G344" s="149" t="s">
        <v>3241</v>
      </c>
      <c r="H344" s="8" t="s">
        <v>776</v>
      </c>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row>
    <row r="345" ht="16.5" customHeight="1">
      <c r="A345" s="8" t="s">
        <v>5</v>
      </c>
      <c r="E345" s="8" t="s">
        <v>178</v>
      </c>
      <c r="F345" s="8" t="s">
        <v>622</v>
      </c>
      <c r="G345" s="149" t="s">
        <v>3242</v>
      </c>
      <c r="H345" s="8" t="s">
        <v>622</v>
      </c>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row>
    <row r="346" ht="16.5" customHeight="1">
      <c r="A346" s="8" t="s">
        <v>5</v>
      </c>
      <c r="E346" s="8" t="s">
        <v>178</v>
      </c>
      <c r="F346" s="8" t="s">
        <v>778</v>
      </c>
      <c r="G346" s="149" t="s">
        <v>3243</v>
      </c>
      <c r="H346" s="8" t="s">
        <v>778</v>
      </c>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row>
    <row r="347" ht="16.5" customHeight="1">
      <c r="A347" s="8" t="s">
        <v>5</v>
      </c>
      <c r="E347" s="8" t="s">
        <v>178</v>
      </c>
      <c r="F347" s="8" t="s">
        <v>622</v>
      </c>
      <c r="G347" s="149" t="s">
        <v>3244</v>
      </c>
      <c r="H347" s="8" t="s">
        <v>3245</v>
      </c>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row>
    <row r="348" ht="16.5" customHeight="1">
      <c r="A348" s="8" t="s">
        <v>5</v>
      </c>
      <c r="E348" s="8" t="s">
        <v>178</v>
      </c>
      <c r="F348" s="8" t="s">
        <v>778</v>
      </c>
      <c r="G348" s="149" t="s">
        <v>3246</v>
      </c>
      <c r="H348" s="8" t="s">
        <v>3247</v>
      </c>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row>
    <row r="349" ht="16.5" customHeight="1">
      <c r="A349" s="8" t="s">
        <v>5</v>
      </c>
      <c r="E349" s="8" t="s">
        <v>178</v>
      </c>
      <c r="F349" s="8" t="s">
        <v>924</v>
      </c>
      <c r="G349" s="149" t="s">
        <v>3248</v>
      </c>
      <c r="H349" s="31"/>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ht="16.5" customHeight="1">
      <c r="A350" s="8" t="s">
        <v>5</v>
      </c>
      <c r="E350" s="8" t="s">
        <v>178</v>
      </c>
      <c r="F350" s="8" t="s">
        <v>207</v>
      </c>
      <c r="G350" s="149" t="s">
        <v>3237</v>
      </c>
      <c r="H350" s="8" t="s">
        <v>207</v>
      </c>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ht="16.5" customHeight="1">
      <c r="A351" s="8" t="s">
        <v>5</v>
      </c>
      <c r="E351" s="8" t="s">
        <v>178</v>
      </c>
      <c r="F351" s="8" t="s">
        <v>209</v>
      </c>
      <c r="G351" s="149" t="s">
        <v>3232</v>
      </c>
      <c r="H351" s="8" t="s">
        <v>209</v>
      </c>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ht="16.5" customHeight="1">
      <c r="A352" s="8" t="s">
        <v>5</v>
      </c>
      <c r="E352" s="8" t="s">
        <v>178</v>
      </c>
      <c r="F352" s="8" t="s">
        <v>210</v>
      </c>
      <c r="G352" s="149" t="s">
        <v>3249</v>
      </c>
      <c r="H352" s="8" t="s">
        <v>1987</v>
      </c>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ht="16.5" customHeight="1">
      <c r="A353" s="8" t="s">
        <v>5</v>
      </c>
      <c r="E353" s="8" t="s">
        <v>178</v>
      </c>
      <c r="F353" s="8" t="s">
        <v>208</v>
      </c>
      <c r="G353" s="149" t="s">
        <v>3238</v>
      </c>
      <c r="H353" s="8" t="s">
        <v>208</v>
      </c>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ht="16.5" customHeight="1">
      <c r="A354" s="8" t="s">
        <v>5</v>
      </c>
      <c r="E354" s="8" t="s">
        <v>178</v>
      </c>
      <c r="F354" s="8" t="s">
        <v>182</v>
      </c>
      <c r="G354" s="149" t="s">
        <v>3250</v>
      </c>
      <c r="H354" s="8" t="s">
        <v>2003</v>
      </c>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row>
    <row r="355" ht="16.5" customHeight="1">
      <c r="A355" s="8" t="s">
        <v>5</v>
      </c>
      <c r="E355" s="8" t="s">
        <v>178</v>
      </c>
      <c r="F355" s="8" t="s">
        <v>634</v>
      </c>
      <c r="G355" s="149" t="s">
        <v>3251</v>
      </c>
      <c r="H355" s="8" t="s">
        <v>634</v>
      </c>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row>
    <row r="356" ht="16.5" customHeight="1">
      <c r="A356" s="8" t="s">
        <v>5</v>
      </c>
      <c r="E356" s="8" t="s">
        <v>178</v>
      </c>
      <c r="F356" s="8" t="s">
        <v>632</v>
      </c>
      <c r="G356" s="149" t="s">
        <v>3252</v>
      </c>
      <c r="H356" s="8" t="s">
        <v>632</v>
      </c>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row>
    <row r="357" ht="16.5" customHeight="1">
      <c r="A357" s="8" t="s">
        <v>5</v>
      </c>
      <c r="E357" s="8" t="s">
        <v>178</v>
      </c>
      <c r="F357" s="8" t="s">
        <v>207</v>
      </c>
      <c r="G357" s="149" t="s">
        <v>3237</v>
      </c>
      <c r="H357" s="8" t="s">
        <v>207</v>
      </c>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row>
    <row r="358" ht="16.5" customHeight="1">
      <c r="A358" s="8" t="s">
        <v>5</v>
      </c>
      <c r="E358" s="8" t="s">
        <v>178</v>
      </c>
      <c r="F358" s="8" t="s">
        <v>209</v>
      </c>
      <c r="G358" s="149" t="s">
        <v>3232</v>
      </c>
      <c r="H358" s="8" t="s">
        <v>209</v>
      </c>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row>
    <row r="359" ht="16.5" customHeight="1">
      <c r="A359" s="8" t="s">
        <v>5</v>
      </c>
      <c r="E359" s="8" t="s">
        <v>178</v>
      </c>
      <c r="F359" s="8" t="s">
        <v>210</v>
      </c>
      <c r="G359" s="149" t="s">
        <v>3253</v>
      </c>
      <c r="H359" s="8" t="s">
        <v>2037</v>
      </c>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row>
    <row r="360" ht="16.5" customHeight="1">
      <c r="A360" s="8" t="s">
        <v>5</v>
      </c>
      <c r="E360" s="8" t="s">
        <v>178</v>
      </c>
      <c r="F360" s="8" t="s">
        <v>208</v>
      </c>
      <c r="G360" s="149" t="s">
        <v>3238</v>
      </c>
      <c r="H360" s="8" t="s">
        <v>208</v>
      </c>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row>
    <row r="361" ht="16.5" customHeight="1">
      <c r="A361" s="8" t="s">
        <v>5</v>
      </c>
      <c r="E361" s="408" t="s">
        <v>178</v>
      </c>
      <c r="F361" s="408" t="s">
        <v>182</v>
      </c>
      <c r="G361" s="419" t="s">
        <v>3254</v>
      </c>
      <c r="H361" s="408" t="s">
        <v>2071</v>
      </c>
      <c r="I361" s="409"/>
      <c r="J361" s="409"/>
      <c r="K361" s="409"/>
      <c r="L361" s="409"/>
      <c r="M361" s="9"/>
      <c r="N361" s="9"/>
      <c r="O361" s="9"/>
      <c r="P361" s="9"/>
      <c r="Q361" s="9"/>
      <c r="R361" s="9"/>
      <c r="S361" s="9"/>
      <c r="T361" s="9"/>
      <c r="U361" s="9"/>
      <c r="V361" s="9"/>
      <c r="W361" s="9"/>
      <c r="X361" s="9"/>
      <c r="Y361" s="9"/>
      <c r="Z361" s="9"/>
      <c r="AA361" s="9"/>
      <c r="AB361" s="9"/>
      <c r="AC361" s="9"/>
      <c r="AD361" s="9"/>
      <c r="AE361" s="9"/>
      <c r="AF361" s="9"/>
      <c r="AG361" s="9"/>
      <c r="AH361" s="9"/>
      <c r="AI361" s="9"/>
    </row>
    <row r="362" ht="16.5" customHeight="1">
      <c r="A362" s="32" t="s">
        <v>5</v>
      </c>
      <c r="B362" s="195" t="s">
        <v>3255</v>
      </c>
      <c r="C362" s="66" t="s">
        <v>2926</v>
      </c>
      <c r="D362" s="32" t="s">
        <v>42</v>
      </c>
      <c r="E362" s="407" t="s">
        <v>89</v>
      </c>
      <c r="F362" s="407" t="s">
        <v>291</v>
      </c>
      <c r="G362" s="425"/>
      <c r="H362" s="413"/>
      <c r="I362" s="413"/>
      <c r="J362" s="413"/>
      <c r="K362" s="413"/>
      <c r="L362" s="394"/>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row>
    <row r="363" ht="16.5" customHeight="1">
      <c r="A363" s="8" t="s">
        <v>5</v>
      </c>
      <c r="B363" s="8" t="s">
        <v>3256</v>
      </c>
      <c r="C363" s="85" t="s">
        <v>3257</v>
      </c>
      <c r="D363" s="8" t="s">
        <v>42</v>
      </c>
      <c r="E363" s="420" t="s">
        <v>178</v>
      </c>
      <c r="F363" s="420" t="s">
        <v>201</v>
      </c>
      <c r="G363" s="422" t="s">
        <v>3258</v>
      </c>
      <c r="H363" s="420" t="s">
        <v>201</v>
      </c>
      <c r="I363" s="423"/>
      <c r="J363" s="423"/>
      <c r="K363" s="423"/>
      <c r="L363" s="423"/>
      <c r="M363" s="9"/>
      <c r="N363" s="9"/>
      <c r="O363" s="9"/>
      <c r="P363" s="9"/>
      <c r="Q363" s="9"/>
      <c r="R363" s="9"/>
      <c r="S363" s="9"/>
      <c r="T363" s="9"/>
      <c r="U363" s="9"/>
      <c r="V363" s="9"/>
      <c r="W363" s="9"/>
      <c r="X363" s="9"/>
      <c r="Y363" s="9"/>
      <c r="Z363" s="9"/>
      <c r="AA363" s="9"/>
      <c r="AB363" s="9"/>
      <c r="AC363" s="9"/>
      <c r="AD363" s="9"/>
      <c r="AE363" s="9"/>
      <c r="AF363" s="9"/>
      <c r="AG363" s="9"/>
      <c r="AH363" s="9"/>
      <c r="AI363" s="9"/>
    </row>
    <row r="364" ht="16.5" customHeight="1">
      <c r="A364" s="8" t="s">
        <v>5</v>
      </c>
      <c r="E364" s="8" t="s">
        <v>178</v>
      </c>
      <c r="F364" s="8" t="s">
        <v>202</v>
      </c>
      <c r="G364" s="149" t="s">
        <v>3259</v>
      </c>
      <c r="H364" s="8" t="s">
        <v>202</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row>
    <row r="365" ht="16.5" customHeight="1">
      <c r="A365" s="8" t="s">
        <v>5</v>
      </c>
      <c r="E365" s="8" t="s">
        <v>178</v>
      </c>
      <c r="F365" s="8" t="s">
        <v>568</v>
      </c>
      <c r="G365" s="149" t="s">
        <v>3260</v>
      </c>
      <c r="H365" s="8" t="s">
        <v>568</v>
      </c>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row>
    <row r="366" ht="16.5" customHeight="1">
      <c r="A366" s="8" t="s">
        <v>5</v>
      </c>
      <c r="E366" s="8" t="s">
        <v>178</v>
      </c>
      <c r="F366" s="8" t="s">
        <v>568</v>
      </c>
      <c r="G366" s="149" t="s">
        <v>3261</v>
      </c>
      <c r="H366" s="8" t="s">
        <v>3262</v>
      </c>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row>
    <row r="367" ht="16.5" customHeight="1">
      <c r="A367" s="8" t="s">
        <v>5</v>
      </c>
      <c r="E367" s="8" t="s">
        <v>178</v>
      </c>
      <c r="F367" s="8" t="s">
        <v>924</v>
      </c>
      <c r="G367" s="9"/>
      <c r="H367" s="31"/>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row>
    <row r="368" ht="16.5" customHeight="1">
      <c r="A368" s="8" t="s">
        <v>5</v>
      </c>
      <c r="E368" s="8" t="s">
        <v>178</v>
      </c>
      <c r="F368" s="8" t="s">
        <v>536</v>
      </c>
      <c r="G368" s="149" t="s">
        <v>3263</v>
      </c>
      <c r="H368" s="8" t="s">
        <v>536</v>
      </c>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row>
    <row r="369" ht="16.5" customHeight="1">
      <c r="A369" s="8" t="s">
        <v>5</v>
      </c>
      <c r="E369" s="8" t="s">
        <v>172</v>
      </c>
      <c r="F369" s="8" t="s">
        <v>173</v>
      </c>
      <c r="G369" s="149" t="s">
        <v>3264</v>
      </c>
      <c r="H369" s="8" t="s">
        <v>173</v>
      </c>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row>
    <row r="370" ht="16.5" customHeight="1">
      <c r="A370" s="8" t="s">
        <v>5</v>
      </c>
      <c r="E370" s="8" t="s">
        <v>172</v>
      </c>
      <c r="F370" s="8" t="s">
        <v>174</v>
      </c>
      <c r="G370" s="149" t="s">
        <v>3265</v>
      </c>
      <c r="H370" s="8" t="s">
        <v>174</v>
      </c>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row>
    <row r="371" ht="16.5" customHeight="1">
      <c r="A371" s="8" t="s">
        <v>5</v>
      </c>
      <c r="E371" s="8" t="s">
        <v>178</v>
      </c>
      <c r="F371" s="8" t="s">
        <v>209</v>
      </c>
      <c r="G371" s="149" t="s">
        <v>3266</v>
      </c>
      <c r="H371" s="8" t="s">
        <v>209</v>
      </c>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row>
    <row r="372" ht="16.5" customHeight="1">
      <c r="A372" s="8" t="s">
        <v>5</v>
      </c>
      <c r="E372" s="8" t="s">
        <v>178</v>
      </c>
      <c r="F372" s="8" t="s">
        <v>210</v>
      </c>
      <c r="G372" s="149" t="s">
        <v>3267</v>
      </c>
      <c r="H372" s="8" t="s">
        <v>210</v>
      </c>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row>
    <row r="373" ht="16.5" customHeight="1">
      <c r="A373" s="8" t="s">
        <v>5</v>
      </c>
      <c r="E373" s="8" t="s">
        <v>178</v>
      </c>
      <c r="F373" s="8" t="s">
        <v>205</v>
      </c>
      <c r="G373" s="149" t="s">
        <v>3268</v>
      </c>
      <c r="H373" s="8" t="s">
        <v>205</v>
      </c>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row>
    <row r="374" ht="16.5" customHeight="1">
      <c r="A374" s="8" t="s">
        <v>5</v>
      </c>
      <c r="E374" s="8" t="s">
        <v>178</v>
      </c>
      <c r="F374" s="8" t="s">
        <v>206</v>
      </c>
      <c r="G374" s="9"/>
      <c r="H374" s="31"/>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row>
    <row r="375" ht="16.5" customHeight="1">
      <c r="A375" s="8" t="s">
        <v>5</v>
      </c>
      <c r="E375" s="8" t="s">
        <v>178</v>
      </c>
      <c r="F375" s="8" t="s">
        <v>639</v>
      </c>
      <c r="G375" s="149" t="s">
        <v>3269</v>
      </c>
      <c r="H375" s="8" t="s">
        <v>639</v>
      </c>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row>
    <row r="376" ht="16.5" customHeight="1">
      <c r="A376" s="8" t="s">
        <v>5</v>
      </c>
      <c r="E376" s="8" t="s">
        <v>178</v>
      </c>
      <c r="F376" s="8" t="s">
        <v>207</v>
      </c>
      <c r="G376" s="149" t="s">
        <v>3270</v>
      </c>
      <c r="H376" s="8" t="s">
        <v>207</v>
      </c>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row>
    <row r="377" ht="16.5" customHeight="1">
      <c r="A377" s="8" t="s">
        <v>5</v>
      </c>
      <c r="E377" s="8" t="s">
        <v>178</v>
      </c>
      <c r="F377" s="8" t="s">
        <v>208</v>
      </c>
      <c r="G377" s="149" t="s">
        <v>3271</v>
      </c>
      <c r="H377" s="8" t="s">
        <v>208</v>
      </c>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row>
    <row r="378" ht="16.5" customHeight="1">
      <c r="A378" s="8" t="s">
        <v>5</v>
      </c>
      <c r="E378" s="8" t="s">
        <v>178</v>
      </c>
      <c r="F378" s="8" t="s">
        <v>182</v>
      </c>
      <c r="G378" s="149" t="s">
        <v>3272</v>
      </c>
      <c r="H378" s="8" t="s">
        <v>182</v>
      </c>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row>
    <row r="379" ht="16.5" customHeight="1">
      <c r="A379" s="8" t="s">
        <v>5</v>
      </c>
      <c r="E379" s="8" t="s">
        <v>178</v>
      </c>
      <c r="F379" s="8" t="s">
        <v>553</v>
      </c>
      <c r="G379" s="149" t="s">
        <v>3273</v>
      </c>
      <c r="H379" s="8" t="s">
        <v>553</v>
      </c>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row>
    <row r="380" ht="16.5" customHeight="1">
      <c r="A380" s="8" t="s">
        <v>5</v>
      </c>
      <c r="E380" s="8" t="s">
        <v>178</v>
      </c>
      <c r="F380" s="8" t="s">
        <v>628</v>
      </c>
      <c r="G380" s="149" t="s">
        <v>3274</v>
      </c>
      <c r="H380" s="8" t="s">
        <v>628</v>
      </c>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row>
    <row r="381" ht="16.5" customHeight="1">
      <c r="A381" s="8" t="s">
        <v>5</v>
      </c>
      <c r="E381" s="8" t="s">
        <v>178</v>
      </c>
      <c r="F381" s="8" t="s">
        <v>555</v>
      </c>
      <c r="G381" s="149" t="s">
        <v>3275</v>
      </c>
      <c r="H381" s="8" t="s">
        <v>555</v>
      </c>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row>
    <row r="382" ht="16.5" customHeight="1">
      <c r="A382" s="8" t="s">
        <v>5</v>
      </c>
      <c r="E382" s="8" t="s">
        <v>178</v>
      </c>
      <c r="F382" s="8" t="s">
        <v>630</v>
      </c>
      <c r="G382" s="149" t="s">
        <v>3276</v>
      </c>
      <c r="H382" s="8" t="s">
        <v>630</v>
      </c>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row>
    <row r="383" ht="16.5" customHeight="1">
      <c r="A383" s="8" t="s">
        <v>5</v>
      </c>
      <c r="E383" s="8" t="s">
        <v>178</v>
      </c>
      <c r="F383" s="8" t="s">
        <v>555</v>
      </c>
      <c r="G383" s="149" t="s">
        <v>3277</v>
      </c>
      <c r="H383" s="8" t="s">
        <v>3278</v>
      </c>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row>
    <row r="384" ht="16.5" customHeight="1">
      <c r="A384" s="8" t="s">
        <v>5</v>
      </c>
      <c r="E384" s="8" t="s">
        <v>178</v>
      </c>
      <c r="F384" s="8" t="s">
        <v>630</v>
      </c>
      <c r="G384" s="149" t="s">
        <v>3279</v>
      </c>
      <c r="H384" s="8" t="s">
        <v>3280</v>
      </c>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row>
    <row r="385" ht="16.5" customHeight="1">
      <c r="A385" s="8" t="s">
        <v>5</v>
      </c>
      <c r="E385" s="8" t="s">
        <v>178</v>
      </c>
      <c r="F385" s="8" t="s">
        <v>924</v>
      </c>
      <c r="G385" s="31"/>
      <c r="H385" s="31"/>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row>
    <row r="386" ht="16.5" customHeight="1">
      <c r="A386" s="8" t="s">
        <v>5</v>
      </c>
      <c r="E386" s="8" t="s">
        <v>178</v>
      </c>
      <c r="F386" s="8" t="s">
        <v>205</v>
      </c>
      <c r="G386" s="149" t="s">
        <v>3268</v>
      </c>
      <c r="H386" s="8" t="s">
        <v>205</v>
      </c>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row>
    <row r="387" ht="16.5" customHeight="1">
      <c r="A387" s="8" t="s">
        <v>5</v>
      </c>
      <c r="E387" s="8" t="s">
        <v>178</v>
      </c>
      <c r="F387" s="8" t="s">
        <v>206</v>
      </c>
      <c r="G387" s="31"/>
      <c r="H387" s="31"/>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row>
    <row r="388" ht="16.5" customHeight="1">
      <c r="A388" s="8" t="s">
        <v>5</v>
      </c>
      <c r="E388" s="8" t="s">
        <v>178</v>
      </c>
      <c r="F388" s="8" t="s">
        <v>639</v>
      </c>
      <c r="G388" s="149" t="s">
        <v>3281</v>
      </c>
      <c r="H388" s="8" t="s">
        <v>2988</v>
      </c>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row>
    <row r="389" ht="16.5" customHeight="1">
      <c r="A389" s="8" t="s">
        <v>5</v>
      </c>
      <c r="E389" s="8" t="s">
        <v>178</v>
      </c>
      <c r="F389" s="8" t="s">
        <v>207</v>
      </c>
      <c r="G389" s="149" t="s">
        <v>3282</v>
      </c>
      <c r="H389" s="8" t="s">
        <v>1998</v>
      </c>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row>
    <row r="390" ht="16.5" customHeight="1">
      <c r="A390" s="8" t="s">
        <v>5</v>
      </c>
      <c r="E390" s="8" t="s">
        <v>178</v>
      </c>
      <c r="F390" s="8" t="s">
        <v>208</v>
      </c>
      <c r="G390" s="149" t="s">
        <v>3271</v>
      </c>
      <c r="H390" s="8" t="s">
        <v>208</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row>
    <row r="391" ht="16.5" customHeight="1">
      <c r="A391" s="8" t="s">
        <v>5</v>
      </c>
      <c r="E391" s="8" t="s">
        <v>178</v>
      </c>
      <c r="F391" s="8" t="s">
        <v>182</v>
      </c>
      <c r="G391" s="149" t="s">
        <v>3283</v>
      </c>
      <c r="H391" s="8" t="s">
        <v>2003</v>
      </c>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row>
    <row r="392" ht="16.5" customHeight="1">
      <c r="A392" s="8" t="s">
        <v>5</v>
      </c>
      <c r="E392" s="8" t="s">
        <v>178</v>
      </c>
      <c r="F392" s="8" t="s">
        <v>563</v>
      </c>
      <c r="G392" s="149" t="s">
        <v>3284</v>
      </c>
      <c r="H392" s="8" t="s">
        <v>563</v>
      </c>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row>
    <row r="393" ht="16.5" customHeight="1">
      <c r="A393" s="8" t="s">
        <v>5</v>
      </c>
      <c r="E393" s="8" t="s">
        <v>178</v>
      </c>
      <c r="F393" s="8" t="s">
        <v>561</v>
      </c>
      <c r="G393" s="149" t="s">
        <v>3285</v>
      </c>
      <c r="H393" s="8" t="s">
        <v>561</v>
      </c>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row>
    <row r="394" ht="16.5" customHeight="1">
      <c r="A394" s="8" t="s">
        <v>5</v>
      </c>
      <c r="E394" s="8" t="s">
        <v>178</v>
      </c>
      <c r="F394" s="8" t="s">
        <v>207</v>
      </c>
      <c r="G394" s="149" t="s">
        <v>3286</v>
      </c>
      <c r="H394" s="8" t="s">
        <v>2001</v>
      </c>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row>
    <row r="395" ht="16.5" customHeight="1">
      <c r="A395" s="8" t="s">
        <v>5</v>
      </c>
      <c r="E395" s="8" t="s">
        <v>178</v>
      </c>
      <c r="F395" s="8" t="s">
        <v>208</v>
      </c>
      <c r="G395" s="149" t="s">
        <v>3271</v>
      </c>
      <c r="H395" s="8" t="s">
        <v>208</v>
      </c>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row>
    <row r="396" ht="16.5" customHeight="1">
      <c r="A396" s="8" t="s">
        <v>5</v>
      </c>
      <c r="E396" s="408" t="s">
        <v>178</v>
      </c>
      <c r="F396" s="408" t="s">
        <v>182</v>
      </c>
      <c r="G396" s="419" t="s">
        <v>3287</v>
      </c>
      <c r="H396" s="408" t="s">
        <v>2071</v>
      </c>
      <c r="I396" s="409"/>
      <c r="J396" s="409"/>
      <c r="K396" s="409"/>
      <c r="L396" s="409"/>
      <c r="M396" s="9"/>
      <c r="N396" s="9"/>
      <c r="O396" s="9"/>
      <c r="P396" s="9"/>
      <c r="Q396" s="9"/>
      <c r="R396" s="9"/>
      <c r="S396" s="9"/>
      <c r="T396" s="9"/>
      <c r="U396" s="9"/>
      <c r="V396" s="9"/>
      <c r="W396" s="9"/>
      <c r="X396" s="9"/>
      <c r="Y396" s="9"/>
      <c r="Z396" s="9"/>
      <c r="AA396" s="9"/>
      <c r="AB396" s="9"/>
      <c r="AC396" s="9"/>
      <c r="AD396" s="9"/>
      <c r="AE396" s="9"/>
      <c r="AF396" s="9"/>
      <c r="AG396" s="9"/>
      <c r="AH396" s="9"/>
      <c r="AI396" s="9"/>
    </row>
    <row r="397" ht="16.5" customHeight="1">
      <c r="A397" s="8" t="s">
        <v>5</v>
      </c>
      <c r="B397" s="8" t="s">
        <v>3288</v>
      </c>
      <c r="C397" s="87" t="s">
        <v>3289</v>
      </c>
      <c r="D397" s="8" t="s">
        <v>42</v>
      </c>
      <c r="E397" s="426" t="s">
        <v>89</v>
      </c>
      <c r="F397" s="426" t="s">
        <v>291</v>
      </c>
      <c r="G397" s="427"/>
      <c r="H397" s="427"/>
      <c r="I397" s="427"/>
      <c r="J397" s="427"/>
      <c r="K397" s="427"/>
      <c r="L397" s="427"/>
      <c r="M397" s="9"/>
      <c r="N397" s="9"/>
      <c r="O397" s="9"/>
      <c r="P397" s="9"/>
      <c r="Q397" s="9"/>
      <c r="R397" s="9"/>
      <c r="S397" s="9"/>
      <c r="T397" s="9"/>
      <c r="U397" s="9"/>
      <c r="V397" s="9"/>
      <c r="W397" s="9"/>
      <c r="X397" s="9"/>
      <c r="Y397" s="9"/>
      <c r="Z397" s="9"/>
      <c r="AA397" s="9"/>
      <c r="AB397" s="9"/>
      <c r="AC397" s="9"/>
      <c r="AD397" s="9"/>
      <c r="AE397" s="9"/>
      <c r="AF397" s="9"/>
      <c r="AG397" s="9"/>
      <c r="AH397" s="9"/>
      <c r="AI397" s="9"/>
    </row>
    <row r="398" ht="16.5" customHeight="1">
      <c r="A398" s="8" t="s">
        <v>5</v>
      </c>
      <c r="B398" s="8" t="s">
        <v>3290</v>
      </c>
      <c r="C398" s="85" t="s">
        <v>3291</v>
      </c>
      <c r="D398" s="8" t="s">
        <v>5</v>
      </c>
      <c r="E398" s="420" t="s">
        <v>21</v>
      </c>
      <c r="F398" s="420" t="s">
        <v>51</v>
      </c>
      <c r="G398" s="422" t="s">
        <v>3292</v>
      </c>
      <c r="H398" s="420" t="s">
        <v>51</v>
      </c>
      <c r="I398" s="423"/>
      <c r="J398" s="423"/>
      <c r="K398" s="423"/>
      <c r="L398" s="423"/>
      <c r="M398" s="9"/>
      <c r="N398" s="9"/>
      <c r="O398" s="9"/>
      <c r="P398" s="9"/>
      <c r="Q398" s="9"/>
      <c r="R398" s="9"/>
      <c r="S398" s="9"/>
      <c r="T398" s="9"/>
      <c r="U398" s="9"/>
      <c r="V398" s="9"/>
      <c r="W398" s="9"/>
      <c r="X398" s="9"/>
      <c r="Y398" s="9"/>
      <c r="Z398" s="9"/>
      <c r="AA398" s="9"/>
      <c r="AB398" s="9"/>
      <c r="AC398" s="9"/>
      <c r="AD398" s="9"/>
      <c r="AE398" s="9"/>
      <c r="AF398" s="9"/>
      <c r="AG398" s="9"/>
      <c r="AH398" s="9"/>
      <c r="AI398" s="9"/>
    </row>
    <row r="399" ht="16.5" customHeight="1">
      <c r="A399" s="8" t="s">
        <v>5</v>
      </c>
      <c r="E399" s="8" t="s">
        <v>172</v>
      </c>
      <c r="F399" s="8" t="s">
        <v>203</v>
      </c>
      <c r="G399" s="149" t="s">
        <v>3293</v>
      </c>
      <c r="H399" s="8" t="s">
        <v>203</v>
      </c>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row>
    <row r="400" ht="16.5" customHeight="1">
      <c r="A400" s="8" t="s">
        <v>5</v>
      </c>
      <c r="E400" s="8" t="s">
        <v>172</v>
      </c>
      <c r="F400" s="8" t="s">
        <v>945</v>
      </c>
      <c r="G400" s="149" t="s">
        <v>3294</v>
      </c>
      <c r="H400" s="8" t="s">
        <v>945</v>
      </c>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row>
    <row r="401" ht="16.5" customHeight="1">
      <c r="A401" s="8" t="s">
        <v>5</v>
      </c>
      <c r="E401" s="8" t="s">
        <v>86</v>
      </c>
      <c r="F401" s="8" t="s">
        <v>90</v>
      </c>
      <c r="G401" s="149" t="s">
        <v>3295</v>
      </c>
      <c r="H401" s="8" t="s">
        <v>90</v>
      </c>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row>
    <row r="402" ht="16.5" customHeight="1">
      <c r="A402" s="8" t="s">
        <v>5</v>
      </c>
      <c r="E402" s="8" t="s">
        <v>86</v>
      </c>
      <c r="F402" s="8" t="s">
        <v>339</v>
      </c>
      <c r="G402" s="149" t="s">
        <v>3296</v>
      </c>
      <c r="H402" s="8" t="s">
        <v>339</v>
      </c>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row>
    <row r="403" ht="16.5" customHeight="1">
      <c r="A403" s="8" t="s">
        <v>5</v>
      </c>
      <c r="E403" s="8" t="s">
        <v>178</v>
      </c>
      <c r="F403" s="8" t="s">
        <v>209</v>
      </c>
      <c r="G403" s="149" t="s">
        <v>3297</v>
      </c>
      <c r="H403" s="8" t="s">
        <v>209</v>
      </c>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row>
    <row r="404" ht="16.5" customHeight="1">
      <c r="A404" s="8" t="s">
        <v>5</v>
      </c>
      <c r="E404" s="8" t="s">
        <v>178</v>
      </c>
      <c r="F404" s="8" t="s">
        <v>210</v>
      </c>
      <c r="G404" s="149" t="s">
        <v>3298</v>
      </c>
      <c r="H404" s="8" t="s">
        <v>210</v>
      </c>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row>
    <row r="405" ht="16.5" customHeight="1">
      <c r="A405" s="8" t="s">
        <v>5</v>
      </c>
      <c r="E405" s="8" t="s">
        <v>178</v>
      </c>
      <c r="F405" s="8" t="s">
        <v>179</v>
      </c>
      <c r="G405" s="149" t="s">
        <v>3299</v>
      </c>
      <c r="H405" s="8" t="s">
        <v>179</v>
      </c>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row>
    <row r="406" ht="16.5" customHeight="1">
      <c r="A406" s="8" t="s">
        <v>5</v>
      </c>
      <c r="E406" s="8" t="s">
        <v>178</v>
      </c>
      <c r="F406" s="8" t="s">
        <v>180</v>
      </c>
      <c r="G406" s="149" t="s">
        <v>3300</v>
      </c>
      <c r="H406" s="8" t="s">
        <v>180</v>
      </c>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row>
    <row r="407" ht="16.5" customHeight="1">
      <c r="A407" s="8" t="s">
        <v>5</v>
      </c>
      <c r="E407" s="8" t="s">
        <v>178</v>
      </c>
      <c r="F407" s="8" t="s">
        <v>205</v>
      </c>
      <c r="G407" s="149" t="s">
        <v>3301</v>
      </c>
      <c r="H407" s="8" t="s">
        <v>205</v>
      </c>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row>
    <row r="408" ht="16.5" customHeight="1">
      <c r="A408" s="8" t="s">
        <v>5</v>
      </c>
      <c r="E408" s="8" t="s">
        <v>178</v>
      </c>
      <c r="F408" s="8" t="s">
        <v>206</v>
      </c>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row>
    <row r="409" ht="16.5" customHeight="1">
      <c r="A409" s="8" t="s">
        <v>5</v>
      </c>
      <c r="E409" s="8" t="s">
        <v>178</v>
      </c>
      <c r="F409" s="8" t="s">
        <v>639</v>
      </c>
      <c r="G409" s="149" t="s">
        <v>3302</v>
      </c>
      <c r="H409" s="8" t="s">
        <v>639</v>
      </c>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row>
    <row r="410" ht="16.5" customHeight="1">
      <c r="A410" s="8" t="s">
        <v>5</v>
      </c>
      <c r="E410" s="8" t="s">
        <v>178</v>
      </c>
      <c r="F410" s="8" t="s">
        <v>207</v>
      </c>
      <c r="G410" s="149" t="s">
        <v>3303</v>
      </c>
      <c r="H410" s="8" t="s">
        <v>207</v>
      </c>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row>
    <row r="411" ht="16.5" customHeight="1">
      <c r="A411" s="8" t="s">
        <v>5</v>
      </c>
      <c r="E411" s="8" t="s">
        <v>178</v>
      </c>
      <c r="F411" s="8" t="s">
        <v>208</v>
      </c>
      <c r="G411" s="149" t="s">
        <v>3304</v>
      </c>
      <c r="H411" s="8" t="s">
        <v>208</v>
      </c>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row>
    <row r="412" ht="16.5" customHeight="1">
      <c r="A412" s="8" t="s">
        <v>5</v>
      </c>
      <c r="E412" s="408" t="s">
        <v>178</v>
      </c>
      <c r="F412" s="408" t="s">
        <v>182</v>
      </c>
      <c r="G412" s="419" t="s">
        <v>3305</v>
      </c>
      <c r="H412" s="408" t="s">
        <v>182</v>
      </c>
      <c r="I412" s="409"/>
      <c r="J412" s="409"/>
      <c r="K412" s="409"/>
      <c r="L412" s="409"/>
      <c r="M412" s="9"/>
      <c r="N412" s="9"/>
      <c r="O412" s="9"/>
      <c r="P412" s="9"/>
      <c r="Q412" s="9"/>
      <c r="R412" s="9"/>
      <c r="S412" s="9"/>
      <c r="T412" s="9"/>
      <c r="U412" s="9"/>
      <c r="V412" s="9"/>
      <c r="W412" s="9"/>
      <c r="X412" s="9"/>
      <c r="Y412" s="9"/>
      <c r="Z412" s="9"/>
      <c r="AA412" s="9"/>
      <c r="AB412" s="9"/>
      <c r="AC412" s="9"/>
      <c r="AD412" s="9"/>
      <c r="AE412" s="9"/>
      <c r="AF412" s="9"/>
      <c r="AG412" s="9"/>
      <c r="AH412" s="9"/>
      <c r="AI412" s="9"/>
    </row>
    <row r="413" ht="16.5" customHeight="1">
      <c r="A413" s="8" t="s">
        <v>5</v>
      </c>
      <c r="B413" s="8" t="s">
        <v>3306</v>
      </c>
      <c r="C413" s="87" t="s">
        <v>3289</v>
      </c>
      <c r="D413" s="8" t="s">
        <v>42</v>
      </c>
      <c r="E413" s="408" t="s">
        <v>89</v>
      </c>
      <c r="F413" s="408" t="s">
        <v>291</v>
      </c>
      <c r="G413" s="409"/>
      <c r="H413" s="409"/>
      <c r="I413" s="409"/>
      <c r="J413" s="409"/>
      <c r="K413" s="409"/>
      <c r="L413" s="409"/>
      <c r="M413" s="9"/>
      <c r="N413" s="9"/>
      <c r="O413" s="9"/>
      <c r="P413" s="9"/>
      <c r="Q413" s="9"/>
      <c r="R413" s="9"/>
      <c r="S413" s="9"/>
      <c r="T413" s="9"/>
      <c r="U413" s="9"/>
      <c r="V413" s="9"/>
      <c r="W413" s="9"/>
      <c r="X413" s="9"/>
      <c r="Y413" s="9"/>
      <c r="Z413" s="9"/>
      <c r="AA413" s="9"/>
      <c r="AB413" s="9"/>
      <c r="AC413" s="9"/>
      <c r="AD413" s="9"/>
      <c r="AE413" s="9"/>
      <c r="AF413" s="9"/>
      <c r="AG413" s="9"/>
      <c r="AH413" s="9"/>
      <c r="AI413" s="9"/>
    </row>
    <row r="414" ht="16.5" customHeight="1">
      <c r="A414" s="8" t="s">
        <v>5</v>
      </c>
      <c r="B414" s="8" t="s">
        <v>3307</v>
      </c>
      <c r="C414" s="85" t="s">
        <v>3308</v>
      </c>
      <c r="D414" s="8" t="s">
        <v>42</v>
      </c>
      <c r="E414" s="8" t="s">
        <v>21</v>
      </c>
      <c r="F414" s="8" t="s">
        <v>51</v>
      </c>
      <c r="G414" s="149" t="s">
        <v>3309</v>
      </c>
      <c r="H414" s="8" t="s">
        <v>51</v>
      </c>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row>
    <row r="415" ht="16.5" customHeight="1">
      <c r="A415" s="8" t="s">
        <v>5</v>
      </c>
      <c r="E415" s="8" t="s">
        <v>172</v>
      </c>
      <c r="F415" s="8" t="s">
        <v>203</v>
      </c>
      <c r="G415" s="149" t="s">
        <v>3310</v>
      </c>
      <c r="H415" s="8" t="s">
        <v>203</v>
      </c>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row>
    <row r="416" ht="16.5" customHeight="1">
      <c r="A416" s="8" t="s">
        <v>5</v>
      </c>
      <c r="E416" s="8" t="s">
        <v>172</v>
      </c>
      <c r="F416" s="8" t="s">
        <v>945</v>
      </c>
      <c r="G416" s="149" t="s">
        <v>3311</v>
      </c>
      <c r="H416" s="8" t="s">
        <v>945</v>
      </c>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row>
    <row r="417" ht="16.5" customHeight="1">
      <c r="A417" s="8" t="s">
        <v>5</v>
      </c>
      <c r="E417" s="8" t="s">
        <v>172</v>
      </c>
      <c r="F417" s="8" t="s">
        <v>173</v>
      </c>
      <c r="G417" s="149" t="s">
        <v>3312</v>
      </c>
      <c r="H417" s="8" t="s">
        <v>173</v>
      </c>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row>
    <row r="418" ht="16.5" customHeight="1">
      <c r="A418" s="8" t="s">
        <v>5</v>
      </c>
      <c r="E418" s="8" t="s">
        <v>172</v>
      </c>
      <c r="F418" s="8" t="s">
        <v>174</v>
      </c>
      <c r="G418" s="149" t="s">
        <v>3313</v>
      </c>
      <c r="H418" s="8" t="s">
        <v>174</v>
      </c>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row>
    <row r="419" ht="16.5" customHeight="1">
      <c r="A419" s="8" t="s">
        <v>5</v>
      </c>
      <c r="E419" s="8" t="s">
        <v>88</v>
      </c>
      <c r="F419" s="8" t="s">
        <v>95</v>
      </c>
      <c r="G419" s="149" t="s">
        <v>3314</v>
      </c>
      <c r="H419" s="8" t="s">
        <v>95</v>
      </c>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row>
    <row r="420" ht="16.5" customHeight="1">
      <c r="A420" s="8" t="s">
        <v>5</v>
      </c>
      <c r="E420" s="8" t="s">
        <v>88</v>
      </c>
      <c r="F420" s="8" t="s">
        <v>125</v>
      </c>
      <c r="G420" s="149" t="s">
        <v>3315</v>
      </c>
      <c r="H420" s="8" t="s">
        <v>125</v>
      </c>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row>
    <row r="421" ht="16.5" customHeight="1">
      <c r="A421" s="8" t="s">
        <v>5</v>
      </c>
      <c r="E421" s="8" t="s">
        <v>88</v>
      </c>
      <c r="F421" s="8" t="s">
        <v>307</v>
      </c>
      <c r="G421" s="149" t="s">
        <v>3316</v>
      </c>
      <c r="H421" s="8" t="s">
        <v>307</v>
      </c>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row>
    <row r="422" ht="16.5" customHeight="1">
      <c r="A422" s="8" t="s">
        <v>5</v>
      </c>
      <c r="E422" s="8" t="s">
        <v>88</v>
      </c>
      <c r="F422" s="8" t="s">
        <v>125</v>
      </c>
      <c r="G422" s="149" t="s">
        <v>3317</v>
      </c>
      <c r="H422" s="8" t="s">
        <v>1919</v>
      </c>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row>
    <row r="423" ht="16.5" customHeight="1">
      <c r="A423" s="8" t="s">
        <v>5</v>
      </c>
      <c r="E423" s="8" t="s">
        <v>88</v>
      </c>
      <c r="F423" s="8" t="s">
        <v>307</v>
      </c>
      <c r="G423" s="149" t="s">
        <v>3318</v>
      </c>
      <c r="H423" s="8" t="s">
        <v>3319</v>
      </c>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row>
    <row r="424" ht="16.5" customHeight="1">
      <c r="A424" s="8" t="s">
        <v>5</v>
      </c>
      <c r="E424" s="8" t="s">
        <v>88</v>
      </c>
      <c r="F424" s="8" t="s">
        <v>125</v>
      </c>
      <c r="G424" s="149" t="s">
        <v>3320</v>
      </c>
      <c r="H424" s="8" t="s">
        <v>1921</v>
      </c>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row>
    <row r="425" ht="16.5" customHeight="1">
      <c r="A425" s="8" t="s">
        <v>5</v>
      </c>
      <c r="E425" s="8" t="s">
        <v>88</v>
      </c>
      <c r="F425" s="8" t="s">
        <v>307</v>
      </c>
      <c r="G425" s="149" t="s">
        <v>3321</v>
      </c>
      <c r="H425" s="8" t="s">
        <v>3322</v>
      </c>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row>
    <row r="426" ht="16.5" customHeight="1">
      <c r="A426" s="8" t="s">
        <v>5</v>
      </c>
      <c r="E426" s="8" t="s">
        <v>88</v>
      </c>
      <c r="F426" s="8" t="s">
        <v>125</v>
      </c>
      <c r="G426" s="149" t="s">
        <v>3323</v>
      </c>
      <c r="H426" s="8" t="s">
        <v>3324</v>
      </c>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row>
    <row r="427" ht="16.5" customHeight="1">
      <c r="A427" s="8" t="s">
        <v>5</v>
      </c>
      <c r="E427" s="8" t="s">
        <v>88</v>
      </c>
      <c r="F427" s="8" t="s">
        <v>307</v>
      </c>
      <c r="G427" s="149" t="s">
        <v>3325</v>
      </c>
      <c r="H427" s="8" t="s">
        <v>3326</v>
      </c>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row>
    <row r="428" ht="16.5" customHeight="1">
      <c r="A428" s="8" t="s">
        <v>5</v>
      </c>
      <c r="E428" s="8" t="s">
        <v>178</v>
      </c>
      <c r="F428" s="8" t="s">
        <v>209</v>
      </c>
      <c r="G428" s="149" t="s">
        <v>3327</v>
      </c>
      <c r="H428" s="8" t="s">
        <v>209</v>
      </c>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row>
    <row r="429" ht="16.5" customHeight="1">
      <c r="A429" s="8" t="s">
        <v>5</v>
      </c>
      <c r="E429" s="8" t="s">
        <v>178</v>
      </c>
      <c r="F429" s="8" t="s">
        <v>210</v>
      </c>
      <c r="G429" s="149" t="s">
        <v>3328</v>
      </c>
      <c r="H429" s="8" t="s">
        <v>210</v>
      </c>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row>
    <row r="430" ht="16.5" customHeight="1">
      <c r="A430" s="8" t="s">
        <v>5</v>
      </c>
      <c r="E430" s="8" t="s">
        <v>86</v>
      </c>
      <c r="F430" s="8" t="s">
        <v>90</v>
      </c>
      <c r="G430" s="149" t="s">
        <v>3329</v>
      </c>
      <c r="H430" s="8" t="s">
        <v>90</v>
      </c>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row>
    <row r="431" ht="16.5" customHeight="1">
      <c r="A431" s="8" t="s">
        <v>5</v>
      </c>
      <c r="E431" s="8" t="s">
        <v>86</v>
      </c>
      <c r="F431" s="8" t="s">
        <v>339</v>
      </c>
      <c r="G431" s="149" t="s">
        <v>3330</v>
      </c>
      <c r="H431" s="8" t="s">
        <v>339</v>
      </c>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row>
    <row r="432" ht="16.5" customHeight="1">
      <c r="A432" s="8" t="s">
        <v>5</v>
      </c>
      <c r="E432" s="8" t="s">
        <v>178</v>
      </c>
      <c r="F432" s="8" t="s">
        <v>179</v>
      </c>
      <c r="G432" s="149" t="s">
        <v>3331</v>
      </c>
      <c r="H432" s="8" t="s">
        <v>179</v>
      </c>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row>
    <row r="433" ht="16.5" customHeight="1">
      <c r="A433" s="8" t="s">
        <v>5</v>
      </c>
      <c r="E433" s="8" t="s">
        <v>178</v>
      </c>
      <c r="F433" s="8" t="s">
        <v>180</v>
      </c>
      <c r="G433" s="149" t="s">
        <v>3332</v>
      </c>
      <c r="H433" s="8" t="s">
        <v>180</v>
      </c>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row>
    <row r="434" ht="16.5" customHeight="1">
      <c r="A434" s="8" t="s">
        <v>5</v>
      </c>
      <c r="E434" s="8" t="s">
        <v>178</v>
      </c>
      <c r="F434" s="8" t="s">
        <v>205</v>
      </c>
      <c r="G434" s="149" t="s">
        <v>3333</v>
      </c>
      <c r="H434" s="8" t="s">
        <v>205</v>
      </c>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row>
    <row r="435" ht="16.5" customHeight="1">
      <c r="A435" s="8" t="s">
        <v>5</v>
      </c>
      <c r="E435" s="8" t="s">
        <v>178</v>
      </c>
      <c r="F435" s="8" t="s">
        <v>207</v>
      </c>
      <c r="G435" s="149" t="s">
        <v>3334</v>
      </c>
      <c r="H435" s="8" t="s">
        <v>207</v>
      </c>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row>
    <row r="436" ht="16.5" customHeight="1">
      <c r="A436" s="8" t="s">
        <v>5</v>
      </c>
      <c r="E436" s="8" t="s">
        <v>178</v>
      </c>
      <c r="F436" s="8" t="s">
        <v>208</v>
      </c>
      <c r="G436" s="149" t="s">
        <v>3335</v>
      </c>
      <c r="H436" s="8" t="s">
        <v>208</v>
      </c>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row>
    <row r="437" ht="16.5" customHeight="1">
      <c r="A437" s="8" t="s">
        <v>5</v>
      </c>
      <c r="E437" s="408" t="s">
        <v>178</v>
      </c>
      <c r="F437" s="408" t="s">
        <v>182</v>
      </c>
      <c r="G437" s="419" t="s">
        <v>3336</v>
      </c>
      <c r="H437" s="408" t="s">
        <v>182</v>
      </c>
      <c r="I437" s="409"/>
      <c r="J437" s="409"/>
      <c r="K437" s="409"/>
      <c r="L437" s="409"/>
      <c r="M437" s="9"/>
      <c r="N437" s="9"/>
      <c r="O437" s="9"/>
      <c r="P437" s="9"/>
      <c r="Q437" s="9"/>
      <c r="R437" s="9"/>
      <c r="S437" s="9"/>
      <c r="T437" s="9"/>
      <c r="U437" s="9"/>
      <c r="V437" s="9"/>
      <c r="W437" s="9"/>
      <c r="X437" s="9"/>
      <c r="Y437" s="9"/>
      <c r="Z437" s="9"/>
      <c r="AA437" s="9"/>
      <c r="AB437" s="9"/>
      <c r="AC437" s="9"/>
      <c r="AD437" s="9"/>
      <c r="AE437" s="9"/>
      <c r="AF437" s="9"/>
      <c r="AG437" s="9"/>
      <c r="AH437" s="9"/>
      <c r="AI437" s="9"/>
    </row>
    <row r="438" ht="16.5" customHeight="1">
      <c r="A438" s="8" t="s">
        <v>5</v>
      </c>
      <c r="B438" s="8" t="s">
        <v>3337</v>
      </c>
      <c r="C438" s="87" t="s">
        <v>3289</v>
      </c>
      <c r="D438" s="8" t="s">
        <v>42</v>
      </c>
      <c r="E438" s="408" t="s">
        <v>89</v>
      </c>
      <c r="F438" s="408" t="s">
        <v>291</v>
      </c>
      <c r="G438" s="409"/>
      <c r="H438" s="409"/>
      <c r="I438" s="409"/>
      <c r="J438" s="409"/>
      <c r="K438" s="409"/>
      <c r="L438" s="409"/>
      <c r="M438" s="9"/>
      <c r="N438" s="9"/>
      <c r="O438" s="9"/>
      <c r="P438" s="9"/>
      <c r="Q438" s="9"/>
      <c r="R438" s="9"/>
      <c r="S438" s="9"/>
      <c r="T438" s="9"/>
      <c r="U438" s="9"/>
      <c r="V438" s="9"/>
      <c r="W438" s="9"/>
      <c r="X438" s="9"/>
      <c r="Y438" s="9"/>
      <c r="Z438" s="9"/>
      <c r="AA438" s="9"/>
      <c r="AB438" s="9"/>
      <c r="AC438" s="9"/>
      <c r="AD438" s="9"/>
      <c r="AE438" s="9"/>
      <c r="AF438" s="9"/>
      <c r="AG438" s="9"/>
      <c r="AH438" s="9"/>
      <c r="AI438" s="9"/>
    </row>
    <row r="439" ht="16.5" customHeight="1">
      <c r="A439" s="8" t="s">
        <v>5</v>
      </c>
      <c r="B439" s="8" t="s">
        <v>3338</v>
      </c>
      <c r="C439" s="85" t="s">
        <v>3339</v>
      </c>
      <c r="D439" s="8" t="s">
        <v>42</v>
      </c>
      <c r="E439" s="8" t="s">
        <v>21</v>
      </c>
      <c r="F439" s="8" t="s">
        <v>51</v>
      </c>
      <c r="G439" s="149" t="s">
        <v>3340</v>
      </c>
      <c r="H439" s="8" t="s">
        <v>51</v>
      </c>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row>
    <row r="440" ht="16.5" customHeight="1">
      <c r="A440" s="8" t="s">
        <v>5</v>
      </c>
      <c r="E440" s="8" t="s">
        <v>88</v>
      </c>
      <c r="F440" s="8" t="s">
        <v>95</v>
      </c>
      <c r="G440" s="149" t="s">
        <v>3341</v>
      </c>
      <c r="H440" s="8" t="s">
        <v>95</v>
      </c>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row>
    <row r="441" ht="16.5" customHeight="1">
      <c r="A441" s="8" t="s">
        <v>5</v>
      </c>
      <c r="E441" s="8" t="s">
        <v>172</v>
      </c>
      <c r="F441" s="8" t="s">
        <v>203</v>
      </c>
      <c r="G441" s="149" t="s">
        <v>3342</v>
      </c>
      <c r="H441" s="8" t="s">
        <v>203</v>
      </c>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row>
    <row r="442" ht="16.5" customHeight="1">
      <c r="A442" s="8" t="s">
        <v>5</v>
      </c>
      <c r="E442" s="8" t="s">
        <v>172</v>
      </c>
      <c r="F442" s="8" t="s">
        <v>945</v>
      </c>
      <c r="G442" s="149" t="s">
        <v>3343</v>
      </c>
      <c r="H442" s="8" t="s">
        <v>945</v>
      </c>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row>
    <row r="443" ht="16.5" customHeight="1">
      <c r="A443" s="8" t="s">
        <v>5</v>
      </c>
      <c r="E443" s="8" t="s">
        <v>172</v>
      </c>
      <c r="F443" s="8" t="s">
        <v>173</v>
      </c>
      <c r="G443" s="149" t="s">
        <v>3344</v>
      </c>
      <c r="H443" s="8" t="s">
        <v>173</v>
      </c>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row>
    <row r="444" ht="16.5" customHeight="1">
      <c r="A444" s="8" t="s">
        <v>5</v>
      </c>
      <c r="E444" s="8" t="s">
        <v>172</v>
      </c>
      <c r="F444" s="8" t="s">
        <v>174</v>
      </c>
      <c r="G444" s="149" t="s">
        <v>3345</v>
      </c>
      <c r="H444" s="8" t="s">
        <v>174</v>
      </c>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row>
    <row r="445" ht="16.5" customHeight="1">
      <c r="A445" s="8" t="s">
        <v>5</v>
      </c>
      <c r="E445" s="8" t="s">
        <v>178</v>
      </c>
      <c r="F445" s="8" t="s">
        <v>209</v>
      </c>
      <c r="G445" s="149" t="s">
        <v>3346</v>
      </c>
      <c r="H445" s="8" t="s">
        <v>209</v>
      </c>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row>
    <row r="446" ht="16.5" customHeight="1">
      <c r="A446" s="8" t="s">
        <v>5</v>
      </c>
      <c r="E446" s="8" t="s">
        <v>178</v>
      </c>
      <c r="F446" s="8" t="s">
        <v>210</v>
      </c>
      <c r="G446" s="149" t="s">
        <v>3347</v>
      </c>
      <c r="H446" s="8" t="s">
        <v>210</v>
      </c>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row>
    <row r="447" ht="16.5" customHeight="1">
      <c r="A447" s="8" t="s">
        <v>5</v>
      </c>
      <c r="E447" s="8" t="s">
        <v>178</v>
      </c>
      <c r="F447" s="8" t="s">
        <v>179</v>
      </c>
      <c r="G447" s="149" t="s">
        <v>3348</v>
      </c>
      <c r="H447" s="8" t="s">
        <v>179</v>
      </c>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row>
    <row r="448" ht="16.5" customHeight="1">
      <c r="A448" s="8" t="s">
        <v>5</v>
      </c>
      <c r="E448" s="8" t="s">
        <v>178</v>
      </c>
      <c r="F448" s="8" t="s">
        <v>180</v>
      </c>
      <c r="G448" s="149" t="s">
        <v>3349</v>
      </c>
      <c r="H448" s="8" t="s">
        <v>180</v>
      </c>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row>
    <row r="449" ht="16.5" customHeight="1">
      <c r="A449" s="8" t="s">
        <v>5</v>
      </c>
      <c r="E449" s="8" t="s">
        <v>178</v>
      </c>
      <c r="F449" s="8" t="s">
        <v>773</v>
      </c>
      <c r="G449" s="149" t="s">
        <v>3350</v>
      </c>
      <c r="H449" s="8" t="s">
        <v>773</v>
      </c>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row>
    <row r="450" ht="16.5" customHeight="1">
      <c r="A450" s="8" t="s">
        <v>5</v>
      </c>
      <c r="E450" s="8" t="s">
        <v>178</v>
      </c>
      <c r="F450" s="8" t="s">
        <v>775</v>
      </c>
      <c r="G450" s="149" t="s">
        <v>3351</v>
      </c>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row>
    <row r="451" ht="16.5" customHeight="1">
      <c r="A451" s="8" t="s">
        <v>5</v>
      </c>
      <c r="E451" s="8" t="s">
        <v>178</v>
      </c>
      <c r="F451" s="8" t="s">
        <v>782</v>
      </c>
      <c r="G451" s="149" t="s">
        <v>3352</v>
      </c>
      <c r="H451" s="8" t="s">
        <v>782</v>
      </c>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row>
    <row r="452" ht="16.5" customHeight="1">
      <c r="A452" s="8" t="s">
        <v>5</v>
      </c>
      <c r="E452" s="8" t="s">
        <v>178</v>
      </c>
      <c r="F452" s="8" t="s">
        <v>179</v>
      </c>
      <c r="G452" s="149" t="s">
        <v>3348</v>
      </c>
      <c r="H452" s="8" t="s">
        <v>179</v>
      </c>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row>
    <row r="453" ht="16.5" customHeight="1">
      <c r="A453" s="8" t="s">
        <v>5</v>
      </c>
      <c r="E453" s="8" t="s">
        <v>178</v>
      </c>
      <c r="F453" s="8" t="s">
        <v>180</v>
      </c>
      <c r="G453" s="149" t="s">
        <v>3353</v>
      </c>
      <c r="H453" s="8" t="s">
        <v>2009</v>
      </c>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row>
    <row r="454" ht="16.5" customHeight="1">
      <c r="A454" s="8" t="s">
        <v>5</v>
      </c>
      <c r="E454" s="8" t="s">
        <v>178</v>
      </c>
      <c r="F454" s="8" t="s">
        <v>205</v>
      </c>
      <c r="G454" s="149" t="s">
        <v>3354</v>
      </c>
      <c r="H454" s="8" t="s">
        <v>205</v>
      </c>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row>
    <row r="455" ht="16.5" customHeight="1">
      <c r="A455" s="8" t="s">
        <v>5</v>
      </c>
      <c r="E455" s="8" t="s">
        <v>178</v>
      </c>
      <c r="F455" s="8" t="s">
        <v>206</v>
      </c>
      <c r="G455" s="149" t="s">
        <v>3355</v>
      </c>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row>
    <row r="456" ht="16.5" customHeight="1">
      <c r="A456" s="8" t="s">
        <v>5</v>
      </c>
      <c r="E456" s="8" t="s">
        <v>178</v>
      </c>
      <c r="F456" s="8" t="s">
        <v>639</v>
      </c>
      <c r="G456" s="149" t="s">
        <v>3356</v>
      </c>
      <c r="H456" s="8" t="s">
        <v>639</v>
      </c>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row>
    <row r="457" ht="16.5" customHeight="1">
      <c r="A457" s="8" t="s">
        <v>5</v>
      </c>
      <c r="E457" s="8" t="s">
        <v>178</v>
      </c>
      <c r="F457" s="8" t="s">
        <v>207</v>
      </c>
      <c r="G457" s="149" t="s">
        <v>3357</v>
      </c>
      <c r="H457" s="8" t="s">
        <v>207</v>
      </c>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row>
    <row r="458" ht="16.5" customHeight="1">
      <c r="A458" s="8" t="s">
        <v>5</v>
      </c>
      <c r="E458" s="8" t="s">
        <v>178</v>
      </c>
      <c r="F458" s="8" t="s">
        <v>209</v>
      </c>
      <c r="G458" s="149" t="s">
        <v>3346</v>
      </c>
      <c r="H458" s="8" t="s">
        <v>209</v>
      </c>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row>
    <row r="459" ht="16.5" customHeight="1">
      <c r="A459" s="8" t="s">
        <v>5</v>
      </c>
      <c r="E459" s="8" t="s">
        <v>178</v>
      </c>
      <c r="F459" s="8" t="s">
        <v>210</v>
      </c>
      <c r="G459" s="149" t="s">
        <v>3358</v>
      </c>
      <c r="H459" s="8" t="s">
        <v>1987</v>
      </c>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row>
    <row r="460" ht="16.5" customHeight="1">
      <c r="A460" s="8" t="s">
        <v>5</v>
      </c>
      <c r="E460" s="8" t="s">
        <v>88</v>
      </c>
      <c r="F460" s="8" t="s">
        <v>125</v>
      </c>
      <c r="G460" s="149" t="s">
        <v>3359</v>
      </c>
      <c r="H460" s="8" t="s">
        <v>125</v>
      </c>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row>
    <row r="461" ht="16.5" customHeight="1">
      <c r="A461" s="8" t="s">
        <v>5</v>
      </c>
      <c r="E461" s="8" t="s">
        <v>88</v>
      </c>
      <c r="F461" s="8" t="s">
        <v>675</v>
      </c>
      <c r="G461" s="149" t="s">
        <v>3360</v>
      </c>
      <c r="H461" s="8" t="s">
        <v>675</v>
      </c>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row>
    <row r="462" ht="16.5" customHeight="1">
      <c r="A462" s="8" t="s">
        <v>5</v>
      </c>
      <c r="E462" s="8" t="s">
        <v>88</v>
      </c>
      <c r="F462" s="8" t="s">
        <v>125</v>
      </c>
      <c r="G462" s="149" t="s">
        <v>3361</v>
      </c>
      <c r="H462" s="8" t="s">
        <v>1919</v>
      </c>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row>
    <row r="463" ht="16.5" customHeight="1">
      <c r="A463" s="8" t="s">
        <v>5</v>
      </c>
      <c r="E463" s="8" t="s">
        <v>88</v>
      </c>
      <c r="F463" s="8" t="s">
        <v>675</v>
      </c>
      <c r="G463" s="149" t="s">
        <v>3362</v>
      </c>
      <c r="H463" s="8" t="s">
        <v>1920</v>
      </c>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row>
    <row r="464" ht="16.5" customHeight="1">
      <c r="A464" s="8" t="s">
        <v>5</v>
      </c>
      <c r="E464" s="8" t="s">
        <v>178</v>
      </c>
      <c r="F464" s="8" t="s">
        <v>179</v>
      </c>
      <c r="G464" s="149" t="s">
        <v>3348</v>
      </c>
      <c r="H464" s="8" t="s">
        <v>179</v>
      </c>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row>
    <row r="465" ht="16.5" customHeight="1">
      <c r="A465" s="8" t="s">
        <v>5</v>
      </c>
      <c r="E465" s="8" t="s">
        <v>178</v>
      </c>
      <c r="F465" s="8" t="s">
        <v>180</v>
      </c>
      <c r="G465" s="149" t="s">
        <v>3363</v>
      </c>
      <c r="H465" s="8" t="s">
        <v>2004</v>
      </c>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row>
    <row r="466" ht="16.5" customHeight="1">
      <c r="A466" s="8" t="s">
        <v>5</v>
      </c>
      <c r="E466" s="8" t="s">
        <v>178</v>
      </c>
      <c r="F466" s="8" t="s">
        <v>205</v>
      </c>
      <c r="G466" s="149" t="s">
        <v>3354</v>
      </c>
      <c r="H466" s="8" t="s">
        <v>205</v>
      </c>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row>
    <row r="467" ht="16.5" customHeight="1">
      <c r="A467" s="8" t="s">
        <v>5</v>
      </c>
      <c r="E467" s="8" t="s">
        <v>178</v>
      </c>
      <c r="F467" s="8" t="s">
        <v>206</v>
      </c>
      <c r="G467" s="149" t="s">
        <v>3364</v>
      </c>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row>
    <row r="468" ht="16.5" customHeight="1">
      <c r="A468" s="8" t="s">
        <v>5</v>
      </c>
      <c r="E468" s="8" t="s">
        <v>178</v>
      </c>
      <c r="F468" s="8" t="s">
        <v>639</v>
      </c>
      <c r="G468" s="149" t="s">
        <v>3365</v>
      </c>
      <c r="H468" s="8" t="s">
        <v>2988</v>
      </c>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row>
    <row r="469" ht="16.5" customHeight="1">
      <c r="A469" s="8" t="s">
        <v>5</v>
      </c>
      <c r="E469" s="8" t="s">
        <v>178</v>
      </c>
      <c r="F469" s="8" t="s">
        <v>207</v>
      </c>
      <c r="G469" s="149" t="s">
        <v>3366</v>
      </c>
      <c r="H469" s="8" t="s">
        <v>1998</v>
      </c>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row>
    <row r="470" ht="16.5" customHeight="1">
      <c r="A470" s="8" t="s">
        <v>5</v>
      </c>
      <c r="E470" s="8" t="s">
        <v>178</v>
      </c>
      <c r="F470" s="8" t="s">
        <v>208</v>
      </c>
      <c r="G470" s="149" t="s">
        <v>3367</v>
      </c>
      <c r="H470" s="8" t="s">
        <v>208</v>
      </c>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row>
    <row r="471" ht="16.5" customHeight="1">
      <c r="A471" s="8" t="s">
        <v>5</v>
      </c>
      <c r="E471" s="8" t="s">
        <v>178</v>
      </c>
      <c r="F471" s="8" t="s">
        <v>182</v>
      </c>
      <c r="G471" s="149" t="s">
        <v>3368</v>
      </c>
      <c r="H471" s="8" t="s">
        <v>182</v>
      </c>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row>
    <row r="472" ht="16.5" customHeight="1">
      <c r="A472" s="8" t="s">
        <v>5</v>
      </c>
      <c r="E472" s="8" t="s">
        <v>178</v>
      </c>
      <c r="F472" s="8" t="s">
        <v>207</v>
      </c>
      <c r="G472" s="149" t="s">
        <v>3357</v>
      </c>
      <c r="H472" s="8" t="s">
        <v>207</v>
      </c>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row>
    <row r="473" ht="16.5" customHeight="1">
      <c r="A473" s="8" t="s">
        <v>5</v>
      </c>
      <c r="E473" s="8" t="s">
        <v>178</v>
      </c>
      <c r="F473" s="8" t="s">
        <v>208</v>
      </c>
      <c r="G473" s="149" t="s">
        <v>3369</v>
      </c>
      <c r="H473" s="8" t="s">
        <v>2002</v>
      </c>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row>
    <row r="474" ht="16.5" customHeight="1">
      <c r="A474" s="8" t="s">
        <v>5</v>
      </c>
      <c r="E474" s="408" t="s">
        <v>178</v>
      </c>
      <c r="F474" s="408" t="s">
        <v>182</v>
      </c>
      <c r="G474" s="419" t="s">
        <v>3370</v>
      </c>
      <c r="H474" s="408" t="s">
        <v>2003</v>
      </c>
      <c r="I474" s="409"/>
      <c r="J474" s="409"/>
      <c r="K474" s="409"/>
      <c r="L474" s="409"/>
      <c r="M474" s="9"/>
      <c r="N474" s="9"/>
      <c r="O474" s="9"/>
      <c r="P474" s="9"/>
      <c r="Q474" s="9"/>
      <c r="R474" s="9"/>
      <c r="S474" s="9"/>
      <c r="T474" s="9"/>
      <c r="U474" s="9"/>
      <c r="V474" s="9"/>
      <c r="W474" s="9"/>
      <c r="X474" s="9"/>
      <c r="Y474" s="9"/>
      <c r="Z474" s="9"/>
      <c r="AA474" s="9"/>
      <c r="AB474" s="9"/>
      <c r="AC474" s="9"/>
      <c r="AD474" s="9"/>
      <c r="AE474" s="9"/>
      <c r="AF474" s="9"/>
      <c r="AG474" s="9"/>
      <c r="AH474" s="9"/>
      <c r="AI474" s="9"/>
    </row>
    <row r="475" ht="16.5" customHeight="1">
      <c r="A475" s="8" t="s">
        <v>5</v>
      </c>
      <c r="B475" s="8" t="s">
        <v>3371</v>
      </c>
      <c r="C475" s="8" t="s">
        <v>2688</v>
      </c>
      <c r="D475" s="8" t="s">
        <v>42</v>
      </c>
      <c r="E475" s="408" t="s">
        <v>89</v>
      </c>
      <c r="F475" s="408" t="s">
        <v>291</v>
      </c>
      <c r="G475" s="409"/>
      <c r="H475" s="404"/>
      <c r="I475" s="413"/>
      <c r="J475" s="413"/>
      <c r="K475" s="413"/>
      <c r="L475" s="409"/>
      <c r="M475" s="9"/>
      <c r="N475" s="9"/>
      <c r="O475" s="9"/>
      <c r="P475" s="9"/>
      <c r="Q475" s="9"/>
      <c r="R475" s="9"/>
      <c r="S475" s="9"/>
      <c r="T475" s="9"/>
      <c r="U475" s="9"/>
      <c r="V475" s="9"/>
      <c r="W475" s="9"/>
      <c r="X475" s="9"/>
      <c r="Y475" s="9"/>
      <c r="Z475" s="9"/>
      <c r="AA475" s="9"/>
      <c r="AB475" s="9"/>
      <c r="AC475" s="9"/>
      <c r="AD475" s="9"/>
      <c r="AE475" s="9"/>
      <c r="AF475" s="9"/>
      <c r="AG475" s="9"/>
      <c r="AH475" s="9"/>
      <c r="AI475" s="9"/>
    </row>
    <row r="476" ht="16.5" customHeight="1">
      <c r="A476" s="9"/>
      <c r="B476" s="8"/>
      <c r="C476" s="8"/>
      <c r="D476" s="8"/>
      <c r="E476" s="8"/>
      <c r="F476" s="8"/>
      <c r="G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row>
    <row r="477" ht="16.5" customHeight="1">
      <c r="A477" s="32" t="s">
        <v>5</v>
      </c>
      <c r="B477" s="32" t="s">
        <v>3372</v>
      </c>
      <c r="C477" s="66" t="s">
        <v>3373</v>
      </c>
      <c r="D477" s="32" t="s">
        <v>3374</v>
      </c>
      <c r="E477" s="32" t="s">
        <v>21</v>
      </c>
      <c r="F477" s="32" t="s">
        <v>51</v>
      </c>
      <c r="G477" s="193" t="s">
        <v>3375</v>
      </c>
      <c r="H477" s="36"/>
      <c r="L477" s="11"/>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row>
    <row r="478" ht="16.5" customHeight="1">
      <c r="A478" s="32" t="s">
        <v>5</v>
      </c>
      <c r="E478" s="32" t="s">
        <v>172</v>
      </c>
      <c r="F478" s="32" t="s">
        <v>203</v>
      </c>
      <c r="G478" s="171" t="s">
        <v>3376</v>
      </c>
      <c r="H478" s="32" t="s">
        <v>203</v>
      </c>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row>
    <row r="479" ht="16.5" customHeight="1">
      <c r="A479" s="32" t="s">
        <v>5</v>
      </c>
      <c r="E479" s="8" t="s">
        <v>172</v>
      </c>
      <c r="F479" s="8" t="s">
        <v>945</v>
      </c>
      <c r="G479" s="194" t="s">
        <v>3377</v>
      </c>
      <c r="H479" s="8" t="s">
        <v>945</v>
      </c>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row>
    <row r="480" ht="16.5" customHeight="1">
      <c r="A480" s="32" t="s">
        <v>5</v>
      </c>
      <c r="E480" s="8" t="s">
        <v>86</v>
      </c>
      <c r="F480" s="8" t="s">
        <v>90</v>
      </c>
      <c r="G480" s="194" t="s">
        <v>3378</v>
      </c>
      <c r="H480" s="8" t="s">
        <v>90</v>
      </c>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row>
    <row r="481" ht="16.5" customHeight="1">
      <c r="A481" s="32" t="s">
        <v>5</v>
      </c>
      <c r="E481" s="8" t="s">
        <v>86</v>
      </c>
      <c r="F481" s="8" t="s">
        <v>92</v>
      </c>
      <c r="G481" s="194" t="s">
        <v>3379</v>
      </c>
      <c r="H481" s="8" t="s">
        <v>92</v>
      </c>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row>
    <row r="482" ht="16.5" customHeight="1">
      <c r="A482" s="32" t="s">
        <v>5</v>
      </c>
      <c r="E482" s="8" t="s">
        <v>86</v>
      </c>
      <c r="F482" s="8" t="s">
        <v>93</v>
      </c>
      <c r="G482" s="194" t="s">
        <v>3380</v>
      </c>
      <c r="H482" s="8" t="s">
        <v>93</v>
      </c>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row>
    <row r="483" ht="16.5" customHeight="1">
      <c r="A483" s="32" t="s">
        <v>5</v>
      </c>
      <c r="E483" s="8" t="s">
        <v>86</v>
      </c>
      <c r="F483" s="8" t="s">
        <v>90</v>
      </c>
      <c r="G483" s="194" t="s">
        <v>3378</v>
      </c>
      <c r="H483" s="8" t="s">
        <v>90</v>
      </c>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row>
    <row r="484" ht="16.5" customHeight="1">
      <c r="A484" s="32" t="s">
        <v>5</v>
      </c>
      <c r="E484" s="8" t="s">
        <v>86</v>
      </c>
      <c r="F484" s="8" t="s">
        <v>92</v>
      </c>
      <c r="G484" s="194" t="s">
        <v>3381</v>
      </c>
      <c r="H484" s="8" t="s">
        <v>3382</v>
      </c>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row>
    <row r="485" ht="16.5" customHeight="1">
      <c r="A485" s="32" t="s">
        <v>5</v>
      </c>
      <c r="E485" s="8" t="s">
        <v>86</v>
      </c>
      <c r="F485" s="8" t="s">
        <v>358</v>
      </c>
      <c r="G485" s="194" t="s">
        <v>3383</v>
      </c>
      <c r="H485" s="8" t="s">
        <v>358</v>
      </c>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row>
    <row r="486" ht="16.5" customHeight="1">
      <c r="A486" s="32" t="s">
        <v>5</v>
      </c>
      <c r="E486" s="8" t="s">
        <v>86</v>
      </c>
      <c r="F486" s="8" t="s">
        <v>90</v>
      </c>
      <c r="G486" s="194" t="s">
        <v>3378</v>
      </c>
      <c r="H486" s="8" t="s">
        <v>90</v>
      </c>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row>
    <row r="487" ht="16.5" customHeight="1">
      <c r="A487" s="32" t="s">
        <v>5</v>
      </c>
      <c r="E487" s="8" t="s">
        <v>86</v>
      </c>
      <c r="F487" s="8" t="s">
        <v>92</v>
      </c>
      <c r="G487" s="194" t="s">
        <v>3384</v>
      </c>
      <c r="H487" s="8" t="s">
        <v>3385</v>
      </c>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row>
    <row r="488" ht="16.5" customHeight="1">
      <c r="A488" s="32" t="s">
        <v>5</v>
      </c>
      <c r="E488" s="8" t="s">
        <v>86</v>
      </c>
      <c r="F488" s="8" t="s">
        <v>757</v>
      </c>
      <c r="G488" s="194" t="s">
        <v>3386</v>
      </c>
      <c r="H488" s="8" t="s">
        <v>757</v>
      </c>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row>
    <row r="489" ht="16.5" customHeight="1">
      <c r="A489" s="32" t="s">
        <v>5</v>
      </c>
      <c r="E489" s="8" t="s">
        <v>88</v>
      </c>
      <c r="F489" s="8" t="s">
        <v>95</v>
      </c>
      <c r="G489" s="194" t="s">
        <v>3387</v>
      </c>
      <c r="H489" s="8" t="s">
        <v>95</v>
      </c>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row>
    <row r="490" ht="16.5" customHeight="1">
      <c r="A490" s="32" t="s">
        <v>5</v>
      </c>
      <c r="E490" s="8" t="s">
        <v>88</v>
      </c>
      <c r="F490" s="8" t="s">
        <v>96</v>
      </c>
      <c r="G490" s="194" t="s">
        <v>3388</v>
      </c>
      <c r="H490" s="8" t="s">
        <v>96</v>
      </c>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row>
    <row r="491" ht="16.5" customHeight="1">
      <c r="A491" s="32" t="s">
        <v>5</v>
      </c>
      <c r="E491" s="8" t="s">
        <v>178</v>
      </c>
      <c r="F491" s="8" t="s">
        <v>209</v>
      </c>
      <c r="G491" s="194" t="s">
        <v>3389</v>
      </c>
      <c r="H491" s="8" t="s">
        <v>209</v>
      </c>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row>
    <row r="492" ht="16.5" customHeight="1">
      <c r="A492" s="32" t="s">
        <v>5</v>
      </c>
      <c r="E492" s="8" t="s">
        <v>178</v>
      </c>
      <c r="F492" s="8" t="s">
        <v>210</v>
      </c>
      <c r="G492" s="194" t="s">
        <v>3390</v>
      </c>
      <c r="H492" s="8" t="s">
        <v>210</v>
      </c>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row>
    <row r="493" ht="16.5" customHeight="1">
      <c r="A493" s="32" t="s">
        <v>5</v>
      </c>
      <c r="E493" s="8" t="s">
        <v>178</v>
      </c>
      <c r="F493" s="8" t="s">
        <v>179</v>
      </c>
      <c r="G493" s="194" t="s">
        <v>3391</v>
      </c>
      <c r="H493" s="8" t="s">
        <v>179</v>
      </c>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row>
    <row r="494" ht="16.5" customHeight="1">
      <c r="A494" s="32" t="s">
        <v>5</v>
      </c>
      <c r="E494" s="8" t="s">
        <v>178</v>
      </c>
      <c r="F494" s="8" t="s">
        <v>180</v>
      </c>
      <c r="G494" s="194" t="s">
        <v>3392</v>
      </c>
      <c r="H494" s="8" t="s">
        <v>180</v>
      </c>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row>
    <row r="495" ht="16.5" customHeight="1">
      <c r="A495" s="32" t="s">
        <v>5</v>
      </c>
      <c r="E495" s="8" t="s">
        <v>178</v>
      </c>
      <c r="F495" s="8" t="s">
        <v>205</v>
      </c>
      <c r="G495" s="194" t="s">
        <v>3393</v>
      </c>
      <c r="H495" s="8" t="s">
        <v>205</v>
      </c>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row>
    <row r="496" ht="16.5" customHeight="1">
      <c r="A496" s="32" t="s">
        <v>5</v>
      </c>
      <c r="E496" s="32" t="s">
        <v>178</v>
      </c>
      <c r="F496" s="32" t="s">
        <v>206</v>
      </c>
      <c r="G496" s="387"/>
      <c r="H496" s="36"/>
      <c r="L496" s="11"/>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row>
    <row r="497" ht="16.5" customHeight="1">
      <c r="A497" s="32" t="s">
        <v>5</v>
      </c>
      <c r="E497" s="32" t="s">
        <v>178</v>
      </c>
      <c r="F497" s="32" t="s">
        <v>639</v>
      </c>
      <c r="G497" s="171" t="s">
        <v>3394</v>
      </c>
      <c r="H497" s="32" t="s">
        <v>639</v>
      </c>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row>
    <row r="498" ht="16.5" customHeight="1">
      <c r="A498" s="32" t="s">
        <v>5</v>
      </c>
      <c r="E498" s="32" t="s">
        <v>178</v>
      </c>
      <c r="F498" s="32" t="s">
        <v>207</v>
      </c>
      <c r="G498" s="171" t="s">
        <v>3395</v>
      </c>
      <c r="H498" s="32" t="s">
        <v>207</v>
      </c>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row>
    <row r="499" ht="16.5" customHeight="1">
      <c r="A499" s="32" t="s">
        <v>5</v>
      </c>
      <c r="E499" s="32" t="s">
        <v>178</v>
      </c>
      <c r="F499" s="8" t="s">
        <v>179</v>
      </c>
      <c r="G499" s="171" t="s">
        <v>3391</v>
      </c>
      <c r="H499" s="32" t="s">
        <v>179</v>
      </c>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row>
    <row r="500" ht="16.5" customHeight="1">
      <c r="A500" s="32" t="s">
        <v>5</v>
      </c>
      <c r="E500" s="32" t="s">
        <v>178</v>
      </c>
      <c r="F500" s="32" t="s">
        <v>180</v>
      </c>
      <c r="G500" s="171" t="s">
        <v>3396</v>
      </c>
      <c r="H500" s="32" t="s">
        <v>2009</v>
      </c>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row>
    <row r="501" ht="16.5" customHeight="1">
      <c r="A501" s="32" t="s">
        <v>5</v>
      </c>
      <c r="E501" s="32" t="s">
        <v>178</v>
      </c>
      <c r="F501" s="32" t="s">
        <v>208</v>
      </c>
      <c r="G501" s="171" t="s">
        <v>3397</v>
      </c>
      <c r="H501" s="32" t="s">
        <v>208</v>
      </c>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row>
    <row r="502" ht="16.5" customHeight="1">
      <c r="A502" s="32" t="s">
        <v>5</v>
      </c>
      <c r="E502" s="32" t="s">
        <v>178</v>
      </c>
      <c r="F502" s="32" t="s">
        <v>182</v>
      </c>
      <c r="G502" s="171" t="s">
        <v>3398</v>
      </c>
      <c r="H502" s="32" t="s">
        <v>182</v>
      </c>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row>
    <row r="503" ht="16.5" customHeight="1">
      <c r="A503" s="15"/>
      <c r="B503" s="15"/>
      <c r="C503" s="21"/>
      <c r="D503" s="15"/>
      <c r="E503" s="32"/>
      <c r="F503" s="32"/>
      <c r="G503" s="387"/>
      <c r="H503" s="32"/>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row>
    <row r="504" ht="16.5" customHeight="1">
      <c r="A504" s="32" t="s">
        <v>5</v>
      </c>
      <c r="B504" s="32" t="s">
        <v>3399</v>
      </c>
      <c r="C504" s="8" t="s">
        <v>2688</v>
      </c>
      <c r="D504" s="32" t="s">
        <v>42</v>
      </c>
      <c r="E504" s="408" t="s">
        <v>89</v>
      </c>
      <c r="F504" s="408" t="s">
        <v>291</v>
      </c>
      <c r="G504" s="409"/>
      <c r="H504" s="404"/>
      <c r="I504" s="413"/>
      <c r="J504" s="413"/>
      <c r="K504" s="413"/>
      <c r="L504" s="394"/>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row>
    <row r="505" ht="16.5" customHeight="1">
      <c r="A505" s="32" t="s">
        <v>5</v>
      </c>
      <c r="B505" s="32" t="s">
        <v>3400</v>
      </c>
      <c r="C505" s="66" t="s">
        <v>3401</v>
      </c>
      <c r="D505" s="32" t="s">
        <v>42</v>
      </c>
      <c r="E505" s="8" t="s">
        <v>21</v>
      </c>
      <c r="F505" s="8" t="s">
        <v>51</v>
      </c>
      <c r="G505" s="194" t="s">
        <v>3402</v>
      </c>
      <c r="H505" s="8" t="s">
        <v>51</v>
      </c>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row>
    <row r="506" ht="16.5" customHeight="1">
      <c r="A506" s="32" t="s">
        <v>5</v>
      </c>
      <c r="E506" s="8" t="s">
        <v>172</v>
      </c>
      <c r="F506" s="8" t="s">
        <v>203</v>
      </c>
      <c r="G506" s="194" t="s">
        <v>3403</v>
      </c>
      <c r="H506" s="8" t="s">
        <v>203</v>
      </c>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row>
    <row r="507" ht="16.5" customHeight="1">
      <c r="A507" s="32" t="s">
        <v>5</v>
      </c>
      <c r="E507" s="32" t="s">
        <v>172</v>
      </c>
      <c r="F507" s="32" t="s">
        <v>945</v>
      </c>
      <c r="G507" s="171" t="s">
        <v>3404</v>
      </c>
      <c r="H507" s="32" t="s">
        <v>945</v>
      </c>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row>
    <row r="508" ht="16.5" customHeight="1">
      <c r="A508" s="32" t="s">
        <v>5</v>
      </c>
      <c r="E508" s="32" t="s">
        <v>86</v>
      </c>
      <c r="F508" s="32" t="s">
        <v>90</v>
      </c>
      <c r="G508" s="171" t="s">
        <v>3405</v>
      </c>
      <c r="H508" s="35" t="s">
        <v>90</v>
      </c>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row>
    <row r="509" ht="16.5" customHeight="1">
      <c r="A509" s="32" t="s">
        <v>5</v>
      </c>
      <c r="E509" s="32" t="s">
        <v>86</v>
      </c>
      <c r="F509" s="32" t="s">
        <v>339</v>
      </c>
      <c r="G509" s="171" t="s">
        <v>3406</v>
      </c>
      <c r="H509" s="32" t="s">
        <v>339</v>
      </c>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row>
    <row r="510" ht="16.5" customHeight="1">
      <c r="A510" s="32" t="s">
        <v>5</v>
      </c>
      <c r="E510" s="32" t="s">
        <v>88</v>
      </c>
      <c r="F510" s="32" t="s">
        <v>95</v>
      </c>
      <c r="G510" s="171" t="s">
        <v>3407</v>
      </c>
      <c r="H510" s="32" t="s">
        <v>95</v>
      </c>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row>
    <row r="511" ht="16.5" customHeight="1">
      <c r="A511" s="32" t="s">
        <v>5</v>
      </c>
      <c r="E511" s="32" t="s">
        <v>88</v>
      </c>
      <c r="F511" s="32" t="s">
        <v>96</v>
      </c>
      <c r="G511" s="171" t="s">
        <v>3408</v>
      </c>
      <c r="H511" s="32" t="s">
        <v>96</v>
      </c>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row>
    <row r="512" ht="16.5" customHeight="1">
      <c r="A512" s="32" t="s">
        <v>5</v>
      </c>
      <c r="E512" s="32" t="s">
        <v>178</v>
      </c>
      <c r="F512" s="32" t="s">
        <v>209</v>
      </c>
      <c r="G512" s="171" t="s">
        <v>3409</v>
      </c>
      <c r="H512" s="32" t="s">
        <v>209</v>
      </c>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row>
    <row r="513" ht="16.5" customHeight="1">
      <c r="A513" s="32" t="s">
        <v>5</v>
      </c>
      <c r="E513" s="32" t="s">
        <v>178</v>
      </c>
      <c r="F513" s="32" t="s">
        <v>210</v>
      </c>
      <c r="G513" s="171" t="s">
        <v>3410</v>
      </c>
      <c r="H513" s="32" t="s">
        <v>210</v>
      </c>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row>
    <row r="514" ht="16.5" customHeight="1">
      <c r="A514" s="32" t="s">
        <v>5</v>
      </c>
      <c r="E514" s="32" t="s">
        <v>178</v>
      </c>
      <c r="F514" s="32" t="s">
        <v>179</v>
      </c>
      <c r="G514" s="171" t="s">
        <v>3411</v>
      </c>
      <c r="H514" s="32" t="s">
        <v>179</v>
      </c>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row>
    <row r="515" ht="16.5" customHeight="1">
      <c r="A515" s="32" t="s">
        <v>5</v>
      </c>
      <c r="E515" s="32" t="s">
        <v>178</v>
      </c>
      <c r="F515" s="32" t="s">
        <v>180</v>
      </c>
      <c r="G515" s="171" t="s">
        <v>3412</v>
      </c>
      <c r="H515" s="32" t="s">
        <v>180</v>
      </c>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row>
    <row r="516" ht="16.5" customHeight="1">
      <c r="A516" s="32" t="s">
        <v>5</v>
      </c>
      <c r="E516" s="32" t="s">
        <v>178</v>
      </c>
      <c r="F516" s="32" t="s">
        <v>205</v>
      </c>
      <c r="G516" s="171" t="s">
        <v>3413</v>
      </c>
      <c r="H516" s="32" t="s">
        <v>205</v>
      </c>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row>
    <row r="517" ht="16.5" customHeight="1">
      <c r="A517" s="32" t="s">
        <v>5</v>
      </c>
      <c r="E517" s="32" t="s">
        <v>178</v>
      </c>
      <c r="F517" s="32" t="s">
        <v>206</v>
      </c>
      <c r="G517" s="171" t="s">
        <v>3414</v>
      </c>
      <c r="H517" s="32"/>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row>
    <row r="518" ht="16.5" customHeight="1">
      <c r="A518" s="32" t="s">
        <v>5</v>
      </c>
      <c r="E518" s="32" t="s">
        <v>178</v>
      </c>
      <c r="F518" s="32" t="s">
        <v>639</v>
      </c>
      <c r="G518" s="171" t="s">
        <v>3415</v>
      </c>
      <c r="H518" s="32" t="s">
        <v>639</v>
      </c>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row>
    <row r="519" ht="16.5" customHeight="1">
      <c r="A519" s="32" t="s">
        <v>5</v>
      </c>
      <c r="E519" s="32" t="s">
        <v>178</v>
      </c>
      <c r="F519" s="32" t="s">
        <v>207</v>
      </c>
      <c r="G519" s="171" t="s">
        <v>3416</v>
      </c>
      <c r="H519" s="32" t="s">
        <v>207</v>
      </c>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row>
    <row r="520" ht="16.5" customHeight="1">
      <c r="A520" s="32" t="s">
        <v>5</v>
      </c>
      <c r="E520" s="32" t="s">
        <v>178</v>
      </c>
      <c r="F520" s="32" t="s">
        <v>209</v>
      </c>
      <c r="G520" s="171" t="s">
        <v>3409</v>
      </c>
      <c r="H520" s="32" t="s">
        <v>209</v>
      </c>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row>
    <row r="521" ht="16.5" customHeight="1">
      <c r="A521" s="32" t="s">
        <v>5</v>
      </c>
      <c r="E521" s="32" t="s">
        <v>178</v>
      </c>
      <c r="F521" s="32" t="s">
        <v>210</v>
      </c>
      <c r="G521" s="171" t="s">
        <v>3417</v>
      </c>
      <c r="H521" s="32" t="s">
        <v>1987</v>
      </c>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row>
    <row r="522" ht="16.5" customHeight="1">
      <c r="A522" s="32" t="s">
        <v>5</v>
      </c>
      <c r="E522" s="32" t="s">
        <v>178</v>
      </c>
      <c r="F522" s="32" t="s">
        <v>208</v>
      </c>
      <c r="G522" s="171" t="s">
        <v>3418</v>
      </c>
      <c r="H522" s="32" t="s">
        <v>208</v>
      </c>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row>
    <row r="523" ht="16.5" customHeight="1">
      <c r="A523" s="32" t="s">
        <v>5</v>
      </c>
      <c r="E523" s="407" t="s">
        <v>178</v>
      </c>
      <c r="F523" s="407" t="s">
        <v>182</v>
      </c>
      <c r="G523" s="428" t="s">
        <v>3419</v>
      </c>
      <c r="H523" s="407" t="s">
        <v>182</v>
      </c>
      <c r="I523" s="394"/>
      <c r="J523" s="394"/>
      <c r="K523" s="394"/>
      <c r="L523" s="394"/>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row>
    <row r="524" ht="16.5" customHeight="1">
      <c r="A524" s="15"/>
      <c r="B524" s="15"/>
      <c r="C524" s="21"/>
      <c r="D524" s="15"/>
      <c r="E524" s="15"/>
      <c r="F524" s="15"/>
      <c r="G524" s="387"/>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row>
    <row r="525" ht="16.5" customHeight="1">
      <c r="A525" s="32" t="s">
        <v>5</v>
      </c>
      <c r="B525" s="32" t="s">
        <v>3420</v>
      </c>
      <c r="C525" s="8" t="s">
        <v>2688</v>
      </c>
      <c r="D525" s="32" t="s">
        <v>42</v>
      </c>
      <c r="E525" s="32" t="s">
        <v>86</v>
      </c>
      <c r="F525" s="32" t="s">
        <v>87</v>
      </c>
      <c r="G525" s="387"/>
      <c r="L525" s="11"/>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row>
    <row r="526" ht="16.5" customHeight="1">
      <c r="A526" s="32" t="s">
        <v>5</v>
      </c>
      <c r="D526" s="32" t="s">
        <v>5</v>
      </c>
      <c r="E526" s="32" t="s">
        <v>89</v>
      </c>
      <c r="F526" s="32" t="s">
        <v>291</v>
      </c>
      <c r="G526" s="387"/>
      <c r="L526" s="11"/>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row>
    <row r="527" ht="16.5" customHeight="1">
      <c r="A527" s="15"/>
      <c r="B527" s="32"/>
      <c r="C527" s="429"/>
      <c r="D527" s="32"/>
      <c r="E527" s="32"/>
      <c r="F527" s="32"/>
      <c r="G527" s="387"/>
      <c r="H527" s="35"/>
      <c r="L527" s="11"/>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row>
    <row r="528" ht="16.5" customHeight="1">
      <c r="A528" s="32" t="s">
        <v>5</v>
      </c>
      <c r="B528" s="32" t="s">
        <v>3421</v>
      </c>
      <c r="C528" s="429" t="s">
        <v>3422</v>
      </c>
      <c r="D528" s="207" t="s">
        <v>20</v>
      </c>
      <c r="E528" s="32" t="s">
        <v>21</v>
      </c>
      <c r="F528" s="32" t="s">
        <v>51</v>
      </c>
      <c r="G528" s="171" t="s">
        <v>3423</v>
      </c>
      <c r="H528" s="35" t="s">
        <v>51</v>
      </c>
      <c r="L528" s="11"/>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row>
    <row r="529" ht="16.5" customHeight="1">
      <c r="A529" s="32" t="s">
        <v>5</v>
      </c>
      <c r="E529" s="32" t="s">
        <v>172</v>
      </c>
      <c r="F529" s="32" t="s">
        <v>203</v>
      </c>
      <c r="G529" s="171" t="s">
        <v>3424</v>
      </c>
      <c r="H529" s="35" t="s">
        <v>203</v>
      </c>
      <c r="L529" s="11"/>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row>
    <row r="530" ht="16.5" customHeight="1">
      <c r="A530" s="32" t="s">
        <v>5</v>
      </c>
      <c r="E530" s="32" t="s">
        <v>172</v>
      </c>
      <c r="F530" s="32" t="s">
        <v>945</v>
      </c>
      <c r="G530" s="171" t="s">
        <v>3425</v>
      </c>
      <c r="H530" s="32" t="s">
        <v>945</v>
      </c>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row>
    <row r="531" ht="16.5" customHeight="1">
      <c r="A531" s="32" t="s">
        <v>5</v>
      </c>
      <c r="E531" s="32" t="s">
        <v>86</v>
      </c>
      <c r="F531" s="32" t="s">
        <v>90</v>
      </c>
      <c r="G531" s="171" t="s">
        <v>3426</v>
      </c>
      <c r="H531" s="32" t="s">
        <v>90</v>
      </c>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row>
    <row r="532" ht="16.5" customHeight="1">
      <c r="A532" s="32" t="s">
        <v>5</v>
      </c>
      <c r="E532" s="32" t="s">
        <v>86</v>
      </c>
      <c r="F532" s="32" t="s">
        <v>92</v>
      </c>
      <c r="G532" s="171" t="s">
        <v>3427</v>
      </c>
      <c r="H532" s="32" t="s">
        <v>92</v>
      </c>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row>
    <row r="533" ht="16.5" customHeight="1">
      <c r="A533" s="32" t="s">
        <v>5</v>
      </c>
      <c r="E533" s="32" t="s">
        <v>86</v>
      </c>
      <c r="F533" s="32" t="s">
        <v>950</v>
      </c>
      <c r="G533" s="171" t="s">
        <v>3428</v>
      </c>
      <c r="H533" s="32" t="s">
        <v>950</v>
      </c>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row>
    <row r="534" ht="16.5" customHeight="1">
      <c r="A534" s="32" t="s">
        <v>5</v>
      </c>
      <c r="E534" s="32" t="s">
        <v>86</v>
      </c>
      <c r="F534" s="32" t="s">
        <v>358</v>
      </c>
      <c r="G534" s="171" t="s">
        <v>3429</v>
      </c>
      <c r="H534" s="32" t="s">
        <v>358</v>
      </c>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row>
    <row r="535" ht="16.5" customHeight="1">
      <c r="A535" s="32" t="s">
        <v>5</v>
      </c>
      <c r="E535" s="32" t="s">
        <v>88</v>
      </c>
      <c r="F535" s="32" t="s">
        <v>95</v>
      </c>
      <c r="G535" s="171" t="s">
        <v>3430</v>
      </c>
      <c r="H535" s="32" t="s">
        <v>95</v>
      </c>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row>
    <row r="536" ht="16.5" customHeight="1">
      <c r="A536" s="32" t="s">
        <v>5</v>
      </c>
      <c r="E536" s="32" t="s">
        <v>88</v>
      </c>
      <c r="F536" s="32" t="s">
        <v>96</v>
      </c>
      <c r="G536" s="171" t="s">
        <v>3431</v>
      </c>
      <c r="H536" s="32" t="s">
        <v>96</v>
      </c>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row>
    <row r="537" ht="16.5" customHeight="1">
      <c r="A537" s="32" t="s">
        <v>5</v>
      </c>
      <c r="E537" s="32" t="s">
        <v>178</v>
      </c>
      <c r="F537" s="32" t="s">
        <v>205</v>
      </c>
      <c r="G537" s="171" t="s">
        <v>3432</v>
      </c>
      <c r="H537" s="32" t="s">
        <v>205</v>
      </c>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row>
    <row r="538" ht="16.5" customHeight="1">
      <c r="A538" s="32" t="s">
        <v>5</v>
      </c>
      <c r="E538" s="32" t="s">
        <v>178</v>
      </c>
      <c r="F538" s="32" t="s">
        <v>206</v>
      </c>
      <c r="G538" s="171" t="s">
        <v>3433</v>
      </c>
      <c r="L538" s="11"/>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row>
    <row r="539" ht="16.5" customHeight="1">
      <c r="A539" s="32" t="s">
        <v>5</v>
      </c>
      <c r="E539" s="32" t="s">
        <v>178</v>
      </c>
      <c r="F539" s="32" t="s">
        <v>639</v>
      </c>
      <c r="G539" s="171" t="s">
        <v>3434</v>
      </c>
      <c r="H539" s="32" t="s">
        <v>639</v>
      </c>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row>
    <row r="540" ht="16.5" customHeight="1">
      <c r="A540" s="32" t="s">
        <v>5</v>
      </c>
      <c r="E540" s="32" t="s">
        <v>178</v>
      </c>
      <c r="F540" s="32" t="s">
        <v>207</v>
      </c>
      <c r="G540" s="171" t="s">
        <v>3435</v>
      </c>
      <c r="H540" s="32" t="s">
        <v>207</v>
      </c>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row>
    <row r="541" ht="16.5" customHeight="1">
      <c r="A541" s="32" t="s">
        <v>5</v>
      </c>
      <c r="E541" s="32" t="s">
        <v>178</v>
      </c>
      <c r="F541" s="32" t="s">
        <v>179</v>
      </c>
      <c r="G541" s="171" t="s">
        <v>3436</v>
      </c>
      <c r="H541" s="32" t="s">
        <v>179</v>
      </c>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row>
    <row r="542" ht="16.5" customHeight="1">
      <c r="A542" s="32" t="s">
        <v>5</v>
      </c>
      <c r="E542" s="32" t="s">
        <v>178</v>
      </c>
      <c r="F542" s="32" t="s">
        <v>180</v>
      </c>
      <c r="G542" s="171" t="s">
        <v>3437</v>
      </c>
      <c r="H542" s="32" t="s">
        <v>180</v>
      </c>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row>
    <row r="543" ht="16.5" customHeight="1">
      <c r="A543" s="32" t="s">
        <v>5</v>
      </c>
      <c r="E543" s="32" t="s">
        <v>178</v>
      </c>
      <c r="F543" s="32" t="s">
        <v>208</v>
      </c>
      <c r="G543" s="171" t="s">
        <v>3438</v>
      </c>
      <c r="H543" s="32" t="s">
        <v>208</v>
      </c>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row>
    <row r="544" ht="16.5" customHeight="1">
      <c r="A544" s="32" t="s">
        <v>5</v>
      </c>
      <c r="E544" s="32" t="s">
        <v>178</v>
      </c>
      <c r="F544" s="32" t="s">
        <v>182</v>
      </c>
      <c r="G544" s="171" t="s">
        <v>3439</v>
      </c>
      <c r="H544" s="32" t="s">
        <v>182</v>
      </c>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row>
    <row r="545" ht="16.5" customHeight="1">
      <c r="A545" s="32" t="s">
        <v>5</v>
      </c>
      <c r="E545" s="32" t="s">
        <v>86</v>
      </c>
      <c r="F545" s="32" t="s">
        <v>92</v>
      </c>
      <c r="G545" s="171" t="s">
        <v>3427</v>
      </c>
      <c r="H545" s="32" t="s">
        <v>92</v>
      </c>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row>
    <row r="546" ht="16.5" customHeight="1">
      <c r="A546" s="32" t="s">
        <v>5</v>
      </c>
      <c r="E546" s="32" t="s">
        <v>86</v>
      </c>
      <c r="F546" s="32" t="s">
        <v>950</v>
      </c>
      <c r="G546" s="171" t="s">
        <v>3440</v>
      </c>
      <c r="H546" s="32" t="s">
        <v>3441</v>
      </c>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row>
    <row r="547" ht="16.5" customHeight="1">
      <c r="A547" s="32" t="s">
        <v>5</v>
      </c>
      <c r="E547" s="32" t="s">
        <v>86</v>
      </c>
      <c r="F547" s="32" t="s">
        <v>757</v>
      </c>
      <c r="G547" s="171" t="s">
        <v>3442</v>
      </c>
      <c r="H547" s="32" t="s">
        <v>757</v>
      </c>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row>
    <row r="548" ht="16.5" customHeight="1">
      <c r="A548" s="32" t="s">
        <v>5</v>
      </c>
      <c r="E548" s="32" t="s">
        <v>88</v>
      </c>
      <c r="F548" s="32" t="s">
        <v>95</v>
      </c>
      <c r="G548" s="171" t="s">
        <v>3430</v>
      </c>
      <c r="H548" s="32" t="s">
        <v>95</v>
      </c>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row>
    <row r="549" ht="16.5" customHeight="1">
      <c r="A549" s="32" t="s">
        <v>5</v>
      </c>
      <c r="E549" s="32" t="s">
        <v>88</v>
      </c>
      <c r="F549" s="32" t="s">
        <v>96</v>
      </c>
      <c r="G549" s="171" t="s">
        <v>3443</v>
      </c>
      <c r="H549" s="32" t="s">
        <v>177</v>
      </c>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row>
    <row r="550" ht="16.5" customHeight="1">
      <c r="A550" s="32" t="s">
        <v>5</v>
      </c>
      <c r="E550" s="32" t="s">
        <v>178</v>
      </c>
      <c r="F550" s="32" t="s">
        <v>207</v>
      </c>
      <c r="G550" s="171" t="s">
        <v>3435</v>
      </c>
      <c r="H550" s="32" t="s">
        <v>207</v>
      </c>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row>
    <row r="551" ht="16.5" customHeight="1">
      <c r="A551" s="32" t="s">
        <v>5</v>
      </c>
      <c r="E551" s="32" t="s">
        <v>178</v>
      </c>
      <c r="F551" s="32" t="s">
        <v>208</v>
      </c>
      <c r="G551" s="171" t="s">
        <v>3438</v>
      </c>
      <c r="H551" s="32" t="s">
        <v>208</v>
      </c>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row>
    <row r="552" ht="16.5" customHeight="1">
      <c r="A552" s="32" t="s">
        <v>5</v>
      </c>
      <c r="E552" s="32" t="s">
        <v>178</v>
      </c>
      <c r="F552" s="32" t="s">
        <v>182</v>
      </c>
      <c r="G552" s="171" t="s">
        <v>3444</v>
      </c>
      <c r="H552" s="32" t="s">
        <v>2003</v>
      </c>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row>
    <row r="553" ht="16.5" customHeight="1">
      <c r="A553" s="32" t="s">
        <v>5</v>
      </c>
      <c r="E553" s="32" t="s">
        <v>86</v>
      </c>
      <c r="F553" s="32" t="s">
        <v>92</v>
      </c>
      <c r="G553" s="171" t="s">
        <v>3427</v>
      </c>
      <c r="H553" s="32" t="s">
        <v>92</v>
      </c>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row>
    <row r="554" ht="16.5" customHeight="1">
      <c r="A554" s="32" t="s">
        <v>5</v>
      </c>
      <c r="E554" s="32" t="s">
        <v>86</v>
      </c>
      <c r="F554" s="32" t="s">
        <v>950</v>
      </c>
      <c r="G554" s="171" t="s">
        <v>3445</v>
      </c>
      <c r="H554" s="32" t="s">
        <v>3446</v>
      </c>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row>
    <row r="555" ht="16.5" customHeight="1">
      <c r="A555" s="32" t="s">
        <v>5</v>
      </c>
      <c r="E555" s="32" t="s">
        <v>86</v>
      </c>
      <c r="F555" s="32" t="s">
        <v>93</v>
      </c>
      <c r="G555" s="171" t="s">
        <v>3447</v>
      </c>
      <c r="H555" s="32" t="s">
        <v>93</v>
      </c>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row>
    <row r="556" ht="16.5" customHeight="1">
      <c r="A556" s="32" t="s">
        <v>5</v>
      </c>
      <c r="E556" s="32" t="s">
        <v>88</v>
      </c>
      <c r="F556" s="32" t="s">
        <v>95</v>
      </c>
      <c r="G556" s="171" t="s">
        <v>3430</v>
      </c>
      <c r="H556" s="32" t="s">
        <v>95</v>
      </c>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row>
    <row r="557" ht="16.5" customHeight="1">
      <c r="A557" s="32" t="s">
        <v>5</v>
      </c>
      <c r="E557" s="32" t="s">
        <v>88</v>
      </c>
      <c r="F557" s="32" t="s">
        <v>96</v>
      </c>
      <c r="G557" s="171" t="s">
        <v>3448</v>
      </c>
      <c r="H557" s="32" t="s">
        <v>337</v>
      </c>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row>
    <row r="558" ht="16.5" customHeight="1">
      <c r="A558" s="32" t="s">
        <v>5</v>
      </c>
      <c r="E558" s="32" t="s">
        <v>178</v>
      </c>
      <c r="F558" s="32" t="s">
        <v>207</v>
      </c>
      <c r="G558" s="171" t="s">
        <v>3435</v>
      </c>
      <c r="H558" s="32" t="s">
        <v>207</v>
      </c>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row>
    <row r="559" ht="16.5" customHeight="1">
      <c r="A559" s="32" t="s">
        <v>5</v>
      </c>
      <c r="E559" s="32" t="s">
        <v>178</v>
      </c>
      <c r="F559" s="32" t="s">
        <v>179</v>
      </c>
      <c r="G559" s="171" t="s">
        <v>3436</v>
      </c>
      <c r="H559" s="32" t="s">
        <v>179</v>
      </c>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row>
    <row r="560" ht="16.5" customHeight="1">
      <c r="A560" s="32" t="s">
        <v>5</v>
      </c>
      <c r="E560" s="32" t="s">
        <v>178</v>
      </c>
      <c r="F560" s="32" t="s">
        <v>180</v>
      </c>
      <c r="G560" s="171" t="s">
        <v>3449</v>
      </c>
      <c r="H560" s="32" t="s">
        <v>2009</v>
      </c>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row>
    <row r="561" ht="16.5" customHeight="1">
      <c r="A561" s="32" t="s">
        <v>5</v>
      </c>
      <c r="E561" s="32" t="s">
        <v>178</v>
      </c>
      <c r="F561" s="32" t="s">
        <v>208</v>
      </c>
      <c r="G561" s="171" t="s">
        <v>3438</v>
      </c>
      <c r="H561" s="32" t="s">
        <v>208</v>
      </c>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row>
    <row r="562" ht="16.5" customHeight="1">
      <c r="A562" s="32" t="s">
        <v>5</v>
      </c>
      <c r="E562" s="32" t="s">
        <v>178</v>
      </c>
      <c r="F562" s="32" t="s">
        <v>182</v>
      </c>
      <c r="G562" s="171" t="s">
        <v>3450</v>
      </c>
      <c r="H562" s="32" t="s">
        <v>2071</v>
      </c>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row>
    <row r="563" ht="16.5" customHeight="1">
      <c r="A563" s="32" t="s">
        <v>5</v>
      </c>
      <c r="B563" s="32" t="s">
        <v>5</v>
      </c>
      <c r="C563" s="66" t="s">
        <v>5</v>
      </c>
      <c r="E563" s="32" t="s">
        <v>86</v>
      </c>
      <c r="F563" s="32" t="s">
        <v>87</v>
      </c>
      <c r="G563" s="387"/>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row>
    <row r="564" ht="16.5" customHeight="1">
      <c r="A564" s="32" t="s">
        <v>5</v>
      </c>
      <c r="B564" s="32" t="s">
        <v>5</v>
      </c>
      <c r="C564" s="66" t="s">
        <v>5</v>
      </c>
      <c r="E564" s="32" t="s">
        <v>89</v>
      </c>
      <c r="F564" s="32" t="s">
        <v>291</v>
      </c>
      <c r="G564" s="387"/>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row>
    <row r="565" ht="16.5" customHeight="1">
      <c r="A565" s="15"/>
      <c r="B565" s="15"/>
      <c r="C565" s="21"/>
      <c r="D565" s="15"/>
      <c r="E565" s="15"/>
      <c r="F565" s="15"/>
      <c r="G565" s="387"/>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row>
    <row r="566" ht="16.5" customHeight="1">
      <c r="A566" s="32" t="s">
        <v>5</v>
      </c>
      <c r="B566" s="207" t="s">
        <v>3451</v>
      </c>
      <c r="C566" s="429" t="s">
        <v>3452</v>
      </c>
      <c r="D566" s="207" t="s">
        <v>20</v>
      </c>
      <c r="E566" s="32" t="s">
        <v>21</v>
      </c>
      <c r="F566" s="32" t="s">
        <v>51</v>
      </c>
      <c r="G566" s="171" t="s">
        <v>3453</v>
      </c>
      <c r="H566" s="32" t="s">
        <v>51</v>
      </c>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row>
    <row r="567" ht="16.5" customHeight="1">
      <c r="A567" s="32" t="s">
        <v>5</v>
      </c>
      <c r="E567" s="32" t="s">
        <v>172</v>
      </c>
      <c r="F567" s="32" t="s">
        <v>203</v>
      </c>
      <c r="G567" s="171" t="s">
        <v>3454</v>
      </c>
      <c r="H567" s="32" t="s">
        <v>203</v>
      </c>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row>
    <row r="568" ht="16.5" customHeight="1">
      <c r="A568" s="32" t="s">
        <v>5</v>
      </c>
      <c r="E568" s="32" t="s">
        <v>172</v>
      </c>
      <c r="F568" s="32" t="s">
        <v>945</v>
      </c>
      <c r="G568" s="171" t="s">
        <v>3455</v>
      </c>
      <c r="H568" s="32" t="s">
        <v>945</v>
      </c>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row>
    <row r="569" ht="16.5" customHeight="1">
      <c r="A569" s="32" t="s">
        <v>5</v>
      </c>
      <c r="E569" s="32" t="s">
        <v>86</v>
      </c>
      <c r="F569" s="32" t="s">
        <v>90</v>
      </c>
      <c r="G569" s="171" t="s">
        <v>3456</v>
      </c>
      <c r="H569" s="32" t="s">
        <v>90</v>
      </c>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row>
    <row r="570" ht="16.5" customHeight="1">
      <c r="A570" s="32" t="s">
        <v>5</v>
      </c>
      <c r="E570" s="32" t="s">
        <v>86</v>
      </c>
      <c r="F570" s="32" t="s">
        <v>92</v>
      </c>
      <c r="G570" s="171" t="s">
        <v>3457</v>
      </c>
      <c r="H570" s="32" t="s">
        <v>92</v>
      </c>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row>
    <row r="571" ht="16.5" customHeight="1">
      <c r="A571" s="32" t="s">
        <v>5</v>
      </c>
      <c r="E571" s="32" t="s">
        <v>86</v>
      </c>
      <c r="F571" s="32" t="s">
        <v>950</v>
      </c>
      <c r="G571" s="171" t="s">
        <v>3458</v>
      </c>
      <c r="H571" s="32" t="s">
        <v>950</v>
      </c>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row>
    <row r="572" ht="16.5" customHeight="1">
      <c r="A572" s="32" t="s">
        <v>5</v>
      </c>
      <c r="E572" s="32" t="s">
        <v>86</v>
      </c>
      <c r="F572" s="32" t="s">
        <v>757</v>
      </c>
      <c r="G572" s="171" t="s">
        <v>3459</v>
      </c>
      <c r="H572" s="32" t="s">
        <v>757</v>
      </c>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row>
    <row r="573" ht="16.5" customHeight="1">
      <c r="A573" s="32" t="s">
        <v>5</v>
      </c>
      <c r="E573" s="32" t="s">
        <v>88</v>
      </c>
      <c r="F573" s="32" t="s">
        <v>95</v>
      </c>
      <c r="G573" s="171" t="s">
        <v>3460</v>
      </c>
      <c r="H573" s="32" t="s">
        <v>95</v>
      </c>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row>
    <row r="574" ht="16.5" customHeight="1">
      <c r="A574" s="32" t="s">
        <v>5</v>
      </c>
      <c r="E574" s="32" t="s">
        <v>88</v>
      </c>
      <c r="F574" s="32" t="s">
        <v>96</v>
      </c>
      <c r="G574" s="171" t="s">
        <v>3461</v>
      </c>
      <c r="H574" s="32" t="s">
        <v>96</v>
      </c>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row>
    <row r="575" ht="16.5" customHeight="1">
      <c r="A575" s="32" t="s">
        <v>5</v>
      </c>
      <c r="E575" s="32" t="s">
        <v>178</v>
      </c>
      <c r="F575" s="32" t="s">
        <v>205</v>
      </c>
      <c r="G575" s="171" t="s">
        <v>3462</v>
      </c>
      <c r="H575" s="32" t="s">
        <v>205</v>
      </c>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row>
    <row r="576" ht="16.5" customHeight="1">
      <c r="A576" s="32" t="s">
        <v>5</v>
      </c>
      <c r="E576" s="32" t="s">
        <v>178</v>
      </c>
      <c r="F576" s="32" t="s">
        <v>206</v>
      </c>
      <c r="G576" s="171" t="s">
        <v>3463</v>
      </c>
      <c r="H576" s="32"/>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row>
    <row r="577" ht="16.5" customHeight="1">
      <c r="A577" s="32" t="s">
        <v>5</v>
      </c>
      <c r="E577" s="32" t="s">
        <v>178</v>
      </c>
      <c r="F577" s="32" t="s">
        <v>639</v>
      </c>
      <c r="G577" s="171" t="s">
        <v>3464</v>
      </c>
      <c r="H577" s="32" t="s">
        <v>639</v>
      </c>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row>
    <row r="578" ht="16.5" customHeight="1">
      <c r="A578" s="32" t="s">
        <v>5</v>
      </c>
      <c r="E578" s="32" t="s">
        <v>178</v>
      </c>
      <c r="F578" s="32" t="s">
        <v>207</v>
      </c>
      <c r="G578" s="171" t="s">
        <v>3465</v>
      </c>
      <c r="H578" s="32" t="s">
        <v>207</v>
      </c>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row>
    <row r="579" ht="16.5" customHeight="1">
      <c r="A579" s="32" t="s">
        <v>5</v>
      </c>
      <c r="E579" s="32" t="s">
        <v>178</v>
      </c>
      <c r="F579" s="32" t="s">
        <v>179</v>
      </c>
      <c r="G579" s="171" t="s">
        <v>3466</v>
      </c>
      <c r="H579" s="32" t="s">
        <v>179</v>
      </c>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row>
    <row r="580" ht="16.5" customHeight="1">
      <c r="A580" s="32" t="s">
        <v>5</v>
      </c>
      <c r="E580" s="32" t="s">
        <v>178</v>
      </c>
      <c r="F580" s="32" t="s">
        <v>180</v>
      </c>
      <c r="G580" s="171" t="s">
        <v>3467</v>
      </c>
      <c r="H580" s="32" t="s">
        <v>180</v>
      </c>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row>
    <row r="581" ht="16.5" customHeight="1">
      <c r="A581" s="32" t="s">
        <v>5</v>
      </c>
      <c r="E581" s="32" t="s">
        <v>178</v>
      </c>
      <c r="F581" s="32" t="s">
        <v>208</v>
      </c>
      <c r="G581" s="171" t="s">
        <v>3468</v>
      </c>
      <c r="H581" s="32" t="s">
        <v>208</v>
      </c>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row>
    <row r="582" ht="16.5" customHeight="1">
      <c r="A582" s="32" t="s">
        <v>5</v>
      </c>
      <c r="E582" s="32" t="s">
        <v>178</v>
      </c>
      <c r="F582" s="32" t="s">
        <v>182</v>
      </c>
      <c r="G582" s="171" t="s">
        <v>3469</v>
      </c>
      <c r="H582" s="32" t="s">
        <v>182</v>
      </c>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row>
    <row r="583" ht="16.5" customHeight="1">
      <c r="A583" s="32" t="s">
        <v>5</v>
      </c>
      <c r="E583" s="32" t="s">
        <v>86</v>
      </c>
      <c r="F583" s="32" t="s">
        <v>92</v>
      </c>
      <c r="G583" s="171" t="s">
        <v>3457</v>
      </c>
      <c r="H583" s="32" t="s">
        <v>92</v>
      </c>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row>
    <row r="584" ht="16.5" customHeight="1">
      <c r="A584" s="32" t="s">
        <v>5</v>
      </c>
      <c r="E584" s="32" t="s">
        <v>86</v>
      </c>
      <c r="F584" s="32" t="s">
        <v>950</v>
      </c>
      <c r="G584" s="171" t="s">
        <v>3470</v>
      </c>
      <c r="H584" s="32" t="s">
        <v>3441</v>
      </c>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row>
    <row r="585" ht="16.5" customHeight="1">
      <c r="A585" s="32" t="s">
        <v>5</v>
      </c>
      <c r="E585" s="32" t="s">
        <v>86</v>
      </c>
      <c r="F585" s="32" t="s">
        <v>358</v>
      </c>
      <c r="G585" s="171" t="s">
        <v>3471</v>
      </c>
      <c r="H585" s="32" t="s">
        <v>358</v>
      </c>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row>
    <row r="586" ht="16.5" customHeight="1">
      <c r="A586" s="32" t="s">
        <v>5</v>
      </c>
      <c r="E586" s="32" t="s">
        <v>88</v>
      </c>
      <c r="F586" s="32" t="s">
        <v>95</v>
      </c>
      <c r="G586" s="171" t="s">
        <v>3460</v>
      </c>
      <c r="H586" s="32" t="s">
        <v>95</v>
      </c>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row>
    <row r="587" ht="16.5" customHeight="1">
      <c r="A587" s="32" t="s">
        <v>5</v>
      </c>
      <c r="E587" s="32" t="s">
        <v>88</v>
      </c>
      <c r="F587" s="32" t="s">
        <v>96</v>
      </c>
      <c r="G587" s="171" t="s">
        <v>3472</v>
      </c>
      <c r="H587" s="32" t="s">
        <v>177</v>
      </c>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row>
    <row r="588" ht="16.5" customHeight="1">
      <c r="A588" s="32" t="s">
        <v>5</v>
      </c>
      <c r="E588" s="32" t="s">
        <v>178</v>
      </c>
      <c r="F588" s="32" t="s">
        <v>207</v>
      </c>
      <c r="G588" s="171" t="s">
        <v>3465</v>
      </c>
      <c r="H588" s="32" t="s">
        <v>207</v>
      </c>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row>
    <row r="589" ht="16.5" customHeight="1">
      <c r="A589" s="32" t="s">
        <v>5</v>
      </c>
      <c r="E589" s="32" t="s">
        <v>178</v>
      </c>
      <c r="F589" s="32" t="s">
        <v>208</v>
      </c>
      <c r="G589" s="171" t="s">
        <v>3468</v>
      </c>
      <c r="H589" s="32" t="s">
        <v>208</v>
      </c>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row>
    <row r="590" ht="16.5" customHeight="1">
      <c r="A590" s="32" t="s">
        <v>5</v>
      </c>
      <c r="E590" s="32" t="s">
        <v>178</v>
      </c>
      <c r="F590" s="32" t="s">
        <v>182</v>
      </c>
      <c r="G590" s="171" t="s">
        <v>3473</v>
      </c>
      <c r="H590" s="32" t="s">
        <v>2003</v>
      </c>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row>
    <row r="591" ht="16.5" customHeight="1">
      <c r="A591" s="32" t="s">
        <v>5</v>
      </c>
      <c r="E591" s="32" t="s">
        <v>86</v>
      </c>
      <c r="F591" s="32" t="s">
        <v>92</v>
      </c>
      <c r="G591" s="171" t="s">
        <v>3457</v>
      </c>
      <c r="H591" s="32" t="s">
        <v>92</v>
      </c>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row>
    <row r="592" ht="16.5" customHeight="1">
      <c r="A592" s="32" t="s">
        <v>5</v>
      </c>
      <c r="E592" s="32" t="s">
        <v>86</v>
      </c>
      <c r="F592" s="32" t="s">
        <v>950</v>
      </c>
      <c r="G592" s="171" t="s">
        <v>3474</v>
      </c>
      <c r="H592" s="32" t="s">
        <v>3446</v>
      </c>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row>
    <row r="593" ht="16.5" customHeight="1">
      <c r="A593" s="32" t="s">
        <v>5</v>
      </c>
      <c r="E593" s="32" t="s">
        <v>86</v>
      </c>
      <c r="F593" s="32" t="s">
        <v>93</v>
      </c>
      <c r="G593" s="171" t="s">
        <v>3475</v>
      </c>
      <c r="H593" s="32" t="s">
        <v>93</v>
      </c>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row>
    <row r="594" ht="16.5" customHeight="1">
      <c r="A594" s="32" t="s">
        <v>5</v>
      </c>
      <c r="E594" s="32" t="s">
        <v>88</v>
      </c>
      <c r="F594" s="32" t="s">
        <v>95</v>
      </c>
      <c r="G594" s="171" t="s">
        <v>3460</v>
      </c>
      <c r="H594" s="32" t="s">
        <v>95</v>
      </c>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row>
    <row r="595" ht="16.5" customHeight="1">
      <c r="A595" s="32" t="s">
        <v>5</v>
      </c>
      <c r="E595" s="32" t="s">
        <v>88</v>
      </c>
      <c r="F595" s="32" t="s">
        <v>96</v>
      </c>
      <c r="G595" s="171" t="s">
        <v>3476</v>
      </c>
      <c r="H595" s="32" t="s">
        <v>337</v>
      </c>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row>
    <row r="596" ht="16.5" customHeight="1">
      <c r="A596" s="32" t="s">
        <v>5</v>
      </c>
      <c r="E596" s="32" t="s">
        <v>178</v>
      </c>
      <c r="F596" s="32" t="s">
        <v>179</v>
      </c>
      <c r="G596" s="171" t="s">
        <v>3466</v>
      </c>
      <c r="H596" s="32" t="s">
        <v>179</v>
      </c>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row>
    <row r="597" ht="16.5" customHeight="1">
      <c r="A597" s="32" t="s">
        <v>5</v>
      </c>
      <c r="E597" s="32" t="s">
        <v>178</v>
      </c>
      <c r="F597" s="32" t="s">
        <v>180</v>
      </c>
      <c r="G597" s="171" t="s">
        <v>3477</v>
      </c>
      <c r="H597" s="32" t="s">
        <v>2009</v>
      </c>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row>
    <row r="598" ht="16.5" customHeight="1">
      <c r="A598" s="32" t="s">
        <v>5</v>
      </c>
      <c r="E598" s="32" t="s">
        <v>178</v>
      </c>
      <c r="F598" s="32" t="s">
        <v>207</v>
      </c>
      <c r="G598" s="171" t="s">
        <v>3465</v>
      </c>
      <c r="H598" s="32" t="s">
        <v>207</v>
      </c>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row>
    <row r="599" ht="16.5" customHeight="1">
      <c r="A599" s="32" t="s">
        <v>5</v>
      </c>
      <c r="E599" s="32" t="s">
        <v>178</v>
      </c>
      <c r="F599" s="32" t="s">
        <v>208</v>
      </c>
      <c r="G599" s="171" t="s">
        <v>3468</v>
      </c>
      <c r="H599" s="32" t="s">
        <v>208</v>
      </c>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row>
    <row r="600" ht="16.5" customHeight="1">
      <c r="A600" s="32" t="s">
        <v>5</v>
      </c>
      <c r="E600" s="32" t="s">
        <v>178</v>
      </c>
      <c r="F600" s="32" t="s">
        <v>182</v>
      </c>
      <c r="G600" s="171" t="s">
        <v>3478</v>
      </c>
      <c r="H600" s="32" t="s">
        <v>2071</v>
      </c>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row>
    <row r="601" ht="16.5" customHeight="1">
      <c r="A601" s="32" t="s">
        <v>5</v>
      </c>
      <c r="E601" s="32" t="s">
        <v>86</v>
      </c>
      <c r="F601" s="32" t="s">
        <v>87</v>
      </c>
      <c r="G601" s="387"/>
      <c r="H601" s="36"/>
      <c r="L601" s="11"/>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row>
    <row r="602" ht="16.5" customHeight="1">
      <c r="A602" s="32" t="s">
        <v>5</v>
      </c>
      <c r="E602" s="32" t="s">
        <v>89</v>
      </c>
      <c r="F602" s="32" t="s">
        <v>291</v>
      </c>
      <c r="G602" s="387"/>
      <c r="H602" s="36"/>
      <c r="L602" s="11"/>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row>
    <row r="603" ht="16.5" customHeight="1">
      <c r="A603" s="15"/>
      <c r="B603" s="15"/>
      <c r="C603" s="21"/>
      <c r="D603" s="15"/>
      <c r="E603" s="15"/>
      <c r="F603" s="15"/>
      <c r="G603" s="387"/>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row>
    <row r="604" ht="16.5" customHeight="1">
      <c r="A604" s="15"/>
      <c r="B604" s="15"/>
      <c r="C604" s="21"/>
      <c r="D604" s="15"/>
      <c r="E604" s="15"/>
      <c r="F604" s="15"/>
      <c r="G604" s="387"/>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row>
    <row r="605" ht="16.5" customHeight="1">
      <c r="A605" s="15"/>
      <c r="B605" s="32" t="s">
        <v>3479</v>
      </c>
      <c r="C605" s="21"/>
      <c r="D605" s="15"/>
      <c r="E605" s="32" t="s">
        <v>89</v>
      </c>
      <c r="F605" s="32" t="s">
        <v>291</v>
      </c>
      <c r="G605" s="387"/>
      <c r="H605" s="36"/>
      <c r="L605" s="11"/>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row>
    <row r="606" ht="16.5" customHeight="1">
      <c r="A606" s="15"/>
      <c r="B606" s="32" t="s">
        <v>3480</v>
      </c>
      <c r="C606" s="66" t="s">
        <v>3481</v>
      </c>
      <c r="D606" s="15"/>
      <c r="E606" s="32" t="s">
        <v>21</v>
      </c>
      <c r="F606" s="32" t="s">
        <v>51</v>
      </c>
      <c r="G606" s="430" t="str">
        <f>HYPERLINK("https://docs.google.com/spreadsheets/d/1grvewbIYoWJbDbnHFT93AbbrNJKMojyU3xsJSLUL4qg/edit#gid=1986997612", "https://docs.google.com/spreadsheets/d/1grvewbIYoWJbDbnHFT93AbbrNJKMojyU3xsJSLUL4qg/edit#gid=1986997612")</f>
        <v>https://docs.google.com/spreadsheets/d/1grvewbIYoWJbDbnHFT93AbbrNJKMojyU3xsJSLUL4qg/edit#gid=1986997612</v>
      </c>
      <c r="H606" s="32" t="s">
        <v>51</v>
      </c>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row>
    <row r="607" ht="16.5" customHeight="1">
      <c r="A607" s="15"/>
      <c r="B607" s="15"/>
      <c r="C607" s="21"/>
      <c r="D607" s="15"/>
      <c r="E607" s="32" t="s">
        <v>88</v>
      </c>
      <c r="F607" s="32" t="s">
        <v>95</v>
      </c>
      <c r="G607" s="430" t="str">
        <f>HYPERLINK("https://docs.google.com/spreadsheets/d/1grvewbIYoWJbDbnHFT93AbbrNJKMojyU3xsJSLUL4qg/edit#gid=1944689536", "https://docs.google.com/spreadsheets/d/1grvewbIYoWJbDbnHFT93AbbrNJKMojyU3xsJSLUL4qg/edit#gid=1944689536")</f>
        <v>https://docs.google.com/spreadsheets/d/1grvewbIYoWJbDbnHFT93AbbrNJKMojyU3xsJSLUL4qg/edit#gid=1944689536</v>
      </c>
      <c r="H607" s="32" t="s">
        <v>95</v>
      </c>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row>
    <row r="608" ht="16.5" customHeight="1">
      <c r="A608" s="15"/>
      <c r="B608" s="15"/>
      <c r="C608" s="21"/>
      <c r="D608" s="15"/>
      <c r="E608" s="32" t="s">
        <v>88</v>
      </c>
      <c r="F608" s="32" t="s">
        <v>96</v>
      </c>
      <c r="G608" s="430" t="str">
        <f>HYPERLINK("https://docs.google.com/spreadsheets/d/1grvewbIYoWJbDbnHFT93AbbrNJKMojyU3xsJSLUL4qg/edit#gid=1066052772", "https://docs.google.com/spreadsheets/d/1grvewbIYoWJbDbnHFT93AbbrNJKMojyU3xsJSLUL4qg/edit#gid=1066052772")</f>
        <v>https://docs.google.com/spreadsheets/d/1grvewbIYoWJbDbnHFT93AbbrNJKMojyU3xsJSLUL4qg/edit#gid=1066052772</v>
      </c>
      <c r="H608" s="32" t="s">
        <v>96</v>
      </c>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row>
    <row r="609" ht="16.5" customHeight="1">
      <c r="A609" s="15"/>
      <c r="B609" s="15"/>
      <c r="C609" s="21"/>
      <c r="D609" s="15"/>
      <c r="E609" s="32" t="s">
        <v>86</v>
      </c>
      <c r="F609" s="32" t="s">
        <v>90</v>
      </c>
      <c r="G609" s="430" t="str">
        <f>HYPERLINK("https://docs.google.com/spreadsheets/d/1grvewbIYoWJbDbnHFT93AbbrNJKMojyU3xsJSLUL4qg/edit#gid=130631114", "https://docs.google.com/spreadsheets/d/1grvewbIYoWJbDbnHFT93AbbrNJKMojyU3xsJSLUL4qg/edit#gid=130631114")</f>
        <v>https://docs.google.com/spreadsheets/d/1grvewbIYoWJbDbnHFT93AbbrNJKMojyU3xsJSLUL4qg/edit#gid=130631114</v>
      </c>
      <c r="H609" s="32" t="s">
        <v>90</v>
      </c>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row>
    <row r="610" ht="16.5" customHeight="1">
      <c r="A610" s="15"/>
      <c r="B610" s="15"/>
      <c r="C610" s="21"/>
      <c r="D610" s="15"/>
      <c r="E610" s="32" t="s">
        <v>86</v>
      </c>
      <c r="F610" s="32" t="s">
        <v>339</v>
      </c>
      <c r="G610" s="430" t="str">
        <f>HYPERLINK("https://docs.google.com/spreadsheets/d/1grvewbIYoWJbDbnHFT93AbbrNJKMojyU3xsJSLUL4qg/edit#gid=1193746639", "https://docs.google.com/spreadsheets/d/1grvewbIYoWJbDbnHFT93AbbrNJKMojyU3xsJSLUL4qg/edit#gid=1193746639")</f>
        <v>https://docs.google.com/spreadsheets/d/1grvewbIYoWJbDbnHFT93AbbrNJKMojyU3xsJSLUL4qg/edit#gid=1193746639</v>
      </c>
      <c r="H610" s="32" t="s">
        <v>339</v>
      </c>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row>
    <row r="611" ht="16.5" customHeight="1">
      <c r="A611" s="15"/>
      <c r="B611" s="15"/>
      <c r="C611" s="21"/>
      <c r="D611" s="15"/>
      <c r="E611" s="32" t="s">
        <v>178</v>
      </c>
      <c r="F611" s="32" t="s">
        <v>773</v>
      </c>
      <c r="G611" s="430" t="str">
        <f>HYPERLINK("https://docs.google.com/spreadsheets/d/1grvewbIYoWJbDbnHFT93AbbrNJKMojyU3xsJSLUL4qg/edit#gid=1385543647", "https://docs.google.com/spreadsheets/d/1grvewbIYoWJbDbnHFT93AbbrNJKMojyU3xsJSLUL4qg/edit#gid=1385543647")</f>
        <v>https://docs.google.com/spreadsheets/d/1grvewbIYoWJbDbnHFT93AbbrNJKMojyU3xsJSLUL4qg/edit#gid=1385543647</v>
      </c>
      <c r="H611" s="32" t="s">
        <v>773</v>
      </c>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row>
    <row r="612" ht="16.5" customHeight="1">
      <c r="A612" s="15"/>
      <c r="B612" s="15"/>
      <c r="C612" s="21"/>
      <c r="D612" s="15"/>
      <c r="E612" s="32" t="s">
        <v>178</v>
      </c>
      <c r="F612" s="32" t="s">
        <v>775</v>
      </c>
      <c r="G612" s="387"/>
      <c r="H612" s="36"/>
      <c r="L612" s="11"/>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row>
    <row r="613" ht="16.5" customHeight="1">
      <c r="A613" s="15"/>
      <c r="B613" s="15"/>
      <c r="C613" s="21"/>
      <c r="D613" s="15"/>
      <c r="E613" s="32" t="s">
        <v>178</v>
      </c>
      <c r="F613" s="32" t="s">
        <v>782</v>
      </c>
      <c r="G613" s="430" t="str">
        <f>HYPERLINK("https://docs.google.com/spreadsheets/d/1grvewbIYoWJbDbnHFT93AbbrNJKMojyU3xsJSLUL4qg/edit#gid=1202794051", "https://docs.google.com/spreadsheets/d/1grvewbIYoWJbDbnHFT93AbbrNJKMojyU3xsJSLUL4qg/edit#gid=1202794051")</f>
        <v>https://docs.google.com/spreadsheets/d/1grvewbIYoWJbDbnHFT93AbbrNJKMojyU3xsJSLUL4qg/edit#gid=1202794051</v>
      </c>
      <c r="H613" s="32" t="s">
        <v>782</v>
      </c>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row>
    <row r="614" ht="16.5" customHeight="1">
      <c r="A614" s="15"/>
      <c r="B614" s="15"/>
      <c r="C614" s="21"/>
      <c r="D614" s="15"/>
      <c r="E614" s="32"/>
      <c r="F614" s="32"/>
      <c r="G614" s="387"/>
      <c r="L614" s="11"/>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row>
    <row r="615" ht="16.5" customHeight="1">
      <c r="A615" s="15"/>
      <c r="B615" s="15"/>
      <c r="C615" s="21"/>
      <c r="D615" s="15"/>
      <c r="E615" s="15"/>
      <c r="F615" s="15"/>
      <c r="G615" s="387"/>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row>
    <row r="616" ht="16.5" customHeight="1">
      <c r="A616" s="15"/>
      <c r="B616" s="15"/>
      <c r="C616" s="21"/>
      <c r="D616" s="15"/>
      <c r="E616" s="15"/>
      <c r="F616" s="15"/>
      <c r="G616" s="387"/>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row>
    <row r="617" ht="16.5" customHeight="1">
      <c r="A617" s="15"/>
      <c r="B617" s="32" t="s">
        <v>3482</v>
      </c>
      <c r="C617" s="21"/>
      <c r="D617" s="15"/>
      <c r="E617" s="32" t="s">
        <v>89</v>
      </c>
      <c r="F617" s="32" t="s">
        <v>291</v>
      </c>
      <c r="G617" s="387"/>
      <c r="H617" s="36"/>
      <c r="L617" s="11"/>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row>
    <row r="618" ht="16.5" customHeight="1">
      <c r="A618" s="15"/>
      <c r="B618" s="15"/>
      <c r="C618" s="21"/>
      <c r="D618" s="15"/>
      <c r="E618" s="15"/>
      <c r="F618" s="15"/>
      <c r="G618" s="387"/>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row>
    <row r="619" ht="16.5" customHeight="1">
      <c r="A619" s="15"/>
      <c r="B619" s="32" t="s">
        <v>3483</v>
      </c>
      <c r="C619" s="66" t="s">
        <v>3484</v>
      </c>
      <c r="D619" s="32" t="s">
        <v>20</v>
      </c>
      <c r="E619" s="32" t="s">
        <v>300</v>
      </c>
      <c r="F619" s="32" t="s">
        <v>300</v>
      </c>
      <c r="G619" s="430" t="str">
        <f>HYPERLINK("https://docs.google.com/spreadsheets/d/1-CZmLwMECSuInwwJGm43FddxXLvHJL9heQB0T676aVc/edit#gid=3935142", "https://docs.google.com/spreadsheets/d/1-CZmLwMECSuInwwJGm43FddxXLvHJL9heQB0T676aVc/edit#gid=3935142")</f>
        <v>https://docs.google.com/spreadsheets/d/1-CZmLwMECSuInwwJGm43FddxXLvHJL9heQB0T676aVc/edit#gid=3935142</v>
      </c>
      <c r="H619" s="32" t="s">
        <v>300</v>
      </c>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row>
    <row r="620" ht="16.5" customHeight="1">
      <c r="A620" s="15"/>
      <c r="B620" s="15"/>
      <c r="C620" s="21"/>
      <c r="D620" s="15"/>
      <c r="E620" s="32" t="s">
        <v>88</v>
      </c>
      <c r="F620" s="32" t="s">
        <v>95</v>
      </c>
      <c r="G620" s="430" t="str">
        <f>HYPERLINK("https://docs.google.com/spreadsheets/d/1-CZmLwMECSuInwwJGm43FddxXLvHJL9heQB0T676aVc/edit#gid=506455160", "https://docs.google.com/spreadsheets/d/1-CZmLwMECSuInwwJGm43FddxXLvHJL9heQB0T676aVc/edit#gid=506455160")</f>
        <v>https://docs.google.com/spreadsheets/d/1-CZmLwMECSuInwwJGm43FddxXLvHJL9heQB0T676aVc/edit#gid=506455160</v>
      </c>
      <c r="H620" s="32" t="s">
        <v>95</v>
      </c>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row>
    <row r="621" ht="16.5" customHeight="1">
      <c r="A621" s="15"/>
      <c r="B621" s="15"/>
      <c r="C621" s="21"/>
      <c r="D621" s="15"/>
      <c r="E621" s="32" t="s">
        <v>88</v>
      </c>
      <c r="F621" s="32" t="s">
        <v>125</v>
      </c>
      <c r="G621" s="430" t="str">
        <f>HYPERLINK("https://docs.google.com/spreadsheets/d/1-CZmLwMECSuInwwJGm43FddxXLvHJL9heQB0T676aVc/edit#gid=493134641", "https://docs.google.com/spreadsheets/d/1-CZmLwMECSuInwwJGm43FddxXLvHJL9heQB0T676aVc/edit#gid=493134641")</f>
        <v>https://docs.google.com/spreadsheets/d/1-CZmLwMECSuInwwJGm43FddxXLvHJL9heQB0T676aVc/edit#gid=493134641</v>
      </c>
      <c r="H621" s="35" t="s">
        <v>125</v>
      </c>
      <c r="L621" s="11"/>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row>
    <row r="622" ht="16.5" customHeight="1">
      <c r="A622" s="15"/>
      <c r="B622" s="15"/>
      <c r="C622" s="21"/>
      <c r="D622" s="15"/>
      <c r="E622" s="32" t="s">
        <v>88</v>
      </c>
      <c r="F622" s="32" t="s">
        <v>675</v>
      </c>
      <c r="G622" s="430" t="str">
        <f>HYPERLINK("https://docs.google.com/spreadsheets/d/1-CZmLwMECSuInwwJGm43FddxXLvHJL9heQB0T676aVc/edit#gid=1659919382", "https://docs.google.com/spreadsheets/d/1-CZmLwMECSuInwwJGm43FddxXLvHJL9heQB0T676aVc/edit#gid=1659919382")</f>
        <v>https://docs.google.com/spreadsheets/d/1-CZmLwMECSuInwwJGm43FddxXLvHJL9heQB0T676aVc/edit#gid=1659919382</v>
      </c>
      <c r="H622" s="32" t="s">
        <v>675</v>
      </c>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row>
    <row r="623" ht="16.5" customHeight="1">
      <c r="A623" s="15"/>
      <c r="B623" s="15"/>
      <c r="C623" s="21"/>
      <c r="D623" s="15"/>
      <c r="E623" s="32" t="s">
        <v>178</v>
      </c>
      <c r="F623" s="32" t="s">
        <v>179</v>
      </c>
      <c r="G623" s="430" t="str">
        <f>HYPERLINK("https://docs.google.com/spreadsheets/d/1-CZmLwMECSuInwwJGm43FddxXLvHJL9heQB0T676aVc/edit#gid=163044273", "https://docs.google.com/spreadsheets/d/1-CZmLwMECSuInwwJGm43FddxXLvHJL9heQB0T676aVc/edit#gid=163044273")</f>
        <v>https://docs.google.com/spreadsheets/d/1-CZmLwMECSuInwwJGm43FddxXLvHJL9heQB0T676aVc/edit#gid=163044273</v>
      </c>
      <c r="H623" s="32" t="s">
        <v>179</v>
      </c>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row>
    <row r="624" ht="16.5" customHeight="1">
      <c r="A624" s="15"/>
      <c r="B624" s="15"/>
      <c r="C624" s="21"/>
      <c r="D624" s="15"/>
      <c r="E624" s="32" t="s">
        <v>178</v>
      </c>
      <c r="F624" s="32" t="s">
        <v>180</v>
      </c>
      <c r="G624" s="430" t="str">
        <f>HYPERLINK("https://docs.google.com/spreadsheets/d/1-CZmLwMECSuInwwJGm43FddxXLvHJL9heQB0T676aVc/edit#gid=680592407", "https://docs.google.com/spreadsheets/d/1-CZmLwMECSuInwwJGm43FddxXLvHJL9heQB0T676aVc/edit#gid=680592407")</f>
        <v>https://docs.google.com/spreadsheets/d/1-CZmLwMECSuInwwJGm43FddxXLvHJL9heQB0T676aVc/edit#gid=680592407</v>
      </c>
      <c r="H624" s="32" t="s">
        <v>180</v>
      </c>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row>
    <row r="625" ht="16.5" customHeight="1">
      <c r="A625" s="15"/>
      <c r="B625" s="32"/>
      <c r="C625" s="21"/>
      <c r="D625" s="32"/>
      <c r="E625" s="32" t="s">
        <v>178</v>
      </c>
      <c r="F625" s="32" t="s">
        <v>207</v>
      </c>
      <c r="G625" s="430" t="str">
        <f>HYPERLINK("https://docs.google.com/spreadsheets/d/1-CZmLwMECSuInwwJGm43FddxXLvHJL9heQB0T676aVc/edit#gid=1678922591", "https://docs.google.com/spreadsheets/d/1-CZmLwMECSuInwwJGm43FddxXLvHJL9heQB0T676aVc/edit#gid=1678922591")</f>
        <v>https://docs.google.com/spreadsheets/d/1-CZmLwMECSuInwwJGm43FddxXLvHJL9heQB0T676aVc/edit#gid=1678922591</v>
      </c>
      <c r="H625" s="32" t="s">
        <v>207</v>
      </c>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row>
    <row r="626" ht="16.5" customHeight="1">
      <c r="A626" s="15"/>
      <c r="B626" s="15"/>
      <c r="C626" s="21"/>
      <c r="D626" s="15"/>
      <c r="E626" s="32" t="s">
        <v>178</v>
      </c>
      <c r="F626" s="32" t="s">
        <v>179</v>
      </c>
      <c r="G626" s="430" t="str">
        <f>HYPERLINK("https://docs.google.com/spreadsheets/d/1-CZmLwMECSuInwwJGm43FddxXLvHJL9heQB0T676aVc/edit#gid=163044273", "https://docs.google.com/spreadsheets/d/1-CZmLwMECSuInwwJGm43FddxXLvHJL9heQB0T676aVc/edit#gid=163044273")</f>
        <v>https://docs.google.com/spreadsheets/d/1-CZmLwMECSuInwwJGm43FddxXLvHJL9heQB0T676aVc/edit#gid=163044273</v>
      </c>
      <c r="H626" s="32" t="s">
        <v>179</v>
      </c>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row>
    <row r="627" ht="16.5" customHeight="1">
      <c r="A627" s="15"/>
      <c r="B627" s="15"/>
      <c r="C627" s="21"/>
      <c r="D627" s="15"/>
      <c r="E627" s="32" t="s">
        <v>178</v>
      </c>
      <c r="F627" s="32" t="s">
        <v>180</v>
      </c>
      <c r="G627" s="430" t="str">
        <f>HYPERLINK("https://docs.google.com/spreadsheets/d/1-CZmLwMECSuInwwJGm43FddxXLvHJL9heQB0T676aVc/edit#gid=680592407", "https://docs.google.com/spreadsheets/d/1-CZmLwMECSuInwwJGm43FddxXLvHJL9heQB0T676aVc/edit#gid=680592407")</f>
        <v>https://docs.google.com/spreadsheets/d/1-CZmLwMECSuInwwJGm43FddxXLvHJL9heQB0T676aVc/edit#gid=680592407</v>
      </c>
      <c r="H627" s="32" t="s">
        <v>180</v>
      </c>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row>
    <row r="628" ht="16.5" customHeight="1">
      <c r="A628" s="15"/>
      <c r="B628" s="15"/>
      <c r="C628" s="21"/>
      <c r="D628" s="15"/>
      <c r="E628" s="15"/>
      <c r="F628" s="15"/>
      <c r="G628" s="387"/>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row>
    <row r="629" ht="16.5" customHeight="1">
      <c r="A629" s="15"/>
      <c r="B629" s="15"/>
      <c r="C629" s="21"/>
      <c r="D629" s="15"/>
      <c r="E629" s="15"/>
      <c r="F629" s="15"/>
      <c r="G629" s="387"/>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row>
    <row r="630" ht="16.5" customHeight="1">
      <c r="A630" s="15"/>
      <c r="B630" s="32" t="s">
        <v>3485</v>
      </c>
      <c r="C630" s="21"/>
      <c r="D630" s="32"/>
      <c r="E630" s="32" t="s">
        <v>89</v>
      </c>
      <c r="F630" s="32" t="s">
        <v>291</v>
      </c>
      <c r="G630" s="387"/>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row>
    <row r="631" ht="16.5" customHeight="1">
      <c r="A631" s="15"/>
      <c r="B631" s="15"/>
      <c r="C631" s="21"/>
      <c r="D631" s="15"/>
      <c r="E631" s="15"/>
      <c r="F631" s="15"/>
      <c r="G631" s="387"/>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row>
    <row r="632" ht="16.5" customHeight="1">
      <c r="A632" s="15"/>
      <c r="B632" s="32" t="s">
        <v>3486</v>
      </c>
      <c r="C632" s="21"/>
      <c r="D632" s="32" t="s">
        <v>20</v>
      </c>
      <c r="E632" s="32" t="s">
        <v>21</v>
      </c>
      <c r="F632" s="32" t="s">
        <v>51</v>
      </c>
      <c r="G632" s="430" t="str">
        <f>HYPERLINK("https://docs.google.com/spreadsheets/d/1hNePPqLeSM6xtG6LDIZNbGT3miNPmVfEceO3GF123j0/edit#gid=1692332436", "https://docs.google.com/spreadsheets/d/1hNePPqLeSM6xtG6LDIZNbGT3miNPmVfEceO3GF123j0/edit#gid=1692332436")</f>
        <v>https://docs.google.com/spreadsheets/d/1hNePPqLeSM6xtG6LDIZNbGT3miNPmVfEceO3GF123j0/edit#gid=1692332436</v>
      </c>
      <c r="H632" s="32" t="s">
        <v>51</v>
      </c>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row>
    <row r="633" ht="16.5" customHeight="1">
      <c r="A633" s="15"/>
      <c r="B633" s="15"/>
      <c r="C633" s="21"/>
      <c r="D633" s="15"/>
      <c r="E633" s="32" t="s">
        <v>88</v>
      </c>
      <c r="F633" s="32" t="s">
        <v>95</v>
      </c>
      <c r="G633" s="430" t="str">
        <f>HYPERLINK("https://docs.google.com/spreadsheets/d/1hNePPqLeSM6xtG6LDIZNbGT3miNPmVfEceO3GF123j0/edit#gid=935914785", "https://docs.google.com/spreadsheets/d/1hNePPqLeSM6xtG6LDIZNbGT3miNPmVfEceO3GF123j0/edit#gid=935914785")</f>
        <v>https://docs.google.com/spreadsheets/d/1hNePPqLeSM6xtG6LDIZNbGT3miNPmVfEceO3GF123j0/edit#gid=935914785</v>
      </c>
      <c r="H633" s="32" t="s">
        <v>95</v>
      </c>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row>
    <row r="634" ht="16.5" customHeight="1">
      <c r="A634" s="15"/>
      <c r="B634" s="15"/>
      <c r="C634" s="21"/>
      <c r="D634" s="15"/>
      <c r="E634" s="32" t="s">
        <v>88</v>
      </c>
      <c r="F634" s="32" t="s">
        <v>96</v>
      </c>
      <c r="G634" s="430" t="str">
        <f>HYPERLINK("https://docs.google.com/spreadsheets/d/1hNePPqLeSM6xtG6LDIZNbGT3miNPmVfEceO3GF123j0/edit#gid=38694487", "https://docs.google.com/spreadsheets/d/1hNePPqLeSM6xtG6LDIZNbGT3miNPmVfEceO3GF123j0/edit#gid=38694487")</f>
        <v>https://docs.google.com/spreadsheets/d/1hNePPqLeSM6xtG6LDIZNbGT3miNPmVfEceO3GF123j0/edit#gid=38694487</v>
      </c>
      <c r="H634" s="32" t="s">
        <v>96</v>
      </c>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row>
    <row r="635" ht="16.5" customHeight="1">
      <c r="A635" s="15"/>
      <c r="B635" s="15"/>
      <c r="C635" s="21"/>
      <c r="D635" s="15"/>
      <c r="E635" s="32" t="s">
        <v>178</v>
      </c>
      <c r="F635" s="32" t="s">
        <v>209</v>
      </c>
      <c r="G635" s="430" t="str">
        <f>HYPERLINK("https://docs.google.com/spreadsheets/d/1hNePPqLeSM6xtG6LDIZNbGT3miNPmVfEceO3GF123j0/edit#gid=383500406", "https://docs.google.com/spreadsheets/d/1hNePPqLeSM6xtG6LDIZNbGT3miNPmVfEceO3GF123j0/edit#gid=383500406")</f>
        <v>https://docs.google.com/spreadsheets/d/1hNePPqLeSM6xtG6LDIZNbGT3miNPmVfEceO3GF123j0/edit#gid=383500406</v>
      </c>
      <c r="H635" s="32" t="s">
        <v>209</v>
      </c>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row>
    <row r="636" ht="16.5" customHeight="1">
      <c r="A636" s="15"/>
      <c r="B636" s="15"/>
      <c r="C636" s="21"/>
      <c r="D636" s="15"/>
      <c r="E636" s="32" t="s">
        <v>178</v>
      </c>
      <c r="F636" s="32" t="s">
        <v>210</v>
      </c>
      <c r="G636" s="430" t="str">
        <f>HYPERLINK("https://docs.google.com/spreadsheets/d/1hNePPqLeSM6xtG6LDIZNbGT3miNPmVfEceO3GF123j0/edit#gid=1843480072", "https://docs.google.com/spreadsheets/d/1hNePPqLeSM6xtG6LDIZNbGT3miNPmVfEceO3GF123j0/edit#gid=1843480072")</f>
        <v>https://docs.google.com/spreadsheets/d/1hNePPqLeSM6xtG6LDIZNbGT3miNPmVfEceO3GF123j0/edit#gid=1843480072</v>
      </c>
      <c r="H636" s="32" t="s">
        <v>210</v>
      </c>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row>
    <row r="637" ht="16.5" customHeight="1">
      <c r="A637" s="15"/>
      <c r="B637" s="15"/>
      <c r="C637" s="21"/>
      <c r="D637" s="15"/>
      <c r="E637" s="32" t="s">
        <v>178</v>
      </c>
      <c r="F637" s="32" t="s">
        <v>773</v>
      </c>
      <c r="G637" s="430" t="str">
        <f>HYPERLINK("https://docs.google.com/spreadsheets/d/1hNePPqLeSM6xtG6LDIZNbGT3miNPmVfEceO3GF123j0/edit#gid=134577642", "https://docs.google.com/spreadsheets/d/1hNePPqLeSM6xtG6LDIZNbGT3miNPmVfEceO3GF123j0/edit#gid=134577642")</f>
        <v>https://docs.google.com/spreadsheets/d/1hNePPqLeSM6xtG6LDIZNbGT3miNPmVfEceO3GF123j0/edit#gid=134577642</v>
      </c>
      <c r="H637" s="32" t="s">
        <v>773</v>
      </c>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row>
    <row r="638" ht="16.5" customHeight="1">
      <c r="A638" s="15"/>
      <c r="B638" s="15"/>
      <c r="C638" s="21"/>
      <c r="D638" s="15"/>
      <c r="E638" s="32" t="s">
        <v>178</v>
      </c>
      <c r="F638" s="32" t="s">
        <v>775</v>
      </c>
      <c r="G638" s="387"/>
      <c r="H638" s="36"/>
      <c r="L638" s="11"/>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row>
    <row r="639" ht="16.5" customHeight="1">
      <c r="A639" s="15"/>
      <c r="B639" s="15"/>
      <c r="C639" s="21"/>
      <c r="D639" s="15"/>
      <c r="E639" s="32" t="s">
        <v>178</v>
      </c>
      <c r="F639" s="32" t="s">
        <v>782</v>
      </c>
      <c r="G639" s="430" t="str">
        <f>HYPERLINK("https://docs.google.com/spreadsheets/d/1hNePPqLeSM6xtG6LDIZNbGT3miNPmVfEceO3GF123j0/edit#gid=1526468605", "https://docs.google.com/spreadsheets/d/1hNePPqLeSM6xtG6LDIZNbGT3miNPmVfEceO3GF123j0/edit#gid=1526468605")</f>
        <v>https://docs.google.com/spreadsheets/d/1hNePPqLeSM6xtG6LDIZNbGT3miNPmVfEceO3GF123j0/edit#gid=1526468605</v>
      </c>
      <c r="H639" s="32" t="s">
        <v>782</v>
      </c>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row>
    <row r="640" ht="16.5" customHeight="1">
      <c r="A640" s="15"/>
      <c r="B640" s="15"/>
      <c r="C640" s="21"/>
      <c r="D640" s="15"/>
      <c r="E640" s="32" t="s">
        <v>86</v>
      </c>
      <c r="F640" s="32" t="s">
        <v>90</v>
      </c>
      <c r="G640" s="430" t="str">
        <f>HYPERLINK("https://docs.google.com/spreadsheets/d/1hNePPqLeSM6xtG6LDIZNbGT3miNPmVfEceO3GF123j0/edit#gid=520377211", "https://docs.google.com/spreadsheets/d/1hNePPqLeSM6xtG6LDIZNbGT3miNPmVfEceO3GF123j0/edit#gid=520377211")</f>
        <v>https://docs.google.com/spreadsheets/d/1hNePPqLeSM6xtG6LDIZNbGT3miNPmVfEceO3GF123j0/edit#gid=520377211</v>
      </c>
      <c r="H640" s="32" t="s">
        <v>90</v>
      </c>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row>
    <row r="641" ht="16.5" customHeight="1">
      <c r="A641" s="15"/>
      <c r="B641" s="15"/>
      <c r="C641" s="21"/>
      <c r="D641" s="15"/>
      <c r="E641" s="32" t="s">
        <v>86</v>
      </c>
      <c r="F641" s="32" t="s">
        <v>339</v>
      </c>
      <c r="G641" s="430" t="str">
        <f>HYPERLINK("https://docs.google.com/spreadsheets/d/1hNePPqLeSM6xtG6LDIZNbGT3miNPmVfEceO3GF123j0/edit#gid=1435075934", "https://docs.google.com/spreadsheets/d/1hNePPqLeSM6xtG6LDIZNbGT3miNPmVfEceO3GF123j0/edit#gid=1435075934")</f>
        <v>https://docs.google.com/spreadsheets/d/1hNePPqLeSM6xtG6LDIZNbGT3miNPmVfEceO3GF123j0/edit#gid=1435075934</v>
      </c>
      <c r="H641" s="32" t="s">
        <v>339</v>
      </c>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row>
    <row r="642" ht="16.5" customHeight="1">
      <c r="A642" s="15"/>
      <c r="B642" s="15"/>
      <c r="C642" s="21"/>
      <c r="D642" s="15"/>
      <c r="E642" s="32" t="s">
        <v>178</v>
      </c>
      <c r="F642" s="32" t="s">
        <v>773</v>
      </c>
      <c r="G642" s="430" t="str">
        <f>HYPERLINK("https://docs.google.com/spreadsheets/d/1hNePPqLeSM6xtG6LDIZNbGT3miNPmVfEceO3GF123j0/edit#gid=1934612444", "https://docs.google.com/spreadsheets/d/1hNePPqLeSM6xtG6LDIZNbGT3miNPmVfEceO3GF123j0/edit#gid=1934612444")</f>
        <v>https://docs.google.com/spreadsheets/d/1hNePPqLeSM6xtG6LDIZNbGT3miNPmVfEceO3GF123j0/edit#gid=1934612444</v>
      </c>
      <c r="H642" s="32" t="s">
        <v>3067</v>
      </c>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row>
    <row r="643" ht="16.5" customHeight="1">
      <c r="A643" s="15"/>
      <c r="B643" s="15"/>
      <c r="C643" s="21"/>
      <c r="D643" s="15"/>
      <c r="E643" s="32" t="s">
        <v>178</v>
      </c>
      <c r="F643" s="32" t="s">
        <v>775</v>
      </c>
      <c r="G643" s="387"/>
      <c r="H643" s="36"/>
      <c r="L643" s="11"/>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row>
    <row r="644" ht="16.5" customHeight="1">
      <c r="A644" s="15"/>
      <c r="B644" s="15"/>
      <c r="C644" s="21"/>
      <c r="D644" s="15"/>
      <c r="E644" s="32" t="s">
        <v>178</v>
      </c>
      <c r="F644" s="32" t="s">
        <v>782</v>
      </c>
      <c r="G644" s="430" t="str">
        <f>HYPERLINK("https://docs.google.com/spreadsheets/d/1hNePPqLeSM6xtG6LDIZNbGT3miNPmVfEceO3GF123j0/edit#gid=1971726389", "https://docs.google.com/spreadsheets/d/1hNePPqLeSM6xtG6LDIZNbGT3miNPmVfEceO3GF123j0/edit#gid=1971726389")</f>
        <v>https://docs.google.com/spreadsheets/d/1hNePPqLeSM6xtG6LDIZNbGT3miNPmVfEceO3GF123j0/edit#gid=1971726389</v>
      </c>
      <c r="H644" s="32" t="s">
        <v>3069</v>
      </c>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row>
    <row r="645" ht="16.5" customHeight="1">
      <c r="A645" s="15"/>
      <c r="B645" s="15"/>
      <c r="C645" s="21"/>
      <c r="D645" s="15"/>
      <c r="E645" s="32" t="s">
        <v>172</v>
      </c>
      <c r="F645" s="32" t="s">
        <v>173</v>
      </c>
      <c r="G645" s="430" t="str">
        <f>HYPERLINK("https://docs.google.com/spreadsheets/d/1hNePPqLeSM6xtG6LDIZNbGT3miNPmVfEceO3GF123j0/edit#gid=1555808058", "https://docs.google.com/spreadsheets/d/1hNePPqLeSM6xtG6LDIZNbGT3miNPmVfEceO3GF123j0/edit#gid=1555808058")</f>
        <v>https://docs.google.com/spreadsheets/d/1hNePPqLeSM6xtG6LDIZNbGT3miNPmVfEceO3GF123j0/edit#gid=1555808058</v>
      </c>
      <c r="H645" s="32" t="s">
        <v>173</v>
      </c>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row>
    <row r="646" ht="16.5" customHeight="1">
      <c r="A646" s="15"/>
      <c r="B646" s="15"/>
      <c r="C646" s="21"/>
      <c r="D646" s="15"/>
      <c r="E646" s="32" t="s">
        <v>172</v>
      </c>
      <c r="F646" s="32" t="s">
        <v>174</v>
      </c>
      <c r="G646" s="430" t="str">
        <f>HYPERLINK("https://docs.google.com/spreadsheets/d/1hNePPqLeSM6xtG6LDIZNbGT3miNPmVfEceO3GF123j0/edit#gid=722286729", "https://docs.google.com/spreadsheets/d/1hNePPqLeSM6xtG6LDIZNbGT3miNPmVfEceO3GF123j0/edit#gid=722286729")</f>
        <v>https://docs.google.com/spreadsheets/d/1hNePPqLeSM6xtG6LDIZNbGT3miNPmVfEceO3GF123j0/edit#gid=722286729</v>
      </c>
      <c r="H646" s="32" t="s">
        <v>174</v>
      </c>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row>
    <row r="647" ht="16.5" customHeight="1">
      <c r="A647" s="15"/>
      <c r="B647" s="15"/>
      <c r="C647" s="21"/>
      <c r="D647" s="15"/>
      <c r="E647" s="32" t="s">
        <v>178</v>
      </c>
      <c r="F647" s="32" t="s">
        <v>207</v>
      </c>
      <c r="G647" s="430" t="str">
        <f>HYPERLINK("https://docs.google.com/spreadsheets/d/1hNePPqLeSM6xtG6LDIZNbGT3miNPmVfEceO3GF123j0/edit#gid=960583928", "https://docs.google.com/spreadsheets/d/1hNePPqLeSM6xtG6LDIZNbGT3miNPmVfEceO3GF123j0/edit#gid=960583928")</f>
        <v>https://docs.google.com/spreadsheets/d/1hNePPqLeSM6xtG6LDIZNbGT3miNPmVfEceO3GF123j0/edit#gid=960583928</v>
      </c>
      <c r="H647" s="32" t="s">
        <v>207</v>
      </c>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row>
    <row r="648" ht="16.5" customHeight="1">
      <c r="A648" s="15"/>
      <c r="B648" s="15"/>
      <c r="C648" s="21"/>
      <c r="D648" s="15"/>
      <c r="E648" s="32" t="s">
        <v>178</v>
      </c>
      <c r="F648" s="32" t="s">
        <v>208</v>
      </c>
      <c r="G648" s="430" t="str">
        <f>HYPERLINK("https://docs.google.com/spreadsheets/d/1hNePPqLeSM6xtG6LDIZNbGT3miNPmVfEceO3GF123j0/edit#gid=662889527", "https://docs.google.com/spreadsheets/d/1hNePPqLeSM6xtG6LDIZNbGT3miNPmVfEceO3GF123j0/edit#gid=662889527")</f>
        <v>https://docs.google.com/spreadsheets/d/1hNePPqLeSM6xtG6LDIZNbGT3miNPmVfEceO3GF123j0/edit#gid=662889527</v>
      </c>
      <c r="H648" s="32" t="s">
        <v>208</v>
      </c>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row>
    <row r="649" ht="16.5" customHeight="1">
      <c r="A649" s="15"/>
      <c r="B649" s="15"/>
      <c r="C649" s="21"/>
      <c r="D649" s="15"/>
      <c r="E649" s="32" t="s">
        <v>178</v>
      </c>
      <c r="F649" s="32" t="s">
        <v>182</v>
      </c>
      <c r="G649" s="430" t="str">
        <f>HYPERLINK("https://docs.google.com/spreadsheets/d/1hNePPqLeSM6xtG6LDIZNbGT3miNPmVfEceO3GF123j0/edit#gid=1777522000", "https://docs.google.com/spreadsheets/d/1hNePPqLeSM6xtG6LDIZNbGT3miNPmVfEceO3GF123j0/edit#gid=1777522000")</f>
        <v>https://docs.google.com/spreadsheets/d/1hNePPqLeSM6xtG6LDIZNbGT3miNPmVfEceO3GF123j0/edit#gid=1777522000</v>
      </c>
      <c r="H649" s="32" t="s">
        <v>182</v>
      </c>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row>
    <row r="650" ht="16.5" customHeight="1">
      <c r="A650" s="15"/>
      <c r="B650" s="15"/>
      <c r="C650" s="21"/>
      <c r="D650" s="15"/>
      <c r="E650" s="15"/>
      <c r="F650" s="15"/>
      <c r="G650" s="387"/>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row>
    <row r="651" ht="16.5" customHeight="1">
      <c r="A651" s="15"/>
      <c r="B651" s="15"/>
      <c r="C651" s="21"/>
      <c r="D651" s="15"/>
      <c r="E651" s="15"/>
      <c r="F651" s="15"/>
      <c r="G651" s="387"/>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row>
    <row r="652" ht="16.5" customHeight="1">
      <c r="A652" s="15"/>
      <c r="B652" s="32" t="s">
        <v>3487</v>
      </c>
      <c r="C652" s="21"/>
      <c r="D652" s="15"/>
      <c r="E652" s="32" t="s">
        <v>89</v>
      </c>
      <c r="F652" s="32" t="s">
        <v>291</v>
      </c>
      <c r="G652" s="430" t="str">
        <f>HYPERLINK("https://docs.google.com/spreadsheets/d/1o2rDYOo2jI8sNYtBm8IFijQM9KCtBg1BXkCoh0buyZ4/edit#gid=441582131", "https://docs.google.com/spreadsheets/d/1o2rDYOo2jI8sNYtBm8IFijQM9KCtBg1BXkCoh0buyZ4/edit#gid=441582131")</f>
        <v>https://docs.google.com/spreadsheets/d/1o2rDYOo2jI8sNYtBm8IFijQM9KCtBg1BXkCoh0buyZ4/edit#gid=441582131</v>
      </c>
      <c r="H652" s="32" t="s">
        <v>291</v>
      </c>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row>
    <row r="653" ht="16.5" customHeight="1">
      <c r="A653" s="15"/>
      <c r="B653" s="15"/>
      <c r="C653" s="21"/>
      <c r="D653" s="15"/>
      <c r="E653" s="15"/>
      <c r="F653" s="15"/>
      <c r="G653" s="387"/>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row>
    <row r="654" ht="16.5" customHeight="1">
      <c r="A654" s="15"/>
      <c r="B654" s="32" t="s">
        <v>3488</v>
      </c>
      <c r="C654" s="21"/>
      <c r="D654" s="32" t="s">
        <v>20</v>
      </c>
      <c r="E654" s="32" t="s">
        <v>21</v>
      </c>
      <c r="F654" s="32" t="s">
        <v>51</v>
      </c>
      <c r="G654" s="430" t="str">
        <f>HYPERLINK("https://docs.google.com/spreadsheets/d/1AKTulvllR1UAHjq0Hq40cv8ZEmm-ZzPxJGNKwqocirU/edit#gid=697300726", "https://docs.google.com/spreadsheets/d/1AKTulvllR1UAHjq0Hq40cv8ZEmm-ZzPxJGNKwqocirU/edit#gid=697300726")</f>
        <v>https://docs.google.com/spreadsheets/d/1AKTulvllR1UAHjq0Hq40cv8ZEmm-ZzPxJGNKwqocirU/edit#gid=697300726</v>
      </c>
      <c r="H654" s="32" t="s">
        <v>51</v>
      </c>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row>
    <row r="655" ht="16.5" customHeight="1">
      <c r="A655" s="15"/>
      <c r="B655" s="15"/>
      <c r="C655" s="21"/>
      <c r="D655" s="15"/>
      <c r="E655" s="32" t="s">
        <v>88</v>
      </c>
      <c r="F655" s="32" t="s">
        <v>95</v>
      </c>
      <c r="G655" s="430" t="str">
        <f>HYPERLINK("https://docs.google.com/spreadsheets/d/1AKTulvllR1UAHjq0Hq40cv8ZEmm-ZzPxJGNKwqocirU/edit#gid=1026757410", "https://docs.google.com/spreadsheets/d/1AKTulvllR1UAHjq0Hq40cv8ZEmm-ZzPxJGNKwqocirU/edit#gid=1026757410")</f>
        <v>https://docs.google.com/spreadsheets/d/1AKTulvllR1UAHjq0Hq40cv8ZEmm-ZzPxJGNKwqocirU/edit#gid=1026757410</v>
      </c>
      <c r="H655" s="32" t="s">
        <v>95</v>
      </c>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row>
    <row r="656" ht="16.5" customHeight="1">
      <c r="A656" s="15"/>
      <c r="B656" s="15"/>
      <c r="C656" s="21"/>
      <c r="D656" s="15"/>
      <c r="E656" s="32" t="s">
        <v>88</v>
      </c>
      <c r="F656" s="32" t="s">
        <v>96</v>
      </c>
      <c r="G656" s="430" t="str">
        <f>HYPERLINK("https://docs.google.com/spreadsheets/d/1AKTulvllR1UAHjq0Hq40cv8ZEmm-ZzPxJGNKwqocirU/edit#gid=1974293919", "https://docs.google.com/spreadsheets/d/1AKTulvllR1UAHjq0Hq40cv8ZEmm-ZzPxJGNKwqocirU/edit#gid=1974293919")</f>
        <v>https://docs.google.com/spreadsheets/d/1AKTulvllR1UAHjq0Hq40cv8ZEmm-ZzPxJGNKwqocirU/edit#gid=1974293919</v>
      </c>
      <c r="H656" s="32" t="s">
        <v>96</v>
      </c>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row>
    <row r="657" ht="16.5" customHeight="1">
      <c r="A657" s="15"/>
      <c r="B657" s="15"/>
      <c r="C657" s="21"/>
      <c r="D657" s="15"/>
      <c r="E657" s="32" t="s">
        <v>178</v>
      </c>
      <c r="F657" s="32" t="s">
        <v>209</v>
      </c>
      <c r="G657" s="430" t="str">
        <f>HYPERLINK("https://docs.google.com/spreadsheets/d/1AKTulvllR1UAHjq0Hq40cv8ZEmm-ZzPxJGNKwqocirU/edit#gid=1131223549", "https://docs.google.com/spreadsheets/d/1AKTulvllR1UAHjq0Hq40cv8ZEmm-ZzPxJGNKwqocirU/edit#gid=1131223549")</f>
        <v>https://docs.google.com/spreadsheets/d/1AKTulvllR1UAHjq0Hq40cv8ZEmm-ZzPxJGNKwqocirU/edit#gid=1131223549</v>
      </c>
      <c r="H657" s="32" t="s">
        <v>209</v>
      </c>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row>
    <row r="658" ht="16.5" customHeight="1">
      <c r="A658" s="15"/>
      <c r="B658" s="15"/>
      <c r="C658" s="21"/>
      <c r="D658" s="15"/>
      <c r="E658" s="32" t="s">
        <v>178</v>
      </c>
      <c r="F658" s="32" t="s">
        <v>210</v>
      </c>
      <c r="G658" s="430" t="str">
        <f>HYPERLINK("https://docs.google.com/spreadsheets/d/1AKTulvllR1UAHjq0Hq40cv8ZEmm-ZzPxJGNKwqocirU/edit#gid=833744918", "https://docs.google.com/spreadsheets/d/1AKTulvllR1UAHjq0Hq40cv8ZEmm-ZzPxJGNKwqocirU/edit#gid=833744918")</f>
        <v>https://docs.google.com/spreadsheets/d/1AKTulvllR1UAHjq0Hq40cv8ZEmm-ZzPxJGNKwqocirU/edit#gid=833744918</v>
      </c>
      <c r="H658" s="32" t="s">
        <v>210</v>
      </c>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row>
    <row r="659" ht="16.5" customHeight="1">
      <c r="A659" s="15"/>
      <c r="B659" s="15"/>
      <c r="C659" s="21"/>
      <c r="D659" s="15"/>
      <c r="E659" s="32" t="s">
        <v>178</v>
      </c>
      <c r="F659" s="32" t="s">
        <v>773</v>
      </c>
      <c r="G659" s="430" t="str">
        <f>HYPERLINK("https://docs.google.com/spreadsheets/d/1AKTulvllR1UAHjq0Hq40cv8ZEmm-ZzPxJGNKwqocirU/edit#gid=1022315404", "https://docs.google.com/spreadsheets/d/1AKTulvllR1UAHjq0Hq40cv8ZEmm-ZzPxJGNKwqocirU/edit#gid=1022315404")</f>
        <v>https://docs.google.com/spreadsheets/d/1AKTulvllR1UAHjq0Hq40cv8ZEmm-ZzPxJGNKwqocirU/edit#gid=1022315404</v>
      </c>
      <c r="H659" s="32" t="s">
        <v>773</v>
      </c>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row>
    <row r="660" ht="16.5" customHeight="1">
      <c r="A660" s="15"/>
      <c r="B660" s="15"/>
      <c r="C660" s="21"/>
      <c r="D660" s="15"/>
      <c r="E660" s="32" t="s">
        <v>178</v>
      </c>
      <c r="F660" s="32" t="s">
        <v>775</v>
      </c>
      <c r="G660" s="387"/>
      <c r="H660" s="36"/>
      <c r="L660" s="11"/>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row>
    <row r="661" ht="16.5" customHeight="1">
      <c r="A661" s="15"/>
      <c r="B661" s="15"/>
      <c r="C661" s="21"/>
      <c r="D661" s="15"/>
      <c r="E661" s="32" t="s">
        <v>178</v>
      </c>
      <c r="F661" s="32" t="s">
        <v>782</v>
      </c>
      <c r="G661" s="430" t="str">
        <f>HYPERLINK("https://docs.google.com/spreadsheets/d/1AKTulvllR1UAHjq0Hq40cv8ZEmm-ZzPxJGNKwqocirU/edit#gid=2016479961", "https://docs.google.com/spreadsheets/d/1AKTulvllR1UAHjq0Hq40cv8ZEmm-ZzPxJGNKwqocirU/edit#gid=2016479961")</f>
        <v>https://docs.google.com/spreadsheets/d/1AKTulvllR1UAHjq0Hq40cv8ZEmm-ZzPxJGNKwqocirU/edit#gid=2016479961</v>
      </c>
      <c r="H661" s="32" t="s">
        <v>782</v>
      </c>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row>
    <row r="662" ht="16.5" customHeight="1">
      <c r="A662" s="15"/>
      <c r="B662" s="15"/>
      <c r="C662" s="21"/>
      <c r="D662" s="15"/>
      <c r="E662" s="32" t="s">
        <v>86</v>
      </c>
      <c r="F662" s="32" t="s">
        <v>90</v>
      </c>
      <c r="G662" s="430" t="str">
        <f>HYPERLINK("https://docs.google.com/spreadsheets/d/1AKTulvllR1UAHjq0Hq40cv8ZEmm-ZzPxJGNKwqocirU/edit#gid=819151484", "https://docs.google.com/spreadsheets/d/1AKTulvllR1UAHjq0Hq40cv8ZEmm-ZzPxJGNKwqocirU/edit#gid=819151484")</f>
        <v>https://docs.google.com/spreadsheets/d/1AKTulvllR1UAHjq0Hq40cv8ZEmm-ZzPxJGNKwqocirU/edit#gid=819151484</v>
      </c>
      <c r="H662" s="32" t="s">
        <v>90</v>
      </c>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row>
    <row r="663" ht="16.5" customHeight="1">
      <c r="A663" s="15"/>
      <c r="B663" s="15"/>
      <c r="C663" s="21"/>
      <c r="D663" s="15"/>
      <c r="E663" s="32" t="s">
        <v>86</v>
      </c>
      <c r="F663" s="32" t="s">
        <v>339</v>
      </c>
      <c r="G663" s="430" t="str">
        <f>HYPERLINK("https://docs.google.com/spreadsheets/d/1AKTulvllR1UAHjq0Hq40cv8ZEmm-ZzPxJGNKwqocirU/edit#gid=1706467580", "https://docs.google.com/spreadsheets/d/1AKTulvllR1UAHjq0Hq40cv8ZEmm-ZzPxJGNKwqocirU/edit#gid=1706467580")</f>
        <v>https://docs.google.com/spreadsheets/d/1AKTulvllR1UAHjq0Hq40cv8ZEmm-ZzPxJGNKwqocirU/edit#gid=1706467580</v>
      </c>
      <c r="H663" s="32" t="s">
        <v>339</v>
      </c>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row>
    <row r="664" ht="16.5" customHeight="1">
      <c r="A664" s="15"/>
      <c r="B664" s="15"/>
      <c r="C664" s="21"/>
      <c r="D664" s="15"/>
      <c r="E664" s="32" t="s">
        <v>178</v>
      </c>
      <c r="F664" s="32" t="s">
        <v>773</v>
      </c>
      <c r="G664" s="430" t="str">
        <f>HYPERLINK("https://docs.google.com/spreadsheets/d/1AKTulvllR1UAHjq0Hq40cv8ZEmm-ZzPxJGNKwqocirU/edit#gid=1788885649", "https://docs.google.com/spreadsheets/d/1AKTulvllR1UAHjq0Hq40cv8ZEmm-ZzPxJGNKwqocirU/edit#gid=1788885649")</f>
        <v>https://docs.google.com/spreadsheets/d/1AKTulvllR1UAHjq0Hq40cv8ZEmm-ZzPxJGNKwqocirU/edit#gid=1788885649</v>
      </c>
      <c r="H664" s="32" t="s">
        <v>3067</v>
      </c>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row>
    <row r="665" ht="16.5" customHeight="1">
      <c r="A665" s="15"/>
      <c r="B665" s="15"/>
      <c r="C665" s="21"/>
      <c r="D665" s="15"/>
      <c r="E665" s="32" t="s">
        <v>178</v>
      </c>
      <c r="F665" s="32" t="s">
        <v>775</v>
      </c>
      <c r="G665" s="387"/>
      <c r="H665" s="36"/>
      <c r="L665" s="11"/>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row>
    <row r="666" ht="16.5" customHeight="1">
      <c r="A666" s="15"/>
      <c r="B666" s="15"/>
      <c r="C666" s="21"/>
      <c r="D666" s="15"/>
      <c r="E666" s="32" t="s">
        <v>178</v>
      </c>
      <c r="F666" s="32" t="s">
        <v>782</v>
      </c>
      <c r="G666" s="430" t="str">
        <f>HYPERLINK("https://docs.google.com/spreadsheets/d/1AKTulvllR1UAHjq0Hq40cv8ZEmm-ZzPxJGNKwqocirU/edit#gid=1734094074", "https://docs.google.com/spreadsheets/d/1AKTulvllR1UAHjq0Hq40cv8ZEmm-ZzPxJGNKwqocirU/edit#gid=1734094074")</f>
        <v>https://docs.google.com/spreadsheets/d/1AKTulvllR1UAHjq0Hq40cv8ZEmm-ZzPxJGNKwqocirU/edit#gid=1734094074</v>
      </c>
      <c r="H666" s="32" t="s">
        <v>3069</v>
      </c>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row>
    <row r="667" ht="16.5" customHeight="1">
      <c r="A667" s="15"/>
      <c r="B667" s="15"/>
      <c r="C667" s="21"/>
      <c r="D667" s="15"/>
      <c r="E667" s="32" t="s">
        <v>172</v>
      </c>
      <c r="F667" s="32" t="s">
        <v>173</v>
      </c>
      <c r="G667" s="430" t="str">
        <f>HYPERLINK("https://docs.google.com/spreadsheets/d/1AKTulvllR1UAHjq0Hq40cv8ZEmm-ZzPxJGNKwqocirU/edit#gid=1957424040", "https://docs.google.com/spreadsheets/d/1AKTulvllR1UAHjq0Hq40cv8ZEmm-ZzPxJGNKwqocirU/edit#gid=1957424040")</f>
        <v>https://docs.google.com/spreadsheets/d/1AKTulvllR1UAHjq0Hq40cv8ZEmm-ZzPxJGNKwqocirU/edit#gid=1957424040</v>
      </c>
      <c r="H667" s="32" t="s">
        <v>173</v>
      </c>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row>
    <row r="668" ht="16.5" customHeight="1">
      <c r="A668" s="15"/>
      <c r="B668" s="15"/>
      <c r="C668" s="21"/>
      <c r="D668" s="15"/>
      <c r="E668" s="32" t="s">
        <v>172</v>
      </c>
      <c r="F668" s="32" t="s">
        <v>174</v>
      </c>
      <c r="G668" s="430" t="str">
        <f>HYPERLINK("https://docs.google.com/spreadsheets/d/1AKTulvllR1UAHjq0Hq40cv8ZEmm-ZzPxJGNKwqocirU/edit#gid=869528122", "https://docs.google.com/spreadsheets/d/1AKTulvllR1UAHjq0Hq40cv8ZEmm-ZzPxJGNKwqocirU/edit#gid=869528122")</f>
        <v>https://docs.google.com/spreadsheets/d/1AKTulvllR1UAHjq0Hq40cv8ZEmm-ZzPxJGNKwqocirU/edit#gid=869528122</v>
      </c>
      <c r="H668" s="32" t="s">
        <v>174</v>
      </c>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row>
    <row r="669" ht="16.5" customHeight="1">
      <c r="A669" s="15"/>
      <c r="B669" s="15"/>
      <c r="C669" s="21"/>
      <c r="D669" s="15"/>
      <c r="E669" s="32" t="s">
        <v>178</v>
      </c>
      <c r="F669" s="32" t="s">
        <v>207</v>
      </c>
      <c r="G669" s="430" t="str">
        <f>HYPERLINK("https://docs.google.com/spreadsheets/d/1AKTulvllR1UAHjq0Hq40cv8ZEmm-ZzPxJGNKwqocirU/edit#gid=998165407", "https://docs.google.com/spreadsheets/d/1AKTulvllR1UAHjq0Hq40cv8ZEmm-ZzPxJGNKwqocirU/edit#gid=998165407")</f>
        <v>https://docs.google.com/spreadsheets/d/1AKTulvllR1UAHjq0Hq40cv8ZEmm-ZzPxJGNKwqocirU/edit#gid=998165407</v>
      </c>
      <c r="H669" s="32" t="s">
        <v>207</v>
      </c>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row>
    <row r="670" ht="16.5" customHeight="1">
      <c r="A670" s="15"/>
      <c r="B670" s="15"/>
      <c r="C670" s="21"/>
      <c r="D670" s="15"/>
      <c r="E670" s="32" t="s">
        <v>178</v>
      </c>
      <c r="F670" s="32" t="s">
        <v>208</v>
      </c>
      <c r="G670" s="430" t="str">
        <f>HYPERLINK("https://docs.google.com/spreadsheets/d/1AKTulvllR1UAHjq0Hq40cv8ZEmm-ZzPxJGNKwqocirU/edit#gid=951263708", "https://docs.google.com/spreadsheets/d/1AKTulvllR1UAHjq0Hq40cv8ZEmm-ZzPxJGNKwqocirU/edit#gid=951263708")</f>
        <v>https://docs.google.com/spreadsheets/d/1AKTulvllR1UAHjq0Hq40cv8ZEmm-ZzPxJGNKwqocirU/edit#gid=951263708</v>
      </c>
      <c r="H670" s="32" t="s">
        <v>208</v>
      </c>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row>
    <row r="671" ht="16.5" customHeight="1">
      <c r="A671" s="15"/>
      <c r="B671" s="15"/>
      <c r="C671" s="21"/>
      <c r="D671" s="15"/>
      <c r="E671" s="32" t="s">
        <v>178</v>
      </c>
      <c r="F671" s="32" t="s">
        <v>182</v>
      </c>
      <c r="G671" s="430" t="str">
        <f>HYPERLINK("https://docs.google.com/spreadsheets/d/1AKTulvllR1UAHjq0Hq40cv8ZEmm-ZzPxJGNKwqocirU/edit#gid=497826174", "https://docs.google.com/spreadsheets/d/1AKTulvllR1UAHjq0Hq40cv8ZEmm-ZzPxJGNKwqocirU/edit#gid=497826174")</f>
        <v>https://docs.google.com/spreadsheets/d/1AKTulvllR1UAHjq0Hq40cv8ZEmm-ZzPxJGNKwqocirU/edit#gid=497826174</v>
      </c>
      <c r="H671" s="32" t="s">
        <v>182</v>
      </c>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row>
    <row r="672" ht="16.5" customHeight="1">
      <c r="A672" s="15"/>
      <c r="B672" s="15"/>
      <c r="C672" s="21"/>
      <c r="D672" s="15"/>
      <c r="E672" s="15"/>
      <c r="F672" s="15"/>
      <c r="G672" s="387"/>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row>
    <row r="673" ht="16.5" customHeight="1">
      <c r="A673" s="15"/>
      <c r="B673" s="15"/>
      <c r="C673" s="21"/>
      <c r="D673" s="15"/>
      <c r="E673" s="15"/>
      <c r="F673" s="15"/>
      <c r="G673" s="387"/>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row>
    <row r="674" ht="16.5" customHeight="1">
      <c r="A674" s="15"/>
      <c r="B674" s="15"/>
      <c r="C674" s="21"/>
      <c r="D674" s="15"/>
      <c r="E674" s="15"/>
      <c r="F674" s="15"/>
      <c r="G674" s="387"/>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row>
    <row r="675" ht="16.5" customHeight="1">
      <c r="A675" s="15"/>
      <c r="B675" s="15"/>
      <c r="C675" s="21"/>
      <c r="D675" s="15"/>
      <c r="E675" s="15"/>
      <c r="F675" s="15"/>
      <c r="G675" s="387"/>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row>
    <row r="676" ht="16.5" customHeight="1">
      <c r="A676" s="15"/>
      <c r="B676" s="15"/>
      <c r="C676" s="21"/>
      <c r="D676" s="15"/>
      <c r="E676" s="15"/>
      <c r="F676" s="15"/>
      <c r="G676" s="387"/>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row>
    <row r="677" ht="16.5" customHeight="1">
      <c r="A677" s="15"/>
      <c r="B677" s="15"/>
      <c r="C677" s="21"/>
      <c r="D677" s="15"/>
      <c r="E677" s="15"/>
      <c r="F677" s="15"/>
      <c r="G677" s="387"/>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row>
    <row r="678" ht="16.5" customHeight="1">
      <c r="A678" s="15"/>
      <c r="B678" s="15"/>
      <c r="C678" s="21"/>
      <c r="D678" s="15"/>
      <c r="E678" s="15"/>
      <c r="F678" s="15"/>
      <c r="G678" s="387"/>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row>
    <row r="679" ht="16.5" customHeight="1">
      <c r="A679" s="15"/>
      <c r="B679" s="15"/>
      <c r="C679" s="21"/>
      <c r="D679" s="15"/>
      <c r="E679" s="15"/>
      <c r="F679" s="15"/>
      <c r="G679" s="387"/>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row>
    <row r="680" ht="16.5" customHeight="1">
      <c r="A680" s="15"/>
      <c r="B680" s="15"/>
      <c r="C680" s="21"/>
      <c r="D680" s="15"/>
      <c r="E680" s="15"/>
      <c r="F680" s="15"/>
      <c r="G680" s="387"/>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row>
    <row r="681" ht="16.5" customHeight="1">
      <c r="A681" s="15"/>
      <c r="B681" s="15"/>
      <c r="C681" s="21"/>
      <c r="D681" s="15"/>
      <c r="E681" s="15"/>
      <c r="F681" s="15"/>
      <c r="G681" s="387"/>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row>
    <row r="682" ht="16.5" customHeight="1">
      <c r="A682" s="15"/>
      <c r="B682" s="15"/>
      <c r="C682" s="21"/>
      <c r="D682" s="15"/>
      <c r="E682" s="15"/>
      <c r="F682" s="15"/>
      <c r="G682" s="387"/>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row>
    <row r="683" ht="16.5" customHeight="1">
      <c r="A683" s="15"/>
      <c r="B683" s="15"/>
      <c r="C683" s="21"/>
      <c r="D683" s="15"/>
      <c r="E683" s="15"/>
      <c r="F683" s="15"/>
      <c r="G683" s="387"/>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row>
    <row r="684" ht="16.5" customHeight="1">
      <c r="A684" s="15"/>
      <c r="B684" s="15"/>
      <c r="C684" s="21"/>
      <c r="D684" s="15"/>
      <c r="E684" s="15"/>
      <c r="F684" s="15"/>
      <c r="G684" s="387"/>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row>
    <row r="685" ht="16.5" customHeight="1">
      <c r="A685" s="15"/>
      <c r="B685" s="15"/>
      <c r="C685" s="21"/>
      <c r="D685" s="15"/>
      <c r="E685" s="15"/>
      <c r="F685" s="15"/>
      <c r="G685" s="387"/>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row>
    <row r="686" ht="16.5" customHeight="1">
      <c r="A686" s="15"/>
      <c r="B686" s="15"/>
      <c r="C686" s="21"/>
      <c r="D686" s="15"/>
      <c r="E686" s="15"/>
      <c r="F686" s="15"/>
      <c r="G686" s="387"/>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row>
    <row r="687" ht="16.5" customHeight="1">
      <c r="A687" s="15"/>
      <c r="B687" s="15"/>
      <c r="C687" s="21"/>
      <c r="D687" s="15"/>
      <c r="E687" s="15"/>
      <c r="F687" s="15"/>
      <c r="G687" s="387"/>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row>
    <row r="688" ht="16.5" customHeight="1">
      <c r="A688" s="15"/>
      <c r="B688" s="15"/>
      <c r="C688" s="21"/>
      <c r="D688" s="15"/>
      <c r="E688" s="15"/>
      <c r="F688" s="15"/>
      <c r="G688" s="387"/>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row>
    <row r="689" ht="16.5" customHeight="1">
      <c r="A689" s="15"/>
      <c r="B689" s="15"/>
      <c r="C689" s="21"/>
      <c r="D689" s="15"/>
      <c r="E689" s="15"/>
      <c r="F689" s="15"/>
      <c r="G689" s="387"/>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row>
    <row r="690" ht="16.5" customHeight="1">
      <c r="A690" s="15"/>
      <c r="B690" s="15"/>
      <c r="C690" s="21"/>
      <c r="D690" s="15"/>
      <c r="E690" s="15"/>
      <c r="F690" s="15"/>
      <c r="G690" s="387"/>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row>
    <row r="691" ht="16.5" customHeight="1">
      <c r="A691" s="15"/>
      <c r="B691" s="15"/>
      <c r="C691" s="21"/>
      <c r="D691" s="15"/>
      <c r="E691" s="15"/>
      <c r="F691" s="15"/>
      <c r="G691" s="387"/>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row>
    <row r="692" ht="16.5" customHeight="1">
      <c r="A692" s="15"/>
      <c r="B692" s="15"/>
      <c r="C692" s="21"/>
      <c r="D692" s="15"/>
      <c r="E692" s="15"/>
      <c r="F692" s="15"/>
      <c r="G692" s="387"/>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row>
    <row r="693" ht="16.5" customHeight="1">
      <c r="A693" s="15"/>
      <c r="B693" s="15"/>
      <c r="C693" s="21"/>
      <c r="D693" s="15"/>
      <c r="E693" s="15"/>
      <c r="F693" s="15"/>
      <c r="G693" s="387"/>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row>
    <row r="694" ht="16.5" customHeight="1">
      <c r="A694" s="15"/>
      <c r="B694" s="15"/>
      <c r="C694" s="21"/>
      <c r="D694" s="15"/>
      <c r="E694" s="15"/>
      <c r="F694" s="15"/>
      <c r="G694" s="387"/>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row>
    <row r="695" ht="16.5" customHeight="1">
      <c r="A695" s="15"/>
      <c r="B695" s="15"/>
      <c r="C695" s="21"/>
      <c r="D695" s="15"/>
      <c r="E695" s="15"/>
      <c r="F695" s="15"/>
      <c r="G695" s="387"/>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row>
    <row r="696" ht="16.5" customHeight="1">
      <c r="A696" s="15"/>
      <c r="B696" s="15"/>
      <c r="C696" s="21"/>
      <c r="D696" s="15"/>
      <c r="E696" s="15"/>
      <c r="F696" s="15"/>
      <c r="G696" s="387"/>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row>
    <row r="697" ht="16.5" customHeight="1">
      <c r="A697" s="15"/>
      <c r="B697" s="15"/>
      <c r="C697" s="21"/>
      <c r="D697" s="15"/>
      <c r="E697" s="15"/>
      <c r="F697" s="15"/>
      <c r="G697" s="387"/>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row>
    <row r="698" ht="16.5" customHeight="1">
      <c r="A698" s="15"/>
      <c r="B698" s="15"/>
      <c r="C698" s="21"/>
      <c r="D698" s="15"/>
      <c r="E698" s="15"/>
      <c r="F698" s="15"/>
      <c r="G698" s="387"/>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row>
    <row r="699" ht="16.5" customHeight="1">
      <c r="A699" s="15"/>
      <c r="B699" s="15"/>
      <c r="C699" s="21"/>
      <c r="D699" s="15"/>
      <c r="E699" s="15"/>
      <c r="F699" s="15"/>
      <c r="G699" s="387"/>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row>
    <row r="700" ht="16.5" customHeight="1">
      <c r="A700" s="15"/>
      <c r="B700" s="15"/>
      <c r="C700" s="21"/>
      <c r="D700" s="15"/>
      <c r="E700" s="15"/>
      <c r="F700" s="15"/>
      <c r="G700" s="387"/>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row>
    <row r="701" ht="16.5" customHeight="1">
      <c r="A701" s="15"/>
      <c r="B701" s="15"/>
      <c r="C701" s="21"/>
      <c r="D701" s="15"/>
      <c r="E701" s="15"/>
      <c r="F701" s="15"/>
      <c r="G701" s="387"/>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row>
    <row r="702" ht="16.5" customHeight="1">
      <c r="A702" s="15"/>
      <c r="B702" s="15"/>
      <c r="C702" s="21"/>
      <c r="D702" s="15"/>
      <c r="E702" s="15"/>
      <c r="F702" s="15"/>
      <c r="G702" s="387"/>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row>
    <row r="703" ht="16.5" customHeight="1">
      <c r="A703" s="15"/>
      <c r="B703" s="15"/>
      <c r="C703" s="21"/>
      <c r="D703" s="15"/>
      <c r="E703" s="15"/>
      <c r="F703" s="15"/>
      <c r="G703" s="387"/>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row>
    <row r="704" ht="16.5" customHeight="1">
      <c r="A704" s="15"/>
      <c r="B704" s="15"/>
      <c r="C704" s="21"/>
      <c r="D704" s="15"/>
      <c r="E704" s="15"/>
      <c r="F704" s="15"/>
      <c r="G704" s="387"/>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row>
    <row r="705" ht="16.5" customHeight="1">
      <c r="A705" s="15"/>
      <c r="B705" s="15"/>
      <c r="C705" s="21"/>
      <c r="D705" s="15"/>
      <c r="E705" s="15"/>
      <c r="F705" s="15"/>
      <c r="G705" s="387"/>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row>
    <row r="706" ht="16.5" customHeight="1">
      <c r="A706" s="15"/>
      <c r="B706" s="15"/>
      <c r="C706" s="21"/>
      <c r="D706" s="15"/>
      <c r="E706" s="15"/>
      <c r="F706" s="15"/>
      <c r="G706" s="387"/>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row>
    <row r="707" ht="16.5" customHeight="1">
      <c r="A707" s="15"/>
      <c r="B707" s="15"/>
      <c r="C707" s="21"/>
      <c r="D707" s="15"/>
      <c r="E707" s="15"/>
      <c r="F707" s="15"/>
      <c r="G707" s="387"/>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row>
    <row r="708" ht="16.5" customHeight="1">
      <c r="A708" s="15"/>
      <c r="B708" s="15"/>
      <c r="C708" s="21"/>
      <c r="D708" s="15"/>
      <c r="E708" s="15"/>
      <c r="F708" s="15"/>
      <c r="G708" s="387"/>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row>
    <row r="709" ht="16.5" customHeight="1">
      <c r="A709" s="15"/>
      <c r="B709" s="15"/>
      <c r="C709" s="21"/>
      <c r="D709" s="15"/>
      <c r="E709" s="15"/>
      <c r="F709" s="15"/>
      <c r="G709" s="387"/>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row>
    <row r="710" ht="16.5" customHeight="1">
      <c r="A710" s="15"/>
      <c r="B710" s="15"/>
      <c r="C710" s="21"/>
      <c r="D710" s="15"/>
      <c r="E710" s="15"/>
      <c r="F710" s="15"/>
      <c r="G710" s="387"/>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row>
    <row r="711" ht="16.5" customHeight="1">
      <c r="A711" s="15"/>
      <c r="B711" s="15"/>
      <c r="C711" s="21"/>
      <c r="D711" s="15"/>
      <c r="E711" s="15"/>
      <c r="F711" s="15"/>
      <c r="G711" s="387"/>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row>
    <row r="712" ht="16.5" customHeight="1">
      <c r="A712" s="15"/>
      <c r="B712" s="15"/>
      <c r="C712" s="21"/>
      <c r="D712" s="15"/>
      <c r="E712" s="15"/>
      <c r="F712" s="15"/>
      <c r="G712" s="387"/>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row>
    <row r="713" ht="16.5" customHeight="1">
      <c r="A713" s="15"/>
      <c r="B713" s="15"/>
      <c r="C713" s="21"/>
      <c r="D713" s="15"/>
      <c r="E713" s="15"/>
      <c r="F713" s="15"/>
      <c r="G713" s="387"/>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row>
    <row r="714" ht="16.5" customHeight="1">
      <c r="A714" s="15"/>
      <c r="B714" s="15"/>
      <c r="C714" s="21"/>
      <c r="D714" s="15"/>
      <c r="E714" s="15"/>
      <c r="F714" s="15"/>
      <c r="G714" s="387"/>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row>
    <row r="715" ht="16.5" customHeight="1">
      <c r="A715" s="15"/>
      <c r="B715" s="15"/>
      <c r="C715" s="21"/>
      <c r="D715" s="15"/>
      <c r="E715" s="15"/>
      <c r="F715" s="15"/>
      <c r="G715" s="387"/>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row>
    <row r="716" ht="16.5" customHeight="1">
      <c r="A716" s="15"/>
      <c r="B716" s="15"/>
      <c r="C716" s="21"/>
      <c r="D716" s="15"/>
      <c r="E716" s="15"/>
      <c r="F716" s="15"/>
      <c r="G716" s="387"/>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row>
    <row r="717" ht="16.5" customHeight="1">
      <c r="A717" s="15"/>
      <c r="B717" s="15"/>
      <c r="C717" s="21"/>
      <c r="D717" s="15"/>
      <c r="E717" s="15"/>
      <c r="F717" s="15"/>
      <c r="G717" s="387"/>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row>
    <row r="718" ht="16.5" customHeight="1">
      <c r="A718" s="15"/>
      <c r="B718" s="15"/>
      <c r="C718" s="21"/>
      <c r="D718" s="15"/>
      <c r="E718" s="15"/>
      <c r="F718" s="15"/>
      <c r="G718" s="387"/>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row>
    <row r="719" ht="16.5" customHeight="1">
      <c r="A719" s="15"/>
      <c r="B719" s="15"/>
      <c r="C719" s="21"/>
      <c r="D719" s="15"/>
      <c r="E719" s="15"/>
      <c r="F719" s="15"/>
      <c r="G719" s="387"/>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row>
    <row r="720" ht="16.5" customHeight="1">
      <c r="A720" s="15"/>
      <c r="B720" s="15"/>
      <c r="C720" s="21"/>
      <c r="D720" s="15"/>
      <c r="E720" s="15"/>
      <c r="F720" s="15"/>
      <c r="G720" s="387"/>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row>
    <row r="721" ht="16.5" customHeight="1">
      <c r="A721" s="15"/>
      <c r="B721" s="15"/>
      <c r="C721" s="21"/>
      <c r="D721" s="15"/>
      <c r="E721" s="15"/>
      <c r="F721" s="15"/>
      <c r="G721" s="387"/>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row>
    <row r="722" ht="16.5" customHeight="1">
      <c r="A722" s="15"/>
      <c r="B722" s="15"/>
      <c r="C722" s="21"/>
      <c r="D722" s="15"/>
      <c r="E722" s="15"/>
      <c r="F722" s="15"/>
      <c r="G722" s="387"/>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row>
    <row r="723" ht="16.5" customHeight="1">
      <c r="A723" s="15"/>
      <c r="B723" s="15"/>
      <c r="C723" s="21"/>
      <c r="D723" s="15"/>
      <c r="E723" s="15"/>
      <c r="F723" s="15"/>
      <c r="G723" s="387"/>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row>
    <row r="724" ht="16.5" customHeight="1">
      <c r="A724" s="15"/>
      <c r="B724" s="15"/>
      <c r="C724" s="21"/>
      <c r="D724" s="15"/>
      <c r="E724" s="15"/>
      <c r="F724" s="15"/>
      <c r="G724" s="387"/>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row>
    <row r="725" ht="16.5" customHeight="1">
      <c r="A725" s="15"/>
      <c r="B725" s="15"/>
      <c r="C725" s="21"/>
      <c r="D725" s="15"/>
      <c r="E725" s="15"/>
      <c r="F725" s="15"/>
      <c r="G725" s="387"/>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row>
    <row r="726" ht="16.5" customHeight="1">
      <c r="A726" s="15"/>
      <c r="B726" s="15"/>
      <c r="C726" s="21"/>
      <c r="D726" s="15"/>
      <c r="E726" s="15"/>
      <c r="F726" s="15"/>
      <c r="G726" s="387"/>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row>
    <row r="727" ht="16.5" customHeight="1">
      <c r="A727" s="15"/>
      <c r="B727" s="15"/>
      <c r="C727" s="21"/>
      <c r="D727" s="15"/>
      <c r="E727" s="15"/>
      <c r="F727" s="15"/>
      <c r="G727" s="387"/>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row>
    <row r="728" ht="16.5" customHeight="1">
      <c r="A728" s="15"/>
      <c r="B728" s="15"/>
      <c r="C728" s="21"/>
      <c r="D728" s="15"/>
      <c r="E728" s="15"/>
      <c r="F728" s="15"/>
      <c r="G728" s="387"/>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row>
    <row r="729" ht="16.5" customHeight="1">
      <c r="A729" s="15"/>
      <c r="B729" s="15"/>
      <c r="C729" s="21"/>
      <c r="D729" s="15"/>
      <c r="E729" s="15"/>
      <c r="F729" s="15"/>
      <c r="G729" s="387"/>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row>
    <row r="730" ht="16.5" customHeight="1">
      <c r="A730" s="15"/>
      <c r="B730" s="15"/>
      <c r="C730" s="21"/>
      <c r="D730" s="15"/>
      <c r="E730" s="15"/>
      <c r="F730" s="15"/>
      <c r="G730" s="387"/>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row>
    <row r="731" ht="16.5" customHeight="1">
      <c r="A731" s="15"/>
      <c r="B731" s="15"/>
      <c r="C731" s="21"/>
      <c r="D731" s="15"/>
      <c r="E731" s="15"/>
      <c r="F731" s="15"/>
      <c r="G731" s="387"/>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row>
    <row r="732" ht="16.5" customHeight="1">
      <c r="A732" s="15"/>
      <c r="B732" s="15"/>
      <c r="C732" s="21"/>
      <c r="D732" s="15"/>
      <c r="E732" s="15"/>
      <c r="F732" s="15"/>
      <c r="G732" s="387"/>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row>
    <row r="733" ht="16.5" customHeight="1">
      <c r="A733" s="15"/>
      <c r="B733" s="15"/>
      <c r="C733" s="21"/>
      <c r="D733" s="15"/>
      <c r="E733" s="15"/>
      <c r="F733" s="15"/>
      <c r="G733" s="387"/>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row>
    <row r="734" ht="16.5" customHeight="1">
      <c r="A734" s="15"/>
      <c r="B734" s="15"/>
      <c r="C734" s="21"/>
      <c r="D734" s="15"/>
      <c r="E734" s="15"/>
      <c r="F734" s="15"/>
      <c r="G734" s="387"/>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row>
    <row r="735" ht="16.5" customHeight="1">
      <c r="A735" s="15"/>
      <c r="B735" s="15"/>
      <c r="C735" s="21"/>
      <c r="D735" s="15"/>
      <c r="E735" s="15"/>
      <c r="F735" s="15"/>
      <c r="G735" s="387"/>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row>
    <row r="736" ht="16.5" customHeight="1">
      <c r="A736" s="15"/>
      <c r="B736" s="15"/>
      <c r="C736" s="21"/>
      <c r="D736" s="15"/>
      <c r="E736" s="15"/>
      <c r="F736" s="15"/>
      <c r="G736" s="387"/>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row>
    <row r="737" ht="16.5" customHeight="1">
      <c r="A737" s="15"/>
      <c r="B737" s="15"/>
      <c r="C737" s="21"/>
      <c r="D737" s="15"/>
      <c r="E737" s="15"/>
      <c r="F737" s="15"/>
      <c r="G737" s="387"/>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row>
    <row r="738" ht="16.5" customHeight="1">
      <c r="A738" s="15"/>
      <c r="B738" s="15"/>
      <c r="C738" s="21"/>
      <c r="D738" s="15"/>
      <c r="E738" s="15"/>
      <c r="F738" s="15"/>
      <c r="G738" s="387"/>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row>
    <row r="739" ht="16.5" customHeight="1">
      <c r="A739" s="15"/>
      <c r="B739" s="15"/>
      <c r="C739" s="21"/>
      <c r="D739" s="15"/>
      <c r="E739" s="15"/>
      <c r="F739" s="15"/>
      <c r="G739" s="387"/>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row>
    <row r="740" ht="16.5" customHeight="1">
      <c r="A740" s="15"/>
      <c r="B740" s="15"/>
      <c r="C740" s="21"/>
      <c r="D740" s="15"/>
      <c r="E740" s="15"/>
      <c r="F740" s="15"/>
      <c r="G740" s="387"/>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row>
    <row r="741" ht="16.5" customHeight="1">
      <c r="A741" s="15"/>
      <c r="B741" s="15"/>
      <c r="C741" s="21"/>
      <c r="D741" s="15"/>
      <c r="E741" s="15"/>
      <c r="F741" s="15"/>
      <c r="G741" s="387"/>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row>
    <row r="742" ht="16.5" customHeight="1">
      <c r="A742" s="15"/>
      <c r="B742" s="15"/>
      <c r="C742" s="21"/>
      <c r="D742" s="15"/>
      <c r="E742" s="15"/>
      <c r="F742" s="15"/>
      <c r="G742" s="387"/>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row>
    <row r="743" ht="16.5" customHeight="1">
      <c r="A743" s="15"/>
      <c r="B743" s="15"/>
      <c r="C743" s="21"/>
      <c r="D743" s="15"/>
      <c r="E743" s="15"/>
      <c r="F743" s="15"/>
      <c r="G743" s="387"/>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row>
    <row r="744" ht="16.5" customHeight="1">
      <c r="A744" s="15"/>
      <c r="B744" s="15"/>
      <c r="C744" s="21"/>
      <c r="D744" s="15"/>
      <c r="E744" s="15"/>
      <c r="F744" s="15"/>
      <c r="G744" s="387"/>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row>
    <row r="745" ht="16.5" customHeight="1">
      <c r="A745" s="15"/>
      <c r="B745" s="15"/>
      <c r="C745" s="21"/>
      <c r="D745" s="15"/>
      <c r="E745" s="15"/>
      <c r="F745" s="15"/>
      <c r="G745" s="387"/>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row>
    <row r="746" ht="16.5" customHeight="1">
      <c r="A746" s="15"/>
      <c r="B746" s="15"/>
      <c r="C746" s="21"/>
      <c r="D746" s="15"/>
      <c r="E746" s="15"/>
      <c r="F746" s="15"/>
      <c r="G746" s="387"/>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row>
    <row r="747" ht="16.5" customHeight="1">
      <c r="A747" s="15"/>
      <c r="B747" s="15"/>
      <c r="C747" s="21"/>
      <c r="D747" s="15"/>
      <c r="E747" s="15"/>
      <c r="F747" s="15"/>
      <c r="G747" s="387"/>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row>
    <row r="748" ht="16.5" customHeight="1">
      <c r="A748" s="15"/>
      <c r="B748" s="15"/>
      <c r="C748" s="21"/>
      <c r="D748" s="15"/>
      <c r="E748" s="15"/>
      <c r="F748" s="15"/>
      <c r="G748" s="387"/>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row>
    <row r="749" ht="16.5" customHeight="1">
      <c r="A749" s="15"/>
      <c r="B749" s="15"/>
      <c r="C749" s="21"/>
      <c r="D749" s="15"/>
      <c r="E749" s="15"/>
      <c r="F749" s="15"/>
      <c r="G749" s="387"/>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row>
    <row r="750" ht="16.5" customHeight="1">
      <c r="A750" s="15"/>
      <c r="B750" s="15"/>
      <c r="C750" s="21"/>
      <c r="D750" s="15"/>
      <c r="E750" s="15"/>
      <c r="F750" s="15"/>
      <c r="G750" s="387"/>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row>
    <row r="751" ht="16.5" customHeight="1">
      <c r="A751" s="15"/>
      <c r="B751" s="15"/>
      <c r="C751" s="21"/>
      <c r="D751" s="15"/>
      <c r="E751" s="15"/>
      <c r="F751" s="15"/>
      <c r="G751" s="387"/>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row>
    <row r="752" ht="16.5" customHeight="1">
      <c r="A752" s="15"/>
      <c r="B752" s="15"/>
      <c r="C752" s="21"/>
      <c r="D752" s="15"/>
      <c r="E752" s="15"/>
      <c r="F752" s="15"/>
      <c r="G752" s="387"/>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row>
    <row r="753" ht="16.5" customHeight="1">
      <c r="A753" s="15"/>
      <c r="B753" s="15"/>
      <c r="C753" s="21"/>
      <c r="D753" s="15"/>
      <c r="E753" s="15"/>
      <c r="F753" s="15"/>
      <c r="G753" s="387"/>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row>
    <row r="754" ht="16.5" customHeight="1">
      <c r="A754" s="15"/>
      <c r="B754" s="15"/>
      <c r="C754" s="21"/>
      <c r="D754" s="15"/>
      <c r="E754" s="15"/>
      <c r="F754" s="15"/>
      <c r="G754" s="387"/>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row>
    <row r="755" ht="16.5" customHeight="1">
      <c r="A755" s="15"/>
      <c r="B755" s="15"/>
      <c r="C755" s="21"/>
      <c r="D755" s="15"/>
      <c r="E755" s="15"/>
      <c r="F755" s="15"/>
      <c r="G755" s="387"/>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row>
    <row r="756" ht="16.5" customHeight="1">
      <c r="A756" s="15"/>
      <c r="B756" s="15"/>
      <c r="C756" s="21"/>
      <c r="D756" s="15"/>
      <c r="E756" s="15"/>
      <c r="F756" s="15"/>
      <c r="G756" s="387"/>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row>
    <row r="757" ht="16.5" customHeight="1">
      <c r="A757" s="15"/>
      <c r="B757" s="15"/>
      <c r="C757" s="21"/>
      <c r="D757" s="15"/>
      <c r="E757" s="15"/>
      <c r="F757" s="15"/>
      <c r="G757" s="387"/>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row>
    <row r="758" ht="16.5" customHeight="1">
      <c r="A758" s="15"/>
      <c r="B758" s="15"/>
      <c r="C758" s="21"/>
      <c r="D758" s="15"/>
      <c r="E758" s="15"/>
      <c r="F758" s="15"/>
      <c r="G758" s="387"/>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row>
    <row r="759" ht="16.5" customHeight="1">
      <c r="A759" s="15"/>
      <c r="B759" s="15"/>
      <c r="C759" s="21"/>
      <c r="D759" s="15"/>
      <c r="E759" s="15"/>
      <c r="F759" s="15"/>
      <c r="G759" s="387"/>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row>
    <row r="760" ht="16.5" customHeight="1">
      <c r="A760" s="15"/>
      <c r="B760" s="15"/>
      <c r="C760" s="21"/>
      <c r="D760" s="15"/>
      <c r="E760" s="15"/>
      <c r="F760" s="15"/>
      <c r="G760" s="387"/>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row>
    <row r="761" ht="16.5" customHeight="1">
      <c r="A761" s="15"/>
      <c r="B761" s="15"/>
      <c r="C761" s="21"/>
      <c r="D761" s="15"/>
      <c r="E761" s="15"/>
      <c r="F761" s="15"/>
      <c r="G761" s="387"/>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row>
    <row r="762" ht="16.5" customHeight="1">
      <c r="A762" s="15"/>
      <c r="B762" s="15"/>
      <c r="C762" s="21"/>
      <c r="D762" s="15"/>
      <c r="E762" s="15"/>
      <c r="F762" s="15"/>
      <c r="G762" s="387"/>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row>
    <row r="763" ht="16.5" customHeight="1">
      <c r="A763" s="15"/>
      <c r="B763" s="15"/>
      <c r="C763" s="21"/>
      <c r="D763" s="15"/>
      <c r="E763" s="15"/>
      <c r="F763" s="15"/>
      <c r="G763" s="387"/>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row>
    <row r="764" ht="16.5" customHeight="1">
      <c r="A764" s="15"/>
      <c r="B764" s="15"/>
      <c r="C764" s="21"/>
      <c r="D764" s="15"/>
      <c r="E764" s="15"/>
      <c r="F764" s="15"/>
      <c r="G764" s="387"/>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row>
    <row r="765" ht="16.5" customHeight="1">
      <c r="A765" s="15"/>
      <c r="B765" s="15"/>
      <c r="C765" s="21"/>
      <c r="D765" s="15"/>
      <c r="E765" s="15"/>
      <c r="F765" s="15"/>
      <c r="G765" s="387"/>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row>
    <row r="766" ht="16.5" customHeight="1">
      <c r="A766" s="15"/>
      <c r="B766" s="15"/>
      <c r="C766" s="21"/>
      <c r="D766" s="15"/>
      <c r="E766" s="15"/>
      <c r="F766" s="15"/>
      <c r="G766" s="387"/>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row>
    <row r="767" ht="16.5" customHeight="1">
      <c r="A767" s="15"/>
      <c r="B767" s="15"/>
      <c r="C767" s="21"/>
      <c r="D767" s="15"/>
      <c r="E767" s="15"/>
      <c r="F767" s="15"/>
      <c r="G767" s="387"/>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row>
    <row r="768" ht="16.5" customHeight="1">
      <c r="A768" s="15"/>
      <c r="B768" s="15"/>
      <c r="C768" s="21"/>
      <c r="D768" s="15"/>
      <c r="E768" s="15"/>
      <c r="F768" s="15"/>
      <c r="G768" s="387"/>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row>
    <row r="769" ht="16.5" customHeight="1">
      <c r="A769" s="15"/>
      <c r="B769" s="15"/>
      <c r="C769" s="21"/>
      <c r="D769" s="15"/>
      <c r="E769" s="15"/>
      <c r="F769" s="15"/>
      <c r="G769" s="387"/>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row>
    <row r="770" ht="16.5" customHeight="1">
      <c r="A770" s="15"/>
      <c r="B770" s="15"/>
      <c r="C770" s="21"/>
      <c r="D770" s="15"/>
      <c r="E770" s="15"/>
      <c r="F770" s="15"/>
      <c r="G770" s="387"/>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row>
    <row r="771" ht="16.5" customHeight="1">
      <c r="A771" s="15"/>
      <c r="B771" s="15"/>
      <c r="C771" s="21"/>
      <c r="D771" s="15"/>
      <c r="E771" s="15"/>
      <c r="F771" s="15"/>
      <c r="G771" s="387"/>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row>
    <row r="772" ht="16.5" customHeight="1">
      <c r="A772" s="15"/>
      <c r="B772" s="15"/>
      <c r="C772" s="21"/>
      <c r="D772" s="15"/>
      <c r="E772" s="15"/>
      <c r="F772" s="15"/>
      <c r="G772" s="387"/>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row>
    <row r="773" ht="16.5" customHeight="1">
      <c r="A773" s="15"/>
      <c r="B773" s="15"/>
      <c r="C773" s="21"/>
      <c r="D773" s="15"/>
      <c r="E773" s="15"/>
      <c r="F773" s="15"/>
      <c r="G773" s="387"/>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row>
    <row r="774" ht="16.5" customHeight="1">
      <c r="A774" s="15"/>
      <c r="B774" s="15"/>
      <c r="C774" s="21"/>
      <c r="D774" s="15"/>
      <c r="E774" s="15"/>
      <c r="F774" s="15"/>
      <c r="G774" s="387"/>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row>
    <row r="775" ht="16.5" customHeight="1">
      <c r="A775" s="15"/>
      <c r="B775" s="15"/>
      <c r="C775" s="21"/>
      <c r="D775" s="15"/>
      <c r="E775" s="15"/>
      <c r="F775" s="15"/>
      <c r="G775" s="387"/>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row>
    <row r="776" ht="16.5" customHeight="1">
      <c r="A776" s="15"/>
      <c r="B776" s="15"/>
      <c r="C776" s="21"/>
      <c r="D776" s="15"/>
      <c r="E776" s="15"/>
      <c r="F776" s="15"/>
      <c r="G776" s="387"/>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row>
    <row r="777" ht="16.5" customHeight="1">
      <c r="A777" s="15"/>
      <c r="B777" s="15"/>
      <c r="C777" s="21"/>
      <c r="D777" s="15"/>
      <c r="E777" s="15"/>
      <c r="F777" s="15"/>
      <c r="G777" s="387"/>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row>
    <row r="778" ht="16.5" customHeight="1">
      <c r="A778" s="15"/>
      <c r="B778" s="15"/>
      <c r="C778" s="21"/>
      <c r="D778" s="15"/>
      <c r="E778" s="15"/>
      <c r="F778" s="15"/>
      <c r="G778" s="387"/>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row>
    <row r="779" ht="16.5" customHeight="1">
      <c r="A779" s="15"/>
      <c r="B779" s="15"/>
      <c r="C779" s="21"/>
      <c r="D779" s="15"/>
      <c r="E779" s="15"/>
      <c r="F779" s="15"/>
      <c r="G779" s="387"/>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row>
    <row r="780" ht="16.5" customHeight="1">
      <c r="A780" s="15"/>
      <c r="B780" s="15"/>
      <c r="C780" s="21"/>
      <c r="D780" s="15"/>
      <c r="E780" s="15"/>
      <c r="F780" s="15"/>
      <c r="G780" s="387"/>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row>
    <row r="781" ht="16.5" customHeight="1">
      <c r="A781" s="15"/>
      <c r="B781" s="15"/>
      <c r="C781" s="21"/>
      <c r="D781" s="15"/>
      <c r="E781" s="15"/>
      <c r="F781" s="15"/>
      <c r="G781" s="387"/>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row>
    <row r="782" ht="16.5" customHeight="1">
      <c r="A782" s="15"/>
      <c r="B782" s="15"/>
      <c r="C782" s="21"/>
      <c r="D782" s="15"/>
      <c r="E782" s="15"/>
      <c r="F782" s="15"/>
      <c r="G782" s="387"/>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row>
    <row r="783" ht="16.5" customHeight="1">
      <c r="A783" s="15"/>
      <c r="B783" s="15"/>
      <c r="C783" s="21"/>
      <c r="D783" s="15"/>
      <c r="E783" s="15"/>
      <c r="F783" s="15"/>
      <c r="G783" s="387"/>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row>
    <row r="784" ht="16.5" customHeight="1">
      <c r="A784" s="15"/>
      <c r="B784" s="15"/>
      <c r="C784" s="21"/>
      <c r="D784" s="15"/>
      <c r="E784" s="15"/>
      <c r="F784" s="15"/>
      <c r="G784" s="387"/>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row>
    <row r="785" ht="16.5" customHeight="1">
      <c r="A785" s="15"/>
      <c r="B785" s="15"/>
      <c r="C785" s="21"/>
      <c r="D785" s="15"/>
      <c r="E785" s="15"/>
      <c r="F785" s="15"/>
      <c r="G785" s="387"/>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row>
    <row r="786" ht="16.5" customHeight="1">
      <c r="A786" s="15"/>
      <c r="B786" s="15"/>
      <c r="C786" s="21"/>
      <c r="D786" s="15"/>
      <c r="E786" s="15"/>
      <c r="F786" s="15"/>
      <c r="G786" s="387"/>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row>
    <row r="787" ht="16.5" customHeight="1">
      <c r="A787" s="15"/>
      <c r="B787" s="15"/>
      <c r="C787" s="21"/>
      <c r="D787" s="15"/>
      <c r="E787" s="15"/>
      <c r="F787" s="15"/>
      <c r="G787" s="387"/>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row>
    <row r="788" ht="16.5" customHeight="1">
      <c r="A788" s="15"/>
      <c r="B788" s="15"/>
      <c r="C788" s="21"/>
      <c r="D788" s="15"/>
      <c r="E788" s="15"/>
      <c r="F788" s="15"/>
      <c r="G788" s="387"/>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row>
    <row r="789" ht="16.5" customHeight="1">
      <c r="A789" s="15"/>
      <c r="B789" s="15"/>
      <c r="C789" s="21"/>
      <c r="D789" s="15"/>
      <c r="E789" s="15"/>
      <c r="F789" s="15"/>
      <c r="G789" s="387"/>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row>
    <row r="790" ht="16.5" customHeight="1">
      <c r="A790" s="15"/>
      <c r="B790" s="15"/>
      <c r="C790" s="21"/>
      <c r="D790" s="15"/>
      <c r="E790" s="15"/>
      <c r="F790" s="15"/>
      <c r="G790" s="387"/>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row>
    <row r="791" ht="16.5" customHeight="1">
      <c r="A791" s="15"/>
      <c r="B791" s="15"/>
      <c r="C791" s="21"/>
      <c r="D791" s="15"/>
      <c r="E791" s="15"/>
      <c r="F791" s="15"/>
      <c r="G791" s="387"/>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row>
    <row r="792" ht="16.5" customHeight="1">
      <c r="A792" s="15"/>
      <c r="B792" s="15"/>
      <c r="C792" s="21"/>
      <c r="D792" s="15"/>
      <c r="E792" s="15"/>
      <c r="F792" s="15"/>
      <c r="G792" s="387"/>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row>
    <row r="793" ht="16.5" customHeight="1">
      <c r="A793" s="15"/>
      <c r="B793" s="15"/>
      <c r="C793" s="21"/>
      <c r="D793" s="15"/>
      <c r="E793" s="15"/>
      <c r="F793" s="15"/>
      <c r="G793" s="387"/>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row>
    <row r="794" ht="16.5" customHeight="1">
      <c r="A794" s="15"/>
      <c r="B794" s="15"/>
      <c r="C794" s="21"/>
      <c r="D794" s="15"/>
      <c r="E794" s="15"/>
      <c r="F794" s="15"/>
      <c r="G794" s="387"/>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row>
    <row r="795" ht="16.5" customHeight="1">
      <c r="A795" s="15"/>
      <c r="B795" s="15"/>
      <c r="C795" s="21"/>
      <c r="D795" s="15"/>
      <c r="E795" s="15"/>
      <c r="F795" s="15"/>
      <c r="G795" s="387"/>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row>
    <row r="796" ht="16.5" customHeight="1">
      <c r="A796" s="15"/>
      <c r="B796" s="15"/>
      <c r="C796" s="21"/>
      <c r="D796" s="15"/>
      <c r="E796" s="15"/>
      <c r="F796" s="15"/>
      <c r="G796" s="387"/>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row>
    <row r="797" ht="16.5" customHeight="1">
      <c r="A797" s="15"/>
      <c r="B797" s="15"/>
      <c r="C797" s="21"/>
      <c r="D797" s="15"/>
      <c r="E797" s="15"/>
      <c r="F797" s="15"/>
      <c r="G797" s="387"/>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row>
    <row r="798" ht="16.5" customHeight="1">
      <c r="A798" s="15"/>
      <c r="B798" s="15"/>
      <c r="C798" s="21"/>
      <c r="D798" s="15"/>
      <c r="E798" s="15"/>
      <c r="F798" s="15"/>
      <c r="G798" s="387"/>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row>
    <row r="799" ht="16.5" customHeight="1">
      <c r="A799" s="15"/>
      <c r="B799" s="15"/>
      <c r="C799" s="21"/>
      <c r="D799" s="15"/>
      <c r="E799" s="15"/>
      <c r="F799" s="15"/>
      <c r="G799" s="387"/>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row>
    <row r="800" ht="16.5" customHeight="1">
      <c r="A800" s="15"/>
      <c r="B800" s="15"/>
      <c r="C800" s="21"/>
      <c r="D800" s="15"/>
      <c r="E800" s="15"/>
      <c r="F800" s="15"/>
      <c r="G800" s="387"/>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row>
    <row r="801" ht="16.5" customHeight="1">
      <c r="A801" s="15"/>
      <c r="B801" s="15"/>
      <c r="C801" s="21"/>
      <c r="D801" s="15"/>
      <c r="E801" s="15"/>
      <c r="F801" s="15"/>
      <c r="G801" s="387"/>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row>
    <row r="802" ht="16.5" customHeight="1">
      <c r="A802" s="15"/>
      <c r="B802" s="15"/>
      <c r="C802" s="21"/>
      <c r="D802" s="15"/>
      <c r="E802" s="15"/>
      <c r="F802" s="15"/>
      <c r="G802" s="387"/>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row>
    <row r="803" ht="16.5" customHeight="1">
      <c r="A803" s="15"/>
      <c r="B803" s="15"/>
      <c r="C803" s="21"/>
      <c r="D803" s="15"/>
      <c r="E803" s="15"/>
      <c r="F803" s="15"/>
      <c r="G803" s="387"/>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row>
    <row r="804" ht="16.5" customHeight="1">
      <c r="A804" s="15"/>
      <c r="B804" s="15"/>
      <c r="C804" s="21"/>
      <c r="D804" s="15"/>
      <c r="E804" s="15"/>
      <c r="F804" s="15"/>
      <c r="G804" s="387"/>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row>
    <row r="805" ht="16.5" customHeight="1">
      <c r="A805" s="15"/>
      <c r="B805" s="15"/>
      <c r="C805" s="21"/>
      <c r="D805" s="15"/>
      <c r="E805" s="15"/>
      <c r="F805" s="15"/>
      <c r="G805" s="387"/>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row>
    <row r="806" ht="16.5" customHeight="1">
      <c r="A806" s="15"/>
      <c r="B806" s="15"/>
      <c r="C806" s="21"/>
      <c r="D806" s="15"/>
      <c r="E806" s="15"/>
      <c r="F806" s="15"/>
      <c r="G806" s="387"/>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row>
    <row r="807" ht="16.5" customHeight="1">
      <c r="A807" s="15"/>
      <c r="B807" s="15"/>
      <c r="C807" s="21"/>
      <c r="D807" s="15"/>
      <c r="E807" s="15"/>
      <c r="F807" s="15"/>
      <c r="G807" s="387"/>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row>
    <row r="808" ht="16.5" customHeight="1">
      <c r="A808" s="15"/>
      <c r="B808" s="15"/>
      <c r="C808" s="21"/>
      <c r="D808" s="15"/>
      <c r="E808" s="15"/>
      <c r="F808" s="15"/>
      <c r="G808" s="387"/>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row>
    <row r="809" ht="16.5" customHeight="1">
      <c r="A809" s="15"/>
      <c r="B809" s="15"/>
      <c r="C809" s="21"/>
      <c r="D809" s="15"/>
      <c r="E809" s="15"/>
      <c r="F809" s="15"/>
      <c r="G809" s="387"/>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row>
    <row r="810" ht="16.5" customHeight="1">
      <c r="A810" s="15"/>
      <c r="B810" s="15"/>
      <c r="C810" s="21"/>
      <c r="D810" s="15"/>
      <c r="E810" s="15"/>
      <c r="F810" s="15"/>
      <c r="G810" s="387"/>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row>
    <row r="811" ht="16.5" customHeight="1">
      <c r="A811" s="15"/>
      <c r="B811" s="15"/>
      <c r="C811" s="21"/>
      <c r="D811" s="15"/>
      <c r="E811" s="15"/>
      <c r="F811" s="15"/>
      <c r="G811" s="387"/>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row>
    <row r="812" ht="16.5" customHeight="1">
      <c r="A812" s="15"/>
      <c r="B812" s="15"/>
      <c r="C812" s="21"/>
      <c r="D812" s="15"/>
      <c r="E812" s="15"/>
      <c r="F812" s="15"/>
      <c r="G812" s="387"/>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row>
    <row r="813" ht="16.5" customHeight="1">
      <c r="A813" s="15"/>
      <c r="B813" s="15"/>
      <c r="C813" s="21"/>
      <c r="D813" s="15"/>
      <c r="E813" s="15"/>
      <c r="F813" s="15"/>
      <c r="G813" s="387"/>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row>
    <row r="814" ht="16.5" customHeight="1">
      <c r="A814" s="15"/>
      <c r="B814" s="15"/>
      <c r="C814" s="21"/>
      <c r="D814" s="15"/>
      <c r="E814" s="15"/>
      <c r="F814" s="15"/>
      <c r="G814" s="387"/>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row>
    <row r="815" ht="16.5" customHeight="1">
      <c r="A815" s="15"/>
      <c r="B815" s="15"/>
      <c r="C815" s="21"/>
      <c r="D815" s="15"/>
      <c r="E815" s="15"/>
      <c r="F815" s="15"/>
      <c r="G815" s="387"/>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row>
    <row r="816" ht="16.5" customHeight="1">
      <c r="A816" s="15"/>
      <c r="B816" s="15"/>
      <c r="C816" s="21"/>
      <c r="D816" s="15"/>
      <c r="E816" s="15"/>
      <c r="F816" s="15"/>
      <c r="G816" s="387"/>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row>
    <row r="817" ht="16.5" customHeight="1">
      <c r="A817" s="15"/>
      <c r="B817" s="15"/>
      <c r="C817" s="21"/>
      <c r="D817" s="15"/>
      <c r="E817" s="15"/>
      <c r="F817" s="15"/>
      <c r="G817" s="387"/>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row>
    <row r="818" ht="16.5" customHeight="1">
      <c r="A818" s="15"/>
      <c r="B818" s="15"/>
      <c r="C818" s="21"/>
      <c r="D818" s="15"/>
      <c r="E818" s="15"/>
      <c r="F818" s="15"/>
      <c r="G818" s="387"/>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row>
    <row r="819" ht="16.5" customHeight="1">
      <c r="A819" s="15"/>
      <c r="B819" s="15"/>
      <c r="C819" s="21"/>
      <c r="D819" s="15"/>
      <c r="E819" s="15"/>
      <c r="F819" s="15"/>
      <c r="G819" s="387"/>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row>
    <row r="820" ht="16.5" customHeight="1">
      <c r="A820" s="15"/>
      <c r="B820" s="15"/>
      <c r="C820" s="21"/>
      <c r="D820" s="15"/>
      <c r="E820" s="15"/>
      <c r="F820" s="15"/>
      <c r="G820" s="387"/>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row>
    <row r="821" ht="16.5" customHeight="1">
      <c r="A821" s="15"/>
      <c r="B821" s="15"/>
      <c r="C821" s="21"/>
      <c r="D821" s="15"/>
      <c r="E821" s="15"/>
      <c r="F821" s="15"/>
      <c r="G821" s="387"/>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row>
    <row r="822" ht="16.5" customHeight="1">
      <c r="A822" s="15"/>
      <c r="B822" s="15"/>
      <c r="C822" s="21"/>
      <c r="D822" s="15"/>
      <c r="E822" s="15"/>
      <c r="F822" s="15"/>
      <c r="G822" s="387"/>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row>
    <row r="823" ht="16.5" customHeight="1">
      <c r="A823" s="15"/>
      <c r="B823" s="15"/>
      <c r="C823" s="21"/>
      <c r="D823" s="15"/>
      <c r="E823" s="15"/>
      <c r="F823" s="15"/>
      <c r="G823" s="387"/>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row>
    <row r="824" ht="16.5" customHeight="1">
      <c r="A824" s="15"/>
      <c r="B824" s="15"/>
      <c r="C824" s="21"/>
      <c r="D824" s="15"/>
      <c r="E824" s="15"/>
      <c r="F824" s="15"/>
      <c r="G824" s="387"/>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row>
    <row r="825" ht="16.5" customHeight="1">
      <c r="A825" s="15"/>
      <c r="B825" s="15"/>
      <c r="C825" s="21"/>
      <c r="D825" s="15"/>
      <c r="E825" s="15"/>
      <c r="F825" s="15"/>
      <c r="G825" s="387"/>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row>
    <row r="826" ht="16.5" customHeight="1">
      <c r="A826" s="15"/>
      <c r="B826" s="15"/>
      <c r="C826" s="21"/>
      <c r="D826" s="15"/>
      <c r="E826" s="15"/>
      <c r="F826" s="15"/>
      <c r="G826" s="387"/>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row>
    <row r="827" ht="16.5" customHeight="1">
      <c r="A827" s="15"/>
      <c r="B827" s="15"/>
      <c r="C827" s="21"/>
      <c r="D827" s="15"/>
      <c r="E827" s="15"/>
      <c r="F827" s="15"/>
      <c r="G827" s="387"/>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row>
    <row r="828" ht="16.5" customHeight="1">
      <c r="A828" s="15"/>
      <c r="B828" s="15"/>
      <c r="C828" s="21"/>
      <c r="D828" s="15"/>
      <c r="E828" s="15"/>
      <c r="F828" s="15"/>
      <c r="G828" s="387"/>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row>
    <row r="829" ht="16.5" customHeight="1">
      <c r="A829" s="15"/>
      <c r="B829" s="15"/>
      <c r="C829" s="21"/>
      <c r="D829" s="15"/>
      <c r="E829" s="15"/>
      <c r="F829" s="15"/>
      <c r="G829" s="387"/>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row>
    <row r="830" ht="16.5" customHeight="1">
      <c r="A830" s="15"/>
      <c r="B830" s="15"/>
      <c r="C830" s="21"/>
      <c r="D830" s="15"/>
      <c r="E830" s="15"/>
      <c r="F830" s="15"/>
      <c r="G830" s="387"/>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row>
    <row r="831" ht="16.5" customHeight="1">
      <c r="A831" s="15"/>
      <c r="B831" s="15"/>
      <c r="C831" s="21"/>
      <c r="D831" s="15"/>
      <c r="E831" s="15"/>
      <c r="F831" s="15"/>
      <c r="G831" s="387"/>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row>
    <row r="832" ht="16.5" customHeight="1">
      <c r="A832" s="15"/>
      <c r="B832" s="15"/>
      <c r="C832" s="21"/>
      <c r="D832" s="15"/>
      <c r="E832" s="15"/>
      <c r="F832" s="15"/>
      <c r="G832" s="387"/>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row>
    <row r="833" ht="16.5" customHeight="1">
      <c r="A833" s="15"/>
      <c r="B833" s="15"/>
      <c r="C833" s="21"/>
      <c r="D833" s="15"/>
      <c r="E833" s="15"/>
      <c r="F833" s="15"/>
      <c r="G833" s="387"/>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row>
    <row r="834" ht="16.5" customHeight="1">
      <c r="A834" s="15"/>
      <c r="B834" s="15"/>
      <c r="C834" s="21"/>
      <c r="D834" s="15"/>
      <c r="E834" s="15"/>
      <c r="F834" s="15"/>
      <c r="G834" s="387"/>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row>
    <row r="835" ht="16.5" customHeight="1">
      <c r="A835" s="15"/>
      <c r="B835" s="15"/>
      <c r="C835" s="21"/>
      <c r="D835" s="15"/>
      <c r="E835" s="15"/>
      <c r="F835" s="15"/>
      <c r="G835" s="387"/>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row>
    <row r="836" ht="16.5" customHeight="1">
      <c r="A836" s="15"/>
      <c r="B836" s="15"/>
      <c r="C836" s="21"/>
      <c r="D836" s="15"/>
      <c r="E836" s="15"/>
      <c r="F836" s="15"/>
      <c r="G836" s="387"/>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row>
    <row r="837" ht="16.5" customHeight="1">
      <c r="A837" s="15"/>
      <c r="B837" s="15"/>
      <c r="C837" s="21"/>
      <c r="D837" s="15"/>
      <c r="E837" s="15"/>
      <c r="F837" s="15"/>
      <c r="G837" s="387"/>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row>
    <row r="838" ht="16.5" customHeight="1">
      <c r="A838" s="15"/>
      <c r="B838" s="15"/>
      <c r="C838" s="21"/>
      <c r="D838" s="15"/>
      <c r="E838" s="15"/>
      <c r="F838" s="15"/>
      <c r="G838" s="387"/>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row>
    <row r="839" ht="16.5" customHeight="1">
      <c r="A839" s="15"/>
      <c r="B839" s="15"/>
      <c r="C839" s="21"/>
      <c r="D839" s="15"/>
      <c r="E839" s="15"/>
      <c r="F839" s="15"/>
      <c r="G839" s="387"/>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row>
    <row r="840" ht="16.5" customHeight="1">
      <c r="A840" s="15"/>
      <c r="B840" s="15"/>
      <c r="C840" s="21"/>
      <c r="D840" s="15"/>
      <c r="E840" s="15"/>
      <c r="F840" s="15"/>
      <c r="G840" s="387"/>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row>
    <row r="841" ht="16.5" customHeight="1">
      <c r="A841" s="15"/>
      <c r="B841" s="15"/>
      <c r="C841" s="21"/>
      <c r="D841" s="15"/>
      <c r="E841" s="15"/>
      <c r="F841" s="15"/>
      <c r="G841" s="387"/>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row>
    <row r="842" ht="16.5" customHeight="1">
      <c r="A842" s="15"/>
      <c r="B842" s="15"/>
      <c r="C842" s="21"/>
      <c r="D842" s="15"/>
      <c r="E842" s="15"/>
      <c r="F842" s="15"/>
      <c r="G842" s="387"/>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row>
    <row r="843" ht="16.5" customHeight="1">
      <c r="A843" s="15"/>
      <c r="B843" s="15"/>
      <c r="C843" s="21"/>
      <c r="D843" s="15"/>
      <c r="E843" s="15"/>
      <c r="F843" s="15"/>
      <c r="G843" s="387"/>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row>
    <row r="844" ht="16.5" customHeight="1">
      <c r="A844" s="15"/>
      <c r="B844" s="15"/>
      <c r="C844" s="21"/>
      <c r="D844" s="15"/>
      <c r="E844" s="15"/>
      <c r="F844" s="15"/>
      <c r="G844" s="387"/>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row>
    <row r="845" ht="16.5" customHeight="1">
      <c r="A845" s="15"/>
      <c r="B845" s="15"/>
      <c r="C845" s="21"/>
      <c r="D845" s="15"/>
      <c r="E845" s="15"/>
      <c r="F845" s="15"/>
      <c r="G845" s="387"/>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row>
    <row r="846" ht="16.5" customHeight="1">
      <c r="A846" s="15"/>
      <c r="B846" s="15"/>
      <c r="C846" s="21"/>
      <c r="D846" s="15"/>
      <c r="E846" s="15"/>
      <c r="F846" s="15"/>
      <c r="G846" s="387"/>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row>
    <row r="847" ht="16.5" customHeight="1">
      <c r="A847" s="15"/>
      <c r="B847" s="15"/>
      <c r="C847" s="21"/>
      <c r="D847" s="15"/>
      <c r="E847" s="15"/>
      <c r="F847" s="15"/>
      <c r="G847" s="387"/>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row>
    <row r="848" ht="16.5" customHeight="1">
      <c r="A848" s="15"/>
      <c r="B848" s="15"/>
      <c r="C848" s="21"/>
      <c r="D848" s="15"/>
      <c r="E848" s="15"/>
      <c r="F848" s="15"/>
      <c r="G848" s="387"/>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row>
    <row r="849" ht="16.5" customHeight="1">
      <c r="A849" s="15"/>
      <c r="B849" s="15"/>
      <c r="C849" s="21"/>
      <c r="D849" s="15"/>
      <c r="E849" s="15"/>
      <c r="F849" s="15"/>
      <c r="G849" s="387"/>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row>
    <row r="850" ht="16.5" customHeight="1">
      <c r="A850" s="15"/>
      <c r="B850" s="15"/>
      <c r="C850" s="21"/>
      <c r="D850" s="15"/>
      <c r="E850" s="15"/>
      <c r="F850" s="15"/>
      <c r="G850" s="387"/>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row>
    <row r="851" ht="16.5" customHeight="1">
      <c r="A851" s="15"/>
      <c r="B851" s="15"/>
      <c r="C851" s="21"/>
      <c r="D851" s="15"/>
      <c r="E851" s="15"/>
      <c r="F851" s="15"/>
      <c r="G851" s="387"/>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row>
    <row r="852" ht="16.5" customHeight="1">
      <c r="A852" s="15"/>
      <c r="B852" s="15"/>
      <c r="C852" s="21"/>
      <c r="D852" s="15"/>
      <c r="E852" s="15"/>
      <c r="F852" s="15"/>
      <c r="G852" s="387"/>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row>
    <row r="853" ht="16.5" customHeight="1">
      <c r="A853" s="15"/>
      <c r="B853" s="15"/>
      <c r="C853" s="21"/>
      <c r="D853" s="15"/>
      <c r="E853" s="15"/>
      <c r="F853" s="15"/>
      <c r="G853" s="387"/>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row>
    <row r="854" ht="16.5" customHeight="1">
      <c r="A854" s="15"/>
      <c r="B854" s="15"/>
      <c r="C854" s="21"/>
      <c r="D854" s="15"/>
      <c r="E854" s="15"/>
      <c r="F854" s="15"/>
      <c r="G854" s="387"/>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row>
    <row r="855" ht="16.5" customHeight="1">
      <c r="A855" s="15"/>
      <c r="B855" s="15"/>
      <c r="C855" s="21"/>
      <c r="D855" s="15"/>
      <c r="E855" s="15"/>
      <c r="F855" s="15"/>
      <c r="G855" s="387"/>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row>
    <row r="856" ht="16.5" customHeight="1">
      <c r="A856" s="15"/>
      <c r="B856" s="15"/>
      <c r="C856" s="21"/>
      <c r="D856" s="15"/>
      <c r="E856" s="15"/>
      <c r="F856" s="15"/>
      <c r="G856" s="387"/>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row>
    <row r="857" ht="16.5" customHeight="1">
      <c r="A857" s="15"/>
      <c r="B857" s="15"/>
      <c r="C857" s="21"/>
      <c r="D857" s="15"/>
      <c r="E857" s="15"/>
      <c r="F857" s="15"/>
      <c r="G857" s="387"/>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row>
    <row r="858" ht="16.5" customHeight="1">
      <c r="A858" s="15"/>
      <c r="B858" s="15"/>
      <c r="C858" s="21"/>
      <c r="D858" s="15"/>
      <c r="E858" s="15"/>
      <c r="F858" s="15"/>
      <c r="G858" s="387"/>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row>
    <row r="859" ht="16.5" customHeight="1">
      <c r="A859" s="15"/>
      <c r="B859" s="15"/>
      <c r="C859" s="21"/>
      <c r="D859" s="15"/>
      <c r="E859" s="15"/>
      <c r="F859" s="15"/>
      <c r="G859" s="387"/>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row>
    <row r="860" ht="16.5" customHeight="1">
      <c r="A860" s="15"/>
      <c r="B860" s="15"/>
      <c r="C860" s="21"/>
      <c r="D860" s="15"/>
      <c r="E860" s="15"/>
      <c r="F860" s="15"/>
      <c r="G860" s="387"/>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row>
    <row r="861" ht="16.5" customHeight="1">
      <c r="A861" s="15"/>
      <c r="B861" s="15"/>
      <c r="C861" s="21"/>
      <c r="D861" s="15"/>
      <c r="E861" s="15"/>
      <c r="F861" s="15"/>
      <c r="G861" s="387"/>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row>
    <row r="862" ht="16.5" customHeight="1">
      <c r="A862" s="15"/>
      <c r="B862" s="15"/>
      <c r="C862" s="21"/>
      <c r="D862" s="15"/>
      <c r="E862" s="15"/>
      <c r="F862" s="15"/>
      <c r="G862" s="387"/>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row>
    <row r="863" ht="16.5" customHeight="1">
      <c r="A863" s="15"/>
      <c r="B863" s="15"/>
      <c r="C863" s="21"/>
      <c r="D863" s="15"/>
      <c r="E863" s="15"/>
      <c r="F863" s="15"/>
      <c r="G863" s="387"/>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row>
    <row r="864" ht="16.5" customHeight="1">
      <c r="A864" s="15"/>
      <c r="B864" s="15"/>
      <c r="C864" s="21"/>
      <c r="D864" s="15"/>
      <c r="E864" s="15"/>
      <c r="F864" s="15"/>
      <c r="G864" s="387"/>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row>
    <row r="865" ht="16.5" customHeight="1">
      <c r="A865" s="15"/>
      <c r="B865" s="15"/>
      <c r="C865" s="21"/>
      <c r="D865" s="15"/>
      <c r="E865" s="15"/>
      <c r="F865" s="15"/>
      <c r="G865" s="387"/>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row>
    <row r="866" ht="16.5" customHeight="1">
      <c r="A866" s="15"/>
      <c r="B866" s="15"/>
      <c r="C866" s="21"/>
      <c r="D866" s="15"/>
      <c r="E866" s="15"/>
      <c r="F866" s="15"/>
      <c r="G866" s="387"/>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row>
    <row r="867" ht="16.5" customHeight="1">
      <c r="A867" s="15"/>
      <c r="B867" s="15"/>
      <c r="C867" s="21"/>
      <c r="D867" s="15"/>
      <c r="E867" s="15"/>
      <c r="F867" s="15"/>
      <c r="G867" s="387"/>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row>
  </sheetData>
  <mergeCells count="60">
    <mergeCell ref="C414:C437"/>
    <mergeCell ref="D414:D437"/>
    <mergeCell ref="B363:B396"/>
    <mergeCell ref="C363:C396"/>
    <mergeCell ref="D363:D396"/>
    <mergeCell ref="B398:B412"/>
    <mergeCell ref="C398:C412"/>
    <mergeCell ref="D398:D412"/>
    <mergeCell ref="B414:B437"/>
    <mergeCell ref="C505:C523"/>
    <mergeCell ref="D505:D523"/>
    <mergeCell ref="B525:B526"/>
    <mergeCell ref="C525:C526"/>
    <mergeCell ref="B528:B562"/>
    <mergeCell ref="C528:C562"/>
    <mergeCell ref="D528:D564"/>
    <mergeCell ref="B566:B602"/>
    <mergeCell ref="C566:C602"/>
    <mergeCell ref="D566:D602"/>
    <mergeCell ref="B439:B474"/>
    <mergeCell ref="C439:C474"/>
    <mergeCell ref="D439:D474"/>
    <mergeCell ref="B477:B502"/>
    <mergeCell ref="C477:C502"/>
    <mergeCell ref="D477:D502"/>
    <mergeCell ref="B505:B523"/>
    <mergeCell ref="C3:I3"/>
    <mergeCell ref="B7:B11"/>
    <mergeCell ref="C7:C11"/>
    <mergeCell ref="D7:D11"/>
    <mergeCell ref="B13:B42"/>
    <mergeCell ref="C13:C42"/>
    <mergeCell ref="D13:D42"/>
    <mergeCell ref="C113:C144"/>
    <mergeCell ref="D113:D144"/>
    <mergeCell ref="B44:B87"/>
    <mergeCell ref="C44:C87"/>
    <mergeCell ref="D44:D87"/>
    <mergeCell ref="B89:B111"/>
    <mergeCell ref="C89:C111"/>
    <mergeCell ref="D89:D111"/>
    <mergeCell ref="B113:B144"/>
    <mergeCell ref="C212:C251"/>
    <mergeCell ref="D212:D251"/>
    <mergeCell ref="B146:B188"/>
    <mergeCell ref="C146:C188"/>
    <mergeCell ref="D146:D188"/>
    <mergeCell ref="B190:B210"/>
    <mergeCell ref="C190:C210"/>
    <mergeCell ref="D190:D210"/>
    <mergeCell ref="B212:B251"/>
    <mergeCell ref="C327:C361"/>
    <mergeCell ref="D327:D361"/>
    <mergeCell ref="B253:B278"/>
    <mergeCell ref="C253:C278"/>
    <mergeCell ref="D253:D278"/>
    <mergeCell ref="B280:B325"/>
    <mergeCell ref="C280:C325"/>
    <mergeCell ref="D280:D325"/>
    <mergeCell ref="B327:B361"/>
  </mergeCells>
  <dataValidations>
    <dataValidation type="list" allowBlank="1" sqref="H514:K514">
      <formula1>"CreateDoneAwayOrder,GetMarkPriceData,UpdateMarkPriceMonthly,GetDataClosing,AutomaticClosing,GetDataAllocation,CheckAllocatedGroups,GetActivityData,VerifyActivity,GetTradingTransaction"</formula1>
    </dataValidation>
    <dataValidation type="list" allowBlank="1" sqref="H39:K40">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7,Copy of Data 8,Copy of Data 9,Copy of Data 10,Copy of Data 11,Copy of Data 12,Copy of Data 13,verifyacc,Copy of Data 14"</formula1>
    </dataValidation>
    <dataValidation type="list" allowBlank="1" sqref="H635:K635 H657:K657">
      <formula1>"CreateDoneAwayOrder,GetDataAllocation,CheckAllocatedGroups,GetActivityData"</formula1>
    </dataValidation>
    <dataValidation type="list" allowBlank="1" sqref="H37:K37">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VerifyAccountBalances"</formula1>
    </dataValidation>
    <dataValidation type="list" allowBlank="1" sqref="H25:K25 H27:K33">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7,Copy of Data 8,Copy of Data 9,Copy of Data 10,Copy of Data 11"</formula1>
    </dataValidation>
    <dataValidation type="list" allowBlank="1" sqref="H289:K289">
      <formula1>"AddCashTransaction,GetDividendData,VerifyDividend"</formula1>
    </dataValidation>
    <dataValidation type="list" allowBlank="1" sqref="H307:K307">
      <formula1>"AddCashTransaction,GetForexConversion,UpdateForexConversionMonthly,GetActivityData,VerifyActivity,GetDividendData,VerifyDividend,GetDayEndCash,VerifyDayEndCash,GetAccountBalance,GetRevaluationData,VerifyRevaluationData,EditCashTransaction,VerifyDividend1,"&amp;"GetDayEndCash1,GetAccountBalance1"</formula1>
    </dataValidation>
    <dataValidation type="list" allowBlank="1" sqref="H480:K480 H569:K569">
      <formula1>"CreateDoneAwayOrder,GetMarkPriceData,UpdateMarkPriceMonthly,GetDataClosing"</formula1>
    </dataValidation>
    <dataValidation type="list" allowBlank="1" sqref="H298:K298">
      <formula1>"AddCashTransaction,GetActivityData,VerifyActivity,GetDividendData,VerifyDividend,GetDayEndCash,VerifyDayEndCash,GetAccountBalance,GetRevaluationData,VerifyRevaluationData,EditCashTransaction"</formula1>
    </dataValidation>
    <dataValidation type="list" allowBlank="1" sqref="F489:F490 F510:F511">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amp;",,,,,,,,,,,,,,,,,,,,,,,,,,,,,,,,,,,,,,,,,,,,,,,,,,,,,,,,,,,,,,,,,,,,,,,,,,,,,,,,,,,,,,,,,,,,,,,,,,,,,,,,,,,,,,,,,,,,,,,,,,,,,,,,,,,,,,,,,,,,,,,,,,,,,,,,,,,,,,"</formula1>
    </dataValidation>
    <dataValidation type="list" allowBlank="1" sqref="H652:K652">
      <formula1>"DeleteClientData"</formula1>
    </dataValidation>
    <dataValidation type="list" allowBlank="1" sqref="H483:K483 H486:K486">
      <formula1>"CreateDoneAwayOrder,GetMarkPriceData,UpdateMarkPriceMonthly,GetDataClosing,SelectTradeUnexpiredUnsettled,Expire,SelectTradeUnexpiredUnsettled1,ExerciseAssignment,SelectTradeUnexpiredUnsettled2,ExerciseAssignmentAtZero,GetDataAllocation,CheckAllocatedGroup"&amp;"s,GetActivityData,VerifyActivity,GetTradingTransaction,VerifyTradingTransaction,GetDayEndCash,VerifyDayEndCash,GetAccountBalance,VerifyTradingTransaction1,GetRevaluationData,VerifyRevaluationData,Copy of Data"</formula1>
    </dataValidation>
    <dataValidation type="list" allowBlank="1" sqref="H491:K491">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formula1>
    </dataValidation>
    <dataValidation type="list" allowBlank="1" sqref="H125:K125">
      <formula1>"CreateDoneAwayOrder,GetDataAllocation,GetActivityData,VerifyActivity,GetTradingTransaction,VerifyTradingTransaction,GetMarkPriceData,UpdateMarkPrice,GetForexConversion,UpdateForexConversion,GetForexConversion1,UpdateForexConversion1,GetForexConversion2,Up"&amp;"dateForexConversion2,GetDataClosing,AutomaticClosing,GetDailyCalculationsData,VerifyDailyCalTransactions,GetDayEndCash,VerifyDayEndCash,GetAccountBalance,VerifyActivity1,GetRevaluationData,VerifyRevaluationData"</formula1>
    </dataValidation>
    <dataValidation type="list" allowBlank="1" sqref="H342:K342">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VerifyDayEndCash,GetAccountBalance,GetRevaluationData,VerifyRevaluationData"</formula1>
    </dataValidation>
    <dataValidation type="list" allowBlank="1" sqref="F29:F35 F37 F39:F42 F45:F47 F68:F69 F71:F74 F77:F79 F82:F87 F97:F107 F109:F111 F115:F118 F133:F144 F150:F158 F161:F169 F172:F176 F182:F188 F196:F210 F213:F217 F233:F242 F244:F251">
      <formula1>"CloseGeneralLedger,GetDataCash,EnterCashDividends,EnterNonTradingTransaction,VerifyCash,VerifyActivity,VerifyTradingTransaction,VerifyRevaluationData,GetTradingTransaction,GetActivityData,GetTradingTransaction,GetActivityData,GetRevaluationData,GetAccount"&amp;"Details,GetNonTradingTransaction,GetDividendData,VerifyNonTradingTransaction,VerifyDividend,GetOpeningBalanceData,GetAccountBalance,SelectNonTradingTransaction,SelectNonTradingTranItem,DeleteNonTradingTransaction,DeleteNonTradingTranItem,AddNonTradingTran"&amp;"saction,AddNonTradingTranItem,VerifyOpeningBalanceData,SelectOpeningBalanceTransaction,SelectOpeningBalanceTranItem,EditNonTradingTransaction,EditNonTradingTranItem,DeleteOpeningBalanceTransaction,DeleteOpeningBalanceTranItem,GetDayEndCash,RunRevaluation,"&amp;"CalculateDayEndCash,VerifyDayEndCash,GetCashTransaction,SelectCashTransaction,EditCashTransaction,DeleteCashTransaction,AddCashTransaction,AddOpeningBalanceTransaction,AddOpeningBalanceTranItem,VerifyAccountDetails,GetDailyCalculationsData,CalculateDailyC"&amp;"alculations,CloseGeneralLedger,EditOpeningBalanceTransaction,EditOpeningBalanceTranItem,VerifyDailyCalTransactions,,,,,,,,,,,,,,,,,,,,,,,,,,,,,,,,,,,,,,,,,,,,,,,,,,,,,,,,,,,,,,,,,,,,,,,,,,,,,,,,,,,,,,,,,,,,,,,,,,,,,,,,,,,,,,,,,,,,,,,,,,,,,,,,,,,,,,,,,,,,,"&amp;",,,,,,,,,,,,,,,,,,,,,,,,,,,,,,,,,,,,,,,,,,,,,,,,,,,,,,,,,,,,,,,,,,,,,,,,,,,,,,,,,,,,,,,,,,,,,,,,,,,,,,,,,,,,,,,,,,,,,,,,,,,,,,,,,,,,,,,,,,,,,,,,,,,,,,,,,,,,,,,,,,,,,,,,,,,,,,,,,,,,,,,,,,,,,,,,,,,,,,,,,,,,,,,,,,,,,,,,,,,,,,,,,,,,,,,,,,,,,,,,,,,,,,,,,,,,,,,"&amp;",,,,,,,,,,,,,,,,,,,,,,,,,,,,,,,,,,,,,,,,,,,,,,,,,,"</formula1>
    </dataValidation>
    <dataValidation type="list" allowBlank="1" sqref="H597:K600">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EditTradeUnexpiredUnsettled,EditTradeUnexpiredUnsettled1,CheckAllocatedGroups1,VerifyRevaluationData1,Expire,EditTradeUnexpiredUnsettled2,CheckAllocatedGroups2"</formula1>
    </dataValidation>
    <dataValidation type="list" allowBlank="1" sqref="H170:K170">
      <formula1>"CreateDoneAwayOrder,GetMarkPriceData,UpdateMarkPrice,GetDataAllocation,GetActivityData,VerifyActivity,GetTradingTransaction,VerifyTradingTransaction,GetDailyCalculationsData,VerifyDailyCalTransactions,GetTradingTransaction1,VerifyTradingTransaction2,GetDa"&amp;"taClosing,AutomaticClosing,GetDailyCalculationsData1,VerifyDailyCalTransactions1,GetDailyCalculationsData2,VerifyDailyCalTransactions2,GetDayEndCash,VerifyDayEndCash,GetDailyCash,VerifyDailyCash,GetAccountBalance,VerifyActivity1,GetRevaluationData,VerifyR"&amp;"evaluationData,GetDataAllocation1,SelectAllocatedGroup,EditAllocatedGroupSidePanel,SelectAllocatedGroup1,EditAllocatedGroupSidePanel1,GetAccountBalance1,VerifyActivity2,VerifyTradingTransaction1,VerifyRevaluationData1"</formula1>
    </dataValidation>
    <dataValidation type="list" allowBlank="1" sqref="H670:K670">
      <formula1>"CreateDoneAwayOrder,GetDataAllocation,CheckAllocatedGroups,GetActivityData,VerifyActivity,GetDailyCalculationsData,VerifyDailyCalTransactions,GetDataClosing,AutomaticClosing,GetDailyCalculationsData1,VerifyDailyCalTransactions1,GetForexConversion,UpdateFo"&amp;"rexConversionMonthly,GetAccountBalance,GetRevaluationData"</formula1>
    </dataValidation>
    <dataValidation type="list" allowBlank="1" sqref="H93:K93">
      <formula1>"CreateDoneAwayOrder,GetDataAllocation,GetDataClosing,AutomaticClosing,GetActivityData,VerifyActivity,GetTradingTransaction,VerifyTradingTransaction,GetMarkPriceData,UpdateMarkPrice,GetForexConversion,UpdateForexConversion,GetForexConversion1,UpdateForexCo"&amp;"nversion1,GetForexConversion2,UpdateForexConversion2,GetForexConversion3,UpdateForexConversion3,GetDailyCalculationsData,VerifyDailyCalTransactions,GetDayEndCash,VerifyDayEndCash,GetAccountBalance,VerifyActivity1,GetRevaluationData,VerifyRevaluationData,C"&amp;"opy of Data,Copy of Data_conflict511627307"</formula1>
    </dataValidation>
    <dataValidation type="list" allowBlank="1" sqref="H364:K364">
      <formula1>"GetNonTradingTransaction,AddNonTradingTransaction"</formula1>
    </dataValidation>
    <dataValidation type="list" allowBlank="1" sqref="F633:F634">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amp;",,,,,,,,,,,,,,,,,,,,,,,,,,,,,,,,,,,,,,,,,,,,,,,,,,,,,,,,,,,,,,,,,,,,,,,,,,,,,,,,,,,,,,,,,,,,,,,,,,,,,,,,,,,,,,,,,,,,,,,,,,,,,,,,,,,,,,,,,,,,,,,,,,,,,,,,,,,,,,,,,,,,,,,,,,,,,,,,,,,,,,,,,,,,,,,,,,,,,,,,,,,,,,,,,,,,,,,,,,,,"</formula1>
    </dataValidation>
    <dataValidation type="list" allowBlank="1" sqref="H649:K649">
      <formula1>"CreateDoneAwayOrder,GetDataAllocation,CheckAllocatedGroups,GetActivityData,VerifyActivity,GetDailyCalculationsData,CalculateDailyCalculations,VerifyDailyCalTransactions,GetDataClosing,AutomaticClosing,GetForexConversion,UpdateForexConversionMonthly,GetRev"&amp;"aluationData,VerifyRevaluationData"</formula1>
    </dataValidation>
    <dataValidation type="list" allowBlank="1" sqref="H53:K53">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Data,Copy of Data 1,Copy of Data 2,Copy"&amp;" of Data 3,Copy of Data 4,Copy of Data 5,Copy of Data 6"</formula1>
    </dataValidation>
    <dataValidation type="list" allowBlank="1" sqref="H257:K257">
      <formula1>"CreateDoneAwayOrder,GetMarkPriceData,UpdateMarkPriceMonthly.,GetForexConversion,GetActivityData,VerifyActivity,GetTradingTransaction,VerifyTradingTransaction,GetDailyCalculationsData,VerifyDailyCalTransactions,GetDayEndCash,VerifyDayEndCash,GetAccountBala"&amp;"nce,VerifyRevaluationData,GetDataAllocation,SelectAllocatedGroup,EditAllocatedGroupSidePanel,VerifyRevaluationData1,UpdateForexConversionMonthly"</formula1>
    </dataValidation>
    <dataValidation type="list" allowBlank="1" sqref="H478:K478 H506:K506 H567:K567">
      <formula1>"CreateDoneAwayOrder,GetMarkPriceData"</formula1>
    </dataValidation>
    <dataValidation type="list" allowBlank="1" sqref="H242:K244">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Data,SaveAllocatio"&amp;"n,CalculateDailyCalculations,Copy of Data 1,CalculateDayEndCash,Copy of Data 2"</formula1>
    </dataValidation>
    <dataValidation type="list" allowBlank="1" sqref="H488:K488">
      <formula1>"CreateDoneAwayOrder,GetMarkPriceData,UpdateMarkPriceMonthly,GetDataClosing,SelectTradeUnexpiredUnsettled,Expire,ExerciseAssignment,SelectTradeUnexpiredUnsettled1,ExerciseAssignmentAtZero"</formula1>
    </dataValidation>
    <dataValidation type="list" allowBlank="1" sqref="H372:K372">
      <formula1>"GetNonTradingTransaction,AddNonTradingTransaction,AddNonTradingTranItem,AddNonTradingTranItem1,SaveTransaction,VerifyNonTradingTransaction,GetForexConversion,UpdateForexConversionMonthly,GetActivityData,VerifyActivity"</formula1>
    </dataValidation>
    <dataValidation type="list" allowBlank="1" sqref="H495:K495">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Data,GetDataAllocation,CheckA"&amp;"llocatedGroups,GetActivityData,VerifyActivity,GetTradingTransaction,VerifyTradingTransaction,GetDayEndCash"</formula1>
    </dataValidation>
    <dataValidation type="list" allowBlank="1" sqref="E6:E867">
      <formula1>'_Modules'!$A$4:$A867</formula1>
    </dataValidation>
    <dataValidation type="list" allowBlank="1" sqref="H371:K371">
      <formula1>"GetNonTradingTransaction,AddNonTradingTransaction,AddNonTradingTranItem,AddNonTradingTranItem1,SaveTransaction,VerifyNonTradingTransaction,GetForexConversion,UpdateForexConversionMonthly,GetActivityData"</formula1>
    </dataValidation>
    <dataValidation type="list" allowBlank="1" sqref="H621:K621">
      <formula1>"CreateDoneAwayOrder,GetDataAllocation,EditAllocatedGroupSidePanel,SelectAllocatedGroup"</formula1>
    </dataValidation>
    <dataValidation type="list" allowBlank="1" sqref="H339:K339">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Copy of Data,VerifyDayEndCash"</formula1>
    </dataValidation>
    <dataValidation type="list" allowBlank="1" sqref="H539:K539">
      <formula1>"CreateDoneAwayOrder,e,Copy of Data 1,GetMarkPriceData,UpdateMarkPriceMonthly,GetDataClosing,SelectTradeUnexpiredUnsettled,ExerciseAssignment,GetDataAllocation,CheckAllocatedGroups,GetDayEndCash,CalculateDayEndCash,VerifyDayEndCash"</formula1>
    </dataValidation>
    <dataValidation type="list" allowBlank="1" sqref="H591:K592">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EditTradeUnexpiredUnsettled,EditTradeUnexpiredUnsettled1,CheckAllocatedGroups1,VerifyRevaluationData1"</formula1>
    </dataValidation>
    <dataValidation type="list" allowBlank="1" sqref="H329:K329">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VerifyDayEndCash,GetAccountBalance,GetRevaluationData,VerifyRevaluationData,AddOpeningBalanceTranItem"</formula1>
    </dataValidation>
    <dataValidation type="list" allowBlank="1" sqref="H338:K338">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CalculateDayEndCash"</formula1>
    </dataValidation>
    <dataValidation type="list" allowBlank="1" sqref="H293:K293">
      <formula1>"AddCashTransaction,GetActivityData,VerifyActivity,GetDividendData,VerifyDividend,GetDayEndCash,VerifyDayEndCash,GetAccountBalance"</formula1>
    </dataValidation>
    <dataValidation type="list" allowBlank="1" sqref="H516:K516">
      <formula1>"CreateDoneAwayOrder,GetMarkPriceData,UpdateMarkPriceMonthly,GetDataClosing,AutomaticClosing,GetDataAllocation,CheckAllocatedGroups,GetActivityData,VerifyActivity,GetTradingTransaction,VerifyTradingTransaction,GetDayEndCash"</formula1>
    </dataValidation>
    <dataValidation type="list" allowBlank="1" sqref="H128:K130">
      <formula1>"CreateDoneAwayOrder,GetDataAllocation,GetActivityData,VerifyActivity,GetTradingTransaction,VerifyTradingTransaction,GetMarkPriceData,UpdateMarkPrice,GetForexConversion,UpdateForexConversionMonthly,GetDataClosing,AutomaticClosing,VerifyRevaluationData1,Get"&amp;"DailyCalculationsData,VerifyDailyCalTransactions,GetDayEndCash,VerifyDayEndCash,GetAccountBalance,VerifyActivity1,GetRevaluationData,VerifyRevaluationData"</formula1>
    </dataValidation>
    <dataValidation type="list" allowBlank="1" sqref="H537:K537">
      <formula1>"CreateDoneAwayOrder,e,Copy of Data 1,GetMarkPriceData,UpdateMarkPriceMonthly,GetDataClosing,SelectTradeUnexpiredUnsettled,ExerciseAssignment,GetDataAllocation,CheckAllocatedGroups,GetDayEndCash"</formula1>
    </dataValidation>
    <dataValidation type="list" allowBlank="1" sqref="H531:K531">
      <formula1>"CreateDoneAwayOrder,e,Copy of Data 1,GetMarkPriceData,UpdateMarkPriceMonthly,GetDataClosing"</formula1>
    </dataValidation>
    <dataValidation type="list" allowBlank="1" sqref="H606:K606">
      <formula1>"DeleteClientData,CreateDoneAwayOrder"</formula1>
    </dataValidation>
    <dataValidation type="list" allowBlank="1" sqref="H634:K634 H656:K656">
      <formula1>"CreateDoneAwayOrder,GetDataAllocation,CheckAllocatedGroups"</formula1>
    </dataValidation>
    <dataValidation type="list" allowBlank="1" sqref="H108:K108">
      <formula1>"CreateDoneAwayOrder,GetDataAllocation,GetMarkPriceData,UpdateMarkPrice,GetForexConversion,UpdateForexConversionMonthly,GetDataClosing,AutomaticClosing,GetActivityData,VerifyActivity,GetTradingTransaction,VerifyTradingTransaction,GetDailyCalculationsData,V"&amp;"erifyDailyCalTransactions,GetDayEndCash,VerifyDayEndCash,GetAccountBalance,VerifyActivity1,GetRevaluationData,VerifyRevaluationData"</formula1>
    </dataValidation>
    <dataValidation type="list" allowBlank="1" sqref="H541:K541">
      <formula1>"CreateDoneAwayOrder,e,Copy of Data 1,GetMarkPriceData,UpdateMarkPriceMonthly,GetDataClosing,SelectTradeUnexpiredUnsettled,ExerciseAssignment,GetDataAllocation,CheckAllocatedGroups,GetDayEndCash,CalculateDayEndCash,VerifyDayEndCash,GetAccountBalance,GetTra"&amp;"dingTransaction"</formula1>
    </dataValidation>
    <dataValidation type="list" allowBlank="1" sqref="H115:K121">
      <formula1>"CreateDoneAwayOrder,GetDataAllocation,SelectAllocatedGroup,EditAllocatedGroupSidePanel,SelectAllocatedGroup1,EditAllocatedGroupSidePanel1,SelectAllocatedGroup2,EditAllocatedGroupSidePanel2,GetActivityData,VerifyActivity,GetTradingTransaction,VerifyTrading"&amp;"Transaction,GetMarkPriceData,UpdateMarkPrice,GetForexConversion,UpdateForexConversion,GetForexConversion1,UpdateForexConversion1,GetForexConversion2,UpdateForexConversion2,GetDataClosing,AutomaticClosing,GetDailyCalculationsData,VerifyDailyCalTransactions"&amp;",GetDayEndCash,VerifyDayEndCash,GetAccountBalance,VerifyActivity1,GetRevaluationData,VerifyRevaluationData,Copy of Data,Copy of Data 1,Copy of Data 2,Copy of Data 3,Copy of Data 4,Copy of Data 5"</formula1>
    </dataValidation>
    <dataValidation type="list" allowBlank="1" sqref="H669:K669">
      <formula1>"CreateDoneAwayOrder,GetDataAllocation,CheckAllocatedGroups,GetActivityData,VerifyActivity,GetDailyCalculationsData,VerifyDailyCalTransactions,GetDataClosing,AutomaticClosing,GetDailyCalculationsData1,VerifyDailyCalTransactions1,GetForexConversion,UpdateFo"&amp;"rexConversionMonthly,GetAccountBalance"</formula1>
    </dataValidation>
    <dataValidation type="list" allowBlank="1" sqref="F6 F211">
      <formula1>"DeleteClientDataUsingScript,DeleteClientData,,,,,,,,,,,,,,,,,,,,,,,,,,,,,,,,,,,,,,,,,,,,,,,,,,,,,,,,,,,,,,,,,,,,,,,,,,,,,,,,,,,,,,,,,,,,,,,,,,,,,,,,,,,,,,,,,,,,,,,,,,,,,,,,,,,,,,,,,,,,,,,,,,,,,,,,,,,,,,,,,,,,,,,,,,,,,,,,,,,,,,,,,,,,,,,,,,,,,,,,,,,,,,,,,,,"&amp;",,,,,,,,,,,,,,,,,,,,,,,,,,,,,,,,,,,,,,,,,,,,,,,,,,,,,,,,,,,,,,,,,,,,,,,,,,,,,,,,,,,,,,,,,,,,,,,,,,,,,,,,,,,,,,,,,,,,,,,,,,,,,,,,,,,,,,,,,,,,,,,,,,,,,,,,,,,,,,,,,,,,,,,,,,,,,,,,,,,,,,,,,,,,,,,,,,,,,,,,,,,,,,,,,,,,,,,,,,,,,,,,,,,,,,,,,,,,,,,,,,,,,,,,,,,,,,,"&amp;",,,,,,,,,,,,,,,,,,,,,,,,,,,,,"</formula1>
    </dataValidation>
    <dataValidation type="list" allowBlank="1" sqref="H337:K337">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formula1>
    </dataValidation>
    <dataValidation type="list" allowBlank="1" sqref="H123:K124 H133:K133 H135:K136 H138:K144">
      <formula1>"CreateDoneAwayOrder,GetDataAllocation,SelectAllocatedGroup,EditAllocatedGroupSidePanel,SelectAllocatedGroup1,EditAllocatedGroupSidePanel1,SelectAllocatedGroup2,EditAllocatedGroupSidePanel2,GetActivityData,VerifyActivity,GetTradingTransaction,VerifyTrading"&amp;"Transaction,GetMarkPriceData,UpdateMarkPrice,GetForexConversion,UpdateForexConversion,GetForexConversion1,UpdateForexConversion1,GetForexConversion2,UpdateForexConversion2,GetDataClosing,AutomaticClosing,GetDailyCalculationsData,VerifyDailyCalTransactions"&amp;",GetDayEndCash,VerifyDayEndCash,GetAccountBalance,VerifyActivity1,GetRevaluationData,VerifyRevaluationData,Copy of Data,Copy of Data 1,Copy of Data 2,Copy of Data 3,Copy of Data 4,Copy of Data 5,Copy of Data 6,Copy of Data 7"</formula1>
    </dataValidation>
    <dataValidation type="list" allowBlank="1" sqref="H578:K578">
      <formula1>"CreateDoneAwayOrder,GetMarkPriceData,UpdateMarkPriceMonthly,GetDataClosing,SelectTradeUnexpiredUnsettled,ExerciseAssignment,GetDataAllocation,CheckAllocatedGroups,GetDayEndCash,CalculateDayEndCash,VerifyDayEndCash,GetAccountBalance"</formula1>
    </dataValidation>
    <dataValidation type="list" allowBlank="1" sqref="H335:K335">
      <formula1>"CreateDoneAwayOrder,GetOpeningBalanceData,AddOpeningBalanceTransaction,VerifyOpeningBalanceData,GetActivityData"</formula1>
    </dataValidation>
    <dataValidation type="list" allowBlank="1" sqref="H370:K370">
      <formula1>"GetNonTradingTransaction,AddNonTradingTransaction,AddNonTradingTranItem,AddNonTradingTranItem1,SaveTransaction,VerifyNonTradingTransaction,GetForexConversion,UpdateForexConversionMonthly"</formula1>
    </dataValidation>
    <dataValidation type="list" allowBlank="1" sqref="H623:K623">
      <formula1>"CreateDoneAwayOrder,GetDataAllocation,EditAllocatedGroupSidePanel,SelectAllocatedGroup,GetTradingTransaction"</formula1>
    </dataValidation>
    <dataValidation type="list" allowBlank="1" sqref="F273:F275">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SaveCalculatedPreferences,CloseCalculatedPreferences,ExportCalculatedPreference,ImportCalculatedPreferences,OpenAuditTrailUnallocatedGroup,DeleteCalculatedPreferencesTool,ImportCalculatedPreferencesTool,Expo"&amp;"rtAllCalculatedPreferTool,OpenAuditTrailAllocatedGroup,OpenSymbolLookupUnallocateGroup,OpenSymbolLookupAllocatedGroup,DeleteFixedPreference,EditAllocatedGroupSidePanel,CheckUnallocatedGroups,SetGeneralPreferences,UngroupTrades,GroupTrades,DeleteGroup,Clos"&amp;"eOrder,Unallocate,CloseAllocation,UpdateGRAccountValue,UpdateGRStrategyValue,UpdateGRDefaultRule,UpdateGeneralRulePref,ModifyGRPreferenceValues,AddMFPreferences,AddMFPreferenceToolbar,DeleteMFPreferences,DeleteMFPreferenceToolbar,RenameMFPreferences,SaveC"&amp;"loseMFPreference,SetMFPrefAccountValues,ModifyMFPrefGeneralRuleValues,SetMFPrefStrategyValues,SetMFPrefGeneralRule,SetMFPrefFundDistribution,SetMFPreferencesDefaultRule,SetMFPrefFundDefaultRule,ClearPrefetchFilters,ExpandCollapseAllUnallocated,ExpandColla"&amp;"pseAllAllocated,GenerateCashTransaction,SaveAllocation,SaveAllocation,UnallocateWithOutSave,EditUnallocatedGrid,EditAllocatedGrid,SaveLayoutAllocatedGrid,SaveLayoutUnallocatedGrid,SaveLayoutAllocationUI,ClearFiltersAllocatedGrid,ClearFiltersUnallocatedGri"&amp;"d,VerifyLayoutAllocatedGrid,VerifyLayoutUnallocatedGrid,,,,,,,,,,,,,,,,,,,,,,,,,,,,,,,,,,,,,,,,,,,,,,,,,,,,,,,,,,,,,,,,,,,,,,,,,,,,,,,,,,,,,,,,,,,,,,,,,,,,,,,,,,,,,,,,,,,,,,,,,,,,,,,,,,,,,,,,,,,,,,,,,,,,,,,,,,,,,,,,,,,,,,,,,,,,,,,,,,,,,,,,,,,,,,,,,,,,,,,,"&amp;",,,,,,,,,,,,,,,,,,,,,,,,,,,,,,,,,,,,,,,,,,,,,,,,,,,,,,,,,,,,,,,,,,,,,,,,,,,,,,,,,,,,,,,,,,,,,,,,,,,,,,,,,,,,,,,,,,,,,,,,,,,,,,,,,,,,,,,,,,,,,,,,,,,,,,,,,,,,,,,,,,,,,,,,,,,,,,,,,,,,,,,,,,,,,,,,,,,,,"</formula1>
    </dataValidation>
    <dataValidation type="list" allowBlank="1" sqref="H532:K532">
      <formula1>"CreateDoneAwayOrder,e,Copy of Data 1,GetMarkPriceData,UpdateMarkPriceMonthly,GetDataClosing,SelectTradeUnexpiredUnsettled"</formula1>
    </dataValidation>
    <dataValidation type="list" allowBlank="1" sqref="H202:K203 H205:K206">
      <formula1>"CreateDoneAwayOrder,GetDataAllocation,GetMarkPriceData,UpdateMarkPrice,GetDataClosing,ManualClosing,GetActivityData,VerifyActivity,GetTradingTransaction,VerifyTradingTransaction,GetDailyCalculationsData,VerifyDailyCalTransactions,GetDayEndCash,VerifyDayEn"&amp;"dCash,GetAccountBalance,VerifyActivity1,GetRevaluationData,VerifyRevaluationData,Copy of Data,Copy of Data_conflict1441085804,Copy of Data 1,Copy of Data 2,Copy of Data 3,Copy of Data 4,Copy of Data 5"</formula1>
    </dataValidation>
    <dataValidation type="list" allowBlank="1" sqref="H340:K340">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VerifyDayEndCash,GetAccountBalance"</formula1>
    </dataValidation>
    <dataValidation type="list" allowBlank="1" sqref="H101:K101">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Data,Copy of Data 1,Copy of Data 2,Copy of Data 3,Copy of Data 4,Copy of Data 5,Copy of Data 6,Copy of Data 7"</formula1>
    </dataValidation>
    <dataValidation type="list" allowBlank="1" sqref="H131:K132">
      <formula1>"CreateDoneAwayOrder,GetDataAllocation,GetActivityData,VerifyActivity,GetTradingTransaction,VerifyTradingTransaction,GetMarkPriceData,UpdateMarkPrice,GetForexConversion,UpdateForexConversionMonthly,GetDataClosing,AutomaticClosing,GetDailyCalculationsData,V"&amp;"erifyDailyCalTransactions,GetDayEndCash,VerifyDayEndCash,GetAccountBalance,VerifyActivity1,GetRevaluationData,VerifyRevaluationData,VerifyDayEndCash1"</formula1>
    </dataValidation>
    <dataValidation type="list" allowBlank="1" sqref="H219:K219">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EnterAllocatePreference,SelectUnallocatedGroup,EnterAccountValuesToAllocate,"&amp;"SelectAllocatedGroup2,CommissionBulkChangeOnGroups,GetDataClosing,AutomaticClosing,GetActivityData,VerifyActivity,GetTradingTransaction,VerifyTradingTransaction,GetDailyCalculationsData,VerifyDailyCalTransactions,GetDayEndCash,VerifyDayEndCash,GetDailyCas"&amp;"h,GetAccountBalance,VerifyActivity1,VerifyTradingTransaction1,GetRevaluationData,VerifyRevaluationData,UpdateForexConversionMonthly"</formula1>
    </dataValidation>
    <dataValidation type="list" allowBlank="1" sqref="F18:F26 F55:F65 F90 F114 F149 F177:F181 F191 F222:F230">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510:K510">
      <formula1>"CreateDoneAwayOrder,GetMarkPriceData,UpdateMarkPriceMonthly,GetDataAllocation"</formula1>
    </dataValidation>
    <dataValidation type="list" allowBlank="1" sqref="H511:K511">
      <formula1>"CreateDoneAwayOrder,GetMarkPriceData,UpdateMarkPriceMonthly,GetDataClosing,AutomaticClosing,GetDataAllocation,CheckAllocatedGroups"</formula1>
    </dataValidation>
    <dataValidation type="list" allowBlank="1" sqref="H481:K481 H570:K570">
      <formula1>"CreateDoneAwayOrder,GetMarkPriceData,UpdateMarkPriceMonthly,GetDataClosing,SelectTradeUnexpiredUnsettled"</formula1>
    </dataValidation>
    <dataValidation type="list" allowBlank="1" sqref="H334:K334">
      <formula1>"CreateDoneAwayOrder,GetOpeningBalanceData,AddOpeningBalanceTransaction,VerifyOpeningBalanceData,GetActivityData,VerifyActivity,GetMarkPriceData,UpdateMarkPriceMonthly,GetForexConversion,UpdateForexConversionMonthly"</formula1>
    </dataValidation>
    <dataValidation type="list" allowBlank="1" sqref="H150:K150">
      <formula1>"CreateTransaction,CreateTransaction1,GetMarkPriceData,UpdateMarkPrice,GetDataAllocation,GetActivityData,VerifyActivity,GetTradingTransaction,VerifyTradingTransaction,GetDailyCalculationsData,VerifyDailyCalTransactions,GetTradingTransaction1,VerifyTradingT"&amp;"ransaction2,GetDataClosing,AutomaticClosing,GetDailyCalculationsData1,VerifyDailyCalTransactions1,GetDailyCalculationsData2,VerifyDailyCalTransactions2,GetDayEndCash,VerifyDayEndCash,GetDailyCash,GetAccountBalance,VerifyActivity1,GetRevaluationData,Verify"&amp;"RevaluationData,GetDataAllocation1,SelectAllocatedGroup,EditAllocatedGroupSidePanel,SelectAllocatedGroup1,EditAllocatedGroupSidePanel1,GetAccountBalance1,VerifyActivity2,VerifyTradingTransaction1,VerifyRevaluationData1,Copy of Data,Copy of Data_conflict93"&amp;"4690656,Copy of Data 1,Copy of Data 2"</formula1>
    </dataValidation>
    <dataValidation type="list" allowBlank="1" sqref="H341:K341">
      <formula1>"CreateDoneAwayOrder,GetOpeningBalanceData,AddOpeningBalanceTransaction,VerifyOpeningBalanceData,GetMarkPriceData,UpdateMarkPriceMonthly,GetForexConversion,UpdateForexConversionMonthly,GetActivityData,VerifyActivity,GetTradingTransaction,VerifyTradingTrans"&amp;"action,GetDailyCalculationsData,VerifyDailyCalTransactions,GetDayEndCash,VerifyDayEndCash,GetAccountBalance,GetRevaluationData"</formula1>
    </dataValidation>
    <dataValidation type="list" allowBlank="1" sqref="H193:K200">
      <formula1>"CreateDoneAwayOrder,GetDataAllocation,GetMarkPriceData,UpdateMarkPrice,GetDataClosing,ManualClosing,GetActivityData,VerifyActivity,GetTradingTransaction,VerifyTradingTransaction,GetDailyCalculationsData,VerifyDailyCalTransactions,GetDayEndCash,VerifyDayEn"&amp;"dCash,GetAccountBalance,VerifyActivity1,GetRevaluationData,VerifyRevaluationData,Copy of Data,Copy of Data_conflict1441085804,Copy of Data 1,Copy of Data 2,Copy of Data 3,Copy of Data 4"</formula1>
    </dataValidation>
    <dataValidation type="list" allowBlank="1" sqref="H666:K666">
      <formula1>"CreateDoneAwayOrder,GetDataAllocation,CheckAllocatedGroups,GetActivityData,VerifyActivity,GetDailyCalculationsData,VerifyDailyCalTransactions,GetDataClosing,AutomaticClosing,GetDailyCalculationsData1,CalculateDailyCalculations"</formula1>
    </dataValidation>
    <dataValidation type="list" allowBlank="1" sqref="H256:K256">
      <formula1>"CreateDoneAwayOrder,GetMarkPriceData,UpdateMarkPriceMonthly.,GetActivityData,VerifyActivity,GetTradingTransaction,VerifyTradingTransaction,GetDailyCalculationsData,VerifyDailyCalTransactions,GetDayEndCash,VerifyDayEndCash,GetAccountBalance,VerifyRevaluati"&amp;"onData,GetDataAllocation,SelectAllocatedGroup,EditAllocatedGroupSidePanel,VerifyRevaluationData1,GetForexConversion"</formula1>
    </dataValidation>
    <dataValidation type="list" allowBlank="1" sqref="H271:K271">
      <formula1>"CreateDoneAwayOrder,GetMarkPriceData,UpdateMarkPriceMonthly.,GetForexConversion,UpdateForexConversionMonthly,GetActivityData,VerifyActivity,GetTradingTransaction,VerifyTradingTransaction,GetDailyCalculationsData,VerifyDailyCalTransactions,GetDayEndCash,Ve"&amp;"rifyDayEndCash,GetAccountBalance,VerifyRevaluationData,GetDataAllocation,SelectAllocatedGroup,EditAllocatedGroupSidePanel,VerifyRevaluationData1,GetRevaluationData"</formula1>
    </dataValidation>
    <dataValidation type="list" allowBlank="1" sqref="H76:K76 H81:K81">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VerifyDailyCash_conflict1970022405,VerifyDailyC"&amp;"ash"</formula1>
    </dataValidation>
    <dataValidation type="list" allowBlank="1" sqref="H577:K577">
      <formula1>"CreateDoneAwayOrder,GetMarkPriceData,UpdateMarkPriceMonthly,GetDataClosing,SelectTradeUnexpiredUnsettled,ExerciseAssignment,GetDataAllocation,CheckAllocatedGroups,GetDayEndCash,CalculateDayEndCash,VerifyDayEndCash"</formula1>
    </dataValidation>
    <dataValidation type="list" allowBlank="1" sqref="H544:K545">
      <formula1>"CreateDoneAwayOrder,e,Copy of Data 1,GetMarkPriceData,UpdateMarkPriceMonthly,GetDataClosing,SelectTradeUnexpiredUnsettled,ExerciseAssignment,GetDataAllocation,CheckAllocatedGroups,GetDayEndCash,CalculateDayEndCash,VerifyDayEndCash,GetAccountBalance,GetTra"&amp;"dingTransaction,VerifyTradingTransaction,GetRevaluationData,VerifyRevaluationData"</formula1>
    </dataValidation>
    <dataValidation type="list" allowBlank="1" sqref="H497:K497">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Data,GetDataAllocation,CheckA"&amp;"llocatedGroups,GetActivityData,VerifyActivity,GetTradingTransaction,VerifyTradingTransaction,GetDayEndCash,CalculateDayEndCash,VerifyDayEndCash"</formula1>
    </dataValidation>
    <dataValidation type="list" allowBlank="1" sqref="H245:K245">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Data,SaveAllocatio"&amp;"n,CalculateDailyCalculations,Copy of Data 1,CalculateDayEndCash,Copy of Data 2,VerifyAccountBalances"</formula1>
    </dataValidation>
    <dataValidation type="list" allowBlank="1" sqref="H576:K576">
      <formula1>"CreateDoneAwayOrder,GetMarkPriceData,UpdateMarkPriceMonthly,GetDataClosing,SelectTradeUnexpiredUnsettled,ExerciseAssignment,GetDataAllocation,CheckAllocatedGroups,GetDayEndCash,CalculateDayEndCash"</formula1>
    </dataValidation>
    <dataValidation type="list" allowBlank="1" sqref="H648:K648">
      <formula1>"CreateDoneAwayOrder,GetDataAllocation,CheckAllocatedGroups,GetActivityData,VerifyActivity,GetDailyCalculationsData,CalculateDailyCalculations,VerifyDailyCalTransactions,GetDataClosing,AutomaticClosing,GetForexConversion,UpdateForexConversionMonthly,GetRev"&amp;"aluationData"</formula1>
    </dataValidation>
    <dataValidation type="list" allowBlank="1" sqref="H35:K36">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7,Copy of Data 8,Copy of Data 9,Copy of Data 10,Copy of Data 11,Copy of Data 12"</formula1>
    </dataValidation>
    <dataValidation type="list" allowBlank="1" sqref="H221:K221">
      <formula1>"CreateDoneAwayOrder,GetNonTradingTransaction,AddNonTradingTransaction,AddNonTradingTransaction1,AddNonTradingTransaction2,VerifyNonTradingTransaction,GetForexConversion,UpdateForexConversionMonthly,GetMarkPriceData,UpdateMarkPrice,GetMarkPriceData1,Update"&amp;"MarkPrice1,GetDataAllocation,SetGeneralPreferences,EnterAllocatePreference,SelectUnallocatedGroup,EnterAccountValuesToAllocate,SelectAllocatedGroup2,CommissionBulkChangeOnGroups,GetDataClosing,AutomaticClosing,GetActivityData,VerifyActivity,GetTradingTran"&amp;"saction,VerifyTradingTransaction,GetDailyCalculationsData,VerifyDailyCalTransactions,GetDayEndCash,VerifyDayEndCash,GetDailyCash,GetAccountBalance,VerifyActivity1,VerifyTradingTransaction1,GetRevaluationData,VerifyRevaluationData,UpdateMarkPriceMonthly"</formula1>
    </dataValidation>
    <dataValidation type="list" allowBlank="1" sqref="H192:K192">
      <formula1>"CreateDoneAwayOrder,GetDataAllocation,GetMarkPriceData,UpdateMarkPrice,GetDataClosing,ManualClosing,GetActivityData,VerifyActivity,GetTradingTransaction,VerifyTradingTransaction,GetDailyCalculationsData,VerifyDailyCalTransactions,GetDayEndCash,VerifyDayEn"&amp;"dCash,GetAccountBalance,VerifyActivity1,GetRevaluationData,VerifyRevaluationData,Copy of Data,Copy of Data_conflict1441085804,Copy of Data 1,Copy of Data 2,Copy of Data 3"</formula1>
    </dataValidation>
    <dataValidation type="list" allowBlank="1" sqref="H290:K290">
      <formula1>"AddCashTransaction,GetActivityData,VerifyActivity,GetDividendData,VerifyDividend,GetDayEndCash"</formula1>
    </dataValidation>
    <dataValidation type="list" allowBlank="1" sqref="H238:K238">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Data,SaveAllocatio"&amp;"n,CalculateDailyCalculations"</formula1>
    </dataValidation>
    <dataValidation type="list" allowBlank="1" sqref="H667:K667">
      <formula1>"CreateDoneAwayOrder,GetDataAllocation,CheckAllocatedGroups,GetActivityData,VerifyActivity,GetDailyCalculationsData,VerifyDailyCalTransactions,GetDataClosing,AutomaticClosing,GetDailyCalculationsData1,VerifyDailyCalTransactions1,GetForexConversion"</formula1>
    </dataValidation>
    <dataValidation type="list" allowBlank="1" sqref="H331:K331">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EditOpeningBalanceTranItem,VerifyActivity1,VerifyR"&amp;"evaluationData1,DeleteOpeningBalanceTranItem,DeleteOpeningBalanceTransaction,VerifyActivity2,VerifyRevaluationData2,SaveTransaction"</formula1>
    </dataValidation>
    <dataValidation type="list" allowBlank="1" sqref="H264:K266">
      <formula1>"CreateDoneAwayOrder,GetMarkPriceData,UpdateMarkPrice,GetActivityData,VerifyActivity,GetTradingTransaction,VerifyTradingTransaction,GetDailyCalculationsData,CalculateDailyCalculations,VerifyDailyCalTransactions,GetDayEndCash,CalculateDayEndCash,VerifyDayEn"&amp;"dCash,GetAccountBalance,VerifyRevaluationData,GetDataAllocation,SelectAllocatedGroup,EditAllocatedGroupSidePanel,Copy of Data"</formula1>
    </dataValidation>
    <dataValidation type="list" allowBlank="1" sqref="H505:K505 H527:K528 H566:K566 H632:K632 H654:K654">
      <formula1>"CreateDoneAwayOrder"</formula1>
    </dataValidation>
    <dataValidation type="list" allowBlank="1" sqref="H241:K241">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Data,SaveAllocatio"&amp;"n,CalculateDailyCalculations,Copy of Data 1,CalculateDayEndCash"</formula1>
    </dataValidation>
    <dataValidation type="list" allowBlank="1" sqref="H343:K343">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formula1>
    </dataValidation>
    <dataValidation type="list" allowBlank="1" sqref="H365:K365">
      <formula1>"GetNonTradingTransaction,AddNonTradingTransaction,AddNonTradingTranItem"</formula1>
    </dataValidation>
    <dataValidation type="list" allowBlank="1" sqref="H127:K127">
      <formula1>"CreateDoneAwayOrder,GetDataAllocation,GetActivityData,VerifyActivity,GetTradingTransaction,VerifyTradingTransaction,GetMarkPriceData,UpdateMarkPrice,GetForexConversion,UpdateForexConversionMonthly,GetDataClosing,AutomaticClosing,GetDailyCalculationsData,V"&amp;"erifyDailyCalTransactions,GetDayEndCash,VerifyDayEndCash,GetAccountBalance,VerifyActivity1,GetRevaluationData,VerifyRevaluationData,CalculateDayEndCash,Copy of Data"</formula1>
    </dataValidation>
    <dataValidation type="list" allowBlank="1" sqref="H485:K485">
      <formula1>"CreateDoneAwayOrder,GetMarkPriceData,UpdateMarkPriceMonthly,GetDataClosing,SelectTradeUnexpiredUnsettled,Expire,ExerciseAssignment"</formula1>
    </dataValidation>
    <dataValidation type="list" allowBlank="1" sqref="F108 F125:F132 F258:F272 F276:F278 F280 F286:F317 F321:F325 F327:F332 F335:F361 F363:F368 F371:F396 F491:F503 F512:F523 F537:F544 F550:F552 F558:F562 F575:F582 F588:F590 F596:F600">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amp;",,,,,,,,,,,,,,,,,,,,,,,,,,,,,,,,,,,,,,,,,,,,,,,,,,,,,,,,,,,,,,,,,,,,,,,,,,,,,,,,,,,,,,,,,,,,,,,,,,,,,,,,,,,,,,,,,,,,,,,,,,,,,,,,,,,,,,,,,,,,,,,,,,,,,,,,,,,,,,,,,,,,,,,,,,,,,,,,,,,,,,,,,,,,,,,,,,,,,,,,,,,,,,,,,,,,,,,,,,,,,,,,,,,,,,,,,,,,,,,,,,,,,,,,,,,,,,,"&amp;",,,,,,,,,,,"</formula1>
    </dataValidation>
    <dataValidation type="list" allowBlank="1" sqref="F619">
      <formula1>"Import,,,,,,,,,,,,,,,,,,,,,,,,,,,,,,,,,,,,,,,,,,,,,,,,,,,,,,,,,,,,,,,,,,,,,,,,,,,,,,,,,,,,,,,,,,,,,,,,,,,,,,,,,,,,,,,,,,,,,,,,,,,,,,,,,,,,,,,,,,,,,,,,,,,,,,,,,,,,,,,,,,,,,,,,,,,,,,,,,,,,,,,,,,,,,,,,,,,,,,,,,,,,,,,,,,,,,,,,,,,,,,,,,,,,,,,,,,,,,,,,,,,,,,,,,"&amp;",,,,,,,,,,,,,,,,,,,,,,,,,,,,,,,,,,,,,,,,,,,,,,,,,,,,,,,,,,,,,,,,,,,,,,,,,,,,,,,,,,,,,,,,,,,,,,,,,,,,,,,,,,,,,,,,,,,,,,,,,,,,,,,,,,,,,,,,,,,,,,,,,,,,,,,,,,,,,,,,,,,,,,,,,,,,,,,,,,,,,,,,,,,,,,,,,,,,,,,,,,,,,,,,,,,,,,,,,,,,,,,,,,,,,,,,,,,,,,,,,,,,,,,"</formula1>
    </dataValidation>
    <dataValidation type="list" allowBlank="1" sqref="F478:F479 F506:F507 F529:F530 F567:F568">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529:K529">
      <formula1>"CreateDoneAwayOrder,e,Copy of Data 1,GetMarkPriceData"</formula1>
    </dataValidation>
    <dataValidation type="list" allowBlank="1" sqref="H547:K552">
      <formula1>"CreateDoneAwayOrder,e,Copy of Data 1,GetMarkPriceData,UpdateMarkPriceMonthly,GetDataClosing,SelectTradeUnexpiredUnsettled,ExerciseAssignment,GetDataAllocation,CheckAllocatedGroups,GetDayEndCash,CalculateDayEndCash,VerifyDayEndCash,GetAccountBalance,GetTra"&amp;"dingTransaction,VerifyTradingTransaction,GetRevaluationData,VerifyRevaluationData,ExerciseAssignmentAtZero"</formula1>
    </dataValidation>
    <dataValidation type="list" allowBlank="1" sqref="H96:K97">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Data,Copy of Data 1,Copy of Data 2,Copy of Data 3"</formula1>
    </dataValidation>
    <dataValidation type="list" allowBlank="1" sqref="H345:K345">
      <formula1>"GetOpeningBalanceData,AddOpeningBalanceTransaction,AddOpeningBalanceTranItem,AddOpeningBalanceTranItem1,VerifyOpeningBalanceData,GetForexConversion,UpdateForexConversionMonthly,GetActivityData,VerifyActivity,GetDayEndCash,VerifyDayEndCash,GetAccountBalanc"&amp;"e,GetRevaluationData,VerifyRevaluationData,EditOpeningBalanceTransaction,EditOpeningBalanceTranItem,VerifyActivity1,VerifyRevaluationData1,DeleteOpeningBalanceTranItem,DeleteOpeningBalanceTransaction,VerifyActivity2,VerifyRevaluationData2,Copy of Data"</formula1>
    </dataValidation>
    <dataValidation type="list" allowBlank="1" sqref="H479:K479 H507:K507 H568:K568">
      <formula1>"CreateDoneAwayOrder,GetMarkPriceData,UpdateMarkPriceMonthly"</formula1>
    </dataValidation>
    <dataValidation type="list" allowBlank="1" sqref="H376:K376">
      <formula1>"GetNonTradingTransaction,AddNonTradingTransaction,AddNonTradingTranItem,AddNonTradingTranItem1,SaveTransaction,VerifyNonTradingTransaction,GetForexConversion,UpdateForexConversionMonthly,GetActivityData,VerifyActivity,GetDayEndCash,CalculateDayEndCash,Ver"&amp;"ifyDayEndCash,GetRevaluationData,VerifyRevaluationData,GetAccountBalance"</formula1>
    </dataValidation>
    <dataValidation type="list" allowBlank="1" sqref="H503">
      <formula1>"CreateDoneAwayOrder,GetMarkPriceData,UpdateMarkPriceMonthly,GetDataClosing,SelectTradeUnexpiredUnsettled,Expire,SelectTradeUnexpiredUnsettled1,ExerciseAssignment,ExerciseAssignmentAtZero,SelectTradeUnexpiredUnsettled2,GetDataAllocation,CheckAllocatedGroup"&amp;"s,GetActivityData,VerifyActivity,GetTradingTransaction,VerifyTradingTransaction,GetDayEndCash,Copy of Data,CalculateDayEndCash,VerifyDayEndCash,Copy of Data 1,GetAccountBalance,VerifyTradingTransaction1,GetRevaluationData,VerifyRevaluationData"</formula1>
    </dataValidation>
    <dataValidation type="list" allowBlank="1" sqref="H18:K18">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formula1>
    </dataValidation>
    <dataValidation type="list" allowBlank="1" sqref="H277:K277">
      <formula1>"CreateDoneAwayOrder,GetMarkPriceData,UpdateMarkPriceMonthly.,GetForexConversion,UpdateForexConversionMonthly,GetActivityData,VerifyActivity,GetTradingTransaction,VerifyTradingTransaction,GetDailyCalculationsData,VerifyDailyCalTransactions,GetDayEndCash,Ve"&amp;"rifyDayEndCash,GetAccountBalance,GetRevaluationData,VerifyRevaluationData,GetDataAllocation,SelectAllocatedGroup,EditAllocatedGroupSidePanel,VerifyRevaluationData1"</formula1>
    </dataValidation>
    <dataValidation type="list" allowBlank="1" sqref="H8:K8">
      <formula1>"GetCashTransaction,AddCashTransaction,GetAccountDetails,VerifyAccountDetails,Copy of Data,Copy of Data 1"</formula1>
    </dataValidation>
    <dataValidation type="list" allowBlank="1" sqref="H16:K16">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formula1>
    </dataValidation>
    <dataValidation type="list" allowBlank="1" sqref="H328:K328">
      <formula1>"CreateDoneAwayOrder,GetOpeningBalanceData,AddOpeningBalanceTransaction"</formula1>
    </dataValidation>
    <dataValidation type="list" allowBlank="1" sqref="H609:K609">
      <formula1>"CreateDoneAwayOrder,CheckAllocatedGroups,GetDataAllocation,GetDataClosing"</formula1>
    </dataValidation>
    <dataValidation type="list" allowBlank="1" sqref="F94 F122 F219 F221 F255 F281 F285 F333:F334 F369:F370">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UpdateMarkPriceMonthly,,,,,,,,,,,,,,,,,,,,,,,,,,,,,,,,,,,,,,,,,,,,,,,,,,,,,,,,,,,,,,,,,,,,,,,,,,,,,,,,,,,,,,,,,,,,,,,,,,,,,,,,,,,,,,,,,,,,,,,,,,,,,,,,,,,,,,,,,,,,,,,,,,,,,,,,,,,,,,,,,,,,,,,,,,,,,,,,,,,,,,,,,,,,,,,,,,,,,,,"&amp;",,,,,,,,,,,,,,,,,,,,,,,,,,,,,,,,,,,,,,,,,,,,,,,,,,,,,,,,,,,,,,,,,,,,,,,,,,,,,,,,,,,,,,,,,,,,,,,,,,,,,,,,,,,,,,,,,,,,,,,,,,,,,,,,,,,,,,,,,,,,,,,,,,,,,,,,,,,,,,,,,,,,,,,,,,,,,,,,,,,,,,,,,,,,,,,,,,,,,,,,,,,,,,,,,,,,,,,,,,,,,,,,,,,,,,,,,,,,,,,,,,,,,,,,,,,,,,,"&amp;",,,,,,,,,,,"</formula1>
    </dataValidation>
    <dataValidation type="list" allowBlank="1" sqref="H377:K396">
      <formula1>"GetNonTradingTransaction,AddNonTradingTransaction,AddNonTradingTranItem,AddNonTradingTranItem1,VerifyNonTradingTransaction,GetForexConversion,UpdateForexConversionMonthly,GetActivityData,VerifyActivity,GetDayEndCash,VerifyDayEndCash,GetAccountBalance,GetR"&amp;"evaluationData,VerifyRevaluationData"</formula1>
    </dataValidation>
    <dataValidation type="list" allowBlank="1" sqref="H10:K10">
      <formula1>"GetCashTransaction,AddCashTransaction,GetAccountDetails,VerifyAccountDetails,Copy of Data,Copy of Data 1,Copy of Data 2,Copy of Data 3"</formula1>
    </dataValidation>
    <dataValidation type="list" allowBlank="1" sqref="F282:F284 F318:F320 F611:F613 F623:F627">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amp;",,,,,,,,,,,,,,,,,,,,,,,,,,,,,,,,,,,,,,,,,,,,,,,,,,,,,,,,,,,,,,,,,,,,,,,,,,,,,,,,,,,,,,,,,,,,,,,,,,,,,,,,,,,,,,,,,,,,,,,,,,,,,,,,,,,,,,,,,,,,,,,,,,,,,,,,,,,,,,,,,,,,,,,,,,,,,,,,,,,,,,,,,,,,,,,,,,,,,,,,,,,,,,,,,,,,,,,,,,,,,,,,,,,,,,,,,,,,,,,,,,,,,,,,,,,,,,,"&amp;",,,,,,,,,,,,,,,,,,,,,,,,,,,,,,,,"</formula1>
    </dataValidation>
    <dataValidation type="list" allowBlank="1" sqref="H512:K512">
      <formula1>"CreateDoneAwayOrder,GetMarkPriceData,UpdateMarkPriceMonthly,GetDataClosing,AutomaticClosing,GetDataAllocation,CheckAllocatedGroups,GetActivityData"</formula1>
    </dataValidation>
    <dataValidation type="list" allowBlank="1" sqref="H191:K191">
      <formula1>"CreateDoneAwayOrder,GetDataAllocation,GetMarkPriceData,UpdateMarkPrice,GetDataClosing,ManualClosing,GetActivityData,VerifyActivity,GetTradingTransaction,VerifyTradingTransaction,GetDailyCalculationsData,VerifyDailyCalTransactions,GetDayEndCash,VerifyDayEn"&amp;"dCash,GetAccountBalance,VerifyActivity1,GetRevaluationData,VerifyRevaluationData,Copy of Data,Copy of Data_conflict1441085804,Copy of Data 1"</formula1>
    </dataValidation>
    <dataValidation type="list" allowBlank="1" sqref="H282:K284">
      <formula1>"AddCashTransaction,AddCashTransaction1,GetForexConversion,UpdateForexConversionMonthly,GetActivityData,VerifyActivity,GetDividendData,VerifyDividend,GetDayEndCash,VerifyDayEndCash,GetAccountBalance,VerifyActivity1,GetRevaluationData,VerifyRevaluationData,"&amp;"GetCashTransaction,SelectCashTransaction,EditCashTransaction,VerifyDividend1,GetDayEndCash1,GetAccountBalance1,VerifyActivity2,GetRevaluationData1,VerifyRevaluationData1,SelectCashTransaction1,DeleteCashTransaction,SelectCashTransaction2,DeleteCashTransac"&amp;"tion1,VerifyActivity3,VerifyRevaluationData2,VerifyCashTransaction"</formula1>
    </dataValidation>
    <dataValidation type="list" allowBlank="1" sqref="H151:K153">
      <formula1>"CreateTransaction,CreateTransaction1,GetMarkPriceData,UpdateMarkPrice,GetDataAllocation,GetActivityData,VerifyActivity,GetTradingTransaction,VerifyTradingTransaction,GetDailyCalculationsData,VerifyDailyCalTransactions,GetTradingTransaction1,VerifyTradingT"&amp;"ransaction2,GetDataClosing,AutomaticClosing,GetDailyCalculationsData1,VerifyDailyCalTransactions1,GetDailyCalculationsData2,VerifyDailyCalTransactions2,GetDayEndCash,VerifyDayEndCash,GetDailyCash,GetAccountBalance,VerifyActivity1,GetRevaluationData,Verify"&amp;"RevaluationData,GetDataAllocation1,SelectAllocatedGroup,EditAllocatedGroupSidePanel,SelectAllocatedGroup1,EditAllocatedGroupSidePanel1,GetAccountBalance1,VerifyActivity2,VerifyTradingTransaction1,VerifyRevaluationData1,Copy of Data,Copy of Data_conflict93"&amp;"4690656,Copy of Data 1,Copy of Data 2,Copy of Data 3"</formula1>
    </dataValidation>
    <dataValidation type="list" allowBlank="1" sqref="F13 F44 F48 F89 F113 F190 F212">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311:K317 H321:K325">
      <formula1>"AddCashTransaction,GetForexConversion,UpdateForexConversionMonthly,GetActivityData,VerifyActivity,GetDividendData,VerifyDividend,GetDayEndCash,VerifyDayEndCash,GetAccountBalance,GetRevaluationData,VerifyRevaluationData,EditCashTransaction,VerifyDividend1,"&amp;"GetDayEndCash1,GetAccountBalance1,GetRevaluationData1,VerifyRevaluationData1,DeleteCashTransaction,Copy of Data,Copy of Data 1"</formula1>
    </dataValidation>
    <dataValidation type="list" allowBlank="1" sqref="H482:K482 H484:K484">
      <formula1>"CreateDoneAwayOrder,GetMarkPriceData,UpdateMarkPriceMonthly,GetDataClosing,SelectTradeUnexpiredUnsettled,Expire"</formula1>
    </dataValidation>
    <dataValidation type="list" allowBlank="1" sqref="H619:K619">
      <formula1>"CreateDoneAwayOrder,GetDataAllocation,EditAllocatedGroupSidePanel,SelectAllocatedGroup,GetTradingTransaction,VerifyTradingTransaction,GetAccountBalance,Import"</formula1>
    </dataValidation>
    <dataValidation type="list" allowBlank="1" sqref="H19:K19">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7,Copy of Data 8"</formula1>
    </dataValidation>
    <dataValidation type="list" allowBlank="1" sqref="H327:K327">
      <formula1>"CreateDoneAwayOrder,GetOpeningBalanceData"</formula1>
    </dataValidation>
    <dataValidation type="list" allowBlank="1" sqref="H366:K366">
      <formula1>"GetNonTradingTransaction,AddNonTradingTransaction,AddNonTradingTranItem,SaveTransaction"</formula1>
    </dataValidation>
    <dataValidation type="list" allowBlank="1" sqref="H647:K647">
      <formula1>"CreateDoneAwayOrder,GetDataAllocation,CheckAllocatedGroups,GetActivityData,VerifyActivity,GetDailyCalculationsData,CalculateDailyCalculations,VerifyDailyCalTransactions,GetDataClosing,AutomaticClosing,GetForexConversion,UpdateForexConversionMonthly,GetRev"&amp;"aluationData,VerifyRevaluationData,GetDailyCalculationsData1,CalculateDailyCalculations1,VerifyDailyCalTransactions1,GetAccountBalance"</formula1>
    </dataValidation>
    <dataValidation type="list" allowBlank="1" sqref="H171:K171">
      <formula1>"CreateDoneAwayOrder,GetMarkPriceData,UpdateMarkPrice,GetDataAllocation,GetActivityData,VerifyActivity,GetTradingTransaction,VerifyTradingTransaction,GetDailyCalculationsData,VerifyDailyCalTransactions,GetTradingTransaction1,VerifyTradingTransaction2,GetDa"&amp;"taClosing,AutomaticClosing,GetDailyCalculationsData1,VerifyDailyCalTransactions1,GetDailyCalculationsData2,VerifyDailyCalTransactions2,GetDayEndCash,VerifyDayEndCash,GetDailyCash,GetAccountBalance,VerifyActivity1,GetRevaluationData,VerifyRevaluationData,G"&amp;"etDataAllocation1,SelectAllocatedGroup,EditAllocatedGroupSidePanel,SelectAllocatedGroup1,EditAllocatedGroupSidePanel1,GetAccountBalance1,VerifyActivity2,VerifyTradingTransaction1,VerifyRevaluationData1,VerifyDailyCash"</formula1>
    </dataValidation>
    <dataValidation type="list" allowBlank="1" sqref="H294:K295">
      <formula1>"AddCashTransaction,GetForexConversion,UpdateForexConversionMonthly,GetActivityData,VerifyActivity,GetDividendData,VerifyDividend,GetDayEndCash,VerifyDayEndCash,GetAccountBalance,GetRevaluationData,VerifyRevaluationData,EditCashTransaction,VerifyDividend1,"&amp;"GetDayEndCash1,GetAccountBalance1,GetRevaluationData1,VerifyRevaluationData1,DeleteCashTransaction,VerifyActivity1"</formula1>
    </dataValidation>
    <dataValidation type="list" allowBlank="1" sqref="H620:K620 H622:K622">
      <formula1>"CreateDoneAwayOrder,GetDataAllocation,EditAllocatedGroupSidePanel"</formula1>
    </dataValidation>
    <dataValidation type="list" allowBlank="1" sqref="H95:K95">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Data,Copy of Data 1"</formula1>
    </dataValidation>
    <dataValidation type="list" allowBlank="1" sqref="H306:K306">
      <formula1>"AddCashTransaction,GetForexConversion,UpdateForexConversionMonthly,GetActivityData,VerifyActivity,GetDividendData,VerifyDividend,GetDayEndCash,VerifyDayEndCash,GetAccountBalance,VerifyActivity1,GetRevaluationData,VerifyRevaluationData,EditCashTransaction,"&amp;"VerifyDividend1,GetDayEndCash1,GetAccountBalance1,GetActivityData1,GetRevaluationData1,VerifyRevaluationData1,DeleteCashTransaction,VerifyActivity2"</formula1>
    </dataValidation>
    <dataValidation type="list" allowBlank="1" sqref="H582:K583">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formula1>
    </dataValidation>
    <dataValidation type="list" allowBlank="1" sqref="H309:K310">
      <formula1>"AddCashTransaction,GetForexConversion,UpdateForexConversionMonthly,GetActivityData,VerifyActivity,GetDividendData,VerifyDividend,GetDayEndCash,VerifyDayEndCash,GetAccountBalance,GetRevaluationData,VerifyRevaluationData,EditCashTransaction,VerifyDividend1,"&amp;"GetDayEndCash1,GetAccountBalance1,GetRevaluationData1,VerifyRevaluationData1,DeleteCashTransaction"</formula1>
    </dataValidation>
    <dataValidation type="list" allowBlank="1" sqref="H530:K530">
      <formula1>"CreateDoneAwayOrder,e,Copy of Data 1,GetMarkPriceData,UpdateMarkPriceMonthly"</formula1>
    </dataValidation>
    <dataValidation type="list" allowBlank="1" sqref="H98:K98">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GetTradingTransaction,VerifyTradingTransaction,GetDailyCalculationsData,VerifyDailyCalTransactions,GetDayEndCash,VerifyDayEndCash,GetAccountBalance,VerifyActivity1,GetRevaluationData,VerifyRevaluationData,VerifyActivity"</formula1>
    </dataValidation>
    <dataValidation type="list" allowBlank="1" sqref="H301:K301">
      <formula1>"AddCashTransaction,GetForexConversion,UpdateForexConversionMonthly,GetActivityData,VerifyActivity,GetDividendData,VerifyDividend,GetDayEndCash,VerifyDayEndCash,GetAccountBalance,GetRevaluationData,VerifyRevaluationData,EditCashTransaction,VerifyDividend1"</formula1>
    </dataValidation>
    <dataValidation type="list" allowBlank="1" sqref="H20:K20">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7,Copy of Data 8,Copy of Data 9"</formula1>
    </dataValidation>
    <dataValidation type="list" allowBlank="1" sqref="H543:K543">
      <formula1>"CreateDoneAwayOrder,e,Copy of Data 1,GetMarkPriceData,UpdateMarkPriceMonthly,GetDataClosing,SelectTradeUnexpiredUnsettled,ExerciseAssignment,GetDataAllocation,CheckAllocatedGroups,GetDayEndCash,CalculateDayEndCash,VerifyDayEndCash,GetAccountBalance,GetTra"&amp;"dingTransaction,VerifyTradingTransaction,GetRevaluationData"</formula1>
    </dataValidation>
    <dataValidation type="list" allowBlank="1" sqref="H103:K104">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Data,Copy of Data 1,Copy of Data 2,Copy of Data 3,Copy of Data 4,Copy of Data 5,Copy of Data 6,Copy of Data 7,Copy of Data 8,Copy of Data 8_conflict1826995147"</formula1>
    </dataValidation>
    <dataValidation type="list" allowBlank="1" sqref="H207:K210">
      <formula1>"CreateDoneAwayOrder,GetDataAllocation,GetMarkPriceData,UpdateMarkPrice,GetDataClosing,ManualClosing,GetActivityData,VerifyActivity,GetTradingTransaction,VerifyTradingTransaction,GetDailyCalculationsData,VerifyDailyCalTransactions,GetDayEndCash,VerifyDayEn"&amp;"dCash,GetAccountBalance,VerifyActivity1,GetRevaluationData,VerifyRevaluationData,Copy of Data,Copy of Data_conflict1441085804,Copy of Data 1,Copy of Data 2,Copy of Data 3,Copy of Data 4,Copy of Data 5,Copy of Data 6"</formula1>
    </dataValidation>
    <dataValidation type="list" allowBlank="1" sqref="H607:K607">
      <formula1>"CreateDoneAwayOrder,CheckAllocatedGroups,GetDataAllocation"</formula1>
    </dataValidation>
    <dataValidation type="list" allowBlank="1" sqref="H636:K636 H658:K658">
      <formula1>"CreateDoneAwayOrder,GetDataAllocation,CheckAllocatedGroups,GetActivityData,VerifyActivity"</formula1>
    </dataValidation>
    <dataValidation type="list" allowBlank="1" sqref="H522:K522">
      <formula1>"CreateDoneAwayOrder,GetMarkPriceData,UpdateMarkPriceMonthly,GetDataClosing,AutomaticClosing,GetDataAllocation,CheckAllocatedGroups,GetActivityData,VerifyActivity,GetTradingTransaction,VerifyTradingTransaction,GetDayEndCash,VerifyDayEndCash,GetAccountBalan"&amp;"ce,VerifyActivity1,GetRevaluationData"</formula1>
    </dataValidation>
    <dataValidation type="list" allowBlank="1" sqref="F27:F28 F66:F67 F95:F96 F123:F124 F159:F160 F194:F195 F231:F232">
      <formula1>"GetDataClosing,ManualClosing,UnwindClosing,VerifyClosedTrades,VerifyLongPositionsGrid,VerifyShortPositionsGrid,SelectTradeUnexpiredUnsettled,CashSettlementAtCost,CashSettlementAtZeroPrice,CashSettlementAtClosingDtSpotPx,PhysicalSettlement,AutomaticClosing"&amp;",Expire,ExerciseAssignment,ExerciseAssignmentAtZero,SwapExpireAndRollover,SwapExpire,VerifyExpiredSettledGrid,VerifyUnExpiredUnSettledGrid,UnWindTradeSettlement,CloseOrder,VerifyCloseOrder,UnWindCloseOrder,ClosingCleanUp,CloseClosingUI,,,,,,,,,,,,,,,,,,,,"&amp;",,,,,,,,,,,,,,,,,,,,,,,,,,,,,,,,,,,,,,,,,,,,,,,,,,,,,,,,,,,,,,,,,,,,,,,,,,,,,,,,,,,,,,,,,,,,,,,,,,,,,,,,,,,,,,,,,,,,,,,,,,,,,,,,,,,,,,,,,,,,,,,,,,,,,,,,,,,,,,,,,,,,,,,,,,,,,,,,,,,,,,,,,,,,,,,,,,,,,,,,,,,,,,,,,,,,,,,,,,,,,,,,,,,,,,,,,,,,,,,,,,,,,,,,,,,,,,,"&amp;",,,,,,,,,,,,,,,,,,,,,,,,,,,,,,,,,,,,,,,,,,,,,,,,,,,,,,,,,,,,,,,,,,,,,,,,,,,,,,,,,,,,,,,,,,,,,,,,,,,,,,,,,,,,,,,,,,,,,,,,,,,,,,,,,,,,,,,,,,,,,,,,,,,,,,,,,,,,,,,,,,,,,,,,,,,,,,,,,,,,,,,,,,,,,,,,,,,,,"</formula1>
    </dataValidation>
    <dataValidation type="list" allowBlank="1" sqref="H146:K146">
      <formula1>"CreateTransaction,CreateTransaction1,GetMarkPriceData,UpdateMarkPrice,GetDataAllocation,GetActivityData,VerifyActivity,GetTradingTransaction,VerifyTradingTransaction,GetDailyCalculationsData,VerifyDailyCalTransactions,GetTradingTransaction1,VerifyTradingT"&amp;"ransaction2,GetDataClosing,AutomaticClosing,GetDailyCalculationsData1,VerifyDailyCalTransactions1,GetDailyCalculationsData2,VerifyDailyCalTransactions2,GetDayEndCash,VerifyDayEndCash,GetDailyCash,GetAccountBalance,VerifyActivity1,GetRevaluationData,Verify"&amp;"RevaluationData,GetDataAllocation1,SelectAllocatedGroup,EditAllocatedGroupSidePanel,SelectAllocatedGroup1,EditAllocatedGroupSidePanel1,GetAccountBalance1,VerifyActivity2,VerifyTradingTransaction1,VerifyRevaluationData1,CreateDoneAwayOrder"</formula1>
    </dataValidation>
    <dataValidation type="list" allowBlank="1" sqref="H255:K255">
      <formula1>"CreateDoneAwayOrder,GetMarkPriceData,GetForexConversion,UpdateForexConversionMonthly,GetActivityData,VerifyActivity,GetTradingTransaction,VerifyTradingTransaction,GetDailyCalculationsData,VerifyDailyCalTransactions,GetDayEndCash,VerifyDayEndCash,GetAccoun"&amp;"tBalance,GetRevaluationData,VerifyRevaluationData,GetDataAllocation,SelectAllocatedGroup,EditAllocatedGroupSidePanel,VerifyRevaluationData1,UpdateMarkPriceMonthly"</formula1>
    </dataValidation>
    <dataValidation type="list" allowBlank="1" sqref="H267:K268 H272:K275">
      <formula1>"CreateDoneAwayOrder,GetMarkPriceData,UpdateMarkPrice,GetActivityData,VerifyActivity,GetTradingTransaction,VerifyTradingTransaction,GetDailyCalculationsData,CalculateDailyCalculations,VerifyDailyCalTransactions,GetDayEndCash,CalculateDayEndCash,VerifyDayEn"&amp;"dCash,GetAccountBalance,VerifyRevaluationData,GetDataAllocation,SelectAllocatedGroup,EditAllocatedGroupSidePanel,Copy of Data,Copy of Data 1"</formula1>
    </dataValidation>
    <dataValidation type="list" allowBlank="1" sqref="H303:K304">
      <formula1>"AddCashTransaction,GetForexConversion,UpdateForexConversionMonthly,GetActivityData,VerifyActivity,GetDividendData,VerifyDividend,GetDayEndCash,VerifyDayEndCash,GetAccountBalance,GetRevaluationData,VerifyRevaluationData,EditCashTransaction,VerifyDividend1,"&amp;"GetDayEndCash1"</formula1>
    </dataValidation>
    <dataValidation type="list" allowBlank="1" sqref="H13:K13">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formula1>
    </dataValidation>
    <dataValidation type="list" allowBlank="1" sqref="H147:K147">
      <formula1>"CreateDoneAwayOrder,GetMarkPriceData,UpdateMarkPrice,GetDataAllocation,GetActivityData,VerifyActivity,GetTradingTransaction,VerifyTradingTransaction,GetDailyCalculationsData,VerifyDailyCalTransactions,GetTradingTransaction1,VerifyTradingTransaction2,GetDa"&amp;"taClosing,AutomaticClosing,GetDailyCalculationsData1,VerifyDailyCalTransactions1,GetDailyCalculationsData2,VerifyDailyCalTransactions2,GetDayEndCash,VerifyDayEndCash,GetDailyCash,VerifyDailyCash,GetAccountBalance,VerifyActivity1,GetRevaluationData,VerifyR"&amp;"evaluationData,GetDataAllocation1,SelectAllocatedGroup,EditAllocatedGroupSidePanel,SelectAllocatedGroup1,EditAllocatedGroupSidePanel1,GetAccountBalance1,VerifyActivity2,VerifyTradingTransaction1,VerifyRevaluationData1,Copy of Data,Copy of Data 1,Copy of D"&amp;"ata 1_conflict1069383801"</formula1>
    </dataValidation>
    <dataValidation type="list" allowBlank="1" sqref="H595:K596">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EditTradeUnexpiredUnsettled,EditTradeUnexpiredUnsettled1,CheckAllocatedGroups1,VerifyRevaluationData1,Expire,EditTradeUnexpiredUnsettled2"</formula1>
    </dataValidation>
    <dataValidation type="list" allowBlank="1" sqref="F252 F279 F326 F362 F475:F476 F504 F526 F564 F602 F605 F617 F630 F652">
      <formula1>"DeleteClientData,,,,,,,,,,,,,,,,,,,,,,,,,,,,,,,,,,,,,,,,,,,,,,,,,,,,,,,,,,,,,,,,,,,,,,,,,,,,,,,,,,,,,,,,,,,,,,,,,,,,,,,,,,,,,,,,,,,,,,,,,,,,,,,,,,,,,,,,,,,,,,,,,,,,,,,,,,,,,,,,,,,,,,,,,,,,,,,,,,,,,,,,,,,,,,,,,,,,,,,,,,,,,,,,,,,,,,,,,,,,,,,,,,,,,,,,,,,,,,,"&amp;",,,,,,,,,,,,,,,,,,,,,,,,,,,,,,,,,,,,,,,,,,,,,,,,,,,,,,,,,,,,,,,,,,,,,,,,,,,,,,,,,,,,,,,,,,,,,,,,,,,,,,,,,,,,,,,,,,,,,,,,,,,,,,,,,,,,,,,,,,,,,,,,,,,,,,,,,,,,,,,,,,,,,,,,,,,,,,,,,,,,,,,,,,,,,,,,,,,,,,,,,,,,,,,,,,,,,,,,,,,,,,,,,,,,,,,,,,,,,,,,,,,,,,,,,,,,,,,"&amp;",,"</formula1>
    </dataValidation>
    <dataValidation type="list" allowBlank="1" sqref="H639:K639 H661:K661">
      <formula1>"CreateDoneAwayOrder,GetDataAllocation,CheckAllocatedGroups,GetActivityData,VerifyActivity,GetDailyCalculationsData,CalculateDailyCalculations,VerifyDailyCalTransactions"</formula1>
    </dataValidation>
    <dataValidation type="list" allowBlank="1" sqref="F655:F656">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CopyCalculatedPreferenceToolbar,CloseOrder,DisableChecksideForAsset,DisableChecksideForAccount,DisableChecksideForCounterParty,DisableCheckside,,,,,,,,,,,,,,,,,,,,,,,,,,,,,,,,,,,,,,,,,,,,,,,,,,,,,,,,,,,,,,,,,,,,,,,,,,,"&amp;",,,,,,,,,,,,,,,,,,,,,,,,,,,,,,,,,,,,,,,,,,,,,,,,,,,,,,,,,,,,,,,,,,,,,,,,,,,,,,,,,,,,,,,,,,,,,,,,,,,,,,,,,,,,,,,,,,,,,,,,,,,,,,,,,,,,,,,,,,,,,,,,,,,,,,,,,,,,,,,,,,,,,,,,,,,,,,,,,,,,,,,,,,,,,,,,,,,,,,,,,,,,,,,,,,,,,,,,,,,,,,,,,,,,,,,,,,,,,,,,,,,,,,,,,,,,,,,"&amp;",,,,,,,,,,,,,,,,,,,,,,,,,,,,,,,,,,,,,,,,,,,,,,,,,,,,,,,,,,,,,,"</formula1>
    </dataValidation>
    <dataValidation type="list" allowBlank="1" sqref="H330:K330">
      <formula1>"GetOpeningBalanceData,AddOpeningBalanceTransaction,AddOpeningBalanceTranItem,VerifyOpeningBalanceData,GetForexConversion,UpdateForexConversionMonthly,GetActivityData,VerifyActivity,GetDayEndCash,VerifyDayEndCash,GetAccountBalance,GetRevaluationData,Verify"&amp;"RevaluationData,EditOpeningBalanceTransaction,EditOpeningBalanceTranItem,VerifyActivity1,VerifyRevaluationData1,DeleteOpeningBalanceTranItem,DeleteOpeningBalanceTransaction,VerifyActivity2,VerifyRevaluationData2,Copy of Data,Copy of Data_conflict994371027"</formula1>
    </dataValidation>
    <dataValidation type="list" allowBlank="1" sqref="H280:K280">
      <formula1>"GetCashTransaction,Copy of Data,Copy of Data_conflict1651659709,AddCashTransaction"</formula1>
    </dataValidation>
    <dataValidation type="list" allowBlank="1" sqref="H571:K571 H584:K584">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EditTradeUnexpiredUnsettled"</formula1>
    </dataValidation>
    <dataValidation type="list" allowBlank="1" sqref="H44:K44">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formula1>
    </dataValidation>
    <dataValidation type="list" allowBlank="1" sqref="H477:K477">
      <formula1>"CreateDoneAwayOrder,GetMarkPriceData,UpdateMarkPriceMonthly,GetDataClosing,SelectTradeUnexpiredUnsettled,Expire,SelectTradeUnexpiredUnsettled1,ExerciseAssignment,SelectTradeUnexpiredUnsettled2,ExerciseAssignmentAtZero,GetDataAllocation,CheckAllocatedGroup"&amp;"s,GetActivityData,VerifyActivity,GetTradingTransaction,VerifyTradingTransaction,GetDayEndCash,VerifyDayEndCash,GetAccountBalance,VerifyTradingTransaction1,GetRevaluationData,VerifyRevaluationData"</formula1>
    </dataValidation>
    <dataValidation type="list" allowBlank="1" sqref="H368:K368">
      <formula1>"GetNonTradingTransaction,AddNonTradingTransaction,AddNonTradingTranItem,AddNonTradingTranItem1,SaveTransaction,VerifyNonTradingTransaction"</formula1>
    </dataValidation>
    <dataValidation type="list" allowBlank="1" sqref="H7:K7">
      <formula1>"GetCashTransaction,AddCashTransaction,GetAccountDetails,VerifyAccountDetails,Copy of Data"</formula1>
    </dataValidation>
    <dataValidation type="list" allowBlank="1" sqref="F14:F17 F36 F49:F54 F75 F80 F91:F93 F119:F121 F147:F148 F170 F192:F193 F218 F220 F243">
      <formula1>"UpdateBeta,UpdateDailyCash,UpdateForexConversion,UpdateMarkPrice,CleanUp,GetMarkPriceData,UpdateForwardPoints,GetForwardPoints,UpdateForwardPoints,GetForexConversion,DeleteNAV,GetDailyCash,GetDailyOutstandings,GetDailyVolatility,GetDailyDividendYield,GetD"&amp;"ailyBeta,GetDailyTradingVolume,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H220:K220 H222:K226">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formula1>
    </dataValidation>
    <dataValidation type="list" allowBlank="1" sqref="H305:K305">
      <formula1>"AddCashTransaction,GetForexConversion,UpdateForexConversionMonthly,GetActivityData,VerifyActivity,GetDividendData,VerifyDividend,GetDayEndCash,VerifyDayEndCash,GetAccountBalance,VerifyActivity1,GetRevaluationData,VerifyRevaluationData,EditCashTransaction,"&amp;"VerifyDividend1,GetDayEndCash1,GetAccountBalance1,GetRevaluationData1,VerifyRevaluationData1,DeleteCashTransaction,VerifyActivity2"</formula1>
    </dataValidation>
    <dataValidation type="list" allowBlank="1" sqref="H509:K509">
      <formula1>"CreateDoneAwayOrder,GetMarkPriceData,UpdateMarkPriceMonthly,GetDataAllocation,GetDataClosing,AutomaticClosing"</formula1>
    </dataValidation>
    <dataValidation type="list" allowBlank="1" sqref="H148:K148">
      <formula1>"CreateDoneAwayOrder,GetMarkPriceData,UpdateMarkPrice,GetDataAllocation,GetActivityData,VerifyActivity,GetTradingTransaction,VerifyTradingTransaction,GetDailyCalculationsData,VerifyDailyCalTransactions,GetTradingTransaction1,VerifyTradingTransaction2,GetDa"&amp;"taClosing,AutomaticClosing,GetDailyCalculationsData1,VerifyDailyCalTransactions1,GetDailyCalculationsData2,VerifyDailyCalTransactions2,GetDayEndCash,VerifyDayEndCash,GetDailyCash,VerifyDailyCash,GetAccountBalance,VerifyActivity1,GetRevaluationData,VerifyR"&amp;"evaluationData,GetDataAllocation1,SelectAllocatedGroup,EditAllocatedGroupSidePanel,SelectAllocatedGroup1,EditAllocatedGroupSidePanel1,GetAccountBalance1,VerifyActivity2,VerifyTradingTransaction1,VerifyRevaluationData1,Copy of Data,Copy of Data 1,Copy of D"&amp;"ata 1_conflict1069383801,Copy of Data 2,UpdateDailyCash,Copy of Data 3,Copy of Data 4"</formula1>
    </dataValidation>
    <dataValidation type="list" allowBlank="1" sqref="H663:K664">
      <formula1>"CreateDoneAwayOrder,GetDataAllocation,CheckAllocatedGroups,GetActivityData,VerifyActivity,GetDailyCalculationsData,VerifyDailyCalTransactions,GetDataClosing,AutomaticClosing"</formula1>
    </dataValidation>
    <dataValidation type="list" allowBlank="1" sqref="F76 F81 F171 F645:F646 F667:F668">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VerifyDailyCash,,,,,,,,,,,,,,,,,,,,,,,,,,,,,,,,,,,,,,,,,,,,,,,,,,,,,,,,,,,,,,,,,,,,,,,,,,,,,,,,,,,,,,,,,,,,,,,,,,,,,,,,,,,,,,,,,,,,,,,,,,,,,,,,,,,,,,,,,,,,,,,,,,,,,,,,,,,,,,,,,,,,,,,,,,,,,,,,,,,,,,,,,,,,,,,,,,,,,,,,,,,,,,,"&amp;",,,,,,,,,,,,,,,,,,,,,,,,,,,,,,,,,,,,,,,,,,,,,,,,,,,,,,,,,,,,,,,,,,,,,,,,,,,,,,,,,,,,,,,,,,,,,,,,,,,,,,,,,,,,,,,,,,,,,,,,,,,,,,,,,,,,,,,,,,,,,,,,,,,,,,,,,,,,,,,,,,,,,,,,,,,,,,,,,,,,,,,,,,,,,,,,,,,,,,,,,,,,,,,,,,,,,,,,,,,,,,,,,,,,,,,,,,,,,,,,,,,,,,,,,,,,,,,"&amp;",,,"</formula1>
    </dataValidation>
    <dataValidation type="list" allowBlank="1" sqref="H375:K375">
      <formula1>"GetNonTradingTransaction,AddNonTradingTransaction,AddNonTradingTranItem,AddNonTradingTranItem1,SaveTransaction,VerifyNonTradingTransaction,GetForexConversion,UpdateForexConversionMonthly,GetActivityData,VerifyActivity,GetDayEndCash,CalculateDayEndCash,Ver"&amp;"ifyDayEndCash"</formula1>
    </dataValidation>
    <dataValidation type="list" allowBlank="1" sqref="H89:K90">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formula1>
    </dataValidation>
    <dataValidation type="list" allowBlank="1" sqref="H492:K492">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formula1>
    </dataValidation>
    <dataValidation type="list" allowBlank="1" sqref="H572:K572 H586:K590">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formula1>
    </dataValidation>
    <dataValidation type="list" allowBlank="1" sqref="H48:K48 H51:K52 H54:K55">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Data,Copy of Data 1,Copy of Data 2,Copy"&amp;" of Data 3,Copy of Data 4,Copy of Data 5,Copy of Data 6,Copy of Data 7"</formula1>
    </dataValidation>
    <dataValidation type="list" allowBlank="1" sqref="H56:K59">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Data,Copy of Data 1,Copy of Data 2,Copy"&amp;" of Data 3,Copy of Data 4,Copy of Data 5,Copy of Data 6,Copy of Data 7,Copy of Data 8"</formula1>
    </dataValidation>
    <dataValidation type="list" allowBlank="1" sqref="H513:K513">
      <formula1>"CreateDoneAwayOrder,GetMarkPriceData,UpdateMarkPriceMonthly,GetDataClosing,AutomaticClosing,GetDataAllocation,CheckAllocatedGroups,GetActivityData,VerifyActivity"</formula1>
    </dataValidation>
    <dataValidation type="list" allowBlank="1" sqref="H558:K562">
      <formula1>"CreateDoneAwayOrder,GetMarkPriceData,UpdateMarkPriceMonthly,GetDataClosing,SelectTradeUnexpiredUnsettled,EditTradeUnexpiredUnsettled,ExerciseAssignment,GetDataAllocation,CheckAllocatedGroups,GetDayEndCash,VerifyDayEndCash,GetAccountBalance,GetTradingTrans"&amp;"action,VerifyTradingTransaction,GetRevaluationData,VerifyRevaluationData,EditTradeUnexpiredUnsettled1,ExerciseAssignmentAtZero,CheckAllocatedGroups1,VerifyRevaluationData1,EditTradeUnexpiredUnsettled2,Expire,CheckAllocatedGroups2"</formula1>
    </dataValidation>
    <dataValidation type="list" allowBlank="1" sqref="H336:K336">
      <formula1>"CreateDoneAwayOrder,GetOpeningBalanceData,AddOpeningBalanceTransaction,VerifyOpeningBalanceData,GetActivityData,VerifyActivity"</formula1>
    </dataValidation>
    <dataValidation type="list" allowBlank="1" sqref="H292:K292">
      <formula1>"AddCashTransaction,GetActivityData,VerifyActivity,GetDividendData,VerifyDividend,GetDayEndCash,VerifyDayEndCash"</formula1>
    </dataValidation>
    <dataValidation type="list" allowBlank="1" sqref="H508:K508">
      <formula1>"CreateDoneAwayOrder,GetMarkPriceData,UpdateMarkPriceMonthly,GetDataAllocation,GetDataClosing"</formula1>
    </dataValidation>
    <dataValidation type="list" allowBlank="1" sqref="H122:K122">
      <formula1>"CreateDoneAwayOrder,GetDataAllocation,GetActivityData,VerifyActivity,GetTradingTransaction,VerifyTradingTransaction,GetMarkPriceData,UpdateMarkPrice,GetForexConversion,UpdateForexConversion,GetForexConversion1,UpdateForexConversion1,GetForexConversion2,Up"&amp;"dateForexConversion2,GetDataClosing,GetDayEndCash1,AutomaticClosing,GetDailyCalculationsData,VerifyDailyCalTransactions,GetDayEndCash,VerifyDayEndCash,GetAccountBalance,VerifyActivity1,GetRevaluationData,VerifyRevaluationData,UpdateForexConversionMonthly"</formula1>
    </dataValidation>
    <dataValidation type="list" allowBlank="1" sqref="H580:K580">
      <formula1>"CreateDoneAwayOrder,GetMarkPriceData,UpdateMarkPriceMonthly,GetDataClosing,SelectTradeUnexpiredUnsettled,ExerciseAssignment,GetDataAllocation,CheckAllocatedGroups,GetDayEndCash,CalculateDayEndCash,VerifyDayEndCash,GetAccountBalance,GetTradingTransaction,V"&amp;"erifyTradingTransaction"</formula1>
    </dataValidation>
    <dataValidation type="list" allowBlank="1" sqref="H211:K211">
      <formula1>"ClosingCleanUp,CleanUp,DeleteClientData,Copy of Data"</formula1>
    </dataValidation>
    <dataValidation type="list" allowBlank="1" sqref="H239:K240">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Data,SaveAllocatio"&amp;"n,CalculateDailyCalculations,Copy of Data 1"</formula1>
    </dataValidation>
    <dataValidation type="list" allowBlank="1" sqref="H45:K46">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Data,Copy of Data 1"</formula1>
    </dataValidation>
    <dataValidation type="list" allowBlank="1" sqref="H99:K100">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Data,Copy of Data 1,Copy of Data 2,Copy of Data 3,Copy of Data 4,Copy of Data 5,Copy of Data 6"</formula1>
    </dataValidation>
    <dataValidation type="list" allowBlank="1" sqref="F254">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amp;",,,,,,,,,,,,,,,,,,,,,,,,,,,,,,,,,,,,,,,,,,,,,,,,,,,,,,,,,,,,,,,,,,,,,,,,,,,,,,,,,,,,,,,,,,,,,,,,,,,,,,,,,,,,,,,,,,,,,,,,,,,,,,,,,,,,,,,,,,,,,,,,,,,,,,,,,,,,,,,,,,,,,,,,,,,,,,,,,,,,,,,,,,,,,,,,,,,,,,,,,,,,,,,,,,,,,,,,,,,,,"</formula1>
    </dataValidation>
    <dataValidation type="list" allowBlank="1" sqref="H535:K535">
      <formula1>"CreateDoneAwayOrder,e,Copy of Data 1,GetMarkPriceData,UpdateMarkPriceMonthly,GetDataClosing,SelectTradeUnexpiredUnsettled,ExerciseAssignment,GetDataAllocation"</formula1>
    </dataValidation>
    <dataValidation type="list" allowBlank="1" sqref="H490:K490">
      <formula1>"CreateDoneAwayOrder,GetMarkPriceData,UpdateMarkPriceMonthly,GetDataClosing,SelectTradeUnexpiredUnsettled,Expire,ExerciseAssignment,SelectTradeUnexpiredUnsettled1,ExerciseAssignmentAtZero,SelectTradeUnexpiredUnsettled2,Copy of Data,GetDataAllocation,CheckA"&amp;"llocatedGroups"</formula1>
    </dataValidation>
    <dataValidation type="list" allowBlank="1" sqref="H662:K662">
      <formula1>"CreateDoneAwayOrder,GetDataAllocation,CheckAllocatedGroups,GetActivityData,VerifyActivity,GetDailyCalculationsData,VerifyDailyCalTransactions,GetDataClosing"</formula1>
    </dataValidation>
    <dataValidation type="list" allowBlank="1" sqref="H246:K251">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Data,SaveAllocatio"&amp;"n,CalculateDailyCalculations,Copy of Data 1,CalculateDayEndCash,Copy of Data 2,VerifyAccountBalances,Copy of Data 3"</formula1>
    </dataValidation>
    <dataValidation type="list" allowBlank="1" sqref="H302:K302">
      <formula1>"AddCashTransaction,GetForexConversion,UpdateForexConversionMonthly,GetActivityData,VerifyActivity,GetDividendData,VerifyDividend,GetDayEndCash,VerifyDayEndCash,GetAccountBalance,GetRevaluationData,VerifyRevaluationData,EditCashTransaction,VerifyDividend1,"&amp;"GetDayEndCash1,CalculateDayEndCash"</formula1>
    </dataValidation>
    <dataValidation type="list" allowBlank="1" sqref="H538:K538">
      <formula1>"CreateDoneAwayOrder,e,Copy of Data 1,GetMarkPriceData,UpdateMarkPriceMonthly,GetDataClosing,SelectTradeUnexpiredUnsettled,ExerciseAssignment,GetDataAllocation,CheckAllocatedGroups,GetDayEndCash,CalculateDayEndCash,Copy of Data 2"</formula1>
    </dataValidation>
    <dataValidation type="list" allowBlank="1" sqref="H500:K500 G501:G502">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Data,GetDataAllocation,CheckA"&amp;"llocatedGroups,GetActivityData,VerifyActivity,GetTradingTransaction,VerifyTradingTransaction,GetDayEndCash,CalculateDayEndCash,VerifyDayEndCash,Copy of Data 1,Copy of Data 1_conflict2019006342,Copy of Data 2,ge,GetAccountBalance,Copy of Data 3"</formula1>
    </dataValidation>
    <dataValidation type="list" allowBlank="1" sqref="H518:K518">
      <formula1>"CreateDoneAwayOrder,GetMarkPriceData,UpdateMarkPriceMonthly,GetDataClosing,AutomaticClosing,GetDataAllocation,CheckAllocatedGroups,GetActivityData,VerifyActivity,GetTradingTransaction,VerifyTradingTransaction,GetDayEndCash,CalculateDayEndCash,Copy of Data"&amp;",VerifyDayEndCash"</formula1>
    </dataValidation>
    <dataValidation type="list" allowBlank="1" sqref="H542:K542">
      <formula1>"CreateDoneAwayOrder,e,Copy of Data 1,GetMarkPriceData,UpdateMarkPriceMonthly,GetDataClosing,SelectTradeUnexpiredUnsettled,ExerciseAssignment,GetDataAllocation,CheckAllocatedGroups,GetDayEndCash,CalculateDayEndCash,VerifyDayEndCash,GetAccountBalance,GetTra"&amp;"dingTransaction,VerifyTradingTransaction"</formula1>
    </dataValidation>
    <dataValidation type="list" allowBlank="1" sqref="F535:F536 F548:F549 F556:F557 F573:F574 F586:F587 F594:F595 F607:F608 F620:F622">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D6:D7 D12:D13 D43:D44 D88:D89 D112:D113 D145 D189:D190 D211:D212 D252:D253 D279:D280 D326 D362:D363 D397:D398 D413:D414 D438:D439 D475:D477 D503:D505 D524:D528 D565:D566 D603:D867">
      <formula1>'_Categories'!$A$4:$A867</formula1>
    </dataValidation>
    <dataValidation type="list" allowBlank="1" sqref="H637:K637 H659:K659">
      <formula1>"CreateDoneAwayOrder,GetDataAllocation,CheckAllocatedGroups,GetActivityData,VerifyActivity,GetDailyCalculationsData"</formula1>
    </dataValidation>
    <dataValidation type="list" allowBlank="1" sqref="H502:K502">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Data,GetDataAllocation,CheckA"&amp;"llocatedGroups,GetActivityData,VerifyActivity,GetTradingTransaction,VerifyTradingTransaction,GetDayEndCash,CalculateDayEndCash,VerifyDayEndCash,Copy of Data 1,Copy of Data 1_conflict2019006342,Copy of Data 2,ge,GetAccountBalance,Copy of Data 3,VerifyTradi"&amp;"ngTransaction1,Copy of Data 4,Copy of Data 4_conflict1108407375,GetRevaluationData,VerifyRevaluationData"</formula1>
    </dataValidation>
    <dataValidation type="list" allowBlank="1" sqref="H94:K94">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U"&amp;"pdateForexConversionMonthly"</formula1>
    </dataValidation>
    <dataValidation type="list" allowBlank="1" sqref="H346:K346">
      <formula1>"ClosingCleanUp,CleanUp,DeleteClientData,Copy of Data,AddOpeningBalanceTranItem,AddOpeningBalanceTranItem1,EditNonTradingTranItem,EditOpeningBalanceTranItem,EditOpeningBalanceTranItem1,SaveTransaction"</formula1>
    </dataValidation>
    <dataValidation type="list" allowBlank="1" sqref="H671:K671">
      <formula1>"CreateDoneAwayOrder,GetDataAllocation,CheckAllocatedGroups,GetActivityData,VerifyActivity,GetDailyCalculationsData,VerifyDailyCalTransactions,GetDataClosing,AutomaticClosing,GetDailyCalculationsData1,VerifyDailyCalTransactions1,GetForexConversion,UpdateFo"&amp;"rexConversionMonthly,GetAccountBalance,GetRevaluationData,VerifyRevaluationData"</formula1>
    </dataValidation>
    <dataValidation type="list" allowBlank="1" sqref="H523:K523">
      <formula1>"CreateDoneAwayOrder,GetMarkPriceData,UpdateMarkPriceMonthly,GetDataClosing,AutomaticClosing,GetDataAllocation,CheckAllocatedGroups,GetActivityData,VerifyActivity,GetTradingTransaction,VerifyTradingTransaction,GetDayEndCash,VerifyDayEndCash,GetAccountBalan"&amp;"ce,VerifyActivity1,GetRevaluationData,VerifyRevaluationData"</formula1>
    </dataValidation>
    <dataValidation type="list" allowBlank="1" sqref="H534:K534">
      <formula1>"CreateDoneAwayOrder,e,Copy of Data 1,GetMarkPriceData,UpdateMarkPriceMonthly,GetDataClosing,SelectTradeUnexpiredUnsettled,ExerciseAssignment"</formula1>
    </dataValidation>
    <dataValidation type="list" allowBlank="1" sqref="H574:K574">
      <formula1>"CreateDoneAwayOrder,GetMarkPriceData,UpdateMarkPriceMonthly,GetDataClosing,SelectTradeUnexpiredUnsettled,ExerciseAssignment,GetDataAllocation,CheckAllocatedGroups"</formula1>
    </dataValidation>
    <dataValidation type="list" allowBlank="1" sqref="F635:F639 F642:F644 F647:F649 F657:F661 F664:F666 F669:F671">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VerifyCashTransaction,CalculateDayEndCash,CalculateDayEndCash,VerifyOpeningBalanceData,,,,,,,,,,,,,,,,,,,,,,,,,,,,,,,,,,,,,,,,,,,,,,,,,,,,,,,,,,,,,,,,,,,,,,,,,,,,,,,,,,,,,,,,,,,,,,,"&amp;",,,,,,,,,,,,,,,,,,,,,,,,,,,,,,,,,,,,,,,,,,,,,,,,,,,,,,,,,,,,,,,,,,,,,,,,,,,,,,,,,,,,,,,,,,,,,,,,,,,,,,,,,,,,,,,,,,,,,,,,,,,,,,,,,,,,,,,,,,,,,,,,,,,,,,,,,,,,,,,,,,,,,,,,,,,,,,,,,,,,,,,,,,,,,,,,,,,,,,,,,,,,,,,,,,,,,,,,,,,,,,,,,,,,,,,,,,,,,,,,,,,,,,,,,,,,,,,"&amp;",,,,,,,,,,,,,,,,,,,,,,,,,,,,,,,,,,,,,,,,,,,,,,,,,,,,,,,,,,,,,,,,,,,,,,,,,,,,,,,,,,,,,,,,,,,,,,"</formula1>
    </dataValidation>
    <dataValidation type="list" allowBlank="1" sqref="H579:K579">
      <formula1>"CreateDoneAwayOrder,GetMarkPriceData,UpdateMarkPriceMonthly,GetDataClosing,SelectTradeUnexpiredUnsettled,ExerciseAssignment,GetDataAllocation,CheckAllocatedGroups,GetDayEndCash,CalculateDayEndCash,VerifyDayEndCash,GetAccountBalance,GetTradingTransaction"</formula1>
    </dataValidation>
    <dataValidation type="list" allowBlank="1" sqref="H113:K113">
      <formula1>"CreateDoneAwayOrder,GetDataAllocation,SelectAllocatedGroup,EditAllocatedGroupSidePanel,SelectAllocatedGroup1,EditAllocatedGroupSidePanel1,SelectAllocatedGroup2,EditAllocatedGroupSidePanel2,GetActivityData,VerifyActivity,GetTradingTransaction,VerifyTrading"&amp;"Transaction,GetMarkPriceData,UpdateMarkPrice,GetForexConversion,UpdateForexConversion,GetForexConversion1,UpdateForexConversion1,GetForexConversion2,UpdateForexConversion2,GetDataClosing,AutomaticClosing,GetDailyCalculationsData,VerifyDailyCalTransactions"&amp;",GetDayEndCash,VerifyDayEndCash,GetAccountBalance,VerifyActivity1,GetRevaluationData,VerifyRevaluationData,Copy of Data"</formula1>
    </dataValidation>
    <dataValidation type="list" allowBlank="1" sqref="H575:K575">
      <formula1>"CreateDoneAwayOrder,GetMarkPriceData,UpdateMarkPriceMonthly,GetDataClosing,SelectTradeUnexpiredUnsettled,ExerciseAssignment,GetDataAllocation,CheckAllocatedGroups,GetDayEndCash"</formula1>
    </dataValidation>
    <dataValidation type="list" allowBlank="1" sqref="H281:K281">
      <formula1>"AddCashTransaction,GetActivityData,VerifyActivity,GetDividendData,VerifyDividend,GetDayEndCash,VerifyDayEndCash,GetAccountBalance,GetRevaluationData,VerifyRevaluationData,EditCashTransaction,GetForexConversion"</formula1>
    </dataValidation>
    <dataValidation type="list" allowBlank="1" sqref="F8:F9 F11">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amp;",,,,,,,,,,,,,,,,,,,,,,,,,,,,,,,,,,,,,,,,,,,,,,,,,,,,,,,,,,,,,,,,,,,,,,,,,,,,,,,,,,,,,,,,,,,,,,,,,,,,,,,,,,,,,,,,,,,,,,,,,,,,,,,,,,,,,,,,,,,,,,,,,,,,,,,,,,,,,,,,,,,,,,,,,,,,,,,,,,,,,,,,,,,,,,,,,,,,,,,,,,,,,,,,,,,,,,,,,,,,,,,,,,,,,,,,,,,,,,,,,,,,,,,,,,,,,,,"&amp;",,,,,,,,,,,,,,,,,,,,,,,,,,,,,,,,,,,,,,,,,,,,,,,,,,,,,,,,,,,,,,,,,,,,,,,,,,,,,,,,,,,,,,,,,,,,,,,,,,,,,,,,,,,,,,,,,,,,,,,,,,,,,,,,,,,,,,,,,,,,,,,,,,,,,,,,,,,,,,,,,,,,,,,,,,,,,,"</formula1>
    </dataValidation>
    <dataValidation type="list" allowBlank="1" sqref="H231:K237">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Data,SaveAllocatio"&amp;"n"</formula1>
    </dataValidation>
    <dataValidation type="list" allowBlank="1" sqref="F146 F253 F477 F505 F527:F528 F566">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332:K332">
      <formula1>"CreateDoneAwayOrder,GetOpeningBalanceData,AddOpeningBalanceTransaction,VerifyOpeningBalanceData"</formula1>
    </dataValidation>
    <dataValidation type="list" allowBlank="1" sqref="H190:K190">
      <formula1>"CreateDoneAwayOrder,GetDataAllocation,GetMarkPriceData,UpdateMarkPrice,GetDataClosing,ManualClosing,GetActivityData,VerifyActivity,GetTradingTransaction,VerifyTradingTransaction,GetDailyCalculationsData,VerifyDailyCalTransactions,GetDayEndCash,VerifyDayEn"&amp;"dCash,GetAccountBalance,VerifyActivity1,GetRevaluationData,VerifyRevaluationData,Copy of Data,Copy of Data_conflict1441085804"</formula1>
    </dataValidation>
    <dataValidation type="list" allowBlank="1" sqref="H253:K254 H258:K263">
      <formula1>"CreateDoneAwayOrder,GetMarkPriceData,UpdateMarkPrice,GetActivityData,VerifyActivity,GetTradingTransaction,VerifyTradingTransaction,GetDailyCalculationsData,CalculateDailyCalculations,VerifyDailyCalTransactions,GetDayEndCash,CalculateDayEndCash,VerifyDayEn"&amp;"dCash,GetAccountBalance,VerifyRevaluationData,GetDataAllocation,SelectAllocatedGroup,EditAllocatedGroupSidePanel"</formula1>
    </dataValidation>
    <dataValidation type="list" allowBlank="1" sqref="H624:K624">
      <formula1>"CreateDoneAwayOrder,GetDataAllocation,EditAllocatedGroupSidePanel,SelectAllocatedGroup,GetTradingTransaction,VerifyTradingTransaction"</formula1>
    </dataValidation>
    <dataValidation type="list" allowBlank="1" sqref="H373:K373">
      <formula1>"GetNonTradingTransaction,AddNonTradingTransaction,AddNonTradingTranItem,AddNonTradingTranItem1,SaveTransaction,VerifyNonTradingTransaction,GetForexConversion,UpdateForexConversionMonthly,GetActivityData,VerifyActivity,GetDayEndCash"</formula1>
    </dataValidation>
    <dataValidation type="list" allowBlank="1" sqref="H641:K642 H644:K644">
      <formula1>"CreateDoneAwayOrder,GetDataAllocation,CheckAllocatedGroups,GetActivityData,VerifyActivity,GetDailyCalculationsData,CalculateDailyCalculations,VerifyDailyCalTransactions,GetDataClosing,AutomaticClosing"</formula1>
    </dataValidation>
    <dataValidation type="list" allowBlank="1" sqref="H633:K633 H655:K655">
      <formula1>"CreateDoneAwayOrder,GetDataAllocation"</formula1>
    </dataValidation>
    <dataValidation type="list" allowBlank="1" sqref="H351:K351 H353:K353">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EditOpeningBalanceTranItem,VerifyActivity1,DeleteO"&amp;"peningBalanceTranItem,DeleteOpeningBalanceTransaction"</formula1>
    </dataValidation>
    <dataValidation type="list" allowBlank="1" sqref="H613:K613">
      <formula1>"CreateDoneAwayOrder,CheckAllocatedGroups,GetDataAllocation,GetDataClosing,AutomaticClosing,GetDailyCalculationsData,CalculateDailyCalculations,Copy of Data,VerifyDailyCalTransactions"</formula1>
    </dataValidation>
    <dataValidation type="list" allowBlank="1" sqref="H276:K276 H278:K278">
      <formula1>"CreateDoneAwayOrder,GetMarkPriceData,UpdateMarkPrice,GetActivityData,VerifyActivity,GetTradingTransaction,VerifyTradingTransaction,GetDailyCalculationsData,CalculateDailyCalculations,VerifyDailyCalTransactions,GetDayEndCash,CalculateDayEndCash,VerifyDayEn"&amp;"dCash,GetAccountBalance,VerifyRevaluationData,GetDataAllocation,SelectAllocatedGroup,EditAllocatedGroupSidePanel,Copy of Data,Copy of Data 1,Copy of Data 2,Copy of Data 3,Copy of Data 4,update,Copy of Data 6,UpdateMarkPriceMonthly.,Copy of Data 7,Copy of "&amp;"Data 8"</formula1>
    </dataValidation>
    <dataValidation type="list" allowBlank="1" sqref="H517:K517">
      <formula1>"CreateDoneAwayOrder,GetMarkPriceData,UpdateMarkPriceMonthly,GetDataClosing,AutomaticClosing,GetDataAllocation,CheckAllocatedGroups,GetActivityData,VerifyActivity,GetTradingTransaction,VerifyTradingTransaction,GetDayEndCash,CalculateDayEndCash"</formula1>
    </dataValidation>
    <dataValidation type="list" allowBlank="1" sqref="H625:K627">
      <formula1>"CreateDoneAwayOrder,GetDataAllocation,EditAllocatedGroupSidePanel,SelectAllocatedGroup,GetTradingTransaction,VerifyTradingTransaction,GetAccountBalance"</formula1>
    </dataValidation>
    <dataValidation type="list" allowBlank="1" sqref="H489:K489">
      <formula1>"CreateDoneAwayOrder,GetMarkPriceData,UpdateMarkPriceMonthly,GetDataClosing,SelectTradeUnexpiredUnsettled,Expire,ExerciseAssignment,SelectTradeUnexpiredUnsettled1,ExerciseAssignmentAtZero,SelectTradeUnexpiredUnsettled2,Copy of Data,GetDataAllocation"</formula1>
    </dataValidation>
    <dataValidation type="list" allowBlank="1" sqref="H106:K107 H109:K111">
      <formula1>"CreateDoneAwayOrder,GetDataAllocation,GetMarkPriceData,UpdateMarkPrice,GetForexConversion,UpdateForexConversion,GetForexConversion1,UpdateForexConversion1,GetForexConversion2,UpdateForexConversion2,GetForexConversion3,UpdateForexConversion3,GetDataClosing"&amp;",AutomaticClosing,GetActivityData,VerifyActivity,GetTradingTransaction,VerifyTradingTransaction,GetDailyCalculationsData,VerifyDailyCalTransactions,GetDayEndCash,VerifyDayEndCash,GetAccountBalance,VerifyActivity1,GetRevaluationData,VerifyRevaluationData,C"&amp;"opy of Data,Copy of Data 1,Copy of Data 2,Copy of Data 3,Copy of Data 4,Copy of Data 5,Copy of Data 6,Copy of Data 7,Copy of Data 8,Copy of Data 8_conflict1826995147,Copy of Data 9"</formula1>
    </dataValidation>
    <dataValidation type="list" allowBlank="1" sqref="H319:K320">
      <formula1>"AddCashTransaction,AddCashTransaction1,AddCashTransaction2,GetCashTransaction,VerifyCashTransaction,GetForexConversion,UpdateForexConversionMonthly,GetActivityData,VerifyActivity,GetDividendData,VerifyDividend,GetDayEndCash,VerifyDayEndCash,GetAccountBala"&amp;"nce,VerifyActivity1,GetRevaluationData,VerifyRevaluationData,SelectCashTransaction,EditCashTransaction,VerifyDividend1,GetDayEndCash1,GetAccountBalance1,VerifyActivity2,GetRevaluationData1,VerifyRevaluationData1,SelectCashTransaction1,DeleteCashTransactio"&amp;"n,SelectCashTransaction2,DeleteCashTransaction1,VerifyActivity3,VerifyRevaluationData2"</formula1>
    </dataValidation>
    <dataValidation type="list" allowBlank="1" sqref="H286:K286">
      <formula1>"AddCashTransaction,GetDividendData,VerifyDividend,GetActivityData"</formula1>
    </dataValidation>
    <dataValidation type="list" allowBlank="1" sqref="H553:K554">
      <formula1>"CreateDoneAwayOrder,GetMarkPriceData,UpdateMarkPriceMonthly,GetDataClosing,SelectTradeUnexpiredUnsettled,EditTradeUnexpiredUnsettled,ExerciseAssignment,GetDataAllocation,CheckAllocatedGroups,GetDayEndCash,VerifyDayEndCash,GetAccountBalance,GetTradingTrans"&amp;"action,VerifyTradingTransaction,GetRevaluationData,VerifyRevaluationData,EditTradeUnexpiredUnsettled1,ExerciseAssignmentAtZero,CheckAllocatedGroups1,VerifyRevaluationData1"</formula1>
    </dataValidation>
    <dataValidation type="list" allowBlank="1" sqref="H288:K288">
      <formula1>"AddCashTransaction,GetDividendData"</formula1>
    </dataValidation>
    <dataValidation type="list" allowBlank="1" sqref="H546:K546">
      <formula1>"CreateDoneAwayOrder,GetMarkPriceData,UpdateMarkPriceMonthly,GetDataClosing,SelectTradeUnexpiredUnsettled,EditTradeUnexpiredUnsettled,ExerciseAssignment,GetDataAllocation,CheckAllocatedGroups,GetDayEndCash,VerifyDayEndCash,GetAccountBalance,GetTradingTrans"&amp;"action,VerifyTradingTransaction,GetRevaluationData,VerifyRevaluationData,ExerciseAssignmentAtZero,Copy of Data"</formula1>
    </dataValidation>
    <dataValidation type="list" allowBlank="1" sqref="H494:K494">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formula1>
    </dataValidation>
    <dataValidation type="list" allowBlank="1" sqref="F256:F257">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212:K218">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formula1>
    </dataValidation>
    <dataValidation type="list" allowBlank="1" sqref="H285:K285">
      <formula1>"AddCashTransaction,GetActivityData,VerifyActivity,GetDividendData,VerifyDividend,GetDayEndCash,VerifyDayEndCash,GetAccountBalance,GetRevaluationData,VerifyRevaluationData,EditCashTransaction,GetForexConversion,UpdateForexConversionMonthly"</formula1>
    </dataValidation>
    <dataValidation type="list" allowBlank="1" sqref="H668:K668">
      <formula1>"CreateDoneAwayOrder,GetDataAllocation,CheckAllocatedGroups,GetActivityData,VerifyActivity,GetDailyCalculationsData,VerifyDailyCalTransactions,GetDataClosing,AutomaticClosing,GetDailyCalculationsData1,VerifyDailyCalTransactions1,GetForexConversion,UpdateFo"&amp;"rexConversionMonthly"</formula1>
    </dataValidation>
    <dataValidation type="list" allowBlank="1" sqref="H154:K154">
      <formula1>"CreateTransaction,CreateTransaction1,GetMarkPriceData,UpdateMarkPrice,GetDataAllocation,GetActivityData,VerifyActivity,GetTradingTransaction,VerifyTradingTransaction,GetDailyCalculationsData,VerifyDailyCalTransactions,GetTradingTransaction1,VerifyTradingT"&amp;"ransaction2,GetDataClosing,AutomaticClosing,GetDailyCalculationsData1,VerifyDailyCalTransactions1,GetDailyCalculationsData2,VerifyDailyCalTransactions2,GetDayEndCash,VerifyDayEndCash,GetDailyCash,GetAccountBalance,VerifyActivity1,GetRevaluationData,Verify"&amp;"RevaluationData,GetDataAllocation1,SelectAllocatedGroup,EditAllocatedGroupSidePanel,SelectAllocatedGroup1,EditAllocatedGroupSidePanel1,GetAccountBalance1,VerifyActivity2,VerifyTradingTransaction1,VerifyRevaluationData1,Copy of Data,Copy of Data_conflict93"&amp;"4690656,Copy of Data 1,Copy of Data 2,Copy of Data 3,Copy of Data 4"</formula1>
    </dataValidation>
    <dataValidation type="list" allowBlank="1" sqref="H61:K62 H69:K69 H79:K79">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formula1>
    </dataValidation>
    <dataValidation type="list" allowBlank="1" sqref="H581:K581">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formula1>
    </dataValidation>
    <dataValidation type="list" allowBlank="1" sqref="H640:K640">
      <formula1>"CreateDoneAwayOrder,GetDataAllocation,CheckAllocatedGroups,GetActivityData,VerifyActivity,GetDailyCalculationsData,CalculateDailyCalculations,VerifyDailyCalTransactions,GetDataClosing"</formula1>
    </dataValidation>
    <dataValidation type="list" allowBlank="1" sqref="H610:K610">
      <formula1>"CreateDoneAwayOrder,CheckAllocatedGroups,GetDataAllocation,GetDataClosing,AutomaticClosing"</formula1>
    </dataValidation>
    <dataValidation type="list" allowBlank="1" sqref="H47:K47">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Data,Copy of Data 1,Copy of Data 2,Copy"&amp;" of Data 3"</formula1>
    </dataValidation>
    <dataValidation type="list" allowBlank="1" sqref="H49:K50">
      <formula1>"CreateDoneAwayOrder,GetOpeningBalanceData,AddOpeningBalanceTransaction,VerifyOpeningBalanceData,CreateDoneAwayOrder1,GetForexConversion,UpdateForexConversion,GetMarkPriceData,UpdateMarkPrice,GetMarkPriceData1,UpdateMarkPrice1,GetDataAllocation,SetGeneralP"&amp;"references,SelectUnallocatedGroup,EnterAllocatePreference,EnterAccountValuesToAllocate,SelectAllocatedGroup1,EditAllocatedGroupSidePanel,SelectAllocatedGroup,CommissionBulkChangeOnGroups,GetDataClosing,AutomaticClosing,GetActivityData,VerifyActivity,GetTr"&amp;"adingTransaction,VerifyTradingTransaction,GetDayEndCash,VerifyDayEndCash,GetDailyCash,GetDayEndCash1,VerifyDayEndCash1,GetDailyCash1,GetAccountBalance,VerifyActivity1,GetRevaluationData,VerifyRevaluationData,Copy of Data,Copy of Data 1,Copy of Data 2,Copy"&amp;" of Data 3,Copy of Data 4"</formula1>
    </dataValidation>
    <dataValidation type="list" allowBlank="1" sqref="H611:K611">
      <formula1>"CreateDoneAwayOrder,CheckAllocatedGroups,GetDataAllocation,GetDataClosing,AutomaticClosing,GetDailyCalculationsData"</formula1>
    </dataValidation>
    <dataValidation type="list" allowBlank="1" sqref="H352:K352">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EditOpeningBalanceTranItem,VerifyActivity1,DeleteO"&amp;"peningBalanceTranItem"</formula1>
    </dataValidation>
    <dataValidation type="list" allowBlank="1" sqref="H363:K363">
      <formula1>"GetNonTradingTransaction"</formula1>
    </dataValidation>
    <dataValidation type="list" allowBlank="1" sqref="H498:K499">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Data,GetDataAllocation,CheckA"&amp;"llocatedGroups,GetActivityData,VerifyActivity,GetTradingTransaction,VerifyTradingTransaction,GetDayEndCash,CalculateDayEndCash,VerifyDayEndCash,Copy of Data 1,Copy of Data 1_conflict2019006342,Copy of Data 2,ge,GetAccountBalance"</formula1>
    </dataValidation>
    <dataValidation type="list" allowBlank="1" sqref="H515:K515">
      <formula1>"CreateDoneAwayOrder,GetMarkPriceData,UpdateMarkPriceMonthly,GetDataClosing,AutomaticClosing,GetDataAllocation,CheckAllocatedGroups,GetActivityData,VerifyActivity,GetTradingTransaction,VerifyTradingTransaction"</formula1>
    </dataValidation>
    <dataValidation type="list" allowBlank="1" sqref="H608:K608">
      <formula1>"CreateDoneAwayOrder,CheckAllocatedGroups"</formula1>
    </dataValidation>
    <dataValidation type="list" allowBlank="1" sqref="H156:K161 H163:K164 H166:K167 H169:K169 H172:K188">
      <formula1>"CreateTransaction,CreateTransaction1,GetMarkPriceData,UpdateMarkPrice,GetDataAllocation,GetActivityData,VerifyActivity,GetTradingTransaction,VerifyTradingTransaction,GetDailyCalculationsData,VerifyDailyCalTransactions,GetTradingTransaction1,VerifyTradingT"&amp;"ransaction2,GetDataClosing,AutomaticClosing,GetDailyCalculationsData1,VerifyDailyCalTransactions1,GetDailyCalculationsData2,VerifyDailyCalTransactions2,GetDayEndCash,VerifyDayEndCash,GetDailyCash,GetAccountBalance,VerifyActivity1,GetRevaluationData,Verify"&amp;"RevaluationData,GetDataAllocation1,SelectAllocatedGroup,EditAllocatedGroupSidePanel,SelectAllocatedGroup1,EditAllocatedGroupSidePanel1,GetAccountBalance1,VerifyActivity2,VerifyTradingTransaction1,VerifyRevaluationData1,Copy of Data,Copy of Data_conflict93"&amp;"4690656,Copy of Data 1,Copy of Data 2,Copy of Data 3,Copy of Data 4,Copy of Data 5"</formula1>
    </dataValidation>
    <dataValidation type="list" allowBlank="1" sqref="F480:F488 F508:F509 F531:F532 F534 F545 F547 F569:F570 F572 F583 F585">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amp;",,,,,,,,,,,,,,,,,,,,,,,,,,,,,,,,,,,,,,,,,,,,,,,,,,,,,,,,,,,,,,,,,,,,,,,,,,,,,,,,,,,,,,,,,,,,,,,,,,,,,,,,,,,,,,,,,,,,,,,,,,,,,,,,,,,,,,,,,,,,,,,,,,,,,,,,,,,,,,,,,,,,,,,,,,,,,,,,,,,,,,,,,,,,,,,,,,,,,,,,,,,,,,,,,,,,,,,,,,,,,,,,,,,"</formula1>
    </dataValidation>
    <dataValidation type="list" allowBlank="1" sqref="H91:K92">
      <formula1>"CreateDoneAwayOrder,GetDataAllocation,GetDataClosing,AutomaticClosing,GetActivityData,VerifyActivity,GetTradingTransaction,VerifyTradingTransaction,GetMarkPriceData,UpdateMarkPrice,GetForexConversion,UpdateForexConversion,GetForexConversion1,UpdateForexCo"&amp;"nversion1,GetForexConversion2,UpdateForexConversion2,GetForexConversion3,UpdateForexConversion3,GetDailyCalculationsData,VerifyDailyCalTransactions,GetDayEndCash,VerifyDayEndCash,GetAccountBalance,VerifyActivity1,GetRevaluationData,VerifyRevaluationData"</formula1>
    </dataValidation>
    <dataValidation type="list" allowBlank="1" sqref="H540:K540">
      <formula1>"CreateDoneAwayOrder,e,Copy of Data 1,GetMarkPriceData,UpdateMarkPriceMonthly,GetDataClosing,SelectTradeUnexpiredUnsettled,ExerciseAssignment,GetDataAllocation,CheckAllocatedGroups,GetDayEndCash,CalculateDayEndCash,VerifyDayEndCash,GetAccountBalance"</formula1>
    </dataValidation>
    <dataValidation type="list" allowBlank="1" sqref="H114:K114">
      <formula1>"CreateDoneAwayOrder,GetDataAllocation,SelectAllocatedGroup,EditAllocatedGroupSidePanel,SelectAllocatedGroup1,EditAllocatedGroupSidePanel1,SelectAllocatedGroup2,EditAllocatedGroupSidePanel2,GetActivityData,VerifyActivity,GetTradingTransaction,VerifyTrading"&amp;"Transaction,GetMarkPriceData,UpdateMarkPrice,GetForexConversion,UpdateForexConversion,GetForexConversion1,UpdateForexConversion1,GetForexConversion2,UpdateForexConversion2,GetDataClosing,AutomaticClosing,GetDailyCalculationsData,VerifyDailyCalTransactions"&amp;",GetDayEndCash,VerifyDayEndCash,GetAccountBalance,VerifyActivity1,GetRevaluationData,VerifyRevaluationData,Copy of Data,Copy of Data 1"</formula1>
    </dataValidation>
    <dataValidation type="list" allowBlank="1" sqref="H573:K573">
      <formula1>"CreateDoneAwayOrder,GetMarkPriceData,UpdateMarkPriceMonthly,GetDataClosing,SelectTradeUnexpiredUnsettled,ExerciseAssignment,GetDataAllocation"</formula1>
    </dataValidation>
    <dataValidation type="list" allowBlank="1" sqref="H487:K487">
      <formula1>"CreateDoneAwayOrder,GetMarkPriceData,UpdateMarkPriceMonthly,GetDataClosing,SelectTradeUnexpiredUnsettled,Expire,ExerciseAssignment,SelectTradeUnexpiredUnsettled1"</formula1>
    </dataValidation>
    <dataValidation type="list" allowBlank="1" sqref="F7 F10">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V"&amp;"erifyAccountDetails,,,,,,,,,,,,,,,,,,,,,,,,,,,,,,,,,,,,,,,,,,,,,,,,,,,,,,,,,,,,,,,,,,,,,,,,,,,,,,,,,,,,,,,,,,,,,,,,,,,,,,,,,,,,,,,,,,,,,,,,,,,,,,,,,,,,,,,,,,,,,,,,,,,,,,,,,,,,,,,,,,,,,,,,,,,,,,,,,,,,,,,,,,,,,,,,,,,,,,,,,,,,,,,,,,,,,,,,,,,,,,,,,,,,,,,,,,,,"&amp;",,,,,,,,,,,,,,,,,,,,,,,,,,,,,,,,,,,,,,,,,,,,,,,,,,,,,,,,,,,,,,,,,,,,,,,,,,,,,,,,,,,,,,,,,,,,,,,,,,,,,,,,,,,,,,,,,,,,,,,,,,,,,,,,,,,,,,,,,,,,,,,,,,,,,,,,,,,,,,,,,,,,,,,,,,,,,,,,,,,,,,,,,,,,,,,,,,"</formula1>
    </dataValidation>
    <dataValidation type="list" allowBlank="1" sqref="H228:K229">
      <formula1>"CreateDoneAwayOrder,GetNonTradingTransaction,AddNonTradingTransaction,AddNonTradingTransaction1,AddNonTradingTransaction2,VerifyNonTradingTransaction,GetForexConversion,UpdateForexConversion,UpdateForexConversion4,UpdateForexConversion5,GetForexConversion"&amp;"1,UpdateForexConversion1,UpdateForexConversion2,UpdateForexConversion3,GetMarkPriceData,UpdateMarkPrice,GetMarkPriceData1,UpdateMarkPrice1,GetDataAllocation,SetGeneralPreferences,SelectUnallocatedGroup,EnterAllocatePreference,EnterAccountValuesToAllocate,"&amp;"SelectAllocatedGroup,EditAllocatedGroupSidePanel,SelectAllocatedGroup1,EditAllocatedGroupSidePanel1,SelectAllocatedGroup2,CommissionBulkChangeOnGroups,GetDataClosing,AutomaticClosing,GetActivityData,VerifyActivity,GetTradingTransaction,VerifyTradingTransa"&amp;"ction,GetDailyCalculationsData,VerifyDailyCalTransactions,GetDayEndCash,VerifyDayEndCash,GetDailyCash,GetAccountBalance,VerifyActivity1,VerifyTradingTransaction1,GetRevaluationData,VerifyRevaluationData,GetForwardPoints,Allocate,Copy of Data"</formula1>
    </dataValidation>
    <dataValidation type="list" allowBlank="1" sqref="F606 F632 F654">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14:K14">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formula1>
    </dataValidation>
    <dataValidation type="list" allowBlank="1" sqref="H369:K369">
      <formula1>"GetNonTradingTransaction,AddNonTradingTransaction,AddNonTradingTranItem,AddNonTradingTranItem1,SaveTransaction,VerifyNonTradingTransaction,GetForexConversion"</formula1>
    </dataValidation>
    <dataValidation type="list" allowBlank="1" sqref="H593:K594">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EditTradeUnexpiredUnsettled,EditTradeUnexpiredUnsettled1,CheckAllocatedGroups1,VerifyRevaluationData1,Expire"</formula1>
    </dataValidation>
    <dataValidation type="list" allowBlank="1" sqref="H357:K361">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EditOpeningBalanceTranItem,VerifyActivity1,VerifyR"&amp;"evaluationData1,DeleteOpeningBalanceTranItem,DeleteOpeningBalanceTransaction,VerifyActivity2"</formula1>
    </dataValidation>
    <dataValidation type="list" allowBlank="1" sqref="H297:K297">
      <formula1>"AddCashTransaction,GetActivityData,VerifyActivity,GetDividendData,VerifyDividend,GetDayEndCash,VerifyDayEndCash,GetAccountBalance,GetRevaluationData,VerifyRevaluationData"</formula1>
    </dataValidation>
    <dataValidation type="list" allowBlank="1" sqref="H493:K493">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formula1>
    </dataValidation>
    <dataValidation type="list" allowBlank="1" sqref="H308:K308">
      <formula1>"AddCashTransaction,GetForexConversion,UpdateForexConversionMonthly,GetActivityData,VerifyActivity,GetDividendData,VerifyDividend,GetDayEndCash,VerifyDayEndCash,GetAccountBalance,GetRevaluationData,VerifyRevaluationData,EditCashTransaction,VerifyDividend1,"&amp;"GetDayEndCash1,GetAccountBalance1,GetRevaluationData1"</formula1>
    </dataValidation>
    <dataValidation type="list" allowBlank="1" sqref="F525 F533 F546 F553:F555 F563 F571 F584 F591:F593 F601 F609:F610 F614 F640:F641 F662:F663">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17:K17">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formula1>
    </dataValidation>
    <dataValidation type="list" allowBlank="1" sqref="H555:K557">
      <formula1>"CreateDoneAwayOrder,GetMarkPriceData,UpdateMarkPriceMonthly,GetDataClosing,SelectTradeUnexpiredUnsettled,EditTradeUnexpiredUnsettled,ExerciseAssignment,GetDataAllocation,CheckAllocatedGroups,GetDayEndCash,VerifyDayEndCash,GetAccountBalance,GetTradingTrans"&amp;"action,VerifyTradingTransaction,GetRevaluationData,VerifyRevaluationData,EditTradeUnexpiredUnsettled1,ExerciseAssignmentAtZero,CheckAllocatedGroups1,VerifyRevaluationData1,EditTradeUnexpiredUnsettled2,Expire"</formula1>
    </dataValidation>
    <dataValidation type="list" allowBlank="1" sqref="H299:K300">
      <formula1>"AddCashTransaction,GetForexConversion,UpdateForexConversionMonthly,GetActivityData,VerifyActivity,GetDividendData,VerifyDividend,GetDayEndCash,VerifyDayEndCash,GetAccountBalance,GetRevaluationData,VerifyRevaluationData,EditCashTransaction"</formula1>
    </dataValidation>
    <dataValidation type="list" allowBlank="1" sqref="H126:K126">
      <formula1>"CreateDoneAwayOrder,GetDataAllocation,GetActivityData,VerifyActivity,GetTradingTransaction,VerifyTradingTransaction,GetMarkPriceData,UpdateMarkPrice,GetForexConversion,UpdateForexConversionMonthly,GetDataClosing,AutomaticClosing,GetDailyCalculationsData,V"&amp;"erifyDailyCalTransactions,GetDayEndCash,VerifyDayEndCash,GetAccountBalance,VerifyActivity1,GetRevaluationData,VerifyRevaluationData,CalculateDayEndCash"</formula1>
    </dataValidation>
    <dataValidation type="list" allowBlank="1" sqref="H296:K296">
      <formula1>"AddCashTransaction,GetActivityData,VerifyActivity,GetDividendData,VerifyDividend,GetDayEndCash,VerifyDayEndCash,GetAccountBalance,GetRevaluationData"</formula1>
    </dataValidation>
    <dataValidation type="list" allowBlank="1" sqref="H646:K646">
      <formula1>"CreateDoneAwayOrder,GetDataAllocation,CheckAllocatedGroups,GetActivityData,VerifyActivity,GetDailyCalculationsData,CalculateDailyCalculations,VerifyDailyCalTransactions,GetDataClosing,AutomaticClosing,GetForexConversion,UpdateForexConversionMonthly"</formula1>
    </dataValidation>
    <dataValidation type="list" allowBlank="1" sqref="H149:K149">
      <formula1>"CreateDoneAwayOrder,GetMarkPriceData,UpdateMarkPrice,GetDataAllocation,GetActivityData,VerifyActivity,GetTradingTransaction,VerifyTradingTransaction,GetDailyCalculationsData,VerifyDailyCalTransactions,GetTradingTransaction1,VerifyTradingTransaction2,GetDa"&amp;"taClosing,AutomaticClosing,GetDailyCalculationsData1,VerifyDailyCalTransactions1,GetDailyCalculationsData2,VerifyDailyCalTransactions2,GetDayEndCash,VerifyDayEndCash,GetDailyCash,VerifyDailyCash,GetAccountBalance,VerifyActivity1,GetRevaluationData,VerifyR"&amp;"evaluationData,GetDataAllocation1,SelectAllocatedGroup,EditAllocatedGroupSidePanel,SelectAllocatedGroup1,EditAllocatedGroupSidePanel1,GetAccountBalance1,VerifyActivity2,VerifyTradingTransaction1,VerifyRevaluationData1,Copy of Data,Copy of Data 1,Copy of D"&amp;"ata 1_conflict1069383801,Copy of Data 2,UpdateDailyCash,Copy of Data 3,Copy of Data 4,Copy of Data 5,Copy of Data 5_conflict1112472507"</formula1>
    </dataValidation>
    <dataValidation type="list" allowBlank="1" sqref="H269:K270">
      <formula1>"CreateDoneAwayOrder,GetMarkPriceData,UpdateMarkPriceMonthly,GetForexConversion,UpdateForexConversionMonthly,GetActivityData,VerifyActivity,GetTradingTransaction,VerifyTradingTransaction,GetDailyCalculationsData,VerifyDailyCalTransactions,GetDayEndCash,Ver"&amp;"ifyDayEndCash,GetAccountBalance,GetRevaluationData,VerifyRevaluationData,GetDataAllocation,SelectAllocatedGroup,EditAllocatedGroupSidePanel,VerifyRevaluationData1"</formula1>
    </dataValidation>
    <dataValidation type="list" allowBlank="1" sqref="H291:K291">
      <formula1>"AddCashTransaction,GetActivityData,VerifyActivity,GetDividendData,VerifyDividend,GetDayEndCash,CalculateDayEndCash"</formula1>
    </dataValidation>
    <dataValidation type="list" allowBlank="1" sqref="H9:K9">
      <formula1>"GetCashTransaction,AddCashTransaction,GetAccountDetails,VerifyAccountDetails,Copy of Data,Copy of Data 1,Copy of Data 2"</formula1>
    </dataValidation>
    <dataValidation type="list" allowBlank="1" sqref="H536:K536">
      <formula1>"CreateDoneAwayOrder,e,Copy of Data 1,GetMarkPriceData,UpdateMarkPriceMonthly,GetDataClosing,SelectTradeUnexpiredUnsettled,ExerciseAssignment,GetDataAllocation,CheckAllocatedGroups"</formula1>
    </dataValidation>
    <dataValidation type="list" allowBlank="1" sqref="H318:K318">
      <formula1>"AddCashTransaction,AddCashTransaction1,AddCashTransaction2,GetCashTransaction,VerifyCashTransaction,GetForexConversion,UpdateForexConversionMonthly,GetActivityData,VerifyActivity,GetDividendData,VerifyDividend,GetDayEndCash,VerifyDayEndCash,GetAccountBala"&amp;"nce,VerifyActivity1,GetRevaluationData,VerifyRevaluationData,SelectCashTransaction,EditCashTransaction,VerifyDividend1,GetDayEndCash1,GetAccountBalance1,VerifyActivity2,GetRevaluationData1,VerifyRevaluationData1,SelectCashTransaction1,DeleteCashTransactio"&amp;"n,SelectCashTransaction2,DeleteCashTransaction1,SelectCashTransaction3,DeleteCashTransaction2,VerifyActivity3,VerifyRevaluationData2"</formula1>
    </dataValidation>
    <dataValidation type="list" allowBlank="1" sqref="H533:K533">
      <formula1>"CreateDoneAwayOrder,GetMarkPriceData,e,UpdateMarkPriceMonthly,GetDataClosing,SelectTradeUnexpiredUnsettled,ExerciseAssignment,GetDataAllocation,CheckAllocatedGroups,GetDayEndCash,CalculateDayEndCash,VerifyDayEndCash,GetAccountBalance,GetTradingTransaction"&amp;",VerifyTradingTransaction,GetRevaluationData,VerifyRevaluationData,ExerciseAssignmentAtZero,EditTradeUnexpiredUnsettled"</formula1>
    </dataValidation>
    <dataValidation type="list" allowBlank="1" sqref="H354:K356">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EditOpeningBalanceTranItem,VerifyActivity1,VerifyR"&amp;"evaluationData1,DeleteOpeningBalanceTranItem,DeleteOpeningBalanceTransaction"</formula1>
    </dataValidation>
    <dataValidation type="list" allowBlank="1" sqref="H333:K333">
      <formula1>"CreateDoneAwayOrder,GetOpeningBalanceData,AddOpeningBalanceTransaction,VerifyOpeningBalanceData,GetActivityData,VerifyActivity,GetMarkPriceData,UpdateMarkPriceMonthly,GetForexConversion"</formula1>
    </dataValidation>
    <dataValidation type="list" allowBlank="1" sqref="H645:K645">
      <formula1>"CreateDoneAwayOrder,GetDataAllocation,CheckAllocatedGroups,GetActivityData,VerifyActivity,GetDailyCalculationsData,CalculateDailyCalculations,VerifyDailyCalTransactions,GetDataClosing,AutomaticClosing,GetForexConversion"</formula1>
    </dataValidation>
    <dataValidation type="list" allowBlank="1" sqref="H344:K344 H347:K350">
      <formula1>"CreateDoneAwayOrder,GetOpeningBalanceData,AddOpeningBalanceTransaction,AddOpeningBalanceTranItem,VerifyOpeningBalanceData,GetMarkPriceData,UpdateMarkPriceMonthly,GetForexConversion,UpdateForexConversionMonthly,GetActivityData,VerifyActivity,GetTradingTran"&amp;"saction,VerifyTradingTransaction,GetDailyCalculationsData,VerifyDailyCalTransactions,GetDayEndCash,VerifyDayEndCash,GetAccountBalance,GetRevaluationData,VerifyRevaluationData,EditOpeningBalanceTransaction,EditOpeningBalanceTranItem"</formula1>
    </dataValidation>
    <dataValidation type="list" allowBlank="1" sqref="H501:K501">
      <formula1>"CreateDoneAwayOrder,GetMarkPriceData,UpdateMarkPriceMonthly,GetDataClosing,SelectTradeUnexpiredUnsettled,Expire,ExerciseAssignment,SelectTradeUnexpiredUnsettled1,ExerciseAssignmentAtZero,SelectTradeUnexpiredUnsettled2,Copy of Data,GetDataAllocation,CheckA"&amp;"llocatedGroups,GetActivityData,VerifyActivity,GetTradingTransaction,VerifyTradingTransaction,GetDayEndCash,CalculateDayEndCash,VerifyDayEndCash,Copy of Data 1,Copy of Data 1_conflict2019006342,Copy of Data 2,ge,GetAccountBalance,Copy of Data 3,VerifyTradi"&amp;"ngTransaction1,Copy of Data 4,Copy of Data 4_conflict1108407375,GetRevaluationData"</formula1>
    </dataValidation>
    <dataValidation type="list" allowBlank="1" sqref="H15:K15">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formula1>
    </dataValidation>
    <dataValidation type="list" allowBlank="1" sqref="H585:K585">
      <formula1>"CreateDoneAwayOrder,GetMarkPriceData,UpdateMarkPriceMonthly,GetDataClosing,SelectTradeUnexpiredUnsettled,ExerciseAssignment,GetDataAllocation,CheckAllocatedGroups,GetDayEndCash,CalculateDayEndCash,VerifyDayEndCash,GetAccountBalance,GetTradingTransaction,V"&amp;"erifyTradingTransaction,GetRevaluationData,VerifyRevaluationData,ExerciseAssignmentAtZero,EditTradeUnexpiredUnsettled,EditTradeUnexpiredUnsettled1"</formula1>
    </dataValidation>
    <dataValidation type="list" allowBlank="1" sqref="H519:K521">
      <formula1>"CreateDoneAwayOrder,GetMarkPriceData,UpdateMarkPriceMonthly,GetDataClosing,AutomaticClosing,GetDataAllocation,CheckAllocatedGroups,GetActivityData,VerifyActivity,GetTradingTransaction,VerifyTradingTransaction,GetDayEndCash,VerifyDayEndCash,GetAccountBalan"&amp;"ce"</formula1>
    </dataValidation>
    <dataValidation type="list" allowBlank="1" sqref="H287:K287">
      <formula1>"AddCashTransaction,GetActivityData,GetDividendData,VerifyDividend,VerifyActivity"</formula1>
    </dataValidation>
    <dataValidation type="list" allowBlank="1" sqref="H21:K22 H24:K24">
      <formula1>"CreateDoneAwayOrder,GetForexConversion,UpdateForexConversion,GetMarkPriceData,UpdateMarkPrice,GetDataAllocation,SetGeneralPreferences,SelectUnallocatedGroup,EnterAllocatePreference,EnterAccountValuesToAllocate,SelectAllocatedGroup,CommissionBulkChangeOnGr"&amp;"oups,GetDataClosing,AutomaticClosing,GetActivityData,VerifyActivity,GetTradingTransaction,VerifyTradingTransaction,GetDayEndCash,VerifyDayEndCash,GetDailyCash,GetAccountBalance,VerifyActivity1,GetRevaluationData,VerifyRevaluationData,Copy of Data,c,Copy o"&amp;"f Data 2,Copy of Data 3,Copy of Data 4,Copy of Data 5,Copy of Data 6,Copy of Data 7,Copy of Data 8,Copy of Data 9,Copy of Data 10"</formula1>
    </dataValidation>
  </dataValidations>
  <hyperlinks>
    <hyperlink r:id="rId1" location="gid=52659426" ref="G7"/>
    <hyperlink r:id="rId2" location="gid=611623387" ref="G8"/>
    <hyperlink r:id="rId3" location="gid=1518081969" ref="G9"/>
    <hyperlink r:id="rId4" location="gid=944034120" ref="G10"/>
    <hyperlink r:id="rId5" location="gid=1068026304" ref="G13"/>
    <hyperlink r:id="rId6" location="gid=421203500" ref="G14"/>
    <hyperlink r:id="rId7" location="gid=1131230237" ref="G15"/>
    <hyperlink r:id="rId8" location="gid=764148369" ref="G16"/>
    <hyperlink r:id="rId9" location="gid=1465117163" ref="G17"/>
    <hyperlink r:id="rId10" location="gid=192225896" ref="G18"/>
    <hyperlink r:id="rId11" location="gid=714193560" ref="G19"/>
    <hyperlink r:id="rId12" location="gid=1271515208" ref="G20"/>
    <hyperlink r:id="rId13" location="gid=1100551107" ref="G21"/>
    <hyperlink r:id="rId14" location="gid=563239513" ref="G22"/>
    <hyperlink r:id="rId15" location="gid=1517106168" ref="G24"/>
    <hyperlink r:id="rId16" location="gid=1359087055" ref="G25"/>
    <hyperlink r:id="rId17" location="gid=1389742383" ref="G27"/>
    <hyperlink r:id="rId18" location="gid=886611378" ref="G28"/>
    <hyperlink r:id="rId19" location="gid=1968058546" ref="G29"/>
    <hyperlink r:id="rId20" location="gid=986878849" ref="G30"/>
    <hyperlink r:id="rId21" location="gid=788285047" ref="G31"/>
    <hyperlink r:id="rId22" location="gid=1017337539" ref="G32"/>
    <hyperlink r:id="rId23" location="gid=56109850" ref="G33"/>
    <hyperlink r:id="rId24" location="gid=220768542" ref="G35"/>
    <hyperlink r:id="rId25" location="gid=1130829167" ref="G36"/>
    <hyperlink r:id="rId26" location="gid=1023747067" ref="G37"/>
    <hyperlink r:id="rId27" location="gid=1968058546" ref="G39"/>
    <hyperlink r:id="rId28" location="gid=2065862654" ref="G40"/>
    <hyperlink r:id="rId29" location="gid=1619529912" ref="G41"/>
    <hyperlink r:id="rId30" location="gid=697529255" ref="G42"/>
    <hyperlink r:id="rId31" location="gid=464640743" ref="G44"/>
    <hyperlink r:id="rId32" location="gid=1937398022" ref="G45"/>
    <hyperlink r:id="rId33" location="gid=1397792005" ref="G46"/>
    <hyperlink r:id="rId34" location="gid=1813199669" ref="G47"/>
    <hyperlink r:id="rId35" location="gid=1340488039" ref="G48"/>
    <hyperlink r:id="rId36" location="gid=362908445" ref="G49"/>
    <hyperlink r:id="rId37" location="gid=290247400" ref="G50"/>
    <hyperlink r:id="rId38" location="gid=1919319598" ref="G51"/>
    <hyperlink r:id="rId39" location="gid=2108241232" ref="G52"/>
    <hyperlink r:id="rId40" location="gid=127344996" ref="G53"/>
    <hyperlink r:id="rId41" location="gid=409675540" ref="G54"/>
    <hyperlink r:id="rId42" location="gid=1779157904" ref="G55"/>
    <hyperlink r:id="rId43" location="gid=359225798" ref="G56"/>
    <hyperlink r:id="rId44" location="gid=689215550" ref="G57"/>
    <hyperlink r:id="rId45" location="gid=2022585542" ref="G58"/>
    <hyperlink r:id="rId46" location="gid=305426692" ref="G59"/>
    <hyperlink r:id="rId47" location="gid=286080012" ref="G63"/>
    <hyperlink r:id="rId48" location="gid=1277603948" ref="G64"/>
    <hyperlink r:id="rId49" location="gid=1122390287" ref="G66"/>
    <hyperlink r:id="rId50" location="gid=325833866" ref="G67"/>
    <hyperlink r:id="rId51" location="gid=1216866346" ref="G68"/>
    <hyperlink r:id="rId52" location="gid=959217088" ref="G69"/>
    <hyperlink r:id="rId53" location="gid=449622992" ref="G70"/>
    <hyperlink r:id="rId54" location="gid=1144689467" ref="G71"/>
    <hyperlink r:id="rId55" location="gid=681554838" ref="G72"/>
    <hyperlink r:id="rId56" location="gid=363301782" ref="G74"/>
    <hyperlink r:id="rId57" location="gid=1961692762" ref="G75"/>
    <hyperlink r:id="rId58" location="gid=1495993773" ref="G77"/>
    <hyperlink r:id="rId59" location="gid=915286746" ref="G79"/>
    <hyperlink r:id="rId60" location="gid=733462406" ref="G80"/>
    <hyperlink r:id="rId61" location="gid=67401482" ref="G82"/>
    <hyperlink r:id="rId62" location="gid=1216866346" ref="G84"/>
    <hyperlink r:id="rId63" location="gid=315234234" ref="G85"/>
    <hyperlink r:id="rId64" location="gid=720095156" ref="G86"/>
    <hyperlink r:id="rId65" location="gid=1884099132" ref="G87"/>
    <hyperlink r:id="rId66" location="gid=818849169" ref="G89"/>
    <hyperlink r:id="rId67" location="gid=235563377" ref="G90"/>
    <hyperlink r:id="rId68" location="gid=676556143" ref="G91"/>
    <hyperlink r:id="rId69" location="gid=1779001704" ref="G92"/>
    <hyperlink r:id="rId70" location="gid=555893628" ref="G93"/>
    <hyperlink r:id="rId71" location="gid=913595751" ref="G94"/>
    <hyperlink r:id="rId72" location="gid=444153598" ref="G95"/>
    <hyperlink r:id="rId73" location="gid=1600162973" ref="G96"/>
    <hyperlink r:id="rId74" location="gid=518399897" ref="G97"/>
    <hyperlink r:id="rId75" location="gid=2051850330" ref="G98"/>
    <hyperlink r:id="rId76" location="gid=877133012" ref="G99"/>
    <hyperlink r:id="rId77" location="gid=55825791" ref="G100"/>
    <hyperlink r:id="rId78" location="gid=1265910690" ref="G101"/>
    <hyperlink r:id="rId79" location="gid=930887296" ref="G103"/>
    <hyperlink r:id="rId80" location="gid=1618341116" ref="G104"/>
    <hyperlink r:id="rId81" location="gid=1332585834" ref="G106"/>
    <hyperlink r:id="rId82" location="gid=346872413" ref="G107"/>
    <hyperlink r:id="rId83" location="gid=518399897" ref="G108"/>
    <hyperlink r:id="rId84" location="gid=560894779" ref="G109"/>
    <hyperlink r:id="rId85" location="gid=1300668202" ref="G110"/>
    <hyperlink r:id="rId86" location="gid=1951598779" ref="G111"/>
    <hyperlink r:id="rId87" location="gid=511306476" ref="G113"/>
    <hyperlink r:id="rId88" location="gid=1475846570" ref="G114"/>
    <hyperlink r:id="rId89" location="gid=1039710333" ref="G115"/>
    <hyperlink r:id="rId90" location="gid=1186335798" ref="G116"/>
    <hyperlink r:id="rId91" location="gid=990128497" ref="G117"/>
    <hyperlink r:id="rId92" location="gid=1171638480" ref="G118"/>
    <hyperlink r:id="rId93" location="gid=668267851" ref="G119"/>
    <hyperlink r:id="rId94" location="gid=1974599193" ref="G120"/>
    <hyperlink r:id="rId95" location="gid=1785893510" ref="G121"/>
    <hyperlink r:id="rId96" location="gid=541841500" ref="G122"/>
    <hyperlink r:id="rId97" location="gid=1024934065" ref="G123"/>
    <hyperlink r:id="rId98" location="gid=931957771" ref="G124"/>
    <hyperlink r:id="rId99" location="gid=1802152865" ref="G125"/>
    <hyperlink r:id="rId100" location="gid=2130862331" ref="G126"/>
    <hyperlink r:id="rId101" location="gid=1337552227" ref="G127"/>
    <hyperlink r:id="rId102" location="gid=271408124" ref="G128"/>
    <hyperlink r:id="rId103" location="gid=1039710333" ref="G129"/>
    <hyperlink r:id="rId104" location="gid=1035804362" ref="G130"/>
    <hyperlink r:id="rId105" location="gid=457914868" ref="G131"/>
    <hyperlink r:id="rId106" location="gid=1310917863" ref="G132"/>
    <hyperlink r:id="rId107" location="gid=1743835861" ref="G133"/>
    <hyperlink r:id="rId108" location="gid=542400447" ref="G135"/>
    <hyperlink r:id="rId109" location="gid=1802152865" ref="G136"/>
    <hyperlink r:id="rId110" location="gid=1337552227" ref="G138"/>
    <hyperlink r:id="rId111" location="gid=271408124" ref="G139"/>
    <hyperlink r:id="rId112" location="gid=1039710333" ref="G141"/>
    <hyperlink r:id="rId113" location="gid=1129813867" ref="G142"/>
    <hyperlink r:id="rId114" location="gid=457914868" ref="G143"/>
    <hyperlink r:id="rId115" location="gid=1456195328" ref="G144"/>
    <hyperlink r:id="rId116" location="gid=1566287814" ref="G146"/>
    <hyperlink r:id="rId117" location="gid=1276387982" ref="G150"/>
    <hyperlink r:id="rId118" location="gid=23201491" ref="G151"/>
    <hyperlink r:id="rId119" location="gid=1839079702" ref="G152"/>
    <hyperlink r:id="rId120" location="gid=896082427" ref="G153"/>
    <hyperlink r:id="rId121" location="gid=1725886396" ref="G154"/>
    <hyperlink r:id="rId122" location="gid=444172060" ref="G156"/>
    <hyperlink r:id="rId123" location="gid=89116953" ref="G157"/>
    <hyperlink r:id="rId124" location="gid=668416045" ref="G158"/>
    <hyperlink r:id="rId125" location="gid=1273796821" ref="G159"/>
    <hyperlink r:id="rId126" location="gid=1412166019" ref="G160"/>
    <hyperlink r:id="rId127" location="gid=844703767" ref="G161"/>
    <hyperlink r:id="rId128" location="gid=303704797" ref="G163"/>
    <hyperlink r:id="rId129" location="gid=1062525311" ref="G164"/>
    <hyperlink r:id="rId130" location="gid=1616798675" ref="G166"/>
    <hyperlink r:id="rId131" location="gid=1786329773" ref="G167"/>
    <hyperlink r:id="rId132" location="gid=768803431" ref="G169"/>
    <hyperlink r:id="rId133" location="gid=199715061" ref="G172"/>
    <hyperlink r:id="rId134" location="gid=1276387982" ref="G173"/>
    <hyperlink r:id="rId135" location="gid=535124204" ref="G174"/>
    <hyperlink r:id="rId136" location="gid=1403950535" ref="G175"/>
    <hyperlink r:id="rId137" location="gid=1161210871" ref="G176"/>
    <hyperlink r:id="rId138" location="gid=1028578386" ref="G177"/>
    <hyperlink r:id="rId139" location="gid=1000629388" ref="G178"/>
    <hyperlink r:id="rId140" location="gid=390072187" ref="G179"/>
    <hyperlink r:id="rId141" location="gid=2063034759" ref="G180"/>
    <hyperlink r:id="rId142" location="gid=281443761" ref="G181"/>
    <hyperlink r:id="rId143" location="gid=425109140" ref="G182"/>
    <hyperlink r:id="rId144" location="gid=1276387982" ref="G183"/>
    <hyperlink r:id="rId145" location="gid=561067389" ref="G184"/>
    <hyperlink r:id="rId146" location="gid=1839079702" ref="G185"/>
    <hyperlink r:id="rId147" location="gid=1434395101" ref="G186"/>
    <hyperlink r:id="rId148" location="gid=1403950535" ref="G187"/>
    <hyperlink r:id="rId149" location="gid=1418609344" ref="G188"/>
    <hyperlink r:id="rId150" location="gid=27437031" ref="G190"/>
    <hyperlink r:id="rId151" location="gid=1072974930" ref="G191"/>
    <hyperlink r:id="rId152" location="gid=1905917063" ref="G192"/>
    <hyperlink r:id="rId153" location="gid=561630993" ref="G193"/>
    <hyperlink r:id="rId154" location="gid=493823957" ref="G194"/>
    <hyperlink r:id="rId155" location="gid=988330401" ref="G195"/>
    <hyperlink r:id="rId156" location="gid=142264613" ref="G196"/>
    <hyperlink r:id="rId157" location="gid=707450838" ref="G197"/>
    <hyperlink r:id="rId158" location="gid=1159152818" ref="G198"/>
    <hyperlink r:id="rId159" location="gid=1287353547" ref="G199"/>
    <hyperlink r:id="rId160" location="gid=1616295597" ref="G200"/>
    <hyperlink r:id="rId161" location="gid=1999793449" ref="G202"/>
    <hyperlink r:id="rId162" location="gid=1937587336" ref="G203"/>
    <hyperlink r:id="rId163" location="gid=243375799" ref="G205"/>
    <hyperlink r:id="rId164" location="gid=1136861828" ref="G206"/>
    <hyperlink r:id="rId165" location="gid=142264613" ref="G207"/>
    <hyperlink r:id="rId166" location="gid=2047315273" ref="G208"/>
    <hyperlink r:id="rId167" location="gid=318334656" ref="G209"/>
    <hyperlink r:id="rId168" location="gid=1660363247" ref="G210"/>
    <hyperlink r:id="rId169" location="gid=626366601" ref="G212"/>
    <hyperlink r:id="rId170" location="gid=540499393" ref="G213"/>
    <hyperlink r:id="rId171" location="gid=1559977911" ref="G214"/>
    <hyperlink r:id="rId172" location="gid=1315025762" ref="G215"/>
    <hyperlink r:id="rId173" location="gid=1561717690" ref="G216"/>
    <hyperlink r:id="rId174" location="gid=1126783901" ref="G217"/>
    <hyperlink r:id="rId175" location="gid=1323437250" ref="G218"/>
    <hyperlink r:id="rId176" location="gid=464187165" ref="G219"/>
    <hyperlink r:id="rId177" location="gid=779969295" ref="G220"/>
    <hyperlink r:id="rId178" location="gid=1729784325" ref="G221"/>
    <hyperlink r:id="rId179" location="gid=1459137110" ref="G222"/>
    <hyperlink r:id="rId180" location="gid=611082616" ref="G223"/>
    <hyperlink r:id="rId181" location="gid=1322922427" ref="G224"/>
    <hyperlink r:id="rId182" location="gid=1193423895" ref="G225"/>
    <hyperlink r:id="rId183" location="gid=2104516296" ref="G226"/>
    <hyperlink r:id="rId184" location="gid=583751270" ref="G228"/>
    <hyperlink r:id="rId185" location="gid=909548744" ref="G229"/>
    <hyperlink r:id="rId186" location="gid=327397296" ref="G231"/>
    <hyperlink r:id="rId187" location="gid=319221536" ref="G232"/>
    <hyperlink r:id="rId188" location="gid=1087470726" ref="G233"/>
    <hyperlink r:id="rId189" location="gid=1750089077" ref="G234"/>
    <hyperlink r:id="rId190" location="gid=551740131" ref="G235"/>
    <hyperlink r:id="rId191" location="gid=358873733" ref="G236"/>
    <hyperlink r:id="rId192" location="gid=463149783" ref="G237"/>
    <hyperlink r:id="rId193" location="gid=1333533649" ref="G238"/>
    <hyperlink r:id="rId194" location="gid=1210716828" ref="G239"/>
    <hyperlink r:id="rId195" location="gid=175472729" ref="G240"/>
    <hyperlink r:id="rId196" location="gid=418459813" ref="G241"/>
    <hyperlink r:id="rId197" location="gid=978018907" ref="G242"/>
    <hyperlink r:id="rId198" location="gid=1111901020" ref="G243"/>
    <hyperlink r:id="rId199" location="gid=1177214053" ref="G244"/>
    <hyperlink r:id="rId200" location="gid=1964143585" ref="G245"/>
    <hyperlink r:id="rId201" location="gid=1087470726" ref="G246"/>
    <hyperlink r:id="rId202" location="gid=716678938" ref="G247"/>
    <hyperlink r:id="rId203" location="gid=551740131" ref="G248"/>
    <hyperlink r:id="rId204" location="gid=358873733" ref="G249"/>
    <hyperlink r:id="rId205" location="gid=303686877" ref="G250"/>
    <hyperlink r:id="rId206" location="gid=1731676573" ref="G251"/>
    <hyperlink r:id="rId207" location="gid=1185534229" ref="G253"/>
    <hyperlink r:id="rId208" location="gid=276174737" ref="G254"/>
    <hyperlink r:id="rId209" location="gid=1694129686" ref="G255"/>
    <hyperlink r:id="rId210" location="gid=706299508" ref="G256"/>
    <hyperlink r:id="rId211" location="gid=505093258" ref="G257"/>
    <hyperlink r:id="rId212" location="gid=668564130" ref="G258"/>
    <hyperlink r:id="rId213" location="gid=461997270" ref="G259"/>
    <hyperlink r:id="rId214" location="gid=410498188" ref="G260"/>
    <hyperlink r:id="rId215" location="gid=2125850504" ref="G261"/>
    <hyperlink r:id="rId216" location="gid=523630684" ref="G262"/>
    <hyperlink r:id="rId217" location="gid=2027353803" ref="G263"/>
    <hyperlink r:id="rId218" location="gid=1005698700" ref="G264"/>
    <hyperlink r:id="rId219" location="gid=1793781082" ref="G265"/>
    <hyperlink r:id="rId220" location="gid=1645725119" ref="G266"/>
    <hyperlink r:id="rId221" location="gid=277256603" ref="G267"/>
    <hyperlink r:id="rId222" location="gid=1078870520" ref="G268"/>
    <hyperlink r:id="rId223" location="gid=668564130" ref="G269"/>
    <hyperlink r:id="rId224" location="gid=1176584842" ref="G270"/>
    <hyperlink r:id="rId225" location="gid=1332930376" ref="G271"/>
    <hyperlink r:id="rId226" location="gid=1602237900" ref="G272"/>
    <hyperlink r:id="rId227" location="gid=414483046" ref="G273"/>
    <hyperlink r:id="rId228" location="gid=1904619862" ref="G274"/>
    <hyperlink r:id="rId229" location="gid=1537835373" ref="G275"/>
    <hyperlink r:id="rId230" location="gid=1078870520" ref="G276"/>
    <hyperlink r:id="rId231" location="gid=1332930376" ref="G277"/>
    <hyperlink r:id="rId232" location="gid=112103566" ref="G278"/>
    <hyperlink r:id="rId233" location="gid=1032410550" ref="G280"/>
    <hyperlink r:id="rId234" location="gid=629416880" ref="G281"/>
    <hyperlink r:id="rId235" location="gid=1156645927" ref="G285"/>
    <hyperlink r:id="rId236" location="gid=248842239" ref="G286"/>
    <hyperlink r:id="rId237" location="gid=1985750285" ref="G287"/>
    <hyperlink r:id="rId238" location="gid=1575713538" ref="G288"/>
    <hyperlink r:id="rId239" location="gid=1098451611" ref="G289"/>
    <hyperlink r:id="rId240" location="gid=646769838" ref="G290"/>
    <hyperlink r:id="rId241" location="gid=155812490" ref="G291"/>
    <hyperlink r:id="rId242" location="gid=754828688" ref="G292"/>
    <hyperlink r:id="rId243" location="gid=1697109092" ref="G293"/>
    <hyperlink r:id="rId244" location="gid=746192877" ref="G294"/>
    <hyperlink r:id="rId245" location="gid=1985750285" ref="G295"/>
    <hyperlink r:id="rId246" location="gid=1237264829" ref="G296"/>
    <hyperlink r:id="rId247" location="gid=708640519" ref="G297"/>
    <hyperlink r:id="rId248" location="gid=1018554700" ref="G298"/>
    <hyperlink r:id="rId249" location="gid=1215026786" ref="G299"/>
    <hyperlink r:id="rId250" location="gid=370221173" ref="G300"/>
    <hyperlink r:id="rId251" location="gid=296750525" ref="G301"/>
    <hyperlink r:id="rId252" location="gid=1098451611" ref="G302"/>
    <hyperlink r:id="rId253" location="gid=880427851" ref="G303"/>
    <hyperlink r:id="rId254" location="gid=1258439630" ref="G304"/>
    <hyperlink r:id="rId255" location="gid=2104381393" ref="G305"/>
    <hyperlink r:id="rId256" location="gid=1697109092" ref="G306"/>
    <hyperlink r:id="rId257" location="gid=1921039393" ref="G307"/>
    <hyperlink r:id="rId258" location="gid=1985750285" ref="G308"/>
    <hyperlink r:id="rId259" location="gid=1820716718" ref="G309"/>
    <hyperlink r:id="rId260" location="gid=2147124477" ref="G310"/>
    <hyperlink r:id="rId261" location="gid=495796596" ref="G311"/>
    <hyperlink r:id="rId262" location="gid=1215026786" ref="G312"/>
    <hyperlink r:id="rId263" location="gid=2087870788" ref="G313"/>
    <hyperlink r:id="rId264" location="gid=1712003100" ref="G314"/>
    <hyperlink r:id="rId265" location="gid=1215026786" ref="G315"/>
    <hyperlink r:id="rId266" location="gid=626197226" ref="G316"/>
    <hyperlink r:id="rId267" location="gid=413111425" ref="G317"/>
    <hyperlink r:id="rId268" location="gid=1921039393" ref="G321"/>
    <hyperlink r:id="rId269" location="gid=1985750285" ref="G322"/>
    <hyperlink r:id="rId270" location="gid=271945506" ref="G323"/>
    <hyperlink r:id="rId271" location="gid=708640519" ref="G324"/>
    <hyperlink r:id="rId272" location="gid=1421763672" ref="G325"/>
    <hyperlink r:id="rId273" location="gid=331222355" ref="G327"/>
    <hyperlink r:id="rId274" location="gid=1832838674" ref="G328"/>
    <hyperlink r:id="rId275" location="gid=1904347938" ref="G329"/>
    <hyperlink r:id="rId276" location="gid=1207046421" ref="G330"/>
    <hyperlink r:id="rId277" location="gid=1419044542" ref="G331"/>
    <hyperlink r:id="rId278" location="gid=359724142" ref="G332"/>
    <hyperlink r:id="rId279" location="gid=2065371044" ref="G333"/>
    <hyperlink r:id="rId280" location="gid=988729668" ref="G334"/>
    <hyperlink r:id="rId281" location="gid=536884323" ref="G335"/>
    <hyperlink r:id="rId282" location="gid=1483705236" ref="G336"/>
    <hyperlink r:id="rId283" location="gid=1061872702" ref="G337"/>
    <hyperlink r:id="rId284" location="gid=1273586327" ref="G338"/>
    <hyperlink r:id="rId285" location="gid=1842686101" ref="G339"/>
    <hyperlink r:id="rId286" location="gid=236445809" ref="G340"/>
    <hyperlink r:id="rId287" location="gid=388676541" ref="G341"/>
    <hyperlink r:id="rId288" location="gid=730661418" ref="G342"/>
    <hyperlink r:id="rId289" location="gid=638174563" ref="G343"/>
    <hyperlink r:id="rId290" location="gid=663292288" ref="G344"/>
    <hyperlink r:id="rId291" location="gid=1652266839" ref="G345"/>
    <hyperlink r:id="rId292" location="gid=1938103833" ref="G346"/>
    <hyperlink r:id="rId293" location="gid=151749401" ref="G347"/>
    <hyperlink r:id="rId294" location="gid=931202378" ref="G348"/>
    <hyperlink r:id="rId295" location="gid=272548312" ref="G349"/>
    <hyperlink r:id="rId296" location="gid=236445809" ref="G350"/>
    <hyperlink r:id="rId297" location="gid=536884323" ref="G351"/>
    <hyperlink r:id="rId298" location="gid=801590602" ref="G352"/>
    <hyperlink r:id="rId299" location="gid=388676541" ref="G353"/>
    <hyperlink r:id="rId300" location="gid=651988537" ref="G354"/>
    <hyperlink r:id="rId301" location="gid=1647561677" ref="G355"/>
    <hyperlink r:id="rId302" location="gid=2134135534" ref="G356"/>
    <hyperlink r:id="rId303" location="gid=236445809" ref="G357"/>
    <hyperlink r:id="rId304" location="gid=536884323" ref="G358"/>
    <hyperlink r:id="rId305" location="gid=997304711" ref="G359"/>
    <hyperlink r:id="rId306" location="gid=388676541" ref="G360"/>
    <hyperlink r:id="rId307" location="gid=771109792" ref="G361"/>
    <hyperlink r:id="rId308" location="gid=56901754" ref="G363"/>
    <hyperlink r:id="rId309" location="gid=899930857" ref="G364"/>
    <hyperlink r:id="rId310" location="gid=1006986963" ref="G365"/>
    <hyperlink r:id="rId311" location="gid=966133642" ref="G366"/>
    <hyperlink r:id="rId312" location="gid=1579847944" ref="G368"/>
    <hyperlink r:id="rId313" location="gid=1932812114" ref="G369"/>
    <hyperlink r:id="rId314" location="gid=850372634" ref="G370"/>
    <hyperlink r:id="rId315" location="gid=1606416705" ref="G371"/>
    <hyperlink r:id="rId316" location="gid=1330044019" ref="G372"/>
    <hyperlink r:id="rId317" location="gid=1897624964" ref="G373"/>
    <hyperlink r:id="rId318" location="gid=2107924100" ref="G375"/>
    <hyperlink r:id="rId319" location="gid=523201911" ref="G376"/>
    <hyperlink r:id="rId320" location="gid=1502347956" ref="G377"/>
    <hyperlink r:id="rId321" location="gid=720627235" ref="G378"/>
    <hyperlink r:id="rId322" location="gid=1341602200" ref="G379"/>
    <hyperlink r:id="rId323" location="gid=1259784964" ref="G380"/>
    <hyperlink r:id="rId324" location="gid=184964644" ref="G381"/>
    <hyperlink r:id="rId325" location="gid=329671008" ref="G382"/>
    <hyperlink r:id="rId326" location="gid=476916099" ref="G383"/>
    <hyperlink r:id="rId327" location="gid=1628572559" ref="G384"/>
    <hyperlink r:id="rId328" location="gid=1897624964" ref="G386"/>
    <hyperlink r:id="rId329" location="gid=1560622384" ref="G388"/>
    <hyperlink r:id="rId330" location="gid=931474763" ref="G389"/>
    <hyperlink r:id="rId331" location="gid=1502347956" ref="G390"/>
    <hyperlink r:id="rId332" location="gid=506776157" ref="G391"/>
    <hyperlink r:id="rId333" location="gid=1896156010" ref="G392"/>
    <hyperlink r:id="rId334" location="gid=532169007" ref="G393"/>
    <hyperlink r:id="rId335" location="gid=1750916226" ref="G394"/>
    <hyperlink r:id="rId336" location="gid=1502347956" ref="G395"/>
    <hyperlink r:id="rId337" location="gid=760022740" ref="G396"/>
    <hyperlink r:id="rId338" location="gid=1886016863" ref="G398"/>
    <hyperlink r:id="rId339" location="gid=1936233636" ref="G399"/>
    <hyperlink r:id="rId340" location="gid=1869701926" ref="G400"/>
    <hyperlink r:id="rId341" location="gid=1059091671" ref="G401"/>
    <hyperlink r:id="rId342" location="gid=1221234619" ref="G402"/>
    <hyperlink r:id="rId343" location="gid=762661151" ref="G403"/>
    <hyperlink r:id="rId344" location="gid=993096257" ref="G404"/>
    <hyperlink r:id="rId345" location="gid=1988669876" ref="G405"/>
    <hyperlink r:id="rId346" location="gid=1171584859" ref="G406"/>
    <hyperlink r:id="rId347" location="gid=1752295518" ref="G407"/>
    <hyperlink r:id="rId348" location="gid=1949493424" ref="G409"/>
    <hyperlink r:id="rId349" location="gid=1952754205" ref="G410"/>
    <hyperlink r:id="rId350" location="gid=1588974849" ref="G411"/>
    <hyperlink r:id="rId351" location="gid=413689736" ref="G412"/>
    <hyperlink r:id="rId352" location="gid=1386247650" ref="G414"/>
    <hyperlink r:id="rId353" location="gid=2083602571" ref="G415"/>
    <hyperlink r:id="rId354" location="gid=283728519" ref="G416"/>
    <hyperlink r:id="rId355" location="gid=745487548" ref="G417"/>
    <hyperlink r:id="rId356" location="gid=571436664" ref="G418"/>
    <hyperlink r:id="rId357" location="gid=1340458798" ref="G419"/>
    <hyperlink r:id="rId358" location="gid=1471944533" ref="G420"/>
    <hyperlink r:id="rId359" location="gid=2111783228" ref="G421"/>
    <hyperlink r:id="rId360" location="gid=1770809209" ref="G422"/>
    <hyperlink r:id="rId361" location="gid=83229415" ref="G423"/>
    <hyperlink r:id="rId362" location="gid=80912458" ref="G424"/>
    <hyperlink r:id="rId363" location="gid=690890489" ref="G425"/>
    <hyperlink r:id="rId364" location="gid=907933771" ref="G426"/>
    <hyperlink r:id="rId365" location="gid=2019940116" ref="G427"/>
    <hyperlink r:id="rId366" location="gid=364571523" ref="G428"/>
    <hyperlink r:id="rId367" location="gid=474032375" ref="G429"/>
    <hyperlink r:id="rId368" location="gid=1753267832" ref="G430"/>
    <hyperlink r:id="rId369" location="gid=1032045531" ref="G431"/>
    <hyperlink r:id="rId370" location="gid=1112803470" ref="G432"/>
    <hyperlink r:id="rId371" location="gid=848186614" ref="G433"/>
    <hyperlink r:id="rId372" location="gid=393797343" ref="G434"/>
    <hyperlink r:id="rId373" location="gid=2103593516" ref="G435"/>
    <hyperlink r:id="rId374" location="gid=1000206311" ref="G436"/>
    <hyperlink r:id="rId375" location="gid=510016384" ref="G437"/>
    <hyperlink r:id="rId376" location="gid=237478289" ref="G439"/>
    <hyperlink r:id="rId377" location="gid=760468272" ref="G440"/>
    <hyperlink r:id="rId378" location="gid=139479186" ref="G441"/>
    <hyperlink r:id="rId379" location="gid=47988937" ref="G442"/>
    <hyperlink r:id="rId380" location="gid=1246686658" ref="G443"/>
    <hyperlink r:id="rId381" location="gid=950790608" ref="G444"/>
    <hyperlink r:id="rId382" location="gid=377352482" ref="G445"/>
    <hyperlink r:id="rId383" location="gid=1218822803" ref="G446"/>
    <hyperlink r:id="rId384" location="gid=1743497282" ref="G447"/>
    <hyperlink r:id="rId385" location="gid=622280541" ref="G448"/>
    <hyperlink r:id="rId386" location="gid=652864843" ref="G449"/>
    <hyperlink r:id="rId387" location="gid=130170628" ref="G450"/>
    <hyperlink r:id="rId388" location="gid=629125794" ref="G451"/>
    <hyperlink r:id="rId389" location="gid=1743497282" ref="G452"/>
    <hyperlink r:id="rId390" location="gid=1550847500" ref="G453"/>
    <hyperlink r:id="rId391" location="gid=487337162" ref="G454"/>
    <hyperlink r:id="rId392" location="gid=539789536" ref="G455"/>
    <hyperlink r:id="rId393" location="gid=1056703830" ref="G456"/>
    <hyperlink r:id="rId394" location="gid=73530457" ref="G457"/>
    <hyperlink r:id="rId395" location="gid=377352482" ref="G458"/>
    <hyperlink r:id="rId396" location="gid=1846808118" ref="G459"/>
    <hyperlink r:id="rId397" location="gid=38358405" ref="G460"/>
    <hyperlink r:id="rId398" location="gid=710646207" ref="G461"/>
    <hyperlink r:id="rId399" location="gid=991588734" ref="G462"/>
    <hyperlink r:id="rId400" location="gid=2001731873" ref="G463"/>
    <hyperlink r:id="rId401" location="gid=1743497282" ref="G464"/>
    <hyperlink r:id="rId402" location="gid=1775156261" ref="G465"/>
    <hyperlink r:id="rId403" location="gid=487337162" ref="G466"/>
    <hyperlink r:id="rId404" location="gid=2103201300" ref="G467"/>
    <hyperlink r:id="rId405" location="gid=767764064" ref="G468"/>
    <hyperlink r:id="rId406" location="gid=902316809" ref="G469"/>
    <hyperlink r:id="rId407" location="gid=1800588574" ref="G470"/>
    <hyperlink r:id="rId408" location="gid=67262467" ref="G471"/>
    <hyperlink r:id="rId409" location="gid=73530457" ref="G472"/>
    <hyperlink r:id="rId410" location="gid=322767729" ref="G473"/>
    <hyperlink r:id="rId411" location="gid=508150752" ref="G474"/>
    <hyperlink r:id="rId412" location="gid=808614040" ref="G477"/>
    <hyperlink r:id="rId413" location="gid=1956823522" ref="G478"/>
    <hyperlink r:id="rId414" location="gid=1134696028" ref="G479"/>
    <hyperlink r:id="rId415" location="gid=396752416" ref="G480"/>
    <hyperlink r:id="rId416" location="gid=1679411853" ref="G481"/>
    <hyperlink r:id="rId417" location="gid=635585116" ref="G482"/>
    <hyperlink r:id="rId418" location="gid=396752416" ref="G483"/>
    <hyperlink r:id="rId419" location="gid=68369999" ref="G484"/>
    <hyperlink r:id="rId420" location="gid=819104772" ref="G485"/>
    <hyperlink r:id="rId421" location="gid=396752416" ref="G486"/>
    <hyperlink r:id="rId422" location="gid=1439559429" ref="G487"/>
    <hyperlink r:id="rId423" location="gid=553549292" ref="G488"/>
    <hyperlink r:id="rId424" location="gid=98338263" ref="G489"/>
    <hyperlink r:id="rId425" location="gid=1785021775" ref="G490"/>
    <hyperlink r:id="rId426" location="gid=1305203777" ref="G491"/>
    <hyperlink r:id="rId427" location="gid=818733142" ref="G492"/>
    <hyperlink r:id="rId428" location="gid=2062572321" ref="G493"/>
    <hyperlink r:id="rId429" location="gid=1289470593" ref="G494"/>
    <hyperlink r:id="rId430" location="gid=2139524013" ref="G495"/>
    <hyperlink r:id="rId431" location="gid=548873190" ref="G497"/>
    <hyperlink r:id="rId432" location="gid=402674743" ref="G498"/>
    <hyperlink r:id="rId433" location="gid=2062572321" ref="G499"/>
    <hyperlink r:id="rId434" location="gid=1311202616" ref="G500"/>
    <hyperlink r:id="rId435" location="gid=242716538" ref="G501"/>
    <hyperlink r:id="rId436" location="gid=770369603" ref="G502"/>
    <hyperlink r:id="rId437" location="gid=532326742" ref="G505"/>
    <hyperlink r:id="rId438" location="gid=209763720" ref="G506"/>
    <hyperlink r:id="rId439" location="gid=1276232691" ref="G507"/>
    <hyperlink r:id="rId440" location="gid=2106234080" ref="G508"/>
    <hyperlink r:id="rId441" location="gid=1392638131" ref="G509"/>
    <hyperlink r:id="rId442" location="gid=432353774" ref="G510"/>
    <hyperlink r:id="rId443" location="gid=1258780694" ref="G511"/>
    <hyperlink r:id="rId444" location="gid=546022106" ref="G512"/>
    <hyperlink r:id="rId445" location="gid=1956870020" ref="G513"/>
    <hyperlink r:id="rId446" location="gid=802050994" ref="G514"/>
    <hyperlink r:id="rId447" location="gid=1668487339" ref="G515"/>
    <hyperlink r:id="rId448" location="gid=1437861601" ref="G516"/>
    <hyperlink r:id="rId449" location="gid=1568253146" ref="G517"/>
    <hyperlink r:id="rId450" location="gid=1732335467" ref="G518"/>
    <hyperlink r:id="rId451" location="gid=1653764280" ref="G519"/>
    <hyperlink r:id="rId452" location="gid=546022106" ref="G520"/>
    <hyperlink r:id="rId453" location="gid=2093689672" ref="G521"/>
    <hyperlink r:id="rId454" location="gid=1455175499" ref="G522"/>
    <hyperlink r:id="rId455" location="gid=1758189279" ref="G523"/>
    <hyperlink r:id="rId456" location="gid=241146860" ref="G528"/>
    <hyperlink r:id="rId457" location="gid=178843364" ref="G529"/>
    <hyperlink r:id="rId458" location="gid=798698665" ref="G530"/>
    <hyperlink r:id="rId459" location="gid=1151260236" ref="G531"/>
    <hyperlink r:id="rId460" location="gid=1625230948" ref="G532"/>
    <hyperlink r:id="rId461" location="gid=1725865441" ref="G533"/>
    <hyperlink r:id="rId462" location="gid=1761840542" ref="G534"/>
    <hyperlink r:id="rId463" location="gid=1001458708" ref="G535"/>
    <hyperlink r:id="rId464" location="gid=2129177578" ref="G536"/>
    <hyperlink r:id="rId465" location="gid=1415024014" ref="G537"/>
    <hyperlink r:id="rId466" location="gid=1460573825" ref="G538"/>
    <hyperlink r:id="rId467" location="gid=1813137223" ref="G539"/>
    <hyperlink r:id="rId468" location="gid=922273219" ref="G540"/>
    <hyperlink r:id="rId469" location="gid=1131420773" ref="G541"/>
    <hyperlink r:id="rId470" location="gid=2132940594" ref="G542"/>
    <hyperlink r:id="rId471" location="gid=1716856703" ref="G543"/>
    <hyperlink r:id="rId472" location="gid=519619539" ref="G544"/>
    <hyperlink r:id="rId473" location="gid=1625230948" ref="G545"/>
    <hyperlink r:id="rId474" location="gid=263907969" ref="G546"/>
    <hyperlink r:id="rId475" location="gid=1416299468" ref="G547"/>
    <hyperlink r:id="rId476" location="gid=1001458708" ref="G548"/>
    <hyperlink r:id="rId477" location="gid=1290470462" ref="G549"/>
    <hyperlink r:id="rId478" location="gid=922273219" ref="G550"/>
    <hyperlink r:id="rId479" location="gid=1716856703" ref="G551"/>
    <hyperlink r:id="rId480" location="gid=763852750" ref="G552"/>
    <hyperlink r:id="rId481" location="gid=1625230948" ref="G553"/>
    <hyperlink r:id="rId482" location="gid=456300797" ref="G554"/>
    <hyperlink r:id="rId483" location="gid=170573215" ref="G555"/>
    <hyperlink r:id="rId484" location="gid=1001458708" ref="G556"/>
    <hyperlink r:id="rId485" location="gid=65052748" ref="G557"/>
    <hyperlink r:id="rId486" location="gid=922273219" ref="G558"/>
    <hyperlink r:id="rId487" location="gid=1131420773" ref="G559"/>
    <hyperlink r:id="rId488" location="gid=850571861" ref="G560"/>
    <hyperlink r:id="rId489" location="gid=1716856703" ref="G561"/>
    <hyperlink r:id="rId490" location="gid=1815792588" ref="G562"/>
    <hyperlink r:id="rId491" location="gid=1622673864" ref="G566"/>
    <hyperlink r:id="rId492" location="gid=176563288" ref="G567"/>
    <hyperlink r:id="rId493" location="gid=655188742" ref="G568"/>
    <hyperlink r:id="rId494" location="gid=216279802" ref="G569"/>
    <hyperlink r:id="rId495" location="gid=2101354860" ref="G570"/>
    <hyperlink r:id="rId496" location="gid=2093524450" ref="G571"/>
    <hyperlink r:id="rId497" location="gid=2036001339" ref="G572"/>
    <hyperlink r:id="rId498" location="gid=2042214747" ref="G573"/>
    <hyperlink r:id="rId499" location="gid=1816015156" ref="G574"/>
    <hyperlink r:id="rId500" location="gid=792854053" ref="G575"/>
    <hyperlink r:id="rId501" location="gid=1499879116" ref="G576"/>
    <hyperlink r:id="rId502" location="gid=2054932640" ref="G577"/>
    <hyperlink r:id="rId503" location="gid=38837957" ref="G578"/>
    <hyperlink r:id="rId504" location="gid=1154775834" ref="G579"/>
    <hyperlink r:id="rId505" location="gid=1988377463" ref="G580"/>
    <hyperlink r:id="rId506" location="gid=2125519692" ref="G581"/>
    <hyperlink r:id="rId507" location="gid=567200008" ref="G582"/>
    <hyperlink r:id="rId508" location="gid=2101354860" ref="G583"/>
    <hyperlink r:id="rId509" location="gid=2031885473" ref="G584"/>
    <hyperlink r:id="rId510" location="gid=1973580177" ref="G585"/>
    <hyperlink r:id="rId511" location="gid=2042214747" ref="G586"/>
    <hyperlink r:id="rId512" location="gid=843520367" ref="G587"/>
    <hyperlink r:id="rId513" location="gid=38837957" ref="G588"/>
    <hyperlink r:id="rId514" location="gid=2125519692" ref="G589"/>
    <hyperlink r:id="rId515" location="gid=1067468363" ref="G590"/>
    <hyperlink r:id="rId516" location="gid=2101354860" ref="G591"/>
    <hyperlink r:id="rId517" location="gid=2106795393" ref="G592"/>
    <hyperlink r:id="rId518" location="gid=2019436464" ref="G593"/>
    <hyperlink r:id="rId519" location="gid=2042214747" ref="G594"/>
    <hyperlink r:id="rId520" location="gid=1737485026" ref="G595"/>
    <hyperlink r:id="rId521" location="gid=1154775834" ref="G596"/>
    <hyperlink r:id="rId522" location="gid=1211789431" ref="G597"/>
    <hyperlink r:id="rId523" location="gid=38837957" ref="G598"/>
    <hyperlink r:id="rId524" location="gid=2125519692" ref="G599"/>
    <hyperlink r:id="rId525" location="gid=1233129343" ref="G600"/>
  </hyperlinks>
  <drawing r:id="rId5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48.29"/>
    <col customWidth="1" min="4" max="4" width="16.86"/>
    <col customWidth="1" min="5" max="5" width="24.71"/>
    <col customWidth="1" min="6" max="6" width="33.29"/>
    <col customWidth="1" min="7" max="7" width="112.0"/>
    <col customWidth="1" min="8" max="8" width="39.71"/>
    <col customWidth="1" min="9" max="12" width="18.0"/>
    <col customWidth="1" min="13" max="32" width="14.43"/>
  </cols>
  <sheetData>
    <row r="1" ht="1.5" customHeight="1">
      <c r="A1" s="12"/>
      <c r="B1" s="12"/>
      <c r="C1" s="13"/>
      <c r="D1" s="14"/>
      <c r="E1" s="14"/>
      <c r="F1" s="14"/>
      <c r="G1" s="386"/>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2"/>
      <c r="B2" s="12"/>
      <c r="C2" s="13"/>
      <c r="D2" s="14"/>
      <c r="E2" s="14"/>
      <c r="F2" s="14"/>
      <c r="G2" s="386"/>
      <c r="H2" s="14"/>
      <c r="I2" s="14"/>
      <c r="J2" s="12"/>
      <c r="K2" s="12"/>
      <c r="L2" s="12"/>
      <c r="M2" s="15"/>
      <c r="N2" s="15"/>
      <c r="O2" s="15"/>
      <c r="P2" s="15"/>
      <c r="Q2" s="15"/>
      <c r="R2" s="15"/>
      <c r="S2" s="15"/>
      <c r="T2" s="15"/>
      <c r="U2" s="15"/>
      <c r="V2" s="15"/>
      <c r="W2" s="15"/>
      <c r="X2" s="15"/>
      <c r="Y2" s="15"/>
      <c r="Z2" s="15"/>
      <c r="AA2" s="15"/>
      <c r="AB2" s="15"/>
      <c r="AC2" s="15"/>
      <c r="AD2" s="15"/>
      <c r="AE2" s="15"/>
      <c r="AF2" s="15"/>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0"/>
      <c r="C4" s="21"/>
      <c r="D4" s="20"/>
      <c r="E4" s="20"/>
      <c r="F4" s="20"/>
      <c r="G4" s="387"/>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3" t="s">
        <v>8</v>
      </c>
      <c r="D5" s="24" t="s">
        <v>9</v>
      </c>
      <c r="E5" s="24" t="s">
        <v>10</v>
      </c>
      <c r="F5" s="24" t="s">
        <v>11</v>
      </c>
      <c r="G5" s="431" t="s">
        <v>12</v>
      </c>
      <c r="H5" s="229" t="s">
        <v>13</v>
      </c>
      <c r="I5" s="24" t="s">
        <v>14</v>
      </c>
      <c r="J5" s="22" t="s">
        <v>15</v>
      </c>
      <c r="K5" s="22" t="s">
        <v>16</v>
      </c>
      <c r="L5" s="22" t="s">
        <v>17</v>
      </c>
      <c r="M5" s="15"/>
      <c r="N5" s="15"/>
      <c r="O5" s="15"/>
      <c r="P5" s="15"/>
      <c r="Q5" s="15"/>
      <c r="R5" s="15"/>
      <c r="S5" s="15"/>
      <c r="T5" s="15"/>
      <c r="U5" s="15"/>
      <c r="V5" s="15"/>
      <c r="W5" s="15"/>
      <c r="X5" s="15"/>
      <c r="Y5" s="15"/>
      <c r="Z5" s="15"/>
      <c r="AA5" s="15"/>
      <c r="AB5" s="15"/>
      <c r="AC5" s="15"/>
      <c r="AD5" s="15"/>
      <c r="AE5" s="15"/>
      <c r="AF5" s="15"/>
    </row>
    <row r="6" ht="15.75" customHeight="1">
      <c r="A6" s="28" t="s">
        <v>5</v>
      </c>
      <c r="B6" s="28" t="s">
        <v>3489</v>
      </c>
      <c r="C6" s="87" t="s">
        <v>3490</v>
      </c>
      <c r="D6" s="28" t="s">
        <v>20</v>
      </c>
      <c r="E6" s="432" t="s">
        <v>86</v>
      </c>
      <c r="F6" s="433" t="s">
        <v>87</v>
      </c>
      <c r="I6" s="36"/>
      <c r="J6" s="36"/>
      <c r="L6" s="20"/>
      <c r="M6" s="15"/>
      <c r="N6" s="15"/>
      <c r="O6" s="15"/>
      <c r="P6" s="15"/>
      <c r="Q6" s="15"/>
      <c r="R6" s="15"/>
      <c r="S6" s="15"/>
      <c r="T6" s="15"/>
      <c r="U6" s="15"/>
      <c r="V6" s="15"/>
      <c r="W6" s="15"/>
      <c r="X6" s="15"/>
      <c r="Y6" s="15"/>
      <c r="Z6" s="15"/>
      <c r="AA6" s="15"/>
      <c r="AB6" s="15"/>
      <c r="AC6" s="15"/>
      <c r="AD6" s="15"/>
      <c r="AE6" s="15"/>
      <c r="AF6" s="15"/>
    </row>
    <row r="7" ht="15.75" customHeight="1">
      <c r="A7" s="28" t="s">
        <v>5</v>
      </c>
      <c r="E7" s="432" t="s">
        <v>88</v>
      </c>
      <c r="F7" s="432" t="s">
        <v>89</v>
      </c>
      <c r="G7" s="434"/>
      <c r="H7" s="35"/>
      <c r="I7" s="36"/>
      <c r="J7" s="36"/>
      <c r="L7" s="20"/>
      <c r="M7" s="15"/>
      <c r="N7" s="15"/>
      <c r="O7" s="15"/>
      <c r="P7" s="15"/>
      <c r="Q7" s="15"/>
      <c r="R7" s="15"/>
      <c r="S7" s="15"/>
      <c r="T7" s="15"/>
      <c r="U7" s="15"/>
      <c r="V7" s="15"/>
      <c r="W7" s="15"/>
      <c r="X7" s="15"/>
      <c r="Y7" s="15"/>
      <c r="Z7" s="15"/>
      <c r="AA7" s="15"/>
      <c r="AB7" s="15"/>
      <c r="AC7" s="15"/>
      <c r="AD7" s="15"/>
      <c r="AE7" s="15"/>
      <c r="AF7" s="15"/>
    </row>
    <row r="8" ht="15.75" customHeight="1">
      <c r="A8" s="28" t="s">
        <v>5</v>
      </c>
      <c r="E8" s="65" t="s">
        <v>21</v>
      </c>
      <c r="F8" s="62" t="s">
        <v>51</v>
      </c>
      <c r="G8" s="435" t="s">
        <v>3491</v>
      </c>
      <c r="H8" s="35" t="s">
        <v>51</v>
      </c>
      <c r="I8" s="36"/>
      <c r="J8" s="36"/>
      <c r="L8" s="20"/>
      <c r="M8" s="15"/>
      <c r="N8" s="15"/>
      <c r="O8" s="15"/>
      <c r="P8" s="15"/>
      <c r="Q8" s="15"/>
      <c r="R8" s="15"/>
      <c r="S8" s="15"/>
      <c r="T8" s="15"/>
      <c r="U8" s="15"/>
      <c r="V8" s="15"/>
      <c r="W8" s="15"/>
      <c r="X8" s="15"/>
      <c r="Y8" s="15"/>
      <c r="Z8" s="15"/>
      <c r="AA8" s="15"/>
      <c r="AB8" s="15"/>
      <c r="AC8" s="15"/>
      <c r="AD8" s="15"/>
      <c r="AE8" s="15"/>
      <c r="AF8" s="15"/>
    </row>
    <row r="9" ht="15.75" customHeight="1">
      <c r="A9" s="28" t="s">
        <v>5</v>
      </c>
      <c r="E9" s="65" t="s">
        <v>86</v>
      </c>
      <c r="F9" s="35" t="s">
        <v>90</v>
      </c>
      <c r="G9" s="165" t="s">
        <v>3492</v>
      </c>
      <c r="H9" s="35" t="s">
        <v>90</v>
      </c>
      <c r="I9" s="36"/>
      <c r="J9" s="36"/>
      <c r="L9" s="20"/>
      <c r="M9" s="15"/>
      <c r="N9" s="15"/>
      <c r="O9" s="15"/>
      <c r="P9" s="15"/>
      <c r="Q9" s="15"/>
      <c r="R9" s="15"/>
      <c r="S9" s="15"/>
      <c r="T9" s="15"/>
      <c r="U9" s="15"/>
      <c r="V9" s="15"/>
      <c r="W9" s="15"/>
      <c r="X9" s="15"/>
      <c r="Y9" s="15"/>
      <c r="Z9" s="15"/>
      <c r="AA9" s="15"/>
      <c r="AB9" s="15"/>
      <c r="AC9" s="15"/>
      <c r="AD9" s="15"/>
      <c r="AE9" s="15"/>
      <c r="AF9" s="15"/>
    </row>
    <row r="10" ht="15.75" customHeight="1">
      <c r="A10" s="28" t="s">
        <v>5</v>
      </c>
      <c r="E10" s="65" t="s">
        <v>86</v>
      </c>
      <c r="F10" s="35" t="s">
        <v>91</v>
      </c>
      <c r="G10" s="165" t="s">
        <v>3493</v>
      </c>
      <c r="H10" s="35" t="s">
        <v>91</v>
      </c>
      <c r="I10" s="36"/>
      <c r="J10" s="36"/>
      <c r="L10" s="20"/>
      <c r="M10" s="15"/>
      <c r="N10" s="15"/>
      <c r="O10" s="15"/>
      <c r="P10" s="15"/>
      <c r="Q10" s="15"/>
      <c r="R10" s="15"/>
      <c r="S10" s="15"/>
      <c r="T10" s="15"/>
      <c r="U10" s="15"/>
      <c r="V10" s="15"/>
      <c r="W10" s="15"/>
      <c r="X10" s="15"/>
      <c r="Y10" s="15"/>
      <c r="Z10" s="15"/>
      <c r="AA10" s="15"/>
      <c r="AB10" s="15"/>
      <c r="AC10" s="15"/>
      <c r="AD10" s="15"/>
      <c r="AE10" s="15"/>
      <c r="AF10" s="15"/>
    </row>
    <row r="11" ht="15.75" customHeight="1">
      <c r="A11" s="28" t="s">
        <v>5</v>
      </c>
      <c r="E11" s="65" t="s">
        <v>86</v>
      </c>
      <c r="F11" s="35" t="s">
        <v>338</v>
      </c>
      <c r="G11" s="165" t="s">
        <v>3494</v>
      </c>
      <c r="H11" s="35" t="s">
        <v>338</v>
      </c>
      <c r="I11" s="36"/>
      <c r="J11" s="36"/>
      <c r="L11" s="20"/>
      <c r="M11" s="15"/>
      <c r="N11" s="15"/>
      <c r="O11" s="15"/>
      <c r="P11" s="15"/>
      <c r="Q11" s="15"/>
      <c r="R11" s="15"/>
      <c r="S11" s="15"/>
      <c r="T11" s="15"/>
      <c r="U11" s="15"/>
      <c r="V11" s="15"/>
      <c r="W11" s="15"/>
      <c r="X11" s="15"/>
      <c r="Y11" s="15"/>
      <c r="Z11" s="15"/>
      <c r="AA11" s="15"/>
      <c r="AB11" s="15"/>
      <c r="AC11" s="15"/>
      <c r="AD11" s="15"/>
      <c r="AE11" s="15"/>
      <c r="AF11" s="15"/>
    </row>
    <row r="12" ht="15.75" customHeight="1">
      <c r="A12" s="28" t="s">
        <v>5</v>
      </c>
      <c r="E12" s="65" t="s">
        <v>86</v>
      </c>
      <c r="F12" s="35" t="s">
        <v>739</v>
      </c>
      <c r="G12" s="192" t="s">
        <v>3495</v>
      </c>
      <c r="H12" s="36"/>
      <c r="I12" s="36"/>
      <c r="J12" s="36"/>
      <c r="L12" s="20"/>
      <c r="M12" s="15"/>
      <c r="N12" s="15"/>
      <c r="O12" s="15"/>
      <c r="P12" s="15"/>
      <c r="Q12" s="15"/>
      <c r="R12" s="15"/>
      <c r="S12" s="15"/>
      <c r="T12" s="15"/>
      <c r="U12" s="15"/>
      <c r="V12" s="15"/>
      <c r="W12" s="15"/>
      <c r="X12" s="15"/>
      <c r="Y12" s="15"/>
      <c r="Z12" s="15"/>
      <c r="AA12" s="15"/>
      <c r="AB12" s="15"/>
      <c r="AC12" s="15"/>
      <c r="AD12" s="15"/>
      <c r="AE12" s="15"/>
      <c r="AF12" s="15"/>
    </row>
    <row r="13" ht="15.75" customHeight="1">
      <c r="A13" s="28" t="s">
        <v>5</v>
      </c>
      <c r="E13" s="65" t="s">
        <v>86</v>
      </c>
      <c r="F13" s="65" t="s">
        <v>743</v>
      </c>
      <c r="G13" s="435" t="s">
        <v>3496</v>
      </c>
      <c r="H13" s="35" t="s">
        <v>743</v>
      </c>
      <c r="I13" s="36"/>
      <c r="L13" s="20"/>
      <c r="M13" s="15"/>
      <c r="N13" s="15"/>
      <c r="O13" s="15"/>
      <c r="P13" s="15"/>
      <c r="Q13" s="15"/>
      <c r="R13" s="15"/>
      <c r="S13" s="15"/>
      <c r="T13" s="15"/>
      <c r="U13" s="15"/>
      <c r="V13" s="15"/>
      <c r="W13" s="15"/>
      <c r="X13" s="15"/>
      <c r="Y13" s="15"/>
      <c r="Z13" s="15"/>
      <c r="AA13" s="15"/>
      <c r="AB13" s="15"/>
      <c r="AC13" s="15"/>
      <c r="AD13" s="15"/>
      <c r="AE13" s="15"/>
      <c r="AF13" s="15"/>
    </row>
    <row r="14" ht="15.75" customHeight="1">
      <c r="A14" s="28" t="s">
        <v>5</v>
      </c>
      <c r="E14" s="65" t="s">
        <v>88</v>
      </c>
      <c r="F14" s="65" t="s">
        <v>95</v>
      </c>
      <c r="G14" s="435" t="s">
        <v>3497</v>
      </c>
      <c r="H14" s="35" t="s">
        <v>95</v>
      </c>
      <c r="I14" s="36"/>
      <c r="L14" s="20"/>
      <c r="M14" s="15"/>
      <c r="N14" s="15"/>
      <c r="O14" s="15"/>
      <c r="P14" s="15"/>
      <c r="Q14" s="15"/>
      <c r="R14" s="15"/>
      <c r="S14" s="15"/>
      <c r="T14" s="15"/>
      <c r="U14" s="15"/>
      <c r="V14" s="15"/>
      <c r="W14" s="15"/>
      <c r="X14" s="15"/>
      <c r="Y14" s="15"/>
      <c r="Z14" s="15"/>
      <c r="AA14" s="15"/>
      <c r="AB14" s="15"/>
      <c r="AC14" s="15"/>
      <c r="AD14" s="15"/>
      <c r="AE14" s="15"/>
      <c r="AF14" s="15"/>
    </row>
    <row r="15" ht="15.75" customHeight="1">
      <c r="A15" s="28" t="s">
        <v>5</v>
      </c>
      <c r="E15" s="65" t="s">
        <v>88</v>
      </c>
      <c r="F15" s="65" t="s">
        <v>96</v>
      </c>
      <c r="G15" s="435" t="s">
        <v>3498</v>
      </c>
      <c r="H15" s="35" t="s">
        <v>96</v>
      </c>
      <c r="I15" s="36"/>
      <c r="L15" s="20"/>
      <c r="M15" s="15"/>
      <c r="N15" s="15"/>
      <c r="O15" s="15"/>
      <c r="P15" s="15"/>
      <c r="Q15" s="15"/>
      <c r="R15" s="15"/>
      <c r="S15" s="15"/>
      <c r="T15" s="15"/>
      <c r="U15" s="15"/>
      <c r="V15" s="15"/>
      <c r="W15" s="15"/>
      <c r="X15" s="15"/>
      <c r="Y15" s="15"/>
      <c r="Z15" s="15"/>
      <c r="AA15" s="15"/>
      <c r="AB15" s="15"/>
      <c r="AC15" s="15"/>
      <c r="AD15" s="15"/>
      <c r="AE15" s="15"/>
      <c r="AF15" s="15"/>
    </row>
    <row r="16" ht="15.75" customHeight="1">
      <c r="A16" s="28" t="s">
        <v>5</v>
      </c>
      <c r="E16" s="65" t="s">
        <v>104</v>
      </c>
      <c r="F16" s="65" t="s">
        <v>250</v>
      </c>
      <c r="G16" s="435" t="s">
        <v>3499</v>
      </c>
      <c r="H16" s="35" t="s">
        <v>250</v>
      </c>
      <c r="I16" s="36"/>
      <c r="L16" s="20"/>
      <c r="M16" s="15"/>
      <c r="N16" s="15"/>
      <c r="O16" s="15"/>
      <c r="P16" s="15"/>
      <c r="Q16" s="15"/>
      <c r="R16" s="15"/>
      <c r="S16" s="15"/>
      <c r="T16" s="15"/>
      <c r="U16" s="15"/>
      <c r="V16" s="15"/>
      <c r="W16" s="15"/>
      <c r="X16" s="15"/>
      <c r="Y16" s="15"/>
      <c r="Z16" s="15"/>
      <c r="AA16" s="15"/>
      <c r="AB16" s="15"/>
      <c r="AC16" s="15"/>
      <c r="AD16" s="15"/>
      <c r="AE16" s="15"/>
      <c r="AF16" s="15"/>
    </row>
    <row r="17" ht="15.75" customHeight="1">
      <c r="A17" s="28" t="s">
        <v>5</v>
      </c>
      <c r="E17" s="65" t="s">
        <v>86</v>
      </c>
      <c r="F17" s="65" t="s">
        <v>353</v>
      </c>
      <c r="G17" s="435" t="s">
        <v>3500</v>
      </c>
      <c r="H17" s="35" t="s">
        <v>353</v>
      </c>
      <c r="I17" s="36"/>
      <c r="L17" s="20"/>
      <c r="M17" s="15"/>
      <c r="N17" s="15"/>
      <c r="O17" s="15"/>
      <c r="P17" s="15"/>
      <c r="Q17" s="15"/>
      <c r="R17" s="15"/>
      <c r="S17" s="15"/>
      <c r="T17" s="15"/>
      <c r="U17" s="15"/>
      <c r="V17" s="15"/>
      <c r="W17" s="15"/>
      <c r="X17" s="15"/>
      <c r="Y17" s="15"/>
      <c r="Z17" s="15"/>
      <c r="AA17" s="15"/>
      <c r="AB17" s="15"/>
      <c r="AC17" s="15"/>
      <c r="AD17" s="15"/>
      <c r="AE17" s="15"/>
      <c r="AF17" s="15"/>
    </row>
    <row r="18" ht="15.75" customHeight="1">
      <c r="A18" s="28" t="s">
        <v>5</v>
      </c>
      <c r="B18" s="28" t="s">
        <v>3501</v>
      </c>
      <c r="C18" s="191" t="s">
        <v>3502</v>
      </c>
      <c r="D18" s="28" t="s">
        <v>20</v>
      </c>
      <c r="E18" s="432" t="s">
        <v>86</v>
      </c>
      <c r="F18" s="433" t="s">
        <v>87</v>
      </c>
      <c r="I18" s="36"/>
      <c r="L18" s="20"/>
      <c r="M18" s="15"/>
      <c r="N18" s="15"/>
      <c r="O18" s="15"/>
      <c r="P18" s="15"/>
      <c r="Q18" s="15"/>
      <c r="R18" s="15"/>
      <c r="S18" s="15"/>
      <c r="T18" s="15"/>
      <c r="U18" s="15"/>
      <c r="V18" s="15"/>
      <c r="W18" s="15"/>
      <c r="X18" s="15"/>
      <c r="Y18" s="15"/>
      <c r="Z18" s="15"/>
      <c r="AA18" s="15"/>
      <c r="AB18" s="15"/>
      <c r="AC18" s="15"/>
      <c r="AD18" s="15"/>
      <c r="AE18" s="15"/>
      <c r="AF18" s="15"/>
    </row>
    <row r="19" ht="15.75" customHeight="1">
      <c r="A19" s="28" t="s">
        <v>5</v>
      </c>
      <c r="E19" s="432" t="s">
        <v>88</v>
      </c>
      <c r="F19" s="432" t="s">
        <v>89</v>
      </c>
      <c r="G19" s="434"/>
      <c r="H19" s="35"/>
      <c r="I19" s="36"/>
      <c r="L19" s="20"/>
      <c r="M19" s="15"/>
      <c r="N19" s="15"/>
      <c r="O19" s="15"/>
      <c r="P19" s="15"/>
      <c r="Q19" s="15"/>
      <c r="R19" s="15"/>
      <c r="S19" s="15"/>
      <c r="T19" s="15"/>
      <c r="U19" s="15"/>
      <c r="V19" s="15"/>
      <c r="W19" s="15"/>
      <c r="X19" s="15"/>
      <c r="Y19" s="15"/>
      <c r="Z19" s="15"/>
      <c r="AA19" s="15"/>
      <c r="AB19" s="15"/>
      <c r="AC19" s="15"/>
      <c r="AD19" s="15"/>
      <c r="AE19" s="15"/>
      <c r="AF19" s="15"/>
    </row>
    <row r="20" ht="15.75" customHeight="1">
      <c r="A20" s="28" t="s">
        <v>5</v>
      </c>
      <c r="E20" s="65" t="s">
        <v>21</v>
      </c>
      <c r="F20" s="65" t="s">
        <v>51</v>
      </c>
      <c r="G20" s="435" t="s">
        <v>3503</v>
      </c>
      <c r="H20" s="35" t="s">
        <v>51</v>
      </c>
      <c r="I20" s="36"/>
      <c r="L20" s="20"/>
      <c r="M20" s="15"/>
      <c r="N20" s="15"/>
      <c r="O20" s="15"/>
      <c r="P20" s="15"/>
      <c r="Q20" s="15"/>
      <c r="R20" s="15"/>
      <c r="S20" s="15"/>
      <c r="T20" s="15"/>
      <c r="U20" s="15"/>
      <c r="V20" s="15"/>
      <c r="W20" s="15"/>
      <c r="X20" s="15"/>
      <c r="Y20" s="15"/>
      <c r="Z20" s="15"/>
      <c r="AA20" s="15"/>
      <c r="AB20" s="15"/>
      <c r="AC20" s="15"/>
      <c r="AD20" s="15"/>
      <c r="AE20" s="15"/>
      <c r="AF20" s="15"/>
    </row>
    <row r="21" ht="15.75" customHeight="1">
      <c r="A21" s="28" t="s">
        <v>5</v>
      </c>
      <c r="E21" s="65" t="s">
        <v>86</v>
      </c>
      <c r="F21" s="65" t="s">
        <v>90</v>
      </c>
      <c r="G21" s="435" t="s">
        <v>3504</v>
      </c>
      <c r="H21" s="35" t="s">
        <v>90</v>
      </c>
      <c r="I21" s="36"/>
      <c r="L21" s="20"/>
      <c r="M21" s="15"/>
      <c r="N21" s="15"/>
      <c r="O21" s="15"/>
      <c r="P21" s="15"/>
      <c r="Q21" s="15"/>
      <c r="R21" s="15"/>
      <c r="S21" s="15"/>
      <c r="T21" s="15"/>
      <c r="U21" s="15"/>
      <c r="V21" s="15"/>
      <c r="W21" s="15"/>
      <c r="X21" s="15"/>
      <c r="Y21" s="15"/>
      <c r="Z21" s="15"/>
      <c r="AA21" s="15"/>
      <c r="AB21" s="15"/>
      <c r="AC21" s="15"/>
      <c r="AD21" s="15"/>
      <c r="AE21" s="15"/>
      <c r="AF21" s="15"/>
    </row>
    <row r="22" ht="15.75" customHeight="1">
      <c r="A22" s="28" t="s">
        <v>5</v>
      </c>
      <c r="E22" s="65" t="s">
        <v>86</v>
      </c>
      <c r="F22" s="65" t="s">
        <v>91</v>
      </c>
      <c r="G22" s="435" t="s">
        <v>3505</v>
      </c>
      <c r="H22" s="35" t="s">
        <v>91</v>
      </c>
      <c r="I22" s="36"/>
      <c r="L22" s="20"/>
      <c r="M22" s="15"/>
      <c r="N22" s="15"/>
      <c r="O22" s="15"/>
      <c r="P22" s="15"/>
      <c r="Q22" s="15"/>
      <c r="R22" s="15"/>
      <c r="S22" s="15"/>
      <c r="T22" s="15"/>
      <c r="U22" s="15"/>
      <c r="V22" s="15"/>
      <c r="W22" s="15"/>
      <c r="X22" s="15"/>
      <c r="Y22" s="15"/>
      <c r="Z22" s="15"/>
      <c r="AA22" s="15"/>
      <c r="AB22" s="15"/>
      <c r="AC22" s="15"/>
      <c r="AD22" s="15"/>
      <c r="AE22" s="15"/>
      <c r="AF22" s="15"/>
    </row>
    <row r="23" ht="15.75" customHeight="1">
      <c r="A23" s="28" t="s">
        <v>5</v>
      </c>
      <c r="E23" s="65" t="s">
        <v>86</v>
      </c>
      <c r="F23" s="65" t="s">
        <v>338</v>
      </c>
      <c r="G23" s="435" t="s">
        <v>3506</v>
      </c>
      <c r="H23" s="35" t="s">
        <v>338</v>
      </c>
      <c r="I23" s="36"/>
      <c r="L23" s="20"/>
      <c r="M23" s="15"/>
      <c r="N23" s="15"/>
      <c r="O23" s="15"/>
      <c r="P23" s="15"/>
      <c r="Q23" s="15"/>
      <c r="R23" s="15"/>
      <c r="S23" s="15"/>
      <c r="T23" s="15"/>
      <c r="U23" s="15"/>
      <c r="V23" s="15"/>
      <c r="W23" s="15"/>
      <c r="X23" s="15"/>
      <c r="Y23" s="15"/>
      <c r="Z23" s="15"/>
      <c r="AA23" s="15"/>
      <c r="AB23" s="15"/>
      <c r="AC23" s="15"/>
      <c r="AD23" s="15"/>
      <c r="AE23" s="15"/>
      <c r="AF23" s="15"/>
    </row>
    <row r="24" ht="15.75" customHeight="1">
      <c r="A24" s="28" t="s">
        <v>5</v>
      </c>
      <c r="E24" s="65" t="s">
        <v>86</v>
      </c>
      <c r="F24" s="65" t="s">
        <v>739</v>
      </c>
      <c r="G24" s="435" t="s">
        <v>3507</v>
      </c>
      <c r="H24" s="35" t="s">
        <v>739</v>
      </c>
      <c r="I24" s="36"/>
      <c r="L24" s="20"/>
      <c r="M24" s="15"/>
      <c r="N24" s="15"/>
      <c r="O24" s="15"/>
      <c r="P24" s="15"/>
      <c r="Q24" s="15"/>
      <c r="R24" s="15"/>
      <c r="S24" s="15"/>
      <c r="T24" s="15"/>
      <c r="U24" s="15"/>
      <c r="V24" s="15"/>
      <c r="W24" s="15"/>
      <c r="X24" s="15"/>
      <c r="Y24" s="15"/>
      <c r="Z24" s="15"/>
      <c r="AA24" s="15"/>
      <c r="AB24" s="15"/>
      <c r="AC24" s="15"/>
      <c r="AD24" s="15"/>
      <c r="AE24" s="15"/>
      <c r="AF24" s="15"/>
    </row>
    <row r="25" ht="15.75" customHeight="1">
      <c r="A25" s="28" t="s">
        <v>5</v>
      </c>
      <c r="E25" s="65" t="s">
        <v>86</v>
      </c>
      <c r="F25" s="65" t="s">
        <v>90</v>
      </c>
      <c r="G25" s="435" t="s">
        <v>3504</v>
      </c>
      <c r="H25" s="35" t="s">
        <v>90</v>
      </c>
      <c r="L25" s="20"/>
      <c r="M25" s="15"/>
      <c r="N25" s="15"/>
      <c r="O25" s="15"/>
      <c r="P25" s="15"/>
      <c r="Q25" s="15"/>
      <c r="R25" s="15"/>
      <c r="S25" s="15"/>
      <c r="T25" s="15"/>
      <c r="U25" s="15"/>
      <c r="V25" s="15"/>
      <c r="W25" s="15"/>
      <c r="X25" s="15"/>
      <c r="Y25" s="15"/>
      <c r="Z25" s="15"/>
      <c r="AA25" s="15"/>
      <c r="AB25" s="15"/>
      <c r="AC25" s="15"/>
      <c r="AD25" s="15"/>
      <c r="AE25" s="15"/>
      <c r="AF25" s="15"/>
    </row>
    <row r="26" ht="15.75" customHeight="1">
      <c r="A26" s="28" t="s">
        <v>5</v>
      </c>
      <c r="E26" s="65" t="s">
        <v>86</v>
      </c>
      <c r="F26" s="65" t="s">
        <v>91</v>
      </c>
      <c r="G26" s="435" t="s">
        <v>3505</v>
      </c>
      <c r="H26" s="35" t="s">
        <v>91</v>
      </c>
      <c r="L26" s="20"/>
      <c r="M26" s="15"/>
      <c r="N26" s="15"/>
      <c r="O26" s="15"/>
      <c r="P26" s="15"/>
      <c r="Q26" s="15"/>
      <c r="R26" s="15"/>
      <c r="S26" s="15"/>
      <c r="T26" s="15"/>
      <c r="U26" s="15"/>
      <c r="V26" s="15"/>
      <c r="W26" s="15"/>
      <c r="X26" s="15"/>
      <c r="Y26" s="15"/>
      <c r="Z26" s="15"/>
      <c r="AA26" s="15"/>
      <c r="AB26" s="15"/>
      <c r="AC26" s="15"/>
      <c r="AD26" s="15"/>
      <c r="AE26" s="15"/>
      <c r="AF26" s="15"/>
    </row>
    <row r="27" ht="15.75" customHeight="1">
      <c r="A27" s="28" t="s">
        <v>5</v>
      </c>
      <c r="E27" s="65" t="s">
        <v>86</v>
      </c>
      <c r="F27" s="65" t="s">
        <v>338</v>
      </c>
      <c r="G27" s="435" t="s">
        <v>3506</v>
      </c>
      <c r="H27" s="35" t="s">
        <v>338</v>
      </c>
      <c r="L27" s="20"/>
      <c r="M27" s="15"/>
      <c r="N27" s="15"/>
      <c r="O27" s="15"/>
      <c r="P27" s="15"/>
      <c r="Q27" s="15"/>
      <c r="R27" s="15"/>
      <c r="S27" s="15"/>
      <c r="T27" s="15"/>
      <c r="U27" s="15"/>
      <c r="V27" s="15"/>
      <c r="W27" s="15"/>
      <c r="X27" s="15"/>
      <c r="Y27" s="15"/>
      <c r="Z27" s="15"/>
      <c r="AA27" s="15"/>
      <c r="AB27" s="15"/>
      <c r="AC27" s="15"/>
      <c r="AD27" s="15"/>
      <c r="AE27" s="15"/>
      <c r="AF27" s="15"/>
    </row>
    <row r="28" ht="15.75" customHeight="1">
      <c r="A28" s="28" t="s">
        <v>5</v>
      </c>
      <c r="E28" s="65" t="s">
        <v>88</v>
      </c>
      <c r="F28" s="65" t="s">
        <v>95</v>
      </c>
      <c r="G28" s="435" t="s">
        <v>3508</v>
      </c>
      <c r="H28" s="35" t="s">
        <v>95</v>
      </c>
      <c r="L28" s="20"/>
      <c r="M28" s="15"/>
      <c r="N28" s="15"/>
      <c r="O28" s="15"/>
      <c r="P28" s="15"/>
      <c r="Q28" s="15"/>
      <c r="R28" s="15"/>
      <c r="S28" s="15"/>
      <c r="T28" s="15"/>
      <c r="U28" s="15"/>
      <c r="V28" s="15"/>
      <c r="W28" s="15"/>
      <c r="X28" s="15"/>
      <c r="Y28" s="15"/>
      <c r="Z28" s="15"/>
      <c r="AA28" s="15"/>
      <c r="AB28" s="15"/>
      <c r="AC28" s="15"/>
      <c r="AD28" s="15"/>
      <c r="AE28" s="15"/>
      <c r="AF28" s="15"/>
    </row>
    <row r="29" ht="15.75" customHeight="1">
      <c r="A29" s="28" t="s">
        <v>5</v>
      </c>
      <c r="E29" s="65" t="s">
        <v>88</v>
      </c>
      <c r="F29" s="65" t="s">
        <v>96</v>
      </c>
      <c r="G29" s="435" t="s">
        <v>3509</v>
      </c>
      <c r="H29" s="35" t="s">
        <v>96</v>
      </c>
      <c r="L29" s="20"/>
      <c r="M29" s="15"/>
      <c r="N29" s="15"/>
      <c r="O29" s="15"/>
      <c r="P29" s="15"/>
      <c r="Q29" s="15"/>
      <c r="R29" s="15"/>
      <c r="S29" s="15"/>
      <c r="T29" s="15"/>
      <c r="U29" s="15"/>
      <c r="V29" s="15"/>
      <c r="W29" s="15"/>
      <c r="X29" s="15"/>
      <c r="Y29" s="15"/>
      <c r="Z29" s="15"/>
      <c r="AA29" s="15"/>
      <c r="AB29" s="15"/>
      <c r="AC29" s="15"/>
      <c r="AD29" s="15"/>
      <c r="AE29" s="15"/>
      <c r="AF29" s="15"/>
    </row>
    <row r="30" ht="15.75" customHeight="1">
      <c r="A30" s="28" t="s">
        <v>5</v>
      </c>
      <c r="E30" s="65" t="s">
        <v>104</v>
      </c>
      <c r="F30" s="65" t="s">
        <v>250</v>
      </c>
      <c r="G30" s="435" t="s">
        <v>3510</v>
      </c>
      <c r="H30" s="35" t="s">
        <v>250</v>
      </c>
      <c r="L30" s="20"/>
      <c r="M30" s="15"/>
      <c r="N30" s="15"/>
      <c r="O30" s="15"/>
      <c r="P30" s="15"/>
      <c r="Q30" s="15"/>
      <c r="R30" s="15"/>
      <c r="S30" s="15"/>
      <c r="T30" s="15"/>
      <c r="U30" s="15"/>
      <c r="V30" s="15"/>
      <c r="W30" s="15"/>
      <c r="X30" s="15"/>
      <c r="Y30" s="15"/>
      <c r="Z30" s="15"/>
      <c r="AA30" s="15"/>
      <c r="AB30" s="15"/>
      <c r="AC30" s="15"/>
      <c r="AD30" s="15"/>
      <c r="AE30" s="15"/>
      <c r="AF30" s="15"/>
    </row>
    <row r="31" ht="15.75" customHeight="1">
      <c r="A31" s="28" t="s">
        <v>5</v>
      </c>
      <c r="B31" s="28" t="s">
        <v>3511</v>
      </c>
      <c r="C31" s="436" t="s">
        <v>3512</v>
      </c>
      <c r="D31" s="28" t="s">
        <v>20</v>
      </c>
      <c r="E31" s="432" t="s">
        <v>86</v>
      </c>
      <c r="F31" s="433" t="s">
        <v>87</v>
      </c>
      <c r="I31" s="35"/>
      <c r="J31" s="35"/>
      <c r="L31" s="20"/>
      <c r="M31" s="15"/>
      <c r="N31" s="15"/>
      <c r="O31" s="15"/>
      <c r="P31" s="15"/>
      <c r="Q31" s="15"/>
      <c r="R31" s="15"/>
      <c r="S31" s="15"/>
      <c r="T31" s="15"/>
      <c r="U31" s="15"/>
      <c r="V31" s="15"/>
      <c r="W31" s="15"/>
      <c r="X31" s="15"/>
      <c r="Y31" s="15"/>
      <c r="Z31" s="15"/>
      <c r="AA31" s="15"/>
      <c r="AB31" s="15"/>
      <c r="AC31" s="15"/>
      <c r="AD31" s="15"/>
      <c r="AE31" s="15"/>
      <c r="AF31" s="15"/>
    </row>
    <row r="32" ht="15.75" customHeight="1">
      <c r="A32" s="28" t="s">
        <v>5</v>
      </c>
      <c r="E32" s="432" t="s">
        <v>88</v>
      </c>
      <c r="F32" s="432" t="s">
        <v>89</v>
      </c>
      <c r="G32" s="434"/>
      <c r="H32" s="35"/>
      <c r="I32" s="35"/>
      <c r="J32" s="35"/>
      <c r="L32" s="20"/>
      <c r="M32" s="15"/>
      <c r="N32" s="15"/>
      <c r="O32" s="15"/>
      <c r="P32" s="15"/>
      <c r="Q32" s="15"/>
      <c r="R32" s="15"/>
      <c r="S32" s="15"/>
      <c r="T32" s="15"/>
      <c r="U32" s="15"/>
      <c r="V32" s="15"/>
      <c r="W32" s="15"/>
      <c r="X32" s="15"/>
      <c r="Y32" s="15"/>
      <c r="Z32" s="15"/>
      <c r="AA32" s="15"/>
      <c r="AB32" s="15"/>
      <c r="AC32" s="15"/>
      <c r="AD32" s="15"/>
      <c r="AE32" s="15"/>
      <c r="AF32" s="15"/>
    </row>
    <row r="33" ht="15.75" customHeight="1">
      <c r="A33" s="28" t="s">
        <v>5</v>
      </c>
      <c r="E33" s="65" t="s">
        <v>21</v>
      </c>
      <c r="F33" s="65" t="s">
        <v>51</v>
      </c>
      <c r="G33" s="435" t="s">
        <v>3513</v>
      </c>
      <c r="H33" s="35" t="s">
        <v>51</v>
      </c>
      <c r="I33" s="35"/>
      <c r="J33" s="35"/>
      <c r="L33" s="20"/>
      <c r="M33" s="15"/>
      <c r="N33" s="15"/>
      <c r="O33" s="15"/>
      <c r="P33" s="15"/>
      <c r="Q33" s="15"/>
      <c r="R33" s="15"/>
      <c r="S33" s="15"/>
      <c r="T33" s="15"/>
      <c r="U33" s="15"/>
      <c r="V33" s="15"/>
      <c r="W33" s="15"/>
      <c r="X33" s="15"/>
      <c r="Y33" s="15"/>
      <c r="Z33" s="15"/>
      <c r="AA33" s="15"/>
      <c r="AB33" s="15"/>
      <c r="AC33" s="15"/>
      <c r="AD33" s="15"/>
      <c r="AE33" s="15"/>
      <c r="AF33" s="15"/>
    </row>
    <row r="34" ht="15.75" customHeight="1">
      <c r="A34" s="28" t="s">
        <v>5</v>
      </c>
      <c r="E34" s="65" t="s">
        <v>86</v>
      </c>
      <c r="F34" s="65" t="s">
        <v>90</v>
      </c>
      <c r="G34" s="435" t="s">
        <v>3514</v>
      </c>
      <c r="H34" s="35" t="s">
        <v>90</v>
      </c>
      <c r="I34" s="36"/>
      <c r="J34" s="36"/>
      <c r="L34" s="20"/>
      <c r="M34" s="15"/>
      <c r="N34" s="15"/>
      <c r="O34" s="15"/>
      <c r="P34" s="15"/>
      <c r="Q34" s="15"/>
      <c r="R34" s="15"/>
      <c r="S34" s="15"/>
      <c r="T34" s="15"/>
      <c r="U34" s="15"/>
      <c r="V34" s="15"/>
      <c r="W34" s="15"/>
      <c r="X34" s="15"/>
      <c r="Y34" s="15"/>
      <c r="Z34" s="15"/>
      <c r="AA34" s="15"/>
      <c r="AB34" s="15"/>
      <c r="AC34" s="15"/>
      <c r="AD34" s="15"/>
      <c r="AE34" s="15"/>
      <c r="AF34" s="15"/>
    </row>
    <row r="35" ht="15.75" customHeight="1">
      <c r="A35" s="28" t="s">
        <v>5</v>
      </c>
      <c r="E35" s="65" t="s">
        <v>86</v>
      </c>
      <c r="F35" s="65" t="s">
        <v>91</v>
      </c>
      <c r="G35" s="435" t="s">
        <v>3515</v>
      </c>
      <c r="H35" s="35" t="s">
        <v>91</v>
      </c>
      <c r="I35" s="36"/>
      <c r="J35" s="36"/>
      <c r="L35" s="20"/>
      <c r="M35" s="15"/>
      <c r="N35" s="15"/>
      <c r="O35" s="15"/>
      <c r="P35" s="15"/>
      <c r="Q35" s="15"/>
      <c r="R35" s="15"/>
      <c r="S35" s="15"/>
      <c r="T35" s="15"/>
      <c r="U35" s="15"/>
      <c r="V35" s="15"/>
      <c r="W35" s="15"/>
      <c r="X35" s="15"/>
      <c r="Y35" s="15"/>
      <c r="Z35" s="15"/>
      <c r="AA35" s="15"/>
      <c r="AB35" s="15"/>
      <c r="AC35" s="15"/>
      <c r="AD35" s="15"/>
      <c r="AE35" s="15"/>
      <c r="AF35" s="15"/>
    </row>
    <row r="36" ht="15.75" customHeight="1">
      <c r="A36" s="28" t="s">
        <v>5</v>
      </c>
      <c r="E36" s="65" t="s">
        <v>86</v>
      </c>
      <c r="F36" s="65" t="s">
        <v>338</v>
      </c>
      <c r="G36" s="435" t="s">
        <v>3516</v>
      </c>
      <c r="H36" s="35" t="s">
        <v>338</v>
      </c>
      <c r="I36" s="36"/>
      <c r="J36" s="36"/>
      <c r="L36" s="20"/>
      <c r="M36" s="15"/>
      <c r="N36" s="15"/>
      <c r="O36" s="15"/>
      <c r="P36" s="15"/>
      <c r="Q36" s="15"/>
      <c r="R36" s="15"/>
      <c r="S36" s="15"/>
      <c r="T36" s="15"/>
      <c r="U36" s="15"/>
      <c r="V36" s="15"/>
      <c r="W36" s="15"/>
      <c r="X36" s="15"/>
      <c r="Y36" s="15"/>
      <c r="Z36" s="15"/>
      <c r="AA36" s="15"/>
      <c r="AB36" s="15"/>
      <c r="AC36" s="15"/>
      <c r="AD36" s="15"/>
      <c r="AE36" s="15"/>
      <c r="AF36" s="15"/>
    </row>
    <row r="37" ht="15.75" customHeight="1">
      <c r="A37" s="28" t="s">
        <v>5</v>
      </c>
      <c r="E37" s="65" t="s">
        <v>86</v>
      </c>
      <c r="F37" s="65" t="s">
        <v>739</v>
      </c>
      <c r="G37" s="435" t="s">
        <v>3517</v>
      </c>
      <c r="H37" s="35" t="s">
        <v>739</v>
      </c>
      <c r="I37" s="36"/>
      <c r="J37" s="36"/>
      <c r="L37" s="20"/>
      <c r="M37" s="15"/>
      <c r="N37" s="15"/>
      <c r="O37" s="15"/>
      <c r="P37" s="15"/>
      <c r="Q37" s="15"/>
      <c r="R37" s="15"/>
      <c r="S37" s="15"/>
      <c r="T37" s="15"/>
      <c r="U37" s="15"/>
      <c r="V37" s="15"/>
      <c r="W37" s="15"/>
      <c r="X37" s="15"/>
      <c r="Y37" s="15"/>
      <c r="Z37" s="15"/>
      <c r="AA37" s="15"/>
      <c r="AB37" s="15"/>
      <c r="AC37" s="15"/>
      <c r="AD37" s="15"/>
      <c r="AE37" s="15"/>
      <c r="AF37" s="15"/>
    </row>
    <row r="38" ht="15.75" customHeight="1">
      <c r="A38" s="28" t="s">
        <v>5</v>
      </c>
      <c r="E38" s="65" t="s">
        <v>86</v>
      </c>
      <c r="F38" s="65" t="s">
        <v>91</v>
      </c>
      <c r="G38" s="435" t="s">
        <v>3515</v>
      </c>
      <c r="H38" s="35" t="s">
        <v>91</v>
      </c>
      <c r="I38" s="36"/>
      <c r="L38" s="20"/>
      <c r="M38" s="15"/>
      <c r="N38" s="15"/>
      <c r="O38" s="15"/>
      <c r="P38" s="15"/>
      <c r="Q38" s="15"/>
      <c r="R38" s="15"/>
      <c r="S38" s="15"/>
      <c r="T38" s="15"/>
      <c r="U38" s="15"/>
      <c r="V38" s="15"/>
      <c r="W38" s="15"/>
      <c r="X38" s="15"/>
      <c r="Y38" s="15"/>
      <c r="Z38" s="15"/>
      <c r="AA38" s="15"/>
      <c r="AB38" s="15"/>
      <c r="AC38" s="15"/>
      <c r="AD38" s="15"/>
      <c r="AE38" s="15"/>
      <c r="AF38" s="15"/>
    </row>
    <row r="39" ht="15.75" customHeight="1">
      <c r="A39" s="28" t="s">
        <v>5</v>
      </c>
      <c r="E39" s="65" t="s">
        <v>86</v>
      </c>
      <c r="F39" s="65" t="s">
        <v>338</v>
      </c>
      <c r="G39" s="435" t="s">
        <v>3516</v>
      </c>
      <c r="H39" s="35" t="s">
        <v>338</v>
      </c>
      <c r="I39" s="36"/>
      <c r="L39" s="20"/>
      <c r="M39" s="15"/>
      <c r="N39" s="15"/>
      <c r="O39" s="15"/>
      <c r="P39" s="15"/>
      <c r="Q39" s="15"/>
      <c r="R39" s="15"/>
      <c r="S39" s="15"/>
      <c r="T39" s="15"/>
      <c r="U39" s="15"/>
      <c r="V39" s="15"/>
      <c r="W39" s="15"/>
      <c r="X39" s="15"/>
      <c r="Y39" s="15"/>
      <c r="Z39" s="15"/>
      <c r="AA39" s="15"/>
      <c r="AB39" s="15"/>
      <c r="AC39" s="15"/>
      <c r="AD39" s="15"/>
      <c r="AE39" s="15"/>
      <c r="AF39" s="15"/>
    </row>
    <row r="40" ht="15.75" customHeight="1">
      <c r="A40" s="28" t="s">
        <v>5</v>
      </c>
      <c r="E40" s="65" t="s">
        <v>88</v>
      </c>
      <c r="F40" s="65" t="s">
        <v>95</v>
      </c>
      <c r="G40" s="435" t="s">
        <v>3518</v>
      </c>
      <c r="H40" s="35" t="s">
        <v>95</v>
      </c>
      <c r="I40" s="36"/>
      <c r="L40" s="20"/>
      <c r="M40" s="15"/>
      <c r="N40" s="15"/>
      <c r="O40" s="15"/>
      <c r="P40" s="15"/>
      <c r="Q40" s="15"/>
      <c r="R40" s="15"/>
      <c r="S40" s="15"/>
      <c r="T40" s="15"/>
      <c r="U40" s="15"/>
      <c r="V40" s="15"/>
      <c r="W40" s="15"/>
      <c r="X40" s="15"/>
      <c r="Y40" s="15"/>
      <c r="Z40" s="15"/>
      <c r="AA40" s="15"/>
      <c r="AB40" s="15"/>
      <c r="AC40" s="15"/>
      <c r="AD40" s="15"/>
      <c r="AE40" s="15"/>
      <c r="AF40" s="15"/>
    </row>
    <row r="41" ht="15.75" customHeight="1">
      <c r="A41" s="28" t="s">
        <v>5</v>
      </c>
      <c r="E41" s="65" t="s">
        <v>88</v>
      </c>
      <c r="F41" s="65" t="s">
        <v>96</v>
      </c>
      <c r="G41" s="435" t="s">
        <v>3519</v>
      </c>
      <c r="H41" s="35" t="s">
        <v>96</v>
      </c>
      <c r="I41" s="36"/>
      <c r="L41" s="20"/>
      <c r="M41" s="15"/>
      <c r="N41" s="15"/>
      <c r="O41" s="15"/>
      <c r="P41" s="15"/>
      <c r="Q41" s="15"/>
      <c r="R41" s="15"/>
      <c r="S41" s="15"/>
      <c r="T41" s="15"/>
      <c r="U41" s="15"/>
      <c r="V41" s="15"/>
      <c r="W41" s="15"/>
      <c r="X41" s="15"/>
      <c r="Y41" s="15"/>
      <c r="Z41" s="15"/>
      <c r="AA41" s="15"/>
      <c r="AB41" s="15"/>
      <c r="AC41" s="15"/>
      <c r="AD41" s="15"/>
      <c r="AE41" s="15"/>
      <c r="AF41" s="15"/>
    </row>
    <row r="42" ht="15.75" customHeight="1">
      <c r="A42" s="28" t="s">
        <v>5</v>
      </c>
      <c r="E42" s="65" t="s">
        <v>104</v>
      </c>
      <c r="F42" s="65" t="s">
        <v>250</v>
      </c>
      <c r="G42" s="435" t="s">
        <v>3520</v>
      </c>
      <c r="H42" s="35" t="s">
        <v>250</v>
      </c>
      <c r="I42" s="36"/>
      <c r="L42" s="20"/>
      <c r="M42" s="15"/>
      <c r="N42" s="15"/>
      <c r="O42" s="15"/>
      <c r="P42" s="15"/>
      <c r="Q42" s="15"/>
      <c r="R42" s="15"/>
      <c r="S42" s="15"/>
      <c r="T42" s="15"/>
      <c r="U42" s="15"/>
      <c r="V42" s="15"/>
      <c r="W42" s="15"/>
      <c r="X42" s="15"/>
      <c r="Y42" s="15"/>
      <c r="Z42" s="15"/>
      <c r="AA42" s="15"/>
      <c r="AB42" s="15"/>
      <c r="AC42" s="15"/>
      <c r="AD42" s="15"/>
      <c r="AE42" s="15"/>
      <c r="AF42" s="15"/>
    </row>
    <row r="43" ht="15.75" customHeight="1">
      <c r="A43" s="28" t="s">
        <v>5</v>
      </c>
      <c r="B43" s="28" t="s">
        <v>3521</v>
      </c>
      <c r="C43" s="87" t="s">
        <v>3522</v>
      </c>
      <c r="D43" s="28" t="s">
        <v>20</v>
      </c>
      <c r="E43" s="432" t="s">
        <v>86</v>
      </c>
      <c r="F43" s="433" t="s">
        <v>87</v>
      </c>
      <c r="I43" s="36"/>
      <c r="J43" s="36"/>
      <c r="K43" s="36"/>
      <c r="L43" s="20"/>
      <c r="M43" s="15"/>
      <c r="N43" s="15"/>
      <c r="O43" s="15"/>
      <c r="P43" s="15"/>
      <c r="Q43" s="15"/>
      <c r="R43" s="15"/>
      <c r="S43" s="15"/>
      <c r="T43" s="15"/>
      <c r="U43" s="15"/>
      <c r="V43" s="15"/>
      <c r="W43" s="15"/>
      <c r="X43" s="15"/>
      <c r="Y43" s="15"/>
      <c r="Z43" s="15"/>
      <c r="AA43" s="15"/>
      <c r="AB43" s="15"/>
      <c r="AC43" s="15"/>
      <c r="AD43" s="15"/>
      <c r="AE43" s="15"/>
      <c r="AF43" s="15"/>
    </row>
    <row r="44" ht="15.75" customHeight="1">
      <c r="A44" s="28" t="s">
        <v>5</v>
      </c>
      <c r="E44" s="432" t="s">
        <v>88</v>
      </c>
      <c r="F44" s="432" t="s">
        <v>89</v>
      </c>
      <c r="G44" s="434"/>
      <c r="H44" s="35"/>
      <c r="I44" s="36"/>
      <c r="J44" s="36"/>
      <c r="K44" s="36"/>
      <c r="L44" s="20"/>
      <c r="M44" s="15"/>
      <c r="N44" s="15"/>
      <c r="O44" s="15"/>
      <c r="P44" s="15"/>
      <c r="Q44" s="15"/>
      <c r="R44" s="15"/>
      <c r="S44" s="15"/>
      <c r="T44" s="15"/>
      <c r="U44" s="15"/>
      <c r="V44" s="15"/>
      <c r="W44" s="15"/>
      <c r="X44" s="15"/>
      <c r="Y44" s="15"/>
      <c r="Z44" s="15"/>
      <c r="AA44" s="15"/>
      <c r="AB44" s="15"/>
      <c r="AC44" s="15"/>
      <c r="AD44" s="15"/>
      <c r="AE44" s="15"/>
      <c r="AF44" s="15"/>
    </row>
    <row r="45" ht="15.75" customHeight="1">
      <c r="A45" s="28" t="s">
        <v>5</v>
      </c>
      <c r="E45" s="65" t="s">
        <v>21</v>
      </c>
      <c r="F45" s="65" t="s">
        <v>51</v>
      </c>
      <c r="G45" s="435" t="s">
        <v>3523</v>
      </c>
      <c r="H45" s="35" t="s">
        <v>51</v>
      </c>
      <c r="I45" s="36"/>
      <c r="J45" s="36"/>
      <c r="K45" s="36"/>
      <c r="L45" s="20"/>
      <c r="M45" s="15"/>
      <c r="N45" s="15"/>
      <c r="O45" s="15"/>
      <c r="P45" s="15"/>
      <c r="Q45" s="15"/>
      <c r="R45" s="15"/>
      <c r="S45" s="15"/>
      <c r="T45" s="15"/>
      <c r="U45" s="15"/>
      <c r="V45" s="15"/>
      <c r="W45" s="15"/>
      <c r="X45" s="15"/>
      <c r="Y45" s="15"/>
      <c r="Z45" s="15"/>
      <c r="AA45" s="15"/>
      <c r="AB45" s="15"/>
      <c r="AC45" s="15"/>
      <c r="AD45" s="15"/>
      <c r="AE45" s="15"/>
      <c r="AF45" s="15"/>
    </row>
    <row r="46" ht="15.75" customHeight="1">
      <c r="A46" s="28" t="s">
        <v>5</v>
      </c>
      <c r="E46" s="65" t="s">
        <v>86</v>
      </c>
      <c r="F46" s="65" t="s">
        <v>90</v>
      </c>
      <c r="G46" s="435" t="s">
        <v>3524</v>
      </c>
      <c r="H46" s="35" t="s">
        <v>90</v>
      </c>
      <c r="I46" s="36"/>
      <c r="J46" s="36"/>
      <c r="K46" s="36"/>
      <c r="L46" s="20"/>
      <c r="M46" s="15"/>
      <c r="N46" s="15"/>
      <c r="O46" s="15"/>
      <c r="P46" s="15"/>
      <c r="Q46" s="15"/>
      <c r="R46" s="15"/>
      <c r="S46" s="15"/>
      <c r="T46" s="15"/>
      <c r="U46" s="15"/>
      <c r="V46" s="15"/>
      <c r="W46" s="15"/>
      <c r="X46" s="15"/>
      <c r="Y46" s="15"/>
      <c r="Z46" s="15"/>
      <c r="AA46" s="15"/>
      <c r="AB46" s="15"/>
      <c r="AC46" s="15"/>
      <c r="AD46" s="15"/>
      <c r="AE46" s="15"/>
      <c r="AF46" s="15"/>
    </row>
    <row r="47" ht="15.75" customHeight="1">
      <c r="A47" s="28" t="s">
        <v>5</v>
      </c>
      <c r="E47" s="65" t="s">
        <v>86</v>
      </c>
      <c r="F47" s="65" t="s">
        <v>91</v>
      </c>
      <c r="G47" s="435" t="s">
        <v>3525</v>
      </c>
      <c r="H47" s="35" t="s">
        <v>91</v>
      </c>
      <c r="I47" s="36"/>
      <c r="J47" s="36"/>
      <c r="K47" s="36"/>
      <c r="L47" s="20"/>
      <c r="M47" s="15"/>
      <c r="N47" s="15"/>
      <c r="O47" s="15"/>
      <c r="P47" s="15"/>
      <c r="Q47" s="15"/>
      <c r="R47" s="15"/>
      <c r="S47" s="15"/>
      <c r="T47" s="15"/>
      <c r="U47" s="15"/>
      <c r="V47" s="15"/>
      <c r="W47" s="15"/>
      <c r="X47" s="15"/>
      <c r="Y47" s="15"/>
      <c r="Z47" s="15"/>
      <c r="AA47" s="15"/>
      <c r="AB47" s="15"/>
      <c r="AC47" s="15"/>
      <c r="AD47" s="15"/>
      <c r="AE47" s="15"/>
      <c r="AF47" s="15"/>
    </row>
    <row r="48" ht="15.75" customHeight="1">
      <c r="A48" s="28" t="s">
        <v>5</v>
      </c>
      <c r="E48" s="65" t="s">
        <v>86</v>
      </c>
      <c r="F48" s="65" t="s">
        <v>338</v>
      </c>
      <c r="G48" s="435" t="s">
        <v>3526</v>
      </c>
      <c r="H48" s="35" t="s">
        <v>338</v>
      </c>
      <c r="I48" s="36"/>
      <c r="J48" s="36"/>
      <c r="K48" s="36"/>
      <c r="L48" s="20"/>
      <c r="M48" s="15"/>
      <c r="N48" s="15"/>
      <c r="O48" s="15"/>
      <c r="P48" s="15"/>
      <c r="Q48" s="15"/>
      <c r="R48" s="15"/>
      <c r="S48" s="15"/>
      <c r="T48" s="15"/>
      <c r="U48" s="15"/>
      <c r="V48" s="15"/>
      <c r="W48" s="15"/>
      <c r="X48" s="15"/>
      <c r="Y48" s="15"/>
      <c r="Z48" s="15"/>
      <c r="AA48" s="15"/>
      <c r="AB48" s="15"/>
      <c r="AC48" s="15"/>
      <c r="AD48" s="15"/>
      <c r="AE48" s="15"/>
      <c r="AF48" s="15"/>
    </row>
    <row r="49" ht="15.75" customHeight="1">
      <c r="A49" s="28" t="s">
        <v>5</v>
      </c>
      <c r="E49" s="65" t="s">
        <v>86</v>
      </c>
      <c r="F49" s="65" t="s">
        <v>739</v>
      </c>
      <c r="G49" s="435" t="s">
        <v>3527</v>
      </c>
      <c r="H49" s="35" t="s">
        <v>739</v>
      </c>
      <c r="I49" s="36"/>
      <c r="J49" s="36"/>
      <c r="K49" s="36"/>
      <c r="L49" s="20"/>
      <c r="M49" s="15"/>
      <c r="N49" s="15"/>
      <c r="O49" s="15"/>
      <c r="P49" s="15"/>
      <c r="Q49" s="15"/>
      <c r="R49" s="15"/>
      <c r="S49" s="15"/>
      <c r="T49" s="15"/>
      <c r="U49" s="15"/>
      <c r="V49" s="15"/>
      <c r="W49" s="15"/>
      <c r="X49" s="15"/>
      <c r="Y49" s="15"/>
      <c r="Z49" s="15"/>
      <c r="AA49" s="15"/>
      <c r="AB49" s="15"/>
      <c r="AC49" s="15"/>
      <c r="AD49" s="15"/>
      <c r="AE49" s="15"/>
      <c r="AF49" s="15"/>
    </row>
    <row r="50" ht="15.75" customHeight="1">
      <c r="A50" s="28" t="s">
        <v>5</v>
      </c>
      <c r="E50" s="65" t="s">
        <v>86</v>
      </c>
      <c r="F50" s="65" t="s">
        <v>91</v>
      </c>
      <c r="G50" s="435" t="s">
        <v>3525</v>
      </c>
      <c r="H50" s="35" t="s">
        <v>91</v>
      </c>
      <c r="L50" s="20"/>
      <c r="M50" s="15"/>
      <c r="N50" s="15"/>
      <c r="O50" s="15"/>
      <c r="P50" s="15"/>
      <c r="Q50" s="15"/>
      <c r="R50" s="15"/>
      <c r="S50" s="15"/>
      <c r="T50" s="15"/>
      <c r="U50" s="15"/>
      <c r="V50" s="15"/>
      <c r="W50" s="15"/>
      <c r="X50" s="15"/>
      <c r="Y50" s="15"/>
      <c r="Z50" s="15"/>
      <c r="AA50" s="15"/>
      <c r="AB50" s="15"/>
      <c r="AC50" s="15"/>
      <c r="AD50" s="15"/>
      <c r="AE50" s="15"/>
      <c r="AF50" s="15"/>
    </row>
    <row r="51" ht="15.75" customHeight="1">
      <c r="A51" s="28" t="s">
        <v>5</v>
      </c>
      <c r="E51" s="65" t="s">
        <v>86</v>
      </c>
      <c r="F51" s="65" t="s">
        <v>338</v>
      </c>
      <c r="G51" s="435" t="s">
        <v>3526</v>
      </c>
      <c r="H51" s="35" t="s">
        <v>338</v>
      </c>
      <c r="L51" s="20"/>
      <c r="M51" s="15"/>
      <c r="N51" s="15"/>
      <c r="O51" s="15"/>
      <c r="P51" s="15"/>
      <c r="Q51" s="15"/>
      <c r="R51" s="15"/>
      <c r="S51" s="15"/>
      <c r="T51" s="15"/>
      <c r="U51" s="15"/>
      <c r="V51" s="15"/>
      <c r="W51" s="15"/>
      <c r="X51" s="15"/>
      <c r="Y51" s="15"/>
      <c r="Z51" s="15"/>
      <c r="AA51" s="15"/>
      <c r="AB51" s="15"/>
      <c r="AC51" s="15"/>
      <c r="AD51" s="15"/>
      <c r="AE51" s="15"/>
      <c r="AF51" s="15"/>
    </row>
    <row r="52" ht="15.75" customHeight="1">
      <c r="A52" s="28" t="s">
        <v>5</v>
      </c>
      <c r="E52" s="65" t="s">
        <v>88</v>
      </c>
      <c r="F52" s="65" t="s">
        <v>95</v>
      </c>
      <c r="G52" s="435" t="s">
        <v>3528</v>
      </c>
      <c r="H52" s="35" t="s">
        <v>95</v>
      </c>
      <c r="L52" s="20"/>
      <c r="M52" s="15"/>
      <c r="N52" s="15"/>
      <c r="O52" s="15"/>
      <c r="P52" s="15"/>
      <c r="Q52" s="15"/>
      <c r="R52" s="15"/>
      <c r="S52" s="15"/>
      <c r="T52" s="15"/>
      <c r="U52" s="15"/>
      <c r="V52" s="15"/>
      <c r="W52" s="15"/>
      <c r="X52" s="15"/>
      <c r="Y52" s="15"/>
      <c r="Z52" s="15"/>
      <c r="AA52" s="15"/>
      <c r="AB52" s="15"/>
      <c r="AC52" s="15"/>
      <c r="AD52" s="15"/>
      <c r="AE52" s="15"/>
      <c r="AF52" s="15"/>
    </row>
    <row r="53" ht="15.75" customHeight="1">
      <c r="A53" s="28" t="s">
        <v>5</v>
      </c>
      <c r="E53" s="65" t="s">
        <v>88</v>
      </c>
      <c r="F53" s="65" t="s">
        <v>96</v>
      </c>
      <c r="G53" s="435" t="s">
        <v>3529</v>
      </c>
      <c r="H53" s="35" t="s">
        <v>96</v>
      </c>
      <c r="L53" s="20"/>
      <c r="M53" s="15"/>
      <c r="N53" s="15"/>
      <c r="O53" s="15"/>
      <c r="P53" s="15"/>
      <c r="Q53" s="15"/>
      <c r="R53" s="15"/>
      <c r="S53" s="15"/>
      <c r="T53" s="15"/>
      <c r="U53" s="15"/>
      <c r="V53" s="15"/>
      <c r="W53" s="15"/>
      <c r="X53" s="15"/>
      <c r="Y53" s="15"/>
      <c r="Z53" s="15"/>
      <c r="AA53" s="15"/>
      <c r="AB53" s="15"/>
      <c r="AC53" s="15"/>
      <c r="AD53" s="15"/>
      <c r="AE53" s="15"/>
      <c r="AF53" s="15"/>
    </row>
    <row r="54" ht="15.75" customHeight="1">
      <c r="A54" s="28" t="s">
        <v>5</v>
      </c>
      <c r="E54" s="65" t="s">
        <v>104</v>
      </c>
      <c r="F54" s="65" t="s">
        <v>250</v>
      </c>
      <c r="G54" s="435" t="s">
        <v>3530</v>
      </c>
      <c r="H54" s="35" t="s">
        <v>250</v>
      </c>
      <c r="L54" s="20"/>
      <c r="M54" s="15"/>
      <c r="N54" s="15"/>
      <c r="O54" s="15"/>
      <c r="P54" s="15"/>
      <c r="Q54" s="15"/>
      <c r="R54" s="15"/>
      <c r="S54" s="15"/>
      <c r="T54" s="15"/>
      <c r="U54" s="15"/>
      <c r="V54" s="15"/>
      <c r="W54" s="15"/>
      <c r="X54" s="15"/>
      <c r="Y54" s="15"/>
      <c r="Z54" s="15"/>
      <c r="AA54" s="15"/>
      <c r="AB54" s="15"/>
      <c r="AC54" s="15"/>
      <c r="AD54" s="15"/>
      <c r="AE54" s="15"/>
      <c r="AF54" s="15"/>
    </row>
    <row r="55" ht="15.75" customHeight="1">
      <c r="A55" s="28" t="s">
        <v>5</v>
      </c>
      <c r="B55" s="28" t="s">
        <v>3531</v>
      </c>
      <c r="C55" s="87" t="s">
        <v>3532</v>
      </c>
      <c r="D55" s="28" t="s">
        <v>20</v>
      </c>
      <c r="E55" s="432" t="s">
        <v>86</v>
      </c>
      <c r="F55" s="433" t="s">
        <v>87</v>
      </c>
      <c r="I55" s="36"/>
      <c r="J55" s="36"/>
      <c r="L55" s="20"/>
      <c r="M55" s="15"/>
      <c r="N55" s="15"/>
      <c r="O55" s="15"/>
      <c r="P55" s="15"/>
      <c r="Q55" s="15"/>
      <c r="R55" s="15"/>
      <c r="S55" s="15"/>
      <c r="T55" s="15"/>
      <c r="U55" s="15"/>
      <c r="V55" s="15"/>
      <c r="W55" s="15"/>
      <c r="X55" s="15"/>
      <c r="Y55" s="15"/>
      <c r="Z55" s="15"/>
      <c r="AA55" s="15"/>
      <c r="AB55" s="15"/>
      <c r="AC55" s="15"/>
      <c r="AD55" s="15"/>
      <c r="AE55" s="15"/>
      <c r="AF55" s="15"/>
    </row>
    <row r="56" ht="15.75" customHeight="1">
      <c r="A56" s="28" t="s">
        <v>5</v>
      </c>
      <c r="E56" s="432" t="s">
        <v>88</v>
      </c>
      <c r="F56" s="432" t="s">
        <v>89</v>
      </c>
      <c r="G56" s="437"/>
      <c r="H56" s="35"/>
      <c r="I56" s="36"/>
      <c r="J56" s="36"/>
      <c r="L56" s="20"/>
      <c r="M56" s="15"/>
      <c r="N56" s="15"/>
      <c r="O56" s="15"/>
      <c r="P56" s="15"/>
      <c r="Q56" s="15"/>
      <c r="R56" s="15"/>
      <c r="S56" s="15"/>
      <c r="T56" s="15"/>
      <c r="U56" s="15"/>
      <c r="V56" s="15"/>
      <c r="W56" s="15"/>
      <c r="X56" s="15"/>
      <c r="Y56" s="15"/>
      <c r="Z56" s="15"/>
      <c r="AA56" s="15"/>
      <c r="AB56" s="15"/>
      <c r="AC56" s="15"/>
      <c r="AD56" s="15"/>
      <c r="AE56" s="15"/>
      <c r="AF56" s="15"/>
    </row>
    <row r="57" ht="15.75" customHeight="1">
      <c r="A57" s="28" t="s">
        <v>5</v>
      </c>
      <c r="E57" s="65" t="s">
        <v>21</v>
      </c>
      <c r="F57" s="65" t="s">
        <v>51</v>
      </c>
      <c r="G57" s="438" t="s">
        <v>3533</v>
      </c>
      <c r="H57" s="35" t="s">
        <v>51</v>
      </c>
      <c r="I57" s="36"/>
      <c r="J57" s="36"/>
      <c r="L57" s="20"/>
      <c r="M57" s="15"/>
      <c r="N57" s="15"/>
      <c r="O57" s="15"/>
      <c r="P57" s="15"/>
      <c r="Q57" s="15"/>
      <c r="R57" s="15"/>
      <c r="S57" s="15"/>
      <c r="T57" s="15"/>
      <c r="U57" s="15"/>
      <c r="V57" s="15"/>
      <c r="W57" s="15"/>
      <c r="X57" s="15"/>
      <c r="Y57" s="15"/>
      <c r="Z57" s="15"/>
      <c r="AA57" s="15"/>
      <c r="AB57" s="15"/>
      <c r="AC57" s="15"/>
      <c r="AD57" s="15"/>
      <c r="AE57" s="15"/>
      <c r="AF57" s="15"/>
    </row>
    <row r="58" ht="15.75" customHeight="1">
      <c r="A58" s="28" t="s">
        <v>5</v>
      </c>
      <c r="E58" s="65" t="s">
        <v>86</v>
      </c>
      <c r="F58" s="65" t="s">
        <v>90</v>
      </c>
      <c r="G58" s="438" t="s">
        <v>3534</v>
      </c>
      <c r="H58" s="35" t="s">
        <v>90</v>
      </c>
      <c r="I58" s="36"/>
      <c r="J58" s="36"/>
      <c r="L58" s="20"/>
      <c r="M58" s="15"/>
      <c r="N58" s="15"/>
      <c r="O58" s="15"/>
      <c r="P58" s="15"/>
      <c r="Q58" s="15"/>
      <c r="R58" s="15"/>
      <c r="S58" s="15"/>
      <c r="T58" s="15"/>
      <c r="U58" s="15"/>
      <c r="V58" s="15"/>
      <c r="W58" s="15"/>
      <c r="X58" s="15"/>
      <c r="Y58" s="15"/>
      <c r="Z58" s="15"/>
      <c r="AA58" s="15"/>
      <c r="AB58" s="15"/>
      <c r="AC58" s="15"/>
      <c r="AD58" s="15"/>
      <c r="AE58" s="15"/>
      <c r="AF58" s="15"/>
    </row>
    <row r="59" ht="15.75" customHeight="1">
      <c r="A59" s="28" t="s">
        <v>5</v>
      </c>
      <c r="E59" s="65" t="s">
        <v>86</v>
      </c>
      <c r="F59" s="65" t="s">
        <v>91</v>
      </c>
      <c r="G59" s="438" t="s">
        <v>3535</v>
      </c>
      <c r="H59" s="35" t="s">
        <v>91</v>
      </c>
      <c r="I59" s="36"/>
      <c r="J59" s="36"/>
      <c r="L59" s="20"/>
      <c r="M59" s="15"/>
      <c r="N59" s="15"/>
      <c r="O59" s="15"/>
      <c r="P59" s="15"/>
      <c r="Q59" s="15"/>
      <c r="R59" s="15"/>
      <c r="S59" s="15"/>
      <c r="T59" s="15"/>
      <c r="U59" s="15"/>
      <c r="V59" s="15"/>
      <c r="W59" s="15"/>
      <c r="X59" s="15"/>
      <c r="Y59" s="15"/>
      <c r="Z59" s="15"/>
      <c r="AA59" s="15"/>
      <c r="AB59" s="15"/>
      <c r="AC59" s="15"/>
      <c r="AD59" s="15"/>
      <c r="AE59" s="15"/>
      <c r="AF59" s="15"/>
    </row>
    <row r="60" ht="15.75" customHeight="1">
      <c r="A60" s="28" t="s">
        <v>5</v>
      </c>
      <c r="E60" s="65" t="s">
        <v>86</v>
      </c>
      <c r="F60" s="65" t="s">
        <v>338</v>
      </c>
      <c r="G60" s="438" t="s">
        <v>3536</v>
      </c>
      <c r="H60" s="35" t="s">
        <v>338</v>
      </c>
      <c r="I60" s="36"/>
      <c r="J60" s="36"/>
      <c r="L60" s="20"/>
      <c r="M60" s="15"/>
      <c r="N60" s="15"/>
      <c r="O60" s="15"/>
      <c r="P60" s="15"/>
      <c r="Q60" s="15"/>
      <c r="R60" s="15"/>
      <c r="S60" s="15"/>
      <c r="T60" s="15"/>
      <c r="U60" s="15"/>
      <c r="V60" s="15"/>
      <c r="W60" s="15"/>
      <c r="X60" s="15"/>
      <c r="Y60" s="15"/>
      <c r="Z60" s="15"/>
      <c r="AA60" s="15"/>
      <c r="AB60" s="15"/>
      <c r="AC60" s="15"/>
      <c r="AD60" s="15"/>
      <c r="AE60" s="15"/>
      <c r="AF60" s="15"/>
    </row>
    <row r="61" ht="15.75" customHeight="1">
      <c r="A61" s="28" t="s">
        <v>5</v>
      </c>
      <c r="E61" s="65" t="s">
        <v>86</v>
      </c>
      <c r="F61" s="65" t="s">
        <v>739</v>
      </c>
      <c r="G61" s="438" t="s">
        <v>3537</v>
      </c>
      <c r="H61" s="35" t="s">
        <v>739</v>
      </c>
      <c r="I61" s="36"/>
      <c r="J61" s="36"/>
      <c r="L61" s="20"/>
      <c r="M61" s="15"/>
      <c r="N61" s="15"/>
      <c r="O61" s="15"/>
      <c r="P61" s="15"/>
      <c r="Q61" s="15"/>
      <c r="R61" s="15"/>
      <c r="S61" s="15"/>
      <c r="T61" s="15"/>
      <c r="U61" s="15"/>
      <c r="V61" s="15"/>
      <c r="W61" s="15"/>
      <c r="X61" s="15"/>
      <c r="Y61" s="15"/>
      <c r="Z61" s="15"/>
      <c r="AA61" s="15"/>
      <c r="AB61" s="15"/>
      <c r="AC61" s="15"/>
      <c r="AD61" s="15"/>
      <c r="AE61" s="15"/>
      <c r="AF61" s="15"/>
    </row>
    <row r="62" ht="15.75" customHeight="1">
      <c r="A62" s="28" t="s">
        <v>5</v>
      </c>
      <c r="E62" s="65" t="s">
        <v>86</v>
      </c>
      <c r="F62" s="65" t="s">
        <v>743</v>
      </c>
      <c r="G62" s="435" t="s">
        <v>3538</v>
      </c>
      <c r="H62" s="35" t="s">
        <v>743</v>
      </c>
      <c r="I62" s="36"/>
      <c r="L62" s="20"/>
      <c r="M62" s="15"/>
      <c r="N62" s="15"/>
      <c r="O62" s="15"/>
      <c r="P62" s="15"/>
      <c r="Q62" s="15"/>
      <c r="R62" s="15"/>
      <c r="S62" s="15"/>
      <c r="T62" s="15"/>
      <c r="U62" s="15"/>
      <c r="V62" s="15"/>
      <c r="W62" s="15"/>
      <c r="X62" s="15"/>
      <c r="Y62" s="15"/>
      <c r="Z62" s="15"/>
      <c r="AA62" s="15"/>
      <c r="AB62" s="15"/>
      <c r="AC62" s="15"/>
      <c r="AD62" s="15"/>
      <c r="AE62" s="15"/>
      <c r="AF62" s="15"/>
    </row>
    <row r="63" ht="15.75" customHeight="1">
      <c r="A63" s="28" t="s">
        <v>5</v>
      </c>
      <c r="E63" s="65" t="s">
        <v>88</v>
      </c>
      <c r="F63" s="65" t="s">
        <v>95</v>
      </c>
      <c r="G63" s="435" t="s">
        <v>3539</v>
      </c>
      <c r="H63" s="35" t="s">
        <v>95</v>
      </c>
      <c r="I63" s="36"/>
      <c r="L63" s="20"/>
      <c r="M63" s="15"/>
      <c r="N63" s="15"/>
      <c r="O63" s="15"/>
      <c r="P63" s="15"/>
      <c r="Q63" s="15"/>
      <c r="R63" s="15"/>
      <c r="S63" s="15"/>
      <c r="T63" s="15"/>
      <c r="U63" s="15"/>
      <c r="V63" s="15"/>
      <c r="W63" s="15"/>
      <c r="X63" s="15"/>
      <c r="Y63" s="15"/>
      <c r="Z63" s="15"/>
      <c r="AA63" s="15"/>
      <c r="AB63" s="15"/>
      <c r="AC63" s="15"/>
      <c r="AD63" s="15"/>
      <c r="AE63" s="15"/>
      <c r="AF63" s="15"/>
    </row>
    <row r="64" ht="15.75" customHeight="1">
      <c r="A64" s="28" t="s">
        <v>5</v>
      </c>
      <c r="E64" s="65" t="s">
        <v>88</v>
      </c>
      <c r="F64" s="65" t="s">
        <v>96</v>
      </c>
      <c r="G64" s="435" t="s">
        <v>3540</v>
      </c>
      <c r="H64" s="35" t="s">
        <v>96</v>
      </c>
      <c r="I64" s="36"/>
      <c r="L64" s="20"/>
      <c r="M64" s="15"/>
      <c r="N64" s="15"/>
      <c r="O64" s="15"/>
      <c r="P64" s="15"/>
      <c r="Q64" s="15"/>
      <c r="R64" s="15"/>
      <c r="S64" s="15"/>
      <c r="T64" s="15"/>
      <c r="U64" s="15"/>
      <c r="V64" s="15"/>
      <c r="W64" s="15"/>
      <c r="X64" s="15"/>
      <c r="Y64" s="15"/>
      <c r="Z64" s="15"/>
      <c r="AA64" s="15"/>
      <c r="AB64" s="15"/>
      <c r="AC64" s="15"/>
      <c r="AD64" s="15"/>
      <c r="AE64" s="15"/>
      <c r="AF64" s="15"/>
    </row>
    <row r="65" ht="15.75" customHeight="1">
      <c r="A65" s="28" t="s">
        <v>5</v>
      </c>
      <c r="E65" s="65" t="s">
        <v>104</v>
      </c>
      <c r="F65" s="65" t="s">
        <v>250</v>
      </c>
      <c r="G65" s="435" t="s">
        <v>3541</v>
      </c>
      <c r="H65" s="35" t="s">
        <v>250</v>
      </c>
      <c r="I65" s="36"/>
      <c r="L65" s="20"/>
      <c r="M65" s="15"/>
      <c r="N65" s="15"/>
      <c r="O65" s="15"/>
      <c r="P65" s="15"/>
      <c r="Q65" s="15"/>
      <c r="R65" s="15"/>
      <c r="S65" s="15"/>
      <c r="T65" s="15"/>
      <c r="U65" s="15"/>
      <c r="V65" s="15"/>
      <c r="W65" s="15"/>
      <c r="X65" s="15"/>
      <c r="Y65" s="15"/>
      <c r="Z65" s="15"/>
      <c r="AA65" s="15"/>
      <c r="AB65" s="15"/>
      <c r="AC65" s="15"/>
      <c r="AD65" s="15"/>
      <c r="AE65" s="15"/>
      <c r="AF65" s="15"/>
    </row>
    <row r="66" ht="15.75" customHeight="1">
      <c r="A66" s="28" t="s">
        <v>5</v>
      </c>
      <c r="E66" s="65" t="s">
        <v>86</v>
      </c>
      <c r="F66" s="65" t="s">
        <v>353</v>
      </c>
      <c r="G66" s="435" t="s">
        <v>3542</v>
      </c>
      <c r="H66" s="35" t="s">
        <v>353</v>
      </c>
      <c r="I66" s="36"/>
      <c r="L66" s="20"/>
      <c r="M66" s="15"/>
      <c r="N66" s="15"/>
      <c r="O66" s="15"/>
      <c r="P66" s="15"/>
      <c r="Q66" s="15"/>
      <c r="R66" s="15"/>
      <c r="S66" s="15"/>
      <c r="T66" s="15"/>
      <c r="U66" s="15"/>
      <c r="V66" s="15"/>
      <c r="W66" s="15"/>
      <c r="X66" s="15"/>
      <c r="Y66" s="15"/>
      <c r="Z66" s="15"/>
      <c r="AA66" s="15"/>
      <c r="AB66" s="15"/>
      <c r="AC66" s="15"/>
      <c r="AD66" s="15"/>
      <c r="AE66" s="15"/>
      <c r="AF66" s="15"/>
    </row>
    <row r="67" ht="15.75" customHeight="1">
      <c r="A67" s="28" t="s">
        <v>5</v>
      </c>
      <c r="B67" s="28" t="s">
        <v>3543</v>
      </c>
      <c r="C67" s="87" t="s">
        <v>3544</v>
      </c>
      <c r="D67" s="28" t="s">
        <v>20</v>
      </c>
      <c r="E67" s="432" t="s">
        <v>86</v>
      </c>
      <c r="F67" s="433" t="s">
        <v>87</v>
      </c>
      <c r="I67" s="36"/>
      <c r="L67" s="20"/>
      <c r="M67" s="15"/>
      <c r="N67" s="15"/>
      <c r="O67" s="15"/>
      <c r="P67" s="15"/>
      <c r="Q67" s="15"/>
      <c r="R67" s="15"/>
      <c r="S67" s="15"/>
      <c r="T67" s="15"/>
      <c r="U67" s="15"/>
      <c r="V67" s="15"/>
      <c r="W67" s="15"/>
      <c r="X67" s="15"/>
      <c r="Y67" s="15"/>
      <c r="Z67" s="15"/>
      <c r="AA67" s="15"/>
      <c r="AB67" s="15"/>
      <c r="AC67" s="15"/>
      <c r="AD67" s="15"/>
      <c r="AE67" s="15"/>
      <c r="AF67" s="15"/>
    </row>
    <row r="68" ht="15.75" customHeight="1">
      <c r="A68" s="28" t="s">
        <v>5</v>
      </c>
      <c r="E68" s="432" t="s">
        <v>88</v>
      </c>
      <c r="F68" s="432" t="s">
        <v>89</v>
      </c>
      <c r="G68" s="434"/>
      <c r="H68" s="35"/>
      <c r="I68" s="36"/>
      <c r="L68" s="20"/>
      <c r="M68" s="15"/>
      <c r="N68" s="15"/>
      <c r="O68" s="15"/>
      <c r="P68" s="15"/>
      <c r="Q68" s="15"/>
      <c r="R68" s="15"/>
      <c r="S68" s="15"/>
      <c r="T68" s="15"/>
      <c r="U68" s="15"/>
      <c r="V68" s="15"/>
      <c r="W68" s="15"/>
      <c r="X68" s="15"/>
      <c r="Y68" s="15"/>
      <c r="Z68" s="15"/>
      <c r="AA68" s="15"/>
      <c r="AB68" s="15"/>
      <c r="AC68" s="15"/>
      <c r="AD68" s="15"/>
      <c r="AE68" s="15"/>
      <c r="AF68" s="15"/>
    </row>
    <row r="69" ht="15.75" customHeight="1">
      <c r="A69" s="28" t="s">
        <v>5</v>
      </c>
      <c r="E69" s="65" t="s">
        <v>21</v>
      </c>
      <c r="F69" s="65" t="s">
        <v>51</v>
      </c>
      <c r="G69" s="435" t="s">
        <v>3545</v>
      </c>
      <c r="H69" s="35" t="s">
        <v>51</v>
      </c>
      <c r="I69" s="36"/>
      <c r="L69" s="20"/>
      <c r="M69" s="15"/>
      <c r="N69" s="15"/>
      <c r="O69" s="15"/>
      <c r="P69" s="15"/>
      <c r="Q69" s="15"/>
      <c r="R69" s="15"/>
      <c r="S69" s="15"/>
      <c r="T69" s="15"/>
      <c r="U69" s="15"/>
      <c r="V69" s="15"/>
      <c r="W69" s="15"/>
      <c r="X69" s="15"/>
      <c r="Y69" s="15"/>
      <c r="Z69" s="15"/>
      <c r="AA69" s="15"/>
      <c r="AB69" s="15"/>
      <c r="AC69" s="15"/>
      <c r="AD69" s="15"/>
      <c r="AE69" s="15"/>
      <c r="AF69" s="15"/>
    </row>
    <row r="70" ht="15.75" customHeight="1">
      <c r="A70" s="28" t="s">
        <v>5</v>
      </c>
      <c r="E70" s="65" t="s">
        <v>86</v>
      </c>
      <c r="F70" s="65" t="s">
        <v>90</v>
      </c>
      <c r="G70" s="435" t="s">
        <v>3546</v>
      </c>
      <c r="H70" s="35" t="s">
        <v>90</v>
      </c>
      <c r="I70" s="36"/>
      <c r="L70" s="20"/>
      <c r="M70" s="15"/>
      <c r="N70" s="15"/>
      <c r="O70" s="15"/>
      <c r="P70" s="15"/>
      <c r="Q70" s="15"/>
      <c r="R70" s="15"/>
      <c r="S70" s="15"/>
      <c r="T70" s="15"/>
      <c r="U70" s="15"/>
      <c r="V70" s="15"/>
      <c r="W70" s="15"/>
      <c r="X70" s="15"/>
      <c r="Y70" s="15"/>
      <c r="Z70" s="15"/>
      <c r="AA70" s="15"/>
      <c r="AB70" s="15"/>
      <c r="AC70" s="15"/>
      <c r="AD70" s="15"/>
      <c r="AE70" s="15"/>
      <c r="AF70" s="15"/>
    </row>
    <row r="71" ht="15.75" customHeight="1">
      <c r="A71" s="28" t="s">
        <v>5</v>
      </c>
      <c r="E71" s="65" t="s">
        <v>86</v>
      </c>
      <c r="F71" s="65" t="s">
        <v>91</v>
      </c>
      <c r="G71" s="435" t="s">
        <v>3547</v>
      </c>
      <c r="H71" s="35" t="s">
        <v>91</v>
      </c>
      <c r="I71" s="36"/>
      <c r="L71" s="20"/>
      <c r="M71" s="15"/>
      <c r="N71" s="15"/>
      <c r="O71" s="15"/>
      <c r="P71" s="15"/>
      <c r="Q71" s="15"/>
      <c r="R71" s="15"/>
      <c r="S71" s="15"/>
      <c r="T71" s="15"/>
      <c r="U71" s="15"/>
      <c r="V71" s="15"/>
      <c r="W71" s="15"/>
      <c r="X71" s="15"/>
      <c r="Y71" s="15"/>
      <c r="Z71" s="15"/>
      <c r="AA71" s="15"/>
      <c r="AB71" s="15"/>
      <c r="AC71" s="15"/>
      <c r="AD71" s="15"/>
      <c r="AE71" s="15"/>
      <c r="AF71" s="15"/>
    </row>
    <row r="72" ht="15.75" customHeight="1">
      <c r="A72" s="28" t="s">
        <v>5</v>
      </c>
      <c r="E72" s="65" t="s">
        <v>86</v>
      </c>
      <c r="F72" s="65" t="s">
        <v>338</v>
      </c>
      <c r="G72" s="435" t="s">
        <v>3548</v>
      </c>
      <c r="H72" s="35" t="s">
        <v>338</v>
      </c>
      <c r="I72" s="36"/>
      <c r="L72" s="20"/>
      <c r="M72" s="15"/>
      <c r="N72" s="15"/>
      <c r="O72" s="15"/>
      <c r="P72" s="15"/>
      <c r="Q72" s="15"/>
      <c r="R72" s="15"/>
      <c r="S72" s="15"/>
      <c r="T72" s="15"/>
      <c r="U72" s="15"/>
      <c r="V72" s="15"/>
      <c r="W72" s="15"/>
      <c r="X72" s="15"/>
      <c r="Y72" s="15"/>
      <c r="Z72" s="15"/>
      <c r="AA72" s="15"/>
      <c r="AB72" s="15"/>
      <c r="AC72" s="15"/>
      <c r="AD72" s="15"/>
      <c r="AE72" s="15"/>
      <c r="AF72" s="15"/>
    </row>
    <row r="73" ht="15.75" customHeight="1">
      <c r="A73" s="28" t="s">
        <v>5</v>
      </c>
      <c r="E73" s="380" t="s">
        <v>86</v>
      </c>
      <c r="F73" s="65" t="s">
        <v>739</v>
      </c>
      <c r="G73" s="435" t="s">
        <v>3549</v>
      </c>
      <c r="H73" s="35" t="s">
        <v>739</v>
      </c>
      <c r="I73" s="36"/>
      <c r="L73" s="20"/>
      <c r="M73" s="15"/>
      <c r="N73" s="15"/>
      <c r="O73" s="15"/>
      <c r="P73" s="15"/>
      <c r="Q73" s="15"/>
      <c r="R73" s="15"/>
      <c r="S73" s="15"/>
      <c r="T73" s="15"/>
      <c r="U73" s="15"/>
      <c r="V73" s="15"/>
      <c r="W73" s="15"/>
      <c r="X73" s="15"/>
      <c r="Y73" s="15"/>
      <c r="Z73" s="15"/>
      <c r="AA73" s="15"/>
      <c r="AB73" s="15"/>
      <c r="AC73" s="15"/>
      <c r="AD73" s="15"/>
      <c r="AE73" s="15"/>
      <c r="AF73" s="15"/>
    </row>
    <row r="74" ht="15.75" customHeight="1">
      <c r="A74" s="28" t="s">
        <v>5</v>
      </c>
      <c r="E74" s="65" t="s">
        <v>86</v>
      </c>
      <c r="F74" s="65" t="s">
        <v>91</v>
      </c>
      <c r="G74" s="435" t="s">
        <v>3547</v>
      </c>
      <c r="H74" s="35" t="s">
        <v>91</v>
      </c>
      <c r="L74" s="20"/>
      <c r="M74" s="15"/>
      <c r="N74" s="15"/>
      <c r="O74" s="15"/>
      <c r="P74" s="15"/>
      <c r="Q74" s="15"/>
      <c r="R74" s="15"/>
      <c r="S74" s="15"/>
      <c r="T74" s="15"/>
      <c r="U74" s="15"/>
      <c r="V74" s="15"/>
      <c r="W74" s="15"/>
      <c r="X74" s="15"/>
      <c r="Y74" s="15"/>
      <c r="Z74" s="15"/>
      <c r="AA74" s="15"/>
      <c r="AB74" s="15"/>
      <c r="AC74" s="15"/>
      <c r="AD74" s="15"/>
      <c r="AE74" s="15"/>
      <c r="AF74" s="15"/>
    </row>
    <row r="75" ht="15.75" customHeight="1">
      <c r="A75" s="28" t="s">
        <v>5</v>
      </c>
      <c r="E75" s="65" t="s">
        <v>86</v>
      </c>
      <c r="F75" s="65" t="s">
        <v>338</v>
      </c>
      <c r="G75" s="435" t="s">
        <v>3548</v>
      </c>
      <c r="H75" s="35" t="s">
        <v>338</v>
      </c>
      <c r="L75" s="20"/>
      <c r="M75" s="15"/>
      <c r="N75" s="15"/>
      <c r="O75" s="15"/>
      <c r="P75" s="15"/>
      <c r="Q75" s="15"/>
      <c r="R75" s="15"/>
      <c r="S75" s="15"/>
      <c r="T75" s="15"/>
      <c r="U75" s="15"/>
      <c r="V75" s="15"/>
      <c r="W75" s="15"/>
      <c r="X75" s="15"/>
      <c r="Y75" s="15"/>
      <c r="Z75" s="15"/>
      <c r="AA75" s="15"/>
      <c r="AB75" s="15"/>
      <c r="AC75" s="15"/>
      <c r="AD75" s="15"/>
      <c r="AE75" s="15"/>
      <c r="AF75" s="15"/>
    </row>
    <row r="76" ht="15.75" customHeight="1">
      <c r="A76" s="28" t="s">
        <v>5</v>
      </c>
      <c r="E76" s="65" t="s">
        <v>88</v>
      </c>
      <c r="F76" s="65" t="s">
        <v>95</v>
      </c>
      <c r="G76" s="435" t="s">
        <v>3550</v>
      </c>
      <c r="H76" s="35" t="s">
        <v>95</v>
      </c>
      <c r="L76" s="20"/>
      <c r="M76" s="15"/>
      <c r="N76" s="15"/>
      <c r="O76" s="15"/>
      <c r="P76" s="15"/>
      <c r="Q76" s="15"/>
      <c r="R76" s="15"/>
      <c r="S76" s="15"/>
      <c r="T76" s="15"/>
      <c r="U76" s="15"/>
      <c r="V76" s="15"/>
      <c r="W76" s="15"/>
      <c r="X76" s="15"/>
      <c r="Y76" s="15"/>
      <c r="Z76" s="15"/>
      <c r="AA76" s="15"/>
      <c r="AB76" s="15"/>
      <c r="AC76" s="15"/>
      <c r="AD76" s="15"/>
      <c r="AE76" s="15"/>
      <c r="AF76" s="15"/>
    </row>
    <row r="77" ht="15.75" customHeight="1">
      <c r="A77" s="28" t="s">
        <v>5</v>
      </c>
      <c r="E77" s="65" t="s">
        <v>88</v>
      </c>
      <c r="F77" s="65" t="s">
        <v>96</v>
      </c>
      <c r="G77" s="435" t="s">
        <v>3551</v>
      </c>
      <c r="H77" s="35" t="s">
        <v>96</v>
      </c>
      <c r="L77" s="20"/>
      <c r="M77" s="15"/>
      <c r="N77" s="15"/>
      <c r="O77" s="15"/>
      <c r="P77" s="15"/>
      <c r="Q77" s="15"/>
      <c r="R77" s="15"/>
      <c r="S77" s="15"/>
      <c r="T77" s="15"/>
      <c r="U77" s="15"/>
      <c r="V77" s="15"/>
      <c r="W77" s="15"/>
      <c r="X77" s="15"/>
      <c r="Y77" s="15"/>
      <c r="Z77" s="15"/>
      <c r="AA77" s="15"/>
      <c r="AB77" s="15"/>
      <c r="AC77" s="15"/>
      <c r="AD77" s="15"/>
      <c r="AE77" s="15"/>
      <c r="AF77" s="15"/>
    </row>
    <row r="78" ht="15.75" customHeight="1">
      <c r="A78" s="28" t="s">
        <v>5</v>
      </c>
      <c r="E78" s="65" t="s">
        <v>104</v>
      </c>
      <c r="F78" s="65" t="s">
        <v>250</v>
      </c>
      <c r="G78" s="435" t="s">
        <v>3552</v>
      </c>
      <c r="H78" s="35" t="s">
        <v>250</v>
      </c>
      <c r="L78" s="20"/>
      <c r="M78" s="15"/>
      <c r="N78" s="15"/>
      <c r="O78" s="15"/>
      <c r="P78" s="15"/>
      <c r="Q78" s="15"/>
      <c r="R78" s="15"/>
      <c r="S78" s="15"/>
      <c r="T78" s="15"/>
      <c r="U78" s="15"/>
      <c r="V78" s="15"/>
      <c r="W78" s="15"/>
      <c r="X78" s="15"/>
      <c r="Y78" s="15"/>
      <c r="Z78" s="15"/>
      <c r="AA78" s="15"/>
      <c r="AB78" s="15"/>
      <c r="AC78" s="15"/>
      <c r="AD78" s="15"/>
      <c r="AE78" s="15"/>
      <c r="AF78" s="15"/>
    </row>
    <row r="79" ht="15.75" customHeight="1">
      <c r="A79" s="28" t="s">
        <v>5</v>
      </c>
      <c r="B79" s="28" t="s">
        <v>3553</v>
      </c>
      <c r="C79" s="87" t="s">
        <v>3554</v>
      </c>
      <c r="D79" s="28" t="s">
        <v>20</v>
      </c>
      <c r="E79" s="432" t="s">
        <v>86</v>
      </c>
      <c r="F79" s="433" t="s">
        <v>87</v>
      </c>
      <c r="I79" s="35"/>
      <c r="J79" s="35"/>
      <c r="K79" s="35"/>
      <c r="L79" s="20"/>
      <c r="M79" s="15"/>
      <c r="N79" s="15"/>
      <c r="O79" s="15"/>
      <c r="P79" s="15"/>
      <c r="Q79" s="15"/>
      <c r="R79" s="15"/>
      <c r="S79" s="15"/>
      <c r="T79" s="15"/>
      <c r="U79" s="15"/>
      <c r="V79" s="15"/>
      <c r="W79" s="15"/>
      <c r="X79" s="15"/>
      <c r="Y79" s="15"/>
      <c r="Z79" s="15"/>
      <c r="AA79" s="15"/>
      <c r="AB79" s="15"/>
      <c r="AC79" s="15"/>
      <c r="AD79" s="15"/>
      <c r="AE79" s="15"/>
      <c r="AF79" s="15"/>
    </row>
    <row r="80" ht="15.75" customHeight="1">
      <c r="A80" s="28" t="s">
        <v>5</v>
      </c>
      <c r="E80" s="432" t="s">
        <v>88</v>
      </c>
      <c r="F80" s="432" t="s">
        <v>89</v>
      </c>
      <c r="G80" s="434"/>
      <c r="H80" s="35"/>
      <c r="I80" s="35"/>
      <c r="J80" s="35"/>
      <c r="K80" s="35"/>
      <c r="L80" s="20"/>
      <c r="M80" s="15"/>
      <c r="N80" s="15"/>
      <c r="O80" s="15"/>
      <c r="P80" s="15"/>
      <c r="Q80" s="15"/>
      <c r="R80" s="15"/>
      <c r="S80" s="15"/>
      <c r="T80" s="15"/>
      <c r="U80" s="15"/>
      <c r="V80" s="15"/>
      <c r="W80" s="15"/>
      <c r="X80" s="15"/>
      <c r="Y80" s="15"/>
      <c r="Z80" s="15"/>
      <c r="AA80" s="15"/>
      <c r="AB80" s="15"/>
      <c r="AC80" s="15"/>
      <c r="AD80" s="15"/>
      <c r="AE80" s="15"/>
      <c r="AF80" s="15"/>
    </row>
    <row r="81" ht="15.75" customHeight="1">
      <c r="A81" s="28" t="s">
        <v>5</v>
      </c>
      <c r="E81" s="65" t="s">
        <v>21</v>
      </c>
      <c r="F81" s="65" t="s">
        <v>51</v>
      </c>
      <c r="G81" s="435" t="s">
        <v>3555</v>
      </c>
      <c r="H81" s="35" t="s">
        <v>51</v>
      </c>
      <c r="I81" s="35"/>
      <c r="J81" s="35"/>
      <c r="K81" s="35"/>
      <c r="L81" s="20"/>
      <c r="M81" s="15"/>
      <c r="N81" s="15"/>
      <c r="O81" s="15"/>
      <c r="P81" s="15"/>
      <c r="Q81" s="15"/>
      <c r="R81" s="15"/>
      <c r="S81" s="15"/>
      <c r="T81" s="15"/>
      <c r="U81" s="15"/>
      <c r="V81" s="15"/>
      <c r="W81" s="15"/>
      <c r="X81" s="15"/>
      <c r="Y81" s="15"/>
      <c r="Z81" s="15"/>
      <c r="AA81" s="15"/>
      <c r="AB81" s="15"/>
      <c r="AC81" s="15"/>
      <c r="AD81" s="15"/>
      <c r="AE81" s="15"/>
      <c r="AF81" s="15"/>
    </row>
    <row r="82" ht="15.75" customHeight="1">
      <c r="A82" s="28" t="s">
        <v>5</v>
      </c>
      <c r="E82" s="65" t="s">
        <v>86</v>
      </c>
      <c r="F82" s="65" t="s">
        <v>90</v>
      </c>
      <c r="G82" s="435" t="s">
        <v>3556</v>
      </c>
      <c r="H82" s="35" t="s">
        <v>90</v>
      </c>
      <c r="I82" s="36"/>
      <c r="J82" s="36"/>
      <c r="K82" s="36"/>
      <c r="L82" s="20"/>
      <c r="M82" s="15"/>
      <c r="N82" s="15"/>
      <c r="O82" s="15"/>
      <c r="P82" s="15"/>
      <c r="Q82" s="15"/>
      <c r="R82" s="15"/>
      <c r="S82" s="15"/>
      <c r="T82" s="15"/>
      <c r="U82" s="15"/>
      <c r="V82" s="15"/>
      <c r="W82" s="15"/>
      <c r="X82" s="15"/>
      <c r="Y82" s="15"/>
      <c r="Z82" s="15"/>
      <c r="AA82" s="15"/>
      <c r="AB82" s="15"/>
      <c r="AC82" s="15"/>
      <c r="AD82" s="15"/>
      <c r="AE82" s="15"/>
      <c r="AF82" s="15"/>
    </row>
    <row r="83" ht="15.75" customHeight="1">
      <c r="A83" s="28" t="s">
        <v>5</v>
      </c>
      <c r="E83" s="65" t="s">
        <v>86</v>
      </c>
      <c r="F83" s="65" t="s">
        <v>91</v>
      </c>
      <c r="G83" s="435" t="s">
        <v>3557</v>
      </c>
      <c r="H83" s="35" t="s">
        <v>91</v>
      </c>
      <c r="I83" s="36"/>
      <c r="J83" s="36"/>
      <c r="K83" s="36"/>
      <c r="L83" s="20"/>
      <c r="M83" s="15"/>
      <c r="N83" s="15"/>
      <c r="O83" s="15"/>
      <c r="P83" s="15"/>
      <c r="Q83" s="15"/>
      <c r="R83" s="15"/>
      <c r="S83" s="15"/>
      <c r="T83" s="15"/>
      <c r="U83" s="15"/>
      <c r="V83" s="15"/>
      <c r="W83" s="15"/>
      <c r="X83" s="15"/>
      <c r="Y83" s="15"/>
      <c r="Z83" s="15"/>
      <c r="AA83" s="15"/>
      <c r="AB83" s="15"/>
      <c r="AC83" s="15"/>
      <c r="AD83" s="15"/>
      <c r="AE83" s="15"/>
      <c r="AF83" s="15"/>
    </row>
    <row r="84" ht="15.75" customHeight="1">
      <c r="A84" s="28" t="s">
        <v>5</v>
      </c>
      <c r="E84" s="65" t="s">
        <v>86</v>
      </c>
      <c r="F84" s="65" t="s">
        <v>338</v>
      </c>
      <c r="G84" s="435" t="s">
        <v>3558</v>
      </c>
      <c r="H84" s="35" t="s">
        <v>338</v>
      </c>
      <c r="I84" s="36"/>
      <c r="J84" s="36"/>
      <c r="K84" s="36"/>
      <c r="L84" s="20"/>
      <c r="M84" s="15"/>
      <c r="N84" s="15"/>
      <c r="O84" s="15"/>
      <c r="P84" s="15"/>
      <c r="Q84" s="15"/>
      <c r="R84" s="15"/>
      <c r="S84" s="15"/>
      <c r="T84" s="15"/>
      <c r="U84" s="15"/>
      <c r="V84" s="15"/>
      <c r="W84" s="15"/>
      <c r="X84" s="15"/>
      <c r="Y84" s="15"/>
      <c r="Z84" s="15"/>
      <c r="AA84" s="15"/>
      <c r="AB84" s="15"/>
      <c r="AC84" s="15"/>
      <c r="AD84" s="15"/>
      <c r="AE84" s="15"/>
      <c r="AF84" s="15"/>
    </row>
    <row r="85" ht="15.75" customHeight="1">
      <c r="A85" s="28" t="s">
        <v>5</v>
      </c>
      <c r="E85" s="65" t="s">
        <v>86</v>
      </c>
      <c r="F85" s="65" t="s">
        <v>739</v>
      </c>
      <c r="G85" s="435" t="s">
        <v>3559</v>
      </c>
      <c r="H85" s="35" t="s">
        <v>739</v>
      </c>
      <c r="I85" s="36"/>
      <c r="J85" s="36"/>
      <c r="K85" s="36"/>
      <c r="L85" s="20"/>
      <c r="M85" s="15"/>
      <c r="N85" s="15"/>
      <c r="O85" s="15"/>
      <c r="P85" s="15"/>
      <c r="Q85" s="15"/>
      <c r="R85" s="15"/>
      <c r="S85" s="15"/>
      <c r="T85" s="15"/>
      <c r="U85" s="15"/>
      <c r="V85" s="15"/>
      <c r="W85" s="15"/>
      <c r="X85" s="15"/>
      <c r="Y85" s="15"/>
      <c r="Z85" s="15"/>
      <c r="AA85" s="15"/>
      <c r="AB85" s="15"/>
      <c r="AC85" s="15"/>
      <c r="AD85" s="15"/>
      <c r="AE85" s="15"/>
      <c r="AF85" s="15"/>
    </row>
    <row r="86" ht="15.75" customHeight="1">
      <c r="A86" s="28" t="s">
        <v>5</v>
      </c>
      <c r="E86" s="65" t="s">
        <v>86</v>
      </c>
      <c r="F86" s="65" t="s">
        <v>743</v>
      </c>
      <c r="G86" s="435" t="s">
        <v>3560</v>
      </c>
      <c r="H86" s="35" t="s">
        <v>743</v>
      </c>
      <c r="L86" s="20"/>
      <c r="M86" s="15"/>
      <c r="N86" s="15"/>
      <c r="O86" s="15"/>
      <c r="P86" s="15"/>
      <c r="Q86" s="15"/>
      <c r="R86" s="15"/>
      <c r="S86" s="15"/>
      <c r="T86" s="15"/>
      <c r="U86" s="15"/>
      <c r="V86" s="15"/>
      <c r="W86" s="15"/>
      <c r="X86" s="15"/>
      <c r="Y86" s="15"/>
      <c r="Z86" s="15"/>
      <c r="AA86" s="15"/>
      <c r="AB86" s="15"/>
      <c r="AC86" s="15"/>
      <c r="AD86" s="15"/>
      <c r="AE86" s="15"/>
      <c r="AF86" s="15"/>
    </row>
    <row r="87" ht="15.75" customHeight="1">
      <c r="A87" s="28" t="s">
        <v>5</v>
      </c>
      <c r="E87" s="35" t="s">
        <v>88</v>
      </c>
      <c r="F87" s="35" t="s">
        <v>95</v>
      </c>
      <c r="G87" s="165" t="s">
        <v>3561</v>
      </c>
      <c r="H87" s="35" t="s">
        <v>95</v>
      </c>
      <c r="L87" s="20"/>
      <c r="M87" s="15"/>
      <c r="N87" s="15"/>
      <c r="O87" s="15"/>
      <c r="P87" s="15"/>
      <c r="Q87" s="15"/>
      <c r="R87" s="15"/>
      <c r="S87" s="15"/>
      <c r="T87" s="15"/>
      <c r="U87" s="15"/>
      <c r="V87" s="15"/>
      <c r="W87" s="15"/>
      <c r="X87" s="15"/>
      <c r="Y87" s="15"/>
      <c r="Z87" s="15"/>
      <c r="AA87" s="15"/>
      <c r="AB87" s="15"/>
      <c r="AC87" s="15"/>
      <c r="AD87" s="15"/>
      <c r="AE87" s="15"/>
      <c r="AF87" s="15"/>
    </row>
    <row r="88" ht="15.75" customHeight="1">
      <c r="A88" s="28" t="s">
        <v>5</v>
      </c>
      <c r="E88" s="35" t="s">
        <v>88</v>
      </c>
      <c r="F88" s="35" t="s">
        <v>96</v>
      </c>
      <c r="G88" s="165" t="s">
        <v>3562</v>
      </c>
      <c r="H88" s="35" t="s">
        <v>96</v>
      </c>
      <c r="L88" s="20"/>
      <c r="M88" s="15"/>
      <c r="N88" s="15"/>
      <c r="O88" s="15"/>
      <c r="P88" s="15"/>
      <c r="Q88" s="15"/>
      <c r="R88" s="15"/>
      <c r="S88" s="15"/>
      <c r="T88" s="15"/>
      <c r="U88" s="15"/>
      <c r="V88" s="15"/>
      <c r="W88" s="15"/>
      <c r="X88" s="15"/>
      <c r="Y88" s="15"/>
      <c r="Z88" s="15"/>
      <c r="AA88" s="15"/>
      <c r="AB88" s="15"/>
      <c r="AC88" s="15"/>
      <c r="AD88" s="15"/>
      <c r="AE88" s="15"/>
      <c r="AF88" s="15"/>
    </row>
    <row r="89" ht="15.75" customHeight="1">
      <c r="A89" s="28" t="s">
        <v>5</v>
      </c>
      <c r="E89" s="35" t="s">
        <v>104</v>
      </c>
      <c r="F89" s="35" t="s">
        <v>250</v>
      </c>
      <c r="G89" s="165" t="s">
        <v>3563</v>
      </c>
      <c r="H89" s="35" t="s">
        <v>250</v>
      </c>
      <c r="I89" s="36"/>
      <c r="L89" s="20"/>
      <c r="M89" s="15"/>
      <c r="N89" s="15"/>
      <c r="O89" s="15"/>
      <c r="P89" s="15"/>
      <c r="Q89" s="15"/>
      <c r="R89" s="15"/>
      <c r="S89" s="15"/>
      <c r="T89" s="15"/>
      <c r="U89" s="15"/>
      <c r="V89" s="15"/>
      <c r="W89" s="15"/>
      <c r="X89" s="15"/>
      <c r="Y89" s="15"/>
      <c r="Z89" s="15"/>
      <c r="AA89" s="15"/>
      <c r="AB89" s="15"/>
      <c r="AC89" s="15"/>
      <c r="AD89" s="15"/>
      <c r="AE89" s="15"/>
      <c r="AF89" s="15"/>
    </row>
    <row r="90" ht="15.75" customHeight="1">
      <c r="A90" s="28" t="s">
        <v>5</v>
      </c>
      <c r="E90" s="65" t="s">
        <v>86</v>
      </c>
      <c r="F90" s="65" t="s">
        <v>353</v>
      </c>
      <c r="G90" s="435" t="s">
        <v>3564</v>
      </c>
      <c r="H90" s="35" t="s">
        <v>353</v>
      </c>
      <c r="I90" s="36"/>
      <c r="L90" s="20"/>
      <c r="M90" s="15"/>
      <c r="N90" s="15"/>
      <c r="O90" s="15"/>
      <c r="P90" s="15"/>
      <c r="Q90" s="15"/>
      <c r="R90" s="15"/>
      <c r="S90" s="15"/>
      <c r="T90" s="15"/>
      <c r="U90" s="15"/>
      <c r="V90" s="15"/>
      <c r="W90" s="15"/>
      <c r="X90" s="15"/>
      <c r="Y90" s="15"/>
      <c r="Z90" s="15"/>
      <c r="AA90" s="15"/>
      <c r="AB90" s="15"/>
      <c r="AC90" s="15"/>
      <c r="AD90" s="15"/>
      <c r="AE90" s="15"/>
      <c r="AF90" s="15"/>
    </row>
    <row r="91" ht="15.75" customHeight="1">
      <c r="A91" s="28" t="s">
        <v>5</v>
      </c>
      <c r="B91" s="28" t="s">
        <v>3565</v>
      </c>
      <c r="C91" s="87" t="s">
        <v>3566</v>
      </c>
      <c r="D91" s="28" t="s">
        <v>20</v>
      </c>
      <c r="E91" s="432" t="s">
        <v>86</v>
      </c>
      <c r="F91" s="433" t="s">
        <v>87</v>
      </c>
      <c r="L91" s="20"/>
      <c r="M91" s="15"/>
      <c r="N91" s="15"/>
      <c r="O91" s="15"/>
      <c r="P91" s="15"/>
      <c r="Q91" s="15"/>
      <c r="R91" s="15"/>
      <c r="S91" s="15"/>
      <c r="T91" s="15"/>
      <c r="U91" s="15"/>
      <c r="V91" s="15"/>
      <c r="W91" s="15"/>
      <c r="X91" s="15"/>
      <c r="Y91" s="15"/>
      <c r="Z91" s="15"/>
      <c r="AA91" s="15"/>
      <c r="AB91" s="15"/>
      <c r="AC91" s="15"/>
      <c r="AD91" s="15"/>
      <c r="AE91" s="15"/>
      <c r="AF91" s="15"/>
    </row>
    <row r="92" ht="15.75" customHeight="1">
      <c r="A92" s="28" t="s">
        <v>5</v>
      </c>
      <c r="E92" s="432" t="s">
        <v>88</v>
      </c>
      <c r="F92" s="432" t="s">
        <v>89</v>
      </c>
      <c r="G92" s="434"/>
      <c r="H92" s="65"/>
      <c r="L92" s="20"/>
      <c r="M92" s="15"/>
      <c r="N92" s="15"/>
      <c r="O92" s="15"/>
      <c r="P92" s="15"/>
      <c r="Q92" s="15"/>
      <c r="R92" s="15"/>
      <c r="S92" s="15"/>
      <c r="T92" s="15"/>
      <c r="U92" s="15"/>
      <c r="V92" s="15"/>
      <c r="W92" s="15"/>
      <c r="X92" s="15"/>
      <c r="Y92" s="15"/>
      <c r="Z92" s="15"/>
      <c r="AA92" s="15"/>
      <c r="AB92" s="15"/>
      <c r="AC92" s="15"/>
      <c r="AD92" s="15"/>
      <c r="AE92" s="15"/>
      <c r="AF92" s="15"/>
    </row>
    <row r="93" ht="15.75" customHeight="1">
      <c r="A93" s="28" t="s">
        <v>5</v>
      </c>
      <c r="E93" s="65" t="s">
        <v>21</v>
      </c>
      <c r="F93" s="65" t="s">
        <v>51</v>
      </c>
      <c r="G93" s="435" t="s">
        <v>3567</v>
      </c>
      <c r="H93" s="65" t="s">
        <v>51</v>
      </c>
      <c r="L93" s="20"/>
      <c r="M93" s="15"/>
      <c r="N93" s="15"/>
      <c r="O93" s="15"/>
      <c r="P93" s="15"/>
      <c r="Q93" s="15"/>
      <c r="R93" s="15"/>
      <c r="S93" s="15"/>
      <c r="T93" s="15"/>
      <c r="U93" s="15"/>
      <c r="V93" s="15"/>
      <c r="W93" s="15"/>
      <c r="X93" s="15"/>
      <c r="Y93" s="15"/>
      <c r="Z93" s="15"/>
      <c r="AA93" s="15"/>
      <c r="AB93" s="15"/>
      <c r="AC93" s="15"/>
      <c r="AD93" s="15"/>
      <c r="AE93" s="15"/>
      <c r="AF93" s="15"/>
    </row>
    <row r="94" ht="15.75" customHeight="1">
      <c r="A94" s="28" t="s">
        <v>5</v>
      </c>
      <c r="E94" s="35" t="s">
        <v>86</v>
      </c>
      <c r="F94" s="35" t="s">
        <v>90</v>
      </c>
      <c r="G94" s="165" t="s">
        <v>3568</v>
      </c>
      <c r="H94" s="35" t="s">
        <v>90</v>
      </c>
      <c r="I94" s="36"/>
      <c r="L94" s="20"/>
      <c r="M94" s="15"/>
      <c r="N94" s="15"/>
      <c r="O94" s="15"/>
      <c r="P94" s="15"/>
      <c r="Q94" s="15"/>
      <c r="R94" s="15"/>
      <c r="S94" s="15"/>
      <c r="T94" s="15"/>
      <c r="U94" s="15"/>
      <c r="V94" s="15"/>
      <c r="W94" s="15"/>
      <c r="X94" s="15"/>
      <c r="Y94" s="15"/>
      <c r="Z94" s="15"/>
      <c r="AA94" s="15"/>
      <c r="AB94" s="15"/>
      <c r="AC94" s="15"/>
      <c r="AD94" s="15"/>
      <c r="AE94" s="15"/>
      <c r="AF94" s="15"/>
    </row>
    <row r="95" ht="15.75" customHeight="1">
      <c r="A95" s="28" t="s">
        <v>5</v>
      </c>
      <c r="E95" s="35" t="s">
        <v>86</v>
      </c>
      <c r="F95" s="35" t="s">
        <v>91</v>
      </c>
      <c r="G95" s="165" t="s">
        <v>3569</v>
      </c>
      <c r="H95" s="35" t="s">
        <v>91</v>
      </c>
      <c r="I95" s="36"/>
      <c r="L95" s="20"/>
      <c r="M95" s="15"/>
      <c r="N95" s="15"/>
      <c r="O95" s="15"/>
      <c r="P95" s="15"/>
      <c r="Q95" s="15"/>
      <c r="R95" s="15"/>
      <c r="S95" s="15"/>
      <c r="T95" s="15"/>
      <c r="U95" s="15"/>
      <c r="V95" s="15"/>
      <c r="W95" s="15"/>
      <c r="X95" s="15"/>
      <c r="Y95" s="15"/>
      <c r="Z95" s="15"/>
      <c r="AA95" s="15"/>
      <c r="AB95" s="15"/>
      <c r="AC95" s="15"/>
      <c r="AD95" s="15"/>
      <c r="AE95" s="15"/>
      <c r="AF95" s="15"/>
    </row>
    <row r="96" ht="15.75" customHeight="1">
      <c r="A96" s="28" t="s">
        <v>5</v>
      </c>
      <c r="E96" s="35" t="s">
        <v>86</v>
      </c>
      <c r="F96" s="35" t="s">
        <v>338</v>
      </c>
      <c r="G96" s="165" t="s">
        <v>3570</v>
      </c>
      <c r="H96" s="35" t="s">
        <v>338</v>
      </c>
      <c r="I96" s="36"/>
      <c r="L96" s="20"/>
      <c r="M96" s="15"/>
      <c r="N96" s="15"/>
      <c r="O96" s="15"/>
      <c r="P96" s="15"/>
      <c r="Q96" s="15"/>
      <c r="R96" s="15"/>
      <c r="S96" s="15"/>
      <c r="T96" s="15"/>
      <c r="U96" s="15"/>
      <c r="V96" s="15"/>
      <c r="W96" s="15"/>
      <c r="X96" s="15"/>
      <c r="Y96" s="15"/>
      <c r="Z96" s="15"/>
      <c r="AA96" s="15"/>
      <c r="AB96" s="15"/>
      <c r="AC96" s="15"/>
      <c r="AD96" s="15"/>
      <c r="AE96" s="15"/>
      <c r="AF96" s="15"/>
    </row>
    <row r="97" ht="15.75" customHeight="1">
      <c r="A97" s="28" t="s">
        <v>5</v>
      </c>
      <c r="E97" s="65" t="s">
        <v>86</v>
      </c>
      <c r="F97" s="65" t="s">
        <v>339</v>
      </c>
      <c r="G97" s="435" t="s">
        <v>3571</v>
      </c>
      <c r="H97" s="35" t="s">
        <v>339</v>
      </c>
      <c r="L97" s="20"/>
      <c r="M97" s="15"/>
      <c r="N97" s="15"/>
      <c r="O97" s="15"/>
      <c r="P97" s="15"/>
      <c r="Q97" s="15"/>
      <c r="R97" s="15"/>
      <c r="S97" s="15"/>
      <c r="T97" s="15"/>
      <c r="U97" s="15"/>
      <c r="V97" s="15"/>
      <c r="W97" s="15"/>
      <c r="X97" s="15"/>
      <c r="Y97" s="15"/>
      <c r="Z97" s="15"/>
      <c r="AA97" s="15"/>
      <c r="AB97" s="15"/>
      <c r="AC97" s="15"/>
      <c r="AD97" s="15"/>
      <c r="AE97" s="15"/>
      <c r="AF97" s="15"/>
    </row>
    <row r="98" ht="15.75" customHeight="1">
      <c r="A98" s="28"/>
      <c r="E98" s="65" t="s">
        <v>86</v>
      </c>
      <c r="F98" s="65" t="s">
        <v>90</v>
      </c>
      <c r="G98" s="435" t="str">
        <f>HYPERLINK("https://docs.google.com/spreadsheets/d/13GPEWDxSFWwhjMVTlBzycovwrzcyNzaprrBDdKH9hvc/edit#gid=466655397", "https://docs.google.com/spreadsheets/d/13GPEWDxSFWwhjMVTlBzycovwrzcyNzaprrBDdKH9hvc/edit#gid=466655397")</f>
        <v>https://docs.google.com/spreadsheets/d/13GPEWDxSFWwhjMVTlBzycovwrzcyNzaprrBDdKH9hvc/edit#gid=466655397</v>
      </c>
      <c r="H98" s="35" t="s">
        <v>90</v>
      </c>
      <c r="L98" s="20"/>
      <c r="M98" s="15"/>
      <c r="N98" s="15"/>
      <c r="O98" s="15"/>
      <c r="P98" s="15"/>
      <c r="Q98" s="15"/>
      <c r="R98" s="15"/>
      <c r="S98" s="15"/>
      <c r="T98" s="15"/>
      <c r="U98" s="15"/>
      <c r="V98" s="15"/>
      <c r="W98" s="15"/>
      <c r="X98" s="15"/>
      <c r="Y98" s="15"/>
      <c r="Z98" s="15"/>
      <c r="AA98" s="15"/>
      <c r="AB98" s="15"/>
      <c r="AC98" s="15"/>
      <c r="AD98" s="15"/>
      <c r="AE98" s="15"/>
      <c r="AF98" s="15"/>
    </row>
    <row r="99" ht="15.75" customHeight="1">
      <c r="A99" s="28" t="s">
        <v>5</v>
      </c>
      <c r="E99" s="65" t="s">
        <v>86</v>
      </c>
      <c r="F99" s="65" t="s">
        <v>743</v>
      </c>
      <c r="G99" s="149" t="s">
        <v>3572</v>
      </c>
      <c r="H99" s="35" t="s">
        <v>743</v>
      </c>
      <c r="L99" s="11"/>
      <c r="M99" s="15"/>
      <c r="N99" s="15"/>
      <c r="O99" s="15"/>
      <c r="P99" s="15"/>
      <c r="Q99" s="15"/>
      <c r="R99" s="15"/>
      <c r="S99" s="15"/>
      <c r="T99" s="15"/>
      <c r="U99" s="15"/>
      <c r="V99" s="15"/>
      <c r="W99" s="15"/>
      <c r="X99" s="15"/>
      <c r="Y99" s="15"/>
      <c r="Z99" s="15"/>
      <c r="AA99" s="15"/>
      <c r="AB99" s="15"/>
      <c r="AC99" s="15"/>
      <c r="AD99" s="15"/>
      <c r="AE99" s="15"/>
      <c r="AF99" s="15"/>
    </row>
    <row r="100" ht="15.75" customHeight="1">
      <c r="A100" s="28" t="s">
        <v>5</v>
      </c>
      <c r="E100" s="65" t="s">
        <v>88</v>
      </c>
      <c r="F100" s="65" t="s">
        <v>95</v>
      </c>
      <c r="G100" s="149" t="s">
        <v>3573</v>
      </c>
      <c r="H100" s="35" t="s">
        <v>95</v>
      </c>
      <c r="L100" s="11"/>
      <c r="M100" s="15"/>
      <c r="N100" s="15"/>
      <c r="O100" s="15"/>
      <c r="P100" s="15"/>
      <c r="Q100" s="15"/>
      <c r="R100" s="15"/>
      <c r="S100" s="15"/>
      <c r="T100" s="15"/>
      <c r="U100" s="15"/>
      <c r="V100" s="15"/>
      <c r="W100" s="15"/>
      <c r="X100" s="15"/>
      <c r="Y100" s="15"/>
      <c r="Z100" s="15"/>
      <c r="AA100" s="15"/>
      <c r="AB100" s="15"/>
      <c r="AC100" s="15"/>
      <c r="AD100" s="15"/>
      <c r="AE100" s="15"/>
      <c r="AF100" s="15"/>
    </row>
    <row r="101" ht="15.75" customHeight="1">
      <c r="A101" s="28" t="s">
        <v>5</v>
      </c>
      <c r="E101" s="65" t="s">
        <v>88</v>
      </c>
      <c r="F101" s="65" t="s">
        <v>96</v>
      </c>
      <c r="G101" s="149" t="s">
        <v>3574</v>
      </c>
      <c r="H101" s="35" t="s">
        <v>96</v>
      </c>
      <c r="L101" s="11"/>
      <c r="M101" s="15"/>
      <c r="N101" s="15"/>
      <c r="O101" s="15"/>
      <c r="P101" s="15"/>
      <c r="Q101" s="15"/>
      <c r="R101" s="15"/>
      <c r="S101" s="15"/>
      <c r="T101" s="15"/>
      <c r="U101" s="15"/>
      <c r="V101" s="15"/>
      <c r="W101" s="15"/>
      <c r="X101" s="15"/>
      <c r="Y101" s="15"/>
      <c r="Z101" s="15"/>
      <c r="AA101" s="15"/>
      <c r="AB101" s="15"/>
      <c r="AC101" s="15"/>
      <c r="AD101" s="15"/>
      <c r="AE101" s="15"/>
      <c r="AF101" s="15"/>
    </row>
    <row r="102" ht="15.75" customHeight="1">
      <c r="A102" s="28" t="s">
        <v>5</v>
      </c>
      <c r="E102" s="65" t="s">
        <v>104</v>
      </c>
      <c r="F102" s="65" t="s">
        <v>250</v>
      </c>
      <c r="G102" s="149" t="s">
        <v>3575</v>
      </c>
      <c r="H102" s="35" t="s">
        <v>250</v>
      </c>
      <c r="L102" s="11"/>
      <c r="M102" s="15"/>
      <c r="N102" s="15"/>
      <c r="O102" s="15"/>
      <c r="P102" s="15"/>
      <c r="Q102" s="15"/>
      <c r="R102" s="15"/>
      <c r="S102" s="15"/>
      <c r="T102" s="15"/>
      <c r="U102" s="15"/>
      <c r="V102" s="15"/>
      <c r="W102" s="15"/>
      <c r="X102" s="15"/>
      <c r="Y102" s="15"/>
      <c r="Z102" s="15"/>
      <c r="AA102" s="15"/>
      <c r="AB102" s="15"/>
      <c r="AC102" s="15"/>
      <c r="AD102" s="15"/>
      <c r="AE102" s="15"/>
      <c r="AF102" s="15"/>
    </row>
    <row r="103" ht="15.75" customHeight="1">
      <c r="A103" s="28" t="s">
        <v>5</v>
      </c>
      <c r="E103" s="35" t="s">
        <v>86</v>
      </c>
      <c r="F103" s="35" t="s">
        <v>353</v>
      </c>
      <c r="G103" s="34" t="s">
        <v>3576</v>
      </c>
      <c r="H103" s="35" t="s">
        <v>353</v>
      </c>
      <c r="L103" s="11"/>
      <c r="M103" s="15"/>
      <c r="N103" s="15"/>
      <c r="O103" s="15"/>
      <c r="P103" s="15"/>
      <c r="Q103" s="15"/>
      <c r="R103" s="15"/>
      <c r="S103" s="15"/>
      <c r="T103" s="15"/>
      <c r="U103" s="15"/>
      <c r="V103" s="15"/>
      <c r="W103" s="15"/>
      <c r="X103" s="15"/>
      <c r="Y103" s="15"/>
      <c r="Z103" s="15"/>
      <c r="AA103" s="15"/>
      <c r="AB103" s="15"/>
      <c r="AC103" s="15"/>
      <c r="AD103" s="15"/>
      <c r="AE103" s="15"/>
      <c r="AF103" s="15"/>
    </row>
    <row r="104" ht="15.75" customHeight="1">
      <c r="A104" s="28" t="s">
        <v>5</v>
      </c>
      <c r="B104" s="28" t="s">
        <v>3577</v>
      </c>
      <c r="C104" s="87" t="s">
        <v>3578</v>
      </c>
      <c r="D104" s="28" t="s">
        <v>20</v>
      </c>
      <c r="E104" s="432" t="s">
        <v>86</v>
      </c>
      <c r="F104" s="433" t="s">
        <v>87</v>
      </c>
      <c r="L104" s="11"/>
      <c r="M104" s="15"/>
      <c r="N104" s="15"/>
      <c r="O104" s="15"/>
      <c r="P104" s="15"/>
      <c r="Q104" s="15"/>
      <c r="R104" s="15"/>
      <c r="S104" s="15"/>
      <c r="T104" s="15"/>
      <c r="U104" s="15"/>
      <c r="V104" s="15"/>
      <c r="W104" s="15"/>
      <c r="X104" s="15"/>
      <c r="Y104" s="15"/>
      <c r="Z104" s="15"/>
      <c r="AA104" s="15"/>
      <c r="AB104" s="15"/>
      <c r="AC104" s="15"/>
      <c r="AD104" s="15"/>
      <c r="AE104" s="15"/>
      <c r="AF104" s="15"/>
    </row>
    <row r="105" ht="15.75" customHeight="1">
      <c r="A105" s="28" t="s">
        <v>5</v>
      </c>
      <c r="E105" s="432" t="s">
        <v>88</v>
      </c>
      <c r="F105" s="432" t="s">
        <v>89</v>
      </c>
      <c r="G105" s="434"/>
      <c r="H105" s="35"/>
      <c r="L105" s="11"/>
      <c r="M105" s="15"/>
      <c r="N105" s="15"/>
      <c r="O105" s="15"/>
      <c r="P105" s="15"/>
      <c r="Q105" s="15"/>
      <c r="R105" s="15"/>
      <c r="S105" s="15"/>
      <c r="T105" s="15"/>
      <c r="U105" s="15"/>
      <c r="V105" s="15"/>
      <c r="W105" s="15"/>
      <c r="X105" s="15"/>
      <c r="Y105" s="15"/>
      <c r="Z105" s="15"/>
      <c r="AA105" s="15"/>
      <c r="AB105" s="15"/>
      <c r="AC105" s="15"/>
      <c r="AD105" s="15"/>
      <c r="AE105" s="15"/>
      <c r="AF105" s="15"/>
    </row>
    <row r="106" ht="15.75" customHeight="1">
      <c r="A106" s="28" t="s">
        <v>5</v>
      </c>
      <c r="E106" s="65" t="s">
        <v>21</v>
      </c>
      <c r="F106" s="65" t="s">
        <v>51</v>
      </c>
      <c r="G106" s="435" t="s">
        <v>3579</v>
      </c>
      <c r="H106" s="35" t="s">
        <v>51</v>
      </c>
      <c r="L106" s="11"/>
      <c r="M106" s="15"/>
      <c r="N106" s="15"/>
      <c r="O106" s="15"/>
      <c r="P106" s="15"/>
      <c r="Q106" s="15"/>
      <c r="R106" s="15"/>
      <c r="S106" s="15"/>
      <c r="T106" s="15"/>
      <c r="U106" s="15"/>
      <c r="V106" s="15"/>
      <c r="W106" s="15"/>
      <c r="X106" s="15"/>
      <c r="Y106" s="15"/>
      <c r="Z106" s="15"/>
      <c r="AA106" s="15"/>
      <c r="AB106" s="15"/>
      <c r="AC106" s="15"/>
      <c r="AD106" s="15"/>
      <c r="AE106" s="15"/>
      <c r="AF106" s="15"/>
    </row>
    <row r="107" ht="15.75" customHeight="1">
      <c r="A107" s="28" t="s">
        <v>5</v>
      </c>
      <c r="E107" s="35" t="s">
        <v>86</v>
      </c>
      <c r="F107" s="65" t="s">
        <v>90</v>
      </c>
      <c r="G107" s="435" t="s">
        <v>3580</v>
      </c>
      <c r="H107" s="35" t="s">
        <v>90</v>
      </c>
      <c r="L107" s="11"/>
      <c r="M107" s="15"/>
      <c r="N107" s="15"/>
      <c r="O107" s="15"/>
      <c r="P107" s="15"/>
      <c r="Q107" s="15"/>
      <c r="R107" s="15"/>
      <c r="S107" s="15"/>
      <c r="T107" s="15"/>
      <c r="U107" s="15"/>
      <c r="V107" s="15"/>
      <c r="W107" s="15"/>
      <c r="X107" s="15"/>
      <c r="Y107" s="15"/>
      <c r="Z107" s="15"/>
      <c r="AA107" s="15"/>
      <c r="AB107" s="15"/>
      <c r="AC107" s="15"/>
      <c r="AD107" s="15"/>
      <c r="AE107" s="15"/>
      <c r="AF107" s="15"/>
    </row>
    <row r="108" ht="15.75" customHeight="1">
      <c r="A108" s="28" t="s">
        <v>5</v>
      </c>
      <c r="E108" s="35" t="s">
        <v>86</v>
      </c>
      <c r="F108" s="65" t="s">
        <v>91</v>
      </c>
      <c r="G108" s="435" t="s">
        <v>3581</v>
      </c>
      <c r="H108" s="35" t="s">
        <v>91</v>
      </c>
      <c r="L108" s="11"/>
      <c r="M108" s="15"/>
      <c r="N108" s="15"/>
      <c r="O108" s="15"/>
      <c r="P108" s="15"/>
      <c r="Q108" s="15"/>
      <c r="R108" s="15"/>
      <c r="S108" s="15"/>
      <c r="T108" s="15"/>
      <c r="U108" s="15"/>
      <c r="V108" s="15"/>
      <c r="W108" s="15"/>
      <c r="X108" s="15"/>
      <c r="Y108" s="15"/>
      <c r="Z108" s="15"/>
      <c r="AA108" s="15"/>
      <c r="AB108" s="15"/>
      <c r="AC108" s="15"/>
      <c r="AD108" s="15"/>
      <c r="AE108" s="15"/>
      <c r="AF108" s="15"/>
    </row>
    <row r="109" ht="15.75" customHeight="1">
      <c r="A109" s="28" t="s">
        <v>5</v>
      </c>
      <c r="E109" s="35" t="s">
        <v>86</v>
      </c>
      <c r="F109" s="65" t="s">
        <v>338</v>
      </c>
      <c r="G109" s="435" t="s">
        <v>3582</v>
      </c>
      <c r="H109" s="35" t="s">
        <v>338</v>
      </c>
      <c r="L109" s="11"/>
      <c r="M109" s="15"/>
      <c r="N109" s="15"/>
      <c r="O109" s="15"/>
      <c r="P109" s="15"/>
      <c r="Q109" s="15"/>
      <c r="R109" s="15"/>
      <c r="S109" s="15"/>
      <c r="T109" s="15"/>
      <c r="U109" s="15"/>
      <c r="V109" s="15"/>
      <c r="W109" s="15"/>
      <c r="X109" s="15"/>
      <c r="Y109" s="15"/>
      <c r="Z109" s="15"/>
      <c r="AA109" s="15"/>
      <c r="AB109" s="15"/>
      <c r="AC109" s="15"/>
      <c r="AD109" s="15"/>
      <c r="AE109" s="15"/>
      <c r="AF109" s="15"/>
    </row>
    <row r="110" ht="15.75" customHeight="1">
      <c r="A110" s="28" t="s">
        <v>5</v>
      </c>
      <c r="E110" s="65" t="s">
        <v>86</v>
      </c>
      <c r="F110" s="35" t="s">
        <v>339</v>
      </c>
      <c r="G110" s="165" t="s">
        <v>3583</v>
      </c>
      <c r="H110" s="35" t="s">
        <v>339</v>
      </c>
      <c r="I110" s="36"/>
      <c r="J110" s="36"/>
      <c r="L110" s="11"/>
      <c r="M110" s="15"/>
      <c r="N110" s="15"/>
      <c r="O110" s="15"/>
      <c r="P110" s="15"/>
      <c r="Q110" s="15"/>
      <c r="R110" s="15"/>
      <c r="S110" s="15"/>
      <c r="T110" s="15"/>
      <c r="U110" s="15"/>
      <c r="V110" s="15"/>
      <c r="W110" s="15"/>
      <c r="X110" s="15"/>
      <c r="Y110" s="15"/>
      <c r="Z110" s="15"/>
      <c r="AA110" s="15"/>
      <c r="AB110" s="15"/>
      <c r="AC110" s="15"/>
      <c r="AD110" s="15"/>
      <c r="AE110" s="15"/>
      <c r="AF110" s="15"/>
    </row>
    <row r="111" ht="15.75" customHeight="1">
      <c r="A111" s="28" t="s">
        <v>5</v>
      </c>
      <c r="E111" s="65" t="s">
        <v>86</v>
      </c>
      <c r="F111" s="65" t="s">
        <v>743</v>
      </c>
      <c r="G111" s="435" t="s">
        <v>3584</v>
      </c>
      <c r="H111" s="35" t="s">
        <v>743</v>
      </c>
      <c r="L111" s="11"/>
      <c r="M111" s="15"/>
      <c r="N111" s="15"/>
      <c r="O111" s="15"/>
      <c r="P111" s="15"/>
      <c r="Q111" s="15"/>
      <c r="R111" s="15"/>
      <c r="S111" s="15"/>
      <c r="T111" s="15"/>
      <c r="U111" s="15"/>
      <c r="V111" s="15"/>
      <c r="W111" s="15"/>
      <c r="X111" s="15"/>
      <c r="Y111" s="15"/>
      <c r="Z111" s="15"/>
      <c r="AA111" s="15"/>
      <c r="AB111" s="15"/>
      <c r="AC111" s="15"/>
      <c r="AD111" s="15"/>
      <c r="AE111" s="15"/>
      <c r="AF111" s="15"/>
    </row>
    <row r="112" ht="15.75" customHeight="1">
      <c r="A112" s="28" t="s">
        <v>5</v>
      </c>
      <c r="E112" s="65" t="s">
        <v>88</v>
      </c>
      <c r="F112" s="65" t="s">
        <v>95</v>
      </c>
      <c r="G112" s="435" t="s">
        <v>3585</v>
      </c>
      <c r="H112" s="35" t="s">
        <v>95</v>
      </c>
      <c r="L112" s="11"/>
      <c r="M112" s="15"/>
      <c r="N112" s="15"/>
      <c r="O112" s="15"/>
      <c r="P112" s="15"/>
      <c r="Q112" s="15"/>
      <c r="R112" s="15"/>
      <c r="S112" s="15"/>
      <c r="T112" s="15"/>
      <c r="U112" s="15"/>
      <c r="V112" s="15"/>
      <c r="W112" s="15"/>
      <c r="X112" s="15"/>
      <c r="Y112" s="15"/>
      <c r="Z112" s="15"/>
      <c r="AA112" s="15"/>
      <c r="AB112" s="15"/>
      <c r="AC112" s="15"/>
      <c r="AD112" s="15"/>
      <c r="AE112" s="15"/>
      <c r="AF112" s="15"/>
    </row>
    <row r="113" ht="15.75" customHeight="1">
      <c r="A113" s="28" t="s">
        <v>5</v>
      </c>
      <c r="E113" s="65" t="s">
        <v>88</v>
      </c>
      <c r="F113" s="65" t="s">
        <v>96</v>
      </c>
      <c r="G113" s="435" t="s">
        <v>3586</v>
      </c>
      <c r="H113" s="35" t="s">
        <v>96</v>
      </c>
      <c r="L113" s="11"/>
      <c r="M113" s="15"/>
      <c r="N113" s="15"/>
      <c r="O113" s="15"/>
      <c r="P113" s="15"/>
      <c r="Q113" s="15"/>
      <c r="R113" s="15"/>
      <c r="S113" s="15"/>
      <c r="T113" s="15"/>
      <c r="U113" s="15"/>
      <c r="V113" s="15"/>
      <c r="W113" s="15"/>
      <c r="X113" s="15"/>
      <c r="Y113" s="15"/>
      <c r="Z113" s="15"/>
      <c r="AA113" s="15"/>
      <c r="AB113" s="15"/>
      <c r="AC113" s="15"/>
      <c r="AD113" s="15"/>
      <c r="AE113" s="15"/>
      <c r="AF113" s="15"/>
    </row>
    <row r="114" ht="15.75" customHeight="1">
      <c r="A114" s="28" t="s">
        <v>5</v>
      </c>
      <c r="E114" s="65" t="s">
        <v>104</v>
      </c>
      <c r="F114" s="65" t="s">
        <v>250</v>
      </c>
      <c r="G114" s="435" t="s">
        <v>3587</v>
      </c>
      <c r="H114" s="35" t="s">
        <v>250</v>
      </c>
      <c r="L114" s="11"/>
      <c r="M114" s="15"/>
      <c r="N114" s="15"/>
      <c r="O114" s="15"/>
      <c r="P114" s="15"/>
      <c r="Q114" s="15"/>
      <c r="R114" s="15"/>
      <c r="S114" s="15"/>
      <c r="T114" s="15"/>
      <c r="U114" s="15"/>
      <c r="V114" s="15"/>
      <c r="W114" s="15"/>
      <c r="X114" s="15"/>
      <c r="Y114" s="15"/>
      <c r="Z114" s="15"/>
      <c r="AA114" s="15"/>
      <c r="AB114" s="15"/>
      <c r="AC114" s="15"/>
      <c r="AD114" s="15"/>
      <c r="AE114" s="15"/>
      <c r="AF114" s="15"/>
    </row>
    <row r="115" ht="15.75" customHeight="1">
      <c r="A115" s="28" t="s">
        <v>5</v>
      </c>
      <c r="E115" s="35" t="s">
        <v>86</v>
      </c>
      <c r="F115" s="35" t="s">
        <v>353</v>
      </c>
      <c r="G115" s="165" t="s">
        <v>3588</v>
      </c>
      <c r="H115" s="35" t="s">
        <v>353</v>
      </c>
      <c r="L115" s="11"/>
      <c r="M115" s="15"/>
      <c r="N115" s="15"/>
      <c r="O115" s="15"/>
      <c r="P115" s="15"/>
      <c r="Q115" s="15"/>
      <c r="R115" s="15"/>
      <c r="S115" s="15"/>
      <c r="T115" s="15"/>
      <c r="U115" s="15"/>
      <c r="V115" s="15"/>
      <c r="W115" s="15"/>
      <c r="X115" s="15"/>
      <c r="Y115" s="15"/>
      <c r="Z115" s="15"/>
      <c r="AA115" s="15"/>
      <c r="AB115" s="15"/>
      <c r="AC115" s="15"/>
      <c r="AD115" s="15"/>
      <c r="AE115" s="15"/>
      <c r="AF115" s="15"/>
    </row>
    <row r="116" ht="15.75" customHeight="1">
      <c r="A116" s="28" t="s">
        <v>5</v>
      </c>
      <c r="B116" s="255" t="s">
        <v>3589</v>
      </c>
      <c r="C116" s="35" t="s">
        <v>3590</v>
      </c>
      <c r="D116" s="35" t="s">
        <v>20</v>
      </c>
      <c r="E116" s="432" t="s">
        <v>86</v>
      </c>
      <c r="F116" s="433" t="s">
        <v>87</v>
      </c>
      <c r="I116" s="35"/>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28" t="s">
        <v>5</v>
      </c>
      <c r="E117" s="432" t="s">
        <v>88</v>
      </c>
      <c r="F117" s="432" t="s">
        <v>89</v>
      </c>
      <c r="H117" s="35"/>
      <c r="I117" s="35"/>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28" t="s">
        <v>5</v>
      </c>
      <c r="E118" s="65" t="s">
        <v>21</v>
      </c>
      <c r="F118" s="35" t="s">
        <v>51</v>
      </c>
      <c r="G118" s="165" t="s">
        <v>3591</v>
      </c>
      <c r="H118" s="35" t="s">
        <v>51</v>
      </c>
      <c r="I118" s="35"/>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28" t="s">
        <v>5</v>
      </c>
      <c r="E119" s="35" t="s">
        <v>86</v>
      </c>
      <c r="F119" s="35" t="s">
        <v>90</v>
      </c>
      <c r="G119" s="165" t="s">
        <v>3592</v>
      </c>
      <c r="H119" s="35" t="s">
        <v>90</v>
      </c>
      <c r="I119" s="36"/>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28" t="s">
        <v>5</v>
      </c>
      <c r="E120" s="35" t="s">
        <v>86</v>
      </c>
      <c r="F120" s="35" t="s">
        <v>91</v>
      </c>
      <c r="G120" s="165" t="s">
        <v>3593</v>
      </c>
      <c r="H120" s="35" t="s">
        <v>91</v>
      </c>
      <c r="I120" s="36"/>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28" t="s">
        <v>5</v>
      </c>
      <c r="E121" s="35" t="s">
        <v>86</v>
      </c>
      <c r="F121" s="35" t="s">
        <v>338</v>
      </c>
      <c r="G121" s="165" t="s">
        <v>3594</v>
      </c>
      <c r="H121" s="35" t="s">
        <v>338</v>
      </c>
      <c r="I121" s="36"/>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28" t="s">
        <v>5</v>
      </c>
      <c r="E122" s="28" t="s">
        <v>86</v>
      </c>
      <c r="F122" s="35" t="s">
        <v>339</v>
      </c>
      <c r="G122" s="165" t="s">
        <v>3595</v>
      </c>
      <c r="H122" s="35" t="s">
        <v>339</v>
      </c>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28"/>
      <c r="E123" s="28" t="s">
        <v>86</v>
      </c>
      <c r="F123" s="35" t="s">
        <v>90</v>
      </c>
      <c r="G123" s="165" t="str">
        <f>HYPERLINK("https://docs.google.com/spreadsheets/d/1fFngXXBz4OMgfufvIFYr0OoiHW0QMd9uesoCgrKBXls/edit#gid=1056624882", "https://docs.google.com/spreadsheets/d/1fFngXXBz4OMgfufvIFYr0OoiHW0QMd9uesoCgrKBXls/edit#gid=1056624882")</f>
        <v>https://docs.google.com/spreadsheets/d/1fFngXXBz4OMgfufvIFYr0OoiHW0QMd9uesoCgrKBXls/edit#gid=1056624882</v>
      </c>
      <c r="H123" s="35" t="s">
        <v>90</v>
      </c>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28" t="s">
        <v>5</v>
      </c>
      <c r="E124" s="28" t="s">
        <v>86</v>
      </c>
      <c r="F124" s="65" t="s">
        <v>743</v>
      </c>
      <c r="G124" s="435" t="s">
        <v>3596</v>
      </c>
      <c r="H124" s="35" t="s">
        <v>743</v>
      </c>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28" t="s">
        <v>5</v>
      </c>
      <c r="E125" s="28" t="s">
        <v>88</v>
      </c>
      <c r="F125" s="65" t="s">
        <v>95</v>
      </c>
      <c r="G125" s="435" t="s">
        <v>3597</v>
      </c>
      <c r="H125" s="35" t="s">
        <v>95</v>
      </c>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28" t="s">
        <v>5</v>
      </c>
      <c r="E126" s="28" t="s">
        <v>88</v>
      </c>
      <c r="F126" s="65" t="s">
        <v>96</v>
      </c>
      <c r="G126" s="435" t="s">
        <v>3598</v>
      </c>
      <c r="H126" s="35" t="s">
        <v>96</v>
      </c>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28" t="s">
        <v>5</v>
      </c>
      <c r="E127" s="28" t="s">
        <v>104</v>
      </c>
      <c r="F127" s="65" t="s">
        <v>250</v>
      </c>
      <c r="G127" s="435" t="s">
        <v>3599</v>
      </c>
      <c r="H127" s="35" t="s">
        <v>250</v>
      </c>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28" t="s">
        <v>5</v>
      </c>
      <c r="E128" s="35" t="s">
        <v>86</v>
      </c>
      <c r="F128" s="35" t="s">
        <v>353</v>
      </c>
      <c r="G128" s="165" t="s">
        <v>3600</v>
      </c>
      <c r="H128" s="35" t="s">
        <v>353</v>
      </c>
      <c r="I128" s="36"/>
      <c r="J128" s="36"/>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28" t="s">
        <v>5</v>
      </c>
      <c r="B129" s="35" t="s">
        <v>3601</v>
      </c>
      <c r="C129" s="71" t="s">
        <v>3602</v>
      </c>
      <c r="D129" s="35" t="s">
        <v>20</v>
      </c>
      <c r="E129" s="432" t="s">
        <v>86</v>
      </c>
      <c r="F129" s="433" t="s">
        <v>87</v>
      </c>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28" t="s">
        <v>5</v>
      </c>
      <c r="E130" s="432" t="s">
        <v>88</v>
      </c>
      <c r="F130" s="432" t="s">
        <v>89</v>
      </c>
      <c r="H130" s="35"/>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28" t="s">
        <v>5</v>
      </c>
      <c r="E131" s="65" t="s">
        <v>21</v>
      </c>
      <c r="F131" s="35" t="s">
        <v>51</v>
      </c>
      <c r="G131" s="165" t="s">
        <v>3603</v>
      </c>
      <c r="H131" s="35" t="s">
        <v>51</v>
      </c>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28" t="s">
        <v>5</v>
      </c>
      <c r="E132" s="35" t="s">
        <v>86</v>
      </c>
      <c r="F132" s="35" t="s">
        <v>90</v>
      </c>
      <c r="G132" s="165" t="s">
        <v>3604</v>
      </c>
      <c r="H132" s="35" t="s">
        <v>90</v>
      </c>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28" t="s">
        <v>5</v>
      </c>
      <c r="E133" s="35" t="s">
        <v>86</v>
      </c>
      <c r="F133" s="35" t="s">
        <v>91</v>
      </c>
      <c r="G133" s="165" t="s">
        <v>3605</v>
      </c>
      <c r="H133" s="35" t="s">
        <v>91</v>
      </c>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28" t="s">
        <v>5</v>
      </c>
      <c r="E134" s="35" t="s">
        <v>86</v>
      </c>
      <c r="F134" s="35" t="s">
        <v>338</v>
      </c>
      <c r="G134" s="165" t="s">
        <v>3606</v>
      </c>
      <c r="H134" s="35" t="s">
        <v>338</v>
      </c>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28" t="s">
        <v>5</v>
      </c>
      <c r="E135" s="35" t="s">
        <v>86</v>
      </c>
      <c r="F135" s="35" t="s">
        <v>339</v>
      </c>
      <c r="G135" s="165" t="s">
        <v>3607</v>
      </c>
      <c r="H135" s="35" t="s">
        <v>339</v>
      </c>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28"/>
      <c r="E136" s="35" t="s">
        <v>86</v>
      </c>
      <c r="F136" s="35" t="s">
        <v>90</v>
      </c>
      <c r="G136" s="165" t="str">
        <f>HYPERLINK("https://docs.google.com/spreadsheets/d/18xw-XtZvLKzOsqn57o8pfHdOFIg5h9AmB2bWtHCk_EM/edit#gid=2141955546", "https://docs.google.com/spreadsheets/d/18xw-XtZvLKzOsqn57o8pfHdOFIg5h9AmB2bWtHCk_EM/edit#gid=2141955546")</f>
        <v>https://docs.google.com/spreadsheets/d/18xw-XtZvLKzOsqn57o8pfHdOFIg5h9AmB2bWtHCk_EM/edit#gid=2141955546</v>
      </c>
      <c r="H136" s="35" t="s">
        <v>90</v>
      </c>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28" t="s">
        <v>5</v>
      </c>
      <c r="E137" s="35" t="s">
        <v>86</v>
      </c>
      <c r="F137" s="35" t="s">
        <v>743</v>
      </c>
      <c r="G137" s="165" t="s">
        <v>3608</v>
      </c>
      <c r="H137" s="35" t="s">
        <v>743</v>
      </c>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28" t="s">
        <v>5</v>
      </c>
      <c r="E138" s="35" t="s">
        <v>88</v>
      </c>
      <c r="F138" s="35" t="s">
        <v>95</v>
      </c>
      <c r="G138" s="165" t="s">
        <v>3609</v>
      </c>
      <c r="H138" s="35" t="s">
        <v>95</v>
      </c>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28" t="s">
        <v>5</v>
      </c>
      <c r="E139" s="35" t="s">
        <v>88</v>
      </c>
      <c r="F139" s="35" t="s">
        <v>96</v>
      </c>
      <c r="G139" s="165" t="s">
        <v>3610</v>
      </c>
      <c r="H139" s="35" t="s">
        <v>96</v>
      </c>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28" t="s">
        <v>5</v>
      </c>
      <c r="E140" s="35" t="s">
        <v>104</v>
      </c>
      <c r="F140" s="35" t="s">
        <v>250</v>
      </c>
      <c r="G140" s="165" t="s">
        <v>3611</v>
      </c>
      <c r="H140" s="35" t="s">
        <v>250</v>
      </c>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28" t="s">
        <v>5</v>
      </c>
      <c r="E141" s="28" t="s">
        <v>86</v>
      </c>
      <c r="F141" s="32" t="s">
        <v>353</v>
      </c>
      <c r="G141" s="435" t="s">
        <v>3612</v>
      </c>
      <c r="H141" s="35" t="s">
        <v>353</v>
      </c>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28" t="s">
        <v>5</v>
      </c>
      <c r="B142" s="28" t="s">
        <v>3613</v>
      </c>
      <c r="C142" s="87" t="s">
        <v>3614</v>
      </c>
      <c r="D142" s="28" t="s">
        <v>20</v>
      </c>
      <c r="E142" s="432" t="s">
        <v>86</v>
      </c>
      <c r="F142" s="433" t="s">
        <v>87</v>
      </c>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28" t="s">
        <v>5</v>
      </c>
      <c r="E143" s="432" t="s">
        <v>88</v>
      </c>
      <c r="F143" s="432" t="s">
        <v>89</v>
      </c>
      <c r="G143" s="434"/>
      <c r="H143" s="35"/>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28" t="s">
        <v>5</v>
      </c>
      <c r="E144" s="28" t="s">
        <v>21</v>
      </c>
      <c r="F144" s="32" t="s">
        <v>51</v>
      </c>
      <c r="G144" s="435" t="s">
        <v>3615</v>
      </c>
      <c r="H144" s="35" t="s">
        <v>51</v>
      </c>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28" t="s">
        <v>5</v>
      </c>
      <c r="E145" s="28" t="s">
        <v>86</v>
      </c>
      <c r="F145" s="32" t="s">
        <v>90</v>
      </c>
      <c r="G145" s="435" t="s">
        <v>3616</v>
      </c>
      <c r="H145" s="35" t="s">
        <v>90</v>
      </c>
      <c r="I145" s="36"/>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28" t="s">
        <v>5</v>
      </c>
      <c r="E146" s="28" t="s">
        <v>86</v>
      </c>
      <c r="F146" s="32" t="s">
        <v>91</v>
      </c>
      <c r="G146" s="435" t="s">
        <v>3617</v>
      </c>
      <c r="H146" s="35" t="s">
        <v>91</v>
      </c>
      <c r="I146" s="36"/>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28" t="s">
        <v>5</v>
      </c>
      <c r="E147" s="28" t="s">
        <v>86</v>
      </c>
      <c r="F147" s="32" t="s">
        <v>338</v>
      </c>
      <c r="G147" s="435" t="s">
        <v>3618</v>
      </c>
      <c r="H147" s="35" t="s">
        <v>338</v>
      </c>
      <c r="I147" s="36"/>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28" t="s">
        <v>5</v>
      </c>
      <c r="E148" s="28" t="s">
        <v>86</v>
      </c>
      <c r="F148" s="32" t="s">
        <v>339</v>
      </c>
      <c r="G148" s="435" t="s">
        <v>3619</v>
      </c>
      <c r="H148" s="35" t="s">
        <v>339</v>
      </c>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28"/>
      <c r="E149" s="28" t="s">
        <v>86</v>
      </c>
      <c r="F149" s="32" t="s">
        <v>90</v>
      </c>
      <c r="G149" s="435" t="str">
        <f>HYPERLINK("https://docs.google.com/spreadsheets/d/1C_64Ma1ksy27NwcgZzIFXJvaqRWnMitD0cZq9Jbq7CY/edit#gid=1730013790", "https://docs.google.com/spreadsheets/d/1C_64Ma1ksy27NwcgZzIFXJvaqRWnMitD0cZq9Jbq7CY/edit#gid=1730013790")</f>
        <v>https://docs.google.com/spreadsheets/d/1C_64Ma1ksy27NwcgZzIFXJvaqRWnMitD0cZq9Jbq7CY/edit#gid=1730013790</v>
      </c>
      <c r="H149" s="35" t="s">
        <v>90</v>
      </c>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28" t="s">
        <v>5</v>
      </c>
      <c r="E150" s="28" t="s">
        <v>86</v>
      </c>
      <c r="F150" s="32" t="s">
        <v>743</v>
      </c>
      <c r="G150" s="435" t="s">
        <v>3620</v>
      </c>
      <c r="H150" s="35" t="s">
        <v>743</v>
      </c>
      <c r="I150" s="36"/>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28" t="s">
        <v>5</v>
      </c>
      <c r="E151" s="28" t="s">
        <v>88</v>
      </c>
      <c r="F151" s="32" t="s">
        <v>95</v>
      </c>
      <c r="G151" s="435" t="s">
        <v>3621</v>
      </c>
      <c r="H151" s="35" t="s">
        <v>95</v>
      </c>
      <c r="I151" s="36"/>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28" t="s">
        <v>5</v>
      </c>
      <c r="E152" s="28" t="s">
        <v>88</v>
      </c>
      <c r="F152" s="32" t="s">
        <v>96</v>
      </c>
      <c r="G152" s="435" t="s">
        <v>3622</v>
      </c>
      <c r="H152" s="35" t="s">
        <v>96</v>
      </c>
      <c r="I152" s="36"/>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28" t="s">
        <v>5</v>
      </c>
      <c r="E153" s="28" t="s">
        <v>104</v>
      </c>
      <c r="F153" s="32" t="s">
        <v>250</v>
      </c>
      <c r="G153" s="435" t="s">
        <v>3623</v>
      </c>
      <c r="H153" s="35" t="s">
        <v>250</v>
      </c>
      <c r="I153" s="36"/>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28" t="s">
        <v>5</v>
      </c>
      <c r="E154" s="28" t="s">
        <v>86</v>
      </c>
      <c r="F154" s="32" t="s">
        <v>353</v>
      </c>
      <c r="G154" s="435" t="s">
        <v>3624</v>
      </c>
      <c r="H154" s="35" t="s">
        <v>353</v>
      </c>
      <c r="I154" s="36"/>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28" t="s">
        <v>5</v>
      </c>
      <c r="B155" s="28" t="s">
        <v>3625</v>
      </c>
      <c r="C155" s="87" t="s">
        <v>3626</v>
      </c>
      <c r="D155" s="28" t="s">
        <v>20</v>
      </c>
      <c r="E155" s="432" t="s">
        <v>86</v>
      </c>
      <c r="F155" s="433" t="s">
        <v>87</v>
      </c>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28" t="s">
        <v>5</v>
      </c>
      <c r="E156" s="432" t="s">
        <v>88</v>
      </c>
      <c r="F156" s="432" t="s">
        <v>89</v>
      </c>
      <c r="G156" s="434"/>
      <c r="H156" s="65"/>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28" t="s">
        <v>5</v>
      </c>
      <c r="E157" s="28" t="s">
        <v>21</v>
      </c>
      <c r="F157" s="65" t="s">
        <v>51</v>
      </c>
      <c r="G157" s="435" t="s">
        <v>3627</v>
      </c>
      <c r="H157" s="65" t="s">
        <v>51</v>
      </c>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28" t="s">
        <v>5</v>
      </c>
      <c r="E158" s="28" t="s">
        <v>86</v>
      </c>
      <c r="F158" s="32" t="s">
        <v>90</v>
      </c>
      <c r="G158" s="435" t="s">
        <v>3628</v>
      </c>
      <c r="H158" s="35" t="s">
        <v>90</v>
      </c>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28" t="s">
        <v>5</v>
      </c>
      <c r="E159" s="28" t="s">
        <v>86</v>
      </c>
      <c r="F159" s="32" t="s">
        <v>91</v>
      </c>
      <c r="G159" s="435" t="s">
        <v>3629</v>
      </c>
      <c r="H159" s="35" t="s">
        <v>91</v>
      </c>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28" t="s">
        <v>5</v>
      </c>
      <c r="E160" s="28" t="s">
        <v>86</v>
      </c>
      <c r="F160" s="32" t="s">
        <v>338</v>
      </c>
      <c r="G160" s="435" t="s">
        <v>3630</v>
      </c>
      <c r="H160" s="35" t="s">
        <v>338</v>
      </c>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28" t="s">
        <v>5</v>
      </c>
      <c r="E161" s="28" t="s">
        <v>86</v>
      </c>
      <c r="F161" s="32" t="s">
        <v>339</v>
      </c>
      <c r="G161" s="435" t="s">
        <v>3631</v>
      </c>
      <c r="H161" s="35" t="s">
        <v>339</v>
      </c>
      <c r="I161" s="36"/>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28" t="s">
        <v>5</v>
      </c>
      <c r="E162" s="28" t="s">
        <v>86</v>
      </c>
      <c r="F162" s="32" t="s">
        <v>743</v>
      </c>
      <c r="G162" s="435" t="s">
        <v>3632</v>
      </c>
      <c r="H162" s="35" t="s">
        <v>743</v>
      </c>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28" t="s">
        <v>5</v>
      </c>
      <c r="E163" s="28" t="s">
        <v>88</v>
      </c>
      <c r="F163" s="32" t="s">
        <v>95</v>
      </c>
      <c r="G163" s="435" t="s">
        <v>3633</v>
      </c>
      <c r="H163" s="35" t="s">
        <v>95</v>
      </c>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28" t="s">
        <v>5</v>
      </c>
      <c r="E164" s="28" t="s">
        <v>88</v>
      </c>
      <c r="F164" s="32" t="s">
        <v>96</v>
      </c>
      <c r="G164" s="435" t="s">
        <v>3634</v>
      </c>
      <c r="H164" s="35" t="s">
        <v>96</v>
      </c>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28" t="s">
        <v>5</v>
      </c>
      <c r="E165" s="28" t="s">
        <v>104</v>
      </c>
      <c r="F165" s="32" t="s">
        <v>250</v>
      </c>
      <c r="G165" s="435" t="s">
        <v>3635</v>
      </c>
      <c r="H165" s="35" t="s">
        <v>250</v>
      </c>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28" t="s">
        <v>5</v>
      </c>
      <c r="E166" s="28" t="s">
        <v>86</v>
      </c>
      <c r="F166" s="32" t="s">
        <v>353</v>
      </c>
      <c r="G166" s="435" t="s">
        <v>3636</v>
      </c>
      <c r="H166" s="35" t="s">
        <v>353</v>
      </c>
      <c r="I166" s="36"/>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28" t="s">
        <v>5</v>
      </c>
      <c r="B167" s="28" t="s">
        <v>3637</v>
      </c>
      <c r="C167" s="87" t="s">
        <v>3638</v>
      </c>
      <c r="D167" s="28" t="s">
        <v>20</v>
      </c>
      <c r="E167" s="432" t="s">
        <v>86</v>
      </c>
      <c r="F167" s="433" t="s">
        <v>87</v>
      </c>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28" t="s">
        <v>5</v>
      </c>
      <c r="E168" s="432" t="s">
        <v>88</v>
      </c>
      <c r="F168" s="432" t="s">
        <v>89</v>
      </c>
      <c r="G168" s="434"/>
      <c r="H168" s="35"/>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28" t="s">
        <v>5</v>
      </c>
      <c r="E169" s="28" t="s">
        <v>21</v>
      </c>
      <c r="F169" s="65" t="s">
        <v>51</v>
      </c>
      <c r="G169" s="435" t="s">
        <v>3639</v>
      </c>
      <c r="H169" s="35" t="s">
        <v>51</v>
      </c>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28" t="s">
        <v>5</v>
      </c>
      <c r="E170" s="28" t="s">
        <v>86</v>
      </c>
      <c r="F170" s="65" t="s">
        <v>90</v>
      </c>
      <c r="G170" s="435" t="s">
        <v>3640</v>
      </c>
      <c r="H170" s="35" t="s">
        <v>90</v>
      </c>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28" t="s">
        <v>5</v>
      </c>
      <c r="E171" s="28" t="s">
        <v>86</v>
      </c>
      <c r="F171" s="65" t="s">
        <v>91</v>
      </c>
      <c r="G171" s="435" t="s">
        <v>3641</v>
      </c>
      <c r="H171" s="35" t="s">
        <v>91</v>
      </c>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28" t="s">
        <v>5</v>
      </c>
      <c r="E172" s="28" t="s">
        <v>86</v>
      </c>
      <c r="F172" s="65" t="s">
        <v>338</v>
      </c>
      <c r="G172" s="435" t="s">
        <v>3642</v>
      </c>
      <c r="H172" s="35" t="s">
        <v>338</v>
      </c>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28" t="s">
        <v>5</v>
      </c>
      <c r="E173" s="28" t="s">
        <v>86</v>
      </c>
      <c r="F173" s="32" t="s">
        <v>339</v>
      </c>
      <c r="G173" s="435" t="s">
        <v>3643</v>
      </c>
      <c r="H173" s="35" t="s">
        <v>339</v>
      </c>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28" t="s">
        <v>5</v>
      </c>
      <c r="E174" s="28" t="s">
        <v>86</v>
      </c>
      <c r="F174" s="32" t="s">
        <v>743</v>
      </c>
      <c r="G174" s="435" t="s">
        <v>3644</v>
      </c>
      <c r="H174" s="35" t="s">
        <v>743</v>
      </c>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28" t="s">
        <v>5</v>
      </c>
      <c r="E175" s="28" t="s">
        <v>88</v>
      </c>
      <c r="F175" s="32" t="s">
        <v>95</v>
      </c>
      <c r="G175" s="435" t="s">
        <v>3645</v>
      </c>
      <c r="H175" s="35" t="s">
        <v>95</v>
      </c>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28" t="s">
        <v>5</v>
      </c>
      <c r="E176" s="28" t="s">
        <v>88</v>
      </c>
      <c r="F176" s="32" t="s">
        <v>96</v>
      </c>
      <c r="G176" s="435" t="s">
        <v>3646</v>
      </c>
      <c r="H176" s="35" t="s">
        <v>96</v>
      </c>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28" t="s">
        <v>5</v>
      </c>
      <c r="E177" s="28" t="s">
        <v>86</v>
      </c>
      <c r="F177" s="32" t="s">
        <v>353</v>
      </c>
      <c r="G177" s="159" t="s">
        <v>3647</v>
      </c>
      <c r="H177" s="35" t="s">
        <v>353</v>
      </c>
      <c r="I177" s="36"/>
      <c r="J177" s="36"/>
      <c r="K177" s="36"/>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28" t="s">
        <v>5</v>
      </c>
      <c r="B178" s="28" t="s">
        <v>3648</v>
      </c>
      <c r="C178" s="87" t="s">
        <v>3649</v>
      </c>
      <c r="D178" s="28" t="s">
        <v>20</v>
      </c>
      <c r="E178" s="432" t="s">
        <v>86</v>
      </c>
      <c r="F178" s="433" t="s">
        <v>87</v>
      </c>
      <c r="I178" s="35"/>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28" t="s">
        <v>5</v>
      </c>
      <c r="E179" s="432" t="s">
        <v>88</v>
      </c>
      <c r="F179" s="432" t="s">
        <v>89</v>
      </c>
      <c r="G179" s="439"/>
      <c r="H179" s="71"/>
      <c r="I179" s="35"/>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28" t="s">
        <v>5</v>
      </c>
      <c r="E180" s="28" t="s">
        <v>21</v>
      </c>
      <c r="F180" s="32" t="s">
        <v>51</v>
      </c>
      <c r="G180" s="159" t="s">
        <v>3650</v>
      </c>
      <c r="H180" s="71" t="s">
        <v>51</v>
      </c>
      <c r="I180" s="35"/>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28" t="s">
        <v>5</v>
      </c>
      <c r="E181" s="28" t="s">
        <v>86</v>
      </c>
      <c r="F181" s="32" t="s">
        <v>90</v>
      </c>
      <c r="G181" s="159" t="s">
        <v>3651</v>
      </c>
      <c r="H181" s="35" t="s">
        <v>90</v>
      </c>
      <c r="I181" s="36"/>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28" t="s">
        <v>5</v>
      </c>
      <c r="E182" s="28" t="s">
        <v>86</v>
      </c>
      <c r="F182" s="32" t="s">
        <v>91</v>
      </c>
      <c r="G182" s="159" t="s">
        <v>3652</v>
      </c>
      <c r="H182" s="35" t="s">
        <v>91</v>
      </c>
      <c r="I182" s="36"/>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28" t="s">
        <v>5</v>
      </c>
      <c r="E183" s="28" t="s">
        <v>86</v>
      </c>
      <c r="F183" s="32" t="s">
        <v>338</v>
      </c>
      <c r="G183" s="159" t="s">
        <v>3653</v>
      </c>
      <c r="H183" s="35" t="s">
        <v>338</v>
      </c>
      <c r="I183" s="36"/>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28" t="s">
        <v>5</v>
      </c>
      <c r="E184" s="28" t="s">
        <v>86</v>
      </c>
      <c r="F184" s="32" t="s">
        <v>339</v>
      </c>
      <c r="G184" s="435" t="s">
        <v>3654</v>
      </c>
      <c r="H184" s="35" t="s">
        <v>339</v>
      </c>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28" t="s">
        <v>5</v>
      </c>
      <c r="E185" s="28" t="s">
        <v>86</v>
      </c>
      <c r="F185" s="32" t="s">
        <v>743</v>
      </c>
      <c r="G185" s="435" t="s">
        <v>3655</v>
      </c>
      <c r="H185" s="35" t="s">
        <v>743</v>
      </c>
      <c r="I185" s="36"/>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28" t="s">
        <v>5</v>
      </c>
      <c r="E186" s="28" t="s">
        <v>88</v>
      </c>
      <c r="F186" s="32" t="s">
        <v>95</v>
      </c>
      <c r="G186" s="435" t="s">
        <v>3656</v>
      </c>
      <c r="H186" s="35" t="s">
        <v>95</v>
      </c>
      <c r="I186" s="36"/>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28" t="s">
        <v>5</v>
      </c>
      <c r="E187" s="28" t="s">
        <v>88</v>
      </c>
      <c r="F187" s="32" t="s">
        <v>96</v>
      </c>
      <c r="G187" s="435" t="s">
        <v>3657</v>
      </c>
      <c r="H187" s="35" t="s">
        <v>96</v>
      </c>
      <c r="I187" s="36"/>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28" t="s">
        <v>5</v>
      </c>
      <c r="E188" s="28" t="s">
        <v>86</v>
      </c>
      <c r="F188" s="32" t="s">
        <v>353</v>
      </c>
      <c r="G188" s="435" t="s">
        <v>3658</v>
      </c>
      <c r="H188" s="35" t="s">
        <v>353</v>
      </c>
      <c r="I188" s="36"/>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28" t="s">
        <v>5</v>
      </c>
      <c r="B189" s="440" t="s">
        <v>3659</v>
      </c>
      <c r="C189" s="83" t="s">
        <v>3660</v>
      </c>
      <c r="D189" s="440" t="s">
        <v>20</v>
      </c>
      <c r="E189" s="432" t="s">
        <v>86</v>
      </c>
      <c r="F189" s="433" t="s">
        <v>87</v>
      </c>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28" t="s">
        <v>5</v>
      </c>
      <c r="E190" s="432" t="s">
        <v>88</v>
      </c>
      <c r="F190" s="432" t="s">
        <v>89</v>
      </c>
      <c r="G190" s="434"/>
      <c r="H190" s="32"/>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28" t="s">
        <v>5</v>
      </c>
      <c r="E191" s="28" t="s">
        <v>21</v>
      </c>
      <c r="F191" s="32" t="s">
        <v>51</v>
      </c>
      <c r="G191" s="435" t="s">
        <v>3661</v>
      </c>
      <c r="H191" s="32" t="s">
        <v>51</v>
      </c>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28" t="s">
        <v>5</v>
      </c>
      <c r="E192" s="28" t="s">
        <v>86</v>
      </c>
      <c r="F192" s="32" t="s">
        <v>90</v>
      </c>
      <c r="G192" s="435" t="s">
        <v>3662</v>
      </c>
      <c r="H192" s="35" t="s">
        <v>90</v>
      </c>
      <c r="I192" s="36"/>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28" t="s">
        <v>5</v>
      </c>
      <c r="E193" s="28" t="s">
        <v>86</v>
      </c>
      <c r="F193" s="32" t="s">
        <v>91</v>
      </c>
      <c r="G193" s="435" t="s">
        <v>3663</v>
      </c>
      <c r="H193" s="35" t="s">
        <v>91</v>
      </c>
      <c r="I193" s="36"/>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28" t="s">
        <v>5</v>
      </c>
      <c r="E194" s="28" t="s">
        <v>86</v>
      </c>
      <c r="F194" s="32" t="s">
        <v>92</v>
      </c>
      <c r="G194" s="435" t="s">
        <v>3664</v>
      </c>
      <c r="H194" s="35" t="s">
        <v>92</v>
      </c>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28" t="s">
        <v>5</v>
      </c>
      <c r="E195" s="28" t="s">
        <v>86</v>
      </c>
      <c r="F195" s="32" t="s">
        <v>748</v>
      </c>
      <c r="G195" s="435" t="s">
        <v>3665</v>
      </c>
      <c r="H195" s="35" t="s">
        <v>748</v>
      </c>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28" t="s">
        <v>5</v>
      </c>
      <c r="E196" s="28" t="s">
        <v>86</v>
      </c>
      <c r="F196" s="8" t="s">
        <v>94</v>
      </c>
      <c r="G196" s="435" t="s">
        <v>3666</v>
      </c>
      <c r="H196" s="35" t="s">
        <v>94</v>
      </c>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28" t="s">
        <v>5</v>
      </c>
      <c r="E197" s="28" t="s">
        <v>88</v>
      </c>
      <c r="F197" s="8" t="s">
        <v>95</v>
      </c>
      <c r="G197" s="435" t="s">
        <v>3667</v>
      </c>
      <c r="H197" s="35" t="s">
        <v>95</v>
      </c>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28" t="s">
        <v>5</v>
      </c>
      <c r="E198" s="28" t="s">
        <v>88</v>
      </c>
      <c r="F198" s="8" t="s">
        <v>96</v>
      </c>
      <c r="G198" s="435" t="s">
        <v>3668</v>
      </c>
      <c r="H198" s="35" t="s">
        <v>96</v>
      </c>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28" t="s">
        <v>5</v>
      </c>
      <c r="E199" s="28" t="s">
        <v>86</v>
      </c>
      <c r="F199" s="32" t="s">
        <v>97</v>
      </c>
      <c r="G199" s="435" t="s">
        <v>3669</v>
      </c>
      <c r="H199" s="35" t="s">
        <v>97</v>
      </c>
      <c r="I199" s="36"/>
      <c r="J199" s="36"/>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28" t="s">
        <v>5</v>
      </c>
      <c r="B200" s="28" t="s">
        <v>3670</v>
      </c>
      <c r="C200" s="87" t="s">
        <v>3671</v>
      </c>
      <c r="D200" s="28" t="s">
        <v>20</v>
      </c>
      <c r="E200" s="432" t="s">
        <v>86</v>
      </c>
      <c r="F200" s="433" t="s">
        <v>87</v>
      </c>
      <c r="I200" s="35"/>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28" t="s">
        <v>5</v>
      </c>
      <c r="E201" s="432" t="s">
        <v>88</v>
      </c>
      <c r="F201" s="432" t="s">
        <v>89</v>
      </c>
      <c r="G201" s="434"/>
      <c r="H201" s="32"/>
      <c r="I201" s="35"/>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28" t="s">
        <v>5</v>
      </c>
      <c r="E202" s="28" t="s">
        <v>21</v>
      </c>
      <c r="F202" s="32" t="s">
        <v>51</v>
      </c>
      <c r="G202" s="435" t="s">
        <v>3672</v>
      </c>
      <c r="H202" s="32" t="s">
        <v>51</v>
      </c>
      <c r="I202" s="35"/>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28" t="s">
        <v>5</v>
      </c>
      <c r="E203" s="28" t="s">
        <v>86</v>
      </c>
      <c r="F203" s="32" t="s">
        <v>90</v>
      </c>
      <c r="G203" s="435" t="s">
        <v>3673</v>
      </c>
      <c r="H203" s="35" t="s">
        <v>90</v>
      </c>
      <c r="I203" s="36"/>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28" t="s">
        <v>5</v>
      </c>
      <c r="E204" s="28" t="s">
        <v>86</v>
      </c>
      <c r="F204" s="32" t="s">
        <v>91</v>
      </c>
      <c r="G204" s="435" t="s">
        <v>3674</v>
      </c>
      <c r="H204" s="35" t="s">
        <v>91</v>
      </c>
      <c r="I204" s="36"/>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28" t="s">
        <v>5</v>
      </c>
      <c r="E205" s="28" t="s">
        <v>86</v>
      </c>
      <c r="F205" s="32" t="s">
        <v>92</v>
      </c>
      <c r="G205" s="435" t="s">
        <v>3675</v>
      </c>
      <c r="H205" s="35" t="s">
        <v>92</v>
      </c>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28" t="s">
        <v>5</v>
      </c>
      <c r="E206" s="28" t="s">
        <v>86</v>
      </c>
      <c r="F206" s="32" t="s">
        <v>750</v>
      </c>
      <c r="G206" s="435" t="s">
        <v>3676</v>
      </c>
      <c r="H206" s="35" t="s">
        <v>750</v>
      </c>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28" t="s">
        <v>5</v>
      </c>
      <c r="E207" s="28" t="s">
        <v>86</v>
      </c>
      <c r="F207" s="32" t="s">
        <v>94</v>
      </c>
      <c r="G207" s="435" t="s">
        <v>3677</v>
      </c>
      <c r="H207" s="35" t="s">
        <v>94</v>
      </c>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28" t="s">
        <v>5</v>
      </c>
      <c r="E208" s="28" t="s">
        <v>88</v>
      </c>
      <c r="F208" s="32" t="s">
        <v>95</v>
      </c>
      <c r="G208" s="435" t="s">
        <v>3678</v>
      </c>
      <c r="H208" s="35" t="s">
        <v>95</v>
      </c>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28" t="s">
        <v>5</v>
      </c>
      <c r="E209" s="28" t="s">
        <v>88</v>
      </c>
      <c r="F209" s="32" t="s">
        <v>96</v>
      </c>
      <c r="G209" s="435" t="s">
        <v>3679</v>
      </c>
      <c r="H209" s="35" t="s">
        <v>96</v>
      </c>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28" t="s">
        <v>5</v>
      </c>
      <c r="E210" s="28" t="s">
        <v>86</v>
      </c>
      <c r="F210" s="32" t="s">
        <v>97</v>
      </c>
      <c r="G210" s="435" t="s">
        <v>3680</v>
      </c>
      <c r="H210" s="35" t="s">
        <v>97</v>
      </c>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28" t="s">
        <v>5</v>
      </c>
      <c r="B211" s="28" t="s">
        <v>3681</v>
      </c>
      <c r="C211" s="87" t="s">
        <v>3682</v>
      </c>
      <c r="D211" s="28" t="s">
        <v>20</v>
      </c>
      <c r="E211" s="432" t="s">
        <v>86</v>
      </c>
      <c r="F211" s="433" t="s">
        <v>87</v>
      </c>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28" t="s">
        <v>5</v>
      </c>
      <c r="E212" s="432" t="s">
        <v>88</v>
      </c>
      <c r="F212" s="432" t="s">
        <v>89</v>
      </c>
      <c r="G212" s="434"/>
      <c r="H212" s="32"/>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28" t="s">
        <v>5</v>
      </c>
      <c r="E213" s="28" t="s">
        <v>21</v>
      </c>
      <c r="F213" s="32" t="s">
        <v>51</v>
      </c>
      <c r="G213" s="435" t="s">
        <v>3683</v>
      </c>
      <c r="H213" s="32" t="s">
        <v>51</v>
      </c>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28" t="s">
        <v>5</v>
      </c>
      <c r="E214" s="28" t="s">
        <v>172</v>
      </c>
      <c r="F214" s="32" t="s">
        <v>203</v>
      </c>
      <c r="G214" s="435" t="s">
        <v>3684</v>
      </c>
      <c r="H214" s="35" t="s">
        <v>203</v>
      </c>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28" t="s">
        <v>5</v>
      </c>
      <c r="E215" s="28" t="s">
        <v>172</v>
      </c>
      <c r="F215" s="32" t="s">
        <v>204</v>
      </c>
      <c r="G215" s="435" t="s">
        <v>3685</v>
      </c>
      <c r="H215" s="35" t="s">
        <v>204</v>
      </c>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28" t="s">
        <v>5</v>
      </c>
      <c r="E216" s="28" t="s">
        <v>86</v>
      </c>
      <c r="F216" s="32" t="s">
        <v>90</v>
      </c>
      <c r="G216" s="435" t="s">
        <v>3686</v>
      </c>
      <c r="H216" s="35" t="s">
        <v>90</v>
      </c>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28" t="s">
        <v>5</v>
      </c>
      <c r="E217" s="28" t="s">
        <v>86</v>
      </c>
      <c r="F217" s="32" t="s">
        <v>91</v>
      </c>
      <c r="G217" s="435" t="s">
        <v>3687</v>
      </c>
      <c r="H217" s="35" t="s">
        <v>91</v>
      </c>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28" t="s">
        <v>5</v>
      </c>
      <c r="E218" s="28" t="s">
        <v>86</v>
      </c>
      <c r="F218" s="32" t="s">
        <v>92</v>
      </c>
      <c r="G218" s="435" t="s">
        <v>3688</v>
      </c>
      <c r="H218" s="35" t="s">
        <v>92</v>
      </c>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28" t="s">
        <v>5</v>
      </c>
      <c r="E219" s="28" t="s">
        <v>86</v>
      </c>
      <c r="F219" s="32" t="s">
        <v>175</v>
      </c>
      <c r="G219" s="435" t="s">
        <v>3689</v>
      </c>
      <c r="H219" s="35" t="s">
        <v>175</v>
      </c>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28" t="s">
        <v>5</v>
      </c>
      <c r="E220" s="28" t="s">
        <v>86</v>
      </c>
      <c r="F220" s="32" t="s">
        <v>94</v>
      </c>
      <c r="G220" s="435" t="s">
        <v>3690</v>
      </c>
      <c r="H220" s="35" t="s">
        <v>94</v>
      </c>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28" t="s">
        <v>5</v>
      </c>
      <c r="E221" s="28" t="s">
        <v>88</v>
      </c>
      <c r="F221" s="32" t="s">
        <v>95</v>
      </c>
      <c r="G221" s="435" t="s">
        <v>3691</v>
      </c>
      <c r="H221" s="35" t="s">
        <v>95</v>
      </c>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28" t="s">
        <v>5</v>
      </c>
      <c r="E222" s="28" t="s">
        <v>88</v>
      </c>
      <c r="F222" s="32" t="s">
        <v>96</v>
      </c>
      <c r="G222" s="435" t="s">
        <v>3692</v>
      </c>
      <c r="H222" s="35" t="s">
        <v>96</v>
      </c>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28" t="s">
        <v>5</v>
      </c>
      <c r="E223" s="28" t="s">
        <v>86</v>
      </c>
      <c r="F223" s="32" t="s">
        <v>97</v>
      </c>
      <c r="G223" s="435" t="s">
        <v>3693</v>
      </c>
      <c r="H223" s="35" t="s">
        <v>97</v>
      </c>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28" t="s">
        <v>5</v>
      </c>
      <c r="B224" s="28" t="s">
        <v>3694</v>
      </c>
      <c r="C224" s="87" t="s">
        <v>3695</v>
      </c>
      <c r="D224" s="28" t="s">
        <v>20</v>
      </c>
      <c r="E224" s="432" t="s">
        <v>86</v>
      </c>
      <c r="F224" s="433" t="s">
        <v>87</v>
      </c>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28" t="s">
        <v>5</v>
      </c>
      <c r="E225" s="432" t="s">
        <v>88</v>
      </c>
      <c r="F225" s="432" t="s">
        <v>89</v>
      </c>
      <c r="G225" s="434"/>
      <c r="H225" s="35"/>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28" t="s">
        <v>5</v>
      </c>
      <c r="E226" s="28" t="s">
        <v>21</v>
      </c>
      <c r="F226" s="32" t="s">
        <v>51</v>
      </c>
      <c r="G226" s="435" t="s">
        <v>3696</v>
      </c>
      <c r="H226" s="35" t="s">
        <v>51</v>
      </c>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28" t="s">
        <v>5</v>
      </c>
      <c r="E227" s="28" t="s">
        <v>86</v>
      </c>
      <c r="F227" s="32" t="s">
        <v>90</v>
      </c>
      <c r="G227" s="435" t="s">
        <v>3697</v>
      </c>
      <c r="H227" s="35" t="s">
        <v>90</v>
      </c>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28" t="s">
        <v>5</v>
      </c>
      <c r="E228" s="28" t="s">
        <v>86</v>
      </c>
      <c r="F228" s="32" t="s">
        <v>91</v>
      </c>
      <c r="G228" s="435" t="s">
        <v>3698</v>
      </c>
      <c r="H228" s="35" t="s">
        <v>91</v>
      </c>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28" t="s">
        <v>5</v>
      </c>
      <c r="E229" s="28" t="s">
        <v>86</v>
      </c>
      <c r="F229" s="32" t="s">
        <v>92</v>
      </c>
      <c r="G229" s="435" t="s">
        <v>3699</v>
      </c>
      <c r="H229" s="35" t="s">
        <v>92</v>
      </c>
      <c r="I229" s="36"/>
      <c r="J229" s="36"/>
      <c r="K229" s="36"/>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28" t="s">
        <v>5</v>
      </c>
      <c r="E230" s="28" t="s">
        <v>86</v>
      </c>
      <c r="F230" s="32" t="s">
        <v>93</v>
      </c>
      <c r="G230" s="435" t="s">
        <v>3700</v>
      </c>
      <c r="H230" s="35" t="s">
        <v>93</v>
      </c>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28" t="s">
        <v>5</v>
      </c>
      <c r="E231" s="28" t="s">
        <v>86</v>
      </c>
      <c r="F231" s="32" t="s">
        <v>94</v>
      </c>
      <c r="G231" s="435" t="s">
        <v>3701</v>
      </c>
      <c r="H231" s="35" t="s">
        <v>94</v>
      </c>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28" t="s">
        <v>5</v>
      </c>
      <c r="E232" s="28" t="s">
        <v>88</v>
      </c>
      <c r="F232" s="32" t="s">
        <v>95</v>
      </c>
      <c r="G232" s="435" t="s">
        <v>3702</v>
      </c>
      <c r="H232" s="35" t="s">
        <v>95</v>
      </c>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28" t="s">
        <v>5</v>
      </c>
      <c r="E233" s="28" t="s">
        <v>88</v>
      </c>
      <c r="F233" s="32" t="s">
        <v>96</v>
      </c>
      <c r="G233" s="435" t="s">
        <v>3703</v>
      </c>
      <c r="H233" s="35" t="s">
        <v>96</v>
      </c>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28" t="s">
        <v>5</v>
      </c>
      <c r="E234" s="28" t="s">
        <v>86</v>
      </c>
      <c r="F234" s="32" t="s">
        <v>97</v>
      </c>
      <c r="G234" s="435" t="s">
        <v>3704</v>
      </c>
      <c r="H234" s="35" t="s">
        <v>97</v>
      </c>
      <c r="I234" s="36"/>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28" t="s">
        <v>5</v>
      </c>
      <c r="B235" s="28" t="s">
        <v>3705</v>
      </c>
      <c r="C235" s="28" t="s">
        <v>3706</v>
      </c>
      <c r="D235" s="28" t="s">
        <v>20</v>
      </c>
      <c r="E235" s="432" t="s">
        <v>86</v>
      </c>
      <c r="F235" s="433" t="s">
        <v>87</v>
      </c>
      <c r="I235" s="35"/>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28" t="s">
        <v>5</v>
      </c>
      <c r="E236" s="432" t="s">
        <v>88</v>
      </c>
      <c r="F236" s="432" t="s">
        <v>89</v>
      </c>
      <c r="G236" s="434"/>
      <c r="H236" s="32"/>
      <c r="I236" s="35"/>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28" t="s">
        <v>5</v>
      </c>
      <c r="E237" s="28" t="s">
        <v>21</v>
      </c>
      <c r="F237" s="32" t="s">
        <v>51</v>
      </c>
      <c r="G237" s="435" t="s">
        <v>3707</v>
      </c>
      <c r="H237" s="32" t="s">
        <v>51</v>
      </c>
      <c r="I237" s="35"/>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28" t="s">
        <v>5</v>
      </c>
      <c r="E238" s="28" t="s">
        <v>86</v>
      </c>
      <c r="F238" s="32" t="s">
        <v>90</v>
      </c>
      <c r="G238" s="435" t="s">
        <v>3708</v>
      </c>
      <c r="H238" s="35" t="s">
        <v>90</v>
      </c>
      <c r="I238" s="36"/>
      <c r="J238" s="36"/>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28" t="s">
        <v>5</v>
      </c>
      <c r="E239" s="28" t="s">
        <v>86</v>
      </c>
      <c r="F239" s="32" t="s">
        <v>91</v>
      </c>
      <c r="G239" s="435" t="s">
        <v>3709</v>
      </c>
      <c r="H239" s="35" t="s">
        <v>91</v>
      </c>
      <c r="I239" s="36"/>
      <c r="J239" s="36"/>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28" t="s">
        <v>5</v>
      </c>
      <c r="E240" s="28" t="s">
        <v>86</v>
      </c>
      <c r="F240" s="32" t="s">
        <v>338</v>
      </c>
      <c r="G240" s="435" t="s">
        <v>3710</v>
      </c>
      <c r="H240" s="35" t="s">
        <v>338</v>
      </c>
      <c r="I240" s="36"/>
      <c r="J240" s="36"/>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28" t="s">
        <v>5</v>
      </c>
      <c r="E241" s="28" t="s">
        <v>86</v>
      </c>
      <c r="F241" s="32" t="s">
        <v>92</v>
      </c>
      <c r="G241" s="435" t="s">
        <v>3711</v>
      </c>
      <c r="H241" s="35" t="s">
        <v>92</v>
      </c>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28" t="s">
        <v>5</v>
      </c>
      <c r="E242" s="28" t="s">
        <v>86</v>
      </c>
      <c r="F242" s="32" t="s">
        <v>753</v>
      </c>
      <c r="G242" s="435" t="s">
        <v>3712</v>
      </c>
      <c r="H242" s="35" t="s">
        <v>753</v>
      </c>
      <c r="I242" s="36"/>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28" t="s">
        <v>5</v>
      </c>
      <c r="E243" s="35" t="s">
        <v>86</v>
      </c>
      <c r="F243" s="35" t="s">
        <v>94</v>
      </c>
      <c r="G243" s="165" t="s">
        <v>3713</v>
      </c>
      <c r="H243" s="35" t="s">
        <v>94</v>
      </c>
      <c r="I243" s="36"/>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28" t="s">
        <v>5</v>
      </c>
      <c r="E244" s="35" t="s">
        <v>88</v>
      </c>
      <c r="F244" s="35" t="s">
        <v>95</v>
      </c>
      <c r="G244" s="165" t="s">
        <v>3714</v>
      </c>
      <c r="H244" s="35" t="s">
        <v>95</v>
      </c>
      <c r="I244" s="36"/>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28" t="s">
        <v>5</v>
      </c>
      <c r="E245" s="35" t="s">
        <v>88</v>
      </c>
      <c r="F245" s="35" t="s">
        <v>96</v>
      </c>
      <c r="G245" s="165" t="s">
        <v>3715</v>
      </c>
      <c r="H245" s="35" t="s">
        <v>96</v>
      </c>
      <c r="I245" s="36"/>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28" t="s">
        <v>5</v>
      </c>
      <c r="E246" s="35" t="s">
        <v>104</v>
      </c>
      <c r="F246" s="35" t="s">
        <v>250</v>
      </c>
      <c r="G246" s="165" t="s">
        <v>3716</v>
      </c>
      <c r="H246" s="35" t="s">
        <v>250</v>
      </c>
      <c r="I246" s="36"/>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28" t="s">
        <v>5</v>
      </c>
      <c r="E247" s="28" t="s">
        <v>86</v>
      </c>
      <c r="F247" s="32" t="s">
        <v>97</v>
      </c>
      <c r="G247" s="435" t="s">
        <v>3717</v>
      </c>
      <c r="H247" s="35" t="s">
        <v>97</v>
      </c>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28" t="s">
        <v>5</v>
      </c>
      <c r="B248" s="28" t="s">
        <v>3718</v>
      </c>
      <c r="C248" s="87" t="s">
        <v>3719</v>
      </c>
      <c r="D248" s="28" t="s">
        <v>20</v>
      </c>
      <c r="E248" s="432" t="s">
        <v>86</v>
      </c>
      <c r="F248" s="433" t="s">
        <v>87</v>
      </c>
      <c r="I248" s="35"/>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28" t="s">
        <v>5</v>
      </c>
      <c r="E249" s="432" t="s">
        <v>88</v>
      </c>
      <c r="F249" s="432" t="s">
        <v>89</v>
      </c>
      <c r="G249" s="437"/>
      <c r="H249" s="32"/>
      <c r="I249" s="35"/>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28" t="s">
        <v>5</v>
      </c>
      <c r="E250" s="28" t="s">
        <v>21</v>
      </c>
      <c r="F250" s="32" t="s">
        <v>51</v>
      </c>
      <c r="G250" s="438" t="s">
        <v>3720</v>
      </c>
      <c r="H250" s="32" t="s">
        <v>51</v>
      </c>
      <c r="I250" s="35"/>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28" t="s">
        <v>5</v>
      </c>
      <c r="E251" s="28" t="s">
        <v>86</v>
      </c>
      <c r="F251" s="32" t="s">
        <v>90</v>
      </c>
      <c r="G251" s="438" t="s">
        <v>3721</v>
      </c>
      <c r="H251" s="35" t="s">
        <v>90</v>
      </c>
      <c r="I251" s="36"/>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28" t="s">
        <v>5</v>
      </c>
      <c r="E252" s="28" t="s">
        <v>86</v>
      </c>
      <c r="F252" s="32" t="s">
        <v>91</v>
      </c>
      <c r="G252" s="438" t="s">
        <v>3722</v>
      </c>
      <c r="H252" s="35" t="s">
        <v>91</v>
      </c>
      <c r="I252" s="36"/>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28" t="s">
        <v>5</v>
      </c>
      <c r="E253" s="28" t="s">
        <v>86</v>
      </c>
      <c r="F253" s="32" t="s">
        <v>338</v>
      </c>
      <c r="G253" s="438" t="s">
        <v>3723</v>
      </c>
      <c r="H253" s="35" t="s">
        <v>338</v>
      </c>
      <c r="I253" s="36"/>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28" t="s">
        <v>5</v>
      </c>
      <c r="E254" s="28" t="s">
        <v>86</v>
      </c>
      <c r="F254" s="32" t="s">
        <v>92</v>
      </c>
      <c r="G254" s="435" t="s">
        <v>3724</v>
      </c>
      <c r="H254" s="35" t="s">
        <v>92</v>
      </c>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32" t="s">
        <v>5</v>
      </c>
      <c r="E255" s="32" t="s">
        <v>86</v>
      </c>
      <c r="F255" s="32" t="s">
        <v>358</v>
      </c>
      <c r="G255" s="171" t="s">
        <v>3725</v>
      </c>
      <c r="H255" s="32" t="s">
        <v>358</v>
      </c>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32" t="s">
        <v>5</v>
      </c>
      <c r="E256" s="32" t="s">
        <v>86</v>
      </c>
      <c r="F256" s="32" t="s">
        <v>94</v>
      </c>
      <c r="G256" s="171" t="s">
        <v>3726</v>
      </c>
      <c r="H256" s="35" t="s">
        <v>94</v>
      </c>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32" t="s">
        <v>5</v>
      </c>
      <c r="E257" s="32" t="s">
        <v>88</v>
      </c>
      <c r="F257" s="32" t="s">
        <v>95</v>
      </c>
      <c r="G257" s="171" t="s">
        <v>3727</v>
      </c>
      <c r="H257" s="35" t="s">
        <v>95</v>
      </c>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32" t="s">
        <v>5</v>
      </c>
      <c r="E258" s="32" t="s">
        <v>88</v>
      </c>
      <c r="F258" s="32" t="s">
        <v>96</v>
      </c>
      <c r="G258" s="171" t="s">
        <v>3728</v>
      </c>
      <c r="H258" s="35" t="s">
        <v>96</v>
      </c>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32" t="s">
        <v>5</v>
      </c>
      <c r="E259" s="32" t="s">
        <v>104</v>
      </c>
      <c r="F259" s="32" t="s">
        <v>250</v>
      </c>
      <c r="G259" s="171" t="s">
        <v>3729</v>
      </c>
      <c r="H259" s="35" t="s">
        <v>250</v>
      </c>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32" t="s">
        <v>5</v>
      </c>
      <c r="E260" s="32" t="s">
        <v>86</v>
      </c>
      <c r="F260" s="35" t="s">
        <v>97</v>
      </c>
      <c r="G260" s="171" t="s">
        <v>3730</v>
      </c>
      <c r="H260" s="35" t="s">
        <v>97</v>
      </c>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32" t="s">
        <v>5</v>
      </c>
      <c r="B261" s="32" t="s">
        <v>3731</v>
      </c>
      <c r="C261" s="66" t="s">
        <v>3732</v>
      </c>
      <c r="D261" s="32" t="s">
        <v>20</v>
      </c>
      <c r="E261" s="432" t="s">
        <v>86</v>
      </c>
      <c r="F261" s="433" t="s">
        <v>87</v>
      </c>
      <c r="I261" s="35"/>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32" t="s">
        <v>5</v>
      </c>
      <c r="E262" s="432" t="s">
        <v>88</v>
      </c>
      <c r="F262" s="432" t="s">
        <v>89</v>
      </c>
      <c r="G262" s="172"/>
      <c r="H262" s="32"/>
      <c r="I262" s="35"/>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32" t="s">
        <v>5</v>
      </c>
      <c r="E263" s="32" t="s">
        <v>21</v>
      </c>
      <c r="F263" s="32" t="s">
        <v>51</v>
      </c>
      <c r="G263" s="171" t="s">
        <v>3733</v>
      </c>
      <c r="H263" s="32" t="s">
        <v>51</v>
      </c>
      <c r="I263" s="35"/>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32" t="s">
        <v>5</v>
      </c>
      <c r="E264" s="32" t="s">
        <v>86</v>
      </c>
      <c r="F264" s="32" t="s">
        <v>90</v>
      </c>
      <c r="G264" s="171" t="s">
        <v>3734</v>
      </c>
      <c r="H264" s="35" t="s">
        <v>90</v>
      </c>
      <c r="I264" s="36"/>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32" t="s">
        <v>5</v>
      </c>
      <c r="E265" s="32" t="s">
        <v>86</v>
      </c>
      <c r="F265" s="32" t="s">
        <v>91</v>
      </c>
      <c r="G265" s="171" t="s">
        <v>3735</v>
      </c>
      <c r="H265" s="35" t="s">
        <v>91</v>
      </c>
      <c r="I265" s="36"/>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32" t="s">
        <v>5</v>
      </c>
      <c r="E266" s="32" t="s">
        <v>86</v>
      </c>
      <c r="F266" s="32" t="s">
        <v>338</v>
      </c>
      <c r="G266" s="171" t="s">
        <v>3736</v>
      </c>
      <c r="H266" s="35" t="s">
        <v>338</v>
      </c>
      <c r="I266" s="36"/>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32" t="s">
        <v>5</v>
      </c>
      <c r="E267" s="32" t="s">
        <v>86</v>
      </c>
      <c r="F267" s="32" t="s">
        <v>92</v>
      </c>
      <c r="G267" s="171" t="s">
        <v>3737</v>
      </c>
      <c r="H267" s="35" t="s">
        <v>92</v>
      </c>
      <c r="I267" s="36"/>
      <c r="J267" s="36"/>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32" t="s">
        <v>5</v>
      </c>
      <c r="E268" s="32" t="s">
        <v>86</v>
      </c>
      <c r="F268" s="32" t="s">
        <v>757</v>
      </c>
      <c r="G268" s="171" t="s">
        <v>3738</v>
      </c>
      <c r="H268" s="35" t="s">
        <v>757</v>
      </c>
      <c r="I268" s="36"/>
      <c r="J268" s="36"/>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32" t="s">
        <v>5</v>
      </c>
      <c r="E269" s="32" t="s">
        <v>86</v>
      </c>
      <c r="F269" s="32" t="s">
        <v>94</v>
      </c>
      <c r="G269" s="171" t="s">
        <v>3739</v>
      </c>
      <c r="H269" s="35" t="s">
        <v>94</v>
      </c>
      <c r="I269" s="36"/>
      <c r="J269" s="36"/>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32" t="s">
        <v>5</v>
      </c>
      <c r="E270" s="32" t="s">
        <v>88</v>
      </c>
      <c r="F270" s="32" t="s">
        <v>95</v>
      </c>
      <c r="G270" s="171" t="s">
        <v>3740</v>
      </c>
      <c r="H270" s="35" t="s">
        <v>95</v>
      </c>
      <c r="I270" s="36"/>
      <c r="J270" s="36"/>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32" t="s">
        <v>5</v>
      </c>
      <c r="E271" s="32" t="s">
        <v>88</v>
      </c>
      <c r="F271" s="32" t="s">
        <v>96</v>
      </c>
      <c r="G271" s="171" t="s">
        <v>3741</v>
      </c>
      <c r="H271" s="35" t="s">
        <v>96</v>
      </c>
      <c r="I271" s="36"/>
      <c r="J271" s="36"/>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32" t="s">
        <v>5</v>
      </c>
      <c r="E272" s="32" t="s">
        <v>104</v>
      </c>
      <c r="F272" s="32" t="s">
        <v>250</v>
      </c>
      <c r="G272" s="171" t="s">
        <v>3742</v>
      </c>
      <c r="H272" s="35" t="s">
        <v>250</v>
      </c>
      <c r="I272" s="36"/>
      <c r="J272" s="36"/>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32" t="s">
        <v>5</v>
      </c>
      <c r="E273" s="35" t="s">
        <v>86</v>
      </c>
      <c r="F273" s="35" t="s">
        <v>97</v>
      </c>
      <c r="G273" s="171" t="s">
        <v>3743</v>
      </c>
      <c r="H273" s="35" t="s">
        <v>97</v>
      </c>
      <c r="I273" s="36"/>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B274" s="32" t="s">
        <v>3744</v>
      </c>
      <c r="C274" s="66" t="s">
        <v>3745</v>
      </c>
      <c r="D274" s="32" t="s">
        <v>20</v>
      </c>
      <c r="E274" s="432" t="s">
        <v>86</v>
      </c>
      <c r="F274" s="433" t="s">
        <v>87</v>
      </c>
      <c r="I274" s="36"/>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E275" s="432" t="s">
        <v>88</v>
      </c>
      <c r="F275" s="432" t="s">
        <v>89</v>
      </c>
      <c r="G275" s="172"/>
      <c r="H275" s="35"/>
      <c r="I275" s="36"/>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E276" s="32" t="s">
        <v>21</v>
      </c>
      <c r="F276" s="32" t="s">
        <v>51</v>
      </c>
      <c r="G276" s="171" t="s">
        <v>3746</v>
      </c>
      <c r="H276" s="35" t="s">
        <v>51</v>
      </c>
      <c r="I276" s="36"/>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E277" s="32" t="s">
        <v>88</v>
      </c>
      <c r="F277" s="32" t="s">
        <v>95</v>
      </c>
      <c r="G277" s="171" t="s">
        <v>3747</v>
      </c>
      <c r="H277" s="35" t="s">
        <v>95</v>
      </c>
      <c r="I277" s="36"/>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E278" s="32" t="s">
        <v>88</v>
      </c>
      <c r="F278" s="32" t="s">
        <v>702</v>
      </c>
      <c r="G278" s="171" t="s">
        <v>3748</v>
      </c>
      <c r="H278" s="35" t="s">
        <v>702</v>
      </c>
      <c r="I278" s="36"/>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32" t="s">
        <v>5</v>
      </c>
      <c r="E279" s="32" t="s">
        <v>86</v>
      </c>
      <c r="F279" s="32" t="s">
        <v>702</v>
      </c>
      <c r="G279" s="171" t="s">
        <v>3749</v>
      </c>
      <c r="H279" s="35" t="s">
        <v>3750</v>
      </c>
      <c r="I279" s="36"/>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32" t="s">
        <v>5</v>
      </c>
      <c r="E280" s="35" t="s">
        <v>86</v>
      </c>
      <c r="F280" s="35" t="s">
        <v>766</v>
      </c>
      <c r="G280" s="171" t="s">
        <v>3751</v>
      </c>
      <c r="H280" s="35" t="s">
        <v>766</v>
      </c>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32" t="s">
        <v>5</v>
      </c>
      <c r="E281" s="35" t="s">
        <v>88</v>
      </c>
      <c r="F281" s="35" t="s">
        <v>96</v>
      </c>
      <c r="G281" s="171" t="s">
        <v>3752</v>
      </c>
      <c r="H281" s="35" t="s">
        <v>96</v>
      </c>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32" t="s">
        <v>5</v>
      </c>
      <c r="E282" s="71" t="s">
        <v>86</v>
      </c>
      <c r="F282" s="35" t="s">
        <v>768</v>
      </c>
      <c r="G282" s="165" t="s">
        <v>3753</v>
      </c>
      <c r="H282" s="35" t="s">
        <v>768</v>
      </c>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32" t="s">
        <v>5</v>
      </c>
      <c r="E283" s="71" t="s">
        <v>88</v>
      </c>
      <c r="F283" s="35" t="s">
        <v>96</v>
      </c>
      <c r="G283" s="165" t="s">
        <v>3754</v>
      </c>
      <c r="H283" s="35" t="s">
        <v>177</v>
      </c>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32" t="s">
        <v>5</v>
      </c>
      <c r="E284" s="71" t="s">
        <v>88</v>
      </c>
      <c r="F284" s="35" t="s">
        <v>702</v>
      </c>
      <c r="G284" s="165" t="s">
        <v>3748</v>
      </c>
      <c r="H284" s="35" t="s">
        <v>702</v>
      </c>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32" t="s">
        <v>5</v>
      </c>
      <c r="E285" s="71" t="s">
        <v>86</v>
      </c>
      <c r="F285" s="35" t="s">
        <v>702</v>
      </c>
      <c r="G285" s="165" t="s">
        <v>3755</v>
      </c>
      <c r="H285" s="35" t="s">
        <v>3756</v>
      </c>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32" t="s">
        <v>5</v>
      </c>
      <c r="E286" s="71" t="s">
        <v>86</v>
      </c>
      <c r="F286" s="35" t="s">
        <v>766</v>
      </c>
      <c r="G286" s="165" t="s">
        <v>3757</v>
      </c>
      <c r="H286" s="35" t="s">
        <v>3758</v>
      </c>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32" t="s">
        <v>5</v>
      </c>
      <c r="E287" s="71" t="s">
        <v>88</v>
      </c>
      <c r="F287" s="35" t="s">
        <v>96</v>
      </c>
      <c r="G287" s="165" t="s">
        <v>3759</v>
      </c>
      <c r="H287" s="35" t="s">
        <v>337</v>
      </c>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32" t="s">
        <v>5</v>
      </c>
      <c r="E288" s="71" t="s">
        <v>88</v>
      </c>
      <c r="F288" s="35" t="s">
        <v>245</v>
      </c>
      <c r="G288" s="165" t="s">
        <v>3760</v>
      </c>
      <c r="H288" s="35" t="s">
        <v>245</v>
      </c>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32" t="s">
        <v>5</v>
      </c>
      <c r="E289" s="71" t="s">
        <v>88</v>
      </c>
      <c r="F289" s="35" t="s">
        <v>96</v>
      </c>
      <c r="G289" s="165" t="s">
        <v>3759</v>
      </c>
      <c r="H289" s="35" t="s">
        <v>337</v>
      </c>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32" t="s">
        <v>5</v>
      </c>
      <c r="E290" s="71" t="s">
        <v>86</v>
      </c>
      <c r="F290" s="35" t="s">
        <v>768</v>
      </c>
      <c r="G290" s="165" t="s">
        <v>3761</v>
      </c>
      <c r="H290" s="35" t="s">
        <v>3762</v>
      </c>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32" t="s">
        <v>5</v>
      </c>
      <c r="E291" s="71" t="s">
        <v>88</v>
      </c>
      <c r="F291" s="35" t="s">
        <v>96</v>
      </c>
      <c r="G291" s="165" t="s">
        <v>3754</v>
      </c>
      <c r="H291" s="35" t="s">
        <v>177</v>
      </c>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32" t="s">
        <v>5</v>
      </c>
      <c r="E292" s="71" t="s">
        <v>88</v>
      </c>
      <c r="F292" s="35" t="s">
        <v>702</v>
      </c>
      <c r="G292" s="165" t="s">
        <v>3763</v>
      </c>
      <c r="H292" s="35" t="s">
        <v>3764</v>
      </c>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32" t="s">
        <v>5</v>
      </c>
      <c r="B293" s="32" t="s">
        <v>3765</v>
      </c>
      <c r="C293" s="164" t="s">
        <v>3766</v>
      </c>
      <c r="D293" s="32" t="s">
        <v>20</v>
      </c>
      <c r="E293" s="432" t="s">
        <v>86</v>
      </c>
      <c r="F293" s="433" t="s">
        <v>87</v>
      </c>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32" t="s">
        <v>5</v>
      </c>
      <c r="E294" s="432" t="s">
        <v>88</v>
      </c>
      <c r="F294" s="432" t="s">
        <v>89</v>
      </c>
      <c r="G294" s="439"/>
      <c r="H294" s="35"/>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32" t="s">
        <v>5</v>
      </c>
      <c r="E295" s="32" t="s">
        <v>21</v>
      </c>
      <c r="F295" s="35" t="s">
        <v>51</v>
      </c>
      <c r="G295" s="159" t="s">
        <v>3767</v>
      </c>
      <c r="H295" s="35" t="s">
        <v>51</v>
      </c>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32" t="s">
        <v>5</v>
      </c>
      <c r="E296" s="32" t="s">
        <v>86</v>
      </c>
      <c r="F296" s="35" t="s">
        <v>90</v>
      </c>
      <c r="G296" s="159" t="s">
        <v>3768</v>
      </c>
      <c r="H296" s="35" t="s">
        <v>90</v>
      </c>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32" t="s">
        <v>5</v>
      </c>
      <c r="E297" s="32" t="s">
        <v>86</v>
      </c>
      <c r="F297" s="35" t="s">
        <v>91</v>
      </c>
      <c r="G297" s="159" t="s">
        <v>3769</v>
      </c>
      <c r="H297" s="35" t="s">
        <v>91</v>
      </c>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32" t="s">
        <v>5</v>
      </c>
      <c r="E298" s="32" t="s">
        <v>86</v>
      </c>
      <c r="F298" s="35" t="s">
        <v>338</v>
      </c>
      <c r="G298" s="159" t="s">
        <v>3770</v>
      </c>
      <c r="H298" s="35" t="s">
        <v>338</v>
      </c>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32" t="s">
        <v>5</v>
      </c>
      <c r="E299" s="35" t="s">
        <v>86</v>
      </c>
      <c r="F299" s="35" t="s">
        <v>339</v>
      </c>
      <c r="G299" s="159" t="s">
        <v>3771</v>
      </c>
      <c r="H299" s="35" t="s">
        <v>339</v>
      </c>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32" t="s">
        <v>5</v>
      </c>
      <c r="E300" s="32" t="s">
        <v>86</v>
      </c>
      <c r="F300" s="35" t="s">
        <v>743</v>
      </c>
      <c r="G300" s="159" t="s">
        <v>3772</v>
      </c>
      <c r="H300" s="35" t="s">
        <v>743</v>
      </c>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32" t="s">
        <v>5</v>
      </c>
      <c r="E301" s="32" t="s">
        <v>88</v>
      </c>
      <c r="F301" s="35" t="s">
        <v>95</v>
      </c>
      <c r="G301" s="159" t="s">
        <v>3773</v>
      </c>
      <c r="H301" s="35" t="s">
        <v>95</v>
      </c>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32" t="s">
        <v>5</v>
      </c>
      <c r="E302" s="32" t="s">
        <v>88</v>
      </c>
      <c r="F302" s="35" t="s">
        <v>96</v>
      </c>
      <c r="G302" s="159" t="s">
        <v>3774</v>
      </c>
      <c r="H302" s="35" t="s">
        <v>96</v>
      </c>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32" t="s">
        <v>5</v>
      </c>
      <c r="E303" s="32" t="s">
        <v>86</v>
      </c>
      <c r="F303" s="35" t="s">
        <v>353</v>
      </c>
      <c r="G303" s="159" t="s">
        <v>3775</v>
      </c>
      <c r="H303" s="35" t="s">
        <v>353</v>
      </c>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32" t="s">
        <v>5</v>
      </c>
      <c r="E304" s="28" t="s">
        <v>86</v>
      </c>
      <c r="F304" s="38" t="s">
        <v>771</v>
      </c>
      <c r="G304" s="439"/>
      <c r="H304" s="3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32" t="s">
        <v>5</v>
      </c>
      <c r="B305" s="348" t="s">
        <v>3776</v>
      </c>
      <c r="C305" s="83" t="s">
        <v>3777</v>
      </c>
      <c r="D305" s="348" t="s">
        <v>20</v>
      </c>
      <c r="E305" s="432" t="s">
        <v>86</v>
      </c>
      <c r="F305" s="433" t="s">
        <v>87</v>
      </c>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32" t="s">
        <v>5</v>
      </c>
      <c r="E306" s="432" t="s">
        <v>88</v>
      </c>
      <c r="F306" s="432" t="s">
        <v>89</v>
      </c>
      <c r="G306" s="69"/>
      <c r="H306" s="35"/>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32" t="s">
        <v>5</v>
      </c>
      <c r="E307" s="8" t="s">
        <v>21</v>
      </c>
      <c r="F307" s="8" t="s">
        <v>51</v>
      </c>
      <c r="G307" s="149" t="s">
        <v>3778</v>
      </c>
      <c r="H307" s="35" t="s">
        <v>51</v>
      </c>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32" t="s">
        <v>5</v>
      </c>
      <c r="E308" s="8" t="s">
        <v>86</v>
      </c>
      <c r="F308" s="8" t="s">
        <v>90</v>
      </c>
      <c r="G308" s="149" t="s">
        <v>3779</v>
      </c>
      <c r="H308" s="35" t="s">
        <v>90</v>
      </c>
      <c r="J308" s="36"/>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32" t="s">
        <v>5</v>
      </c>
      <c r="E309" s="8" t="s">
        <v>86</v>
      </c>
      <c r="F309" s="8" t="s">
        <v>91</v>
      </c>
      <c r="G309" s="149" t="s">
        <v>3780</v>
      </c>
      <c r="H309" s="35" t="s">
        <v>91</v>
      </c>
      <c r="I309" s="36"/>
      <c r="J309" s="36"/>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32" t="s">
        <v>5</v>
      </c>
      <c r="E310" s="28" t="s">
        <v>86</v>
      </c>
      <c r="F310" s="8" t="s">
        <v>338</v>
      </c>
      <c r="G310" s="149" t="s">
        <v>3781</v>
      </c>
      <c r="H310" s="35" t="s">
        <v>338</v>
      </c>
      <c r="I310" s="36"/>
      <c r="J310" s="36"/>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32" t="s">
        <v>5</v>
      </c>
      <c r="E311" s="28" t="s">
        <v>86</v>
      </c>
      <c r="F311" s="38" t="s">
        <v>339</v>
      </c>
      <c r="G311" s="149" t="s">
        <v>3782</v>
      </c>
      <c r="H311" s="35" t="s">
        <v>339</v>
      </c>
      <c r="I311" s="36"/>
      <c r="J311" s="36"/>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32" t="s">
        <v>5</v>
      </c>
      <c r="E312" s="28" t="s">
        <v>86</v>
      </c>
      <c r="F312" s="28" t="s">
        <v>743</v>
      </c>
      <c r="G312" s="149" t="s">
        <v>3783</v>
      </c>
      <c r="H312" s="35" t="s">
        <v>743</v>
      </c>
      <c r="I312" s="36"/>
      <c r="J312" s="36"/>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32" t="s">
        <v>5</v>
      </c>
      <c r="E313" s="28" t="s">
        <v>88</v>
      </c>
      <c r="F313" s="38" t="s">
        <v>95</v>
      </c>
      <c r="G313" s="149" t="s">
        <v>3784</v>
      </c>
      <c r="H313" s="35" t="s">
        <v>95</v>
      </c>
      <c r="I313" s="36"/>
      <c r="J313" s="36"/>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32" t="s">
        <v>5</v>
      </c>
      <c r="E314" s="28" t="s">
        <v>88</v>
      </c>
      <c r="F314" s="38" t="s">
        <v>96</v>
      </c>
      <c r="G314" s="149" t="s">
        <v>3785</v>
      </c>
      <c r="H314" s="35" t="s">
        <v>96</v>
      </c>
      <c r="I314" s="36"/>
      <c r="J314" s="36"/>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32" t="s">
        <v>5</v>
      </c>
      <c r="E315" s="28" t="s">
        <v>86</v>
      </c>
      <c r="F315" s="38" t="s">
        <v>353</v>
      </c>
      <c r="G315" s="149" t="s">
        <v>3786</v>
      </c>
      <c r="H315" s="35" t="s">
        <v>353</v>
      </c>
      <c r="I315" s="36"/>
      <c r="J315" s="36"/>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32" t="s">
        <v>5</v>
      </c>
      <c r="E316" s="8" t="s">
        <v>86</v>
      </c>
      <c r="F316" s="173" t="s">
        <v>771</v>
      </c>
      <c r="G316" s="69"/>
      <c r="H316" s="38"/>
      <c r="I316" s="31"/>
      <c r="J316" s="31"/>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32" t="s">
        <v>5</v>
      </c>
      <c r="B317" s="441" t="s">
        <v>3787</v>
      </c>
      <c r="C317" s="83" t="s">
        <v>3788</v>
      </c>
      <c r="D317" s="348" t="s">
        <v>20</v>
      </c>
      <c r="E317" s="432" t="s">
        <v>86</v>
      </c>
      <c r="F317" s="433" t="s">
        <v>87</v>
      </c>
      <c r="I317" s="31"/>
      <c r="J317" s="31"/>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32" t="s">
        <v>5</v>
      </c>
      <c r="E318" s="432" t="s">
        <v>88</v>
      </c>
      <c r="F318" s="432" t="s">
        <v>89</v>
      </c>
      <c r="G318" s="69"/>
      <c r="H318" s="8"/>
      <c r="I318" s="31"/>
      <c r="J318" s="31"/>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32" t="s">
        <v>5</v>
      </c>
      <c r="E319" s="8" t="s">
        <v>21</v>
      </c>
      <c r="F319" s="8" t="s">
        <v>51</v>
      </c>
      <c r="G319" s="149" t="s">
        <v>3789</v>
      </c>
      <c r="H319" s="8" t="s">
        <v>51</v>
      </c>
      <c r="I319" s="31"/>
      <c r="J319" s="31"/>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32" t="s">
        <v>5</v>
      </c>
      <c r="E320" s="8" t="s">
        <v>86</v>
      </c>
      <c r="F320" s="8" t="s">
        <v>90</v>
      </c>
      <c r="G320" s="149" t="s">
        <v>3790</v>
      </c>
      <c r="H320" s="35" t="s">
        <v>90</v>
      </c>
      <c r="I320" s="36"/>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32" t="s">
        <v>5</v>
      </c>
      <c r="E321" s="28" t="s">
        <v>86</v>
      </c>
      <c r="F321" s="8" t="s">
        <v>91</v>
      </c>
      <c r="G321" s="149" t="s">
        <v>3791</v>
      </c>
      <c r="H321" s="35" t="s">
        <v>91</v>
      </c>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32" t="s">
        <v>5</v>
      </c>
      <c r="E322" s="28" t="s">
        <v>86</v>
      </c>
      <c r="F322" s="38" t="s">
        <v>338</v>
      </c>
      <c r="G322" s="149" t="s">
        <v>3792</v>
      </c>
      <c r="H322" s="35" t="s">
        <v>338</v>
      </c>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32" t="s">
        <v>5</v>
      </c>
      <c r="E323" s="28" t="s">
        <v>86</v>
      </c>
      <c r="F323" s="28" t="s">
        <v>339</v>
      </c>
      <c r="G323" s="149" t="s">
        <v>3793</v>
      </c>
      <c r="H323" s="35" t="s">
        <v>339</v>
      </c>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32" t="s">
        <v>5</v>
      </c>
      <c r="E324" s="28" t="s">
        <v>86</v>
      </c>
      <c r="F324" s="38" t="s">
        <v>743</v>
      </c>
      <c r="G324" s="149" t="s">
        <v>3794</v>
      </c>
      <c r="H324" s="35" t="s">
        <v>743</v>
      </c>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32" t="s">
        <v>5</v>
      </c>
      <c r="E325" s="28" t="s">
        <v>88</v>
      </c>
      <c r="F325" s="28" t="s">
        <v>95</v>
      </c>
      <c r="G325" s="149" t="s">
        <v>3795</v>
      </c>
      <c r="H325" s="35" t="s">
        <v>95</v>
      </c>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32" t="s">
        <v>5</v>
      </c>
      <c r="E326" s="28" t="s">
        <v>88</v>
      </c>
      <c r="F326" s="38" t="s">
        <v>96</v>
      </c>
      <c r="G326" s="149" t="s">
        <v>3796</v>
      </c>
      <c r="H326" s="35" t="s">
        <v>96</v>
      </c>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32" t="s">
        <v>5</v>
      </c>
      <c r="E327" s="28" t="s">
        <v>86</v>
      </c>
      <c r="F327" s="38" t="s">
        <v>771</v>
      </c>
      <c r="G327" s="69"/>
      <c r="H327" s="36"/>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32" t="s">
        <v>5</v>
      </c>
      <c r="B328" s="348" t="s">
        <v>3797</v>
      </c>
      <c r="C328" s="442" t="s">
        <v>3798</v>
      </c>
      <c r="D328" s="348" t="s">
        <v>20</v>
      </c>
      <c r="E328" s="432" t="s">
        <v>86</v>
      </c>
      <c r="F328" s="433" t="s">
        <v>87</v>
      </c>
      <c r="I328" s="9"/>
      <c r="J328" s="9"/>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32" t="s">
        <v>5</v>
      </c>
      <c r="E329" s="432" t="s">
        <v>88</v>
      </c>
      <c r="F329" s="432" t="s">
        <v>89</v>
      </c>
      <c r="G329" s="351"/>
      <c r="H329" s="32"/>
      <c r="I329" s="9"/>
      <c r="J329" s="9"/>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32" t="s">
        <v>5</v>
      </c>
      <c r="E330" s="28" t="s">
        <v>21</v>
      </c>
      <c r="F330" s="32" t="s">
        <v>51</v>
      </c>
      <c r="G330" s="435" t="s">
        <v>3799</v>
      </c>
      <c r="H330" s="32" t="s">
        <v>51</v>
      </c>
      <c r="I330" s="9"/>
      <c r="J330" s="9"/>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32" t="s">
        <v>5</v>
      </c>
      <c r="E331" s="28" t="s">
        <v>86</v>
      </c>
      <c r="F331" s="32" t="s">
        <v>90</v>
      </c>
      <c r="G331" s="149" t="s">
        <v>3800</v>
      </c>
      <c r="H331" s="35" t="s">
        <v>90</v>
      </c>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32" t="s">
        <v>5</v>
      </c>
      <c r="E332" s="28" t="s">
        <v>86</v>
      </c>
      <c r="F332" s="32" t="s">
        <v>91</v>
      </c>
      <c r="G332" s="149" t="s">
        <v>3801</v>
      </c>
      <c r="H332" s="35" t="s">
        <v>91</v>
      </c>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32" t="s">
        <v>5</v>
      </c>
      <c r="E333" s="28" t="s">
        <v>86</v>
      </c>
      <c r="F333" s="32" t="s">
        <v>92</v>
      </c>
      <c r="G333" s="149" t="s">
        <v>3802</v>
      </c>
      <c r="H333" s="35" t="s">
        <v>92</v>
      </c>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32" t="s">
        <v>5</v>
      </c>
      <c r="E334" s="28" t="s">
        <v>86</v>
      </c>
      <c r="F334" s="32" t="s">
        <v>748</v>
      </c>
      <c r="G334" s="149" t="s">
        <v>3803</v>
      </c>
      <c r="H334" s="35" t="s">
        <v>748</v>
      </c>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32" t="s">
        <v>5</v>
      </c>
      <c r="E335" s="28" t="s">
        <v>86</v>
      </c>
      <c r="F335" s="8" t="s">
        <v>94</v>
      </c>
      <c r="G335" s="149" t="s">
        <v>3804</v>
      </c>
      <c r="H335" s="35" t="s">
        <v>94</v>
      </c>
      <c r="I335" s="36"/>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32" t="s">
        <v>5</v>
      </c>
      <c r="E336" s="28" t="s">
        <v>88</v>
      </c>
      <c r="F336" s="8" t="s">
        <v>95</v>
      </c>
      <c r="G336" s="149" t="s">
        <v>3805</v>
      </c>
      <c r="H336" s="35" t="s">
        <v>95</v>
      </c>
      <c r="I336" s="36"/>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32" t="s">
        <v>5</v>
      </c>
      <c r="E337" s="28" t="s">
        <v>88</v>
      </c>
      <c r="F337" s="8" t="s">
        <v>96</v>
      </c>
      <c r="G337" s="149" t="s">
        <v>3806</v>
      </c>
      <c r="H337" s="35" t="s">
        <v>96</v>
      </c>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32" t="s">
        <v>5</v>
      </c>
      <c r="E338" s="28" t="s">
        <v>178</v>
      </c>
      <c r="F338" s="32" t="s">
        <v>179</v>
      </c>
      <c r="G338" s="149" t="s">
        <v>3807</v>
      </c>
      <c r="H338" s="35" t="s">
        <v>179</v>
      </c>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32" t="s">
        <v>5</v>
      </c>
      <c r="E339" s="28" t="s">
        <v>178</v>
      </c>
      <c r="F339" s="32" t="s">
        <v>180</v>
      </c>
      <c r="G339" s="149" t="s">
        <v>3808</v>
      </c>
      <c r="H339" s="35" t="s">
        <v>180</v>
      </c>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32" t="s">
        <v>5</v>
      </c>
      <c r="E340" s="28" t="s">
        <v>86</v>
      </c>
      <c r="F340" s="32" t="s">
        <v>97</v>
      </c>
      <c r="G340" s="149" t="s">
        <v>3809</v>
      </c>
      <c r="H340" s="35" t="s">
        <v>97</v>
      </c>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32" t="s">
        <v>5</v>
      </c>
      <c r="E341" s="28" t="s">
        <v>86</v>
      </c>
      <c r="F341" s="38" t="s">
        <v>771</v>
      </c>
      <c r="G341" s="69"/>
      <c r="H341" s="32"/>
      <c r="I341" s="9"/>
      <c r="J341" s="9"/>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32" t="s">
        <v>5</v>
      </c>
      <c r="B342" s="441" t="s">
        <v>3810</v>
      </c>
      <c r="C342" s="442" t="s">
        <v>3811</v>
      </c>
      <c r="D342" s="348" t="s">
        <v>20</v>
      </c>
      <c r="E342" s="432" t="s">
        <v>86</v>
      </c>
      <c r="F342" s="433" t="s">
        <v>87</v>
      </c>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32" t="s">
        <v>5</v>
      </c>
      <c r="E343" s="432" t="s">
        <v>88</v>
      </c>
      <c r="F343" s="432" t="s">
        <v>89</v>
      </c>
      <c r="G343" s="69"/>
      <c r="H343" s="35"/>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32" t="s">
        <v>5</v>
      </c>
      <c r="E344" s="28" t="s">
        <v>21</v>
      </c>
      <c r="F344" s="32" t="s">
        <v>51</v>
      </c>
      <c r="G344" s="149" t="s">
        <v>3812</v>
      </c>
      <c r="H344" s="35" t="s">
        <v>51</v>
      </c>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32" t="s">
        <v>5</v>
      </c>
      <c r="E345" s="28" t="s">
        <v>86</v>
      </c>
      <c r="F345" s="32" t="s">
        <v>90</v>
      </c>
      <c r="G345" s="149" t="s">
        <v>3813</v>
      </c>
      <c r="H345" s="35" t="s">
        <v>90</v>
      </c>
      <c r="I345" s="36"/>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32" t="s">
        <v>5</v>
      </c>
      <c r="E346" s="28" t="s">
        <v>86</v>
      </c>
      <c r="F346" s="32" t="s">
        <v>91</v>
      </c>
      <c r="G346" s="149" t="s">
        <v>3814</v>
      </c>
      <c r="H346" s="35" t="s">
        <v>91</v>
      </c>
      <c r="I346" s="36"/>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32" t="s">
        <v>5</v>
      </c>
      <c r="E347" s="28" t="s">
        <v>86</v>
      </c>
      <c r="F347" s="32" t="s">
        <v>92</v>
      </c>
      <c r="G347" s="149" t="s">
        <v>3815</v>
      </c>
      <c r="H347" s="35" t="s">
        <v>92</v>
      </c>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32" t="s">
        <v>5</v>
      </c>
      <c r="E348" s="28" t="s">
        <v>86</v>
      </c>
      <c r="F348" s="32" t="s">
        <v>748</v>
      </c>
      <c r="G348" s="149" t="s">
        <v>3816</v>
      </c>
      <c r="H348" s="35" t="s">
        <v>748</v>
      </c>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32" t="s">
        <v>5</v>
      </c>
      <c r="E349" s="28" t="s">
        <v>86</v>
      </c>
      <c r="F349" s="8" t="s">
        <v>94</v>
      </c>
      <c r="G349" s="435" t="s">
        <v>3817</v>
      </c>
      <c r="H349" s="35" t="s">
        <v>94</v>
      </c>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32" t="s">
        <v>5</v>
      </c>
      <c r="E350" s="28" t="s">
        <v>88</v>
      </c>
      <c r="F350" s="8" t="s">
        <v>95</v>
      </c>
      <c r="G350" s="149" t="s">
        <v>3818</v>
      </c>
      <c r="H350" s="35" t="s">
        <v>95</v>
      </c>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32" t="s">
        <v>5</v>
      </c>
      <c r="E351" s="28" t="s">
        <v>88</v>
      </c>
      <c r="F351" s="8" t="s">
        <v>96</v>
      </c>
      <c r="G351" s="149" t="s">
        <v>3819</v>
      </c>
      <c r="H351" s="35" t="s">
        <v>96</v>
      </c>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32" t="s">
        <v>5</v>
      </c>
      <c r="E352" s="28" t="s">
        <v>178</v>
      </c>
      <c r="F352" s="8" t="s">
        <v>179</v>
      </c>
      <c r="G352" s="149" t="s">
        <v>3820</v>
      </c>
      <c r="H352" s="35" t="s">
        <v>179</v>
      </c>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32" t="s">
        <v>5</v>
      </c>
      <c r="E353" s="28" t="s">
        <v>178</v>
      </c>
      <c r="F353" s="8" t="s">
        <v>180</v>
      </c>
      <c r="G353" s="149" t="s">
        <v>3821</v>
      </c>
      <c r="H353" s="35" t="s">
        <v>180</v>
      </c>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32" t="s">
        <v>5</v>
      </c>
      <c r="E354" s="28" t="s">
        <v>86</v>
      </c>
      <c r="F354" s="32" t="s">
        <v>97</v>
      </c>
      <c r="G354" s="149" t="s">
        <v>3822</v>
      </c>
      <c r="H354" s="35" t="s">
        <v>97</v>
      </c>
      <c r="I354" s="36"/>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32" t="s">
        <v>5</v>
      </c>
      <c r="E355" s="28" t="s">
        <v>86</v>
      </c>
      <c r="F355" s="38" t="s">
        <v>771</v>
      </c>
      <c r="G355" s="69"/>
      <c r="H355" s="32"/>
      <c r="I355" s="31"/>
      <c r="J355" s="9"/>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32" t="s">
        <v>5</v>
      </c>
      <c r="B356" s="441" t="s">
        <v>3823</v>
      </c>
      <c r="C356" s="442" t="s">
        <v>3824</v>
      </c>
      <c r="D356" s="348" t="s">
        <v>20</v>
      </c>
      <c r="E356" s="432" t="s">
        <v>86</v>
      </c>
      <c r="F356" s="433" t="s">
        <v>87</v>
      </c>
      <c r="H356" s="36"/>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32" t="s">
        <v>5</v>
      </c>
      <c r="E357" s="432" t="s">
        <v>88</v>
      </c>
      <c r="F357" s="432" t="s">
        <v>89</v>
      </c>
      <c r="G357" s="69"/>
      <c r="H357" s="36"/>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32" t="s">
        <v>5</v>
      </c>
      <c r="E358" s="28" t="s">
        <v>21</v>
      </c>
      <c r="F358" s="32" t="s">
        <v>51</v>
      </c>
      <c r="G358" s="149" t="s">
        <v>3825</v>
      </c>
      <c r="H358" s="35" t="s">
        <v>51</v>
      </c>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32" t="s">
        <v>5</v>
      </c>
      <c r="E359" s="28" t="s">
        <v>86</v>
      </c>
      <c r="F359" s="32" t="s">
        <v>90</v>
      </c>
      <c r="G359" s="149" t="s">
        <v>3826</v>
      </c>
      <c r="H359" s="35" t="s">
        <v>90</v>
      </c>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32" t="s">
        <v>5</v>
      </c>
      <c r="E360" s="28" t="s">
        <v>86</v>
      </c>
      <c r="F360" s="32" t="s">
        <v>91</v>
      </c>
      <c r="G360" s="149" t="s">
        <v>3827</v>
      </c>
      <c r="H360" s="35" t="s">
        <v>91</v>
      </c>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32" t="s">
        <v>5</v>
      </c>
      <c r="E361" s="28" t="s">
        <v>86</v>
      </c>
      <c r="F361" s="32" t="s">
        <v>92</v>
      </c>
      <c r="G361" s="149" t="s">
        <v>3828</v>
      </c>
      <c r="H361" s="35" t="s">
        <v>92</v>
      </c>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32" t="s">
        <v>5</v>
      </c>
      <c r="E362" s="28" t="s">
        <v>86</v>
      </c>
      <c r="F362" s="32" t="s">
        <v>750</v>
      </c>
      <c r="G362" s="149" t="s">
        <v>3829</v>
      </c>
      <c r="H362" s="35" t="s">
        <v>750</v>
      </c>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32" t="s">
        <v>5</v>
      </c>
      <c r="E363" s="28" t="s">
        <v>86</v>
      </c>
      <c r="F363" s="8" t="s">
        <v>94</v>
      </c>
      <c r="G363" s="149" t="s">
        <v>3830</v>
      </c>
      <c r="H363" s="35" t="s">
        <v>94</v>
      </c>
      <c r="I363" s="36"/>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32" t="s">
        <v>5</v>
      </c>
      <c r="E364" s="28" t="s">
        <v>88</v>
      </c>
      <c r="F364" s="8" t="s">
        <v>95</v>
      </c>
      <c r="G364" s="149" t="s">
        <v>3831</v>
      </c>
      <c r="H364" s="35" t="s">
        <v>95</v>
      </c>
      <c r="I364" s="36"/>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32" t="s">
        <v>5</v>
      </c>
      <c r="E365" s="28" t="s">
        <v>88</v>
      </c>
      <c r="F365" s="8" t="s">
        <v>96</v>
      </c>
      <c r="G365" s="149" t="s">
        <v>3832</v>
      </c>
      <c r="H365" s="35" t="s">
        <v>96</v>
      </c>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32" t="s">
        <v>5</v>
      </c>
      <c r="E366" s="28" t="s">
        <v>178</v>
      </c>
      <c r="F366" s="32" t="s">
        <v>179</v>
      </c>
      <c r="G366" s="149" t="s">
        <v>3833</v>
      </c>
      <c r="H366" s="35" t="s">
        <v>179</v>
      </c>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32" t="s">
        <v>5</v>
      </c>
      <c r="E367" s="28" t="s">
        <v>178</v>
      </c>
      <c r="F367" s="32" t="s">
        <v>180</v>
      </c>
      <c r="G367" s="149" t="s">
        <v>3834</v>
      </c>
      <c r="H367" s="35" t="s">
        <v>180</v>
      </c>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32" t="s">
        <v>5</v>
      </c>
      <c r="E368" s="28" t="s">
        <v>86</v>
      </c>
      <c r="F368" s="32" t="s">
        <v>97</v>
      </c>
      <c r="G368" s="149" t="s">
        <v>3835</v>
      </c>
      <c r="H368" s="35" t="s">
        <v>97</v>
      </c>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32" t="s">
        <v>5</v>
      </c>
      <c r="E369" s="28" t="s">
        <v>86</v>
      </c>
      <c r="F369" s="38" t="s">
        <v>771</v>
      </c>
      <c r="G369" s="69"/>
      <c r="H369" s="32"/>
      <c r="I369" s="9"/>
      <c r="J369" s="9"/>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32" t="s">
        <v>5</v>
      </c>
      <c r="B370" s="441" t="s">
        <v>3836</v>
      </c>
      <c r="C370" s="442" t="s">
        <v>3837</v>
      </c>
      <c r="D370" s="348" t="s">
        <v>20</v>
      </c>
      <c r="E370" s="432" t="s">
        <v>86</v>
      </c>
      <c r="F370" s="433" t="s">
        <v>87</v>
      </c>
      <c r="I370" s="9"/>
      <c r="J370" s="9"/>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32" t="s">
        <v>5</v>
      </c>
      <c r="E371" s="432" t="s">
        <v>88</v>
      </c>
      <c r="F371" s="432" t="s">
        <v>89</v>
      </c>
      <c r="G371" s="69"/>
      <c r="H371" s="32"/>
      <c r="I371" s="9"/>
      <c r="J371" s="9"/>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32" t="s">
        <v>5</v>
      </c>
      <c r="E372" s="28" t="s">
        <v>21</v>
      </c>
      <c r="F372" s="32" t="s">
        <v>51</v>
      </c>
      <c r="G372" s="149" t="s">
        <v>3838</v>
      </c>
      <c r="H372" s="32" t="s">
        <v>51</v>
      </c>
      <c r="I372" s="9"/>
      <c r="J372" s="9"/>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32" t="s">
        <v>5</v>
      </c>
      <c r="E373" s="28" t="s">
        <v>86</v>
      </c>
      <c r="F373" s="32" t="s">
        <v>90</v>
      </c>
      <c r="G373" s="149" t="s">
        <v>3839</v>
      </c>
      <c r="H373" s="35" t="s">
        <v>90</v>
      </c>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32" t="s">
        <v>5</v>
      </c>
      <c r="E374" s="28" t="s">
        <v>86</v>
      </c>
      <c r="F374" s="32" t="s">
        <v>91</v>
      </c>
      <c r="G374" s="149" t="s">
        <v>3840</v>
      </c>
      <c r="H374" s="35" t="s">
        <v>91</v>
      </c>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32" t="s">
        <v>5</v>
      </c>
      <c r="E375" s="28" t="s">
        <v>86</v>
      </c>
      <c r="F375" s="32" t="s">
        <v>92</v>
      </c>
      <c r="G375" s="149" t="s">
        <v>3841</v>
      </c>
      <c r="H375" s="35" t="s">
        <v>92</v>
      </c>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32" t="s">
        <v>5</v>
      </c>
      <c r="E376" s="28" t="s">
        <v>86</v>
      </c>
      <c r="F376" s="32" t="s">
        <v>750</v>
      </c>
      <c r="G376" s="149" t="s">
        <v>3842</v>
      </c>
      <c r="H376" s="35" t="s">
        <v>750</v>
      </c>
      <c r="I376" s="36"/>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32" t="s">
        <v>5</v>
      </c>
      <c r="E377" s="28" t="s">
        <v>86</v>
      </c>
      <c r="F377" s="8" t="s">
        <v>94</v>
      </c>
      <c r="G377" s="149" t="s">
        <v>3843</v>
      </c>
      <c r="H377" s="35" t="s">
        <v>94</v>
      </c>
      <c r="I377" s="36"/>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32" t="s">
        <v>5</v>
      </c>
      <c r="E378" s="28" t="s">
        <v>88</v>
      </c>
      <c r="F378" s="8" t="s">
        <v>95</v>
      </c>
      <c r="G378" s="149" t="s">
        <v>3844</v>
      </c>
      <c r="H378" s="35" t="s">
        <v>95</v>
      </c>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32" t="s">
        <v>5</v>
      </c>
      <c r="E379" s="28" t="s">
        <v>88</v>
      </c>
      <c r="F379" s="8" t="s">
        <v>96</v>
      </c>
      <c r="G379" s="149" t="s">
        <v>3845</v>
      </c>
      <c r="H379" s="35" t="s">
        <v>96</v>
      </c>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32" t="s">
        <v>5</v>
      </c>
      <c r="E380" s="28" t="s">
        <v>178</v>
      </c>
      <c r="F380" s="8" t="s">
        <v>179</v>
      </c>
      <c r="G380" s="149" t="s">
        <v>3846</v>
      </c>
      <c r="H380" s="35" t="s">
        <v>179</v>
      </c>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32" t="s">
        <v>5</v>
      </c>
      <c r="E381" s="28" t="s">
        <v>178</v>
      </c>
      <c r="F381" s="8" t="s">
        <v>180</v>
      </c>
      <c r="G381" s="149" t="s">
        <v>3847</v>
      </c>
      <c r="H381" s="35" t="s">
        <v>180</v>
      </c>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32" t="s">
        <v>5</v>
      </c>
      <c r="E382" s="28" t="s">
        <v>86</v>
      </c>
      <c r="F382" s="32" t="s">
        <v>97</v>
      </c>
      <c r="G382" s="149" t="s">
        <v>3848</v>
      </c>
      <c r="H382" s="35" t="s">
        <v>97</v>
      </c>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32" t="s">
        <v>5</v>
      </c>
      <c r="E383" s="28" t="s">
        <v>86</v>
      </c>
      <c r="F383" s="38" t="s">
        <v>771</v>
      </c>
      <c r="G383" s="69"/>
      <c r="H383" s="32"/>
      <c r="I383" s="9"/>
      <c r="J383" s="9"/>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32" t="s">
        <v>5</v>
      </c>
      <c r="B384" s="441" t="s">
        <v>3849</v>
      </c>
      <c r="C384" s="442" t="s">
        <v>3850</v>
      </c>
      <c r="D384" s="348" t="s">
        <v>20</v>
      </c>
      <c r="E384" s="432" t="s">
        <v>86</v>
      </c>
      <c r="F384" s="433" t="s">
        <v>87</v>
      </c>
      <c r="I384" s="9"/>
      <c r="J384" s="9"/>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32" t="s">
        <v>5</v>
      </c>
      <c r="E385" s="432" t="s">
        <v>88</v>
      </c>
      <c r="F385" s="432" t="s">
        <v>89</v>
      </c>
      <c r="G385" s="69"/>
      <c r="H385" s="32"/>
      <c r="I385" s="9"/>
      <c r="J385" s="9"/>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32" t="s">
        <v>5</v>
      </c>
      <c r="E386" s="28" t="s">
        <v>21</v>
      </c>
      <c r="F386" s="32" t="s">
        <v>51</v>
      </c>
      <c r="G386" s="149" t="s">
        <v>3851</v>
      </c>
      <c r="H386" s="32" t="s">
        <v>51</v>
      </c>
      <c r="I386" s="9"/>
      <c r="J386" s="9"/>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32" t="s">
        <v>5</v>
      </c>
      <c r="E387" s="28" t="s">
        <v>86</v>
      </c>
      <c r="F387" s="32" t="s">
        <v>90</v>
      </c>
      <c r="G387" s="149" t="s">
        <v>3852</v>
      </c>
      <c r="H387" s="35" t="s">
        <v>90</v>
      </c>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32" t="s">
        <v>5</v>
      </c>
      <c r="E388" s="28" t="s">
        <v>86</v>
      </c>
      <c r="F388" s="32" t="s">
        <v>91</v>
      </c>
      <c r="G388" s="149" t="s">
        <v>3853</v>
      </c>
      <c r="H388" s="35" t="s">
        <v>91</v>
      </c>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32" t="s">
        <v>5</v>
      </c>
      <c r="E389" s="28" t="s">
        <v>86</v>
      </c>
      <c r="F389" s="32" t="s">
        <v>92</v>
      </c>
      <c r="G389" s="149" t="s">
        <v>3854</v>
      </c>
      <c r="H389" s="35" t="s">
        <v>92</v>
      </c>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32" t="s">
        <v>5</v>
      </c>
      <c r="E390" s="28" t="s">
        <v>86</v>
      </c>
      <c r="F390" s="32" t="s">
        <v>93</v>
      </c>
      <c r="G390" s="149" t="s">
        <v>3855</v>
      </c>
      <c r="H390" s="35" t="s">
        <v>93</v>
      </c>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32" t="s">
        <v>5</v>
      </c>
      <c r="E391" s="28" t="s">
        <v>86</v>
      </c>
      <c r="F391" s="32" t="s">
        <v>94</v>
      </c>
      <c r="G391" s="149" t="s">
        <v>3856</v>
      </c>
      <c r="H391" s="35" t="s">
        <v>94</v>
      </c>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32" t="s">
        <v>5</v>
      </c>
      <c r="E392" s="28" t="s">
        <v>88</v>
      </c>
      <c r="F392" s="32" t="s">
        <v>95</v>
      </c>
      <c r="G392" s="149" t="s">
        <v>3857</v>
      </c>
      <c r="H392" s="35" t="s">
        <v>95</v>
      </c>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32" t="s">
        <v>5</v>
      </c>
      <c r="E393" s="28" t="s">
        <v>88</v>
      </c>
      <c r="F393" s="32" t="s">
        <v>96</v>
      </c>
      <c r="G393" s="149" t="s">
        <v>3858</v>
      </c>
      <c r="H393" s="35" t="s">
        <v>96</v>
      </c>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32" t="s">
        <v>5</v>
      </c>
      <c r="E394" s="28" t="s">
        <v>86</v>
      </c>
      <c r="F394" s="32" t="s">
        <v>97</v>
      </c>
      <c r="G394" s="149" t="s">
        <v>3859</v>
      </c>
      <c r="H394" s="35" t="s">
        <v>97</v>
      </c>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28" t="s">
        <v>5</v>
      </c>
      <c r="B395" s="28" t="s">
        <v>3860</v>
      </c>
      <c r="C395" s="87" t="s">
        <v>3861</v>
      </c>
      <c r="D395" s="28" t="s">
        <v>20</v>
      </c>
      <c r="E395" s="432" t="s">
        <v>86</v>
      </c>
      <c r="F395" s="433" t="s">
        <v>87</v>
      </c>
      <c r="I395" s="36"/>
      <c r="L395" s="20"/>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28" t="s">
        <v>5</v>
      </c>
      <c r="E396" s="432" t="s">
        <v>88</v>
      </c>
      <c r="F396" s="432" t="s">
        <v>89</v>
      </c>
      <c r="G396" s="434"/>
      <c r="H396" s="35"/>
      <c r="I396" s="36"/>
      <c r="L396" s="20"/>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28" t="s">
        <v>5</v>
      </c>
      <c r="E397" s="65" t="s">
        <v>21</v>
      </c>
      <c r="F397" s="65" t="s">
        <v>51</v>
      </c>
      <c r="G397" s="435" t="s">
        <v>3862</v>
      </c>
      <c r="H397" s="35" t="s">
        <v>51</v>
      </c>
      <c r="I397" s="36"/>
      <c r="L397" s="20"/>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28" t="s">
        <v>5</v>
      </c>
      <c r="E398" s="65" t="s">
        <v>86</v>
      </c>
      <c r="F398" s="65" t="s">
        <v>90</v>
      </c>
      <c r="G398" s="435" t="s">
        <v>3863</v>
      </c>
      <c r="H398" s="35" t="s">
        <v>90</v>
      </c>
      <c r="I398" s="36"/>
      <c r="L398" s="20"/>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28" t="s">
        <v>5</v>
      </c>
      <c r="E399" s="65" t="s">
        <v>86</v>
      </c>
      <c r="F399" s="65" t="s">
        <v>91</v>
      </c>
      <c r="G399" s="435" t="s">
        <v>3864</v>
      </c>
      <c r="H399" s="35" t="s">
        <v>91</v>
      </c>
      <c r="I399" s="36"/>
      <c r="L399" s="20"/>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28" t="s">
        <v>5</v>
      </c>
      <c r="E400" s="65" t="s">
        <v>86</v>
      </c>
      <c r="F400" s="65" t="s">
        <v>338</v>
      </c>
      <c r="G400" s="435" t="s">
        <v>3865</v>
      </c>
      <c r="H400" s="35" t="s">
        <v>338</v>
      </c>
      <c r="I400" s="36"/>
      <c r="L400" s="20"/>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28" t="s">
        <v>5</v>
      </c>
      <c r="E401" s="65" t="s">
        <v>86</v>
      </c>
      <c r="F401" s="65" t="s">
        <v>739</v>
      </c>
      <c r="G401" s="435" t="s">
        <v>3866</v>
      </c>
      <c r="H401" s="35" t="s">
        <v>739</v>
      </c>
      <c r="I401" s="36"/>
      <c r="L401" s="20"/>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28" t="s">
        <v>5</v>
      </c>
      <c r="E402" s="65" t="s">
        <v>86</v>
      </c>
      <c r="F402" s="65" t="s">
        <v>90</v>
      </c>
      <c r="G402" s="435" t="s">
        <v>3863</v>
      </c>
      <c r="H402" s="35" t="s">
        <v>90</v>
      </c>
      <c r="L402" s="20"/>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28" t="s">
        <v>5</v>
      </c>
      <c r="E403" s="65" t="s">
        <v>86</v>
      </c>
      <c r="F403" s="65" t="s">
        <v>743</v>
      </c>
      <c r="G403" s="435" t="s">
        <v>3867</v>
      </c>
      <c r="H403" s="35" t="s">
        <v>743</v>
      </c>
      <c r="L403" s="20"/>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28" t="s">
        <v>5</v>
      </c>
      <c r="E404" s="65" t="s">
        <v>88</v>
      </c>
      <c r="F404" s="65" t="s">
        <v>95</v>
      </c>
      <c r="G404" s="435" t="s">
        <v>3868</v>
      </c>
      <c r="H404" s="35" t="s">
        <v>95</v>
      </c>
      <c r="L404" s="20"/>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28" t="s">
        <v>5</v>
      </c>
      <c r="E405" s="65" t="s">
        <v>88</v>
      </c>
      <c r="F405" s="65" t="s">
        <v>96</v>
      </c>
      <c r="G405" s="435" t="s">
        <v>3869</v>
      </c>
      <c r="H405" s="35" t="s">
        <v>96</v>
      </c>
      <c r="L405" s="20"/>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28" t="s">
        <v>5</v>
      </c>
      <c r="E406" s="65" t="s">
        <v>104</v>
      </c>
      <c r="F406" s="65" t="s">
        <v>250</v>
      </c>
      <c r="G406" s="435" t="s">
        <v>3870</v>
      </c>
      <c r="H406" s="35" t="s">
        <v>250</v>
      </c>
      <c r="L406" s="20"/>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28" t="s">
        <v>5</v>
      </c>
      <c r="E407" s="65" t="s">
        <v>86</v>
      </c>
      <c r="F407" s="65" t="s">
        <v>353</v>
      </c>
      <c r="G407" s="435" t="s">
        <v>3871</v>
      </c>
      <c r="H407" s="35" t="s">
        <v>353</v>
      </c>
      <c r="L407" s="20"/>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32" t="s">
        <v>5</v>
      </c>
      <c r="B408" s="441" t="s">
        <v>3872</v>
      </c>
      <c r="C408" s="57" t="s">
        <v>3873</v>
      </c>
      <c r="D408" s="348" t="s">
        <v>20</v>
      </c>
      <c r="E408" s="432" t="s">
        <v>86</v>
      </c>
      <c r="F408" s="433" t="s">
        <v>87</v>
      </c>
      <c r="I408" s="31"/>
      <c r="J408" s="9"/>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32" t="s">
        <v>5</v>
      </c>
      <c r="E409" s="432" t="s">
        <v>88</v>
      </c>
      <c r="F409" s="432" t="s">
        <v>89</v>
      </c>
      <c r="G409" s="69"/>
      <c r="H409" s="8"/>
      <c r="I409" s="31"/>
      <c r="J409" s="9"/>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32" t="s">
        <v>5</v>
      </c>
      <c r="E410" s="28" t="s">
        <v>21</v>
      </c>
      <c r="F410" s="8" t="s">
        <v>51</v>
      </c>
      <c r="G410" s="149" t="s">
        <v>3874</v>
      </c>
      <c r="H410" s="8" t="s">
        <v>51</v>
      </c>
      <c r="I410" s="31"/>
      <c r="J410" s="9"/>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32" t="s">
        <v>5</v>
      </c>
      <c r="E411" s="28" t="s">
        <v>88</v>
      </c>
      <c r="F411" s="38" t="s">
        <v>95</v>
      </c>
      <c r="G411" s="149" t="s">
        <v>3875</v>
      </c>
      <c r="H411" s="35" t="s">
        <v>95</v>
      </c>
      <c r="I411" s="36"/>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32" t="s">
        <v>5</v>
      </c>
      <c r="E412" s="28" t="s">
        <v>88</v>
      </c>
      <c r="F412" s="38" t="s">
        <v>96</v>
      </c>
      <c r="G412" s="149" t="s">
        <v>3876</v>
      </c>
      <c r="H412" s="35" t="s">
        <v>96</v>
      </c>
      <c r="I412" s="36"/>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32" t="s">
        <v>5</v>
      </c>
      <c r="E413" s="28" t="s">
        <v>88</v>
      </c>
      <c r="F413" s="28" t="s">
        <v>125</v>
      </c>
      <c r="G413" s="149" t="s">
        <v>3877</v>
      </c>
      <c r="H413" s="35" t="s">
        <v>125</v>
      </c>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32" t="s">
        <v>5</v>
      </c>
      <c r="E414" s="28" t="s">
        <v>88</v>
      </c>
      <c r="F414" s="28" t="s">
        <v>675</v>
      </c>
      <c r="G414" s="149" t="s">
        <v>3878</v>
      </c>
      <c r="H414" s="35" t="s">
        <v>675</v>
      </c>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32" t="s">
        <v>5</v>
      </c>
      <c r="E415" s="8" t="s">
        <v>88</v>
      </c>
      <c r="F415" s="8" t="s">
        <v>96</v>
      </c>
      <c r="G415" s="149" t="s">
        <v>3879</v>
      </c>
      <c r="H415" s="35" t="s">
        <v>177</v>
      </c>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32" t="s">
        <v>5</v>
      </c>
      <c r="E416" s="8" t="s">
        <v>86</v>
      </c>
      <c r="F416" s="8" t="s">
        <v>90</v>
      </c>
      <c r="G416" s="149" t="s">
        <v>3880</v>
      </c>
      <c r="H416" s="35" t="s">
        <v>90</v>
      </c>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32" t="s">
        <v>5</v>
      </c>
      <c r="E417" s="8" t="s">
        <v>86</v>
      </c>
      <c r="F417" s="8" t="s">
        <v>762</v>
      </c>
      <c r="G417" s="149" t="s">
        <v>3881</v>
      </c>
      <c r="H417" s="35" t="s">
        <v>762</v>
      </c>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32" t="s">
        <v>5</v>
      </c>
      <c r="E418" s="8" t="s">
        <v>86</v>
      </c>
      <c r="F418" s="8" t="s">
        <v>92</v>
      </c>
      <c r="G418" s="149" t="s">
        <v>3882</v>
      </c>
      <c r="H418" s="35" t="s">
        <v>92</v>
      </c>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32" t="s">
        <v>5</v>
      </c>
      <c r="E419" s="8" t="s">
        <v>86</v>
      </c>
      <c r="F419" s="8" t="s">
        <v>753</v>
      </c>
      <c r="G419" s="149" t="s">
        <v>3883</v>
      </c>
      <c r="H419" s="35" t="s">
        <v>753</v>
      </c>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32" t="s">
        <v>5</v>
      </c>
      <c r="E420" s="28" t="s">
        <v>86</v>
      </c>
      <c r="F420" s="8" t="s">
        <v>94</v>
      </c>
      <c r="G420" s="149" t="s">
        <v>3884</v>
      </c>
      <c r="H420" s="35" t="s">
        <v>94</v>
      </c>
      <c r="I420" s="36"/>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32" t="s">
        <v>5</v>
      </c>
      <c r="E421" s="28" t="s">
        <v>88</v>
      </c>
      <c r="F421" s="38" t="s">
        <v>95</v>
      </c>
      <c r="G421" s="149" t="s">
        <v>3875</v>
      </c>
      <c r="H421" s="35" t="s">
        <v>95</v>
      </c>
      <c r="I421" s="36"/>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32" t="s">
        <v>5</v>
      </c>
      <c r="E422" s="28" t="s">
        <v>88</v>
      </c>
      <c r="F422" s="38" t="s">
        <v>96</v>
      </c>
      <c r="G422" s="149" t="s">
        <v>3885</v>
      </c>
      <c r="H422" s="35" t="s">
        <v>337</v>
      </c>
      <c r="I422" s="36"/>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32" t="s">
        <v>5</v>
      </c>
      <c r="E423" s="28" t="s">
        <v>178</v>
      </c>
      <c r="F423" s="8" t="s">
        <v>209</v>
      </c>
      <c r="G423" s="435" t="s">
        <v>3886</v>
      </c>
      <c r="H423" s="35" t="s">
        <v>209</v>
      </c>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32" t="s">
        <v>5</v>
      </c>
      <c r="E424" s="8" t="s">
        <v>178</v>
      </c>
      <c r="F424" s="8" t="s">
        <v>210</v>
      </c>
      <c r="G424" s="435" t="s">
        <v>3887</v>
      </c>
      <c r="H424" s="35" t="s">
        <v>210</v>
      </c>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32" t="s">
        <v>5</v>
      </c>
      <c r="E425" s="8" t="s">
        <v>86</v>
      </c>
      <c r="F425" s="8" t="s">
        <v>97</v>
      </c>
      <c r="G425" s="435" t="s">
        <v>3888</v>
      </c>
      <c r="H425" s="35" t="s">
        <v>97</v>
      </c>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32" t="s">
        <v>5</v>
      </c>
      <c r="B426" s="441" t="s">
        <v>3889</v>
      </c>
      <c r="C426" s="57" t="s">
        <v>3890</v>
      </c>
      <c r="D426" s="348" t="s">
        <v>20</v>
      </c>
      <c r="E426" s="432" t="s">
        <v>86</v>
      </c>
      <c r="F426" s="433" t="s">
        <v>87</v>
      </c>
      <c r="I426" s="9"/>
      <c r="J426" s="9"/>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32" t="s">
        <v>5</v>
      </c>
      <c r="E427" s="432" t="s">
        <v>88</v>
      </c>
      <c r="F427" s="432" t="s">
        <v>89</v>
      </c>
      <c r="G427" s="443"/>
      <c r="H427" s="8"/>
      <c r="I427" s="9"/>
      <c r="J427" s="9"/>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32" t="s">
        <v>5</v>
      </c>
      <c r="E428" s="28" t="s">
        <v>21</v>
      </c>
      <c r="F428" s="8" t="s">
        <v>51</v>
      </c>
      <c r="G428" s="435" t="s">
        <v>3891</v>
      </c>
      <c r="H428" s="8" t="s">
        <v>51</v>
      </c>
      <c r="I428" s="9"/>
      <c r="J428" s="9"/>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32" t="s">
        <v>5</v>
      </c>
      <c r="E429" s="28" t="s">
        <v>88</v>
      </c>
      <c r="F429" s="38" t="s">
        <v>95</v>
      </c>
      <c r="G429" s="149" t="s">
        <v>3892</v>
      </c>
      <c r="H429" s="35" t="s">
        <v>95</v>
      </c>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32" t="s">
        <v>5</v>
      </c>
      <c r="E430" s="28" t="s">
        <v>88</v>
      </c>
      <c r="F430" s="38" t="s">
        <v>96</v>
      </c>
      <c r="G430" s="149" t="s">
        <v>3893</v>
      </c>
      <c r="H430" s="35" t="s">
        <v>96</v>
      </c>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32" t="s">
        <v>5</v>
      </c>
      <c r="E431" s="28" t="s">
        <v>88</v>
      </c>
      <c r="F431" s="28" t="s">
        <v>125</v>
      </c>
      <c r="G431" s="149" t="s">
        <v>3894</v>
      </c>
      <c r="H431" s="35" t="s">
        <v>125</v>
      </c>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32" t="s">
        <v>5</v>
      </c>
      <c r="E432" s="28" t="s">
        <v>88</v>
      </c>
      <c r="F432" s="28" t="s">
        <v>675</v>
      </c>
      <c r="G432" s="149" t="s">
        <v>3895</v>
      </c>
      <c r="H432" s="35" t="s">
        <v>675</v>
      </c>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32" t="s">
        <v>5</v>
      </c>
      <c r="E433" s="8" t="s">
        <v>88</v>
      </c>
      <c r="F433" s="8" t="s">
        <v>96</v>
      </c>
      <c r="G433" s="149" t="s">
        <v>3896</v>
      </c>
      <c r="H433" s="35" t="s">
        <v>177</v>
      </c>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32" t="s">
        <v>5</v>
      </c>
      <c r="E434" s="8" t="s">
        <v>86</v>
      </c>
      <c r="F434" s="8" t="s">
        <v>90</v>
      </c>
      <c r="G434" s="149" t="s">
        <v>3897</v>
      </c>
      <c r="H434" s="35" t="s">
        <v>90</v>
      </c>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32" t="s">
        <v>5</v>
      </c>
      <c r="E435" s="8" t="s">
        <v>86</v>
      </c>
      <c r="F435" s="8" t="s">
        <v>762</v>
      </c>
      <c r="G435" s="149" t="s">
        <v>3898</v>
      </c>
      <c r="H435" s="35" t="s">
        <v>762</v>
      </c>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32" t="s">
        <v>5</v>
      </c>
      <c r="E436" s="8" t="s">
        <v>86</v>
      </c>
      <c r="F436" s="8" t="s">
        <v>92</v>
      </c>
      <c r="G436" s="149" t="s">
        <v>3899</v>
      </c>
      <c r="H436" s="35" t="s">
        <v>92</v>
      </c>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32" t="s">
        <v>5</v>
      </c>
      <c r="E437" s="8" t="s">
        <v>86</v>
      </c>
      <c r="F437" s="8" t="s">
        <v>753</v>
      </c>
      <c r="G437" s="149" t="s">
        <v>3900</v>
      </c>
      <c r="H437" s="35" t="s">
        <v>753</v>
      </c>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32" t="s">
        <v>5</v>
      </c>
      <c r="E438" s="28" t="s">
        <v>86</v>
      </c>
      <c r="F438" s="8" t="s">
        <v>94</v>
      </c>
      <c r="G438" s="149" t="s">
        <v>3901</v>
      </c>
      <c r="H438" s="35" t="s">
        <v>94</v>
      </c>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32" t="s">
        <v>5</v>
      </c>
      <c r="E439" s="28" t="s">
        <v>88</v>
      </c>
      <c r="F439" s="38" t="s">
        <v>95</v>
      </c>
      <c r="G439" s="149" t="s">
        <v>3892</v>
      </c>
      <c r="H439" s="35" t="s">
        <v>95</v>
      </c>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32" t="s">
        <v>5</v>
      </c>
      <c r="E440" s="28" t="s">
        <v>88</v>
      </c>
      <c r="F440" s="38" t="s">
        <v>96</v>
      </c>
      <c r="G440" s="149" t="s">
        <v>3902</v>
      </c>
      <c r="H440" s="35" t="s">
        <v>337</v>
      </c>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32" t="s">
        <v>5</v>
      </c>
      <c r="E441" s="28" t="s">
        <v>178</v>
      </c>
      <c r="F441" s="8" t="s">
        <v>209</v>
      </c>
      <c r="G441" s="149" t="s">
        <v>3903</v>
      </c>
      <c r="H441" s="35" t="s">
        <v>209</v>
      </c>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32" t="s">
        <v>5</v>
      </c>
      <c r="E442" s="8" t="s">
        <v>178</v>
      </c>
      <c r="F442" s="8" t="s">
        <v>210</v>
      </c>
      <c r="G442" s="149" t="s">
        <v>3904</v>
      </c>
      <c r="H442" s="35" t="s">
        <v>210</v>
      </c>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32" t="s">
        <v>5</v>
      </c>
      <c r="E443" s="8" t="s">
        <v>86</v>
      </c>
      <c r="F443" s="8" t="s">
        <v>97</v>
      </c>
      <c r="G443" s="149" t="s">
        <v>3905</v>
      </c>
      <c r="H443" s="35" t="s">
        <v>97</v>
      </c>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32" t="s">
        <v>5</v>
      </c>
      <c r="B444" s="441" t="s">
        <v>3906</v>
      </c>
      <c r="C444" s="57" t="s">
        <v>3907</v>
      </c>
      <c r="D444" s="186" t="s">
        <v>20</v>
      </c>
      <c r="E444" s="432" t="s">
        <v>86</v>
      </c>
      <c r="F444" s="433" t="s">
        <v>87</v>
      </c>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32" t="s">
        <v>5</v>
      </c>
      <c r="E445" s="432" t="s">
        <v>88</v>
      </c>
      <c r="F445" s="432" t="s">
        <v>89</v>
      </c>
      <c r="G445" s="155"/>
      <c r="H445" s="35"/>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32" t="s">
        <v>5</v>
      </c>
      <c r="E446" s="8" t="s">
        <v>21</v>
      </c>
      <c r="F446" s="8" t="s">
        <v>51</v>
      </c>
      <c r="G446" s="149" t="s">
        <v>3908</v>
      </c>
      <c r="H446" s="35" t="s">
        <v>51</v>
      </c>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32" t="s">
        <v>5</v>
      </c>
      <c r="E447" s="8" t="s">
        <v>104</v>
      </c>
      <c r="F447" s="8" t="s">
        <v>250</v>
      </c>
      <c r="G447" s="149" t="s">
        <v>3909</v>
      </c>
      <c r="H447" s="35" t="s">
        <v>250</v>
      </c>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32" t="s">
        <v>5</v>
      </c>
      <c r="E448" s="8" t="s">
        <v>86</v>
      </c>
      <c r="F448" s="8" t="s">
        <v>90</v>
      </c>
      <c r="G448" s="149" t="s">
        <v>3910</v>
      </c>
      <c r="H448" s="35" t="s">
        <v>90</v>
      </c>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32" t="s">
        <v>5</v>
      </c>
      <c r="E449" s="8" t="s">
        <v>86</v>
      </c>
      <c r="F449" s="8" t="s">
        <v>739</v>
      </c>
      <c r="G449" s="149" t="s">
        <v>3911</v>
      </c>
      <c r="H449" s="35" t="s">
        <v>739</v>
      </c>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32" t="s">
        <v>5</v>
      </c>
      <c r="E450" s="28" t="s">
        <v>86</v>
      </c>
      <c r="F450" s="8" t="s">
        <v>743</v>
      </c>
      <c r="G450" s="149" t="s">
        <v>3912</v>
      </c>
      <c r="H450" s="35" t="s">
        <v>743</v>
      </c>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32" t="s">
        <v>5</v>
      </c>
      <c r="E451" s="28" t="s">
        <v>104</v>
      </c>
      <c r="F451" s="38" t="s">
        <v>250</v>
      </c>
      <c r="G451" s="149" t="s">
        <v>3909</v>
      </c>
      <c r="H451" s="35" t="s">
        <v>250</v>
      </c>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32" t="s">
        <v>5</v>
      </c>
      <c r="E452" s="28" t="s">
        <v>86</v>
      </c>
      <c r="F452" s="38" t="s">
        <v>353</v>
      </c>
      <c r="G452" s="149" t="s">
        <v>3913</v>
      </c>
      <c r="H452" s="35" t="s">
        <v>353</v>
      </c>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32" t="s">
        <v>5</v>
      </c>
      <c r="E453" s="28" t="s">
        <v>104</v>
      </c>
      <c r="F453" s="38" t="s">
        <v>250</v>
      </c>
      <c r="G453" s="149" t="s">
        <v>3909</v>
      </c>
      <c r="H453" s="35" t="s">
        <v>250</v>
      </c>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32" t="s">
        <v>5</v>
      </c>
      <c r="B454" s="444" t="s">
        <v>3914</v>
      </c>
      <c r="C454" s="445" t="s">
        <v>3915</v>
      </c>
      <c r="D454" s="87" t="s">
        <v>20</v>
      </c>
      <c r="E454" s="432" t="s">
        <v>86</v>
      </c>
      <c r="F454" s="433" t="s">
        <v>87</v>
      </c>
      <c r="G454" s="37"/>
      <c r="H454" s="31"/>
      <c r="I454" s="9"/>
      <c r="J454" s="9"/>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32" t="s">
        <v>5</v>
      </c>
      <c r="E455" s="432" t="s">
        <v>88</v>
      </c>
      <c r="F455" s="432" t="s">
        <v>89</v>
      </c>
      <c r="G455" s="232"/>
      <c r="H455" s="35"/>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32" t="s">
        <v>5</v>
      </c>
      <c r="E456" s="87" t="s">
        <v>21</v>
      </c>
      <c r="F456" s="87" t="s">
        <v>51</v>
      </c>
      <c r="G456" s="232" t="s">
        <v>3916</v>
      </c>
      <c r="H456" s="35" t="s">
        <v>51</v>
      </c>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32" t="s">
        <v>5</v>
      </c>
      <c r="E457" s="87" t="s">
        <v>86</v>
      </c>
      <c r="F457" s="87" t="s">
        <v>90</v>
      </c>
      <c r="G457" s="232" t="s">
        <v>3917</v>
      </c>
      <c r="H457" s="35" t="s">
        <v>90</v>
      </c>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32" t="s">
        <v>5</v>
      </c>
      <c r="E458" s="87" t="s">
        <v>86</v>
      </c>
      <c r="F458" s="446" t="s">
        <v>739</v>
      </c>
      <c r="G458" s="232" t="s">
        <v>3918</v>
      </c>
      <c r="H458" s="35" t="s">
        <v>739</v>
      </c>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32" t="s">
        <v>5</v>
      </c>
      <c r="E459" s="87" t="s">
        <v>86</v>
      </c>
      <c r="F459" s="446" t="s">
        <v>743</v>
      </c>
      <c r="G459" s="232" t="s">
        <v>3919</v>
      </c>
      <c r="H459" s="35" t="s">
        <v>743</v>
      </c>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32" t="s">
        <v>5</v>
      </c>
      <c r="E460" s="87" t="s">
        <v>86</v>
      </c>
      <c r="F460" s="87" t="s">
        <v>353</v>
      </c>
      <c r="G460" s="154" t="s">
        <v>3920</v>
      </c>
      <c r="H460" s="35" t="s">
        <v>353</v>
      </c>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32" t="s">
        <v>5</v>
      </c>
      <c r="E461" s="87" t="s">
        <v>88</v>
      </c>
      <c r="F461" s="87" t="s">
        <v>89</v>
      </c>
      <c r="G461" s="37"/>
      <c r="H461" s="31"/>
      <c r="I461" s="9"/>
      <c r="J461" s="9"/>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32" t="s">
        <v>5</v>
      </c>
      <c r="E462" s="87" t="s">
        <v>21</v>
      </c>
      <c r="F462" s="446" t="s">
        <v>51</v>
      </c>
      <c r="G462" s="232" t="s">
        <v>3921</v>
      </c>
      <c r="H462" s="35" t="s">
        <v>1383</v>
      </c>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32" t="s">
        <v>5</v>
      </c>
      <c r="E463" s="87" t="s">
        <v>86</v>
      </c>
      <c r="F463" s="446" t="s">
        <v>339</v>
      </c>
      <c r="G463" s="232" t="s">
        <v>3922</v>
      </c>
      <c r="H463" s="35" t="s">
        <v>339</v>
      </c>
      <c r="I463" s="36"/>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32"/>
      <c r="E464" s="87" t="s">
        <v>86</v>
      </c>
      <c r="F464" s="446" t="s">
        <v>90</v>
      </c>
      <c r="G464" s="232"/>
      <c r="H464" s="35"/>
      <c r="I464" s="36"/>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32" t="s">
        <v>5</v>
      </c>
      <c r="E465" s="8" t="s">
        <v>86</v>
      </c>
      <c r="F465" s="8" t="s">
        <v>743</v>
      </c>
      <c r="G465" s="154" t="s">
        <v>3923</v>
      </c>
      <c r="H465" s="35" t="s">
        <v>3924</v>
      </c>
      <c r="I465" s="36"/>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32" t="s">
        <v>5</v>
      </c>
      <c r="E466" s="8" t="s">
        <v>86</v>
      </c>
      <c r="F466" s="8" t="s">
        <v>353</v>
      </c>
      <c r="G466" s="154" t="s">
        <v>3925</v>
      </c>
      <c r="H466" s="35" t="s">
        <v>3926</v>
      </c>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32" t="s">
        <v>5</v>
      </c>
      <c r="E467" s="8" t="s">
        <v>86</v>
      </c>
      <c r="F467" s="8" t="s">
        <v>91</v>
      </c>
      <c r="G467" s="232" t="s">
        <v>3927</v>
      </c>
      <c r="H467" s="35" t="s">
        <v>91</v>
      </c>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32" t="s">
        <v>5</v>
      </c>
      <c r="E468" s="8" t="s">
        <v>86</v>
      </c>
      <c r="F468" s="8" t="s">
        <v>338</v>
      </c>
      <c r="G468" s="232" t="s">
        <v>3928</v>
      </c>
      <c r="H468" s="35" t="s">
        <v>338</v>
      </c>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32" t="s">
        <v>5</v>
      </c>
      <c r="E469" s="8" t="s">
        <v>86</v>
      </c>
      <c r="F469" s="8" t="s">
        <v>339</v>
      </c>
      <c r="G469" s="232" t="s">
        <v>3929</v>
      </c>
      <c r="H469" s="35" t="s">
        <v>3930</v>
      </c>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32" t="s">
        <v>5</v>
      </c>
      <c r="E470" s="8" t="s">
        <v>86</v>
      </c>
      <c r="F470" s="8" t="s">
        <v>743</v>
      </c>
      <c r="G470" s="232" t="s">
        <v>3931</v>
      </c>
      <c r="H470" s="35" t="s">
        <v>3932</v>
      </c>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32" t="s">
        <v>5</v>
      </c>
      <c r="E471" s="8" t="s">
        <v>86</v>
      </c>
      <c r="F471" s="8" t="s">
        <v>353</v>
      </c>
      <c r="G471" s="232" t="s">
        <v>3933</v>
      </c>
      <c r="H471" s="35" t="s">
        <v>3934</v>
      </c>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32" t="s">
        <v>5</v>
      </c>
      <c r="B472" s="441" t="s">
        <v>3935</v>
      </c>
      <c r="C472" s="447" t="s">
        <v>3936</v>
      </c>
      <c r="D472" s="53" t="s">
        <v>20</v>
      </c>
      <c r="E472" s="8" t="s">
        <v>86</v>
      </c>
      <c r="F472" s="8" t="s">
        <v>87</v>
      </c>
      <c r="G472" s="69"/>
      <c r="H472" s="36"/>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32" t="s">
        <v>5</v>
      </c>
      <c r="E473" s="28" t="s">
        <v>88</v>
      </c>
      <c r="F473" s="8" t="s">
        <v>89</v>
      </c>
      <c r="G473" s="69"/>
      <c r="H473" s="36"/>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32" t="s">
        <v>5</v>
      </c>
      <c r="E474" s="28" t="s">
        <v>21</v>
      </c>
      <c r="F474" s="38" t="s">
        <v>51</v>
      </c>
      <c r="G474" s="149" t="s">
        <v>3937</v>
      </c>
      <c r="H474" s="38" t="s">
        <v>51</v>
      </c>
      <c r="I474" s="9"/>
      <c r="J474" s="9"/>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32" t="s">
        <v>5</v>
      </c>
      <c r="E475" s="28" t="s">
        <v>86</v>
      </c>
      <c r="F475" s="28" t="s">
        <v>90</v>
      </c>
      <c r="G475" s="149" t="s">
        <v>3938</v>
      </c>
      <c r="H475" s="35" t="s">
        <v>90</v>
      </c>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32" t="s">
        <v>5</v>
      </c>
      <c r="E476" s="8" t="s">
        <v>86</v>
      </c>
      <c r="F476" s="8" t="s">
        <v>91</v>
      </c>
      <c r="G476" s="149" t="s">
        <v>3939</v>
      </c>
      <c r="H476" s="35" t="s">
        <v>91</v>
      </c>
      <c r="I476" s="36"/>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32" t="s">
        <v>5</v>
      </c>
      <c r="E477" s="8" t="s">
        <v>86</v>
      </c>
      <c r="F477" s="8" t="s">
        <v>338</v>
      </c>
      <c r="G477" s="149" t="s">
        <v>3940</v>
      </c>
      <c r="H477" s="35" t="s">
        <v>338</v>
      </c>
      <c r="I477" s="36"/>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32" t="s">
        <v>5</v>
      </c>
      <c r="E478" s="8" t="s">
        <v>86</v>
      </c>
      <c r="F478" s="8" t="s">
        <v>739</v>
      </c>
      <c r="G478" s="149" t="s">
        <v>3941</v>
      </c>
      <c r="H478" s="35" t="s">
        <v>739</v>
      </c>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32" t="s">
        <v>5</v>
      </c>
      <c r="E479" s="8" t="s">
        <v>86</v>
      </c>
      <c r="F479" s="8" t="s">
        <v>743</v>
      </c>
      <c r="G479" s="149" t="s">
        <v>3942</v>
      </c>
      <c r="H479" s="35" t="s">
        <v>743</v>
      </c>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32" t="s">
        <v>5</v>
      </c>
      <c r="E480" s="8" t="s">
        <v>86</v>
      </c>
      <c r="F480" s="8" t="s">
        <v>353</v>
      </c>
      <c r="G480" s="149" t="s">
        <v>3943</v>
      </c>
      <c r="H480" s="35" t="s">
        <v>353</v>
      </c>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32" t="s">
        <v>5</v>
      </c>
      <c r="E481" s="28" t="s">
        <v>86</v>
      </c>
      <c r="F481" s="8" t="s">
        <v>91</v>
      </c>
      <c r="G481" s="149" t="s">
        <v>3939</v>
      </c>
      <c r="H481" s="35" t="s">
        <v>91</v>
      </c>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32" t="s">
        <v>5</v>
      </c>
      <c r="E482" s="28" t="s">
        <v>86</v>
      </c>
      <c r="F482" s="38" t="s">
        <v>338</v>
      </c>
      <c r="G482" s="149" t="s">
        <v>3940</v>
      </c>
      <c r="H482" s="35" t="s">
        <v>338</v>
      </c>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32" t="s">
        <v>5</v>
      </c>
      <c r="E483" s="28" t="s">
        <v>86</v>
      </c>
      <c r="F483" s="28" t="s">
        <v>739</v>
      </c>
      <c r="G483" s="149" t="s">
        <v>3944</v>
      </c>
      <c r="H483" s="35" t="s">
        <v>3945</v>
      </c>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32" t="s">
        <v>5</v>
      </c>
      <c r="E484" s="8" t="s">
        <v>86</v>
      </c>
      <c r="F484" s="8" t="s">
        <v>91</v>
      </c>
      <c r="G484" s="149" t="s">
        <v>3939</v>
      </c>
      <c r="H484" s="35" t="s">
        <v>91</v>
      </c>
      <c r="I484" s="36"/>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32" t="s">
        <v>5</v>
      </c>
      <c r="E485" s="8" t="s">
        <v>86</v>
      </c>
      <c r="F485" s="8" t="s">
        <v>338</v>
      </c>
      <c r="G485" s="149" t="s">
        <v>3940</v>
      </c>
      <c r="H485" s="35" t="s">
        <v>338</v>
      </c>
      <c r="I485" s="36"/>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32" t="s">
        <v>5</v>
      </c>
      <c r="E486" s="8" t="s">
        <v>104</v>
      </c>
      <c r="F486" s="8" t="s">
        <v>250</v>
      </c>
      <c r="G486" s="149" t="s">
        <v>3946</v>
      </c>
      <c r="H486" s="35" t="s">
        <v>250</v>
      </c>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32" t="s">
        <v>5</v>
      </c>
      <c r="E487" s="8" t="s">
        <v>178</v>
      </c>
      <c r="F487" s="8" t="s">
        <v>209</v>
      </c>
      <c r="G487" s="149" t="s">
        <v>3947</v>
      </c>
      <c r="H487" s="35" t="s">
        <v>209</v>
      </c>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32" t="s">
        <v>5</v>
      </c>
      <c r="E488" s="8" t="s">
        <v>178</v>
      </c>
      <c r="F488" s="8" t="s">
        <v>210</v>
      </c>
      <c r="G488" s="149" t="s">
        <v>3948</v>
      </c>
      <c r="H488" s="35" t="s">
        <v>210</v>
      </c>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32" t="s">
        <v>5</v>
      </c>
      <c r="B489" s="195" t="s">
        <v>3949</v>
      </c>
      <c r="C489" s="448" t="s">
        <v>3950</v>
      </c>
      <c r="D489" s="87" t="s">
        <v>20</v>
      </c>
      <c r="E489" s="432" t="s">
        <v>86</v>
      </c>
      <c r="F489" s="433" t="s">
        <v>87</v>
      </c>
      <c r="G489" s="69"/>
      <c r="H489" s="30"/>
      <c r="I489" s="9"/>
      <c r="J489" s="9"/>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32" t="s">
        <v>5</v>
      </c>
      <c r="E490" s="432" t="s">
        <v>88</v>
      </c>
      <c r="F490" s="432" t="s">
        <v>89</v>
      </c>
      <c r="G490" s="69"/>
      <c r="H490" s="30"/>
      <c r="I490" s="9"/>
      <c r="J490" s="9"/>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32" t="s">
        <v>5</v>
      </c>
      <c r="E491" s="87" t="s">
        <v>21</v>
      </c>
      <c r="F491" s="87" t="s">
        <v>51</v>
      </c>
      <c r="G491" s="149" t="s">
        <v>3951</v>
      </c>
      <c r="H491" s="35" t="s">
        <v>51</v>
      </c>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32" t="s">
        <v>5</v>
      </c>
      <c r="E492" s="87" t="s">
        <v>86</v>
      </c>
      <c r="F492" s="87" t="s">
        <v>90</v>
      </c>
      <c r="G492" s="149" t="s">
        <v>3952</v>
      </c>
      <c r="H492" s="35" t="s">
        <v>90</v>
      </c>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32" t="s">
        <v>5</v>
      </c>
      <c r="E493" s="87" t="s">
        <v>86</v>
      </c>
      <c r="F493" s="446" t="s">
        <v>739</v>
      </c>
      <c r="G493" s="149" t="s">
        <v>3953</v>
      </c>
      <c r="H493" s="35" t="s">
        <v>739</v>
      </c>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32" t="s">
        <v>5</v>
      </c>
      <c r="E494" s="87" t="s">
        <v>86</v>
      </c>
      <c r="F494" s="446" t="s">
        <v>743</v>
      </c>
      <c r="G494" s="149" t="s">
        <v>3954</v>
      </c>
      <c r="H494" s="35" t="s">
        <v>743</v>
      </c>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32" t="s">
        <v>5</v>
      </c>
      <c r="E495" s="87" t="s">
        <v>86</v>
      </c>
      <c r="F495" s="87" t="s">
        <v>353</v>
      </c>
      <c r="G495" s="149" t="s">
        <v>3955</v>
      </c>
      <c r="H495" s="35" t="s">
        <v>353</v>
      </c>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32" t="s">
        <v>5</v>
      </c>
      <c r="E496" s="87" t="s">
        <v>88</v>
      </c>
      <c r="F496" s="87" t="s">
        <v>89</v>
      </c>
      <c r="G496" s="69"/>
      <c r="H496" s="36"/>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32" t="s">
        <v>5</v>
      </c>
      <c r="E497" s="87" t="s">
        <v>21</v>
      </c>
      <c r="F497" s="446" t="s">
        <v>51</v>
      </c>
      <c r="G497" s="149" t="s">
        <v>3956</v>
      </c>
      <c r="H497" s="35" t="s">
        <v>1383</v>
      </c>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32" t="s">
        <v>5</v>
      </c>
      <c r="E498" s="87" t="s">
        <v>86</v>
      </c>
      <c r="F498" s="446" t="s">
        <v>339</v>
      </c>
      <c r="G498" s="149" t="s">
        <v>3957</v>
      </c>
      <c r="H498" s="35" t="s">
        <v>339</v>
      </c>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32"/>
      <c r="E499" s="87" t="s">
        <v>86</v>
      </c>
      <c r="F499" s="446" t="s">
        <v>90</v>
      </c>
      <c r="G499" s="149" t="str">
        <f>HYPERLINK("https://docs.google.com/spreadsheets/d/1-D37LIDbsX2cd-clolP2jcF9RXcO6oFfvazMgEvZZ_Q/edit#gid=1876333242", "https://docs.google.com/spreadsheets/d/1-D37LIDbsX2cd-clolP2jcF9RXcO6oFfvazMgEvZZ_Q/edit#gid=1876333242")</f>
        <v>https://docs.google.com/spreadsheets/d/1-D37LIDbsX2cd-clolP2jcF9RXcO6oFfvazMgEvZZ_Q/edit#gid=1876333242</v>
      </c>
      <c r="H499" s="35" t="s">
        <v>90</v>
      </c>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32" t="s">
        <v>5</v>
      </c>
      <c r="E500" s="8" t="s">
        <v>86</v>
      </c>
      <c r="F500" s="8" t="s">
        <v>743</v>
      </c>
      <c r="G500" s="149" t="s">
        <v>3958</v>
      </c>
      <c r="H500" s="35" t="s">
        <v>3924</v>
      </c>
      <c r="I500" s="36"/>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32" t="s">
        <v>5</v>
      </c>
      <c r="E501" s="8" t="s">
        <v>86</v>
      </c>
      <c r="F501" s="8" t="s">
        <v>353</v>
      </c>
      <c r="G501" s="149" t="s">
        <v>3959</v>
      </c>
      <c r="H501" s="35" t="s">
        <v>3926</v>
      </c>
      <c r="I501" s="36"/>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32" t="s">
        <v>5</v>
      </c>
      <c r="E502" s="8" t="s">
        <v>86</v>
      </c>
      <c r="F502" s="8" t="s">
        <v>91</v>
      </c>
      <c r="G502" s="149" t="s">
        <v>3960</v>
      </c>
      <c r="H502" s="35" t="s">
        <v>91</v>
      </c>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32" t="s">
        <v>5</v>
      </c>
      <c r="E503" s="8" t="s">
        <v>86</v>
      </c>
      <c r="F503" s="8" t="s">
        <v>338</v>
      </c>
      <c r="G503" s="149" t="s">
        <v>3961</v>
      </c>
      <c r="H503" s="35" t="s">
        <v>338</v>
      </c>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32" t="s">
        <v>5</v>
      </c>
      <c r="E504" s="8" t="s">
        <v>86</v>
      </c>
      <c r="F504" s="8" t="s">
        <v>339</v>
      </c>
      <c r="G504" s="149" t="s">
        <v>3962</v>
      </c>
      <c r="H504" s="35" t="s">
        <v>3930</v>
      </c>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32" t="s">
        <v>5</v>
      </c>
      <c r="E505" s="8" t="s">
        <v>86</v>
      </c>
      <c r="F505" s="8" t="s">
        <v>743</v>
      </c>
      <c r="G505" s="149" t="s">
        <v>3963</v>
      </c>
      <c r="H505" s="35" t="s">
        <v>3932</v>
      </c>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32" t="s">
        <v>5</v>
      </c>
      <c r="E506" s="8" t="s">
        <v>86</v>
      </c>
      <c r="F506" s="8" t="s">
        <v>353</v>
      </c>
      <c r="G506" s="149" t="s">
        <v>3964</v>
      </c>
      <c r="H506" s="35" t="s">
        <v>3934</v>
      </c>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32" t="s">
        <v>5</v>
      </c>
      <c r="E507" s="28" t="s">
        <v>86</v>
      </c>
      <c r="F507" s="38" t="s">
        <v>771</v>
      </c>
      <c r="G507" s="69"/>
      <c r="H507" s="151"/>
      <c r="I507" s="9"/>
      <c r="J507" s="9"/>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441" t="s">
        <v>84</v>
      </c>
      <c r="C508" s="186" t="s">
        <v>85</v>
      </c>
      <c r="D508" s="186" t="s">
        <v>20</v>
      </c>
      <c r="E508" s="8" t="s">
        <v>86</v>
      </c>
      <c r="F508" s="8" t="s">
        <v>87</v>
      </c>
      <c r="G508" s="69"/>
      <c r="H508" s="36"/>
      <c r="I508" s="36"/>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E509" s="8" t="s">
        <v>88</v>
      </c>
      <c r="F509" s="8" t="s">
        <v>89</v>
      </c>
      <c r="G509" s="69"/>
      <c r="H509" s="36"/>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E510" s="8" t="s">
        <v>21</v>
      </c>
      <c r="F510" s="8" t="s">
        <v>51</v>
      </c>
      <c r="G510" s="69" t="str">
        <f>HYPERLINK("https://docs.google.com/spreadsheets/d/18cAgX55HzRkgX30KBKSj7IYZT8WqbQIAWDXPkOXBpO4/edit#gid=1749285028", "https://docs.google.com/spreadsheets/d/18cAgX55HzRkgX30KBKSj7IYZT8WqbQIAWDXPkOXBpO4/edit#gid=1749285028")</f>
        <v>https://docs.google.com/spreadsheets/d/18cAgX55HzRkgX30KBKSj7IYZT8WqbQIAWDXPkOXBpO4/edit#gid=1749285028</v>
      </c>
      <c r="H510" s="8" t="s">
        <v>51</v>
      </c>
      <c r="I510" s="9"/>
      <c r="J510" s="9"/>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E511" s="8" t="s">
        <v>86</v>
      </c>
      <c r="F511" s="8" t="s">
        <v>90</v>
      </c>
      <c r="G511" s="69" t="str">
        <f>HYPERLINK("https://docs.google.com/spreadsheets/d/18cAgX55HzRkgX30KBKSj7IYZT8WqbQIAWDXPkOXBpO4/edit#gid=1205789840", "https://docs.google.com/spreadsheets/d/18cAgX55HzRkgX30KBKSj7IYZT8WqbQIAWDXPkOXBpO4/edit#gid=1205789840")</f>
        <v>https://docs.google.com/spreadsheets/d/18cAgX55HzRkgX30KBKSj7IYZT8WqbQIAWDXPkOXBpO4/edit#gid=1205789840</v>
      </c>
      <c r="H511" s="8" t="s">
        <v>90</v>
      </c>
      <c r="I511" s="9"/>
      <c r="J511" s="9"/>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E512" s="28" t="s">
        <v>86</v>
      </c>
      <c r="F512" s="8" t="s">
        <v>91</v>
      </c>
      <c r="G512" s="69" t="str">
        <f>HYPERLINK("https://docs.google.com/spreadsheets/d/18cAgX55HzRkgX30KBKSj7IYZT8WqbQIAWDXPkOXBpO4/edit#gid=1000153776", "https://docs.google.com/spreadsheets/d/18cAgX55HzRkgX30KBKSj7IYZT8WqbQIAWDXPkOXBpO4/edit#gid=1000153776")</f>
        <v>https://docs.google.com/spreadsheets/d/18cAgX55HzRkgX30KBKSj7IYZT8WqbQIAWDXPkOXBpO4/edit#gid=1000153776</v>
      </c>
      <c r="H512" s="8" t="s">
        <v>91</v>
      </c>
      <c r="I512" s="9"/>
      <c r="J512" s="9"/>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E513" s="28" t="s">
        <v>86</v>
      </c>
      <c r="F513" s="38" t="s">
        <v>92</v>
      </c>
      <c r="G513" s="69" t="str">
        <f>HYPERLINK("https://docs.google.com/spreadsheets/d/18cAgX55HzRkgX30KBKSj7IYZT8WqbQIAWDXPkOXBpO4/edit#gid=1238861464", "https://docs.google.com/spreadsheets/d/18cAgX55HzRkgX30KBKSj7IYZT8WqbQIAWDXPkOXBpO4/edit#gid=1238861464")</f>
        <v>https://docs.google.com/spreadsheets/d/18cAgX55HzRkgX30KBKSj7IYZT8WqbQIAWDXPkOXBpO4/edit#gid=1238861464</v>
      </c>
      <c r="H513" s="38" t="s">
        <v>92</v>
      </c>
      <c r="I513" s="9"/>
      <c r="J513" s="9"/>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E514" s="28" t="s">
        <v>86</v>
      </c>
      <c r="F514" s="28" t="s">
        <v>93</v>
      </c>
      <c r="G514" s="69" t="str">
        <f>HYPERLINK("https://docs.google.com/spreadsheets/d/18cAgX55HzRkgX30KBKSj7IYZT8WqbQIAWDXPkOXBpO4/edit#gid=724937374", "https://docs.google.com/spreadsheets/d/18cAgX55HzRkgX30KBKSj7IYZT8WqbQIAWDXPkOXBpO4/edit#gid=724937374")</f>
        <v>https://docs.google.com/spreadsheets/d/18cAgX55HzRkgX30KBKSj7IYZT8WqbQIAWDXPkOXBpO4/edit#gid=724937374</v>
      </c>
      <c r="H514" s="38" t="s">
        <v>93</v>
      </c>
      <c r="I514" s="9"/>
      <c r="J514" s="9"/>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E515" s="8" t="s">
        <v>86</v>
      </c>
      <c r="F515" s="8" t="s">
        <v>94</v>
      </c>
      <c r="G515" s="69" t="str">
        <f>HYPERLINK("https://docs.google.com/spreadsheets/d/18cAgX55HzRkgX30KBKSj7IYZT8WqbQIAWDXPkOXBpO4/edit#gid=553559550", "https://docs.google.com/spreadsheets/d/18cAgX55HzRkgX30KBKSj7IYZT8WqbQIAWDXPkOXBpO4/edit#gid=553559550")</f>
        <v>https://docs.google.com/spreadsheets/d/18cAgX55HzRkgX30KBKSj7IYZT8WqbQIAWDXPkOXBpO4/edit#gid=553559550</v>
      </c>
      <c r="H515" s="8" t="s">
        <v>94</v>
      </c>
      <c r="I515" s="9"/>
      <c r="J515" s="9"/>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E516" s="8" t="s">
        <v>88</v>
      </c>
      <c r="F516" s="8" t="s">
        <v>95</v>
      </c>
      <c r="G516" s="69" t="str">
        <f>HYPERLINK("https://docs.google.com/spreadsheets/d/18cAgX55HzRkgX30KBKSj7IYZT8WqbQIAWDXPkOXBpO4/edit#gid=177771", "https://docs.google.com/spreadsheets/d/18cAgX55HzRkgX30KBKSj7IYZT8WqbQIAWDXPkOXBpO4/edit#gid=177771")</f>
        <v>https://docs.google.com/spreadsheets/d/18cAgX55HzRkgX30KBKSj7IYZT8WqbQIAWDXPkOXBpO4/edit#gid=177771</v>
      </c>
      <c r="H516" s="8" t="s">
        <v>95</v>
      </c>
      <c r="I516" s="9"/>
      <c r="J516" s="9"/>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E517" s="8" t="s">
        <v>88</v>
      </c>
      <c r="F517" s="8" t="s">
        <v>96</v>
      </c>
      <c r="G517" s="69" t="str">
        <f>HYPERLINK("https://docs.google.com/spreadsheets/d/18cAgX55HzRkgX30KBKSj7IYZT8WqbQIAWDXPkOXBpO4/edit#gid=1112735833", "https://docs.google.com/spreadsheets/d/18cAgX55HzRkgX30KBKSj7IYZT8WqbQIAWDXPkOXBpO4/edit#gid=1112735833")</f>
        <v>https://docs.google.com/spreadsheets/d/18cAgX55HzRkgX30KBKSj7IYZT8WqbQIAWDXPkOXBpO4/edit#gid=1112735833</v>
      </c>
      <c r="H517" s="8" t="s">
        <v>96</v>
      </c>
      <c r="I517" s="9"/>
      <c r="J517" s="9"/>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E518" s="8" t="s">
        <v>86</v>
      </c>
      <c r="F518" s="8" t="s">
        <v>97</v>
      </c>
      <c r="G518" s="69" t="str">
        <f>HYPERLINK("https://docs.google.com/spreadsheets/d/18cAgX55HzRkgX30KBKSj7IYZT8WqbQIAWDXPkOXBpO4/edit#gid=1614435144", "https://docs.google.com/spreadsheets/d/18cAgX55HzRkgX30KBKSj7IYZT8WqbQIAWDXPkOXBpO4/edit#gid=1614435144")</f>
        <v>https://docs.google.com/spreadsheets/d/18cAgX55HzRkgX30KBKSj7IYZT8WqbQIAWDXPkOXBpO4/edit#gid=1614435144</v>
      </c>
      <c r="H518" s="8" t="s">
        <v>97</v>
      </c>
      <c r="I518" s="9"/>
      <c r="J518" s="9"/>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219" t="s">
        <v>3965</v>
      </c>
      <c r="C519" s="186" t="s">
        <v>3966</v>
      </c>
      <c r="D519" s="53" t="s">
        <v>20</v>
      </c>
      <c r="E519" s="8" t="s">
        <v>86</v>
      </c>
      <c r="F519" s="8" t="s">
        <v>87</v>
      </c>
      <c r="G519" s="69"/>
      <c r="H519" s="36"/>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449"/>
      <c r="D520" s="55"/>
      <c r="E520" s="28" t="s">
        <v>88</v>
      </c>
      <c r="F520" s="8" t="s">
        <v>89</v>
      </c>
      <c r="G520" s="69"/>
      <c r="H520" s="36"/>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449"/>
      <c r="D521" s="55"/>
      <c r="E521" s="28" t="s">
        <v>21</v>
      </c>
      <c r="F521" s="38" t="s">
        <v>51</v>
      </c>
      <c r="G521" s="69" t="str">
        <f>HYPERLINK("https://docs.google.com/spreadsheets/d/118yoPkm1f0xFQGg6mtcw9VixiPTPf88GprA6Z8FgQts/edit#gid=2035965770", "https://docs.google.com/spreadsheets/d/118yoPkm1f0xFQGg6mtcw9VixiPTPf88GprA6Z8FgQts/edit#gid=2035965770")</f>
        <v>https://docs.google.com/spreadsheets/d/118yoPkm1f0xFQGg6mtcw9VixiPTPf88GprA6Z8FgQts/edit#gid=2035965770</v>
      </c>
      <c r="H521" s="38" t="s">
        <v>51</v>
      </c>
      <c r="I521" s="9"/>
      <c r="J521" s="9"/>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449"/>
      <c r="D522" s="55"/>
      <c r="E522" s="28" t="s">
        <v>86</v>
      </c>
      <c r="F522" s="28" t="s">
        <v>90</v>
      </c>
      <c r="G522" s="69" t="str">
        <f>HYPERLINK("https://docs.google.com/spreadsheets/d/118yoPkm1f0xFQGg6mtcw9VixiPTPf88GprA6Z8FgQts/edit#gid=884776861", "https://docs.google.com/spreadsheets/d/118yoPkm1f0xFQGg6mtcw9VixiPTPf88GprA6Z8FgQts/edit#gid=884776861")</f>
        <v>https://docs.google.com/spreadsheets/d/118yoPkm1f0xFQGg6mtcw9VixiPTPf88GprA6Z8FgQts/edit#gid=884776861</v>
      </c>
      <c r="H522" s="38" t="s">
        <v>90</v>
      </c>
      <c r="I522" s="31"/>
      <c r="J522" s="9"/>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449"/>
      <c r="D523" s="55"/>
      <c r="E523" s="8" t="s">
        <v>86</v>
      </c>
      <c r="F523" s="8" t="s">
        <v>91</v>
      </c>
      <c r="G523" s="69" t="str">
        <f>HYPERLINK("https://docs.google.com/spreadsheets/d/118yoPkm1f0xFQGg6mtcw9VixiPTPf88GprA6Z8FgQts/edit#gid=209961918", "https://docs.google.com/spreadsheets/d/118yoPkm1f0xFQGg6mtcw9VixiPTPf88GprA6Z8FgQts/edit#gid=209961918")</f>
        <v>https://docs.google.com/spreadsheets/d/118yoPkm1f0xFQGg6mtcw9VixiPTPf88GprA6Z8FgQts/edit#gid=209961918</v>
      </c>
      <c r="H523" s="8" t="s">
        <v>91</v>
      </c>
      <c r="I523" s="31"/>
      <c r="J523" s="9"/>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449"/>
      <c r="D524" s="55"/>
      <c r="E524" s="8" t="s">
        <v>86</v>
      </c>
      <c r="F524" s="8" t="s">
        <v>92</v>
      </c>
      <c r="G524" s="69" t="str">
        <f>HYPERLINK("https://docs.google.com/spreadsheets/d/118yoPkm1f0xFQGg6mtcw9VixiPTPf88GprA6Z8FgQts/edit#gid=1380331409", "https://docs.google.com/spreadsheets/d/118yoPkm1f0xFQGg6mtcw9VixiPTPf88GprA6Z8FgQts/edit#gid=1380331409")</f>
        <v>https://docs.google.com/spreadsheets/d/118yoPkm1f0xFQGg6mtcw9VixiPTPf88GprA6Z8FgQts/edit#gid=1380331409</v>
      </c>
      <c r="H524" s="8" t="s">
        <v>92</v>
      </c>
      <c r="I524" s="9"/>
      <c r="J524" s="9"/>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449"/>
      <c r="D525" s="31"/>
      <c r="E525" s="8" t="s">
        <v>86</v>
      </c>
      <c r="F525" s="8" t="s">
        <v>750</v>
      </c>
      <c r="G525" s="69" t="str">
        <f>HYPERLINK("https://docs.google.com/spreadsheets/d/118yoPkm1f0xFQGg6mtcw9VixiPTPf88GprA6Z8FgQts/edit#gid=1653805586", "https://docs.google.com/spreadsheets/d/118yoPkm1f0xFQGg6mtcw9VixiPTPf88GprA6Z8FgQts/edit#gid=1653805586")</f>
        <v>https://docs.google.com/spreadsheets/d/118yoPkm1f0xFQGg6mtcw9VixiPTPf88GprA6Z8FgQts/edit#gid=1653805586</v>
      </c>
      <c r="H525" s="8" t="s">
        <v>750</v>
      </c>
      <c r="I525" s="9"/>
      <c r="J525" s="9"/>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449"/>
      <c r="D526" s="31"/>
      <c r="E526" s="8" t="s">
        <v>86</v>
      </c>
      <c r="F526" s="8" t="s">
        <v>94</v>
      </c>
      <c r="G526" s="69" t="str">
        <f>HYPERLINK("https://docs.google.com/spreadsheets/d/118yoPkm1f0xFQGg6mtcw9VixiPTPf88GprA6Z8FgQts/edit#gid=45886532", "https://docs.google.com/spreadsheets/d/118yoPkm1f0xFQGg6mtcw9VixiPTPf88GprA6Z8FgQts/edit#gid=45886532")</f>
        <v>https://docs.google.com/spreadsheets/d/118yoPkm1f0xFQGg6mtcw9VixiPTPf88GprA6Z8FgQts/edit#gid=45886532</v>
      </c>
      <c r="H526" s="8" t="s">
        <v>94</v>
      </c>
      <c r="I526" s="9"/>
      <c r="J526" s="9"/>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449"/>
      <c r="D527" s="31"/>
      <c r="E527" s="8" t="s">
        <v>88</v>
      </c>
      <c r="F527" s="8" t="s">
        <v>95</v>
      </c>
      <c r="G527" s="69" t="str">
        <f>HYPERLINK("https://docs.google.com/spreadsheets/d/118yoPkm1f0xFQGg6mtcw9VixiPTPf88GprA6Z8FgQts/edit#gid=2025289508", "https://docs.google.com/spreadsheets/d/118yoPkm1f0xFQGg6mtcw9VixiPTPf88GprA6Z8FgQts/edit#gid=2025289508")</f>
        <v>https://docs.google.com/spreadsheets/d/118yoPkm1f0xFQGg6mtcw9VixiPTPf88GprA6Z8FgQts/edit#gid=2025289508</v>
      </c>
      <c r="H527" s="8" t="s">
        <v>95</v>
      </c>
      <c r="I527" s="9"/>
      <c r="J527" s="9"/>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449"/>
      <c r="D528" s="31"/>
      <c r="E528" s="28" t="s">
        <v>88</v>
      </c>
      <c r="F528" s="8" t="s">
        <v>96</v>
      </c>
      <c r="G528" s="69" t="str">
        <f>HYPERLINK("https://docs.google.com/spreadsheets/d/118yoPkm1f0xFQGg6mtcw9VixiPTPf88GprA6Z8FgQts/edit#gid=1541966344", "https://docs.google.com/spreadsheets/d/118yoPkm1f0xFQGg6mtcw9VixiPTPf88GprA6Z8FgQts/edit#gid=1541966344")</f>
        <v>https://docs.google.com/spreadsheets/d/118yoPkm1f0xFQGg6mtcw9VixiPTPf88GprA6Z8FgQts/edit#gid=1541966344</v>
      </c>
      <c r="H528" s="8" t="s">
        <v>96</v>
      </c>
      <c r="I528" s="9"/>
      <c r="J528" s="9"/>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449"/>
      <c r="D529" s="31"/>
      <c r="E529" s="28" t="s">
        <v>104</v>
      </c>
      <c r="F529" s="38" t="s">
        <v>250</v>
      </c>
      <c r="G529" s="69" t="str">
        <f>HYPERLINK("https://docs.google.com/spreadsheets/d/118yoPkm1f0xFQGg6mtcw9VixiPTPf88GprA6Z8FgQts/edit#gid=2021692908", "https://docs.google.com/spreadsheets/d/118yoPkm1f0xFQGg6mtcw9VixiPTPf88GprA6Z8FgQts/edit#gid=2021692908")</f>
        <v>https://docs.google.com/spreadsheets/d/118yoPkm1f0xFQGg6mtcw9VixiPTPf88GprA6Z8FgQts/edit#gid=2021692908</v>
      </c>
      <c r="H529" s="38" t="s">
        <v>250</v>
      </c>
      <c r="I529" s="9"/>
      <c r="J529" s="9"/>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449"/>
      <c r="D530" s="31"/>
      <c r="E530" s="28" t="s">
        <v>86</v>
      </c>
      <c r="F530" s="28" t="s">
        <v>97</v>
      </c>
      <c r="G530" s="69" t="str">
        <f>HYPERLINK("https://docs.google.com/spreadsheets/d/118yoPkm1f0xFQGg6mtcw9VixiPTPf88GprA6Z8FgQts/edit#gid=861471767", "https://docs.google.com/spreadsheets/d/118yoPkm1f0xFQGg6mtcw9VixiPTPf88GprA6Z8FgQts/edit#gid=861471767")</f>
        <v>https://docs.google.com/spreadsheets/d/118yoPkm1f0xFQGg6mtcw9VixiPTPf88GprA6Z8FgQts/edit#gid=861471767</v>
      </c>
      <c r="H530" s="38" t="s">
        <v>97</v>
      </c>
      <c r="I530" s="31"/>
      <c r="J530" s="9"/>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449"/>
      <c r="C531" s="450"/>
      <c r="D531" s="31"/>
      <c r="E531" s="31"/>
      <c r="F531" s="31"/>
      <c r="G531" s="69"/>
      <c r="H531" s="31"/>
      <c r="I531" s="31"/>
      <c r="J531" s="9"/>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219" t="s">
        <v>3967</v>
      </c>
      <c r="C532" s="186" t="s">
        <v>3968</v>
      </c>
      <c r="D532" s="53" t="s">
        <v>20</v>
      </c>
      <c r="E532" s="8" t="s">
        <v>86</v>
      </c>
      <c r="F532" s="8" t="s">
        <v>87</v>
      </c>
      <c r="G532" s="69"/>
      <c r="H532" s="36"/>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449"/>
      <c r="D533" s="55"/>
      <c r="E533" s="8" t="s">
        <v>88</v>
      </c>
      <c r="F533" s="8" t="s">
        <v>89</v>
      </c>
      <c r="G533" s="69"/>
      <c r="H533" s="36"/>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449"/>
      <c r="D534" s="55"/>
      <c r="E534" s="8" t="s">
        <v>21</v>
      </c>
      <c r="F534" s="8" t="s">
        <v>51</v>
      </c>
      <c r="G534" s="69" t="str">
        <f>HYPERLINK("https://docs.google.com/spreadsheets/d/17DfIrMlKY-idPShf3o_vVT8PnsCU0h-9K7sayGH8l2U/edit#gid=1556196026", "https://docs.google.com/spreadsheets/d/17DfIrMlKY-idPShf3o_vVT8PnsCU0h-9K7sayGH8l2U/edit#gid=1556196026")</f>
        <v>https://docs.google.com/spreadsheets/d/17DfIrMlKY-idPShf3o_vVT8PnsCU0h-9K7sayGH8l2U/edit#gid=1556196026</v>
      </c>
      <c r="H534" s="8" t="s">
        <v>51</v>
      </c>
      <c r="I534" s="9"/>
      <c r="J534" s="9"/>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449"/>
      <c r="D535" s="55"/>
      <c r="E535" s="28" t="s">
        <v>86</v>
      </c>
      <c r="F535" s="8" t="s">
        <v>90</v>
      </c>
      <c r="G535" s="69" t="str">
        <f>HYPERLINK("https://docs.google.com/spreadsheets/d/17DfIrMlKY-idPShf3o_vVT8PnsCU0h-9K7sayGH8l2U/edit#gid=247468488", "https://docs.google.com/spreadsheets/d/17DfIrMlKY-idPShf3o_vVT8PnsCU0h-9K7sayGH8l2U/edit#gid=247468488")</f>
        <v>https://docs.google.com/spreadsheets/d/17DfIrMlKY-idPShf3o_vVT8PnsCU0h-9K7sayGH8l2U/edit#gid=247468488</v>
      </c>
      <c r="H535" s="8" t="s">
        <v>90</v>
      </c>
      <c r="I535" s="9"/>
      <c r="J535" s="9"/>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449"/>
      <c r="D536" s="55"/>
      <c r="E536" s="28" t="s">
        <v>86</v>
      </c>
      <c r="F536" s="38" t="s">
        <v>91</v>
      </c>
      <c r="G536" s="69" t="str">
        <f>HYPERLINK("https://docs.google.com/spreadsheets/d/17DfIrMlKY-idPShf3o_vVT8PnsCU0h-9K7sayGH8l2U/edit#gid=1930417439", "https://docs.google.com/spreadsheets/d/17DfIrMlKY-idPShf3o_vVT8PnsCU0h-9K7sayGH8l2U/edit#gid=1930417439")</f>
        <v>https://docs.google.com/spreadsheets/d/17DfIrMlKY-idPShf3o_vVT8PnsCU0h-9K7sayGH8l2U/edit#gid=1930417439</v>
      </c>
      <c r="H536" s="38" t="s">
        <v>91</v>
      </c>
      <c r="I536" s="9"/>
      <c r="J536" s="9"/>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449"/>
      <c r="D537" s="55"/>
      <c r="E537" s="28" t="s">
        <v>86</v>
      </c>
      <c r="F537" s="28" t="s">
        <v>92</v>
      </c>
      <c r="G537" s="69" t="str">
        <f>HYPERLINK("https://docs.google.com/spreadsheets/d/17DfIrMlKY-idPShf3o_vVT8PnsCU0h-9K7sayGH8l2U/edit#gid=1873818340", "https://docs.google.com/spreadsheets/d/17DfIrMlKY-idPShf3o_vVT8PnsCU0h-9K7sayGH8l2U/edit#gid=1873818340")</f>
        <v>https://docs.google.com/spreadsheets/d/17DfIrMlKY-idPShf3o_vVT8PnsCU0h-9K7sayGH8l2U/edit#gid=1873818340</v>
      </c>
      <c r="H537" s="38" t="s">
        <v>92</v>
      </c>
      <c r="I537" s="9"/>
      <c r="J537" s="9"/>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449"/>
      <c r="D538" s="55"/>
      <c r="E538" s="8" t="s">
        <v>86</v>
      </c>
      <c r="F538" s="8" t="s">
        <v>757</v>
      </c>
      <c r="G538" s="69" t="str">
        <f>HYPERLINK("https://docs.google.com/spreadsheets/d/17DfIrMlKY-idPShf3o_vVT8PnsCU0h-9K7sayGH8l2U/edit#gid=1226049539", "https://docs.google.com/spreadsheets/d/17DfIrMlKY-idPShf3o_vVT8PnsCU0h-9K7sayGH8l2U/edit#gid=1226049539")</f>
        <v>https://docs.google.com/spreadsheets/d/17DfIrMlKY-idPShf3o_vVT8PnsCU0h-9K7sayGH8l2U/edit#gid=1226049539</v>
      </c>
      <c r="H538" s="8" t="s">
        <v>757</v>
      </c>
      <c r="I538" s="31"/>
      <c r="J538" s="9"/>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449"/>
      <c r="D539" s="55"/>
      <c r="E539" s="8" t="s">
        <v>86</v>
      </c>
      <c r="F539" s="8" t="s">
        <v>94</v>
      </c>
      <c r="G539" s="69" t="str">
        <f>HYPERLINK("https://docs.google.com/spreadsheets/d/17DfIrMlKY-idPShf3o_vVT8PnsCU0h-9K7sayGH8l2U/edit#gid=1089921707", "https://docs.google.com/spreadsheets/d/17DfIrMlKY-idPShf3o_vVT8PnsCU0h-9K7sayGH8l2U/edit#gid=1089921707")</f>
        <v>https://docs.google.com/spreadsheets/d/17DfIrMlKY-idPShf3o_vVT8PnsCU0h-9K7sayGH8l2U/edit#gid=1089921707</v>
      </c>
      <c r="H539" s="8" t="s">
        <v>94</v>
      </c>
      <c r="I539" s="31"/>
      <c r="J539" s="9"/>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449"/>
      <c r="D540" s="55"/>
      <c r="E540" s="8" t="s">
        <v>88</v>
      </c>
      <c r="F540" s="8" t="s">
        <v>95</v>
      </c>
      <c r="G540" s="69" t="str">
        <f>HYPERLINK("https://docs.google.com/spreadsheets/d/17DfIrMlKY-idPShf3o_vVT8PnsCU0h-9K7sayGH8l2U/edit#gid=2043939690", "https://docs.google.com/spreadsheets/d/17DfIrMlKY-idPShf3o_vVT8PnsCU0h-9K7sayGH8l2U/edit#gid=2043939690")</f>
        <v>https://docs.google.com/spreadsheets/d/17DfIrMlKY-idPShf3o_vVT8PnsCU0h-9K7sayGH8l2U/edit#gid=2043939690</v>
      </c>
      <c r="H540" s="8" t="s">
        <v>95</v>
      </c>
      <c r="I540" s="9"/>
      <c r="J540" s="9"/>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449"/>
      <c r="D541" s="55"/>
      <c r="E541" s="8" t="s">
        <v>88</v>
      </c>
      <c r="F541" s="8" t="s">
        <v>96</v>
      </c>
      <c r="G541" s="69" t="str">
        <f>HYPERLINK("https://docs.google.com/spreadsheets/d/17DfIrMlKY-idPShf3o_vVT8PnsCU0h-9K7sayGH8l2U/edit#gid=571966073", "https://docs.google.com/spreadsheets/d/17DfIrMlKY-idPShf3o_vVT8PnsCU0h-9K7sayGH8l2U/edit#gid=571966073")</f>
        <v>https://docs.google.com/spreadsheets/d/17DfIrMlKY-idPShf3o_vVT8PnsCU0h-9K7sayGH8l2U/edit#gid=571966073</v>
      </c>
      <c r="H541" s="8" t="s">
        <v>96</v>
      </c>
      <c r="I541" s="9"/>
      <c r="J541" s="9"/>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449"/>
      <c r="D542" s="55"/>
      <c r="E542" s="8" t="s">
        <v>104</v>
      </c>
      <c r="F542" s="8" t="s">
        <v>250</v>
      </c>
      <c r="G542" s="69" t="str">
        <f>HYPERLINK("https://docs.google.com/spreadsheets/d/17DfIrMlKY-idPShf3o_vVT8PnsCU0h-9K7sayGH8l2U/edit#gid=807180266", "https://docs.google.com/spreadsheets/d/17DfIrMlKY-idPShf3o_vVT8PnsCU0h-9K7sayGH8l2U/edit#gid=807180266")</f>
        <v>https://docs.google.com/spreadsheets/d/17DfIrMlKY-idPShf3o_vVT8PnsCU0h-9K7sayGH8l2U/edit#gid=807180266</v>
      </c>
      <c r="H542" s="8" t="s">
        <v>250</v>
      </c>
      <c r="I542" s="9"/>
      <c r="J542" s="9"/>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449"/>
      <c r="D543" s="55"/>
      <c r="E543" s="28" t="s">
        <v>86</v>
      </c>
      <c r="F543" s="8" t="s">
        <v>97</v>
      </c>
      <c r="G543" s="69" t="str">
        <f>HYPERLINK("https://docs.google.com/spreadsheets/d/17DfIrMlKY-idPShf3o_vVT8PnsCU0h-9K7sayGH8l2U/edit#gid=340253683", "https://docs.google.com/spreadsheets/d/17DfIrMlKY-idPShf3o_vVT8PnsCU0h-9K7sayGH8l2U/edit#gid=340253683")</f>
        <v>https://docs.google.com/spreadsheets/d/17DfIrMlKY-idPShf3o_vVT8PnsCU0h-9K7sayGH8l2U/edit#gid=340253683</v>
      </c>
      <c r="H543" s="8" t="s">
        <v>97</v>
      </c>
      <c r="I543" s="9"/>
      <c r="J543" s="9"/>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449"/>
      <c r="D544" s="55"/>
      <c r="E544" s="37"/>
      <c r="F544" s="30"/>
      <c r="G544" s="69"/>
      <c r="H544" s="30"/>
      <c r="I544" s="9"/>
      <c r="J544" s="9"/>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449"/>
      <c r="C545" s="55"/>
      <c r="D545" s="55"/>
      <c r="E545" s="37"/>
      <c r="F545" s="37"/>
      <c r="G545" s="69"/>
      <c r="H545" s="30"/>
      <c r="I545" s="9"/>
      <c r="J545" s="9"/>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219" t="s">
        <v>3969</v>
      </c>
      <c r="C546" s="53" t="s">
        <v>3970</v>
      </c>
      <c r="D546" s="53" t="s">
        <v>20</v>
      </c>
      <c r="E546" s="8" t="s">
        <v>86</v>
      </c>
      <c r="F546" s="8" t="s">
        <v>87</v>
      </c>
      <c r="G546" s="69"/>
      <c r="H546" s="36"/>
      <c r="I546" s="36"/>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449"/>
      <c r="D547" s="55"/>
      <c r="E547" s="8" t="s">
        <v>88</v>
      </c>
      <c r="F547" s="8" t="s">
        <v>89</v>
      </c>
      <c r="G547" s="69"/>
      <c r="H547" s="36"/>
      <c r="I547" s="36"/>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449"/>
      <c r="D548" s="55"/>
      <c r="E548" s="8" t="s">
        <v>21</v>
      </c>
      <c r="F548" s="8" t="s">
        <v>51</v>
      </c>
      <c r="G548" s="69" t="str">
        <f>HYPERLINK("https://docs.google.com/spreadsheets/d/1AuOMCewo3JLEOepNPJPYmUQm5hyxiGD3BGSmxQbq1L0/edit#gid=1769001892", "https://docs.google.com/spreadsheets/d/1AuOMCewo3JLEOepNPJPYmUQm5hyxiGD3BGSmxQbq1L0/edit#gid=1769001892")</f>
        <v>https://docs.google.com/spreadsheets/d/1AuOMCewo3JLEOepNPJPYmUQm5hyxiGD3BGSmxQbq1L0/edit#gid=1769001892</v>
      </c>
      <c r="H548" s="8" t="s">
        <v>51</v>
      </c>
      <c r="I548" s="9"/>
      <c r="J548" s="9"/>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449"/>
      <c r="D549" s="55"/>
      <c r="E549" s="8" t="s">
        <v>86</v>
      </c>
      <c r="F549" s="8" t="s">
        <v>90</v>
      </c>
      <c r="G549" s="69" t="str">
        <f>HYPERLINK("https://docs.google.com/spreadsheets/d/1AuOMCewo3JLEOepNPJPYmUQm5hyxiGD3BGSmxQbq1L0/edit#gid=1893896194", "https://docs.google.com/spreadsheets/d/1AuOMCewo3JLEOepNPJPYmUQm5hyxiGD3BGSmxQbq1L0/edit#gid=1893896194")</f>
        <v>https://docs.google.com/spreadsheets/d/1AuOMCewo3JLEOepNPJPYmUQm5hyxiGD3BGSmxQbq1L0/edit#gid=1893896194</v>
      </c>
      <c r="H549" s="8" t="s">
        <v>90</v>
      </c>
      <c r="I549" s="9"/>
      <c r="J549" s="9"/>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449"/>
      <c r="D550" s="55"/>
      <c r="E550" s="8" t="s">
        <v>86</v>
      </c>
      <c r="F550" s="8" t="s">
        <v>91</v>
      </c>
      <c r="G550" s="69" t="str">
        <f>HYPERLINK("https://docs.google.com/spreadsheets/d/1AuOMCewo3JLEOepNPJPYmUQm5hyxiGD3BGSmxQbq1L0/edit#gid=2027935722", "https://docs.google.com/spreadsheets/d/1AuOMCewo3JLEOepNPJPYmUQm5hyxiGD3BGSmxQbq1L0/edit#gid=2027935722")</f>
        <v>https://docs.google.com/spreadsheets/d/1AuOMCewo3JLEOepNPJPYmUQm5hyxiGD3BGSmxQbq1L0/edit#gid=2027935722</v>
      </c>
      <c r="H550" s="8" t="s">
        <v>91</v>
      </c>
      <c r="I550" s="9"/>
      <c r="J550" s="9"/>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449"/>
      <c r="D551" s="55"/>
      <c r="E551" s="28" t="s">
        <v>86</v>
      </c>
      <c r="F551" s="8" t="s">
        <v>92</v>
      </c>
      <c r="G551" s="69" t="str">
        <f>HYPERLINK("https://docs.google.com/spreadsheets/d/1AuOMCewo3JLEOepNPJPYmUQm5hyxiGD3BGSmxQbq1L0/edit#gid=666758535", "https://docs.google.com/spreadsheets/d/1AuOMCewo3JLEOepNPJPYmUQm5hyxiGD3BGSmxQbq1L0/edit#gid=666758535")</f>
        <v>https://docs.google.com/spreadsheets/d/1AuOMCewo3JLEOepNPJPYmUQm5hyxiGD3BGSmxQbq1L0/edit#gid=666758535</v>
      </c>
      <c r="H551" s="8" t="s">
        <v>92</v>
      </c>
      <c r="I551" s="9"/>
      <c r="J551" s="9"/>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449"/>
      <c r="D552" s="55"/>
      <c r="E552" s="28" t="s">
        <v>86</v>
      </c>
      <c r="F552" s="38" t="s">
        <v>748</v>
      </c>
      <c r="G552" s="69" t="str">
        <f>HYPERLINK("https://docs.google.com/spreadsheets/d/1AuOMCewo3JLEOepNPJPYmUQm5hyxiGD3BGSmxQbq1L0/edit#gid=1676322142", "https://docs.google.com/spreadsheets/d/1AuOMCewo3JLEOepNPJPYmUQm5hyxiGD3BGSmxQbq1L0/edit#gid=1676322142")</f>
        <v>https://docs.google.com/spreadsheets/d/1AuOMCewo3JLEOepNPJPYmUQm5hyxiGD3BGSmxQbq1L0/edit#gid=1676322142</v>
      </c>
      <c r="H552" s="38" t="s">
        <v>748</v>
      </c>
      <c r="I552" s="9"/>
      <c r="J552" s="9"/>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449"/>
      <c r="D553" s="55"/>
      <c r="E553" s="28" t="s">
        <v>86</v>
      </c>
      <c r="F553" s="28" t="s">
        <v>94</v>
      </c>
      <c r="G553" s="69" t="str">
        <f>HYPERLINK("https://docs.google.com/spreadsheets/d/1AuOMCewo3JLEOepNPJPYmUQm5hyxiGD3BGSmxQbq1L0/edit#gid=1867099576", "https://docs.google.com/spreadsheets/d/1AuOMCewo3JLEOepNPJPYmUQm5hyxiGD3BGSmxQbq1L0/edit#gid=1867099576")</f>
        <v>https://docs.google.com/spreadsheets/d/1AuOMCewo3JLEOepNPJPYmUQm5hyxiGD3BGSmxQbq1L0/edit#gid=1867099576</v>
      </c>
      <c r="H553" s="38" t="s">
        <v>94</v>
      </c>
      <c r="I553" s="9"/>
      <c r="J553" s="9"/>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449"/>
      <c r="D554" s="55"/>
      <c r="E554" s="8" t="s">
        <v>88</v>
      </c>
      <c r="F554" s="8" t="s">
        <v>95</v>
      </c>
      <c r="G554" s="69" t="str">
        <f>HYPERLINK("https://docs.google.com/spreadsheets/d/1AuOMCewo3JLEOepNPJPYmUQm5hyxiGD3BGSmxQbq1L0/edit#gid=278623089", "https://docs.google.com/spreadsheets/d/1AuOMCewo3JLEOepNPJPYmUQm5hyxiGD3BGSmxQbq1L0/edit#gid=278623089")</f>
        <v>https://docs.google.com/spreadsheets/d/1AuOMCewo3JLEOepNPJPYmUQm5hyxiGD3BGSmxQbq1L0/edit#gid=278623089</v>
      </c>
      <c r="H554" s="8" t="s">
        <v>95</v>
      </c>
      <c r="I554" s="9"/>
      <c r="J554" s="9"/>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449"/>
      <c r="D555" s="55"/>
      <c r="E555" s="8" t="s">
        <v>88</v>
      </c>
      <c r="F555" s="8" t="s">
        <v>96</v>
      </c>
      <c r="G555" s="69" t="str">
        <f>HYPERLINK("https://docs.google.com/spreadsheets/d/1AuOMCewo3JLEOepNPJPYmUQm5hyxiGD3BGSmxQbq1L0/edit#gid=1409941883", "https://docs.google.com/spreadsheets/d/1AuOMCewo3JLEOepNPJPYmUQm5hyxiGD3BGSmxQbq1L0/edit#gid=1409941883")</f>
        <v>https://docs.google.com/spreadsheets/d/1AuOMCewo3JLEOepNPJPYmUQm5hyxiGD3BGSmxQbq1L0/edit#gid=1409941883</v>
      </c>
      <c r="H555" s="8" t="s">
        <v>96</v>
      </c>
      <c r="I555" s="9"/>
      <c r="J555" s="9"/>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449"/>
      <c r="D556" s="55"/>
      <c r="E556" s="8" t="s">
        <v>104</v>
      </c>
      <c r="F556" s="8" t="s">
        <v>250</v>
      </c>
      <c r="G556" s="69" t="str">
        <f>HYPERLINK("https://docs.google.com/spreadsheets/d/1AuOMCewo3JLEOepNPJPYmUQm5hyxiGD3BGSmxQbq1L0/edit#gid=1662232737", "https://docs.google.com/spreadsheets/d/1AuOMCewo3JLEOepNPJPYmUQm5hyxiGD3BGSmxQbq1L0/edit#gid=1662232737")</f>
        <v>https://docs.google.com/spreadsheets/d/1AuOMCewo3JLEOepNPJPYmUQm5hyxiGD3BGSmxQbq1L0/edit#gid=1662232737</v>
      </c>
      <c r="H556" s="8" t="s">
        <v>250</v>
      </c>
      <c r="I556" s="9"/>
      <c r="J556" s="9"/>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449"/>
      <c r="C557" s="55"/>
      <c r="D557" s="55"/>
      <c r="E557" s="8" t="s">
        <v>86</v>
      </c>
      <c r="F557" s="8" t="s">
        <v>97</v>
      </c>
      <c r="G557" s="69" t="str">
        <f>HYPERLINK("https://docs.google.com/spreadsheets/d/1AuOMCewo3JLEOepNPJPYmUQm5hyxiGD3BGSmxQbq1L0/edit#gid=995061780", "https://docs.google.com/spreadsheets/d/1AuOMCewo3JLEOepNPJPYmUQm5hyxiGD3BGSmxQbq1L0/edit#gid=995061780")</f>
        <v>https://docs.google.com/spreadsheets/d/1AuOMCewo3JLEOepNPJPYmUQm5hyxiGD3BGSmxQbq1L0/edit#gid=995061780</v>
      </c>
      <c r="H557" s="8" t="s">
        <v>97</v>
      </c>
      <c r="I557" s="9"/>
      <c r="J557" s="9"/>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219" t="s">
        <v>3971</v>
      </c>
      <c r="C558" s="53" t="s">
        <v>3972</v>
      </c>
      <c r="D558" s="53" t="s">
        <v>20</v>
      </c>
      <c r="E558" s="8" t="s">
        <v>86</v>
      </c>
      <c r="F558" s="8" t="s">
        <v>922</v>
      </c>
      <c r="G558" s="69" t="str">
        <f>HYPERLINK("https://docs.google.com/spreadsheets/d/1kpQqzOUJ7EveKajKmoLq_764OkaXGU8vX-luFh9I9_o/edit#gid=944502341", "https://docs.google.com/spreadsheets/d/1kpQqzOUJ7EveKajKmoLq_764OkaXGU8vX-luFh9I9_o/edit#gid=944502341")</f>
        <v>https://docs.google.com/spreadsheets/d/1kpQqzOUJ7EveKajKmoLq_764OkaXGU8vX-luFh9I9_o/edit#gid=944502341</v>
      </c>
      <c r="H558" s="8" t="s">
        <v>922</v>
      </c>
      <c r="I558" s="9"/>
      <c r="J558" s="9"/>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449"/>
      <c r="C559" s="55"/>
      <c r="D559" s="55"/>
      <c r="E559" s="8" t="s">
        <v>86</v>
      </c>
      <c r="F559" s="8" t="s">
        <v>87</v>
      </c>
      <c r="G559" s="69"/>
      <c r="H559" s="36"/>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449"/>
      <c r="C560" s="55"/>
      <c r="D560" s="55"/>
      <c r="E560" s="28" t="s">
        <v>88</v>
      </c>
      <c r="F560" s="8" t="s">
        <v>89</v>
      </c>
      <c r="G560" s="69"/>
      <c r="H560" s="36"/>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449"/>
      <c r="C561" s="55"/>
      <c r="D561" s="55"/>
      <c r="E561" s="28" t="s">
        <v>21</v>
      </c>
      <c r="F561" s="38" t="s">
        <v>51</v>
      </c>
      <c r="G561" s="69" t="str">
        <f>HYPERLINK("https://docs.google.com/spreadsheets/d/1kpQqzOUJ7EveKajKmoLq_764OkaXGU8vX-luFh9I9_o/edit#gid=1558520759", "https://docs.google.com/spreadsheets/d/1kpQqzOUJ7EveKajKmoLq_764OkaXGU8vX-luFh9I9_o/edit#gid=1558520759")</f>
        <v>https://docs.google.com/spreadsheets/d/1kpQqzOUJ7EveKajKmoLq_764OkaXGU8vX-luFh9I9_o/edit#gid=1558520759</v>
      </c>
      <c r="H561" s="38" t="s">
        <v>51</v>
      </c>
      <c r="I561" s="31"/>
      <c r="J561" s="9"/>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449"/>
      <c r="C562" s="55"/>
      <c r="D562" s="55"/>
      <c r="E562" s="28" t="s">
        <v>86</v>
      </c>
      <c r="F562" s="28" t="s">
        <v>739</v>
      </c>
      <c r="G562" s="69" t="str">
        <f>HYPERLINK("https://docs.google.com/spreadsheets/d/1kpQqzOUJ7EveKajKmoLq_764OkaXGU8vX-luFh9I9_o/edit#gid=445210771", "https://docs.google.com/spreadsheets/d/1kpQqzOUJ7EveKajKmoLq_764OkaXGU8vX-luFh9I9_o/edit#gid=445210771")</f>
        <v>https://docs.google.com/spreadsheets/d/1kpQqzOUJ7EveKajKmoLq_764OkaXGU8vX-luFh9I9_o/edit#gid=445210771</v>
      </c>
      <c r="H562" s="38" t="s">
        <v>739</v>
      </c>
      <c r="I562" s="31"/>
      <c r="J562" s="9"/>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449"/>
      <c r="C563" s="55"/>
      <c r="D563" s="55"/>
      <c r="E563" s="8" t="s">
        <v>86</v>
      </c>
      <c r="F563" s="58" t="s">
        <v>743</v>
      </c>
      <c r="G563" s="69" t="str">
        <f>HYPERLINK("https://docs.google.com/spreadsheets/d/1kpQqzOUJ7EveKajKmoLq_764OkaXGU8vX-luFh9I9_o/edit#gid=1721129583", "https://docs.google.com/spreadsheets/d/1kpQqzOUJ7EveKajKmoLq_764OkaXGU8vX-luFh9I9_o/edit#gid=1721129583")</f>
        <v>https://docs.google.com/spreadsheets/d/1kpQqzOUJ7EveKajKmoLq_764OkaXGU8vX-luFh9I9_o/edit#gid=1721129583</v>
      </c>
      <c r="H563" s="58" t="s">
        <v>743</v>
      </c>
      <c r="I563" s="9"/>
      <c r="J563" s="9"/>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449"/>
      <c r="C564" s="55"/>
      <c r="D564" s="55"/>
      <c r="E564" s="8" t="s">
        <v>86</v>
      </c>
      <c r="F564" s="8" t="s">
        <v>922</v>
      </c>
      <c r="G564" s="165" t="str">
        <f>HYPERLINK("https://docs.google.com/spreadsheets/d/1kpQqzOUJ7EveKajKmoLq_764OkaXGU8vX-luFh9I9_o/edit#gid=1560719576", "https://docs.google.com/spreadsheets/d/1kpQqzOUJ7EveKajKmoLq_764OkaXGU8vX-luFh9I9_o/edit#gid=1560719576")</f>
        <v>https://docs.google.com/spreadsheets/d/1kpQqzOUJ7EveKajKmoLq_764OkaXGU8vX-luFh9I9_o/edit#gid=1560719576</v>
      </c>
      <c r="H564" s="35" t="s">
        <v>3973</v>
      </c>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449"/>
      <c r="C565" s="450"/>
      <c r="D565" s="31"/>
      <c r="E565" s="31"/>
      <c r="F565" s="31"/>
      <c r="G565" s="69"/>
      <c r="H565" s="31"/>
      <c r="I565" s="9"/>
      <c r="J565" s="9"/>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449"/>
      <c r="C566" s="450"/>
      <c r="D566" s="31"/>
      <c r="E566" s="31"/>
      <c r="F566" s="31"/>
      <c r="G566" s="69"/>
      <c r="H566" s="31"/>
      <c r="I566" s="9"/>
      <c r="J566" s="9"/>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449"/>
      <c r="C567" s="450"/>
      <c r="D567" s="31"/>
      <c r="E567" s="31"/>
      <c r="F567" s="31"/>
      <c r="G567" s="69"/>
      <c r="H567" s="31"/>
      <c r="I567" s="9"/>
      <c r="J567" s="9"/>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449"/>
      <c r="C568" s="450"/>
      <c r="D568" s="31"/>
      <c r="E568" s="31"/>
      <c r="F568" s="31"/>
      <c r="G568" s="69"/>
      <c r="H568" s="31"/>
      <c r="I568" s="31"/>
      <c r="J568" s="9"/>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219" t="s">
        <v>3974</v>
      </c>
      <c r="C569" s="83" t="s">
        <v>3975</v>
      </c>
      <c r="D569" s="8" t="s">
        <v>20</v>
      </c>
      <c r="E569" s="28" t="s">
        <v>86</v>
      </c>
      <c r="F569" s="8" t="s">
        <v>87</v>
      </c>
      <c r="G569" s="69"/>
      <c r="H569" s="36"/>
      <c r="I569" s="36"/>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449"/>
      <c r="D570" s="31"/>
      <c r="E570" s="28" t="s">
        <v>88</v>
      </c>
      <c r="F570" s="38" t="s">
        <v>89</v>
      </c>
      <c r="G570" s="69"/>
      <c r="H570" s="36"/>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449"/>
      <c r="D571" s="31"/>
      <c r="E571" s="28" t="s">
        <v>21</v>
      </c>
      <c r="F571" s="28" t="s">
        <v>51</v>
      </c>
      <c r="G571" s="69" t="str">
        <f>HYPERLINK("https://docs.google.com/spreadsheets/d/1swJG28WXUHUH9-hS24TnJyT9AP_kHsaV67Q4m9lVRh8/edit#gid=1884200688", "https://docs.google.com/spreadsheets/d/1swJG28WXUHUH9-hS24TnJyT9AP_kHsaV67Q4m9lVRh8/edit#gid=1884200688")</f>
        <v>https://docs.google.com/spreadsheets/d/1swJG28WXUHUH9-hS24TnJyT9AP_kHsaV67Q4m9lVRh8/edit#gid=1884200688</v>
      </c>
      <c r="H571" s="38" t="s">
        <v>51</v>
      </c>
      <c r="I571" s="9"/>
      <c r="J571" s="9"/>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449"/>
      <c r="D572" s="55"/>
      <c r="E572" s="8" t="s">
        <v>86</v>
      </c>
      <c r="F572" s="8" t="s">
        <v>90</v>
      </c>
      <c r="G572" s="69" t="str">
        <f>HYPERLINK("https://docs.google.com/spreadsheets/d/1swJG28WXUHUH9-hS24TnJyT9AP_kHsaV67Q4m9lVRh8/edit#gid=1838667975", "https://docs.google.com/spreadsheets/d/1swJG28WXUHUH9-hS24TnJyT9AP_kHsaV67Q4m9lVRh8/edit#gid=1838667975")</f>
        <v>https://docs.google.com/spreadsheets/d/1swJG28WXUHUH9-hS24TnJyT9AP_kHsaV67Q4m9lVRh8/edit#gid=1838667975</v>
      </c>
      <c r="H572" s="8" t="s">
        <v>90</v>
      </c>
      <c r="I572" s="9"/>
      <c r="J572" s="9"/>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449"/>
      <c r="D573" s="55"/>
      <c r="E573" s="8" t="s">
        <v>86</v>
      </c>
      <c r="F573" s="8" t="s">
        <v>91</v>
      </c>
      <c r="G573" s="69" t="str">
        <f>HYPERLINK("https://docs.google.com/spreadsheets/d/1swJG28WXUHUH9-hS24TnJyT9AP_kHsaV67Q4m9lVRh8/edit#gid=1924549606", "https://docs.google.com/spreadsheets/d/1swJG28WXUHUH9-hS24TnJyT9AP_kHsaV67Q4m9lVRh8/edit#gid=1924549606")</f>
        <v>https://docs.google.com/spreadsheets/d/1swJG28WXUHUH9-hS24TnJyT9AP_kHsaV67Q4m9lVRh8/edit#gid=1924549606</v>
      </c>
      <c r="H573" s="8" t="s">
        <v>91</v>
      </c>
      <c r="I573" s="9"/>
      <c r="J573" s="9"/>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449"/>
      <c r="D574" s="55"/>
      <c r="E574" s="8" t="s">
        <v>86</v>
      </c>
      <c r="F574" s="8" t="s">
        <v>92</v>
      </c>
      <c r="G574" s="69" t="str">
        <f>HYPERLINK("https://docs.google.com/spreadsheets/d/1swJG28WXUHUH9-hS24TnJyT9AP_kHsaV67Q4m9lVRh8/edit#gid=1062316039", "https://docs.google.com/spreadsheets/d/1swJG28WXUHUH9-hS24TnJyT9AP_kHsaV67Q4m9lVRh8/edit#gid=1062316039")</f>
        <v>https://docs.google.com/spreadsheets/d/1swJG28WXUHUH9-hS24TnJyT9AP_kHsaV67Q4m9lVRh8/edit#gid=1062316039</v>
      </c>
      <c r="H574" s="8" t="s">
        <v>92</v>
      </c>
      <c r="I574" s="31"/>
      <c r="J574" s="9"/>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449"/>
      <c r="D575" s="55"/>
      <c r="E575" s="8" t="s">
        <v>86</v>
      </c>
      <c r="F575" s="8" t="s">
        <v>757</v>
      </c>
      <c r="G575" s="69" t="str">
        <f>HYPERLINK("https://docs.google.com/spreadsheets/d/1swJG28WXUHUH9-hS24TnJyT9AP_kHsaV67Q4m9lVRh8/edit#gid=344180886", "https://docs.google.com/spreadsheets/d/1swJG28WXUHUH9-hS24TnJyT9AP_kHsaV67Q4m9lVRh8/edit#gid=344180886")</f>
        <v>https://docs.google.com/spreadsheets/d/1swJG28WXUHUH9-hS24TnJyT9AP_kHsaV67Q4m9lVRh8/edit#gid=344180886</v>
      </c>
      <c r="H575" s="8" t="s">
        <v>757</v>
      </c>
      <c r="I575" s="31"/>
      <c r="J575" s="9"/>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449"/>
      <c r="D576" s="55"/>
      <c r="E576" s="28" t="s">
        <v>86</v>
      </c>
      <c r="F576" s="8" t="s">
        <v>94</v>
      </c>
      <c r="G576" s="69" t="str">
        <f>HYPERLINK("https://docs.google.com/spreadsheets/d/1swJG28WXUHUH9-hS24TnJyT9AP_kHsaV67Q4m9lVRh8/edit#gid=907587368", "https://docs.google.com/spreadsheets/d/1swJG28WXUHUH9-hS24TnJyT9AP_kHsaV67Q4m9lVRh8/edit#gid=907587368")</f>
        <v>https://docs.google.com/spreadsheets/d/1swJG28WXUHUH9-hS24TnJyT9AP_kHsaV67Q4m9lVRh8/edit#gid=907587368</v>
      </c>
      <c r="H576" s="8" t="s">
        <v>94</v>
      </c>
      <c r="I576" s="9"/>
      <c r="J576" s="9"/>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449"/>
      <c r="D577" s="55"/>
      <c r="E577" s="28" t="s">
        <v>88</v>
      </c>
      <c r="F577" s="38" t="s">
        <v>95</v>
      </c>
      <c r="G577" s="69" t="str">
        <f>HYPERLINK("https://docs.google.com/spreadsheets/d/1swJG28WXUHUH9-hS24TnJyT9AP_kHsaV67Q4m9lVRh8/edit#gid=480468467", "https://docs.google.com/spreadsheets/d/1swJG28WXUHUH9-hS24TnJyT9AP_kHsaV67Q4m9lVRh8/edit#gid=480468467")</f>
        <v>https://docs.google.com/spreadsheets/d/1swJG28WXUHUH9-hS24TnJyT9AP_kHsaV67Q4m9lVRh8/edit#gid=480468467</v>
      </c>
      <c r="H577" s="38" t="s">
        <v>95</v>
      </c>
      <c r="I577" s="9"/>
      <c r="J577" s="9"/>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449"/>
      <c r="D578" s="55"/>
      <c r="E578" s="28" t="s">
        <v>88</v>
      </c>
      <c r="F578" s="28" t="s">
        <v>96</v>
      </c>
      <c r="G578" s="69" t="str">
        <f>HYPERLINK("https://docs.google.com/spreadsheets/d/1swJG28WXUHUH9-hS24TnJyT9AP_kHsaV67Q4m9lVRh8/edit#gid=1505625632", "https://docs.google.com/spreadsheets/d/1swJG28WXUHUH9-hS24TnJyT9AP_kHsaV67Q4m9lVRh8/edit#gid=1505625632")</f>
        <v>https://docs.google.com/spreadsheets/d/1swJG28WXUHUH9-hS24TnJyT9AP_kHsaV67Q4m9lVRh8/edit#gid=1505625632</v>
      </c>
      <c r="H578" s="38" t="s">
        <v>96</v>
      </c>
      <c r="I578" s="9"/>
      <c r="J578" s="9"/>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449"/>
      <c r="D579" s="55"/>
      <c r="E579" s="8" t="s">
        <v>104</v>
      </c>
      <c r="F579" s="58" t="s">
        <v>250</v>
      </c>
      <c r="G579" s="69" t="str">
        <f>HYPERLINK("https://docs.google.com/spreadsheets/d/1swJG28WXUHUH9-hS24TnJyT9AP_kHsaV67Q4m9lVRh8/edit#gid=259752694", "https://docs.google.com/spreadsheets/d/1swJG28WXUHUH9-hS24TnJyT9AP_kHsaV67Q4m9lVRh8/edit#gid=259752694")</f>
        <v>https://docs.google.com/spreadsheets/d/1swJG28WXUHUH9-hS24TnJyT9AP_kHsaV67Q4m9lVRh8/edit#gid=259752694</v>
      </c>
      <c r="H579" s="58" t="s">
        <v>250</v>
      </c>
      <c r="I579" s="9"/>
      <c r="J579" s="9"/>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449"/>
      <c r="D580" s="31"/>
      <c r="E580" s="28" t="s">
        <v>86</v>
      </c>
      <c r="F580" s="8" t="s">
        <v>97</v>
      </c>
      <c r="G580" s="451" t="str">
        <f>HYPERLINK("https://docs.google.com/spreadsheets/d/1swJG28WXUHUH9-hS24TnJyT9AP_kHsaV67Q4m9lVRh8/edit#gid=2069809068", "https://docs.google.com/spreadsheets/d/1swJG28WXUHUH9-hS24TnJyT9AP_kHsaV67Q4m9lVRh8/edit#gid=2069809068")</f>
        <v>https://docs.google.com/spreadsheets/d/1swJG28WXUHUH9-hS24TnJyT9AP_kHsaV67Q4m9lVRh8/edit#gid=2069809068</v>
      </c>
      <c r="H580" s="8" t="s">
        <v>97</v>
      </c>
      <c r="I580" s="9"/>
      <c r="J580" s="9"/>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219"/>
      <c r="C581" s="55"/>
      <c r="D581" s="55"/>
      <c r="E581" s="31"/>
      <c r="F581" s="31"/>
      <c r="G581" s="149"/>
      <c r="H581" s="31"/>
      <c r="I581" s="9"/>
      <c r="J581" s="9"/>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219" t="s">
        <v>3976</v>
      </c>
      <c r="C582" s="186" t="s">
        <v>3977</v>
      </c>
      <c r="D582" s="53" t="s">
        <v>20</v>
      </c>
      <c r="E582" s="8" t="s">
        <v>86</v>
      </c>
      <c r="F582" s="8" t="s">
        <v>87</v>
      </c>
      <c r="G582" s="149"/>
      <c r="H582" s="36"/>
      <c r="K582" s="36"/>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219"/>
      <c r="D583" s="55"/>
      <c r="E583" s="8" t="s">
        <v>88</v>
      </c>
      <c r="F583" s="8" t="s">
        <v>89</v>
      </c>
      <c r="G583" s="149"/>
      <c r="H583" s="36"/>
      <c r="I583" s="36"/>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219"/>
      <c r="D584" s="55"/>
      <c r="E584" s="28" t="s">
        <v>21</v>
      </c>
      <c r="F584" s="8" t="s">
        <v>51</v>
      </c>
      <c r="G584" s="149" t="str">
        <f>HYPERLINK("https://docs.google.com/spreadsheets/d/1SD40UxU3W74nffY4LLEvoBYU4XVP30HJTbAgGJ9qnOk/edit#gid=351666378", "https://docs.google.com/spreadsheets/d/1SD40UxU3W74nffY4LLEvoBYU4XVP30HJTbAgGJ9qnOk/edit#gid=351666378")</f>
        <v>https://docs.google.com/spreadsheets/d/1SD40UxU3W74nffY4LLEvoBYU4XVP30HJTbAgGJ9qnOk/edit#gid=351666378</v>
      </c>
      <c r="H584" s="8" t="s">
        <v>51</v>
      </c>
      <c r="I584" s="9"/>
      <c r="J584" s="9"/>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219"/>
      <c r="D585" s="55"/>
      <c r="E585" s="28" t="s">
        <v>86</v>
      </c>
      <c r="F585" s="38" t="s">
        <v>739</v>
      </c>
      <c r="G585" s="149" t="str">
        <f>HYPERLINK("https://docs.google.com/spreadsheets/d/1SD40UxU3W74nffY4LLEvoBYU4XVP30HJTbAgGJ9qnOk/edit#gid=210380562", "https://docs.google.com/spreadsheets/d/1SD40UxU3W74nffY4LLEvoBYU4XVP30HJTbAgGJ9qnOk/edit#gid=210380562")</f>
        <v>https://docs.google.com/spreadsheets/d/1SD40UxU3W74nffY4LLEvoBYU4XVP30HJTbAgGJ9qnOk/edit#gid=210380562</v>
      </c>
      <c r="H585" s="38" t="s">
        <v>739</v>
      </c>
      <c r="I585" s="31"/>
      <c r="J585" s="9"/>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219"/>
      <c r="D586" s="55"/>
      <c r="E586" s="28" t="s">
        <v>86</v>
      </c>
      <c r="F586" s="28" t="s">
        <v>743</v>
      </c>
      <c r="G586" s="149" t="str">
        <f>HYPERLINK("https://docs.google.com/spreadsheets/d/1SD40UxU3W74nffY4LLEvoBYU4XVP30HJTbAgGJ9qnOk/edit#gid=656964782", "https://docs.google.com/spreadsheets/d/1SD40UxU3W74nffY4LLEvoBYU4XVP30HJTbAgGJ9qnOk/edit#gid=656964782")</f>
        <v>https://docs.google.com/spreadsheets/d/1SD40UxU3W74nffY4LLEvoBYU4XVP30HJTbAgGJ9qnOk/edit#gid=656964782</v>
      </c>
      <c r="H586" s="38" t="s">
        <v>743</v>
      </c>
      <c r="I586" s="9"/>
      <c r="J586" s="9"/>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219"/>
      <c r="C587" s="55"/>
      <c r="D587" s="55"/>
      <c r="E587" s="31"/>
      <c r="F587" s="31"/>
      <c r="G587" s="149"/>
      <c r="H587" s="31"/>
      <c r="I587" s="9"/>
      <c r="J587" s="9"/>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219" t="s">
        <v>3978</v>
      </c>
      <c r="C588" s="186" t="s">
        <v>3979</v>
      </c>
      <c r="D588" s="53" t="s">
        <v>20</v>
      </c>
      <c r="E588" s="8" t="s">
        <v>86</v>
      </c>
      <c r="F588" s="62" t="s">
        <v>87</v>
      </c>
      <c r="G588" s="149"/>
      <c r="H588" s="36"/>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219"/>
      <c r="D589" s="55"/>
      <c r="E589" s="8" t="s">
        <v>88</v>
      </c>
      <c r="F589" s="8" t="s">
        <v>89</v>
      </c>
      <c r="G589" s="149"/>
      <c r="H589" s="36"/>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219"/>
      <c r="D590" s="31"/>
      <c r="E590" s="8" t="s">
        <v>21</v>
      </c>
      <c r="F590" s="8" t="s">
        <v>51</v>
      </c>
      <c r="G590" s="149" t="str">
        <f>HYPERLINK("https://docs.google.com/spreadsheets/d/1zqm4e3tw4BfHlDyKL0FmNpEJ0Tkc4iCMW3WfKMyGFdA/edit#gid=1007914044", "https://docs.google.com/spreadsheets/d/1zqm4e3tw4BfHlDyKL0FmNpEJ0Tkc4iCMW3WfKMyGFdA/edit#gid=1007914044")</f>
        <v>https://docs.google.com/spreadsheets/d/1zqm4e3tw4BfHlDyKL0FmNpEJ0Tkc4iCMW3WfKMyGFdA/edit#gid=1007914044</v>
      </c>
      <c r="H590" s="8" t="s">
        <v>51</v>
      </c>
      <c r="I590" s="9"/>
      <c r="J590" s="9"/>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219"/>
      <c r="D591" s="31"/>
      <c r="E591" s="8" t="s">
        <v>86</v>
      </c>
      <c r="F591" s="8" t="s">
        <v>739</v>
      </c>
      <c r="G591" s="149" t="str">
        <f>HYPERLINK("https://docs.google.com/spreadsheets/d/1zqm4e3tw4BfHlDyKL0FmNpEJ0Tkc4iCMW3WfKMyGFdA/edit#gid=1436378789", "https://docs.google.com/spreadsheets/d/1zqm4e3tw4BfHlDyKL0FmNpEJ0Tkc4iCMW3WfKMyGFdA/edit#gid=1436378789")</f>
        <v>https://docs.google.com/spreadsheets/d/1zqm4e3tw4BfHlDyKL0FmNpEJ0Tkc4iCMW3WfKMyGFdA/edit#gid=1436378789</v>
      </c>
      <c r="H591" s="8" t="s">
        <v>739</v>
      </c>
      <c r="I591" s="9"/>
      <c r="J591" s="9"/>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219"/>
      <c r="D592" s="31"/>
      <c r="E592" s="8" t="s">
        <v>86</v>
      </c>
      <c r="F592" s="8" t="s">
        <v>739</v>
      </c>
      <c r="G592" s="149" t="str">
        <f>HYPERLINK("https://docs.google.com/spreadsheets/d/1zqm4e3tw4BfHlDyKL0FmNpEJ0Tkc4iCMW3WfKMyGFdA/edit#gid=1872930431", "https://docs.google.com/spreadsheets/d/1zqm4e3tw4BfHlDyKL0FmNpEJ0Tkc4iCMW3WfKMyGFdA/edit#gid=1872930431")</f>
        <v>https://docs.google.com/spreadsheets/d/1zqm4e3tw4BfHlDyKL0FmNpEJ0Tkc4iCMW3WfKMyGFdA/edit#gid=1872930431</v>
      </c>
      <c r="H592" s="8" t="s">
        <v>3945</v>
      </c>
      <c r="I592" s="9"/>
      <c r="J592" s="9"/>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219"/>
      <c r="D593" s="31"/>
      <c r="E593" s="28" t="s">
        <v>86</v>
      </c>
      <c r="F593" s="8" t="s">
        <v>739</v>
      </c>
      <c r="G593" s="149" t="str">
        <f>HYPERLINK("https://docs.google.com/spreadsheets/d/1zqm4e3tw4BfHlDyKL0FmNpEJ0Tkc4iCMW3WfKMyGFdA/edit#gid=393163854", "https://docs.google.com/spreadsheets/d/1zqm4e3tw4BfHlDyKL0FmNpEJ0Tkc4iCMW3WfKMyGFdA/edit#gid=393163854")</f>
        <v>https://docs.google.com/spreadsheets/d/1zqm4e3tw4BfHlDyKL0FmNpEJ0Tkc4iCMW3WfKMyGFdA/edit#gid=393163854</v>
      </c>
      <c r="H593" s="8" t="s">
        <v>3980</v>
      </c>
      <c r="I593" s="9"/>
      <c r="J593" s="9"/>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219"/>
      <c r="D594" s="31"/>
      <c r="E594" s="28" t="s">
        <v>86</v>
      </c>
      <c r="F594" s="28" t="s">
        <v>743</v>
      </c>
      <c r="G594" s="149" t="str">
        <f>HYPERLINK("https://docs.google.com/spreadsheets/d/1zqm4e3tw4BfHlDyKL0FmNpEJ0Tkc4iCMW3WfKMyGFdA/edit#gid=47541738", "https://docs.google.com/spreadsheets/d/1zqm4e3tw4BfHlDyKL0FmNpEJ0Tkc4iCMW3WfKMyGFdA/edit#gid=47541738")</f>
        <v>https://docs.google.com/spreadsheets/d/1zqm4e3tw4BfHlDyKL0FmNpEJ0Tkc4iCMW3WfKMyGFdA/edit#gid=47541738</v>
      </c>
      <c r="H594" s="38" t="s">
        <v>743</v>
      </c>
      <c r="I594" s="9"/>
      <c r="J594" s="9"/>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219"/>
      <c r="C595" s="450"/>
      <c r="D595" s="31"/>
      <c r="E595" s="31"/>
      <c r="F595" s="31"/>
      <c r="G595" s="149"/>
      <c r="H595" s="31"/>
      <c r="I595" s="9"/>
      <c r="J595" s="9"/>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219" t="s">
        <v>3981</v>
      </c>
      <c r="C596" s="83" t="s">
        <v>3982</v>
      </c>
      <c r="D596" s="8" t="s">
        <v>20</v>
      </c>
      <c r="E596" s="8" t="s">
        <v>86</v>
      </c>
      <c r="F596" s="62" t="s">
        <v>87</v>
      </c>
      <c r="G596" s="149"/>
      <c r="H596" s="36"/>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219"/>
      <c r="D597" s="31"/>
      <c r="E597" s="8" t="s">
        <v>88</v>
      </c>
      <c r="F597" s="8" t="s">
        <v>89</v>
      </c>
      <c r="G597" s="149"/>
      <c r="H597" s="36"/>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219"/>
      <c r="D598" s="31"/>
      <c r="E598" s="8" t="s">
        <v>21</v>
      </c>
      <c r="F598" s="8" t="s">
        <v>51</v>
      </c>
      <c r="G598" s="149" t="str">
        <f>HYPERLINK("https://docs.google.com/spreadsheets/d/16nuRCBS76Drix0sI83uLQifcBcONa4eSLNYqFzRa5-c/edit#gid=842160840", "https://docs.google.com/spreadsheets/d/16nuRCBS76Drix0sI83uLQifcBcONa4eSLNYqFzRa5-c/edit#gid=842160840")</f>
        <v>https://docs.google.com/spreadsheets/d/16nuRCBS76Drix0sI83uLQifcBcONa4eSLNYqFzRa5-c/edit#gid=842160840</v>
      </c>
      <c r="H598" s="8" t="s">
        <v>51</v>
      </c>
      <c r="I598" s="9"/>
      <c r="J598" s="9"/>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219"/>
      <c r="D599" s="31"/>
      <c r="E599" s="28" t="s">
        <v>86</v>
      </c>
      <c r="F599" s="8" t="s">
        <v>739</v>
      </c>
      <c r="G599" s="149" t="str">
        <f>HYPERLINK("https://docs.google.com/spreadsheets/d/16nuRCBS76Drix0sI83uLQifcBcONa4eSLNYqFzRa5-c/edit#gid=341928727", "https://docs.google.com/spreadsheets/d/16nuRCBS76Drix0sI83uLQifcBcONa4eSLNYqFzRa5-c/edit#gid=341928727")</f>
        <v>https://docs.google.com/spreadsheets/d/16nuRCBS76Drix0sI83uLQifcBcONa4eSLNYqFzRa5-c/edit#gid=341928727</v>
      </c>
      <c r="H599" s="8" t="s">
        <v>739</v>
      </c>
      <c r="I599" s="9"/>
      <c r="J599" s="9"/>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219"/>
      <c r="D600" s="31"/>
      <c r="E600" s="28" t="s">
        <v>86</v>
      </c>
      <c r="F600" s="38" t="s">
        <v>353</v>
      </c>
      <c r="G600" s="149" t="str">
        <f>HYPERLINK("https://docs.google.com/spreadsheets/d/16nuRCBS76Drix0sI83uLQifcBcONa4eSLNYqFzRa5-c/edit#gid=220364539", "https://docs.google.com/spreadsheets/d/16nuRCBS76Drix0sI83uLQifcBcONa4eSLNYqFzRa5-c/edit#gid=220364539")</f>
        <v>https://docs.google.com/spreadsheets/d/16nuRCBS76Drix0sI83uLQifcBcONa4eSLNYqFzRa5-c/edit#gid=220364539</v>
      </c>
      <c r="H600" s="38" t="s">
        <v>353</v>
      </c>
      <c r="I600" s="9"/>
      <c r="J600" s="9"/>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219"/>
      <c r="D601" s="31"/>
      <c r="E601" s="28" t="s">
        <v>86</v>
      </c>
      <c r="F601" s="28" t="s">
        <v>91</v>
      </c>
      <c r="G601" s="149" t="str">
        <f>HYPERLINK("https://docs.google.com/spreadsheets/d/16nuRCBS76Drix0sI83uLQifcBcONa4eSLNYqFzRa5-c/edit#gid=416567447", "https://docs.google.com/spreadsheets/d/16nuRCBS76Drix0sI83uLQifcBcONa4eSLNYqFzRa5-c/edit#gid=416567447")</f>
        <v>https://docs.google.com/spreadsheets/d/16nuRCBS76Drix0sI83uLQifcBcONa4eSLNYqFzRa5-c/edit#gid=416567447</v>
      </c>
      <c r="H601" s="38" t="s">
        <v>91</v>
      </c>
      <c r="I601" s="9"/>
      <c r="J601" s="9"/>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56" t="s">
        <v>152</v>
      </c>
      <c r="C602" s="57" t="s">
        <v>3983</v>
      </c>
      <c r="D602" s="8" t="s">
        <v>20</v>
      </c>
      <c r="E602" s="8" t="s">
        <v>149</v>
      </c>
      <c r="F602" s="8" t="s">
        <v>895</v>
      </c>
      <c r="G602" s="149" t="str">
        <f>HYPERLINK("https://docs.google.com/spreadsheets/d/18E_Ung8bhLrMQCuAWUYmlKp5yegGxRDbuft90snN2d0/edit#gid=1032723098", "https://docs.google.com/spreadsheets/d/18E_Ung8bhLrMQCuAWUYmlKp5yegGxRDbuft90snN2d0/edit#gid=1032723098")</f>
        <v>https://docs.google.com/spreadsheets/d/18E_Ung8bhLrMQCuAWUYmlKp5yegGxRDbuft90snN2d0/edit#gid=1032723098</v>
      </c>
      <c r="H602" s="35" t="s">
        <v>895</v>
      </c>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219"/>
      <c r="C603" s="83"/>
      <c r="D603" s="348"/>
      <c r="E603" s="8"/>
      <c r="F603" s="62"/>
      <c r="H603" s="36"/>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219" t="s">
        <v>3984</v>
      </c>
      <c r="C604" s="83" t="s">
        <v>3985</v>
      </c>
      <c r="D604" s="348" t="s">
        <v>20</v>
      </c>
      <c r="E604" s="8" t="s">
        <v>86</v>
      </c>
      <c r="F604" s="62" t="s">
        <v>87</v>
      </c>
      <c r="H604" s="36"/>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219"/>
      <c r="E605" s="8" t="s">
        <v>88</v>
      </c>
      <c r="F605" s="62" t="s">
        <v>89</v>
      </c>
      <c r="H605" s="36"/>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E606" s="8" t="s">
        <v>88</v>
      </c>
      <c r="F606" s="62" t="s">
        <v>154</v>
      </c>
      <c r="G606" s="165" t="str">
        <f>HYPERLINK("https://docs.google.com/spreadsheets/d/1dAjFMEbMd5dLxmoDg9N-jlLVKK3V7_R4yuBNPrIDQlc/edit#gid=342922769", "https://docs.google.com/spreadsheets/d/1dAjFMEbMd5dLxmoDg9N-jlLVKK3V7_R4yuBNPrIDQlc/edit#gid=342922769")</f>
        <v>https://docs.google.com/spreadsheets/d/1dAjFMEbMd5dLxmoDg9N-jlLVKK3V7_R4yuBNPrIDQlc/edit#gid=342922769</v>
      </c>
      <c r="H606" s="35" t="s">
        <v>154</v>
      </c>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219"/>
      <c r="E607" s="8" t="s">
        <v>21</v>
      </c>
      <c r="F607" s="8" t="s">
        <v>51</v>
      </c>
      <c r="G607" s="149" t="str">
        <f>HYPERLINK("https://docs.google.com/spreadsheets/d/1dAjFMEbMd5dLxmoDg9N-jlLVKK3V7_R4yuBNPrIDQlc/edit#gid=1633514748", "https://docs.google.com/spreadsheets/d/1dAjFMEbMd5dLxmoDg9N-jlLVKK3V7_R4yuBNPrIDQlc/edit#gid=1633514748")</f>
        <v>https://docs.google.com/spreadsheets/d/1dAjFMEbMd5dLxmoDg9N-jlLVKK3V7_R4yuBNPrIDQlc/edit#gid=1633514748</v>
      </c>
      <c r="H607" s="8" t="s">
        <v>51</v>
      </c>
      <c r="I607" s="9"/>
      <c r="J607" s="9"/>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219"/>
      <c r="E608" s="8" t="s">
        <v>86</v>
      </c>
      <c r="F608" s="8" t="s">
        <v>90</v>
      </c>
      <c r="G608" s="149" t="str">
        <f>HYPERLINK("https://docs.google.com/spreadsheets/d/1dAjFMEbMd5dLxmoDg9N-jlLVKK3V7_R4yuBNPrIDQlc/edit#gid=991692347", "https://docs.google.com/spreadsheets/d/1dAjFMEbMd5dLxmoDg9N-jlLVKK3V7_R4yuBNPrIDQlc/edit#gid=991692347")</f>
        <v>https://docs.google.com/spreadsheets/d/1dAjFMEbMd5dLxmoDg9N-jlLVKK3V7_R4yuBNPrIDQlc/edit#gid=991692347</v>
      </c>
      <c r="H608" s="35" t="s">
        <v>90</v>
      </c>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219"/>
      <c r="E609" s="8" t="s">
        <v>86</v>
      </c>
      <c r="F609" s="8" t="s">
        <v>92</v>
      </c>
      <c r="G609" s="149" t="str">
        <f>HYPERLINK("https://docs.google.com/spreadsheets/d/1dAjFMEbMd5dLxmoDg9N-jlLVKK3V7_R4yuBNPrIDQlc/edit#gid=966651368", "https://docs.google.com/spreadsheets/d/1dAjFMEbMd5dLxmoDg9N-jlLVKK3V7_R4yuBNPrIDQlc/edit#gid=966651368")</f>
        <v>https://docs.google.com/spreadsheets/d/1dAjFMEbMd5dLxmoDg9N-jlLVKK3V7_R4yuBNPrIDQlc/edit#gid=966651368</v>
      </c>
      <c r="H609" s="35" t="s">
        <v>92</v>
      </c>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219"/>
      <c r="E610" s="8" t="s">
        <v>86</v>
      </c>
      <c r="F610" s="8" t="s">
        <v>358</v>
      </c>
      <c r="G610" s="149" t="str">
        <f>HYPERLINK("https://docs.google.com/spreadsheets/d/1dAjFMEbMd5dLxmoDg9N-jlLVKK3V7_R4yuBNPrIDQlc/edit#gid=796809261", "https://docs.google.com/spreadsheets/d/1dAjFMEbMd5dLxmoDg9N-jlLVKK3V7_R4yuBNPrIDQlc/edit#gid=796809261")</f>
        <v>https://docs.google.com/spreadsheets/d/1dAjFMEbMd5dLxmoDg9N-jlLVKK3V7_R4yuBNPrIDQlc/edit#gid=796809261</v>
      </c>
      <c r="H610" s="8" t="s">
        <v>358</v>
      </c>
      <c r="I610" s="9"/>
      <c r="J610" s="9"/>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219"/>
      <c r="E611" s="8" t="s">
        <v>86</v>
      </c>
      <c r="F611" s="8" t="s">
        <v>94</v>
      </c>
      <c r="G611" s="149" t="str">
        <f>HYPERLINK("https://docs.google.com/spreadsheets/d/1dAjFMEbMd5dLxmoDg9N-jlLVKK3V7_R4yuBNPrIDQlc/edit#gid=1275772299", "https://docs.google.com/spreadsheets/d/1dAjFMEbMd5dLxmoDg9N-jlLVKK3V7_R4yuBNPrIDQlc/edit#gid=1275772299")</f>
        <v>https://docs.google.com/spreadsheets/d/1dAjFMEbMd5dLxmoDg9N-jlLVKK3V7_R4yuBNPrIDQlc/edit#gid=1275772299</v>
      </c>
      <c r="H611" s="8" t="s">
        <v>94</v>
      </c>
      <c r="J611" s="9"/>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219"/>
      <c r="E612" s="28" t="s">
        <v>88</v>
      </c>
      <c r="F612" s="8" t="s">
        <v>95</v>
      </c>
      <c r="G612" s="149" t="str">
        <f>HYPERLINK("https://docs.google.com/spreadsheets/d/1dAjFMEbMd5dLxmoDg9N-jlLVKK3V7_R4yuBNPrIDQlc/edit#gid=1487800350", "https://docs.google.com/spreadsheets/d/1dAjFMEbMd5dLxmoDg9N-jlLVKK3V7_R4yuBNPrIDQlc/edit#gid=1487800350")</f>
        <v>https://docs.google.com/spreadsheets/d/1dAjFMEbMd5dLxmoDg9N-jlLVKK3V7_R4yuBNPrIDQlc/edit#gid=1487800350</v>
      </c>
      <c r="H612" s="8" t="s">
        <v>95</v>
      </c>
      <c r="I612" s="9"/>
      <c r="J612" s="9"/>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219"/>
      <c r="E613" s="28" t="s">
        <v>88</v>
      </c>
      <c r="F613" s="38" t="s">
        <v>96</v>
      </c>
      <c r="G613" s="149" t="str">
        <f>HYPERLINK("https://docs.google.com/spreadsheets/d/1dAjFMEbMd5dLxmoDg9N-jlLVKK3V7_R4yuBNPrIDQlc/edit#gid=1087923586", "https://docs.google.com/spreadsheets/d/1dAjFMEbMd5dLxmoDg9N-jlLVKK3V7_R4yuBNPrIDQlc/edit#gid=1087923586")</f>
        <v>https://docs.google.com/spreadsheets/d/1dAjFMEbMd5dLxmoDg9N-jlLVKK3V7_R4yuBNPrIDQlc/edit#gid=1087923586</v>
      </c>
      <c r="H613" s="38" t="s">
        <v>96</v>
      </c>
      <c r="I613" s="9"/>
      <c r="J613" s="9"/>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219"/>
      <c r="E614" s="28" t="s">
        <v>88</v>
      </c>
      <c r="F614" s="28" t="s">
        <v>122</v>
      </c>
      <c r="G614" s="149" t="str">
        <f>HYPERLINK("https://docs.google.com/spreadsheets/d/1dAjFMEbMd5dLxmoDg9N-jlLVKK3V7_R4yuBNPrIDQlc/edit#gid=1836580887", "https://docs.google.com/spreadsheets/d/1dAjFMEbMd5dLxmoDg9N-jlLVKK3V7_R4yuBNPrIDQlc/edit#gid=1836580887")</f>
        <v>https://docs.google.com/spreadsheets/d/1dAjFMEbMd5dLxmoDg9N-jlLVKK3V7_R4yuBNPrIDQlc/edit#gid=1836580887</v>
      </c>
      <c r="H614" s="38" t="s">
        <v>122</v>
      </c>
      <c r="I614" s="9"/>
      <c r="J614" s="9"/>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219"/>
      <c r="E615" s="8" t="s">
        <v>88</v>
      </c>
      <c r="F615" s="62" t="s">
        <v>154</v>
      </c>
      <c r="G615" s="149" t="str">
        <f>HYPERLINK("https://docs.google.com/spreadsheets/d/1dAjFMEbMd5dLxmoDg9N-jlLVKK3V7_R4yuBNPrIDQlc/edit#gid=389482286", "https://docs.google.com/spreadsheets/d/1dAjFMEbMd5dLxmoDg9N-jlLVKK3V7_R4yuBNPrIDQlc/edit#gid=389482286")</f>
        <v>https://docs.google.com/spreadsheets/d/1dAjFMEbMd5dLxmoDg9N-jlLVKK3V7_R4yuBNPrIDQlc/edit#gid=389482286</v>
      </c>
      <c r="H615" s="62" t="s">
        <v>3986</v>
      </c>
      <c r="I615" s="9"/>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219" t="s">
        <v>3987</v>
      </c>
      <c r="C616" s="83" t="s">
        <v>3988</v>
      </c>
      <c r="D616" s="348" t="s">
        <v>20</v>
      </c>
      <c r="E616" s="28" t="s">
        <v>149</v>
      </c>
      <c r="F616" s="8" t="s">
        <v>895</v>
      </c>
      <c r="G616" s="452" t="str">
        <f>HYPERLINK("https://docs.google.com/spreadsheets/d/1JKvHPB9ogGc_K3Of9bMq5OD9CdcV_xFOLqu1aC46TT8/edit#gid=1554891146", "https://docs.google.com/spreadsheets/d/1JKvHPB9ogGc_K3Of9bMq5OD9CdcV_xFOLqu1aC46TT8/edit#gid=1554891146")</f>
        <v>https://docs.google.com/spreadsheets/d/1JKvHPB9ogGc_K3Of9bMq5OD9CdcV_xFOLqu1aC46TT8/edit#gid=1554891146</v>
      </c>
      <c r="H616" s="8" t="s">
        <v>895</v>
      </c>
      <c r="I616" s="9"/>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G617" s="453"/>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219" t="s">
        <v>3989</v>
      </c>
      <c r="C618" s="205" t="s">
        <v>3990</v>
      </c>
      <c r="D618" s="35" t="s">
        <v>20</v>
      </c>
      <c r="E618" s="35" t="s">
        <v>86</v>
      </c>
      <c r="F618" s="35" t="s">
        <v>87</v>
      </c>
      <c r="G618" s="453"/>
      <c r="H618" s="36"/>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35"/>
      <c r="E619" s="35" t="s">
        <v>88</v>
      </c>
      <c r="F619" s="35" t="s">
        <v>89</v>
      </c>
      <c r="G619" s="453"/>
      <c r="H619" s="36"/>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219"/>
      <c r="E620" s="35" t="s">
        <v>21</v>
      </c>
      <c r="F620" s="35" t="s">
        <v>51</v>
      </c>
      <c r="G620" s="454" t="str">
        <f>HYPERLINK("https://docs.google.com/spreadsheets/d/1067V3SuSeKfAXgw9eZefX-3yRwAsI-mWd9dAh_77HiY/edit#gid=1897846710", "https://docs.google.com/spreadsheets/d/1067V3SuSeKfAXgw9eZefX-3yRwAsI-mWd9dAh_77HiY/edit#gid=1897846710")</f>
        <v>https://docs.google.com/spreadsheets/d/1067V3SuSeKfAXgw9eZefX-3yRwAsI-mWd9dAh_77HiY/edit#gid=1897846710</v>
      </c>
      <c r="H620" s="35" t="s">
        <v>51</v>
      </c>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35"/>
      <c r="D621" s="31"/>
      <c r="E621" s="8" t="s">
        <v>86</v>
      </c>
      <c r="F621" s="8" t="s">
        <v>739</v>
      </c>
      <c r="G621" s="149" t="str">
        <f>HYPERLINK("https://docs.google.com/spreadsheets/d/1067V3SuSeKfAXgw9eZefX-3yRwAsI-mWd9dAh_77HiY/edit#gid=538925282", "https://docs.google.com/spreadsheets/d/1067V3SuSeKfAXgw9eZefX-3yRwAsI-mWd9dAh_77HiY/edit#gid=538925282")</f>
        <v>https://docs.google.com/spreadsheets/d/1067V3SuSeKfAXgw9eZefX-3yRwAsI-mWd9dAh_77HiY/edit#gid=538925282</v>
      </c>
      <c r="H621" s="8" t="s">
        <v>739</v>
      </c>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35"/>
      <c r="D622" s="31"/>
      <c r="E622" s="8" t="s">
        <v>21</v>
      </c>
      <c r="F622" s="8" t="s">
        <v>51</v>
      </c>
      <c r="G622" s="149" t="str">
        <f>HYPERLINK("https://docs.google.com/spreadsheets/d/1067V3SuSeKfAXgw9eZefX-3yRwAsI-mWd9dAh_77HiY/edit#gid=802453999", "https://docs.google.com/spreadsheets/d/1067V3SuSeKfAXgw9eZefX-3yRwAsI-mWd9dAh_77HiY/edit#gid=802453999")</f>
        <v>https://docs.google.com/spreadsheets/d/1067V3SuSeKfAXgw9eZefX-3yRwAsI-mWd9dAh_77HiY/edit#gid=802453999</v>
      </c>
      <c r="H622" s="8" t="s">
        <v>1383</v>
      </c>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219"/>
      <c r="D623" s="31"/>
      <c r="E623" s="8" t="s">
        <v>86</v>
      </c>
      <c r="F623" s="8" t="s">
        <v>338</v>
      </c>
      <c r="G623" s="149" t="str">
        <f>HYPERLINK("https://docs.google.com/spreadsheets/d/1067V3SuSeKfAXgw9eZefX-3yRwAsI-mWd9dAh_77HiY/edit#gid=1080431550", "https://docs.google.com/spreadsheets/d/1067V3SuSeKfAXgw9eZefX-3yRwAsI-mWd9dAh_77HiY/edit#gid=1080431550")</f>
        <v>https://docs.google.com/spreadsheets/d/1067V3SuSeKfAXgw9eZefX-3yRwAsI-mWd9dAh_77HiY/edit#gid=1080431550</v>
      </c>
      <c r="H623" s="8" t="s">
        <v>338</v>
      </c>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35"/>
      <c r="C624" s="450"/>
      <c r="D624" s="31"/>
      <c r="E624" s="37"/>
      <c r="F624" s="31"/>
      <c r="G624" s="149"/>
      <c r="H624" s="31"/>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219" t="s">
        <v>3991</v>
      </c>
      <c r="C625" s="83" t="s">
        <v>3992</v>
      </c>
      <c r="D625" s="8" t="s">
        <v>20</v>
      </c>
      <c r="E625" s="28" t="s">
        <v>86</v>
      </c>
      <c r="F625" s="38" t="s">
        <v>87</v>
      </c>
      <c r="G625" s="149"/>
      <c r="H625" s="36"/>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219"/>
      <c r="D626" s="8"/>
      <c r="E626" s="28" t="s">
        <v>88</v>
      </c>
      <c r="F626" s="38" t="s">
        <v>89</v>
      </c>
      <c r="G626" s="149"/>
      <c r="H626" s="36"/>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219"/>
      <c r="D627" s="8"/>
      <c r="E627" s="8" t="s">
        <v>21</v>
      </c>
      <c r="F627" s="38" t="s">
        <v>51</v>
      </c>
      <c r="G627" s="149" t="str">
        <f>HYPERLINK("https://docs.google.com/spreadsheets/d/1JK--fNL8fCiqJG2C22lvODyD3FJUIVKn_ZQcZADFBcU/edit#gid=434788100", "https://docs.google.com/spreadsheets/d/1JK--fNL8fCiqJG2C22lvODyD3FJUIVKn_ZQcZADFBcU/edit#gid=434788100")</f>
        <v>https://docs.google.com/spreadsheets/d/1JK--fNL8fCiqJG2C22lvODyD3FJUIVKn_ZQcZADFBcU/edit#gid=434788100</v>
      </c>
      <c r="H627" s="35" t="s">
        <v>51</v>
      </c>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219"/>
      <c r="D628" s="8"/>
      <c r="E628" s="35" t="s">
        <v>86</v>
      </c>
      <c r="F628" s="35" t="s">
        <v>739</v>
      </c>
      <c r="G628" s="149" t="str">
        <f>HYPERLINK("https://docs.google.com/spreadsheets/d/1JK--fNL8fCiqJG2C22lvODyD3FJUIVKn_ZQcZADFBcU/edit#gid=234003375", "https://docs.google.com/spreadsheets/d/1JK--fNL8fCiqJG2C22lvODyD3FJUIVKn_ZQcZADFBcU/edit#gid=234003375")</f>
        <v>https://docs.google.com/spreadsheets/d/1JK--fNL8fCiqJG2C22lvODyD3FJUIVKn_ZQcZADFBcU/edit#gid=234003375</v>
      </c>
      <c r="H628" s="35" t="s">
        <v>739</v>
      </c>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219"/>
      <c r="D629" s="8"/>
      <c r="E629" s="35" t="s">
        <v>86</v>
      </c>
      <c r="F629" s="35" t="s">
        <v>739</v>
      </c>
      <c r="G629" s="149" t="str">
        <f>HYPERLINK("https://docs.google.com/spreadsheets/d/1JK--fNL8fCiqJG2C22lvODyD3FJUIVKn_ZQcZADFBcU/edit#gid=1159473672", "https://docs.google.com/spreadsheets/d/1JK--fNL8fCiqJG2C22lvODyD3FJUIVKn_ZQcZADFBcU/edit#gid=1159473672")</f>
        <v>https://docs.google.com/spreadsheets/d/1JK--fNL8fCiqJG2C22lvODyD3FJUIVKn_ZQcZADFBcU/edit#gid=1159473672</v>
      </c>
      <c r="H629" s="35" t="s">
        <v>3980</v>
      </c>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219"/>
      <c r="D630" s="8"/>
      <c r="E630" s="32" t="s">
        <v>86</v>
      </c>
      <c r="F630" s="35" t="s">
        <v>743</v>
      </c>
      <c r="G630" s="149" t="str">
        <f>HYPERLINK("https://docs.google.com/spreadsheets/d/1JK--fNL8fCiqJG2C22lvODyD3FJUIVKn_ZQcZADFBcU/edit#gid=1537406388", "https://docs.google.com/spreadsheets/d/1JK--fNL8fCiqJG2C22lvODyD3FJUIVKn_ZQcZADFBcU/edit#gid=1537406388")</f>
        <v>https://docs.google.com/spreadsheets/d/1JK--fNL8fCiqJG2C22lvODyD3FJUIVKn_ZQcZADFBcU/edit#gid=1537406388</v>
      </c>
      <c r="H630" s="62" t="s">
        <v>743</v>
      </c>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32"/>
      <c r="D631" s="32"/>
      <c r="E631" s="32" t="s">
        <v>88</v>
      </c>
      <c r="F631" s="35" t="s">
        <v>96</v>
      </c>
      <c r="G631" s="159" t="str">
        <f>HYPERLINK("https://docs.google.com/spreadsheets/d/1JK--fNL8fCiqJG2C22lvODyD3FJUIVKn_ZQcZADFBcU/edit#gid=1945491237", "https://docs.google.com/spreadsheets/d/1JK--fNL8fCiqJG2C22lvODyD3FJUIVKn_ZQcZADFBcU/edit#gid=1945491237")</f>
        <v>https://docs.google.com/spreadsheets/d/1JK--fNL8fCiqJG2C22lvODyD3FJUIVKn_ZQcZADFBcU/edit#gid=1945491237</v>
      </c>
      <c r="H631" s="35" t="s">
        <v>96</v>
      </c>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32"/>
      <c r="C632" s="66"/>
      <c r="D632" s="32"/>
      <c r="E632" s="65"/>
      <c r="F632" s="35"/>
      <c r="G632" s="439"/>
      <c r="H632" s="3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455" t="s">
        <v>3993</v>
      </c>
      <c r="C633" s="56" t="s">
        <v>3994</v>
      </c>
      <c r="D633" s="8" t="s">
        <v>20</v>
      </c>
      <c r="E633" s="8" t="s">
        <v>86</v>
      </c>
      <c r="F633" s="8" t="s">
        <v>87</v>
      </c>
      <c r="G633" s="69"/>
      <c r="H633" s="36"/>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456"/>
      <c r="D634" s="31"/>
      <c r="E634" s="8" t="s">
        <v>88</v>
      </c>
      <c r="F634" s="8" t="s">
        <v>89</v>
      </c>
      <c r="G634" s="351"/>
      <c r="H634" s="36"/>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456"/>
      <c r="D635" s="31"/>
      <c r="E635" s="8" t="s">
        <v>21</v>
      </c>
      <c r="F635" s="8" t="s">
        <v>51</v>
      </c>
      <c r="G635" s="451" t="str">
        <f>HYPERLINK("https://docs.google.com/spreadsheets/d/1IYHNLgFcFmTfcWIVtGMLWfR646F5hgYyh7V9ipYmxQI/edit#gid=640590486", "https://docs.google.com/spreadsheets/d/1IYHNLgFcFmTfcWIVtGMLWfR646F5hgYyh7V9ipYmxQI/edit#gid=640590486")</f>
        <v>https://docs.google.com/spreadsheets/d/1IYHNLgFcFmTfcWIVtGMLWfR646F5hgYyh7V9ipYmxQI/edit#gid=640590486</v>
      </c>
      <c r="H635" s="8" t="s">
        <v>51</v>
      </c>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15"/>
      <c r="D636" s="15"/>
      <c r="E636" s="32" t="s">
        <v>86</v>
      </c>
      <c r="F636" s="32" t="s">
        <v>739</v>
      </c>
      <c r="G636" s="430" t="str">
        <f>HYPERLINK("https://docs.google.com/spreadsheets/d/1IYHNLgFcFmTfcWIVtGMLWfR646F5hgYyh7V9ipYmxQI/edit#gid=1989038306", "https://docs.google.com/spreadsheets/d/1IYHNLgFcFmTfcWIVtGMLWfR646F5hgYyh7V9ipYmxQI/edit#gid=1989038306")</f>
        <v>https://docs.google.com/spreadsheets/d/1IYHNLgFcFmTfcWIVtGMLWfR646F5hgYyh7V9ipYmxQI/edit#gid=1989038306</v>
      </c>
      <c r="H636" s="32" t="s">
        <v>739</v>
      </c>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15"/>
      <c r="D637" s="15"/>
      <c r="E637" s="32" t="s">
        <v>86</v>
      </c>
      <c r="F637" s="32" t="s">
        <v>743</v>
      </c>
      <c r="G637" s="430" t="str">
        <f>HYPERLINK("https://docs.google.com/spreadsheets/d/1IYHNLgFcFmTfcWIVtGMLWfR646F5hgYyh7V9ipYmxQI/edit#gid=648277668", "https://docs.google.com/spreadsheets/d/1IYHNLgFcFmTfcWIVtGMLWfR646F5hgYyh7V9ipYmxQI/edit#gid=648277668")</f>
        <v>https://docs.google.com/spreadsheets/d/1IYHNLgFcFmTfcWIVtGMLWfR646F5hgYyh7V9ipYmxQI/edit#gid=648277668</v>
      </c>
      <c r="H637" s="32" t="s">
        <v>743</v>
      </c>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15"/>
      <c r="C638" s="21"/>
      <c r="D638" s="15"/>
      <c r="E638" s="15"/>
      <c r="F638" s="15"/>
      <c r="G638" s="387"/>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32" t="s">
        <v>3995</v>
      </c>
      <c r="C639" s="164" t="s">
        <v>3996</v>
      </c>
      <c r="D639" s="32" t="s">
        <v>20</v>
      </c>
      <c r="E639" s="32" t="s">
        <v>86</v>
      </c>
      <c r="F639" s="32" t="s">
        <v>87</v>
      </c>
      <c r="G639" s="387"/>
      <c r="H639" s="36"/>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15"/>
      <c r="D640" s="15"/>
      <c r="E640" s="32" t="s">
        <v>88</v>
      </c>
      <c r="F640" s="32" t="s">
        <v>89</v>
      </c>
      <c r="G640" s="387"/>
      <c r="H640" s="36"/>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15"/>
      <c r="D641" s="15"/>
      <c r="E641" s="32" t="s">
        <v>397</v>
      </c>
      <c r="F641" s="32" t="s">
        <v>397</v>
      </c>
      <c r="G641" s="430" t="str">
        <f>HYPERLINK("https://docs.google.com/spreadsheets/d/1AInFGeqKZiU5Gl0wBLv4dgVQPzNE1j9GJ3sdhlTjxRU/edit#gid=1911490791", "https://docs.google.com/spreadsheets/d/1AInFGeqKZiU5Gl0wBLv4dgVQPzNE1j9GJ3sdhlTjxRU/edit#gid=1911490791")</f>
        <v>https://docs.google.com/spreadsheets/d/1AInFGeqKZiU5Gl0wBLv4dgVQPzNE1j9GJ3sdhlTjxRU/edit#gid=1911490791</v>
      </c>
      <c r="H641" s="35" t="s">
        <v>3997</v>
      </c>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15"/>
      <c r="D642" s="15"/>
      <c r="E642" s="32" t="s">
        <v>397</v>
      </c>
      <c r="F642" s="32" t="s">
        <v>924</v>
      </c>
      <c r="G642" s="387"/>
      <c r="H642" s="36"/>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15"/>
      <c r="D643" s="15"/>
      <c r="E643" s="32" t="s">
        <v>86</v>
      </c>
      <c r="F643" s="32" t="s">
        <v>92</v>
      </c>
      <c r="G643" s="430" t="str">
        <f>HYPERLINK("https://docs.google.com/spreadsheets/d/1AInFGeqKZiU5Gl0wBLv4dgVQPzNE1j9GJ3sdhlTjxRU/edit#gid=190063209", "https://docs.google.com/spreadsheets/d/1AInFGeqKZiU5Gl0wBLv4dgVQPzNE1j9GJ3sdhlTjxRU/edit#gid=190063209")</f>
        <v>https://docs.google.com/spreadsheets/d/1AInFGeqKZiU5Gl0wBLv4dgVQPzNE1j9GJ3sdhlTjxRU/edit#gid=190063209</v>
      </c>
      <c r="H643" s="35" t="s">
        <v>92</v>
      </c>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15"/>
      <c r="D644" s="15"/>
      <c r="E644" s="32" t="s">
        <v>86</v>
      </c>
      <c r="F644" s="32" t="s">
        <v>748</v>
      </c>
      <c r="G644" s="430" t="str">
        <f>HYPERLINK("https://docs.google.com/spreadsheets/d/1AInFGeqKZiU5Gl0wBLv4dgVQPzNE1j9GJ3sdhlTjxRU/edit#gid=41916929", "https://docs.google.com/spreadsheets/d/1AInFGeqKZiU5Gl0wBLv4dgVQPzNE1j9GJ3sdhlTjxRU/edit#gid=41916929")</f>
        <v>https://docs.google.com/spreadsheets/d/1AInFGeqKZiU5Gl0wBLv4dgVQPzNE1j9GJ3sdhlTjxRU/edit#gid=41916929</v>
      </c>
      <c r="H644" s="32" t="s">
        <v>748</v>
      </c>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15"/>
      <c r="D645" s="15"/>
      <c r="E645" s="32" t="s">
        <v>86</v>
      </c>
      <c r="F645" s="32" t="s">
        <v>94</v>
      </c>
      <c r="G645" s="430" t="str">
        <f>HYPERLINK("https://docs.google.com/spreadsheets/d/1AInFGeqKZiU5Gl0wBLv4dgVQPzNE1j9GJ3sdhlTjxRU/edit#gid=1873710335", "https://docs.google.com/spreadsheets/d/1AInFGeqKZiU5Gl0wBLv4dgVQPzNE1j9GJ3sdhlTjxRU/edit#gid=1873710335")</f>
        <v>https://docs.google.com/spreadsheets/d/1AInFGeqKZiU5Gl0wBLv4dgVQPzNE1j9GJ3sdhlTjxRU/edit#gid=1873710335</v>
      </c>
      <c r="H645" s="32" t="s">
        <v>94</v>
      </c>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15"/>
      <c r="C646" s="21"/>
      <c r="D646" s="15"/>
      <c r="E646" s="15"/>
      <c r="F646" s="15"/>
      <c r="G646" s="387"/>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32"/>
      <c r="C647" s="21"/>
      <c r="D647" s="32"/>
      <c r="E647" s="32"/>
      <c r="F647" s="32"/>
      <c r="G647" s="387"/>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32" t="s">
        <v>3998</v>
      </c>
      <c r="C648" s="66" t="s">
        <v>3999</v>
      </c>
      <c r="D648" s="32" t="s">
        <v>20</v>
      </c>
      <c r="E648" s="32" t="s">
        <v>86</v>
      </c>
      <c r="F648" s="32" t="s">
        <v>87</v>
      </c>
      <c r="G648" s="387"/>
      <c r="H648" s="36"/>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15"/>
      <c r="D649" s="15"/>
      <c r="E649" s="32" t="s">
        <v>88</v>
      </c>
      <c r="F649" s="32" t="s">
        <v>89</v>
      </c>
      <c r="G649" s="387"/>
      <c r="H649" s="36"/>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15"/>
      <c r="D650" s="15"/>
      <c r="E650" s="32" t="s">
        <v>21</v>
      </c>
      <c r="F650" s="32" t="s">
        <v>51</v>
      </c>
      <c r="G650" s="430" t="str">
        <f>HYPERLINK("https://docs.google.com/spreadsheets/d/1IgmN48S312TWsdgiXMUtHgrSe-5oYXZ_hA0cib6qVTs/edit#gid=1840490297", "https://docs.google.com/spreadsheets/d/1IgmN48S312TWsdgiXMUtHgrSe-5oYXZ_hA0cib6qVTs/edit#gid=1840490297")</f>
        <v>https://docs.google.com/spreadsheets/d/1IgmN48S312TWsdgiXMUtHgrSe-5oYXZ_hA0cib6qVTs/edit#gid=1840490297</v>
      </c>
      <c r="H650" s="32" t="s">
        <v>51</v>
      </c>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15"/>
      <c r="D651" s="15"/>
      <c r="E651" s="32" t="s">
        <v>88</v>
      </c>
      <c r="F651" s="32" t="s">
        <v>95</v>
      </c>
      <c r="G651" s="430" t="str">
        <f>HYPERLINK("https://docs.google.com/spreadsheets/d/1IgmN48S312TWsdgiXMUtHgrSe-5oYXZ_hA0cib6qVTs/edit#gid=1641777384", "https://docs.google.com/spreadsheets/d/1IgmN48S312TWsdgiXMUtHgrSe-5oYXZ_hA0cib6qVTs/edit#gid=1641777384")</f>
        <v>https://docs.google.com/spreadsheets/d/1IgmN48S312TWsdgiXMUtHgrSe-5oYXZ_hA0cib6qVTs/edit#gid=1641777384</v>
      </c>
      <c r="H651" s="32" t="s">
        <v>95</v>
      </c>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15"/>
      <c r="D652" s="15"/>
      <c r="E652" s="32" t="s">
        <v>88</v>
      </c>
      <c r="F652" s="32" t="s">
        <v>125</v>
      </c>
      <c r="G652" s="430" t="str">
        <f>HYPERLINK("https://docs.google.com/spreadsheets/d/1IgmN48S312TWsdgiXMUtHgrSe-5oYXZ_hA0cib6qVTs/edit#gid=407374755", "https://docs.google.com/spreadsheets/d/1IgmN48S312TWsdgiXMUtHgrSe-5oYXZ_hA0cib6qVTs/edit#gid=407374755")</f>
        <v>https://docs.google.com/spreadsheets/d/1IgmN48S312TWsdgiXMUtHgrSe-5oYXZ_hA0cib6qVTs/edit#gid=407374755</v>
      </c>
      <c r="H652" s="32" t="s">
        <v>125</v>
      </c>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15"/>
      <c r="D653" s="15"/>
      <c r="E653" s="32" t="s">
        <v>88</v>
      </c>
      <c r="F653" s="32" t="s">
        <v>307</v>
      </c>
      <c r="G653" s="430" t="str">
        <f>HYPERLINK("https://docs.google.com/spreadsheets/d/1IgmN48S312TWsdgiXMUtHgrSe-5oYXZ_hA0cib6qVTs/edit#gid=1575718870", "https://docs.google.com/spreadsheets/d/1IgmN48S312TWsdgiXMUtHgrSe-5oYXZ_hA0cib6qVTs/edit#gid=1575718870")</f>
        <v>https://docs.google.com/spreadsheets/d/1IgmN48S312TWsdgiXMUtHgrSe-5oYXZ_hA0cib6qVTs/edit#gid=1575718870</v>
      </c>
      <c r="H653" s="32" t="s">
        <v>307</v>
      </c>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15"/>
      <c r="D654" s="15"/>
      <c r="E654" s="32" t="s">
        <v>86</v>
      </c>
      <c r="F654" s="32" t="s">
        <v>90</v>
      </c>
      <c r="G654" s="430" t="str">
        <f>HYPERLINK("https://docs.google.com/spreadsheets/d/1IgmN48S312TWsdgiXMUtHgrSe-5oYXZ_hA0cib6qVTs/edit#gid=1355541200", "https://docs.google.com/spreadsheets/d/1IgmN48S312TWsdgiXMUtHgrSe-5oYXZ_hA0cib6qVTs/edit#gid=1355541200")</f>
        <v>https://docs.google.com/spreadsheets/d/1IgmN48S312TWsdgiXMUtHgrSe-5oYXZ_hA0cib6qVTs/edit#gid=1355541200</v>
      </c>
      <c r="H654" s="32" t="s">
        <v>90</v>
      </c>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15"/>
      <c r="D655" s="15"/>
      <c r="E655" s="32" t="s">
        <v>86</v>
      </c>
      <c r="F655" s="32" t="s">
        <v>92</v>
      </c>
      <c r="G655" s="430" t="str">
        <f>HYPERLINK("https://docs.google.com/spreadsheets/d/1IgmN48S312TWsdgiXMUtHgrSe-5oYXZ_hA0cib6qVTs/edit#gid=1075149548", "https://docs.google.com/spreadsheets/d/1IgmN48S312TWsdgiXMUtHgrSe-5oYXZ_hA0cib6qVTs/edit#gid=1075149548")</f>
        <v>https://docs.google.com/spreadsheets/d/1IgmN48S312TWsdgiXMUtHgrSe-5oYXZ_hA0cib6qVTs/edit#gid=1075149548</v>
      </c>
      <c r="H655" s="32" t="s">
        <v>92</v>
      </c>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15"/>
      <c r="D656" s="15"/>
      <c r="E656" s="32" t="s">
        <v>86</v>
      </c>
      <c r="F656" s="32" t="s">
        <v>593</v>
      </c>
      <c r="G656" s="430" t="str">
        <f>HYPERLINK("https://docs.google.com/spreadsheets/d/1IgmN48S312TWsdgiXMUtHgrSe-5oYXZ_hA0cib6qVTs/edit#gid=1797775928", "https://docs.google.com/spreadsheets/d/1IgmN48S312TWsdgiXMUtHgrSe-5oYXZ_hA0cib6qVTs/edit#gid=1797775928")</f>
        <v>https://docs.google.com/spreadsheets/d/1IgmN48S312TWsdgiXMUtHgrSe-5oYXZ_hA0cib6qVTs/edit#gid=1797775928</v>
      </c>
      <c r="H656" s="32" t="s">
        <v>593</v>
      </c>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15"/>
      <c r="D657" s="15"/>
      <c r="E657" s="32" t="s">
        <v>86</v>
      </c>
      <c r="F657" s="32" t="s">
        <v>94</v>
      </c>
      <c r="G657" s="430" t="str">
        <f>HYPERLINK("https://docs.google.com/spreadsheets/d/1IgmN48S312TWsdgiXMUtHgrSe-5oYXZ_hA0cib6qVTs/edit#gid=2092174933", "https://docs.google.com/spreadsheets/d/1IgmN48S312TWsdgiXMUtHgrSe-5oYXZ_hA0cib6qVTs/edit#gid=2092174933")</f>
        <v>https://docs.google.com/spreadsheets/d/1IgmN48S312TWsdgiXMUtHgrSe-5oYXZ_hA0cib6qVTs/edit#gid=2092174933</v>
      </c>
      <c r="H657" s="32" t="s">
        <v>94</v>
      </c>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15"/>
      <c r="D658" s="15"/>
      <c r="E658" s="32" t="s">
        <v>88</v>
      </c>
      <c r="F658" s="32" t="s">
        <v>96</v>
      </c>
      <c r="G658" s="430" t="str">
        <f>HYPERLINK("https://docs.google.com/spreadsheets/d/1IgmN48S312TWsdgiXMUtHgrSe-5oYXZ_hA0cib6qVTs/edit#gid=1734060204", "https://docs.google.com/spreadsheets/d/1IgmN48S312TWsdgiXMUtHgrSe-5oYXZ_hA0cib6qVTs/edit#gid=1734060204")</f>
        <v>https://docs.google.com/spreadsheets/d/1IgmN48S312TWsdgiXMUtHgrSe-5oYXZ_hA0cib6qVTs/edit#gid=1734060204</v>
      </c>
      <c r="H658" s="32" t="s">
        <v>96</v>
      </c>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15"/>
      <c r="C659" s="21"/>
      <c r="D659" s="15"/>
      <c r="E659" s="15"/>
      <c r="F659" s="15"/>
      <c r="G659" s="387"/>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32" t="s">
        <v>4000</v>
      </c>
      <c r="C660" s="66" t="s">
        <v>4001</v>
      </c>
      <c r="D660" s="32" t="s">
        <v>20</v>
      </c>
      <c r="E660" s="32" t="s">
        <v>86</v>
      </c>
      <c r="F660" s="32" t="s">
        <v>87</v>
      </c>
      <c r="G660" s="387"/>
      <c r="H660" s="36"/>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15"/>
      <c r="C661" s="21"/>
      <c r="D661" s="15"/>
      <c r="E661" s="32" t="s">
        <v>88</v>
      </c>
      <c r="F661" s="32" t="s">
        <v>89</v>
      </c>
      <c r="G661" s="387"/>
      <c r="H661" s="36"/>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15"/>
      <c r="C662" s="21"/>
      <c r="D662" s="15"/>
      <c r="E662" s="32" t="s">
        <v>21</v>
      </c>
      <c r="F662" s="32" t="s">
        <v>51</v>
      </c>
      <c r="G662" s="430" t="str">
        <f>HYPERLINK("https://docs.google.com/spreadsheets/d/1loR7esKLt9QOXvn8iwAXc2YTMexGF7UjIldTYAc_u-g/edit#gid=1674499067", "https://docs.google.com/spreadsheets/d/1loR7esKLt9QOXvn8iwAXc2YTMexGF7UjIldTYAc_u-g/edit#gid=1674499067")</f>
        <v>https://docs.google.com/spreadsheets/d/1loR7esKLt9QOXvn8iwAXc2YTMexGF7UjIldTYAc_u-g/edit#gid=1674499067</v>
      </c>
      <c r="H662" s="32" t="s">
        <v>51</v>
      </c>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15"/>
      <c r="C663" s="21"/>
      <c r="D663" s="15"/>
      <c r="E663" s="32" t="s">
        <v>88</v>
      </c>
      <c r="F663" s="32" t="s">
        <v>95</v>
      </c>
      <c r="G663" s="430" t="str">
        <f>HYPERLINK("https://docs.google.com/spreadsheets/d/1loR7esKLt9QOXvn8iwAXc2YTMexGF7UjIldTYAc_u-g/edit#gid=1577800372", "https://docs.google.com/spreadsheets/d/1loR7esKLt9QOXvn8iwAXc2YTMexGF7UjIldTYAc_u-g/edit#gid=1577800372")</f>
        <v>https://docs.google.com/spreadsheets/d/1loR7esKLt9QOXvn8iwAXc2YTMexGF7UjIldTYAc_u-g/edit#gid=1577800372</v>
      </c>
      <c r="H663" s="32" t="s">
        <v>95</v>
      </c>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15"/>
      <c r="C664" s="21"/>
      <c r="D664" s="15"/>
      <c r="E664" s="32" t="s">
        <v>88</v>
      </c>
      <c r="F664" s="32" t="s">
        <v>125</v>
      </c>
      <c r="G664" s="430" t="str">
        <f>HYPERLINK("https://docs.google.com/spreadsheets/d/1loR7esKLt9QOXvn8iwAXc2YTMexGF7UjIldTYAc_u-g/edit#gid=1072403014", "https://docs.google.com/spreadsheets/d/1loR7esKLt9QOXvn8iwAXc2YTMexGF7UjIldTYAc_u-g/edit#gid=1072403014")</f>
        <v>https://docs.google.com/spreadsheets/d/1loR7esKLt9QOXvn8iwAXc2YTMexGF7UjIldTYAc_u-g/edit#gid=1072403014</v>
      </c>
      <c r="H664" s="32" t="s">
        <v>125</v>
      </c>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15"/>
      <c r="C665" s="21"/>
      <c r="D665" s="15"/>
      <c r="E665" s="32" t="s">
        <v>88</v>
      </c>
      <c r="F665" s="32" t="s">
        <v>307</v>
      </c>
      <c r="G665" s="430" t="str">
        <f>HYPERLINK("https://docs.google.com/spreadsheets/d/1loR7esKLt9QOXvn8iwAXc2YTMexGF7UjIldTYAc_u-g/edit#gid=1540223148", "https://docs.google.com/spreadsheets/d/1loR7esKLt9QOXvn8iwAXc2YTMexGF7UjIldTYAc_u-g/edit#gid=1540223148")</f>
        <v>https://docs.google.com/spreadsheets/d/1loR7esKLt9QOXvn8iwAXc2YTMexGF7UjIldTYAc_u-g/edit#gid=1540223148</v>
      </c>
      <c r="H665" s="32" t="s">
        <v>307</v>
      </c>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15"/>
      <c r="C666" s="21"/>
      <c r="D666" s="15"/>
      <c r="E666" s="32" t="s">
        <v>86</v>
      </c>
      <c r="F666" s="32" t="s">
        <v>90</v>
      </c>
      <c r="G666" s="430" t="str">
        <f>HYPERLINK("https://docs.google.com/spreadsheets/d/1loR7esKLt9QOXvn8iwAXc2YTMexGF7UjIldTYAc_u-g/edit#gid=640216245", "https://docs.google.com/spreadsheets/d/1loR7esKLt9QOXvn8iwAXc2YTMexGF7UjIldTYAc_u-g/edit#gid=640216245")</f>
        <v>https://docs.google.com/spreadsheets/d/1loR7esKLt9QOXvn8iwAXc2YTMexGF7UjIldTYAc_u-g/edit#gid=640216245</v>
      </c>
      <c r="H666" s="32" t="s">
        <v>90</v>
      </c>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15"/>
      <c r="C667" s="21"/>
      <c r="D667" s="15"/>
      <c r="E667" s="32" t="s">
        <v>86</v>
      </c>
      <c r="F667" s="32" t="s">
        <v>92</v>
      </c>
      <c r="G667" s="430" t="str">
        <f>HYPERLINK("https://docs.google.com/spreadsheets/d/1loR7esKLt9QOXvn8iwAXc2YTMexGF7UjIldTYAc_u-g/edit#gid=1205272178", "https://docs.google.com/spreadsheets/d/1loR7esKLt9QOXvn8iwAXc2YTMexGF7UjIldTYAc_u-g/edit#gid=1205272178")</f>
        <v>https://docs.google.com/spreadsheets/d/1loR7esKLt9QOXvn8iwAXc2YTMexGF7UjIldTYAc_u-g/edit#gid=1205272178</v>
      </c>
      <c r="H667" s="32" t="s">
        <v>92</v>
      </c>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15"/>
      <c r="C668" s="21"/>
      <c r="D668" s="15"/>
      <c r="E668" s="32" t="s">
        <v>86</v>
      </c>
      <c r="F668" s="32" t="s">
        <v>759</v>
      </c>
      <c r="G668" s="430" t="str">
        <f>HYPERLINK("https://docs.google.com/spreadsheets/d/1loR7esKLt9QOXvn8iwAXc2YTMexGF7UjIldTYAc_u-g/edit#gid=31770690", "https://docs.google.com/spreadsheets/d/1loR7esKLt9QOXvn8iwAXc2YTMexGF7UjIldTYAc_u-g/edit#gid=31770690")</f>
        <v>https://docs.google.com/spreadsheets/d/1loR7esKLt9QOXvn8iwAXc2YTMexGF7UjIldTYAc_u-g/edit#gid=31770690</v>
      </c>
      <c r="H668" s="32" t="s">
        <v>759</v>
      </c>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15"/>
      <c r="C669" s="21"/>
      <c r="D669" s="15"/>
      <c r="E669" s="32" t="s">
        <v>88</v>
      </c>
      <c r="F669" s="32" t="s">
        <v>95</v>
      </c>
      <c r="G669" s="430" t="str">
        <f>HYPERLINK("https://docs.google.com/spreadsheets/d/1loR7esKLt9QOXvn8iwAXc2YTMexGF7UjIldTYAc_u-g/edit#gid=1577800372", "https://docs.google.com/spreadsheets/d/1loR7esKLt9QOXvn8iwAXc2YTMexGF7UjIldTYAc_u-g/edit#gid=1577800372")</f>
        <v>https://docs.google.com/spreadsheets/d/1loR7esKLt9QOXvn8iwAXc2YTMexGF7UjIldTYAc_u-g/edit#gid=1577800372</v>
      </c>
      <c r="H669" s="32" t="s">
        <v>95</v>
      </c>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15"/>
      <c r="C670" s="21"/>
      <c r="D670" s="32"/>
      <c r="E670" s="32" t="s">
        <v>88</v>
      </c>
      <c r="F670" s="32" t="s">
        <v>96</v>
      </c>
      <c r="G670" s="430" t="str">
        <f>HYPERLINK("https://docs.google.com/spreadsheets/d/1loR7esKLt9QOXvn8iwAXc2YTMexGF7UjIldTYAc_u-g/edit#gid=467624675", "https://docs.google.com/spreadsheets/d/1loR7esKLt9QOXvn8iwAXc2YTMexGF7UjIldTYAc_u-g/edit#gid=467624675")</f>
        <v>https://docs.google.com/spreadsheets/d/1loR7esKLt9QOXvn8iwAXc2YTMexGF7UjIldTYAc_u-g/edit#gid=467624675</v>
      </c>
      <c r="H670" s="32" t="s">
        <v>96</v>
      </c>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15"/>
      <c r="C671" s="21"/>
      <c r="D671" s="15"/>
      <c r="E671" s="15"/>
      <c r="F671" s="15"/>
      <c r="G671" s="387"/>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32" t="s">
        <v>4002</v>
      </c>
      <c r="C672" s="66" t="s">
        <v>4003</v>
      </c>
      <c r="D672" s="32" t="s">
        <v>20</v>
      </c>
      <c r="E672" s="32" t="s">
        <v>86</v>
      </c>
      <c r="F672" s="32" t="s">
        <v>87</v>
      </c>
      <c r="G672" s="387"/>
      <c r="H672" s="36"/>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15"/>
      <c r="D673" s="15"/>
      <c r="E673" s="32" t="s">
        <v>88</v>
      </c>
      <c r="F673" s="32" t="s">
        <v>89</v>
      </c>
      <c r="G673" s="387"/>
      <c r="H673" s="36"/>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15"/>
      <c r="D674" s="15"/>
      <c r="E674" s="32" t="s">
        <v>21</v>
      </c>
      <c r="F674" s="32" t="s">
        <v>51</v>
      </c>
      <c r="G674" s="430" t="str">
        <f>HYPERLINK("https://docs.google.com/spreadsheets/d/1zXVotjnbQo5mtdZtJDItHeSrS3ee-_P5mkNj8Hlv7nA/edit#gid=1088195585", "https://docs.google.com/spreadsheets/d/1zXVotjnbQo5mtdZtJDItHeSrS3ee-_P5mkNj8Hlv7nA/edit#gid=1088195585")</f>
        <v>https://docs.google.com/spreadsheets/d/1zXVotjnbQo5mtdZtJDItHeSrS3ee-_P5mkNj8Hlv7nA/edit#gid=1088195585</v>
      </c>
      <c r="H674" s="32" t="s">
        <v>51</v>
      </c>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15"/>
      <c r="D675" s="15"/>
      <c r="E675" s="32" t="s">
        <v>86</v>
      </c>
      <c r="F675" s="32" t="s">
        <v>92</v>
      </c>
      <c r="G675" s="430" t="str">
        <f>HYPERLINK("https://docs.google.com/spreadsheets/d/1zXVotjnbQo5mtdZtJDItHeSrS3ee-_P5mkNj8Hlv7nA/edit#gid=1181264149", "https://docs.google.com/spreadsheets/d/1zXVotjnbQo5mtdZtJDItHeSrS3ee-_P5mkNj8Hlv7nA/edit#gid=1181264149")</f>
        <v>https://docs.google.com/spreadsheets/d/1zXVotjnbQo5mtdZtJDItHeSrS3ee-_P5mkNj8Hlv7nA/edit#gid=1181264149</v>
      </c>
      <c r="H675" s="32" t="s">
        <v>92</v>
      </c>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15"/>
      <c r="D676" s="15"/>
      <c r="E676" s="32" t="s">
        <v>86</v>
      </c>
      <c r="F676" s="32" t="s">
        <v>358</v>
      </c>
      <c r="G676" s="430" t="str">
        <f>HYPERLINK("https://docs.google.com/spreadsheets/d/1zXVotjnbQo5mtdZtJDItHeSrS3ee-_P5mkNj8Hlv7nA/edit#gid=517186194", "https://docs.google.com/spreadsheets/d/1zXVotjnbQo5mtdZtJDItHeSrS3ee-_P5mkNj8Hlv7nA/edit#gid=517186194")</f>
        <v>https://docs.google.com/spreadsheets/d/1zXVotjnbQo5mtdZtJDItHeSrS3ee-_P5mkNj8Hlv7nA/edit#gid=517186194</v>
      </c>
      <c r="H676" s="32" t="s">
        <v>358</v>
      </c>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15"/>
      <c r="D677" s="15"/>
      <c r="E677" s="32" t="s">
        <v>86</v>
      </c>
      <c r="F677" s="32" t="s">
        <v>739</v>
      </c>
      <c r="G677" s="430" t="str">
        <f>HYPERLINK("https://docs.google.com/spreadsheets/d/1zXVotjnbQo5mtdZtJDItHeSrS3ee-_P5mkNj8Hlv7nA/edit#gid=210804643", "https://docs.google.com/spreadsheets/d/1zXVotjnbQo5mtdZtJDItHeSrS3ee-_P5mkNj8Hlv7nA/edit#gid=210804643")</f>
        <v>https://docs.google.com/spreadsheets/d/1zXVotjnbQo5mtdZtJDItHeSrS3ee-_P5mkNj8Hlv7nA/edit#gid=210804643</v>
      </c>
      <c r="H677" s="32" t="s">
        <v>739</v>
      </c>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15"/>
      <c r="D678" s="15"/>
      <c r="E678" s="32" t="s">
        <v>86</v>
      </c>
      <c r="F678" s="32" t="s">
        <v>353</v>
      </c>
      <c r="G678" s="430" t="str">
        <f>HYPERLINK("https://docs.google.com/spreadsheets/d/1zXVotjnbQo5mtdZtJDItHeSrS3ee-_P5mkNj8Hlv7nA/edit#gid=1799084747", "https://docs.google.com/spreadsheets/d/1zXVotjnbQo5mtdZtJDItHeSrS3ee-_P5mkNj8Hlv7nA/edit#gid=1799084747")</f>
        <v>https://docs.google.com/spreadsheets/d/1zXVotjnbQo5mtdZtJDItHeSrS3ee-_P5mkNj8Hlv7nA/edit#gid=1799084747</v>
      </c>
      <c r="H678" s="32" t="s">
        <v>353</v>
      </c>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15"/>
      <c r="D679" s="15"/>
      <c r="E679" s="32" t="s">
        <v>86</v>
      </c>
      <c r="F679" s="32" t="s">
        <v>97</v>
      </c>
      <c r="G679" s="430" t="str">
        <f>HYPERLINK("https://docs.google.com/spreadsheets/d/1zXVotjnbQo5mtdZtJDItHeSrS3ee-_P5mkNj8Hlv7nA/edit#gid=382719785", "https://docs.google.com/spreadsheets/d/1zXVotjnbQo5mtdZtJDItHeSrS3ee-_P5mkNj8Hlv7nA/edit#gid=382719785")</f>
        <v>https://docs.google.com/spreadsheets/d/1zXVotjnbQo5mtdZtJDItHeSrS3ee-_P5mkNj8Hlv7nA/edit#gid=382719785</v>
      </c>
      <c r="H679" s="32" t="s">
        <v>97</v>
      </c>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15"/>
      <c r="C680" s="21"/>
      <c r="D680" s="15"/>
      <c r="E680" s="15"/>
      <c r="F680" s="15"/>
      <c r="G680" s="387"/>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15"/>
      <c r="C681" s="21"/>
      <c r="D681" s="15"/>
      <c r="E681" s="15"/>
      <c r="F681" s="15"/>
      <c r="G681" s="387"/>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15"/>
      <c r="C682" s="21"/>
      <c r="D682" s="15"/>
      <c r="E682" s="15"/>
      <c r="F682" s="15"/>
      <c r="G682" s="387"/>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15"/>
      <c r="C683" s="21"/>
      <c r="D683" s="15"/>
      <c r="E683" s="15"/>
      <c r="F683" s="15"/>
      <c r="G683" s="387"/>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32" t="s">
        <v>4004</v>
      </c>
      <c r="C684" s="66" t="s">
        <v>4005</v>
      </c>
      <c r="D684" s="32" t="s">
        <v>20</v>
      </c>
      <c r="E684" s="32" t="s">
        <v>86</v>
      </c>
      <c r="F684" s="32" t="s">
        <v>87</v>
      </c>
      <c r="G684" s="387"/>
      <c r="H684" s="36"/>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15"/>
      <c r="C685" s="21"/>
      <c r="D685" s="15"/>
      <c r="E685" s="32" t="s">
        <v>88</v>
      </c>
      <c r="F685" s="32" t="s">
        <v>89</v>
      </c>
      <c r="G685" s="387"/>
      <c r="H685" s="36"/>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15"/>
      <c r="C686" s="21"/>
      <c r="D686" s="15"/>
      <c r="E686" s="32" t="s">
        <v>86</v>
      </c>
      <c r="F686" s="32" t="s">
        <v>922</v>
      </c>
      <c r="G686" s="430" t="str">
        <f>HYPERLINK("https://docs.google.com/spreadsheets/d/1v0oY6TVaS7hE-B-9qME9n802_ipguok5DdZGFuMbgTc/edit#gid=2110065748", "https://docs.google.com/spreadsheets/d/1v0oY6TVaS7hE-B-9qME9n802_ipguok5DdZGFuMbgTc/edit#gid=2110065748")</f>
        <v>https://docs.google.com/spreadsheets/d/1v0oY6TVaS7hE-B-9qME9n802_ipguok5DdZGFuMbgTc/edit#gid=2110065748</v>
      </c>
      <c r="H686" s="32" t="s">
        <v>922</v>
      </c>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15"/>
      <c r="C687" s="21"/>
      <c r="D687" s="15"/>
      <c r="E687" s="32" t="s">
        <v>21</v>
      </c>
      <c r="F687" s="32" t="s">
        <v>51</v>
      </c>
      <c r="G687" s="430" t="str">
        <f>HYPERLINK("https://docs.google.com/spreadsheets/d/1v0oY6TVaS7hE-B-9qME9n802_ipguok5DdZGFuMbgTc/edit#gid=336539593", "https://docs.google.com/spreadsheets/d/1v0oY6TVaS7hE-B-9qME9n802_ipguok5DdZGFuMbgTc/edit#gid=336539593")</f>
        <v>https://docs.google.com/spreadsheets/d/1v0oY6TVaS7hE-B-9qME9n802_ipguok5DdZGFuMbgTc/edit#gid=336539593</v>
      </c>
      <c r="H687" s="32" t="s">
        <v>51</v>
      </c>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15"/>
      <c r="C688" s="21"/>
      <c r="D688" s="15"/>
      <c r="E688" s="32" t="s">
        <v>86</v>
      </c>
      <c r="F688" s="32" t="s">
        <v>90</v>
      </c>
      <c r="G688" s="430" t="str">
        <f>HYPERLINK("https://docs.google.com/spreadsheets/d/1v0oY6TVaS7hE-B-9qME9n802_ipguok5DdZGFuMbgTc/edit#gid=629681480", "https://docs.google.com/spreadsheets/d/1v0oY6TVaS7hE-B-9qME9n802_ipguok5DdZGFuMbgTc/edit#gid=629681480")</f>
        <v>https://docs.google.com/spreadsheets/d/1v0oY6TVaS7hE-B-9qME9n802_ipguok5DdZGFuMbgTc/edit#gid=629681480</v>
      </c>
      <c r="H688" s="32" t="s">
        <v>90</v>
      </c>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15"/>
      <c r="C689" s="21"/>
      <c r="D689" s="15"/>
      <c r="E689" s="32" t="s">
        <v>86</v>
      </c>
      <c r="F689" s="32" t="s">
        <v>92</v>
      </c>
      <c r="G689" s="430" t="str">
        <f>HYPERLINK("https://docs.google.com/spreadsheets/d/1v0oY6TVaS7hE-B-9qME9n802_ipguok5DdZGFuMbgTc/edit#gid=1229626918", "https://docs.google.com/spreadsheets/d/1v0oY6TVaS7hE-B-9qME9n802_ipguok5DdZGFuMbgTc/edit#gid=1229626918")</f>
        <v>https://docs.google.com/spreadsheets/d/1v0oY6TVaS7hE-B-9qME9n802_ipguok5DdZGFuMbgTc/edit#gid=1229626918</v>
      </c>
      <c r="H689" s="32" t="s">
        <v>92</v>
      </c>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15"/>
      <c r="C690" s="21"/>
      <c r="D690" s="15"/>
      <c r="E690" s="32" t="s">
        <v>86</v>
      </c>
      <c r="F690" s="32" t="s">
        <v>358</v>
      </c>
      <c r="G690" s="430" t="str">
        <f>HYPERLINK("https://docs.google.com/spreadsheets/d/1v0oY6TVaS7hE-B-9qME9n802_ipguok5DdZGFuMbgTc/edit#gid=430337870", "https://docs.google.com/spreadsheets/d/1v0oY6TVaS7hE-B-9qME9n802_ipguok5DdZGFuMbgTc/edit#gid=430337870")</f>
        <v>https://docs.google.com/spreadsheets/d/1v0oY6TVaS7hE-B-9qME9n802_ipguok5DdZGFuMbgTc/edit#gid=430337870</v>
      </c>
      <c r="H690" s="32" t="s">
        <v>358</v>
      </c>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15"/>
      <c r="C691" s="21"/>
      <c r="D691" s="15"/>
      <c r="E691" s="32" t="s">
        <v>86</v>
      </c>
      <c r="F691" s="32" t="s">
        <v>94</v>
      </c>
      <c r="G691" s="430" t="str">
        <f>HYPERLINK("https://docs.google.com/spreadsheets/d/1v0oY6TVaS7hE-B-9qME9n802_ipguok5DdZGFuMbgTc/edit#gid=1767906241", "https://docs.google.com/spreadsheets/d/1v0oY6TVaS7hE-B-9qME9n802_ipguok5DdZGFuMbgTc/edit#gid=1767906241")</f>
        <v>https://docs.google.com/spreadsheets/d/1v0oY6TVaS7hE-B-9qME9n802_ipguok5DdZGFuMbgTc/edit#gid=1767906241</v>
      </c>
      <c r="H691" s="32" t="s">
        <v>94</v>
      </c>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15"/>
      <c r="C692" s="21"/>
      <c r="D692" s="15"/>
      <c r="E692" s="32" t="s">
        <v>88</v>
      </c>
      <c r="F692" s="32" t="s">
        <v>95</v>
      </c>
      <c r="G692" s="430" t="str">
        <f>HYPERLINK("https://docs.google.com/spreadsheets/d/1v0oY6TVaS7hE-B-9qME9n802_ipguok5DdZGFuMbgTc/edit#gid=1265118852", "https://docs.google.com/spreadsheets/d/1v0oY6TVaS7hE-B-9qME9n802_ipguok5DdZGFuMbgTc/edit#gid=1265118852")</f>
        <v>https://docs.google.com/spreadsheets/d/1v0oY6TVaS7hE-B-9qME9n802_ipguok5DdZGFuMbgTc/edit#gid=1265118852</v>
      </c>
      <c r="H692" s="32" t="s">
        <v>95</v>
      </c>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15"/>
      <c r="C693" s="21"/>
      <c r="D693" s="15"/>
      <c r="E693" s="32" t="s">
        <v>88</v>
      </c>
      <c r="F693" s="32" t="s">
        <v>96</v>
      </c>
      <c r="G693" s="430" t="str">
        <f>HYPERLINK("https://docs.google.com/spreadsheets/d/1v0oY6TVaS7hE-B-9qME9n802_ipguok5DdZGFuMbgTc/edit#gid=1408608853", "https://docs.google.com/spreadsheets/d/1v0oY6TVaS7hE-B-9qME9n802_ipguok5DdZGFuMbgTc/edit#gid=1408608853")</f>
        <v>https://docs.google.com/spreadsheets/d/1v0oY6TVaS7hE-B-9qME9n802_ipguok5DdZGFuMbgTc/edit#gid=1408608853</v>
      </c>
      <c r="H693" s="32" t="s">
        <v>96</v>
      </c>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15"/>
      <c r="C694" s="21"/>
      <c r="D694" s="15"/>
      <c r="E694" s="32" t="s">
        <v>86</v>
      </c>
      <c r="F694" s="32" t="s">
        <v>97</v>
      </c>
      <c r="G694" s="430" t="str">
        <f>HYPERLINK("https://docs.google.com/spreadsheets/d/1v0oY6TVaS7hE-B-9qME9n802_ipguok5DdZGFuMbgTc/edit#gid=863518579", "https://docs.google.com/spreadsheets/d/1v0oY6TVaS7hE-B-9qME9n802_ipguok5DdZGFuMbgTc/edit#gid=863518579")</f>
        <v>https://docs.google.com/spreadsheets/d/1v0oY6TVaS7hE-B-9qME9n802_ipguok5DdZGFuMbgTc/edit#gid=863518579</v>
      </c>
      <c r="H694" s="32" t="s">
        <v>97</v>
      </c>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15"/>
      <c r="C695" s="21"/>
      <c r="D695" s="15"/>
      <c r="E695" s="32" t="s">
        <v>86</v>
      </c>
      <c r="F695" s="32" t="s">
        <v>922</v>
      </c>
      <c r="G695" s="430" t="str">
        <f>HYPERLINK("https://docs.google.com/spreadsheets/d/1v0oY6TVaS7hE-B-9qME9n802_ipguok5DdZGFuMbgTc/edit#gid=886532061", "https://docs.google.com/spreadsheets/d/1v0oY6TVaS7hE-B-9qME9n802_ipguok5DdZGFuMbgTc/edit#gid=886532061")</f>
        <v>https://docs.google.com/spreadsheets/d/1v0oY6TVaS7hE-B-9qME9n802_ipguok5DdZGFuMbgTc/edit#gid=886532061</v>
      </c>
      <c r="H695" s="32" t="s">
        <v>4006</v>
      </c>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15"/>
      <c r="C696" s="21"/>
      <c r="D696" s="15"/>
      <c r="E696" s="15"/>
      <c r="F696" s="15"/>
      <c r="G696" s="387"/>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32" t="s">
        <v>4007</v>
      </c>
      <c r="C697" s="164" t="s">
        <v>4008</v>
      </c>
      <c r="D697" s="32" t="s">
        <v>20</v>
      </c>
      <c r="E697" s="32" t="s">
        <v>88</v>
      </c>
      <c r="F697" s="32" t="s">
        <v>89</v>
      </c>
      <c r="G697" s="387"/>
      <c r="H697" s="36"/>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15"/>
      <c r="D698" s="15"/>
      <c r="E698" s="32" t="s">
        <v>300</v>
      </c>
      <c r="F698" s="32" t="s">
        <v>300</v>
      </c>
      <c r="G698" s="430" t="str">
        <f>HYPERLINK("https://docs.google.com/spreadsheets/d/1d5VMPE9aR-zPdZH4PTeWuxEoNDCQJ6XO4IxsMSa_CuU/edit#gid=554145720", "https://docs.google.com/spreadsheets/d/1d5VMPE9aR-zPdZH4PTeWuxEoNDCQJ6XO4IxsMSa_CuU/edit#gid=554145720")</f>
        <v>https://docs.google.com/spreadsheets/d/1d5VMPE9aR-zPdZH4PTeWuxEoNDCQJ6XO4IxsMSa_CuU/edit#gid=554145720</v>
      </c>
      <c r="H698" s="32" t="s">
        <v>300</v>
      </c>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15"/>
      <c r="D699" s="15"/>
      <c r="E699" s="32" t="s">
        <v>88</v>
      </c>
      <c r="F699" s="32" t="s">
        <v>95</v>
      </c>
      <c r="G699" s="430" t="str">
        <f>HYPERLINK("https://docs.google.com/spreadsheets/d/1d5VMPE9aR-zPdZH4PTeWuxEoNDCQJ6XO4IxsMSa_CuU/edit#gid=281247136", "https://docs.google.com/spreadsheets/d/1d5VMPE9aR-zPdZH4PTeWuxEoNDCQJ6XO4IxsMSa_CuU/edit#gid=281247136")</f>
        <v>https://docs.google.com/spreadsheets/d/1d5VMPE9aR-zPdZH4PTeWuxEoNDCQJ6XO4IxsMSa_CuU/edit#gid=281247136</v>
      </c>
      <c r="H699" s="32" t="s">
        <v>95</v>
      </c>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15"/>
      <c r="D700" s="15"/>
      <c r="E700" s="32" t="s">
        <v>172</v>
      </c>
      <c r="F700" s="32" t="s">
        <v>402</v>
      </c>
      <c r="G700" s="430" t="str">
        <f>HYPERLINK("https://docs.google.com/spreadsheets/d/1d5VMPE9aR-zPdZH4PTeWuxEoNDCQJ6XO4IxsMSa_CuU/edit#gid=1352079963", "https://docs.google.com/spreadsheets/d/1d5VMPE9aR-zPdZH4PTeWuxEoNDCQJ6XO4IxsMSa_CuU/edit#gid=1352079963")</f>
        <v>https://docs.google.com/spreadsheets/d/1d5VMPE9aR-zPdZH4PTeWuxEoNDCQJ6XO4IxsMSa_CuU/edit#gid=1352079963</v>
      </c>
      <c r="H700" s="32" t="s">
        <v>402</v>
      </c>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15"/>
      <c r="D701" s="15"/>
      <c r="E701" s="32" t="s">
        <v>86</v>
      </c>
      <c r="F701" s="32" t="s">
        <v>90</v>
      </c>
      <c r="G701" s="430" t="str">
        <f>HYPERLINK("https://docs.google.com/spreadsheets/d/1d5VMPE9aR-zPdZH4PTeWuxEoNDCQJ6XO4IxsMSa_CuU/edit#gid=1259745633", "https://docs.google.com/spreadsheets/d/1d5VMPE9aR-zPdZH4PTeWuxEoNDCQJ6XO4IxsMSa_CuU/edit#gid=1259745633")</f>
        <v>https://docs.google.com/spreadsheets/d/1d5VMPE9aR-zPdZH4PTeWuxEoNDCQJ6XO4IxsMSa_CuU/edit#gid=1259745633</v>
      </c>
      <c r="H701" s="32" t="s">
        <v>90</v>
      </c>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15"/>
      <c r="D702" s="15"/>
      <c r="E702" s="32" t="s">
        <v>86</v>
      </c>
      <c r="F702" s="32" t="s">
        <v>91</v>
      </c>
      <c r="G702" s="430" t="str">
        <f>HYPERLINK("https://docs.google.com/spreadsheets/d/1d5VMPE9aR-zPdZH4PTeWuxEoNDCQJ6XO4IxsMSa_CuU/edit#gid=1603163755", "https://docs.google.com/spreadsheets/d/1d5VMPE9aR-zPdZH4PTeWuxEoNDCQJ6XO4IxsMSa_CuU/edit#gid=1603163755")</f>
        <v>https://docs.google.com/spreadsheets/d/1d5VMPE9aR-zPdZH4PTeWuxEoNDCQJ6XO4IxsMSa_CuU/edit#gid=1603163755</v>
      </c>
      <c r="H702" s="32" t="s">
        <v>91</v>
      </c>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15"/>
      <c r="C703" s="21"/>
      <c r="D703" s="15"/>
      <c r="E703" s="15"/>
      <c r="F703" s="15"/>
      <c r="G703" s="387"/>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32" t="s">
        <v>4009</v>
      </c>
      <c r="C704" s="66" t="s">
        <v>4010</v>
      </c>
      <c r="D704" s="32" t="s">
        <v>20</v>
      </c>
      <c r="E704" s="32" t="s">
        <v>86</v>
      </c>
      <c r="F704" s="32" t="s">
        <v>87</v>
      </c>
      <c r="G704" s="387"/>
      <c r="H704" s="36"/>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15"/>
      <c r="D705" s="15"/>
      <c r="E705" s="32" t="s">
        <v>88</v>
      </c>
      <c r="F705" s="32" t="s">
        <v>89</v>
      </c>
      <c r="G705" s="387"/>
      <c r="H705" s="36"/>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15"/>
      <c r="D706" s="15"/>
      <c r="E706" s="32" t="s">
        <v>21</v>
      </c>
      <c r="F706" s="32" t="s">
        <v>51</v>
      </c>
      <c r="G706" s="430" t="str">
        <f>HYPERLINK("https://docs.google.com/spreadsheets/d/1glHKZh68LftVJaADAj35oxU_-Wy-WEvDT4CAkYIOMIA/edit#gid=1240829512", "https://docs.google.com/spreadsheets/d/1glHKZh68LftVJaADAj35oxU_-Wy-WEvDT4CAkYIOMIA/edit#gid=1240829512")</f>
        <v>https://docs.google.com/spreadsheets/d/1glHKZh68LftVJaADAj35oxU_-Wy-WEvDT4CAkYIOMIA/edit#gid=1240829512</v>
      </c>
      <c r="H706" s="32" t="s">
        <v>51</v>
      </c>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15"/>
      <c r="D707" s="15"/>
      <c r="E707" s="32" t="s">
        <v>86</v>
      </c>
      <c r="F707" s="32" t="s">
        <v>90</v>
      </c>
      <c r="G707" s="430" t="str">
        <f>HYPERLINK("https://docs.google.com/spreadsheets/d/1glHKZh68LftVJaADAj35oxU_-Wy-WEvDT4CAkYIOMIA/edit#gid=1106276554", "https://docs.google.com/spreadsheets/d/1glHKZh68LftVJaADAj35oxU_-Wy-WEvDT4CAkYIOMIA/edit#gid=1106276554")</f>
        <v>https://docs.google.com/spreadsheets/d/1glHKZh68LftVJaADAj35oxU_-Wy-WEvDT4CAkYIOMIA/edit#gid=1106276554</v>
      </c>
      <c r="H707" s="32" t="s">
        <v>90</v>
      </c>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15"/>
      <c r="D708" s="15"/>
      <c r="E708" s="32" t="s">
        <v>86</v>
      </c>
      <c r="F708" s="32" t="s">
        <v>91</v>
      </c>
      <c r="G708" s="430" t="str">
        <f>HYPERLINK("https://docs.google.com/spreadsheets/d/1glHKZh68LftVJaADAj35oxU_-Wy-WEvDT4CAkYIOMIA/edit#gid=577695982", "https://docs.google.com/spreadsheets/d/1glHKZh68LftVJaADAj35oxU_-Wy-WEvDT4CAkYIOMIA/edit#gid=577695982")</f>
        <v>https://docs.google.com/spreadsheets/d/1glHKZh68LftVJaADAj35oxU_-Wy-WEvDT4CAkYIOMIA/edit#gid=577695982</v>
      </c>
      <c r="H708" s="32" t="s">
        <v>91</v>
      </c>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15"/>
      <c r="D709" s="15"/>
      <c r="E709" s="32" t="s">
        <v>86</v>
      </c>
      <c r="F709" s="32" t="s">
        <v>338</v>
      </c>
      <c r="G709" s="430" t="str">
        <f>HYPERLINK("https://docs.google.com/spreadsheets/d/1glHKZh68LftVJaADAj35oxU_-Wy-WEvDT4CAkYIOMIA/edit#gid=1833711673", "https://docs.google.com/spreadsheets/d/1glHKZh68LftVJaADAj35oxU_-Wy-WEvDT4CAkYIOMIA/edit#gid=1833711673")</f>
        <v>https://docs.google.com/spreadsheets/d/1glHKZh68LftVJaADAj35oxU_-Wy-WEvDT4CAkYIOMIA/edit#gid=1833711673</v>
      </c>
      <c r="H709" s="32" t="s">
        <v>338</v>
      </c>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15"/>
      <c r="D710" s="15"/>
      <c r="E710" s="32" t="s">
        <v>86</v>
      </c>
      <c r="F710" s="32" t="s">
        <v>339</v>
      </c>
      <c r="G710" s="430" t="str">
        <f>HYPERLINK("https://docs.google.com/spreadsheets/d/1glHKZh68LftVJaADAj35oxU_-Wy-WEvDT4CAkYIOMIA/edit#gid=146585586", "https://docs.google.com/spreadsheets/d/1glHKZh68LftVJaADAj35oxU_-Wy-WEvDT4CAkYIOMIA/edit#gid=146585586")</f>
        <v>https://docs.google.com/spreadsheets/d/1glHKZh68LftVJaADAj35oxU_-Wy-WEvDT4CAkYIOMIA/edit#gid=146585586</v>
      </c>
      <c r="H710" s="32" t="s">
        <v>339</v>
      </c>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15"/>
      <c r="D711" s="15"/>
      <c r="E711" s="32" t="s">
        <v>86</v>
      </c>
      <c r="F711" s="32" t="s">
        <v>90</v>
      </c>
      <c r="G711" s="430" t="str">
        <f>HYPERLINK("https://docs.google.com/spreadsheets/d/1glHKZh68LftVJaADAj35oxU_-Wy-WEvDT4CAkYIOMIA/edit#gid=1106276554", "https://docs.google.com/spreadsheets/d/1glHKZh68LftVJaADAj35oxU_-Wy-WEvDT4CAkYIOMIA/edit#gid=1106276554")</f>
        <v>https://docs.google.com/spreadsheets/d/1glHKZh68LftVJaADAj35oxU_-Wy-WEvDT4CAkYIOMIA/edit#gid=1106276554</v>
      </c>
      <c r="H711" s="32" t="s">
        <v>90</v>
      </c>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15"/>
      <c r="D712" s="15"/>
      <c r="E712" s="32" t="s">
        <v>86</v>
      </c>
      <c r="F712" s="32" t="s">
        <v>743</v>
      </c>
      <c r="G712" s="430" t="str">
        <f>HYPERLINK("https://docs.google.com/spreadsheets/d/1glHKZh68LftVJaADAj35oxU_-Wy-WEvDT4CAkYIOMIA/edit#gid=2053376161", "https://docs.google.com/spreadsheets/d/1glHKZh68LftVJaADAj35oxU_-Wy-WEvDT4CAkYIOMIA/edit#gid=2053376161")</f>
        <v>https://docs.google.com/spreadsheets/d/1glHKZh68LftVJaADAj35oxU_-Wy-WEvDT4CAkYIOMIA/edit#gid=2053376161</v>
      </c>
      <c r="H712" s="32" t="s">
        <v>743</v>
      </c>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15"/>
      <c r="D713" s="15"/>
      <c r="E713" s="32" t="s">
        <v>88</v>
      </c>
      <c r="F713" s="32" t="s">
        <v>95</v>
      </c>
      <c r="G713" s="430" t="str">
        <f>HYPERLINK("https://docs.google.com/spreadsheets/d/1glHKZh68LftVJaADAj35oxU_-Wy-WEvDT4CAkYIOMIA/edit#gid=1944596200", "https://docs.google.com/spreadsheets/d/1glHKZh68LftVJaADAj35oxU_-Wy-WEvDT4CAkYIOMIA/edit#gid=1944596200")</f>
        <v>https://docs.google.com/spreadsheets/d/1glHKZh68LftVJaADAj35oxU_-Wy-WEvDT4CAkYIOMIA/edit#gid=1944596200</v>
      </c>
      <c r="H713" s="32" t="s">
        <v>95</v>
      </c>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15"/>
      <c r="D714" s="15"/>
      <c r="E714" s="32" t="s">
        <v>88</v>
      </c>
      <c r="F714" s="32" t="s">
        <v>96</v>
      </c>
      <c r="G714" s="430" t="str">
        <f>HYPERLINK("https://docs.google.com/spreadsheets/d/1glHKZh68LftVJaADAj35oxU_-Wy-WEvDT4CAkYIOMIA/edit#gid=346705023", "https://docs.google.com/spreadsheets/d/1glHKZh68LftVJaADAj35oxU_-Wy-WEvDT4CAkYIOMIA/edit#gid=346705023")</f>
        <v>https://docs.google.com/spreadsheets/d/1glHKZh68LftVJaADAj35oxU_-Wy-WEvDT4CAkYIOMIA/edit#gid=346705023</v>
      </c>
      <c r="H714" s="32" t="s">
        <v>96</v>
      </c>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15"/>
      <c r="D715" s="15"/>
      <c r="E715" s="32" t="s">
        <v>104</v>
      </c>
      <c r="F715" s="32" t="s">
        <v>250</v>
      </c>
      <c r="G715" s="430" t="str">
        <f>HYPERLINK("https://docs.google.com/spreadsheets/d/1glHKZh68LftVJaADAj35oxU_-Wy-WEvDT4CAkYIOMIA/edit#gid=2020461648", "https://docs.google.com/spreadsheets/d/1glHKZh68LftVJaADAj35oxU_-Wy-WEvDT4CAkYIOMIA/edit#gid=2020461648")</f>
        <v>https://docs.google.com/spreadsheets/d/1glHKZh68LftVJaADAj35oxU_-Wy-WEvDT4CAkYIOMIA/edit#gid=2020461648</v>
      </c>
      <c r="H715" s="32" t="s">
        <v>250</v>
      </c>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15"/>
      <c r="C716" s="21"/>
      <c r="D716" s="15"/>
      <c r="E716" s="15"/>
      <c r="F716" s="15"/>
      <c r="G716" s="387"/>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15"/>
      <c r="C717" s="21"/>
      <c r="D717" s="15"/>
      <c r="E717" s="15"/>
      <c r="F717" s="15"/>
      <c r="G717" s="387"/>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32" t="s">
        <v>4011</v>
      </c>
      <c r="C718" s="66" t="s">
        <v>4012</v>
      </c>
      <c r="D718" s="32" t="s">
        <v>20</v>
      </c>
      <c r="E718" s="32" t="s">
        <v>86</v>
      </c>
      <c r="F718" s="32" t="s">
        <v>87</v>
      </c>
      <c r="G718" s="387"/>
      <c r="H718" s="36"/>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15"/>
      <c r="D719" s="15"/>
      <c r="E719" s="32" t="s">
        <v>88</v>
      </c>
      <c r="F719" s="32" t="s">
        <v>89</v>
      </c>
      <c r="G719" s="387"/>
      <c r="H719" s="36"/>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15"/>
      <c r="D720" s="15"/>
      <c r="E720" s="32" t="s">
        <v>21</v>
      </c>
      <c r="F720" s="32" t="s">
        <v>51</v>
      </c>
      <c r="G720" s="430" t="str">
        <f>HYPERLINK("https://docs.google.com/spreadsheets/d/1SYQr2LeRxPyiE6Znl-4hX2SMns-tjiY04cMfYKoUwYA/edit#gid=1530056582", "https://docs.google.com/spreadsheets/d/1SYQr2LeRxPyiE6Znl-4hX2SMns-tjiY04cMfYKoUwYA/edit#gid=1530056582")</f>
        <v>https://docs.google.com/spreadsheets/d/1SYQr2LeRxPyiE6Znl-4hX2SMns-tjiY04cMfYKoUwYA/edit#gid=1530056582</v>
      </c>
      <c r="H720" s="32" t="s">
        <v>51</v>
      </c>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15"/>
      <c r="D721" s="15"/>
      <c r="E721" s="32" t="s">
        <v>86</v>
      </c>
      <c r="F721" s="32" t="s">
        <v>90</v>
      </c>
      <c r="G721" s="430" t="str">
        <f>HYPERLINK("https://docs.google.com/spreadsheets/d/1SYQr2LeRxPyiE6Znl-4hX2SMns-tjiY04cMfYKoUwYA/edit#gid=669067545", "https://docs.google.com/spreadsheets/d/1SYQr2LeRxPyiE6Znl-4hX2SMns-tjiY04cMfYKoUwYA/edit#gid=669067545")</f>
        <v>https://docs.google.com/spreadsheets/d/1SYQr2LeRxPyiE6Znl-4hX2SMns-tjiY04cMfYKoUwYA/edit#gid=669067545</v>
      </c>
      <c r="H721" s="32" t="s">
        <v>90</v>
      </c>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15"/>
      <c r="D722" s="15"/>
      <c r="E722" s="32" t="s">
        <v>86</v>
      </c>
      <c r="F722" s="32" t="s">
        <v>92</v>
      </c>
      <c r="G722" s="430" t="str">
        <f>HYPERLINK("https://docs.google.com/spreadsheets/d/1SYQr2LeRxPyiE6Znl-4hX2SMns-tjiY04cMfYKoUwYA/edit#gid=1483138790", "https://docs.google.com/spreadsheets/d/1SYQr2LeRxPyiE6Znl-4hX2SMns-tjiY04cMfYKoUwYA/edit#gid=1483138790")</f>
        <v>https://docs.google.com/spreadsheets/d/1SYQr2LeRxPyiE6Znl-4hX2SMns-tjiY04cMfYKoUwYA/edit#gid=1483138790</v>
      </c>
      <c r="H722" s="32" t="s">
        <v>92</v>
      </c>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15"/>
      <c r="D723" s="15"/>
      <c r="E723" s="32" t="s">
        <v>86</v>
      </c>
      <c r="F723" s="32" t="s">
        <v>358</v>
      </c>
      <c r="G723" s="430" t="str">
        <f>HYPERLINK("https://docs.google.com/spreadsheets/d/1SYQr2LeRxPyiE6Znl-4hX2SMns-tjiY04cMfYKoUwYA/edit#gid=26337556", "https://docs.google.com/spreadsheets/d/1SYQr2LeRxPyiE6Znl-4hX2SMns-tjiY04cMfYKoUwYA/edit#gid=26337556")</f>
        <v>https://docs.google.com/spreadsheets/d/1SYQr2LeRxPyiE6Znl-4hX2SMns-tjiY04cMfYKoUwYA/edit#gid=26337556</v>
      </c>
      <c r="H723" s="32" t="s">
        <v>358</v>
      </c>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15"/>
      <c r="D724" s="15"/>
      <c r="E724" s="32" t="s">
        <v>86</v>
      </c>
      <c r="F724" s="32" t="s">
        <v>94</v>
      </c>
      <c r="G724" s="430" t="str">
        <f>HYPERLINK("https://docs.google.com/spreadsheets/d/1SYQr2LeRxPyiE6Znl-4hX2SMns-tjiY04cMfYKoUwYA/edit#gid=258676704", "https://docs.google.com/spreadsheets/d/1SYQr2LeRxPyiE6Znl-4hX2SMns-tjiY04cMfYKoUwYA/edit#gid=258676704")</f>
        <v>https://docs.google.com/spreadsheets/d/1SYQr2LeRxPyiE6Znl-4hX2SMns-tjiY04cMfYKoUwYA/edit#gid=258676704</v>
      </c>
      <c r="H724" s="32" t="s">
        <v>94</v>
      </c>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15"/>
      <c r="C725" s="21"/>
      <c r="D725" s="15"/>
      <c r="E725" s="15"/>
      <c r="F725" s="15"/>
      <c r="G725" s="387"/>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32" t="s">
        <v>4013</v>
      </c>
      <c r="C726" s="66" t="s">
        <v>4014</v>
      </c>
      <c r="D726" s="32" t="s">
        <v>20</v>
      </c>
      <c r="E726" s="32" t="s">
        <v>86</v>
      </c>
      <c r="F726" s="32" t="s">
        <v>87</v>
      </c>
      <c r="G726" s="387"/>
      <c r="H726" s="36"/>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15"/>
      <c r="D727" s="15"/>
      <c r="E727" s="32" t="s">
        <v>88</v>
      </c>
      <c r="F727" s="32" t="s">
        <v>89</v>
      </c>
      <c r="G727" s="387"/>
      <c r="H727" s="36"/>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15"/>
      <c r="D728" s="15"/>
      <c r="E728" s="32" t="s">
        <v>21</v>
      </c>
      <c r="F728" s="32" t="s">
        <v>51</v>
      </c>
      <c r="G728" s="430" t="str">
        <f>HYPERLINK("https://docs.google.com/spreadsheets/d/1kkyVleQM0458sjYDuSfwCW6sGmlZzh1f9CkAwZBnYrI/edit#gid=666849707", "https://docs.google.com/spreadsheets/d/1kkyVleQM0458sjYDuSfwCW6sGmlZzh1f9CkAwZBnYrI/edit#gid=666849707")</f>
        <v>https://docs.google.com/spreadsheets/d/1kkyVleQM0458sjYDuSfwCW6sGmlZzh1f9CkAwZBnYrI/edit#gid=666849707</v>
      </c>
      <c r="H728" s="32" t="s">
        <v>51</v>
      </c>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15"/>
      <c r="D729" s="15"/>
      <c r="E729" s="32" t="s">
        <v>86</v>
      </c>
      <c r="F729" s="32" t="s">
        <v>90</v>
      </c>
      <c r="G729" s="430" t="str">
        <f>HYPERLINK("https://docs.google.com/spreadsheets/d/1kkyVleQM0458sjYDuSfwCW6sGmlZzh1f9CkAwZBnYrI/edit#gid=196248101", "https://docs.google.com/spreadsheets/d/1kkyVleQM0458sjYDuSfwCW6sGmlZzh1f9CkAwZBnYrI/edit#gid=196248101")</f>
        <v>https://docs.google.com/spreadsheets/d/1kkyVleQM0458sjYDuSfwCW6sGmlZzh1f9CkAwZBnYrI/edit#gid=196248101</v>
      </c>
      <c r="H729" s="32" t="s">
        <v>90</v>
      </c>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15"/>
      <c r="D730" s="15"/>
      <c r="E730" s="32" t="s">
        <v>86</v>
      </c>
      <c r="F730" s="32" t="s">
        <v>92</v>
      </c>
      <c r="G730" s="430" t="str">
        <f>HYPERLINK("https://docs.google.com/spreadsheets/d/1kkyVleQM0458sjYDuSfwCW6sGmlZzh1f9CkAwZBnYrI/edit#gid=901850396", "https://docs.google.com/spreadsheets/d/1kkyVleQM0458sjYDuSfwCW6sGmlZzh1f9CkAwZBnYrI/edit#gid=901850396")</f>
        <v>https://docs.google.com/spreadsheets/d/1kkyVleQM0458sjYDuSfwCW6sGmlZzh1f9CkAwZBnYrI/edit#gid=901850396</v>
      </c>
      <c r="H730" s="32" t="s">
        <v>92</v>
      </c>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15"/>
      <c r="D731" s="15"/>
      <c r="E731" s="32" t="s">
        <v>86</v>
      </c>
      <c r="F731" s="32" t="s">
        <v>358</v>
      </c>
      <c r="G731" s="430" t="str">
        <f>HYPERLINK("https://docs.google.com/spreadsheets/d/1kkyVleQM0458sjYDuSfwCW6sGmlZzh1f9CkAwZBnYrI/edit#gid=1164553702", "https://docs.google.com/spreadsheets/d/1kkyVleQM0458sjYDuSfwCW6sGmlZzh1f9CkAwZBnYrI/edit#gid=1164553702")</f>
        <v>https://docs.google.com/spreadsheets/d/1kkyVleQM0458sjYDuSfwCW6sGmlZzh1f9CkAwZBnYrI/edit#gid=1164553702</v>
      </c>
      <c r="H731" s="32" t="s">
        <v>358</v>
      </c>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15"/>
      <c r="D732" s="15"/>
      <c r="E732" s="32" t="s">
        <v>88</v>
      </c>
      <c r="F732" s="32" t="s">
        <v>96</v>
      </c>
      <c r="G732" s="430" t="str">
        <f>HYPERLINK("https://docs.google.com/spreadsheets/d/1kkyVleQM0458sjYDuSfwCW6sGmlZzh1f9CkAwZBnYrI/edit#gid=341987626", "https://docs.google.com/spreadsheets/d/1kkyVleQM0458sjYDuSfwCW6sGmlZzh1f9CkAwZBnYrI/edit#gid=341987626")</f>
        <v>https://docs.google.com/spreadsheets/d/1kkyVleQM0458sjYDuSfwCW6sGmlZzh1f9CkAwZBnYrI/edit#gid=341987626</v>
      </c>
      <c r="H732" s="32" t="s">
        <v>96</v>
      </c>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15"/>
      <c r="C733" s="21"/>
      <c r="D733" s="15"/>
      <c r="E733" s="15"/>
      <c r="F733" s="15"/>
      <c r="G733" s="387"/>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32" t="s">
        <v>4015</v>
      </c>
      <c r="C734" s="66" t="s">
        <v>4016</v>
      </c>
      <c r="D734" s="32" t="s">
        <v>20</v>
      </c>
      <c r="E734" s="32" t="s">
        <v>86</v>
      </c>
      <c r="F734" s="32" t="s">
        <v>87</v>
      </c>
      <c r="G734" s="387"/>
      <c r="H734" s="36"/>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15"/>
      <c r="D735" s="15"/>
      <c r="E735" s="32" t="s">
        <v>88</v>
      </c>
      <c r="F735" s="32" t="s">
        <v>89</v>
      </c>
      <c r="G735" s="387"/>
      <c r="H735" s="36"/>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15"/>
      <c r="D736" s="15"/>
      <c r="E736" s="32" t="s">
        <v>21</v>
      </c>
      <c r="F736" s="32" t="s">
        <v>51</v>
      </c>
      <c r="G736" s="430" t="str">
        <f>HYPERLINK("https://docs.google.com/spreadsheets/d/1oxhUSR-elHBkleMtYrg3qEqUkRJHtbwL2AIlOnhNizo/edit#gid=1388258987", "https://docs.google.com/spreadsheets/d/1oxhUSR-elHBkleMtYrg3qEqUkRJHtbwL2AIlOnhNizo/edit#gid=1388258987")</f>
        <v>https://docs.google.com/spreadsheets/d/1oxhUSR-elHBkleMtYrg3qEqUkRJHtbwL2AIlOnhNizo/edit#gid=1388258987</v>
      </c>
      <c r="H736" s="32" t="s">
        <v>51</v>
      </c>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15"/>
      <c r="D737" s="15"/>
      <c r="E737" s="32" t="s">
        <v>86</v>
      </c>
      <c r="F737" s="32" t="s">
        <v>90</v>
      </c>
      <c r="G737" s="430" t="str">
        <f>HYPERLINK("https://docs.google.com/spreadsheets/d/1oxhUSR-elHBkleMtYrg3qEqUkRJHtbwL2AIlOnhNizo/edit#gid=1299579994", "https://docs.google.com/spreadsheets/d/1oxhUSR-elHBkleMtYrg3qEqUkRJHtbwL2AIlOnhNizo/edit#gid=1299579994")</f>
        <v>https://docs.google.com/spreadsheets/d/1oxhUSR-elHBkleMtYrg3qEqUkRJHtbwL2AIlOnhNizo/edit#gid=1299579994</v>
      </c>
      <c r="H737" s="32" t="s">
        <v>90</v>
      </c>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15"/>
      <c r="D738" s="15"/>
      <c r="E738" s="32" t="s">
        <v>86</v>
      </c>
      <c r="F738" s="32" t="s">
        <v>92</v>
      </c>
      <c r="G738" s="430" t="str">
        <f>HYPERLINK("https://docs.google.com/spreadsheets/d/1oxhUSR-elHBkleMtYrg3qEqUkRJHtbwL2AIlOnhNizo/edit#gid=214117677", "https://docs.google.com/spreadsheets/d/1oxhUSR-elHBkleMtYrg3qEqUkRJHtbwL2AIlOnhNizo/edit#gid=214117677")</f>
        <v>https://docs.google.com/spreadsheets/d/1oxhUSR-elHBkleMtYrg3qEqUkRJHtbwL2AIlOnhNizo/edit#gid=214117677</v>
      </c>
      <c r="H738" s="32" t="s">
        <v>92</v>
      </c>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15"/>
      <c r="D739" s="15"/>
      <c r="E739" s="32" t="s">
        <v>86</v>
      </c>
      <c r="F739" s="32" t="s">
        <v>950</v>
      </c>
      <c r="G739" s="430" t="str">
        <f>HYPERLINK("https://docs.google.com/spreadsheets/d/1oxhUSR-elHBkleMtYrg3qEqUkRJHtbwL2AIlOnhNizo/edit#gid=179890253", "https://docs.google.com/spreadsheets/d/1oxhUSR-elHBkleMtYrg3qEqUkRJHtbwL2AIlOnhNizo/edit#gid=179890253")</f>
        <v>https://docs.google.com/spreadsheets/d/1oxhUSR-elHBkleMtYrg3qEqUkRJHtbwL2AIlOnhNizo/edit#gid=179890253</v>
      </c>
      <c r="H739" s="32" t="s">
        <v>950</v>
      </c>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15"/>
      <c r="D740" s="15"/>
      <c r="E740" s="32" t="s">
        <v>86</v>
      </c>
      <c r="F740" s="32" t="s">
        <v>358</v>
      </c>
      <c r="G740" s="430" t="str">
        <f>HYPERLINK("https://docs.google.com/spreadsheets/d/1oxhUSR-elHBkleMtYrg3qEqUkRJHtbwL2AIlOnhNizo/edit#gid=760354229", "https://docs.google.com/spreadsheets/d/1oxhUSR-elHBkleMtYrg3qEqUkRJHtbwL2AIlOnhNizo/edit#gid=760354229")</f>
        <v>https://docs.google.com/spreadsheets/d/1oxhUSR-elHBkleMtYrg3qEqUkRJHtbwL2AIlOnhNizo/edit#gid=760354229</v>
      </c>
      <c r="H740" s="32" t="s">
        <v>358</v>
      </c>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15"/>
      <c r="C741" s="21"/>
      <c r="D741" s="15"/>
      <c r="E741" s="15"/>
      <c r="F741" s="15"/>
      <c r="G741" s="387"/>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32" t="s">
        <v>4017</v>
      </c>
      <c r="C742" s="66" t="s">
        <v>4018</v>
      </c>
      <c r="D742" s="32" t="s">
        <v>20</v>
      </c>
      <c r="E742" s="32" t="s">
        <v>86</v>
      </c>
      <c r="F742" s="32" t="s">
        <v>87</v>
      </c>
      <c r="G742" s="387"/>
      <c r="H742" s="36"/>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15"/>
      <c r="D743" s="15"/>
      <c r="E743" s="32" t="s">
        <v>88</v>
      </c>
      <c r="F743" s="32" t="s">
        <v>89</v>
      </c>
      <c r="G743" s="387"/>
      <c r="H743" s="36"/>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15"/>
      <c r="D744" s="15"/>
      <c r="E744" s="32" t="s">
        <v>21</v>
      </c>
      <c r="F744" s="32" t="s">
        <v>51</v>
      </c>
      <c r="G744" s="430" t="str">
        <f>HYPERLINK("https://docs.google.com/spreadsheets/d/1Iaf5uflEqpIh9hplc9Xe3XbNaoBF9OvxUtTorlcftfk/edit#gid=2046710270", "https://docs.google.com/spreadsheets/d/1Iaf5uflEqpIh9hplc9Xe3XbNaoBF9OvxUtTorlcftfk/edit#gid=2046710270")</f>
        <v>https://docs.google.com/spreadsheets/d/1Iaf5uflEqpIh9hplc9Xe3XbNaoBF9OvxUtTorlcftfk/edit#gid=2046710270</v>
      </c>
      <c r="H744" s="32" t="s">
        <v>51</v>
      </c>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15"/>
      <c r="D745" s="15"/>
      <c r="E745" s="32" t="s">
        <v>86</v>
      </c>
      <c r="F745" s="32" t="s">
        <v>90</v>
      </c>
      <c r="G745" s="430" t="str">
        <f>HYPERLINK("https://docs.google.com/spreadsheets/d/1Iaf5uflEqpIh9hplc9Xe3XbNaoBF9OvxUtTorlcftfk/edit#gid=1805328076", "https://docs.google.com/spreadsheets/d/1Iaf5uflEqpIh9hplc9Xe3XbNaoBF9OvxUtTorlcftfk/edit#gid=1805328076")</f>
        <v>https://docs.google.com/spreadsheets/d/1Iaf5uflEqpIh9hplc9Xe3XbNaoBF9OvxUtTorlcftfk/edit#gid=1805328076</v>
      </c>
      <c r="H745" s="32" t="s">
        <v>90</v>
      </c>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15"/>
      <c r="D746" s="15"/>
      <c r="E746" s="32" t="s">
        <v>86</v>
      </c>
      <c r="F746" s="32" t="s">
        <v>739</v>
      </c>
      <c r="G746" s="430" t="str">
        <f>HYPERLINK("https://docs.google.com/spreadsheets/d/1Iaf5uflEqpIh9hplc9Xe3XbNaoBF9OvxUtTorlcftfk/edit#gid=1334650183", "https://docs.google.com/spreadsheets/d/1Iaf5uflEqpIh9hplc9Xe3XbNaoBF9OvxUtTorlcftfk/edit#gid=1334650183")</f>
        <v>https://docs.google.com/spreadsheets/d/1Iaf5uflEqpIh9hplc9Xe3XbNaoBF9OvxUtTorlcftfk/edit#gid=1334650183</v>
      </c>
      <c r="H746" s="32" t="s">
        <v>739</v>
      </c>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15"/>
      <c r="D747" s="15"/>
      <c r="E747" s="32" t="s">
        <v>86</v>
      </c>
      <c r="F747" s="32" t="s">
        <v>743</v>
      </c>
      <c r="G747" s="430" t="str">
        <f>HYPERLINK("https://docs.google.com/spreadsheets/d/1Iaf5uflEqpIh9hplc9Xe3XbNaoBF9OvxUtTorlcftfk/edit#gid=2032635313", "https://docs.google.com/spreadsheets/d/1Iaf5uflEqpIh9hplc9Xe3XbNaoBF9OvxUtTorlcftfk/edit#gid=2032635313")</f>
        <v>https://docs.google.com/spreadsheets/d/1Iaf5uflEqpIh9hplc9Xe3XbNaoBF9OvxUtTorlcftfk/edit#gid=2032635313</v>
      </c>
      <c r="H747" s="32" t="s">
        <v>743</v>
      </c>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15"/>
      <c r="D748" s="15"/>
      <c r="E748" s="32" t="s">
        <v>88</v>
      </c>
      <c r="F748" s="32" t="s">
        <v>125</v>
      </c>
      <c r="G748" s="430" t="str">
        <f>HYPERLINK("https://docs.google.com/spreadsheets/d/1Iaf5uflEqpIh9hplc9Xe3XbNaoBF9OvxUtTorlcftfk/edit#gid=44934175", "https://docs.google.com/spreadsheets/d/1Iaf5uflEqpIh9hplc9Xe3XbNaoBF9OvxUtTorlcftfk/edit#gid=44934175")</f>
        <v>https://docs.google.com/spreadsheets/d/1Iaf5uflEqpIh9hplc9Xe3XbNaoBF9OvxUtTorlcftfk/edit#gid=44934175</v>
      </c>
      <c r="H748" s="32" t="s">
        <v>125</v>
      </c>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15"/>
      <c r="D749" s="15"/>
      <c r="E749" s="32" t="s">
        <v>88</v>
      </c>
      <c r="F749" s="32" t="s">
        <v>675</v>
      </c>
      <c r="G749" s="430" t="str">
        <f>HYPERLINK("https://docs.google.com/spreadsheets/d/1Iaf5uflEqpIh9hplc9Xe3XbNaoBF9OvxUtTorlcftfk/edit#gid=1975176568", "https://docs.google.com/spreadsheets/d/1Iaf5uflEqpIh9hplc9Xe3XbNaoBF9OvxUtTorlcftfk/edit#gid=1975176568")</f>
        <v>https://docs.google.com/spreadsheets/d/1Iaf5uflEqpIh9hplc9Xe3XbNaoBF9OvxUtTorlcftfk/edit#gid=1975176568</v>
      </c>
      <c r="H749" s="32" t="s">
        <v>675</v>
      </c>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15"/>
      <c r="D750" s="15"/>
      <c r="E750" s="32" t="s">
        <v>88</v>
      </c>
      <c r="F750" s="32" t="s">
        <v>96</v>
      </c>
      <c r="G750" s="430" t="str">
        <f>HYPERLINK("https://docs.google.com/spreadsheets/d/1Iaf5uflEqpIh9hplc9Xe3XbNaoBF9OvxUtTorlcftfk/edit#gid=1346094793", "https://docs.google.com/spreadsheets/d/1Iaf5uflEqpIh9hplc9Xe3XbNaoBF9OvxUtTorlcftfk/edit#gid=1346094793")</f>
        <v>https://docs.google.com/spreadsheets/d/1Iaf5uflEqpIh9hplc9Xe3XbNaoBF9OvxUtTorlcftfk/edit#gid=1346094793</v>
      </c>
      <c r="H750" s="32" t="s">
        <v>96</v>
      </c>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15"/>
      <c r="C751" s="21"/>
      <c r="D751" s="15"/>
      <c r="E751" s="15"/>
      <c r="F751" s="15"/>
      <c r="G751" s="387"/>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32" t="s">
        <v>4019</v>
      </c>
      <c r="C752" s="66" t="s">
        <v>4020</v>
      </c>
      <c r="D752" s="32" t="s">
        <v>20</v>
      </c>
      <c r="E752" s="32" t="s">
        <v>86</v>
      </c>
      <c r="F752" s="32" t="s">
        <v>87</v>
      </c>
      <c r="G752" s="387"/>
      <c r="H752" s="36"/>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15"/>
      <c r="D753" s="15"/>
      <c r="E753" s="32" t="s">
        <v>88</v>
      </c>
      <c r="F753" s="32" t="s">
        <v>89</v>
      </c>
      <c r="G753" s="387"/>
      <c r="H753" s="36"/>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15"/>
      <c r="D754" s="15"/>
      <c r="E754" s="32" t="s">
        <v>21</v>
      </c>
      <c r="F754" s="32" t="s">
        <v>51</v>
      </c>
      <c r="G754" s="430" t="str">
        <f>HYPERLINK("https://docs.google.com/spreadsheets/d/1Dxicgk8wyXBkOcjmXcgTv_dosf7B5-9vXvYhtFKgIc4/edit#gid=142247181", "https://docs.google.com/spreadsheets/d/1Dxicgk8wyXBkOcjmXcgTv_dosf7B5-9vXvYhtFKgIc4/edit#gid=142247181")</f>
        <v>https://docs.google.com/spreadsheets/d/1Dxicgk8wyXBkOcjmXcgTv_dosf7B5-9vXvYhtFKgIc4/edit#gid=142247181</v>
      </c>
      <c r="H754" s="32" t="s">
        <v>51</v>
      </c>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15"/>
      <c r="D755" s="15"/>
      <c r="E755" s="32" t="s">
        <v>86</v>
      </c>
      <c r="F755" s="32" t="s">
        <v>90</v>
      </c>
      <c r="G755" s="430" t="str">
        <f>HYPERLINK("https://docs.google.com/spreadsheets/d/1Dxicgk8wyXBkOcjmXcgTv_dosf7B5-9vXvYhtFKgIc4/edit#gid=188862032", "https://docs.google.com/spreadsheets/d/1Dxicgk8wyXBkOcjmXcgTv_dosf7B5-9vXvYhtFKgIc4/edit#gid=188862032")</f>
        <v>https://docs.google.com/spreadsheets/d/1Dxicgk8wyXBkOcjmXcgTv_dosf7B5-9vXvYhtFKgIc4/edit#gid=188862032</v>
      </c>
      <c r="H755" s="32" t="s">
        <v>90</v>
      </c>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15"/>
      <c r="D756" s="15"/>
      <c r="E756" s="32" t="s">
        <v>86</v>
      </c>
      <c r="F756" s="32" t="s">
        <v>739</v>
      </c>
      <c r="G756" s="430" t="str">
        <f>HYPERLINK("https://docs.google.com/spreadsheets/d/1Dxicgk8wyXBkOcjmXcgTv_dosf7B5-9vXvYhtFKgIc4/edit#gid=2037691404", "https://docs.google.com/spreadsheets/d/1Dxicgk8wyXBkOcjmXcgTv_dosf7B5-9vXvYhtFKgIc4/edit#gid=2037691404")</f>
        <v>https://docs.google.com/spreadsheets/d/1Dxicgk8wyXBkOcjmXcgTv_dosf7B5-9vXvYhtFKgIc4/edit#gid=2037691404</v>
      </c>
      <c r="H756" s="32" t="s">
        <v>739</v>
      </c>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15"/>
      <c r="D757" s="15"/>
      <c r="E757" s="32" t="s">
        <v>86</v>
      </c>
      <c r="F757" s="32" t="s">
        <v>743</v>
      </c>
      <c r="G757" s="430" t="str">
        <f>HYPERLINK("https://docs.google.com/spreadsheets/d/1Dxicgk8wyXBkOcjmXcgTv_dosf7B5-9vXvYhtFKgIc4/edit#gid=1311902198", "https://docs.google.com/spreadsheets/d/1Dxicgk8wyXBkOcjmXcgTv_dosf7B5-9vXvYhtFKgIc4/edit#gid=1311902198")</f>
        <v>https://docs.google.com/spreadsheets/d/1Dxicgk8wyXBkOcjmXcgTv_dosf7B5-9vXvYhtFKgIc4/edit#gid=1311902198</v>
      </c>
      <c r="H757" s="32" t="s">
        <v>743</v>
      </c>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15"/>
      <c r="D758" s="15"/>
      <c r="E758" s="32" t="s">
        <v>88</v>
      </c>
      <c r="F758" s="32" t="s">
        <v>125</v>
      </c>
      <c r="G758" s="430" t="str">
        <f>HYPERLINK("https://docs.google.com/spreadsheets/d/1Dxicgk8wyXBkOcjmXcgTv_dosf7B5-9vXvYhtFKgIc4/edit#gid=688908798", "https://docs.google.com/spreadsheets/d/1Dxicgk8wyXBkOcjmXcgTv_dosf7B5-9vXvYhtFKgIc4/edit#gid=688908798")</f>
        <v>https://docs.google.com/spreadsheets/d/1Dxicgk8wyXBkOcjmXcgTv_dosf7B5-9vXvYhtFKgIc4/edit#gid=688908798</v>
      </c>
      <c r="H758" s="32" t="s">
        <v>125</v>
      </c>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15"/>
      <c r="D759" s="15"/>
      <c r="E759" s="32" t="s">
        <v>88</v>
      </c>
      <c r="F759" s="32" t="s">
        <v>675</v>
      </c>
      <c r="G759" s="430" t="str">
        <f>HYPERLINK("https://docs.google.com/spreadsheets/d/1Dxicgk8wyXBkOcjmXcgTv_dosf7B5-9vXvYhtFKgIc4/edit#gid=1988317654", "https://docs.google.com/spreadsheets/d/1Dxicgk8wyXBkOcjmXcgTv_dosf7B5-9vXvYhtFKgIc4/edit#gid=1988317654")</f>
        <v>https://docs.google.com/spreadsheets/d/1Dxicgk8wyXBkOcjmXcgTv_dosf7B5-9vXvYhtFKgIc4/edit#gid=1988317654</v>
      </c>
      <c r="H759" s="32" t="s">
        <v>675</v>
      </c>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15"/>
      <c r="D760" s="15"/>
      <c r="E760" s="32" t="s">
        <v>88</v>
      </c>
      <c r="F760" s="32" t="s">
        <v>96</v>
      </c>
      <c r="G760" s="430" t="str">
        <f>HYPERLINK("https://docs.google.com/spreadsheets/d/1Dxicgk8wyXBkOcjmXcgTv_dosf7B5-9vXvYhtFKgIc4/edit#gid=697507468", "https://docs.google.com/spreadsheets/d/1Dxicgk8wyXBkOcjmXcgTv_dosf7B5-9vXvYhtFKgIc4/edit#gid=697507468")</f>
        <v>https://docs.google.com/spreadsheets/d/1Dxicgk8wyXBkOcjmXcgTv_dosf7B5-9vXvYhtFKgIc4/edit#gid=697507468</v>
      </c>
      <c r="H760" s="32" t="s">
        <v>96</v>
      </c>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15"/>
      <c r="C761" s="21"/>
      <c r="D761" s="15"/>
      <c r="E761" s="15"/>
      <c r="F761" s="15"/>
      <c r="G761" s="387"/>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32" t="s">
        <v>4021</v>
      </c>
      <c r="C762" s="66" t="s">
        <v>4022</v>
      </c>
      <c r="D762" s="32" t="s">
        <v>20</v>
      </c>
      <c r="E762" s="32" t="s">
        <v>86</v>
      </c>
      <c r="F762" s="32" t="s">
        <v>87</v>
      </c>
      <c r="G762" s="387"/>
      <c r="H762" s="36"/>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15"/>
      <c r="D763" s="15"/>
      <c r="E763" s="32" t="s">
        <v>88</v>
      </c>
      <c r="F763" s="32" t="s">
        <v>89</v>
      </c>
      <c r="G763" s="387"/>
      <c r="H763" s="36"/>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15"/>
      <c r="D764" s="15"/>
      <c r="E764" s="32" t="s">
        <v>21</v>
      </c>
      <c r="F764" s="32" t="s">
        <v>51</v>
      </c>
      <c r="G764" s="430" t="str">
        <f>HYPERLINK("https://docs.google.com/spreadsheets/d/16X3f7opQPDR4ilt_3B_bz9hXeIg71bmZmKtQZIxje-I/edit#gid=1053023905", "https://docs.google.com/spreadsheets/d/16X3f7opQPDR4ilt_3B_bz9hXeIg71bmZmKtQZIxje-I/edit#gid=1053023905")</f>
        <v>https://docs.google.com/spreadsheets/d/16X3f7opQPDR4ilt_3B_bz9hXeIg71bmZmKtQZIxje-I/edit#gid=1053023905</v>
      </c>
      <c r="H764" s="32" t="s">
        <v>51</v>
      </c>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15"/>
      <c r="D765" s="15"/>
      <c r="E765" s="32" t="s">
        <v>88</v>
      </c>
      <c r="F765" s="32" t="s">
        <v>125</v>
      </c>
      <c r="G765" s="430" t="str">
        <f>HYPERLINK("https://docs.google.com/spreadsheets/d/16X3f7opQPDR4ilt_3B_bz9hXeIg71bmZmKtQZIxje-I/edit#gid=823725272", "https://docs.google.com/spreadsheets/d/16X3f7opQPDR4ilt_3B_bz9hXeIg71bmZmKtQZIxje-I/edit#gid=823725272")</f>
        <v>https://docs.google.com/spreadsheets/d/16X3f7opQPDR4ilt_3B_bz9hXeIg71bmZmKtQZIxje-I/edit#gid=823725272</v>
      </c>
      <c r="H765" s="32" t="s">
        <v>125</v>
      </c>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15"/>
      <c r="D766" s="15"/>
      <c r="E766" s="32" t="s">
        <v>88</v>
      </c>
      <c r="F766" s="32" t="s">
        <v>675</v>
      </c>
      <c r="G766" s="430" t="str">
        <f>HYPERLINK("https://docs.google.com/spreadsheets/d/16X3f7opQPDR4ilt_3B_bz9hXeIg71bmZmKtQZIxje-I/edit#gid=1272403229", "https://docs.google.com/spreadsheets/d/16X3f7opQPDR4ilt_3B_bz9hXeIg71bmZmKtQZIxje-I/edit#gid=1272403229")</f>
        <v>https://docs.google.com/spreadsheets/d/16X3f7opQPDR4ilt_3B_bz9hXeIg71bmZmKtQZIxje-I/edit#gid=1272403229</v>
      </c>
      <c r="H766" s="32" t="s">
        <v>675</v>
      </c>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15"/>
      <c r="D767" s="15"/>
      <c r="E767" s="32" t="s">
        <v>88</v>
      </c>
      <c r="F767" s="32" t="s">
        <v>96</v>
      </c>
      <c r="G767" s="430" t="str">
        <f>HYPERLINK("https://docs.google.com/spreadsheets/d/16X3f7opQPDR4ilt_3B_bz9hXeIg71bmZmKtQZIxje-I/edit#gid=2020977332", "https://docs.google.com/spreadsheets/d/16X3f7opQPDR4ilt_3B_bz9hXeIg71bmZmKtQZIxje-I/edit#gid=2020977332")</f>
        <v>https://docs.google.com/spreadsheets/d/16X3f7opQPDR4ilt_3B_bz9hXeIg71bmZmKtQZIxje-I/edit#gid=2020977332</v>
      </c>
      <c r="H767" s="32" t="s">
        <v>96</v>
      </c>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15"/>
      <c r="D768" s="15"/>
      <c r="E768" s="32" t="s">
        <v>86</v>
      </c>
      <c r="F768" s="32" t="s">
        <v>739</v>
      </c>
      <c r="G768" s="430" t="str">
        <f>HYPERLINK("https://docs.google.com/spreadsheets/d/16X3f7opQPDR4ilt_3B_bz9hXeIg71bmZmKtQZIxje-I/edit#gid=1216336855", "https://docs.google.com/spreadsheets/d/16X3f7opQPDR4ilt_3B_bz9hXeIg71bmZmKtQZIxje-I/edit#gid=1216336855")</f>
        <v>https://docs.google.com/spreadsheets/d/16X3f7opQPDR4ilt_3B_bz9hXeIg71bmZmKtQZIxje-I/edit#gid=1216336855</v>
      </c>
      <c r="H768" s="32" t="s">
        <v>739</v>
      </c>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15"/>
      <c r="C769" s="21"/>
      <c r="D769" s="15"/>
      <c r="E769" s="15"/>
      <c r="F769" s="15"/>
      <c r="G769" s="387"/>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32" t="s">
        <v>4023</v>
      </c>
      <c r="C770" s="66" t="s">
        <v>4024</v>
      </c>
      <c r="D770" s="32" t="s">
        <v>20</v>
      </c>
      <c r="E770" s="32" t="s">
        <v>86</v>
      </c>
      <c r="F770" s="32" t="s">
        <v>87</v>
      </c>
      <c r="G770" s="387"/>
      <c r="H770" s="36"/>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15"/>
      <c r="D771" s="15"/>
      <c r="E771" s="32" t="s">
        <v>88</v>
      </c>
      <c r="F771" s="32" t="s">
        <v>89</v>
      </c>
      <c r="G771" s="387"/>
      <c r="H771" s="36"/>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15"/>
      <c r="D772" s="15"/>
      <c r="E772" s="32" t="s">
        <v>21</v>
      </c>
      <c r="F772" s="32" t="s">
        <v>51</v>
      </c>
      <c r="G772" s="430" t="str">
        <f>HYPERLINK("https://docs.google.com/spreadsheets/d/1zgV6X2tV5zQR0uZV0Vbb7HLlYznnDrtxQO1uVuj-5Mc/edit#gid=1343994780", "https://docs.google.com/spreadsheets/d/1zgV6X2tV5zQR0uZV0Vbb7HLlYznnDrtxQO1uVuj-5Mc/edit#gid=1343994780")</f>
        <v>https://docs.google.com/spreadsheets/d/1zgV6X2tV5zQR0uZV0Vbb7HLlYznnDrtxQO1uVuj-5Mc/edit#gid=1343994780</v>
      </c>
      <c r="H772" s="32" t="s">
        <v>51</v>
      </c>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15"/>
      <c r="D773" s="15"/>
      <c r="E773" s="32" t="s">
        <v>88</v>
      </c>
      <c r="F773" s="32" t="s">
        <v>96</v>
      </c>
      <c r="G773" s="430" t="str">
        <f>HYPERLINK("https://docs.google.com/spreadsheets/d/1zgV6X2tV5zQR0uZV0Vbb7HLlYznnDrtxQO1uVuj-5Mc/edit#gid=1941280658", "https://docs.google.com/spreadsheets/d/1zgV6X2tV5zQR0uZV0Vbb7HLlYznnDrtxQO1uVuj-5Mc/edit#gid=1941280658")</f>
        <v>https://docs.google.com/spreadsheets/d/1zgV6X2tV5zQR0uZV0Vbb7HLlYznnDrtxQO1uVuj-5Mc/edit#gid=1941280658</v>
      </c>
      <c r="H773" s="32" t="s">
        <v>96</v>
      </c>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15"/>
      <c r="D774" s="15"/>
      <c r="E774" s="32" t="s">
        <v>86</v>
      </c>
      <c r="F774" s="32" t="s">
        <v>739</v>
      </c>
      <c r="G774" s="430" t="str">
        <f>HYPERLINK("https://docs.google.com/spreadsheets/d/1zgV6X2tV5zQR0uZV0Vbb7HLlYznnDrtxQO1uVuj-5Mc/edit#gid=95596444", "https://docs.google.com/spreadsheets/d/1zgV6X2tV5zQR0uZV0Vbb7HLlYznnDrtxQO1uVuj-5Mc/edit#gid=95596444")</f>
        <v>https://docs.google.com/spreadsheets/d/1zgV6X2tV5zQR0uZV0Vbb7HLlYznnDrtxQO1uVuj-5Mc/edit#gid=95596444</v>
      </c>
      <c r="H774" s="32" t="s">
        <v>739</v>
      </c>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15"/>
      <c r="D775" s="15"/>
      <c r="E775" s="32" t="s">
        <v>86</v>
      </c>
      <c r="F775" s="32" t="s">
        <v>739</v>
      </c>
      <c r="G775" s="430" t="str">
        <f>HYPERLINK("https://docs.google.com/spreadsheets/d/1zgV6X2tV5zQR0uZV0Vbb7HLlYznnDrtxQO1uVuj-5Mc/edit#gid=940622393", "https://docs.google.com/spreadsheets/d/1zgV6X2tV5zQR0uZV0Vbb7HLlYznnDrtxQO1uVuj-5Mc/edit#gid=940622393")</f>
        <v>https://docs.google.com/spreadsheets/d/1zgV6X2tV5zQR0uZV0Vbb7HLlYznnDrtxQO1uVuj-5Mc/edit#gid=940622393</v>
      </c>
      <c r="H775" s="32" t="s">
        <v>3980</v>
      </c>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15"/>
      <c r="D776" s="15"/>
      <c r="E776" s="32" t="s">
        <v>86</v>
      </c>
      <c r="F776" s="32" t="s">
        <v>739</v>
      </c>
      <c r="G776" s="430" t="str">
        <f>HYPERLINK("https://docs.google.com/spreadsheets/d/1zgV6X2tV5zQR0uZV0Vbb7HLlYznnDrtxQO1uVuj-5Mc/edit#gid=1488858668", "https://docs.google.com/spreadsheets/d/1zgV6X2tV5zQR0uZV0Vbb7HLlYznnDrtxQO1uVuj-5Mc/edit#gid=1488858668")</f>
        <v>https://docs.google.com/spreadsheets/d/1zgV6X2tV5zQR0uZV0Vbb7HLlYznnDrtxQO1uVuj-5Mc/edit#gid=1488858668</v>
      </c>
      <c r="H776" s="32" t="s">
        <v>4025</v>
      </c>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15"/>
      <c r="D777" s="15"/>
      <c r="E777" s="32" t="s">
        <v>86</v>
      </c>
      <c r="F777" s="32" t="s">
        <v>739</v>
      </c>
      <c r="G777" s="430" t="str">
        <f>HYPERLINK("https://docs.google.com/spreadsheets/d/1zgV6X2tV5zQR0uZV0Vbb7HLlYznnDrtxQO1uVuj-5Mc/edit#gid=1212155441", "https://docs.google.com/spreadsheets/d/1zgV6X2tV5zQR0uZV0Vbb7HLlYznnDrtxQO1uVuj-5Mc/edit#gid=1212155441")</f>
        <v>https://docs.google.com/spreadsheets/d/1zgV6X2tV5zQR0uZV0Vbb7HLlYznnDrtxQO1uVuj-5Mc/edit#gid=1212155441</v>
      </c>
      <c r="H777" s="32" t="s">
        <v>4026</v>
      </c>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15"/>
      <c r="D778" s="15"/>
      <c r="E778" s="32" t="s">
        <v>88</v>
      </c>
      <c r="F778" s="32" t="s">
        <v>125</v>
      </c>
      <c r="G778" s="430" t="str">
        <f>HYPERLINK("https://docs.google.com/spreadsheets/d/1zgV6X2tV5zQR0uZV0Vbb7HLlYznnDrtxQO1uVuj-5Mc/edit#gid=363805846", "https://docs.google.com/spreadsheets/d/1zgV6X2tV5zQR0uZV0Vbb7HLlYznnDrtxQO1uVuj-5Mc/edit#gid=363805846")</f>
        <v>https://docs.google.com/spreadsheets/d/1zgV6X2tV5zQR0uZV0Vbb7HLlYznnDrtxQO1uVuj-5Mc/edit#gid=363805846</v>
      </c>
      <c r="H778" s="32" t="s">
        <v>125</v>
      </c>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15"/>
      <c r="D779" s="15"/>
      <c r="E779" s="32" t="s">
        <v>88</v>
      </c>
      <c r="F779" s="32" t="s">
        <v>675</v>
      </c>
      <c r="G779" s="430" t="str">
        <f>HYPERLINK("https://docs.google.com/spreadsheets/d/1zgV6X2tV5zQR0uZV0Vbb7HLlYznnDrtxQO1uVuj-5Mc/edit#gid=1936689661", "https://docs.google.com/spreadsheets/d/1zgV6X2tV5zQR0uZV0Vbb7HLlYznnDrtxQO1uVuj-5Mc/edit#gid=1936689661")</f>
        <v>https://docs.google.com/spreadsheets/d/1zgV6X2tV5zQR0uZV0Vbb7HLlYznnDrtxQO1uVuj-5Mc/edit#gid=1936689661</v>
      </c>
      <c r="H779" s="32" t="s">
        <v>675</v>
      </c>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15"/>
      <c r="D780" s="15"/>
      <c r="E780" s="32" t="s">
        <v>88</v>
      </c>
      <c r="F780" s="32" t="s">
        <v>96</v>
      </c>
      <c r="G780" s="430" t="str">
        <f>HYPERLINK("https://docs.google.com/spreadsheets/d/1zgV6X2tV5zQR0uZV0Vbb7HLlYznnDrtxQO1uVuj-5Mc/edit#gid=2065206290", "https://docs.google.com/spreadsheets/d/1zgV6X2tV5zQR0uZV0Vbb7HLlYznnDrtxQO1uVuj-5Mc/edit#gid=2065206290")</f>
        <v>https://docs.google.com/spreadsheets/d/1zgV6X2tV5zQR0uZV0Vbb7HLlYznnDrtxQO1uVuj-5Mc/edit#gid=2065206290</v>
      </c>
      <c r="H780" s="32" t="s">
        <v>177</v>
      </c>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15"/>
      <c r="C781" s="66"/>
      <c r="D781" s="15"/>
      <c r="E781" s="32" t="s">
        <v>86</v>
      </c>
      <c r="F781" s="32" t="s">
        <v>743</v>
      </c>
      <c r="G781" s="430" t="str">
        <f>HYPERLINK("https://docs.google.com/spreadsheets/d/1zgV6X2tV5zQR0uZV0Vbb7HLlYznnDrtxQO1uVuj-5Mc/edit#gid=479525205", "https://docs.google.com/spreadsheets/d/1zgV6X2tV5zQR0uZV0Vbb7HLlYznnDrtxQO1uVuj-5Mc/edit#gid=479525205")</f>
        <v>https://docs.google.com/spreadsheets/d/1zgV6X2tV5zQR0uZV0Vbb7HLlYznnDrtxQO1uVuj-5Mc/edit#gid=479525205</v>
      </c>
      <c r="H781" s="32" t="s">
        <v>743</v>
      </c>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15"/>
      <c r="C782" s="21"/>
      <c r="D782" s="15"/>
      <c r="E782" s="15"/>
      <c r="F782" s="15"/>
      <c r="G782" s="387"/>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32" t="s">
        <v>4027</v>
      </c>
      <c r="C783" s="66" t="s">
        <v>4028</v>
      </c>
      <c r="D783" s="32" t="s">
        <v>20</v>
      </c>
      <c r="E783" s="32" t="s">
        <v>86</v>
      </c>
      <c r="F783" s="32" t="s">
        <v>87</v>
      </c>
      <c r="G783" s="387"/>
      <c r="H783" s="36"/>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15"/>
      <c r="D784" s="15"/>
      <c r="E784" s="32" t="s">
        <v>88</v>
      </c>
      <c r="F784" s="32" t="s">
        <v>89</v>
      </c>
      <c r="G784" s="387"/>
      <c r="H784" s="36"/>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15"/>
      <c r="D785" s="15"/>
      <c r="E785" s="32" t="s">
        <v>86</v>
      </c>
      <c r="F785" s="32" t="s">
        <v>922</v>
      </c>
      <c r="G785" s="430" t="str">
        <f>HYPERLINK("https://docs.google.com/spreadsheets/d/1ujxeTEw1RK4tuPiSVi4X-l5FDFHpLtXB-ikmIkL9HIQ/edit#gid=857892765", "https://docs.google.com/spreadsheets/d/1ujxeTEw1RK4tuPiSVi4X-l5FDFHpLtXB-ikmIkL9HIQ/edit#gid=857892765")</f>
        <v>https://docs.google.com/spreadsheets/d/1ujxeTEw1RK4tuPiSVi4X-l5FDFHpLtXB-ikmIkL9HIQ/edit#gid=857892765</v>
      </c>
      <c r="H785" s="32" t="s">
        <v>922</v>
      </c>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15"/>
      <c r="D786" s="15"/>
      <c r="E786" s="32" t="s">
        <v>21</v>
      </c>
      <c r="F786" s="32" t="s">
        <v>51</v>
      </c>
      <c r="G786" s="430" t="str">
        <f>HYPERLINK("https://docs.google.com/spreadsheets/d/1ujxeTEw1RK4tuPiSVi4X-l5FDFHpLtXB-ikmIkL9HIQ/edit#gid=1768929760", "https://docs.google.com/spreadsheets/d/1ujxeTEw1RK4tuPiSVi4X-l5FDFHpLtXB-ikmIkL9HIQ/edit#gid=1768929760")</f>
        <v>https://docs.google.com/spreadsheets/d/1ujxeTEw1RK4tuPiSVi4X-l5FDFHpLtXB-ikmIkL9HIQ/edit#gid=1768929760</v>
      </c>
      <c r="H786" s="32" t="s">
        <v>51</v>
      </c>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15"/>
      <c r="D787" s="15"/>
      <c r="E787" s="32" t="s">
        <v>86</v>
      </c>
      <c r="F787" s="32" t="s">
        <v>92</v>
      </c>
      <c r="G787" s="430" t="str">
        <f>HYPERLINK("https://docs.google.com/spreadsheets/d/1ujxeTEw1RK4tuPiSVi4X-l5FDFHpLtXB-ikmIkL9HIQ/edit#gid=367428550", "https://docs.google.com/spreadsheets/d/1ujxeTEw1RK4tuPiSVi4X-l5FDFHpLtXB-ikmIkL9HIQ/edit#gid=367428550")</f>
        <v>https://docs.google.com/spreadsheets/d/1ujxeTEw1RK4tuPiSVi4X-l5FDFHpLtXB-ikmIkL9HIQ/edit#gid=367428550</v>
      </c>
      <c r="H787" s="32" t="s">
        <v>92</v>
      </c>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15"/>
      <c r="D788" s="15"/>
      <c r="E788" s="32" t="s">
        <v>86</v>
      </c>
      <c r="F788" s="32" t="s">
        <v>358</v>
      </c>
      <c r="G788" s="430" t="str">
        <f>HYPERLINK("https://docs.google.com/spreadsheets/d/1ujxeTEw1RK4tuPiSVi4X-l5FDFHpLtXB-ikmIkL9HIQ/edit#gid=854244242", "https://docs.google.com/spreadsheets/d/1ujxeTEw1RK4tuPiSVi4X-l5FDFHpLtXB-ikmIkL9HIQ/edit#gid=854244242")</f>
        <v>https://docs.google.com/spreadsheets/d/1ujxeTEw1RK4tuPiSVi4X-l5FDFHpLtXB-ikmIkL9HIQ/edit#gid=854244242</v>
      </c>
      <c r="H788" s="32" t="s">
        <v>358</v>
      </c>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15"/>
      <c r="D789" s="15"/>
      <c r="E789" s="32" t="s">
        <v>86</v>
      </c>
      <c r="F789" s="32" t="s">
        <v>94</v>
      </c>
      <c r="G789" s="430" t="str">
        <f>HYPERLINK("https://docs.google.com/spreadsheets/d/1ujxeTEw1RK4tuPiSVi4X-l5FDFHpLtXB-ikmIkL9HIQ/edit#gid=2046813044", "https://docs.google.com/spreadsheets/d/1ujxeTEw1RK4tuPiSVi4X-l5FDFHpLtXB-ikmIkL9HIQ/edit#gid=2046813044")</f>
        <v>https://docs.google.com/spreadsheets/d/1ujxeTEw1RK4tuPiSVi4X-l5FDFHpLtXB-ikmIkL9HIQ/edit#gid=2046813044</v>
      </c>
      <c r="H789" s="32" t="s">
        <v>94</v>
      </c>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15"/>
      <c r="D790" s="15"/>
      <c r="E790" s="32" t="s">
        <v>88</v>
      </c>
      <c r="F790" s="32" t="s">
        <v>96</v>
      </c>
      <c r="G790" s="430" t="str">
        <f>HYPERLINK("https://docs.google.com/spreadsheets/d/1ujxeTEw1RK4tuPiSVi4X-l5FDFHpLtXB-ikmIkL9HIQ/edit#gid=1701187579", "https://docs.google.com/spreadsheets/d/1ujxeTEw1RK4tuPiSVi4X-l5FDFHpLtXB-ikmIkL9HIQ/edit#gid=1701187579")</f>
        <v>https://docs.google.com/spreadsheets/d/1ujxeTEw1RK4tuPiSVi4X-l5FDFHpLtXB-ikmIkL9HIQ/edit#gid=1701187579</v>
      </c>
      <c r="H790" s="32" t="s">
        <v>96</v>
      </c>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15"/>
      <c r="D791" s="15"/>
      <c r="E791" s="32" t="s">
        <v>86</v>
      </c>
      <c r="F791" s="32" t="s">
        <v>922</v>
      </c>
      <c r="G791" s="430" t="str">
        <f>HYPERLINK("https://docs.google.com/spreadsheets/d/1ujxeTEw1RK4tuPiSVi4X-l5FDFHpLtXB-ikmIkL9HIQ/edit#gid=5112053", "https://docs.google.com/spreadsheets/d/1ujxeTEw1RK4tuPiSVi4X-l5FDFHpLtXB-ikmIkL9HIQ/edit#gid=5112053")</f>
        <v>https://docs.google.com/spreadsheets/d/1ujxeTEw1RK4tuPiSVi4X-l5FDFHpLtXB-ikmIkL9HIQ/edit#gid=5112053</v>
      </c>
      <c r="H791" s="32" t="s">
        <v>4006</v>
      </c>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15"/>
      <c r="C792" s="21"/>
      <c r="D792" s="15"/>
      <c r="E792" s="15"/>
      <c r="F792" s="15"/>
      <c r="G792" s="387"/>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32" t="s">
        <v>4029</v>
      </c>
      <c r="C793" s="66" t="s">
        <v>4030</v>
      </c>
      <c r="D793" s="32" t="s">
        <v>20</v>
      </c>
      <c r="E793" s="32" t="s">
        <v>86</v>
      </c>
      <c r="F793" s="32" t="s">
        <v>87</v>
      </c>
      <c r="G793" s="387"/>
      <c r="H793" s="36"/>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15"/>
      <c r="D794" s="15"/>
      <c r="E794" s="32" t="s">
        <v>88</v>
      </c>
      <c r="F794" s="32" t="s">
        <v>89</v>
      </c>
      <c r="G794" s="387"/>
      <c r="H794" s="36"/>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15"/>
      <c r="D795" s="15"/>
      <c r="E795" s="32" t="s">
        <v>86</v>
      </c>
      <c r="F795" s="32" t="s">
        <v>922</v>
      </c>
      <c r="G795" s="430" t="str">
        <f>HYPERLINK("https://docs.google.com/spreadsheets/d/19g3RmjAq5b3Etclo-CxmlXx26-rOChVHrQsbE_BA9S0/edit#gid=1986031229", "https://docs.google.com/spreadsheets/d/19g3RmjAq5b3Etclo-CxmlXx26-rOChVHrQsbE_BA9S0/edit#gid=1986031229")</f>
        <v>https://docs.google.com/spreadsheets/d/19g3RmjAq5b3Etclo-CxmlXx26-rOChVHrQsbE_BA9S0/edit#gid=1986031229</v>
      </c>
      <c r="H795" s="32" t="s">
        <v>922</v>
      </c>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15"/>
      <c r="D796" s="15"/>
      <c r="E796" s="32" t="s">
        <v>21</v>
      </c>
      <c r="F796" s="32" t="s">
        <v>51</v>
      </c>
      <c r="G796" s="430" t="str">
        <f>HYPERLINK("https://docs.google.com/spreadsheets/d/19g3RmjAq5b3Etclo-CxmlXx26-rOChVHrQsbE_BA9S0/edit#gid=510054003", "https://docs.google.com/spreadsheets/d/19g3RmjAq5b3Etclo-CxmlXx26-rOChVHrQsbE_BA9S0/edit#gid=510054003")</f>
        <v>https://docs.google.com/spreadsheets/d/19g3RmjAq5b3Etclo-CxmlXx26-rOChVHrQsbE_BA9S0/edit#gid=510054003</v>
      </c>
      <c r="H796" s="32" t="s">
        <v>51</v>
      </c>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15"/>
      <c r="D797" s="15"/>
      <c r="E797" s="32" t="s">
        <v>86</v>
      </c>
      <c r="F797" s="32" t="s">
        <v>92</v>
      </c>
      <c r="G797" s="430" t="str">
        <f>HYPERLINK("https://docs.google.com/spreadsheets/d/19g3RmjAq5b3Etclo-CxmlXx26-rOChVHrQsbE_BA9S0/edit#gid=683752200", "https://docs.google.com/spreadsheets/d/19g3RmjAq5b3Etclo-CxmlXx26-rOChVHrQsbE_BA9S0/edit#gid=683752200")</f>
        <v>https://docs.google.com/spreadsheets/d/19g3RmjAq5b3Etclo-CxmlXx26-rOChVHrQsbE_BA9S0/edit#gid=683752200</v>
      </c>
      <c r="H797" s="32" t="s">
        <v>92</v>
      </c>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15"/>
      <c r="D798" s="15"/>
      <c r="E798" s="32" t="s">
        <v>86</v>
      </c>
      <c r="F798" s="32" t="s">
        <v>950</v>
      </c>
      <c r="G798" s="430" t="str">
        <f>HYPERLINK("https://docs.google.com/spreadsheets/d/19g3RmjAq5b3Etclo-CxmlXx26-rOChVHrQsbE_BA9S0/edit#gid=358439084", "https://docs.google.com/spreadsheets/d/19g3RmjAq5b3Etclo-CxmlXx26-rOChVHrQsbE_BA9S0/edit#gid=358439084")</f>
        <v>https://docs.google.com/spreadsheets/d/19g3RmjAq5b3Etclo-CxmlXx26-rOChVHrQsbE_BA9S0/edit#gid=358439084</v>
      </c>
      <c r="H798" s="32" t="s">
        <v>950</v>
      </c>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15"/>
      <c r="D799" s="15"/>
      <c r="E799" s="32" t="s">
        <v>86</v>
      </c>
      <c r="F799" s="32" t="s">
        <v>358</v>
      </c>
      <c r="G799" s="430" t="str">
        <f>HYPERLINK("https://docs.google.com/spreadsheets/d/19g3RmjAq5b3Etclo-CxmlXx26-rOChVHrQsbE_BA9S0/edit#gid=1226174536", "https://docs.google.com/spreadsheets/d/19g3RmjAq5b3Etclo-CxmlXx26-rOChVHrQsbE_BA9S0/edit#gid=1226174536")</f>
        <v>https://docs.google.com/spreadsheets/d/19g3RmjAq5b3Etclo-CxmlXx26-rOChVHrQsbE_BA9S0/edit#gid=1226174536</v>
      </c>
      <c r="H799" s="32" t="s">
        <v>358</v>
      </c>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15"/>
      <c r="D800" s="15"/>
      <c r="E800" s="32" t="s">
        <v>86</v>
      </c>
      <c r="F800" s="32" t="s">
        <v>94</v>
      </c>
      <c r="G800" s="430" t="str">
        <f>HYPERLINK("https://docs.google.com/spreadsheets/d/19g3RmjAq5b3Etclo-CxmlXx26-rOChVHrQsbE_BA9S0/edit#gid=7708467", "https://docs.google.com/spreadsheets/d/19g3RmjAq5b3Etclo-CxmlXx26-rOChVHrQsbE_BA9S0/edit#gid=7708467")</f>
        <v>https://docs.google.com/spreadsheets/d/19g3RmjAq5b3Etclo-CxmlXx26-rOChVHrQsbE_BA9S0/edit#gid=7708467</v>
      </c>
      <c r="H800" s="32" t="s">
        <v>94</v>
      </c>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15"/>
      <c r="D801" s="15"/>
      <c r="E801" s="32" t="s">
        <v>88</v>
      </c>
      <c r="F801" s="32" t="s">
        <v>96</v>
      </c>
      <c r="G801" s="430" t="str">
        <f>HYPERLINK("https://docs.google.com/spreadsheets/d/19g3RmjAq5b3Etclo-CxmlXx26-rOChVHrQsbE_BA9S0/edit#gid=998500287", "https://docs.google.com/spreadsheets/d/19g3RmjAq5b3Etclo-CxmlXx26-rOChVHrQsbE_BA9S0/edit#gid=998500287")</f>
        <v>https://docs.google.com/spreadsheets/d/19g3RmjAq5b3Etclo-CxmlXx26-rOChVHrQsbE_BA9S0/edit#gid=998500287</v>
      </c>
      <c r="H801" s="32" t="s">
        <v>96</v>
      </c>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15"/>
      <c r="D802" s="15"/>
      <c r="E802" s="32" t="s">
        <v>86</v>
      </c>
      <c r="F802" s="32" t="s">
        <v>922</v>
      </c>
      <c r="G802" s="430" t="str">
        <f>HYPERLINK("https://docs.google.com/spreadsheets/d/19g3RmjAq5b3Etclo-CxmlXx26-rOChVHrQsbE_BA9S0/edit#gid=1413663264", "https://docs.google.com/spreadsheets/d/19g3RmjAq5b3Etclo-CxmlXx26-rOChVHrQsbE_BA9S0/edit#gid=1413663264")</f>
        <v>https://docs.google.com/spreadsheets/d/19g3RmjAq5b3Etclo-CxmlXx26-rOChVHrQsbE_BA9S0/edit#gid=1413663264</v>
      </c>
      <c r="H802" s="32" t="s">
        <v>4006</v>
      </c>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15"/>
      <c r="C803" s="21"/>
      <c r="D803" s="15"/>
      <c r="E803" s="15"/>
      <c r="F803" s="15"/>
      <c r="G803" s="387"/>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32" t="s">
        <v>4031</v>
      </c>
      <c r="C804" s="66" t="s">
        <v>4032</v>
      </c>
      <c r="D804" s="32" t="s">
        <v>20</v>
      </c>
      <c r="E804" s="32" t="s">
        <v>86</v>
      </c>
      <c r="F804" s="32" t="s">
        <v>87</v>
      </c>
      <c r="G804" s="387"/>
      <c r="H804" s="36"/>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15"/>
      <c r="D805" s="15"/>
      <c r="E805" s="32" t="s">
        <v>88</v>
      </c>
      <c r="F805" s="32" t="s">
        <v>89</v>
      </c>
      <c r="G805" s="387"/>
      <c r="H805" s="36"/>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15"/>
      <c r="D806" s="15"/>
      <c r="E806" s="32" t="s">
        <v>86</v>
      </c>
      <c r="F806" s="32" t="s">
        <v>922</v>
      </c>
      <c r="G806" s="430" t="str">
        <f>HYPERLINK("https://docs.google.com/spreadsheets/d/1jaOs1eHhKWFXdn0mVT7eMFd5ThISN8tevG40SXL--zg/edit#gid=776322980", "https://docs.google.com/spreadsheets/d/1jaOs1eHhKWFXdn0mVT7eMFd5ThISN8tevG40SXL--zg/edit#gid=776322980")</f>
        <v>https://docs.google.com/spreadsheets/d/1jaOs1eHhKWFXdn0mVT7eMFd5ThISN8tevG40SXL--zg/edit#gid=776322980</v>
      </c>
      <c r="H806" s="32" t="s">
        <v>922</v>
      </c>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15"/>
      <c r="D807" s="15"/>
      <c r="E807" s="32" t="s">
        <v>21</v>
      </c>
      <c r="F807" s="32" t="s">
        <v>51</v>
      </c>
      <c r="G807" s="430" t="str">
        <f>HYPERLINK("https://docs.google.com/spreadsheets/d/1jaOs1eHhKWFXdn0mVT7eMFd5ThISN8tevG40SXL--zg/edit#gid=1865044115", "https://docs.google.com/spreadsheets/d/1jaOs1eHhKWFXdn0mVT7eMFd5ThISN8tevG40SXL--zg/edit#gid=1865044115")</f>
        <v>https://docs.google.com/spreadsheets/d/1jaOs1eHhKWFXdn0mVT7eMFd5ThISN8tevG40SXL--zg/edit#gid=1865044115</v>
      </c>
      <c r="H807" s="32" t="s">
        <v>51</v>
      </c>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15"/>
      <c r="D808" s="15"/>
      <c r="E808" s="32" t="s">
        <v>88</v>
      </c>
      <c r="F808" s="32" t="s">
        <v>96</v>
      </c>
      <c r="G808" s="430" t="str">
        <f>HYPERLINK("https://docs.google.com/spreadsheets/d/1jaOs1eHhKWFXdn0mVT7eMFd5ThISN8tevG40SXL--zg/edit#gid=1591199081", "https://docs.google.com/spreadsheets/d/1jaOs1eHhKWFXdn0mVT7eMFd5ThISN8tevG40SXL--zg/edit#gid=1591199081")</f>
        <v>https://docs.google.com/spreadsheets/d/1jaOs1eHhKWFXdn0mVT7eMFd5ThISN8tevG40SXL--zg/edit#gid=1591199081</v>
      </c>
      <c r="H808" s="32" t="s">
        <v>96</v>
      </c>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15"/>
      <c r="D809" s="15"/>
      <c r="E809" s="32" t="s">
        <v>86</v>
      </c>
      <c r="F809" s="32" t="s">
        <v>92</v>
      </c>
      <c r="G809" s="430" t="str">
        <f>HYPERLINK("https://docs.google.com/spreadsheets/d/1jaOs1eHhKWFXdn0mVT7eMFd5ThISN8tevG40SXL--zg/edit#gid=449338821", "https://docs.google.com/spreadsheets/d/1jaOs1eHhKWFXdn0mVT7eMFd5ThISN8tevG40SXL--zg/edit#gid=449338821")</f>
        <v>https://docs.google.com/spreadsheets/d/1jaOs1eHhKWFXdn0mVT7eMFd5ThISN8tevG40SXL--zg/edit#gid=449338821</v>
      </c>
      <c r="H809" s="32" t="s">
        <v>92</v>
      </c>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15"/>
      <c r="D810" s="15"/>
      <c r="E810" s="32" t="s">
        <v>86</v>
      </c>
      <c r="F810" s="32" t="s">
        <v>358</v>
      </c>
      <c r="G810" s="430" t="str">
        <f>HYPERLINK("https://docs.google.com/spreadsheets/d/1jaOs1eHhKWFXdn0mVT7eMFd5ThISN8tevG40SXL--zg/edit#gid=1196429201", "https://docs.google.com/spreadsheets/d/1jaOs1eHhKWFXdn0mVT7eMFd5ThISN8tevG40SXL--zg/edit#gid=1196429201")</f>
        <v>https://docs.google.com/spreadsheets/d/1jaOs1eHhKWFXdn0mVT7eMFd5ThISN8tevG40SXL--zg/edit#gid=1196429201</v>
      </c>
      <c r="H810" s="32" t="s">
        <v>358</v>
      </c>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15"/>
      <c r="D811" s="15"/>
      <c r="E811" s="32" t="s">
        <v>88</v>
      </c>
      <c r="F811" s="32" t="s">
        <v>96</v>
      </c>
      <c r="G811" s="430" t="str">
        <f>HYPERLINK("https://docs.google.com/spreadsheets/d/1jaOs1eHhKWFXdn0mVT7eMFd5ThISN8tevG40SXL--zg/edit#gid=1753631247", "https://docs.google.com/spreadsheets/d/1jaOs1eHhKWFXdn0mVT7eMFd5ThISN8tevG40SXL--zg/edit#gid=1753631247")</f>
        <v>https://docs.google.com/spreadsheets/d/1jaOs1eHhKWFXdn0mVT7eMFd5ThISN8tevG40SXL--zg/edit#gid=1753631247</v>
      </c>
      <c r="H811" s="32" t="s">
        <v>177</v>
      </c>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15"/>
      <c r="D812" s="15"/>
      <c r="E812" s="32" t="s">
        <v>86</v>
      </c>
      <c r="F812" s="32" t="s">
        <v>922</v>
      </c>
      <c r="G812" s="430" t="str">
        <f>HYPERLINK("https://docs.google.com/spreadsheets/d/1jaOs1eHhKWFXdn0mVT7eMFd5ThISN8tevG40SXL--zg/edit#gid=1198220616", "https://docs.google.com/spreadsheets/d/1jaOs1eHhKWFXdn0mVT7eMFd5ThISN8tevG40SXL--zg/edit#gid=1198220616")</f>
        <v>https://docs.google.com/spreadsheets/d/1jaOs1eHhKWFXdn0mVT7eMFd5ThISN8tevG40SXL--zg/edit#gid=1198220616</v>
      </c>
      <c r="H812" s="32" t="s">
        <v>3973</v>
      </c>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15"/>
      <c r="C813" s="21"/>
      <c r="D813" s="15"/>
      <c r="E813" s="15"/>
      <c r="F813" s="15"/>
      <c r="G813" s="387"/>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15"/>
      <c r="C814" s="21"/>
      <c r="D814" s="15"/>
      <c r="E814" s="15"/>
      <c r="F814" s="15"/>
      <c r="G814" s="387"/>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15"/>
      <c r="C815" s="21"/>
      <c r="D815" s="15"/>
      <c r="E815" s="15"/>
      <c r="F815" s="15"/>
      <c r="G815" s="387"/>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15"/>
      <c r="C816" s="21"/>
      <c r="D816" s="15"/>
      <c r="E816" s="15"/>
      <c r="F816" s="15"/>
      <c r="G816" s="387"/>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15"/>
      <c r="C817" s="21"/>
      <c r="D817" s="15"/>
      <c r="E817" s="15"/>
      <c r="F817" s="15"/>
      <c r="G817" s="387"/>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15"/>
      <c r="C818" s="21"/>
      <c r="D818" s="15"/>
      <c r="E818" s="15"/>
      <c r="F818" s="15"/>
      <c r="G818" s="387"/>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15"/>
      <c r="C819" s="21"/>
      <c r="D819" s="15"/>
      <c r="E819" s="15"/>
      <c r="F819" s="15"/>
      <c r="G819" s="387"/>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15"/>
      <c r="C820" s="21"/>
      <c r="D820" s="15"/>
      <c r="E820" s="15"/>
      <c r="F820" s="15"/>
      <c r="G820" s="387"/>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15"/>
      <c r="C821" s="21"/>
      <c r="D821" s="15"/>
      <c r="E821" s="15"/>
      <c r="F821" s="15"/>
      <c r="G821" s="387"/>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15"/>
      <c r="C822" s="21"/>
      <c r="D822" s="15"/>
      <c r="E822" s="15"/>
      <c r="F822" s="15"/>
      <c r="G822" s="387"/>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15"/>
      <c r="C823" s="21"/>
      <c r="D823" s="15"/>
      <c r="E823" s="15"/>
      <c r="F823" s="15"/>
      <c r="G823" s="387"/>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15"/>
      <c r="C824" s="21"/>
      <c r="D824" s="15"/>
      <c r="E824" s="15"/>
      <c r="F824" s="15"/>
      <c r="G824" s="387"/>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15"/>
      <c r="C825" s="21"/>
      <c r="D825" s="15"/>
      <c r="E825" s="15"/>
      <c r="F825" s="15"/>
      <c r="G825" s="387"/>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15"/>
      <c r="C826" s="21"/>
      <c r="D826" s="15"/>
      <c r="E826" s="15"/>
      <c r="F826" s="15"/>
      <c r="G826" s="387"/>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15"/>
      <c r="C827" s="21"/>
      <c r="D827" s="15"/>
      <c r="E827" s="15"/>
      <c r="F827" s="15"/>
      <c r="G827" s="387"/>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15"/>
      <c r="C828" s="21"/>
      <c r="D828" s="15"/>
      <c r="E828" s="15"/>
      <c r="F828" s="15"/>
      <c r="G828" s="387"/>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15"/>
      <c r="C829" s="21"/>
      <c r="D829" s="15"/>
      <c r="E829" s="15"/>
      <c r="F829" s="15"/>
      <c r="G829" s="387"/>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15"/>
      <c r="C830" s="21"/>
      <c r="D830" s="15"/>
      <c r="E830" s="15"/>
      <c r="F830" s="15"/>
      <c r="G830" s="387"/>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15"/>
      <c r="C831" s="21"/>
      <c r="D831" s="15"/>
      <c r="E831" s="15"/>
      <c r="F831" s="15"/>
      <c r="G831" s="387"/>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15"/>
      <c r="C832" s="21"/>
      <c r="D832" s="15"/>
      <c r="E832" s="15"/>
      <c r="F832" s="15"/>
      <c r="G832" s="387"/>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15"/>
      <c r="C833" s="21"/>
      <c r="D833" s="15"/>
      <c r="E833" s="15"/>
      <c r="F833" s="15"/>
      <c r="G833" s="387"/>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15"/>
      <c r="C834" s="21"/>
      <c r="D834" s="15"/>
      <c r="E834" s="15"/>
      <c r="F834" s="15"/>
      <c r="G834" s="387"/>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15"/>
      <c r="C835" s="21"/>
      <c r="D835" s="15"/>
      <c r="E835" s="15"/>
      <c r="F835" s="15"/>
      <c r="G835" s="387"/>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15"/>
      <c r="C836" s="21"/>
      <c r="D836" s="15"/>
      <c r="E836" s="15"/>
      <c r="F836" s="15"/>
      <c r="G836" s="387"/>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15"/>
      <c r="C837" s="21"/>
      <c r="D837" s="15"/>
      <c r="E837" s="15"/>
      <c r="F837" s="15"/>
      <c r="G837" s="387"/>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15"/>
      <c r="C838" s="21"/>
      <c r="D838" s="15"/>
      <c r="E838" s="15"/>
      <c r="F838" s="15"/>
      <c r="G838" s="387"/>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15"/>
      <c r="C839" s="21"/>
      <c r="D839" s="15"/>
      <c r="E839" s="15"/>
      <c r="F839" s="15"/>
      <c r="G839" s="387"/>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15"/>
      <c r="C840" s="21"/>
      <c r="D840" s="15"/>
      <c r="E840" s="15"/>
      <c r="F840" s="15"/>
      <c r="G840" s="387"/>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15"/>
      <c r="C841" s="21"/>
      <c r="D841" s="15"/>
      <c r="E841" s="15"/>
      <c r="F841" s="15"/>
      <c r="G841" s="387"/>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15"/>
      <c r="C842" s="21"/>
      <c r="D842" s="15"/>
      <c r="E842" s="15"/>
      <c r="F842" s="15"/>
      <c r="G842" s="387"/>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15"/>
      <c r="C843" s="21"/>
      <c r="D843" s="15"/>
      <c r="E843" s="15"/>
      <c r="F843" s="15"/>
      <c r="G843" s="387"/>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15"/>
      <c r="C844" s="21"/>
      <c r="D844" s="15"/>
      <c r="E844" s="15"/>
      <c r="F844" s="15"/>
      <c r="G844" s="387"/>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15"/>
      <c r="C845" s="21"/>
      <c r="D845" s="15"/>
      <c r="E845" s="15"/>
      <c r="F845" s="15"/>
      <c r="G845" s="387"/>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15"/>
      <c r="C846" s="21"/>
      <c r="D846" s="15"/>
      <c r="E846" s="15"/>
      <c r="F846" s="15"/>
      <c r="G846" s="387"/>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15"/>
      <c r="C847" s="21"/>
      <c r="D847" s="15"/>
      <c r="E847" s="15"/>
      <c r="F847" s="15"/>
      <c r="G847" s="387"/>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15"/>
      <c r="C848" s="21"/>
      <c r="D848" s="15"/>
      <c r="E848" s="15"/>
      <c r="F848" s="15"/>
      <c r="G848" s="387"/>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15"/>
      <c r="C849" s="21"/>
      <c r="D849" s="15"/>
      <c r="E849" s="15"/>
      <c r="F849" s="15"/>
      <c r="G849" s="387"/>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15"/>
      <c r="C850" s="21"/>
      <c r="D850" s="15"/>
      <c r="E850" s="15"/>
      <c r="F850" s="15"/>
      <c r="G850" s="387"/>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15"/>
      <c r="C851" s="21"/>
      <c r="D851" s="15"/>
      <c r="E851" s="15"/>
      <c r="F851" s="15"/>
      <c r="G851" s="387"/>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15"/>
      <c r="C852" s="21"/>
      <c r="D852" s="15"/>
      <c r="E852" s="15"/>
      <c r="F852" s="15"/>
      <c r="G852" s="387"/>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15"/>
      <c r="C853" s="21"/>
      <c r="D853" s="15"/>
      <c r="E853" s="15"/>
      <c r="F853" s="15"/>
      <c r="G853" s="387"/>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15"/>
      <c r="C854" s="21"/>
      <c r="D854" s="15"/>
      <c r="E854" s="15"/>
      <c r="F854" s="15"/>
      <c r="G854" s="387"/>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15"/>
      <c r="C855" s="21"/>
      <c r="D855" s="15"/>
      <c r="E855" s="15"/>
      <c r="F855" s="15"/>
      <c r="G855" s="387"/>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15"/>
      <c r="C856" s="21"/>
      <c r="D856" s="15"/>
      <c r="E856" s="15"/>
      <c r="F856" s="15"/>
      <c r="G856" s="387"/>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15"/>
      <c r="C857" s="21"/>
      <c r="D857" s="15"/>
      <c r="E857" s="15"/>
      <c r="F857" s="15"/>
      <c r="G857" s="387"/>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15"/>
      <c r="C858" s="21"/>
      <c r="D858" s="15"/>
      <c r="E858" s="15"/>
      <c r="F858" s="15"/>
      <c r="G858" s="387"/>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15"/>
      <c r="C859" s="21"/>
      <c r="D859" s="15"/>
      <c r="E859" s="15"/>
      <c r="F859" s="15"/>
      <c r="G859" s="387"/>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15"/>
      <c r="C860" s="21"/>
      <c r="D860" s="15"/>
      <c r="E860" s="15"/>
      <c r="F860" s="15"/>
      <c r="G860" s="387"/>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15"/>
      <c r="C861" s="21"/>
      <c r="D861" s="15"/>
      <c r="E861" s="15"/>
      <c r="F861" s="15"/>
      <c r="G861" s="387"/>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5.75" customHeight="1">
      <c r="A862" s="15"/>
      <c r="B862" s="15"/>
      <c r="C862" s="21"/>
      <c r="D862" s="15"/>
      <c r="E862" s="15"/>
      <c r="F862" s="15"/>
      <c r="G862" s="387"/>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5.75" customHeight="1">
      <c r="A863" s="15"/>
      <c r="B863" s="15"/>
      <c r="C863" s="21"/>
      <c r="D863" s="15"/>
      <c r="E863" s="15"/>
      <c r="F863" s="15"/>
      <c r="G863" s="387"/>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5.75" customHeight="1">
      <c r="A864" s="15"/>
      <c r="B864" s="15"/>
      <c r="C864" s="21"/>
      <c r="D864" s="15"/>
      <c r="E864" s="15"/>
      <c r="F864" s="15"/>
      <c r="G864" s="387"/>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5.75" customHeight="1">
      <c r="A865" s="15"/>
      <c r="B865" s="15"/>
      <c r="C865" s="21"/>
      <c r="D865" s="15"/>
      <c r="E865" s="15"/>
      <c r="F865" s="15"/>
      <c r="G865" s="387"/>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row r="866" ht="15.75" customHeight="1">
      <c r="A866" s="15"/>
      <c r="B866" s="15"/>
      <c r="C866" s="21"/>
      <c r="D866" s="15"/>
      <c r="E866" s="15"/>
      <c r="F866" s="15"/>
      <c r="G866" s="387"/>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row>
    <row r="867" ht="15.75" customHeight="1">
      <c r="A867" s="15"/>
      <c r="B867" s="15"/>
      <c r="C867" s="21"/>
      <c r="D867" s="15"/>
      <c r="E867" s="15"/>
      <c r="F867" s="15"/>
      <c r="G867" s="387"/>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row>
    <row r="868" ht="15.75" customHeight="1">
      <c r="A868" s="15"/>
      <c r="B868" s="15"/>
      <c r="C868" s="21"/>
      <c r="D868" s="15"/>
      <c r="E868" s="15"/>
      <c r="F868" s="15"/>
      <c r="G868" s="387"/>
      <c r="H868" s="15"/>
      <c r="I868" s="11"/>
      <c r="J868" s="11"/>
      <c r="K868" s="11"/>
      <c r="L868" s="11"/>
      <c r="M868" s="15"/>
      <c r="N868" s="15"/>
      <c r="O868" s="15"/>
      <c r="P868" s="15"/>
      <c r="Q868" s="15"/>
      <c r="R868" s="15"/>
      <c r="S868" s="15"/>
      <c r="T868" s="15"/>
      <c r="U868" s="15"/>
      <c r="V868" s="15"/>
      <c r="W868" s="15"/>
      <c r="X868" s="15"/>
      <c r="Y868" s="15"/>
      <c r="Z868" s="15"/>
      <c r="AA868" s="15"/>
      <c r="AB868" s="15"/>
      <c r="AC868" s="15"/>
      <c r="AD868" s="15"/>
      <c r="AE868" s="15"/>
      <c r="AF868" s="15"/>
    </row>
    <row r="869" ht="15.75" customHeight="1">
      <c r="A869" s="15"/>
      <c r="B869" s="15"/>
      <c r="C869" s="21"/>
      <c r="D869" s="15"/>
      <c r="E869" s="15"/>
      <c r="F869" s="15"/>
      <c r="G869" s="387"/>
      <c r="H869" s="15"/>
      <c r="I869" s="11"/>
      <c r="J869" s="11"/>
      <c r="K869" s="11"/>
      <c r="L869" s="11"/>
      <c r="M869" s="15"/>
      <c r="N869" s="15"/>
      <c r="O869" s="15"/>
      <c r="P869" s="15"/>
      <c r="Q869" s="15"/>
      <c r="R869" s="15"/>
      <c r="S869" s="15"/>
      <c r="T869" s="15"/>
      <c r="U869" s="15"/>
      <c r="V869" s="15"/>
      <c r="W869" s="15"/>
      <c r="X869" s="15"/>
      <c r="Y869" s="15"/>
      <c r="Z869" s="15"/>
      <c r="AA869" s="15"/>
      <c r="AB869" s="15"/>
      <c r="AC869" s="15"/>
      <c r="AD869" s="15"/>
      <c r="AE869" s="15"/>
      <c r="AF869" s="15"/>
    </row>
    <row r="870" ht="15.75" customHeight="1">
      <c r="A870" s="15"/>
      <c r="B870" s="15"/>
      <c r="C870" s="21"/>
      <c r="D870" s="15"/>
      <c r="E870" s="15"/>
      <c r="F870" s="15"/>
      <c r="G870" s="387"/>
      <c r="H870" s="15"/>
      <c r="I870" s="11"/>
      <c r="J870" s="11"/>
      <c r="K870" s="11"/>
      <c r="L870" s="11"/>
      <c r="M870" s="15"/>
      <c r="N870" s="15"/>
      <c r="O870" s="15"/>
      <c r="P870" s="15"/>
      <c r="Q870" s="15"/>
      <c r="R870" s="15"/>
      <c r="S870" s="15"/>
      <c r="T870" s="15"/>
      <c r="U870" s="15"/>
      <c r="V870" s="15"/>
      <c r="W870" s="15"/>
      <c r="X870" s="15"/>
      <c r="Y870" s="15"/>
      <c r="Z870" s="15"/>
      <c r="AA870" s="15"/>
      <c r="AB870" s="15"/>
      <c r="AC870" s="15"/>
      <c r="AD870" s="15"/>
      <c r="AE870" s="15"/>
      <c r="AF870" s="15"/>
    </row>
    <row r="871" ht="15.75" customHeight="1">
      <c r="A871" s="15"/>
      <c r="B871" s="15"/>
      <c r="C871" s="21"/>
      <c r="D871" s="15"/>
      <c r="E871" s="15"/>
      <c r="F871" s="15"/>
      <c r="G871" s="387"/>
      <c r="H871" s="15"/>
      <c r="I871" s="11"/>
      <c r="J871" s="11"/>
      <c r="K871" s="11"/>
      <c r="L871" s="11"/>
      <c r="M871" s="15"/>
      <c r="N871" s="15"/>
      <c r="O871" s="15"/>
      <c r="P871" s="15"/>
      <c r="Q871" s="15"/>
      <c r="R871" s="15"/>
      <c r="S871" s="15"/>
      <c r="T871" s="15"/>
      <c r="U871" s="15"/>
      <c r="V871" s="15"/>
      <c r="W871" s="15"/>
      <c r="X871" s="15"/>
      <c r="Y871" s="15"/>
      <c r="Z871" s="15"/>
      <c r="AA871" s="15"/>
      <c r="AB871" s="15"/>
      <c r="AC871" s="15"/>
      <c r="AD871" s="15"/>
      <c r="AE871" s="15"/>
      <c r="AF871" s="15"/>
    </row>
    <row r="872" ht="15.75" customHeight="1">
      <c r="A872" s="15"/>
      <c r="B872" s="15"/>
      <c r="C872" s="21"/>
      <c r="D872" s="15"/>
      <c r="E872" s="15"/>
      <c r="F872" s="15"/>
      <c r="G872" s="387"/>
      <c r="H872" s="15"/>
      <c r="I872" s="11"/>
      <c r="J872" s="11"/>
      <c r="K872" s="11"/>
      <c r="L872" s="11"/>
      <c r="M872" s="15"/>
      <c r="N872" s="15"/>
      <c r="O872" s="15"/>
      <c r="P872" s="15"/>
      <c r="Q872" s="15"/>
      <c r="R872" s="15"/>
      <c r="S872" s="15"/>
      <c r="T872" s="15"/>
      <c r="U872" s="15"/>
      <c r="V872" s="15"/>
      <c r="W872" s="15"/>
      <c r="X872" s="15"/>
      <c r="Y872" s="15"/>
      <c r="Z872" s="15"/>
      <c r="AA872" s="15"/>
      <c r="AB872" s="15"/>
      <c r="AC872" s="15"/>
      <c r="AD872" s="15"/>
      <c r="AE872" s="15"/>
      <c r="AF872" s="15"/>
    </row>
    <row r="873" ht="15.75" customHeight="1">
      <c r="A873" s="15"/>
      <c r="B873" s="15"/>
      <c r="C873" s="21"/>
      <c r="D873" s="15"/>
      <c r="E873" s="15"/>
      <c r="F873" s="15"/>
      <c r="G873" s="387"/>
      <c r="H873" s="15"/>
      <c r="I873" s="11"/>
      <c r="J873" s="11"/>
      <c r="K873" s="11"/>
      <c r="L873" s="11"/>
      <c r="M873" s="15"/>
      <c r="N873" s="15"/>
      <c r="O873" s="15"/>
      <c r="P873" s="15"/>
      <c r="Q873" s="15"/>
      <c r="R873" s="15"/>
      <c r="S873" s="15"/>
      <c r="T873" s="15"/>
      <c r="U873" s="15"/>
      <c r="V873" s="15"/>
      <c r="W873" s="15"/>
      <c r="X873" s="15"/>
      <c r="Y873" s="15"/>
      <c r="Z873" s="15"/>
      <c r="AA873" s="15"/>
      <c r="AB873" s="15"/>
      <c r="AC873" s="15"/>
      <c r="AD873" s="15"/>
      <c r="AE873" s="15"/>
      <c r="AF873" s="15"/>
    </row>
    <row r="874" ht="15.75" customHeight="1">
      <c r="A874" s="15"/>
      <c r="B874" s="15"/>
      <c r="C874" s="21"/>
      <c r="D874" s="15"/>
      <c r="E874" s="15"/>
      <c r="F874" s="15"/>
      <c r="G874" s="387"/>
      <c r="H874" s="15"/>
      <c r="I874" s="11"/>
      <c r="J874" s="11"/>
      <c r="K874" s="11"/>
      <c r="L874" s="11"/>
      <c r="M874" s="15"/>
      <c r="N874" s="15"/>
      <c r="O874" s="15"/>
      <c r="P874" s="15"/>
      <c r="Q874" s="15"/>
      <c r="R874" s="15"/>
      <c r="S874" s="15"/>
      <c r="T874" s="15"/>
      <c r="U874" s="15"/>
      <c r="V874" s="15"/>
      <c r="W874" s="15"/>
      <c r="X874" s="15"/>
      <c r="Y874" s="15"/>
      <c r="Z874" s="15"/>
      <c r="AA874" s="15"/>
      <c r="AB874" s="15"/>
      <c r="AC874" s="15"/>
      <c r="AD874" s="15"/>
      <c r="AE874" s="15"/>
      <c r="AF874" s="15"/>
    </row>
    <row r="875" ht="15.75" customHeight="1">
      <c r="A875" s="15"/>
      <c r="B875" s="15"/>
      <c r="C875" s="21"/>
      <c r="D875" s="15"/>
      <c r="E875" s="15"/>
      <c r="F875" s="15"/>
      <c r="G875" s="387"/>
      <c r="H875" s="15"/>
      <c r="I875" s="11"/>
      <c r="J875" s="11"/>
      <c r="K875" s="11"/>
      <c r="L875" s="11"/>
      <c r="M875" s="15"/>
      <c r="N875" s="15"/>
      <c r="O875" s="15"/>
      <c r="P875" s="15"/>
      <c r="Q875" s="15"/>
      <c r="R875" s="15"/>
      <c r="S875" s="15"/>
      <c r="T875" s="15"/>
      <c r="U875" s="15"/>
      <c r="V875" s="15"/>
      <c r="W875" s="15"/>
      <c r="X875" s="15"/>
      <c r="Y875" s="15"/>
      <c r="Z875" s="15"/>
      <c r="AA875" s="15"/>
      <c r="AB875" s="15"/>
      <c r="AC875" s="15"/>
      <c r="AD875" s="15"/>
      <c r="AE875" s="15"/>
      <c r="AF875" s="15"/>
    </row>
    <row r="876" ht="15.75" customHeight="1">
      <c r="A876" s="15"/>
      <c r="B876" s="15"/>
      <c r="C876" s="21"/>
      <c r="D876" s="15"/>
      <c r="E876" s="15"/>
      <c r="F876" s="15"/>
      <c r="G876" s="387"/>
      <c r="H876" s="15"/>
      <c r="I876" s="11"/>
      <c r="J876" s="11"/>
      <c r="K876" s="11"/>
      <c r="L876" s="11"/>
      <c r="M876" s="15"/>
      <c r="N876" s="15"/>
      <c r="O876" s="15"/>
      <c r="P876" s="15"/>
      <c r="Q876" s="15"/>
      <c r="R876" s="15"/>
      <c r="S876" s="15"/>
      <c r="T876" s="15"/>
      <c r="U876" s="15"/>
      <c r="V876" s="15"/>
      <c r="W876" s="15"/>
      <c r="X876" s="15"/>
      <c r="Y876" s="15"/>
      <c r="Z876" s="15"/>
      <c r="AA876" s="15"/>
      <c r="AB876" s="15"/>
      <c r="AC876" s="15"/>
      <c r="AD876" s="15"/>
      <c r="AE876" s="15"/>
      <c r="AF876" s="15"/>
    </row>
    <row r="877" ht="15.75" customHeight="1">
      <c r="A877" s="15"/>
      <c r="B877" s="15"/>
      <c r="C877" s="21"/>
      <c r="D877" s="15"/>
      <c r="E877" s="15"/>
      <c r="F877" s="15"/>
      <c r="G877" s="387"/>
      <c r="H877" s="15"/>
      <c r="I877" s="11"/>
      <c r="J877" s="11"/>
      <c r="K877" s="11"/>
      <c r="L877" s="11"/>
      <c r="M877" s="15"/>
      <c r="N877" s="15"/>
      <c r="O877" s="15"/>
      <c r="P877" s="15"/>
      <c r="Q877" s="15"/>
      <c r="R877" s="15"/>
      <c r="S877" s="15"/>
      <c r="T877" s="15"/>
      <c r="U877" s="15"/>
      <c r="V877" s="15"/>
      <c r="W877" s="15"/>
      <c r="X877" s="15"/>
      <c r="Y877" s="15"/>
      <c r="Z877" s="15"/>
      <c r="AA877" s="15"/>
      <c r="AB877" s="15"/>
      <c r="AC877" s="15"/>
      <c r="AD877" s="15"/>
      <c r="AE877" s="15"/>
      <c r="AF877" s="15"/>
    </row>
    <row r="878" ht="15.75" customHeight="1">
      <c r="A878" s="15"/>
      <c r="B878" s="15"/>
      <c r="C878" s="21"/>
      <c r="D878" s="15"/>
      <c r="E878" s="15"/>
      <c r="F878" s="15"/>
      <c r="G878" s="387"/>
      <c r="H878" s="15"/>
      <c r="I878" s="11"/>
      <c r="J878" s="11"/>
      <c r="K878" s="11"/>
      <c r="L878" s="11"/>
      <c r="M878" s="15"/>
      <c r="N878" s="15"/>
      <c r="O878" s="15"/>
      <c r="P878" s="15"/>
      <c r="Q878" s="15"/>
      <c r="R878" s="15"/>
      <c r="S878" s="15"/>
      <c r="T878" s="15"/>
      <c r="U878" s="15"/>
      <c r="V878" s="15"/>
      <c r="W878" s="15"/>
      <c r="X878" s="15"/>
      <c r="Y878" s="15"/>
      <c r="Z878" s="15"/>
      <c r="AA878" s="15"/>
      <c r="AB878" s="15"/>
      <c r="AC878" s="15"/>
      <c r="AD878" s="15"/>
      <c r="AE878" s="15"/>
      <c r="AF878" s="15"/>
    </row>
    <row r="879" ht="15.75" customHeight="1">
      <c r="A879" s="15"/>
      <c r="B879" s="15"/>
      <c r="C879" s="21"/>
      <c r="D879" s="15"/>
      <c r="E879" s="15"/>
      <c r="F879" s="15"/>
      <c r="G879" s="387"/>
      <c r="H879" s="15"/>
      <c r="I879" s="11"/>
      <c r="J879" s="11"/>
      <c r="K879" s="11"/>
      <c r="L879" s="11"/>
      <c r="M879" s="15"/>
      <c r="N879" s="15"/>
      <c r="O879" s="15"/>
      <c r="P879" s="15"/>
      <c r="Q879" s="15"/>
      <c r="R879" s="15"/>
      <c r="S879" s="15"/>
      <c r="T879" s="15"/>
      <c r="U879" s="15"/>
      <c r="V879" s="15"/>
      <c r="W879" s="15"/>
      <c r="X879" s="15"/>
      <c r="Y879" s="15"/>
      <c r="Z879" s="15"/>
      <c r="AA879" s="15"/>
      <c r="AB879" s="15"/>
      <c r="AC879" s="15"/>
      <c r="AD879" s="15"/>
      <c r="AE879" s="15"/>
      <c r="AF879" s="15"/>
    </row>
    <row r="880" ht="15.75" customHeight="1">
      <c r="A880" s="15"/>
      <c r="B880" s="15"/>
      <c r="C880" s="21"/>
      <c r="D880" s="15"/>
      <c r="E880" s="15"/>
      <c r="F880" s="15"/>
      <c r="G880" s="387"/>
      <c r="H880" s="15"/>
      <c r="I880" s="11"/>
      <c r="J880" s="11"/>
      <c r="K880" s="11"/>
      <c r="L880" s="11"/>
      <c r="M880" s="15"/>
      <c r="N880" s="15"/>
      <c r="O880" s="15"/>
      <c r="P880" s="15"/>
      <c r="Q880" s="15"/>
      <c r="R880" s="15"/>
      <c r="S880" s="15"/>
      <c r="T880" s="15"/>
      <c r="U880" s="15"/>
      <c r="V880" s="15"/>
      <c r="W880" s="15"/>
      <c r="X880" s="15"/>
      <c r="Y880" s="15"/>
      <c r="Z880" s="15"/>
      <c r="AA880" s="15"/>
      <c r="AB880" s="15"/>
      <c r="AC880" s="15"/>
      <c r="AD880" s="15"/>
      <c r="AE880" s="15"/>
      <c r="AF880" s="15"/>
    </row>
    <row r="881" ht="15.75" customHeight="1">
      <c r="A881" s="15"/>
      <c r="B881" s="15"/>
      <c r="C881" s="21"/>
      <c r="D881" s="15"/>
      <c r="E881" s="15"/>
      <c r="F881" s="15"/>
      <c r="G881" s="387"/>
      <c r="H881" s="15"/>
      <c r="I881" s="11"/>
      <c r="J881" s="11"/>
      <c r="K881" s="11"/>
      <c r="L881" s="11"/>
      <c r="M881" s="15"/>
      <c r="N881" s="15"/>
      <c r="O881" s="15"/>
      <c r="P881" s="15"/>
      <c r="Q881" s="15"/>
      <c r="R881" s="15"/>
      <c r="S881" s="15"/>
      <c r="T881" s="15"/>
      <c r="U881" s="15"/>
      <c r="V881" s="15"/>
      <c r="W881" s="15"/>
      <c r="X881" s="15"/>
      <c r="Y881" s="15"/>
      <c r="Z881" s="15"/>
      <c r="AA881" s="15"/>
      <c r="AB881" s="15"/>
      <c r="AC881" s="15"/>
      <c r="AD881" s="15"/>
      <c r="AE881" s="15"/>
      <c r="AF881" s="15"/>
    </row>
    <row r="882" ht="15.75" customHeight="1">
      <c r="A882" s="15"/>
      <c r="B882" s="15"/>
      <c r="C882" s="21"/>
      <c r="D882" s="15"/>
      <c r="E882" s="15"/>
      <c r="F882" s="15"/>
      <c r="G882" s="387"/>
      <c r="H882" s="15"/>
      <c r="I882" s="11"/>
      <c r="J882" s="11"/>
      <c r="K882" s="11"/>
      <c r="L882" s="11"/>
      <c r="M882" s="15"/>
      <c r="N882" s="15"/>
      <c r="O882" s="15"/>
      <c r="P882" s="15"/>
      <c r="Q882" s="15"/>
      <c r="R882" s="15"/>
      <c r="S882" s="15"/>
      <c r="T882" s="15"/>
      <c r="U882" s="15"/>
      <c r="V882" s="15"/>
      <c r="W882" s="15"/>
      <c r="X882" s="15"/>
      <c r="Y882" s="15"/>
      <c r="Z882" s="15"/>
      <c r="AA882" s="15"/>
      <c r="AB882" s="15"/>
      <c r="AC882" s="15"/>
      <c r="AD882" s="15"/>
      <c r="AE882" s="15"/>
      <c r="AF882" s="15"/>
    </row>
    <row r="883" ht="15.75" customHeight="1">
      <c r="A883" s="15"/>
      <c r="B883" s="15"/>
      <c r="C883" s="21"/>
      <c r="D883" s="15"/>
      <c r="E883" s="15"/>
      <c r="F883" s="15"/>
      <c r="G883" s="387"/>
      <c r="H883" s="15"/>
      <c r="I883" s="11"/>
      <c r="J883" s="11"/>
      <c r="K883" s="11"/>
      <c r="L883" s="11"/>
      <c r="M883" s="15"/>
      <c r="N883" s="15"/>
      <c r="O883" s="15"/>
      <c r="P883" s="15"/>
      <c r="Q883" s="15"/>
      <c r="R883" s="15"/>
      <c r="S883" s="15"/>
      <c r="T883" s="15"/>
      <c r="U883" s="15"/>
      <c r="V883" s="15"/>
      <c r="W883" s="15"/>
      <c r="X883" s="15"/>
      <c r="Y883" s="15"/>
      <c r="Z883" s="15"/>
      <c r="AA883" s="15"/>
      <c r="AB883" s="15"/>
      <c r="AC883" s="15"/>
      <c r="AD883" s="15"/>
      <c r="AE883" s="15"/>
      <c r="AF883" s="15"/>
    </row>
    <row r="884" ht="15.75" customHeight="1">
      <c r="A884" s="15"/>
      <c r="B884" s="15"/>
      <c r="C884" s="21"/>
      <c r="D884" s="15"/>
      <c r="E884" s="15"/>
      <c r="F884" s="15"/>
      <c r="G884" s="387"/>
      <c r="H884" s="15"/>
      <c r="I884" s="11"/>
      <c r="J884" s="11"/>
      <c r="K884" s="11"/>
      <c r="L884" s="11"/>
      <c r="M884" s="15"/>
      <c r="N884" s="15"/>
      <c r="O884" s="15"/>
      <c r="P884" s="15"/>
      <c r="Q884" s="15"/>
      <c r="R884" s="15"/>
      <c r="S884" s="15"/>
      <c r="T884" s="15"/>
      <c r="U884" s="15"/>
      <c r="V884" s="15"/>
      <c r="W884" s="15"/>
      <c r="X884" s="15"/>
      <c r="Y884" s="15"/>
      <c r="Z884" s="15"/>
      <c r="AA884" s="15"/>
      <c r="AB884" s="15"/>
      <c r="AC884" s="15"/>
      <c r="AD884" s="15"/>
      <c r="AE884" s="15"/>
      <c r="AF884" s="15"/>
    </row>
    <row r="885" ht="15.75" customHeight="1">
      <c r="A885" s="15"/>
      <c r="B885" s="15"/>
      <c r="C885" s="21"/>
      <c r="D885" s="15"/>
      <c r="E885" s="15"/>
      <c r="F885" s="15"/>
      <c r="G885" s="387"/>
      <c r="H885" s="15"/>
      <c r="I885" s="11"/>
      <c r="J885" s="11"/>
      <c r="K885" s="11"/>
      <c r="L885" s="11"/>
      <c r="M885" s="15"/>
      <c r="N885" s="15"/>
      <c r="O885" s="15"/>
      <c r="P885" s="15"/>
      <c r="Q885" s="15"/>
      <c r="R885" s="15"/>
      <c r="S885" s="15"/>
      <c r="T885" s="15"/>
      <c r="U885" s="15"/>
      <c r="V885" s="15"/>
      <c r="W885" s="15"/>
      <c r="X885" s="15"/>
      <c r="Y885" s="15"/>
      <c r="Z885" s="15"/>
      <c r="AA885" s="15"/>
      <c r="AB885" s="15"/>
      <c r="AC885" s="15"/>
      <c r="AD885" s="15"/>
      <c r="AE885" s="15"/>
      <c r="AF885" s="15"/>
    </row>
    <row r="886" ht="15.75" customHeight="1">
      <c r="A886" s="15"/>
      <c r="B886" s="15"/>
      <c r="C886" s="21"/>
      <c r="D886" s="15"/>
      <c r="E886" s="15"/>
      <c r="F886" s="15"/>
      <c r="G886" s="387"/>
      <c r="H886" s="15"/>
      <c r="I886" s="11"/>
      <c r="J886" s="11"/>
      <c r="K886" s="11"/>
      <c r="L886" s="11"/>
      <c r="M886" s="15"/>
      <c r="N886" s="15"/>
      <c r="O886" s="15"/>
      <c r="P886" s="15"/>
      <c r="Q886" s="15"/>
      <c r="R886" s="15"/>
      <c r="S886" s="15"/>
      <c r="T886" s="15"/>
      <c r="U886" s="15"/>
      <c r="V886" s="15"/>
      <c r="W886" s="15"/>
      <c r="X886" s="15"/>
      <c r="Y886" s="15"/>
      <c r="Z886" s="15"/>
      <c r="AA886" s="15"/>
      <c r="AB886" s="15"/>
      <c r="AC886" s="15"/>
      <c r="AD886" s="15"/>
      <c r="AE886" s="15"/>
      <c r="AF886" s="15"/>
    </row>
    <row r="887" ht="15.75" customHeight="1">
      <c r="A887" s="15"/>
      <c r="B887" s="15"/>
      <c r="C887" s="21"/>
      <c r="D887" s="15"/>
      <c r="E887" s="15"/>
      <c r="F887" s="15"/>
      <c r="G887" s="387"/>
      <c r="H887" s="15"/>
      <c r="I887" s="11"/>
      <c r="J887" s="11"/>
      <c r="K887" s="11"/>
      <c r="L887" s="11"/>
      <c r="M887" s="15"/>
      <c r="N887" s="15"/>
      <c r="O887" s="15"/>
      <c r="P887" s="15"/>
      <c r="Q887" s="15"/>
      <c r="R887" s="15"/>
      <c r="S887" s="15"/>
      <c r="T887" s="15"/>
      <c r="U887" s="15"/>
      <c r="V887" s="15"/>
      <c r="W887" s="15"/>
      <c r="X887" s="15"/>
      <c r="Y887" s="15"/>
      <c r="Z887" s="15"/>
      <c r="AA887" s="15"/>
      <c r="AB887" s="15"/>
      <c r="AC887" s="15"/>
      <c r="AD887" s="15"/>
      <c r="AE887" s="15"/>
      <c r="AF887" s="15"/>
    </row>
    <row r="888" ht="15.75" customHeight="1">
      <c r="A888" s="15"/>
      <c r="B888" s="15"/>
      <c r="C888" s="21"/>
      <c r="D888" s="15"/>
      <c r="E888" s="15"/>
      <c r="F888" s="15"/>
      <c r="G888" s="387"/>
      <c r="H888" s="15"/>
      <c r="I888" s="11"/>
      <c r="J888" s="11"/>
      <c r="K888" s="11"/>
      <c r="L888" s="11"/>
      <c r="M888" s="15"/>
      <c r="N888" s="15"/>
      <c r="O888" s="15"/>
      <c r="P888" s="15"/>
      <c r="Q888" s="15"/>
      <c r="R888" s="15"/>
      <c r="S888" s="15"/>
      <c r="T888" s="15"/>
      <c r="U888" s="15"/>
      <c r="V888" s="15"/>
      <c r="W888" s="15"/>
      <c r="X888" s="15"/>
      <c r="Y888" s="15"/>
      <c r="Z888" s="15"/>
      <c r="AA888" s="15"/>
      <c r="AB888" s="15"/>
      <c r="AC888" s="15"/>
      <c r="AD888" s="15"/>
      <c r="AE888" s="15"/>
      <c r="AF888" s="15"/>
    </row>
    <row r="889" ht="15.75" customHeight="1">
      <c r="A889" s="15"/>
      <c r="B889" s="15"/>
      <c r="C889" s="21"/>
      <c r="D889" s="15"/>
      <c r="E889" s="15"/>
      <c r="F889" s="15"/>
      <c r="G889" s="387"/>
      <c r="H889" s="15"/>
      <c r="I889" s="11"/>
      <c r="J889" s="11"/>
      <c r="K889" s="11"/>
      <c r="L889" s="11"/>
      <c r="M889" s="15"/>
      <c r="N889" s="15"/>
      <c r="O889" s="15"/>
      <c r="P889" s="15"/>
      <c r="Q889" s="15"/>
      <c r="R889" s="15"/>
      <c r="S889" s="15"/>
      <c r="T889" s="15"/>
      <c r="U889" s="15"/>
      <c r="V889" s="15"/>
      <c r="W889" s="15"/>
      <c r="X889" s="15"/>
      <c r="Y889" s="15"/>
      <c r="Z889" s="15"/>
      <c r="AA889" s="15"/>
      <c r="AB889" s="15"/>
      <c r="AC889" s="15"/>
      <c r="AD889" s="15"/>
      <c r="AE889" s="15"/>
      <c r="AF889" s="15"/>
    </row>
    <row r="890" ht="15.75" customHeight="1">
      <c r="A890" s="15"/>
      <c r="B890" s="15"/>
      <c r="C890" s="21"/>
      <c r="D890" s="15"/>
      <c r="E890" s="15"/>
      <c r="F890" s="15"/>
      <c r="G890" s="387"/>
      <c r="H890" s="15"/>
      <c r="I890" s="11"/>
      <c r="J890" s="11"/>
      <c r="K890" s="11"/>
      <c r="L890" s="11"/>
      <c r="M890" s="15"/>
      <c r="N890" s="15"/>
      <c r="O890" s="15"/>
      <c r="P890" s="15"/>
      <c r="Q890" s="15"/>
      <c r="R890" s="15"/>
      <c r="S890" s="15"/>
      <c r="T890" s="15"/>
      <c r="U890" s="15"/>
      <c r="V890" s="15"/>
      <c r="W890" s="15"/>
      <c r="X890" s="15"/>
      <c r="Y890" s="15"/>
      <c r="Z890" s="15"/>
      <c r="AA890" s="15"/>
      <c r="AB890" s="15"/>
      <c r="AC890" s="15"/>
      <c r="AD890" s="15"/>
      <c r="AE890" s="15"/>
      <c r="AF890" s="15"/>
    </row>
    <row r="891" ht="15.75" customHeight="1">
      <c r="A891" s="15"/>
      <c r="B891" s="15"/>
      <c r="C891" s="21"/>
      <c r="D891" s="15"/>
      <c r="E891" s="15"/>
      <c r="F891" s="15"/>
      <c r="G891" s="387"/>
      <c r="H891" s="15"/>
      <c r="I891" s="11"/>
      <c r="J891" s="11"/>
      <c r="K891" s="11"/>
      <c r="L891" s="11"/>
      <c r="M891" s="15"/>
      <c r="N891" s="15"/>
      <c r="O891" s="15"/>
      <c r="P891" s="15"/>
      <c r="Q891" s="15"/>
      <c r="R891" s="15"/>
      <c r="S891" s="15"/>
      <c r="T891" s="15"/>
      <c r="U891" s="15"/>
      <c r="V891" s="15"/>
      <c r="W891" s="15"/>
      <c r="X891" s="15"/>
      <c r="Y891" s="15"/>
      <c r="Z891" s="15"/>
      <c r="AA891" s="15"/>
      <c r="AB891" s="15"/>
      <c r="AC891" s="15"/>
      <c r="AD891" s="15"/>
      <c r="AE891" s="15"/>
      <c r="AF891" s="15"/>
    </row>
    <row r="892" ht="15.75" customHeight="1">
      <c r="A892" s="15"/>
      <c r="B892" s="15"/>
      <c r="C892" s="21"/>
      <c r="D892" s="15"/>
      <c r="E892" s="15"/>
      <c r="F892" s="15"/>
      <c r="G892" s="387"/>
      <c r="H892" s="15"/>
      <c r="I892" s="11"/>
      <c r="J892" s="11"/>
      <c r="K892" s="11"/>
      <c r="L892" s="11"/>
      <c r="M892" s="15"/>
      <c r="N892" s="15"/>
      <c r="O892" s="15"/>
      <c r="P892" s="15"/>
      <c r="Q892" s="15"/>
      <c r="R892" s="15"/>
      <c r="S892" s="15"/>
      <c r="T892" s="15"/>
      <c r="U892" s="15"/>
      <c r="V892" s="15"/>
      <c r="W892" s="15"/>
      <c r="X892" s="15"/>
      <c r="Y892" s="15"/>
      <c r="Z892" s="15"/>
      <c r="AA892" s="15"/>
      <c r="AB892" s="15"/>
      <c r="AC892" s="15"/>
      <c r="AD892" s="15"/>
      <c r="AE892" s="15"/>
      <c r="AF892" s="15"/>
    </row>
    <row r="893" ht="15.75" customHeight="1">
      <c r="A893" s="15"/>
      <c r="B893" s="15"/>
      <c r="C893" s="21"/>
      <c r="D893" s="15"/>
      <c r="E893" s="15"/>
      <c r="F893" s="15"/>
      <c r="G893" s="387"/>
      <c r="H893" s="15"/>
      <c r="I893" s="11"/>
      <c r="J893" s="11"/>
      <c r="K893" s="11"/>
      <c r="L893" s="11"/>
      <c r="M893" s="15"/>
      <c r="N893" s="15"/>
      <c r="O893" s="15"/>
      <c r="P893" s="15"/>
      <c r="Q893" s="15"/>
      <c r="R893" s="15"/>
      <c r="S893" s="15"/>
      <c r="T893" s="15"/>
      <c r="U893" s="15"/>
      <c r="V893" s="15"/>
      <c r="W893" s="15"/>
      <c r="X893" s="15"/>
      <c r="Y893" s="15"/>
      <c r="Z893" s="15"/>
      <c r="AA893" s="15"/>
      <c r="AB893" s="15"/>
      <c r="AC893" s="15"/>
      <c r="AD893" s="15"/>
      <c r="AE893" s="15"/>
      <c r="AF893" s="15"/>
    </row>
    <row r="894" ht="15.75" customHeight="1">
      <c r="A894" s="15"/>
      <c r="B894" s="15"/>
      <c r="C894" s="21"/>
      <c r="D894" s="15"/>
      <c r="E894" s="15"/>
      <c r="F894" s="15"/>
      <c r="G894" s="387"/>
      <c r="H894" s="15"/>
      <c r="I894" s="11"/>
      <c r="J894" s="11"/>
      <c r="K894" s="11"/>
      <c r="L894" s="11"/>
      <c r="M894" s="15"/>
      <c r="N894" s="15"/>
      <c r="O894" s="15"/>
      <c r="P894" s="15"/>
      <c r="Q894" s="15"/>
      <c r="R894" s="15"/>
      <c r="S894" s="15"/>
      <c r="T894" s="15"/>
      <c r="U894" s="15"/>
      <c r="V894" s="15"/>
      <c r="W894" s="15"/>
      <c r="X894" s="15"/>
      <c r="Y894" s="15"/>
      <c r="Z894" s="15"/>
      <c r="AA894" s="15"/>
      <c r="AB894" s="15"/>
      <c r="AC894" s="15"/>
      <c r="AD894" s="15"/>
      <c r="AE894" s="15"/>
      <c r="AF894" s="15"/>
    </row>
    <row r="895" ht="15.75" customHeight="1">
      <c r="A895" s="15"/>
      <c r="B895" s="15"/>
      <c r="C895" s="21"/>
      <c r="D895" s="15"/>
      <c r="E895" s="15"/>
      <c r="F895" s="15"/>
      <c r="G895" s="387"/>
      <c r="H895" s="15"/>
      <c r="I895" s="11"/>
      <c r="J895" s="11"/>
      <c r="K895" s="11"/>
      <c r="L895" s="11"/>
      <c r="M895" s="15"/>
      <c r="N895" s="15"/>
      <c r="O895" s="15"/>
      <c r="P895" s="15"/>
      <c r="Q895" s="15"/>
      <c r="R895" s="15"/>
      <c r="S895" s="15"/>
      <c r="T895" s="15"/>
      <c r="U895" s="15"/>
      <c r="V895" s="15"/>
      <c r="W895" s="15"/>
      <c r="X895" s="15"/>
      <c r="Y895" s="15"/>
      <c r="Z895" s="15"/>
      <c r="AA895" s="15"/>
      <c r="AB895" s="15"/>
      <c r="AC895" s="15"/>
      <c r="AD895" s="15"/>
      <c r="AE895" s="15"/>
      <c r="AF895" s="15"/>
    </row>
    <row r="896" ht="15.75" customHeight="1">
      <c r="A896" s="15"/>
      <c r="B896" s="15"/>
      <c r="C896" s="21"/>
      <c r="D896" s="15"/>
      <c r="E896" s="15"/>
      <c r="F896" s="15"/>
      <c r="G896" s="387"/>
      <c r="H896" s="15"/>
      <c r="I896" s="11"/>
      <c r="J896" s="11"/>
      <c r="K896" s="11"/>
      <c r="L896" s="11"/>
      <c r="M896" s="15"/>
      <c r="N896" s="15"/>
      <c r="O896" s="15"/>
      <c r="P896" s="15"/>
      <c r="Q896" s="15"/>
      <c r="R896" s="15"/>
      <c r="S896" s="15"/>
      <c r="T896" s="15"/>
      <c r="U896" s="15"/>
      <c r="V896" s="15"/>
      <c r="W896" s="15"/>
      <c r="X896" s="15"/>
      <c r="Y896" s="15"/>
      <c r="Z896" s="15"/>
      <c r="AA896" s="15"/>
      <c r="AB896" s="15"/>
      <c r="AC896" s="15"/>
      <c r="AD896" s="15"/>
      <c r="AE896" s="15"/>
      <c r="AF896" s="15"/>
    </row>
    <row r="897" ht="15.75" customHeight="1">
      <c r="A897" s="15"/>
      <c r="B897" s="15"/>
      <c r="C897" s="21"/>
      <c r="D897" s="15"/>
      <c r="E897" s="15"/>
      <c r="F897" s="15"/>
      <c r="G897" s="387"/>
      <c r="H897" s="15"/>
      <c r="I897" s="11"/>
      <c r="J897" s="11"/>
      <c r="K897" s="11"/>
      <c r="L897" s="11"/>
      <c r="M897" s="15"/>
      <c r="N897" s="15"/>
      <c r="O897" s="15"/>
      <c r="P897" s="15"/>
      <c r="Q897" s="15"/>
      <c r="R897" s="15"/>
      <c r="S897" s="15"/>
      <c r="T897" s="15"/>
      <c r="U897" s="15"/>
      <c r="V897" s="15"/>
      <c r="W897" s="15"/>
      <c r="X897" s="15"/>
      <c r="Y897" s="15"/>
      <c r="Z897" s="15"/>
      <c r="AA897" s="15"/>
      <c r="AB897" s="15"/>
      <c r="AC897" s="15"/>
      <c r="AD897" s="15"/>
      <c r="AE897" s="15"/>
      <c r="AF897" s="15"/>
    </row>
    <row r="898" ht="15.75" customHeight="1">
      <c r="A898" s="15"/>
      <c r="B898" s="15"/>
      <c r="C898" s="21"/>
      <c r="D898" s="15"/>
      <c r="E898" s="15"/>
      <c r="F898" s="15"/>
      <c r="G898" s="387"/>
      <c r="H898" s="15"/>
      <c r="I898" s="11"/>
      <c r="J898" s="11"/>
      <c r="K898" s="11"/>
      <c r="L898" s="11"/>
      <c r="M898" s="15"/>
      <c r="N898" s="15"/>
      <c r="O898" s="15"/>
      <c r="P898" s="15"/>
      <c r="Q898" s="15"/>
      <c r="R898" s="15"/>
      <c r="S898" s="15"/>
      <c r="T898" s="15"/>
      <c r="U898" s="15"/>
      <c r="V898" s="15"/>
      <c r="W898" s="15"/>
      <c r="X898" s="15"/>
      <c r="Y898" s="15"/>
      <c r="Z898" s="15"/>
      <c r="AA898" s="15"/>
      <c r="AB898" s="15"/>
      <c r="AC898" s="15"/>
      <c r="AD898" s="15"/>
      <c r="AE898" s="15"/>
      <c r="AF898" s="15"/>
    </row>
    <row r="899" ht="15.75" customHeight="1">
      <c r="A899" s="15"/>
      <c r="B899" s="15"/>
      <c r="C899" s="21"/>
      <c r="D899" s="15"/>
      <c r="E899" s="15"/>
      <c r="F899" s="15"/>
      <c r="G899" s="387"/>
      <c r="H899" s="15"/>
      <c r="I899" s="11"/>
      <c r="J899" s="11"/>
      <c r="K899" s="11"/>
      <c r="L899" s="11"/>
      <c r="M899" s="15"/>
      <c r="N899" s="15"/>
      <c r="O899" s="15"/>
      <c r="P899" s="15"/>
      <c r="Q899" s="15"/>
      <c r="R899" s="15"/>
      <c r="S899" s="15"/>
      <c r="T899" s="15"/>
      <c r="U899" s="15"/>
      <c r="V899" s="15"/>
      <c r="W899" s="15"/>
      <c r="X899" s="15"/>
      <c r="Y899" s="15"/>
      <c r="Z899" s="15"/>
      <c r="AA899" s="15"/>
      <c r="AB899" s="15"/>
      <c r="AC899" s="15"/>
      <c r="AD899" s="15"/>
      <c r="AE899" s="15"/>
      <c r="AF899" s="15"/>
    </row>
    <row r="900" ht="15.75" customHeight="1">
      <c r="A900" s="15"/>
      <c r="B900" s="15"/>
      <c r="C900" s="21"/>
      <c r="D900" s="15"/>
      <c r="E900" s="15"/>
      <c r="F900" s="15"/>
      <c r="G900" s="387"/>
      <c r="H900" s="15"/>
      <c r="I900" s="11"/>
      <c r="J900" s="11"/>
      <c r="K900" s="11"/>
      <c r="L900" s="11"/>
      <c r="M900" s="15"/>
      <c r="N900" s="15"/>
      <c r="O900" s="15"/>
      <c r="P900" s="15"/>
      <c r="Q900" s="15"/>
      <c r="R900" s="15"/>
      <c r="S900" s="15"/>
      <c r="T900" s="15"/>
      <c r="U900" s="15"/>
      <c r="V900" s="15"/>
      <c r="W900" s="15"/>
      <c r="X900" s="15"/>
      <c r="Y900" s="15"/>
      <c r="Z900" s="15"/>
      <c r="AA900" s="15"/>
      <c r="AB900" s="15"/>
      <c r="AC900" s="15"/>
      <c r="AD900" s="15"/>
      <c r="AE900" s="15"/>
      <c r="AF900" s="15"/>
    </row>
    <row r="901" ht="15.75" customHeight="1">
      <c r="A901" s="15"/>
      <c r="B901" s="15"/>
      <c r="C901" s="21"/>
      <c r="D901" s="15"/>
      <c r="E901" s="15"/>
      <c r="F901" s="15"/>
      <c r="G901" s="387"/>
      <c r="H901" s="15"/>
      <c r="I901" s="11"/>
      <c r="J901" s="11"/>
      <c r="K901" s="11"/>
      <c r="L901" s="11"/>
      <c r="M901" s="15"/>
      <c r="N901" s="15"/>
      <c r="O901" s="15"/>
      <c r="P901" s="15"/>
      <c r="Q901" s="15"/>
      <c r="R901" s="15"/>
      <c r="S901" s="15"/>
      <c r="T901" s="15"/>
      <c r="U901" s="15"/>
      <c r="V901" s="15"/>
      <c r="W901" s="15"/>
      <c r="X901" s="15"/>
      <c r="Y901" s="15"/>
      <c r="Z901" s="15"/>
      <c r="AA901" s="15"/>
      <c r="AB901" s="15"/>
      <c r="AC901" s="15"/>
      <c r="AD901" s="15"/>
      <c r="AE901" s="15"/>
      <c r="AF901" s="15"/>
    </row>
    <row r="902" ht="15.75" customHeight="1">
      <c r="A902" s="15"/>
      <c r="B902" s="15"/>
      <c r="C902" s="21"/>
      <c r="D902" s="15"/>
      <c r="E902" s="15"/>
      <c r="F902" s="15"/>
      <c r="G902" s="387"/>
      <c r="H902" s="15"/>
      <c r="I902" s="11"/>
      <c r="J902" s="11"/>
      <c r="K902" s="11"/>
      <c r="L902" s="11"/>
      <c r="M902" s="15"/>
      <c r="N902" s="15"/>
      <c r="O902" s="15"/>
      <c r="P902" s="15"/>
      <c r="Q902" s="15"/>
      <c r="R902" s="15"/>
      <c r="S902" s="15"/>
      <c r="T902" s="15"/>
      <c r="U902" s="15"/>
      <c r="V902" s="15"/>
      <c r="W902" s="15"/>
      <c r="X902" s="15"/>
      <c r="Y902" s="15"/>
      <c r="Z902" s="15"/>
      <c r="AA902" s="15"/>
      <c r="AB902" s="15"/>
      <c r="AC902" s="15"/>
      <c r="AD902" s="15"/>
      <c r="AE902" s="15"/>
      <c r="AF902" s="15"/>
    </row>
    <row r="903" ht="15.75" customHeight="1">
      <c r="A903" s="15"/>
      <c r="B903" s="15"/>
      <c r="C903" s="21"/>
      <c r="D903" s="15"/>
      <c r="E903" s="15"/>
      <c r="F903" s="15"/>
      <c r="G903" s="387"/>
      <c r="H903" s="15"/>
      <c r="I903" s="11"/>
      <c r="J903" s="11"/>
      <c r="K903" s="11"/>
      <c r="L903" s="11"/>
      <c r="M903" s="15"/>
      <c r="N903" s="15"/>
      <c r="O903" s="15"/>
      <c r="P903" s="15"/>
      <c r="Q903" s="15"/>
      <c r="R903" s="15"/>
      <c r="S903" s="15"/>
      <c r="T903" s="15"/>
      <c r="U903" s="15"/>
      <c r="V903" s="15"/>
      <c r="W903" s="15"/>
      <c r="X903" s="15"/>
      <c r="Y903" s="15"/>
      <c r="Z903" s="15"/>
      <c r="AA903" s="15"/>
      <c r="AB903" s="15"/>
      <c r="AC903" s="15"/>
      <c r="AD903" s="15"/>
      <c r="AE903" s="15"/>
      <c r="AF903" s="15"/>
    </row>
    <row r="904" ht="15.75" customHeight="1">
      <c r="A904" s="15"/>
      <c r="B904" s="15"/>
      <c r="C904" s="21"/>
      <c r="D904" s="15"/>
      <c r="E904" s="15"/>
      <c r="F904" s="15"/>
      <c r="G904" s="387"/>
      <c r="H904" s="15"/>
      <c r="I904" s="11"/>
      <c r="J904" s="11"/>
      <c r="K904" s="11"/>
      <c r="L904" s="11"/>
      <c r="M904" s="15"/>
      <c r="N904" s="15"/>
      <c r="O904" s="15"/>
      <c r="P904" s="15"/>
      <c r="Q904" s="15"/>
      <c r="R904" s="15"/>
      <c r="S904" s="15"/>
      <c r="T904" s="15"/>
      <c r="U904" s="15"/>
      <c r="V904" s="15"/>
      <c r="W904" s="15"/>
      <c r="X904" s="15"/>
      <c r="Y904" s="15"/>
      <c r="Z904" s="15"/>
      <c r="AA904" s="15"/>
      <c r="AB904" s="15"/>
      <c r="AC904" s="15"/>
      <c r="AD904" s="15"/>
      <c r="AE904" s="15"/>
      <c r="AF904" s="15"/>
    </row>
    <row r="905" ht="15.75" customHeight="1">
      <c r="A905" s="15"/>
      <c r="B905" s="15"/>
      <c r="C905" s="21"/>
      <c r="D905" s="15"/>
      <c r="E905" s="15"/>
      <c r="F905" s="15"/>
      <c r="G905" s="387"/>
      <c r="H905" s="15"/>
      <c r="I905" s="11"/>
      <c r="J905" s="11"/>
      <c r="K905" s="11"/>
      <c r="L905" s="11"/>
      <c r="M905" s="15"/>
      <c r="N905" s="15"/>
      <c r="O905" s="15"/>
      <c r="P905" s="15"/>
      <c r="Q905" s="15"/>
      <c r="R905" s="15"/>
      <c r="S905" s="15"/>
      <c r="T905" s="15"/>
      <c r="U905" s="15"/>
      <c r="V905" s="15"/>
      <c r="W905" s="15"/>
      <c r="X905" s="15"/>
      <c r="Y905" s="15"/>
      <c r="Z905" s="15"/>
      <c r="AA905" s="15"/>
      <c r="AB905" s="15"/>
      <c r="AC905" s="15"/>
      <c r="AD905" s="15"/>
      <c r="AE905" s="15"/>
      <c r="AF905" s="15"/>
    </row>
    <row r="906" ht="15.75" customHeight="1">
      <c r="A906" s="15"/>
      <c r="B906" s="15"/>
      <c r="C906" s="21"/>
      <c r="D906" s="15"/>
      <c r="E906" s="15"/>
      <c r="F906" s="15"/>
      <c r="G906" s="387"/>
      <c r="H906" s="15"/>
      <c r="I906" s="11"/>
      <c r="J906" s="11"/>
      <c r="K906" s="11"/>
      <c r="L906" s="11"/>
      <c r="M906" s="15"/>
      <c r="N906" s="15"/>
      <c r="O906" s="15"/>
      <c r="P906" s="15"/>
      <c r="Q906" s="15"/>
      <c r="R906" s="15"/>
      <c r="S906" s="15"/>
      <c r="T906" s="15"/>
      <c r="U906" s="15"/>
      <c r="V906" s="15"/>
      <c r="W906" s="15"/>
      <c r="X906" s="15"/>
      <c r="Y906" s="15"/>
      <c r="Z906" s="15"/>
      <c r="AA906" s="15"/>
      <c r="AB906" s="15"/>
      <c r="AC906" s="15"/>
      <c r="AD906" s="15"/>
      <c r="AE906" s="15"/>
      <c r="AF906" s="15"/>
    </row>
    <row r="907" ht="15.75" customHeight="1">
      <c r="A907" s="15"/>
      <c r="B907" s="15"/>
      <c r="C907" s="21"/>
      <c r="D907" s="15"/>
      <c r="E907" s="15"/>
      <c r="F907" s="15"/>
      <c r="G907" s="387"/>
      <c r="H907" s="15"/>
      <c r="I907" s="11"/>
      <c r="J907" s="11"/>
      <c r="K907" s="11"/>
      <c r="L907" s="11"/>
      <c r="M907" s="15"/>
      <c r="N907" s="15"/>
      <c r="O907" s="15"/>
      <c r="P907" s="15"/>
      <c r="Q907" s="15"/>
      <c r="R907" s="15"/>
      <c r="S907" s="15"/>
      <c r="T907" s="15"/>
      <c r="U907" s="15"/>
      <c r="V907" s="15"/>
      <c r="W907" s="15"/>
      <c r="X907" s="15"/>
      <c r="Y907" s="15"/>
      <c r="Z907" s="15"/>
      <c r="AA907" s="15"/>
      <c r="AB907" s="15"/>
      <c r="AC907" s="15"/>
      <c r="AD907" s="15"/>
      <c r="AE907" s="15"/>
      <c r="AF907" s="15"/>
    </row>
    <row r="908" ht="15.75" customHeight="1">
      <c r="A908" s="15"/>
      <c r="B908" s="15"/>
      <c r="C908" s="21"/>
      <c r="D908" s="15"/>
      <c r="E908" s="15"/>
      <c r="F908" s="15"/>
      <c r="G908" s="387"/>
      <c r="H908" s="15"/>
      <c r="I908" s="11"/>
      <c r="J908" s="11"/>
      <c r="K908" s="11"/>
      <c r="L908" s="11"/>
      <c r="M908" s="15"/>
      <c r="N908" s="15"/>
      <c r="O908" s="15"/>
      <c r="P908" s="15"/>
      <c r="Q908" s="15"/>
      <c r="R908" s="15"/>
      <c r="S908" s="15"/>
      <c r="T908" s="15"/>
      <c r="U908" s="15"/>
      <c r="V908" s="15"/>
      <c r="W908" s="15"/>
      <c r="X908" s="15"/>
      <c r="Y908" s="15"/>
      <c r="Z908" s="15"/>
      <c r="AA908" s="15"/>
      <c r="AB908" s="15"/>
      <c r="AC908" s="15"/>
      <c r="AD908" s="15"/>
      <c r="AE908" s="15"/>
      <c r="AF908" s="15"/>
    </row>
    <row r="909" ht="15.75" customHeight="1">
      <c r="A909" s="15"/>
      <c r="B909" s="15"/>
      <c r="C909" s="21"/>
      <c r="D909" s="15"/>
      <c r="E909" s="15"/>
      <c r="F909" s="15"/>
      <c r="G909" s="387"/>
      <c r="H909" s="15"/>
      <c r="I909" s="11"/>
      <c r="J909" s="11"/>
      <c r="K909" s="11"/>
      <c r="L909" s="11"/>
      <c r="M909" s="15"/>
      <c r="N909" s="15"/>
      <c r="O909" s="15"/>
      <c r="P909" s="15"/>
      <c r="Q909" s="15"/>
      <c r="R909" s="15"/>
      <c r="S909" s="15"/>
      <c r="T909" s="15"/>
      <c r="U909" s="15"/>
      <c r="V909" s="15"/>
      <c r="W909" s="15"/>
      <c r="X909" s="15"/>
      <c r="Y909" s="15"/>
      <c r="Z909" s="15"/>
      <c r="AA909" s="15"/>
      <c r="AB909" s="15"/>
      <c r="AC909" s="15"/>
      <c r="AD909" s="15"/>
      <c r="AE909" s="15"/>
      <c r="AF909" s="15"/>
    </row>
    <row r="910" ht="15.75" customHeight="1">
      <c r="A910" s="15"/>
      <c r="B910" s="15"/>
      <c r="C910" s="21"/>
      <c r="D910" s="15"/>
      <c r="E910" s="15"/>
      <c r="F910" s="15"/>
      <c r="G910" s="387"/>
      <c r="H910" s="15"/>
      <c r="I910" s="11"/>
      <c r="J910" s="11"/>
      <c r="K910" s="11"/>
      <c r="L910" s="11"/>
      <c r="M910" s="15"/>
      <c r="N910" s="15"/>
      <c r="O910" s="15"/>
      <c r="P910" s="15"/>
      <c r="Q910" s="15"/>
      <c r="R910" s="15"/>
      <c r="S910" s="15"/>
      <c r="T910" s="15"/>
      <c r="U910" s="15"/>
      <c r="V910" s="15"/>
      <c r="W910" s="15"/>
      <c r="X910" s="15"/>
      <c r="Y910" s="15"/>
      <c r="Z910" s="15"/>
      <c r="AA910" s="15"/>
      <c r="AB910" s="15"/>
      <c r="AC910" s="15"/>
      <c r="AD910" s="15"/>
      <c r="AE910" s="15"/>
      <c r="AF910" s="15"/>
    </row>
    <row r="911" ht="15.75" customHeight="1">
      <c r="A911" s="15"/>
      <c r="B911" s="15"/>
      <c r="C911" s="21"/>
      <c r="D911" s="15"/>
      <c r="E911" s="15"/>
      <c r="F911" s="15"/>
      <c r="G911" s="387"/>
      <c r="H911" s="15"/>
      <c r="I911" s="11"/>
      <c r="J911" s="11"/>
      <c r="K911" s="11"/>
      <c r="L911" s="11"/>
      <c r="M911" s="15"/>
      <c r="N911" s="15"/>
      <c r="O911" s="15"/>
      <c r="P911" s="15"/>
      <c r="Q911" s="15"/>
      <c r="R911" s="15"/>
      <c r="S911" s="15"/>
      <c r="T911" s="15"/>
      <c r="U911" s="15"/>
      <c r="V911" s="15"/>
      <c r="W911" s="15"/>
      <c r="X911" s="15"/>
      <c r="Y911" s="15"/>
      <c r="Z911" s="15"/>
      <c r="AA911" s="15"/>
      <c r="AB911" s="15"/>
      <c r="AC911" s="15"/>
      <c r="AD911" s="15"/>
      <c r="AE911" s="15"/>
      <c r="AF911" s="15"/>
    </row>
    <row r="912" ht="15.75" customHeight="1">
      <c r="A912" s="15"/>
      <c r="B912" s="15"/>
      <c r="C912" s="21"/>
      <c r="D912" s="15"/>
      <c r="E912" s="15"/>
      <c r="F912" s="15"/>
      <c r="G912" s="387"/>
      <c r="H912" s="15"/>
      <c r="I912" s="11"/>
      <c r="J912" s="11"/>
      <c r="K912" s="11"/>
      <c r="L912" s="11"/>
      <c r="M912" s="15"/>
      <c r="N912" s="15"/>
      <c r="O912" s="15"/>
      <c r="P912" s="15"/>
      <c r="Q912" s="15"/>
      <c r="R912" s="15"/>
      <c r="S912" s="15"/>
      <c r="T912" s="15"/>
      <c r="U912" s="15"/>
      <c r="V912" s="15"/>
      <c r="W912" s="15"/>
      <c r="X912" s="15"/>
      <c r="Y912" s="15"/>
      <c r="Z912" s="15"/>
      <c r="AA912" s="15"/>
      <c r="AB912" s="15"/>
      <c r="AC912" s="15"/>
      <c r="AD912" s="15"/>
      <c r="AE912" s="15"/>
      <c r="AF912" s="15"/>
    </row>
    <row r="913" ht="15.75" customHeight="1">
      <c r="A913" s="15"/>
      <c r="B913" s="15"/>
      <c r="C913" s="21"/>
      <c r="D913" s="15"/>
      <c r="E913" s="15"/>
      <c r="F913" s="15"/>
      <c r="G913" s="387"/>
      <c r="H913" s="15"/>
      <c r="I913" s="11"/>
      <c r="J913" s="11"/>
      <c r="K913" s="11"/>
      <c r="L913" s="11"/>
      <c r="M913" s="15"/>
      <c r="N913" s="15"/>
      <c r="O913" s="15"/>
      <c r="P913" s="15"/>
      <c r="Q913" s="15"/>
      <c r="R913" s="15"/>
      <c r="S913" s="15"/>
      <c r="T913" s="15"/>
      <c r="U913" s="15"/>
      <c r="V913" s="15"/>
      <c r="W913" s="15"/>
      <c r="X913" s="15"/>
      <c r="Y913" s="15"/>
      <c r="Z913" s="15"/>
      <c r="AA913" s="15"/>
      <c r="AB913" s="15"/>
      <c r="AC913" s="15"/>
      <c r="AD913" s="15"/>
      <c r="AE913" s="15"/>
      <c r="AF913" s="15"/>
    </row>
    <row r="914" ht="15.75" customHeight="1">
      <c r="A914" s="15"/>
      <c r="B914" s="15"/>
      <c r="C914" s="21"/>
      <c r="D914" s="15"/>
      <c r="E914" s="15"/>
      <c r="F914" s="15"/>
      <c r="G914" s="387"/>
      <c r="H914" s="15"/>
      <c r="I914" s="11"/>
      <c r="J914" s="11"/>
      <c r="K914" s="11"/>
      <c r="L914" s="11"/>
      <c r="M914" s="15"/>
      <c r="N914" s="15"/>
      <c r="O914" s="15"/>
      <c r="P914" s="15"/>
      <c r="Q914" s="15"/>
      <c r="R914" s="15"/>
      <c r="S914" s="15"/>
      <c r="T914" s="15"/>
      <c r="U914" s="15"/>
      <c r="V914" s="15"/>
      <c r="W914" s="15"/>
      <c r="X914" s="15"/>
      <c r="Y914" s="15"/>
      <c r="Z914" s="15"/>
      <c r="AA914" s="15"/>
      <c r="AB914" s="15"/>
      <c r="AC914" s="15"/>
      <c r="AD914" s="15"/>
      <c r="AE914" s="15"/>
      <c r="AF914" s="15"/>
    </row>
    <row r="915" ht="15.75" customHeight="1">
      <c r="A915" s="15"/>
      <c r="B915" s="15"/>
      <c r="C915" s="21"/>
      <c r="D915" s="15"/>
      <c r="E915" s="15"/>
      <c r="F915" s="15"/>
      <c r="G915" s="387"/>
      <c r="H915" s="15"/>
      <c r="I915" s="11"/>
      <c r="J915" s="11"/>
      <c r="K915" s="11"/>
      <c r="L915" s="11"/>
      <c r="M915" s="15"/>
      <c r="N915" s="15"/>
      <c r="O915" s="15"/>
      <c r="P915" s="15"/>
      <c r="Q915" s="15"/>
      <c r="R915" s="15"/>
      <c r="S915" s="15"/>
      <c r="T915" s="15"/>
      <c r="U915" s="15"/>
      <c r="V915" s="15"/>
      <c r="W915" s="15"/>
      <c r="X915" s="15"/>
      <c r="Y915" s="15"/>
      <c r="Z915" s="15"/>
      <c r="AA915" s="15"/>
      <c r="AB915" s="15"/>
      <c r="AC915" s="15"/>
      <c r="AD915" s="15"/>
      <c r="AE915" s="15"/>
      <c r="AF915" s="15"/>
    </row>
    <row r="916" ht="15.75" customHeight="1">
      <c r="A916" s="15"/>
      <c r="B916" s="15"/>
      <c r="C916" s="21"/>
      <c r="D916" s="15"/>
      <c r="E916" s="15"/>
      <c r="F916" s="15"/>
      <c r="G916" s="387"/>
      <c r="H916" s="15"/>
      <c r="I916" s="11"/>
      <c r="J916" s="11"/>
      <c r="K916" s="11"/>
      <c r="L916" s="11"/>
      <c r="M916" s="15"/>
      <c r="N916" s="15"/>
      <c r="O916" s="15"/>
      <c r="P916" s="15"/>
      <c r="Q916" s="15"/>
      <c r="R916" s="15"/>
      <c r="S916" s="15"/>
      <c r="T916" s="15"/>
      <c r="U916" s="15"/>
      <c r="V916" s="15"/>
      <c r="W916" s="15"/>
      <c r="X916" s="15"/>
      <c r="Y916" s="15"/>
      <c r="Z916" s="15"/>
      <c r="AA916" s="15"/>
      <c r="AB916" s="15"/>
      <c r="AC916" s="15"/>
      <c r="AD916" s="15"/>
      <c r="AE916" s="15"/>
      <c r="AF916" s="15"/>
    </row>
    <row r="917" ht="15.75" customHeight="1">
      <c r="A917" s="15"/>
      <c r="B917" s="15"/>
      <c r="C917" s="21"/>
      <c r="D917" s="15"/>
      <c r="E917" s="15"/>
      <c r="F917" s="15"/>
      <c r="G917" s="387"/>
      <c r="H917" s="15"/>
      <c r="I917" s="11"/>
      <c r="J917" s="11"/>
      <c r="K917" s="11"/>
      <c r="L917" s="11"/>
      <c r="M917" s="15"/>
      <c r="N917" s="15"/>
      <c r="O917" s="15"/>
      <c r="P917" s="15"/>
      <c r="Q917" s="15"/>
      <c r="R917" s="15"/>
      <c r="S917" s="15"/>
      <c r="T917" s="15"/>
      <c r="U917" s="15"/>
      <c r="V917" s="15"/>
      <c r="W917" s="15"/>
      <c r="X917" s="15"/>
      <c r="Y917" s="15"/>
      <c r="Z917" s="15"/>
      <c r="AA917" s="15"/>
      <c r="AB917" s="15"/>
      <c r="AC917" s="15"/>
      <c r="AD917" s="15"/>
      <c r="AE917" s="15"/>
      <c r="AF917" s="15"/>
    </row>
    <row r="918" ht="15.75" customHeight="1">
      <c r="A918" s="15"/>
      <c r="B918" s="15"/>
      <c r="C918" s="21"/>
      <c r="D918" s="15"/>
      <c r="E918" s="15"/>
      <c r="F918" s="15"/>
      <c r="G918" s="387"/>
      <c r="H918" s="15"/>
      <c r="I918" s="11"/>
      <c r="J918" s="11"/>
      <c r="K918" s="11"/>
      <c r="L918" s="11"/>
      <c r="M918" s="15"/>
      <c r="N918" s="15"/>
      <c r="O918" s="15"/>
      <c r="P918" s="15"/>
      <c r="Q918" s="15"/>
      <c r="R918" s="15"/>
      <c r="S918" s="15"/>
      <c r="T918" s="15"/>
      <c r="U918" s="15"/>
      <c r="V918" s="15"/>
      <c r="W918" s="15"/>
      <c r="X918" s="15"/>
      <c r="Y918" s="15"/>
      <c r="Z918" s="15"/>
      <c r="AA918" s="15"/>
      <c r="AB918" s="15"/>
      <c r="AC918" s="15"/>
      <c r="AD918" s="15"/>
      <c r="AE918" s="15"/>
      <c r="AF918" s="15"/>
    </row>
    <row r="919" ht="15.75" customHeight="1">
      <c r="A919" s="15"/>
      <c r="B919" s="15"/>
      <c r="C919" s="21"/>
      <c r="D919" s="15"/>
      <c r="E919" s="15"/>
      <c r="F919" s="15"/>
      <c r="G919" s="387"/>
      <c r="H919" s="15"/>
      <c r="I919" s="11"/>
      <c r="J919" s="11"/>
      <c r="K919" s="11"/>
      <c r="L919" s="11"/>
      <c r="M919" s="15"/>
      <c r="N919" s="15"/>
      <c r="O919" s="15"/>
      <c r="P919" s="15"/>
      <c r="Q919" s="15"/>
      <c r="R919" s="15"/>
      <c r="S919" s="15"/>
      <c r="T919" s="15"/>
      <c r="U919" s="15"/>
      <c r="V919" s="15"/>
      <c r="W919" s="15"/>
      <c r="X919" s="15"/>
      <c r="Y919" s="15"/>
      <c r="Z919" s="15"/>
      <c r="AA919" s="15"/>
      <c r="AB919" s="15"/>
      <c r="AC919" s="15"/>
      <c r="AD919" s="15"/>
      <c r="AE919" s="15"/>
      <c r="AF919" s="15"/>
    </row>
    <row r="920" ht="15.75" customHeight="1">
      <c r="A920" s="15"/>
      <c r="B920" s="15"/>
      <c r="C920" s="21"/>
      <c r="D920" s="15"/>
      <c r="E920" s="15"/>
      <c r="F920" s="15"/>
      <c r="G920" s="387"/>
      <c r="H920" s="15"/>
      <c r="I920" s="11"/>
      <c r="J920" s="11"/>
      <c r="K920" s="11"/>
      <c r="L920" s="11"/>
      <c r="M920" s="15"/>
      <c r="N920" s="15"/>
      <c r="O920" s="15"/>
      <c r="P920" s="15"/>
      <c r="Q920" s="15"/>
      <c r="R920" s="15"/>
      <c r="S920" s="15"/>
      <c r="T920" s="15"/>
      <c r="U920" s="15"/>
      <c r="V920" s="15"/>
      <c r="W920" s="15"/>
      <c r="X920" s="15"/>
      <c r="Y920" s="15"/>
      <c r="Z920" s="15"/>
      <c r="AA920" s="15"/>
      <c r="AB920" s="15"/>
      <c r="AC920" s="15"/>
      <c r="AD920" s="15"/>
      <c r="AE920" s="15"/>
      <c r="AF920" s="15"/>
    </row>
    <row r="921" ht="15.75" customHeight="1">
      <c r="A921" s="15"/>
      <c r="B921" s="15"/>
      <c r="C921" s="21"/>
      <c r="D921" s="15"/>
      <c r="E921" s="15"/>
      <c r="F921" s="15"/>
      <c r="G921" s="387"/>
      <c r="H921" s="15"/>
      <c r="I921" s="11"/>
      <c r="J921" s="11"/>
      <c r="K921" s="11"/>
      <c r="L921" s="11"/>
      <c r="M921" s="15"/>
      <c r="N921" s="15"/>
      <c r="O921" s="15"/>
      <c r="P921" s="15"/>
      <c r="Q921" s="15"/>
      <c r="R921" s="15"/>
      <c r="S921" s="15"/>
      <c r="T921" s="15"/>
      <c r="U921" s="15"/>
      <c r="V921" s="15"/>
      <c r="W921" s="15"/>
      <c r="X921" s="15"/>
      <c r="Y921" s="15"/>
      <c r="Z921" s="15"/>
      <c r="AA921" s="15"/>
      <c r="AB921" s="15"/>
      <c r="AC921" s="15"/>
      <c r="AD921" s="15"/>
      <c r="AE921" s="15"/>
      <c r="AF921" s="15"/>
    </row>
    <row r="922" ht="15.75" customHeight="1">
      <c r="A922" s="15"/>
      <c r="B922" s="15"/>
      <c r="C922" s="21"/>
      <c r="D922" s="15"/>
      <c r="E922" s="15"/>
      <c r="F922" s="15"/>
      <c r="G922" s="387"/>
      <c r="H922" s="15"/>
      <c r="I922" s="11"/>
      <c r="J922" s="11"/>
      <c r="K922" s="11"/>
      <c r="L922" s="11"/>
      <c r="M922" s="15"/>
      <c r="N922" s="15"/>
      <c r="O922" s="15"/>
      <c r="P922" s="15"/>
      <c r="Q922" s="15"/>
      <c r="R922" s="15"/>
      <c r="S922" s="15"/>
      <c r="T922" s="15"/>
      <c r="U922" s="15"/>
      <c r="V922" s="15"/>
      <c r="W922" s="15"/>
      <c r="X922" s="15"/>
      <c r="Y922" s="15"/>
      <c r="Z922" s="15"/>
      <c r="AA922" s="15"/>
      <c r="AB922" s="15"/>
      <c r="AC922" s="15"/>
      <c r="AD922" s="15"/>
      <c r="AE922" s="15"/>
      <c r="AF922" s="15"/>
    </row>
    <row r="923" ht="15.75" customHeight="1">
      <c r="A923" s="15"/>
      <c r="B923" s="15"/>
      <c r="C923" s="21"/>
      <c r="D923" s="15"/>
      <c r="E923" s="15"/>
      <c r="F923" s="15"/>
      <c r="G923" s="387"/>
      <c r="H923" s="15"/>
      <c r="I923" s="11"/>
      <c r="J923" s="11"/>
      <c r="K923" s="11"/>
      <c r="L923" s="11"/>
      <c r="M923" s="15"/>
      <c r="N923" s="15"/>
      <c r="O923" s="15"/>
      <c r="P923" s="15"/>
      <c r="Q923" s="15"/>
      <c r="R923" s="15"/>
      <c r="S923" s="15"/>
      <c r="T923" s="15"/>
      <c r="U923" s="15"/>
      <c r="V923" s="15"/>
      <c r="W923" s="15"/>
      <c r="X923" s="15"/>
      <c r="Y923" s="15"/>
      <c r="Z923" s="15"/>
      <c r="AA923" s="15"/>
      <c r="AB923" s="15"/>
      <c r="AC923" s="15"/>
      <c r="AD923" s="15"/>
      <c r="AE923" s="15"/>
      <c r="AF923" s="15"/>
    </row>
    <row r="924" ht="15.75" customHeight="1">
      <c r="A924" s="15"/>
      <c r="B924" s="15"/>
      <c r="C924" s="21"/>
      <c r="D924" s="15"/>
      <c r="E924" s="15"/>
      <c r="F924" s="15"/>
      <c r="G924" s="387"/>
      <c r="H924" s="15"/>
      <c r="I924" s="11"/>
      <c r="J924" s="11"/>
      <c r="K924" s="11"/>
      <c r="L924" s="11"/>
      <c r="M924" s="15"/>
      <c r="N924" s="15"/>
      <c r="O924" s="15"/>
      <c r="P924" s="15"/>
      <c r="Q924" s="15"/>
      <c r="R924" s="15"/>
      <c r="S924" s="15"/>
      <c r="T924" s="15"/>
      <c r="U924" s="15"/>
      <c r="V924" s="15"/>
      <c r="W924" s="15"/>
      <c r="X924" s="15"/>
      <c r="Y924" s="15"/>
      <c r="Z924" s="15"/>
      <c r="AA924" s="15"/>
      <c r="AB924" s="15"/>
      <c r="AC924" s="15"/>
      <c r="AD924" s="15"/>
      <c r="AE924" s="15"/>
      <c r="AF924" s="15"/>
    </row>
    <row r="925" ht="15.75" customHeight="1">
      <c r="A925" s="15"/>
      <c r="B925" s="15"/>
      <c r="C925" s="21"/>
      <c r="D925" s="15"/>
      <c r="E925" s="15"/>
      <c r="F925" s="15"/>
      <c r="G925" s="387"/>
      <c r="H925" s="15"/>
      <c r="I925" s="11"/>
      <c r="J925" s="11"/>
      <c r="K925" s="11"/>
      <c r="L925" s="11"/>
      <c r="M925" s="15"/>
      <c r="N925" s="15"/>
      <c r="O925" s="15"/>
      <c r="P925" s="15"/>
      <c r="Q925" s="15"/>
      <c r="R925" s="15"/>
      <c r="S925" s="15"/>
      <c r="T925" s="15"/>
      <c r="U925" s="15"/>
      <c r="V925" s="15"/>
      <c r="W925" s="15"/>
      <c r="X925" s="15"/>
      <c r="Y925" s="15"/>
      <c r="Z925" s="15"/>
      <c r="AA925" s="15"/>
      <c r="AB925" s="15"/>
      <c r="AC925" s="15"/>
      <c r="AD925" s="15"/>
      <c r="AE925" s="15"/>
      <c r="AF925" s="15"/>
    </row>
    <row r="926" ht="15.75" customHeight="1">
      <c r="A926" s="15"/>
      <c r="B926" s="15"/>
      <c r="C926" s="21"/>
      <c r="D926" s="15"/>
      <c r="E926" s="15"/>
      <c r="F926" s="15"/>
      <c r="G926" s="387"/>
      <c r="H926" s="15"/>
      <c r="I926" s="11"/>
      <c r="J926" s="11"/>
      <c r="K926" s="11"/>
      <c r="L926" s="11"/>
      <c r="M926" s="15"/>
      <c r="N926" s="15"/>
      <c r="O926" s="15"/>
      <c r="P926" s="15"/>
      <c r="Q926" s="15"/>
      <c r="R926" s="15"/>
      <c r="S926" s="15"/>
      <c r="T926" s="15"/>
      <c r="U926" s="15"/>
      <c r="V926" s="15"/>
      <c r="W926" s="15"/>
      <c r="X926" s="15"/>
      <c r="Y926" s="15"/>
      <c r="Z926" s="15"/>
      <c r="AA926" s="15"/>
      <c r="AB926" s="15"/>
      <c r="AC926" s="15"/>
      <c r="AD926" s="15"/>
      <c r="AE926" s="15"/>
      <c r="AF926" s="15"/>
    </row>
    <row r="927" ht="15.75" customHeight="1">
      <c r="A927" s="15"/>
      <c r="B927" s="15"/>
      <c r="C927" s="21"/>
      <c r="D927" s="15"/>
      <c r="E927" s="15"/>
      <c r="F927" s="15"/>
      <c r="G927" s="387"/>
      <c r="H927" s="15"/>
      <c r="I927" s="11"/>
      <c r="J927" s="11"/>
      <c r="K927" s="11"/>
      <c r="L927" s="11"/>
      <c r="M927" s="15"/>
      <c r="N927" s="15"/>
      <c r="O927" s="15"/>
      <c r="P927" s="15"/>
      <c r="Q927" s="15"/>
      <c r="R927" s="15"/>
      <c r="S927" s="15"/>
      <c r="T927" s="15"/>
      <c r="U927" s="15"/>
      <c r="V927" s="15"/>
      <c r="W927" s="15"/>
      <c r="X927" s="15"/>
      <c r="Y927" s="15"/>
      <c r="Z927" s="15"/>
      <c r="AA927" s="15"/>
      <c r="AB927" s="15"/>
      <c r="AC927" s="15"/>
      <c r="AD927" s="15"/>
      <c r="AE927" s="15"/>
      <c r="AF927" s="15"/>
    </row>
    <row r="928" ht="15.75" customHeight="1">
      <c r="A928" s="15"/>
      <c r="B928" s="15"/>
      <c r="C928" s="21"/>
      <c r="D928" s="15"/>
      <c r="E928" s="15"/>
      <c r="F928" s="15"/>
      <c r="G928" s="387"/>
      <c r="H928" s="15"/>
      <c r="I928" s="11"/>
      <c r="J928" s="11"/>
      <c r="K928" s="11"/>
      <c r="L928" s="11"/>
      <c r="M928" s="15"/>
      <c r="N928" s="15"/>
      <c r="O928" s="15"/>
      <c r="P928" s="15"/>
      <c r="Q928" s="15"/>
      <c r="R928" s="15"/>
      <c r="S928" s="15"/>
      <c r="T928" s="15"/>
      <c r="U928" s="15"/>
      <c r="V928" s="15"/>
      <c r="W928" s="15"/>
      <c r="X928" s="15"/>
      <c r="Y928" s="15"/>
      <c r="Z928" s="15"/>
      <c r="AA928" s="15"/>
      <c r="AB928" s="15"/>
      <c r="AC928" s="15"/>
      <c r="AD928" s="15"/>
      <c r="AE928" s="15"/>
      <c r="AF928" s="15"/>
    </row>
    <row r="929" ht="15.75" customHeight="1">
      <c r="A929" s="15"/>
      <c r="B929" s="15"/>
      <c r="C929" s="21"/>
      <c r="D929" s="15"/>
      <c r="E929" s="15"/>
      <c r="F929" s="15"/>
      <c r="G929" s="387"/>
      <c r="H929" s="15"/>
      <c r="I929" s="11"/>
      <c r="J929" s="11"/>
      <c r="K929" s="11"/>
      <c r="L929" s="11"/>
      <c r="M929" s="15"/>
      <c r="N929" s="15"/>
      <c r="O929" s="15"/>
      <c r="P929" s="15"/>
      <c r="Q929" s="15"/>
      <c r="R929" s="15"/>
      <c r="S929" s="15"/>
      <c r="T929" s="15"/>
      <c r="U929" s="15"/>
      <c r="V929" s="15"/>
      <c r="W929" s="15"/>
      <c r="X929" s="15"/>
      <c r="Y929" s="15"/>
      <c r="Z929" s="15"/>
      <c r="AA929" s="15"/>
      <c r="AB929" s="15"/>
      <c r="AC929" s="15"/>
      <c r="AD929" s="15"/>
      <c r="AE929" s="15"/>
      <c r="AF929" s="15"/>
    </row>
    <row r="930" ht="15.75" customHeight="1">
      <c r="A930" s="15"/>
      <c r="B930" s="15"/>
      <c r="C930" s="21"/>
      <c r="D930" s="15"/>
      <c r="E930" s="15"/>
      <c r="F930" s="15"/>
      <c r="G930" s="387"/>
      <c r="H930" s="15"/>
      <c r="I930" s="11"/>
      <c r="J930" s="11"/>
      <c r="K930" s="11"/>
      <c r="L930" s="11"/>
      <c r="M930" s="15"/>
      <c r="N930" s="15"/>
      <c r="O930" s="15"/>
      <c r="P930" s="15"/>
      <c r="Q930" s="15"/>
      <c r="R930" s="15"/>
      <c r="S930" s="15"/>
      <c r="T930" s="15"/>
      <c r="U930" s="15"/>
      <c r="V930" s="15"/>
      <c r="W930" s="15"/>
      <c r="X930" s="15"/>
      <c r="Y930" s="15"/>
      <c r="Z930" s="15"/>
      <c r="AA930" s="15"/>
      <c r="AB930" s="15"/>
      <c r="AC930" s="15"/>
      <c r="AD930" s="15"/>
      <c r="AE930" s="15"/>
      <c r="AF930" s="15"/>
    </row>
    <row r="931" ht="15.75" customHeight="1">
      <c r="A931" s="15"/>
      <c r="B931" s="15"/>
      <c r="C931" s="21"/>
      <c r="D931" s="15"/>
      <c r="E931" s="15"/>
      <c r="F931" s="15"/>
      <c r="G931" s="387"/>
      <c r="H931" s="15"/>
      <c r="I931" s="11"/>
      <c r="J931" s="11"/>
      <c r="K931" s="11"/>
      <c r="L931" s="11"/>
      <c r="M931" s="15"/>
      <c r="N931" s="15"/>
      <c r="O931" s="15"/>
      <c r="P931" s="15"/>
      <c r="Q931" s="15"/>
      <c r="R931" s="15"/>
      <c r="S931" s="15"/>
      <c r="T931" s="15"/>
      <c r="U931" s="15"/>
      <c r="V931" s="15"/>
      <c r="W931" s="15"/>
      <c r="X931" s="15"/>
      <c r="Y931" s="15"/>
      <c r="Z931" s="15"/>
      <c r="AA931" s="15"/>
      <c r="AB931" s="15"/>
      <c r="AC931" s="15"/>
      <c r="AD931" s="15"/>
      <c r="AE931" s="15"/>
      <c r="AF931" s="15"/>
    </row>
    <row r="932" ht="15.75" customHeight="1">
      <c r="A932" s="15"/>
      <c r="B932" s="15"/>
      <c r="C932" s="21"/>
      <c r="D932" s="15"/>
      <c r="E932" s="15"/>
      <c r="F932" s="15"/>
      <c r="G932" s="387"/>
      <c r="H932" s="15"/>
      <c r="I932" s="11"/>
      <c r="J932" s="11"/>
      <c r="K932" s="11"/>
      <c r="L932" s="11"/>
      <c r="M932" s="15"/>
      <c r="N932" s="15"/>
      <c r="O932" s="15"/>
      <c r="P932" s="15"/>
      <c r="Q932" s="15"/>
      <c r="R932" s="15"/>
      <c r="S932" s="15"/>
      <c r="T932" s="15"/>
      <c r="U932" s="15"/>
      <c r="V932" s="15"/>
      <c r="W932" s="15"/>
      <c r="X932" s="15"/>
      <c r="Y932" s="15"/>
      <c r="Z932" s="15"/>
      <c r="AA932" s="15"/>
      <c r="AB932" s="15"/>
      <c r="AC932" s="15"/>
      <c r="AD932" s="15"/>
      <c r="AE932" s="15"/>
      <c r="AF932" s="15"/>
    </row>
    <row r="933" ht="15.75" customHeight="1">
      <c r="A933" s="15"/>
      <c r="B933" s="15"/>
      <c r="C933" s="21"/>
      <c r="D933" s="15"/>
      <c r="E933" s="15"/>
      <c r="F933" s="15"/>
      <c r="G933" s="387"/>
      <c r="H933" s="15"/>
      <c r="I933" s="11"/>
      <c r="J933" s="11"/>
      <c r="K933" s="11"/>
      <c r="L933" s="11"/>
      <c r="M933" s="15"/>
      <c r="N933" s="15"/>
      <c r="O933" s="15"/>
      <c r="P933" s="15"/>
      <c r="Q933" s="15"/>
      <c r="R933" s="15"/>
      <c r="S933" s="15"/>
      <c r="T933" s="15"/>
      <c r="U933" s="15"/>
      <c r="V933" s="15"/>
      <c r="W933" s="15"/>
      <c r="X933" s="15"/>
      <c r="Y933" s="15"/>
      <c r="Z933" s="15"/>
      <c r="AA933" s="15"/>
      <c r="AB933" s="15"/>
      <c r="AC933" s="15"/>
      <c r="AD933" s="15"/>
      <c r="AE933" s="15"/>
      <c r="AF933" s="15"/>
    </row>
    <row r="934" ht="15.75" customHeight="1">
      <c r="A934" s="15"/>
      <c r="B934" s="15"/>
      <c r="C934" s="21"/>
      <c r="D934" s="15"/>
      <c r="E934" s="15"/>
      <c r="F934" s="15"/>
      <c r="G934" s="387"/>
      <c r="H934" s="15"/>
      <c r="I934" s="11"/>
      <c r="J934" s="11"/>
      <c r="K934" s="11"/>
      <c r="L934" s="11"/>
      <c r="M934" s="15"/>
      <c r="N934" s="15"/>
      <c r="O934" s="15"/>
      <c r="P934" s="15"/>
      <c r="Q934" s="15"/>
      <c r="R934" s="15"/>
      <c r="S934" s="15"/>
      <c r="T934" s="15"/>
      <c r="U934" s="15"/>
      <c r="V934" s="15"/>
      <c r="W934" s="15"/>
      <c r="X934" s="15"/>
      <c r="Y934" s="15"/>
      <c r="Z934" s="15"/>
      <c r="AA934" s="15"/>
      <c r="AB934" s="15"/>
      <c r="AC934" s="15"/>
      <c r="AD934" s="15"/>
      <c r="AE934" s="15"/>
      <c r="AF934" s="15"/>
    </row>
    <row r="935" ht="15.75" customHeight="1">
      <c r="A935" s="15"/>
      <c r="B935" s="15"/>
      <c r="C935" s="21"/>
      <c r="D935" s="15"/>
      <c r="E935" s="15"/>
      <c r="F935" s="15"/>
      <c r="G935" s="387"/>
      <c r="H935" s="15"/>
      <c r="I935" s="11"/>
      <c r="J935" s="11"/>
      <c r="K935" s="11"/>
      <c r="L935" s="11"/>
      <c r="M935" s="15"/>
      <c r="N935" s="15"/>
      <c r="O935" s="15"/>
      <c r="P935" s="15"/>
      <c r="Q935" s="15"/>
      <c r="R935" s="15"/>
      <c r="S935" s="15"/>
      <c r="T935" s="15"/>
      <c r="U935" s="15"/>
      <c r="V935" s="15"/>
      <c r="W935" s="15"/>
      <c r="X935" s="15"/>
      <c r="Y935" s="15"/>
      <c r="Z935" s="15"/>
      <c r="AA935" s="15"/>
      <c r="AB935" s="15"/>
      <c r="AC935" s="15"/>
      <c r="AD935" s="15"/>
      <c r="AE935" s="15"/>
      <c r="AF935" s="15"/>
    </row>
    <row r="936" ht="15.75" customHeight="1">
      <c r="A936" s="15"/>
      <c r="B936" s="15"/>
      <c r="C936" s="21"/>
      <c r="D936" s="15"/>
      <c r="E936" s="15"/>
      <c r="F936" s="15"/>
      <c r="G936" s="387"/>
      <c r="H936" s="15"/>
      <c r="I936" s="11"/>
      <c r="J936" s="11"/>
      <c r="K936" s="11"/>
      <c r="L936" s="11"/>
      <c r="M936" s="15"/>
      <c r="N936" s="15"/>
      <c r="O936" s="15"/>
      <c r="P936" s="15"/>
      <c r="Q936" s="15"/>
      <c r="R936" s="15"/>
      <c r="S936" s="15"/>
      <c r="T936" s="15"/>
      <c r="U936" s="15"/>
      <c r="V936" s="15"/>
      <c r="W936" s="15"/>
      <c r="X936" s="15"/>
      <c r="Y936" s="15"/>
      <c r="Z936" s="15"/>
      <c r="AA936" s="15"/>
      <c r="AB936" s="15"/>
      <c r="AC936" s="15"/>
      <c r="AD936" s="15"/>
      <c r="AE936" s="15"/>
      <c r="AF936" s="15"/>
    </row>
    <row r="937" ht="15.75" customHeight="1">
      <c r="A937" s="15"/>
      <c r="B937" s="15"/>
      <c r="C937" s="21"/>
      <c r="D937" s="15"/>
      <c r="E937" s="15"/>
      <c r="F937" s="15"/>
      <c r="G937" s="387"/>
      <c r="H937" s="15"/>
      <c r="I937" s="11"/>
      <c r="J937" s="11"/>
      <c r="K937" s="11"/>
      <c r="L937" s="11"/>
      <c r="M937" s="15"/>
      <c r="N937" s="15"/>
      <c r="O937" s="15"/>
      <c r="P937" s="15"/>
      <c r="Q937" s="15"/>
      <c r="R937" s="15"/>
      <c r="S937" s="15"/>
      <c r="T937" s="15"/>
      <c r="U937" s="15"/>
      <c r="V937" s="15"/>
      <c r="W937" s="15"/>
      <c r="X937" s="15"/>
      <c r="Y937" s="15"/>
      <c r="Z937" s="15"/>
      <c r="AA937" s="15"/>
      <c r="AB937" s="15"/>
      <c r="AC937" s="15"/>
      <c r="AD937" s="15"/>
      <c r="AE937" s="15"/>
      <c r="AF937" s="15"/>
    </row>
    <row r="938" ht="15.75" customHeight="1">
      <c r="A938" s="15"/>
      <c r="B938" s="15"/>
      <c r="C938" s="21"/>
      <c r="D938" s="15"/>
      <c r="E938" s="15"/>
      <c r="F938" s="15"/>
      <c r="G938" s="387"/>
      <c r="H938" s="15"/>
      <c r="I938" s="11"/>
      <c r="J938" s="11"/>
      <c r="K938" s="11"/>
      <c r="L938" s="11"/>
      <c r="M938" s="15"/>
      <c r="N938" s="15"/>
      <c r="O938" s="15"/>
      <c r="P938" s="15"/>
      <c r="Q938" s="15"/>
      <c r="R938" s="15"/>
      <c r="S938" s="15"/>
      <c r="T938" s="15"/>
      <c r="U938" s="15"/>
      <c r="V938" s="15"/>
      <c r="W938" s="15"/>
      <c r="X938" s="15"/>
      <c r="Y938" s="15"/>
      <c r="Z938" s="15"/>
      <c r="AA938" s="15"/>
      <c r="AB938" s="15"/>
      <c r="AC938" s="15"/>
      <c r="AD938" s="15"/>
      <c r="AE938" s="15"/>
      <c r="AF938" s="15"/>
    </row>
    <row r="939" ht="15.75" customHeight="1">
      <c r="A939" s="15"/>
      <c r="B939" s="15"/>
      <c r="C939" s="21"/>
      <c r="D939" s="15"/>
      <c r="E939" s="15"/>
      <c r="F939" s="15"/>
      <c r="G939" s="387"/>
      <c r="H939" s="15"/>
      <c r="I939" s="11"/>
      <c r="J939" s="11"/>
      <c r="K939" s="11"/>
      <c r="L939" s="11"/>
      <c r="M939" s="15"/>
      <c r="N939" s="15"/>
      <c r="O939" s="15"/>
      <c r="P939" s="15"/>
      <c r="Q939" s="15"/>
      <c r="R939" s="15"/>
      <c r="S939" s="15"/>
      <c r="T939" s="15"/>
      <c r="U939" s="15"/>
      <c r="V939" s="15"/>
      <c r="W939" s="15"/>
      <c r="X939" s="15"/>
      <c r="Y939" s="15"/>
      <c r="Z939" s="15"/>
      <c r="AA939" s="15"/>
      <c r="AB939" s="15"/>
      <c r="AC939" s="15"/>
      <c r="AD939" s="15"/>
      <c r="AE939" s="15"/>
      <c r="AF939" s="15"/>
    </row>
    <row r="940" ht="15.75" customHeight="1">
      <c r="A940" s="15"/>
      <c r="B940" s="15"/>
      <c r="C940" s="21"/>
      <c r="D940" s="15"/>
      <c r="E940" s="15"/>
      <c r="F940" s="15"/>
      <c r="G940" s="387"/>
      <c r="H940" s="15"/>
      <c r="I940" s="11"/>
      <c r="J940" s="11"/>
      <c r="K940" s="11"/>
      <c r="L940" s="11"/>
      <c r="M940" s="15"/>
      <c r="N940" s="15"/>
      <c r="O940" s="15"/>
      <c r="P940" s="15"/>
      <c r="Q940" s="15"/>
      <c r="R940" s="15"/>
      <c r="S940" s="15"/>
      <c r="T940" s="15"/>
      <c r="U940" s="15"/>
      <c r="V940" s="15"/>
      <c r="W940" s="15"/>
      <c r="X940" s="15"/>
      <c r="Y940" s="15"/>
      <c r="Z940" s="15"/>
      <c r="AA940" s="15"/>
      <c r="AB940" s="15"/>
      <c r="AC940" s="15"/>
      <c r="AD940" s="15"/>
      <c r="AE940" s="15"/>
      <c r="AF940" s="15"/>
    </row>
    <row r="941" ht="15.75" customHeight="1">
      <c r="A941" s="15"/>
      <c r="B941" s="15"/>
      <c r="C941" s="21"/>
      <c r="D941" s="15"/>
      <c r="E941" s="15"/>
      <c r="F941" s="15"/>
      <c r="G941" s="387"/>
      <c r="H941" s="15"/>
      <c r="I941" s="11"/>
      <c r="J941" s="11"/>
      <c r="K941" s="11"/>
      <c r="L941" s="11"/>
      <c r="M941" s="15"/>
      <c r="N941" s="15"/>
      <c r="O941" s="15"/>
      <c r="P941" s="15"/>
      <c r="Q941" s="15"/>
      <c r="R941" s="15"/>
      <c r="S941" s="15"/>
      <c r="T941" s="15"/>
      <c r="U941" s="15"/>
      <c r="V941" s="15"/>
      <c r="W941" s="15"/>
      <c r="X941" s="15"/>
      <c r="Y941" s="15"/>
      <c r="Z941" s="15"/>
      <c r="AA941" s="15"/>
      <c r="AB941" s="15"/>
      <c r="AC941" s="15"/>
      <c r="AD941" s="15"/>
      <c r="AE941" s="15"/>
      <c r="AF941" s="15"/>
    </row>
    <row r="942" ht="15.75" customHeight="1">
      <c r="A942" s="15"/>
      <c r="B942" s="15"/>
      <c r="C942" s="21"/>
      <c r="D942" s="15"/>
      <c r="E942" s="15"/>
      <c r="F942" s="15"/>
      <c r="G942" s="387"/>
      <c r="H942" s="15"/>
      <c r="I942" s="11"/>
      <c r="J942" s="11"/>
      <c r="K942" s="11"/>
      <c r="L942" s="11"/>
      <c r="M942" s="15"/>
      <c r="N942" s="15"/>
      <c r="O942" s="15"/>
      <c r="P942" s="15"/>
      <c r="Q942" s="15"/>
      <c r="R942" s="15"/>
      <c r="S942" s="15"/>
      <c r="T942" s="15"/>
      <c r="U942" s="15"/>
      <c r="V942" s="15"/>
      <c r="W942" s="15"/>
      <c r="X942" s="15"/>
      <c r="Y942" s="15"/>
      <c r="Z942" s="15"/>
      <c r="AA942" s="15"/>
      <c r="AB942" s="15"/>
      <c r="AC942" s="15"/>
      <c r="AD942" s="15"/>
      <c r="AE942" s="15"/>
      <c r="AF942" s="15"/>
    </row>
    <row r="943" ht="15.75" customHeight="1">
      <c r="A943" s="15"/>
      <c r="B943" s="15"/>
      <c r="C943" s="21"/>
      <c r="D943" s="15"/>
      <c r="E943" s="15"/>
      <c r="F943" s="15"/>
      <c r="G943" s="387"/>
      <c r="H943" s="15"/>
      <c r="I943" s="11"/>
      <c r="J943" s="11"/>
      <c r="K943" s="11"/>
      <c r="L943" s="11"/>
      <c r="M943" s="15"/>
      <c r="N943" s="15"/>
      <c r="O943" s="15"/>
      <c r="P943" s="15"/>
      <c r="Q943" s="15"/>
      <c r="R943" s="15"/>
      <c r="S943" s="15"/>
      <c r="T943" s="15"/>
      <c r="U943" s="15"/>
      <c r="V943" s="15"/>
      <c r="W943" s="15"/>
      <c r="X943" s="15"/>
      <c r="Y943" s="15"/>
      <c r="Z943" s="15"/>
      <c r="AA943" s="15"/>
      <c r="AB943" s="15"/>
      <c r="AC943" s="15"/>
      <c r="AD943" s="15"/>
      <c r="AE943" s="15"/>
      <c r="AF943" s="15"/>
    </row>
    <row r="944" ht="15.75" customHeight="1">
      <c r="A944" s="15"/>
      <c r="B944" s="15"/>
      <c r="C944" s="21"/>
      <c r="D944" s="15"/>
      <c r="E944" s="15"/>
      <c r="F944" s="15"/>
      <c r="G944" s="387"/>
      <c r="H944" s="15"/>
      <c r="I944" s="11"/>
      <c r="J944" s="11"/>
      <c r="K944" s="11"/>
      <c r="L944" s="11"/>
      <c r="M944" s="15"/>
      <c r="N944" s="15"/>
      <c r="O944" s="15"/>
      <c r="P944" s="15"/>
      <c r="Q944" s="15"/>
      <c r="R944" s="15"/>
      <c r="S944" s="15"/>
      <c r="T944" s="15"/>
      <c r="U944" s="15"/>
      <c r="V944" s="15"/>
      <c r="W944" s="15"/>
      <c r="X944" s="15"/>
      <c r="Y944" s="15"/>
      <c r="Z944" s="15"/>
      <c r="AA944" s="15"/>
      <c r="AB944" s="15"/>
      <c r="AC944" s="15"/>
      <c r="AD944" s="15"/>
      <c r="AE944" s="15"/>
      <c r="AF944" s="15"/>
    </row>
    <row r="945" ht="15.75" customHeight="1">
      <c r="A945" s="15"/>
      <c r="B945" s="15"/>
      <c r="C945" s="21"/>
      <c r="D945" s="15"/>
      <c r="E945" s="15"/>
      <c r="F945" s="15"/>
      <c r="G945" s="387"/>
      <c r="H945" s="15"/>
      <c r="I945" s="11"/>
      <c r="J945" s="11"/>
      <c r="K945" s="11"/>
      <c r="L945" s="11"/>
      <c r="M945" s="15"/>
      <c r="N945" s="15"/>
      <c r="O945" s="15"/>
      <c r="P945" s="15"/>
      <c r="Q945" s="15"/>
      <c r="R945" s="15"/>
      <c r="S945" s="15"/>
      <c r="T945" s="15"/>
      <c r="U945" s="15"/>
      <c r="V945" s="15"/>
      <c r="W945" s="15"/>
      <c r="X945" s="15"/>
      <c r="Y945" s="15"/>
      <c r="Z945" s="15"/>
      <c r="AA945" s="15"/>
      <c r="AB945" s="15"/>
      <c r="AC945" s="15"/>
      <c r="AD945" s="15"/>
      <c r="AE945" s="15"/>
      <c r="AF945" s="15"/>
    </row>
    <row r="946" ht="15.75" customHeight="1">
      <c r="A946" s="15"/>
      <c r="B946" s="15"/>
      <c r="C946" s="21"/>
      <c r="D946" s="15"/>
      <c r="E946" s="15"/>
      <c r="F946" s="15"/>
      <c r="G946" s="387"/>
      <c r="H946" s="15"/>
      <c r="I946" s="11"/>
      <c r="J946" s="11"/>
      <c r="K946" s="11"/>
      <c r="L946" s="11"/>
      <c r="M946" s="15"/>
      <c r="N946" s="15"/>
      <c r="O946" s="15"/>
      <c r="P946" s="15"/>
      <c r="Q946" s="15"/>
      <c r="R946" s="15"/>
      <c r="S946" s="15"/>
      <c r="T946" s="15"/>
      <c r="U946" s="15"/>
      <c r="V946" s="15"/>
      <c r="W946" s="15"/>
      <c r="X946" s="15"/>
      <c r="Y946" s="15"/>
      <c r="Z946" s="15"/>
      <c r="AA946" s="15"/>
      <c r="AB946" s="15"/>
      <c r="AC946" s="15"/>
      <c r="AD946" s="15"/>
      <c r="AE946" s="15"/>
      <c r="AF946" s="15"/>
    </row>
    <row r="947" ht="15.75" customHeight="1">
      <c r="A947" s="15"/>
      <c r="B947" s="15"/>
      <c r="C947" s="21"/>
      <c r="D947" s="15"/>
      <c r="E947" s="15"/>
      <c r="F947" s="15"/>
      <c r="G947" s="387"/>
      <c r="H947" s="15"/>
      <c r="I947" s="11"/>
      <c r="J947" s="11"/>
      <c r="K947" s="11"/>
      <c r="L947" s="11"/>
      <c r="M947" s="15"/>
      <c r="N947" s="15"/>
      <c r="O947" s="15"/>
      <c r="P947" s="15"/>
      <c r="Q947" s="15"/>
      <c r="R947" s="15"/>
      <c r="S947" s="15"/>
      <c r="T947" s="15"/>
      <c r="U947" s="15"/>
      <c r="V947" s="15"/>
      <c r="W947" s="15"/>
      <c r="X947" s="15"/>
      <c r="Y947" s="15"/>
      <c r="Z947" s="15"/>
      <c r="AA947" s="15"/>
      <c r="AB947" s="15"/>
      <c r="AC947" s="15"/>
      <c r="AD947" s="15"/>
      <c r="AE947" s="15"/>
      <c r="AF947" s="15"/>
    </row>
    <row r="948" ht="15.75" customHeight="1">
      <c r="A948" s="15"/>
      <c r="B948" s="15"/>
      <c r="C948" s="21"/>
      <c r="D948" s="15"/>
      <c r="E948" s="15"/>
      <c r="F948" s="15"/>
      <c r="G948" s="387"/>
      <c r="H948" s="15"/>
      <c r="I948" s="11"/>
      <c r="J948" s="11"/>
      <c r="K948" s="11"/>
      <c r="L948" s="11"/>
      <c r="M948" s="15"/>
      <c r="N948" s="15"/>
      <c r="O948" s="15"/>
      <c r="P948" s="15"/>
      <c r="Q948" s="15"/>
      <c r="R948" s="15"/>
      <c r="S948" s="15"/>
      <c r="T948" s="15"/>
      <c r="U948" s="15"/>
      <c r="V948" s="15"/>
      <c r="W948" s="15"/>
      <c r="X948" s="15"/>
      <c r="Y948" s="15"/>
      <c r="Z948" s="15"/>
      <c r="AA948" s="15"/>
      <c r="AB948" s="15"/>
      <c r="AC948" s="15"/>
      <c r="AD948" s="15"/>
      <c r="AE948" s="15"/>
      <c r="AF948" s="15"/>
    </row>
    <row r="949" ht="15.75" customHeight="1">
      <c r="A949" s="15"/>
      <c r="B949" s="15"/>
      <c r="C949" s="21"/>
      <c r="D949" s="15"/>
      <c r="E949" s="15"/>
      <c r="F949" s="15"/>
      <c r="G949" s="387"/>
      <c r="H949" s="15"/>
      <c r="I949" s="11"/>
      <c r="J949" s="11"/>
      <c r="K949" s="11"/>
      <c r="L949" s="11"/>
      <c r="M949" s="15"/>
      <c r="N949" s="15"/>
      <c r="O949" s="15"/>
      <c r="P949" s="15"/>
      <c r="Q949" s="15"/>
      <c r="R949" s="15"/>
      <c r="S949" s="15"/>
      <c r="T949" s="15"/>
      <c r="U949" s="15"/>
      <c r="V949" s="15"/>
      <c r="W949" s="15"/>
      <c r="X949" s="15"/>
      <c r="Y949" s="15"/>
      <c r="Z949" s="15"/>
      <c r="AA949" s="15"/>
      <c r="AB949" s="15"/>
      <c r="AC949" s="15"/>
      <c r="AD949" s="15"/>
      <c r="AE949" s="15"/>
      <c r="AF949" s="15"/>
    </row>
    <row r="950" ht="15.75" customHeight="1">
      <c r="A950" s="15"/>
      <c r="B950" s="15"/>
      <c r="C950" s="21"/>
      <c r="D950" s="15"/>
      <c r="E950" s="15"/>
      <c r="F950" s="15"/>
      <c r="G950" s="387"/>
      <c r="H950" s="15"/>
      <c r="I950" s="11"/>
      <c r="J950" s="11"/>
      <c r="K950" s="11"/>
      <c r="L950" s="11"/>
      <c r="M950" s="15"/>
      <c r="N950" s="15"/>
      <c r="O950" s="15"/>
      <c r="P950" s="15"/>
      <c r="Q950" s="15"/>
      <c r="R950" s="15"/>
      <c r="S950" s="15"/>
      <c r="T950" s="15"/>
      <c r="U950" s="15"/>
      <c r="V950" s="15"/>
      <c r="W950" s="15"/>
      <c r="X950" s="15"/>
      <c r="Y950" s="15"/>
      <c r="Z950" s="15"/>
      <c r="AA950" s="15"/>
      <c r="AB950" s="15"/>
      <c r="AC950" s="15"/>
      <c r="AD950" s="15"/>
      <c r="AE950" s="15"/>
      <c r="AF950" s="15"/>
    </row>
    <row r="951" ht="15.75" customHeight="1">
      <c r="A951" s="15"/>
      <c r="B951" s="15"/>
      <c r="C951" s="21"/>
      <c r="D951" s="15"/>
      <c r="E951" s="15"/>
      <c r="F951" s="15"/>
      <c r="G951" s="387"/>
      <c r="H951" s="15"/>
      <c r="I951" s="11"/>
      <c r="J951" s="11"/>
      <c r="K951" s="11"/>
      <c r="L951" s="11"/>
      <c r="M951" s="15"/>
      <c r="N951" s="15"/>
      <c r="O951" s="15"/>
      <c r="P951" s="15"/>
      <c r="Q951" s="15"/>
      <c r="R951" s="15"/>
      <c r="S951" s="15"/>
      <c r="T951" s="15"/>
      <c r="U951" s="15"/>
      <c r="V951" s="15"/>
      <c r="W951" s="15"/>
      <c r="X951" s="15"/>
      <c r="Y951" s="15"/>
      <c r="Z951" s="15"/>
      <c r="AA951" s="15"/>
      <c r="AB951" s="15"/>
      <c r="AC951" s="15"/>
      <c r="AD951" s="15"/>
      <c r="AE951" s="15"/>
      <c r="AF951" s="15"/>
    </row>
    <row r="952" ht="15.75" customHeight="1">
      <c r="A952" s="15"/>
      <c r="B952" s="15"/>
      <c r="C952" s="21"/>
      <c r="D952" s="15"/>
      <c r="E952" s="15"/>
      <c r="F952" s="15"/>
      <c r="G952" s="387"/>
      <c r="H952" s="15"/>
      <c r="I952" s="11"/>
      <c r="J952" s="11"/>
      <c r="K952" s="11"/>
      <c r="L952" s="11"/>
      <c r="M952" s="15"/>
      <c r="N952" s="15"/>
      <c r="O952" s="15"/>
      <c r="P952" s="15"/>
      <c r="Q952" s="15"/>
      <c r="R952" s="15"/>
      <c r="S952" s="15"/>
      <c r="T952" s="15"/>
      <c r="U952" s="15"/>
      <c r="V952" s="15"/>
      <c r="W952" s="15"/>
      <c r="X952" s="15"/>
      <c r="Y952" s="15"/>
      <c r="Z952" s="15"/>
      <c r="AA952" s="15"/>
      <c r="AB952" s="15"/>
      <c r="AC952" s="15"/>
      <c r="AD952" s="15"/>
      <c r="AE952" s="15"/>
      <c r="AF952" s="15"/>
    </row>
    <row r="953" ht="15.75" customHeight="1">
      <c r="A953" s="15"/>
      <c r="B953" s="15"/>
      <c r="C953" s="21"/>
      <c r="D953" s="15"/>
      <c r="E953" s="15"/>
      <c r="F953" s="15"/>
      <c r="G953" s="387"/>
      <c r="H953" s="15"/>
      <c r="I953" s="11"/>
      <c r="J953" s="11"/>
      <c r="K953" s="11"/>
      <c r="L953" s="11"/>
      <c r="M953" s="15"/>
      <c r="N953" s="15"/>
      <c r="O953" s="15"/>
      <c r="P953" s="15"/>
      <c r="Q953" s="15"/>
      <c r="R953" s="15"/>
      <c r="S953" s="15"/>
      <c r="T953" s="15"/>
      <c r="U953" s="15"/>
      <c r="V953" s="15"/>
      <c r="W953" s="15"/>
      <c r="X953" s="15"/>
      <c r="Y953" s="15"/>
      <c r="Z953" s="15"/>
      <c r="AA953" s="15"/>
      <c r="AB953" s="15"/>
      <c r="AC953" s="15"/>
      <c r="AD953" s="15"/>
      <c r="AE953" s="15"/>
      <c r="AF953" s="15"/>
    </row>
    <row r="954" ht="15.75" customHeight="1">
      <c r="A954" s="15"/>
      <c r="B954" s="15"/>
      <c r="C954" s="21"/>
      <c r="D954" s="15"/>
      <c r="E954" s="15"/>
      <c r="F954" s="15"/>
      <c r="G954" s="387"/>
      <c r="H954" s="15"/>
      <c r="I954" s="11"/>
      <c r="J954" s="11"/>
      <c r="K954" s="11"/>
      <c r="L954" s="11"/>
      <c r="M954" s="15"/>
      <c r="N954" s="15"/>
      <c r="O954" s="15"/>
      <c r="P954" s="15"/>
      <c r="Q954" s="15"/>
      <c r="R954" s="15"/>
      <c r="S954" s="15"/>
      <c r="T954" s="15"/>
      <c r="U954" s="15"/>
      <c r="V954" s="15"/>
      <c r="W954" s="15"/>
      <c r="X954" s="15"/>
      <c r="Y954" s="15"/>
      <c r="Z954" s="15"/>
      <c r="AA954" s="15"/>
      <c r="AB954" s="15"/>
      <c r="AC954" s="15"/>
      <c r="AD954" s="15"/>
      <c r="AE954" s="15"/>
      <c r="AF954" s="15"/>
    </row>
    <row r="955" ht="15.75" customHeight="1">
      <c r="A955" s="15"/>
      <c r="B955" s="15"/>
      <c r="C955" s="21"/>
      <c r="D955" s="15"/>
      <c r="E955" s="15"/>
      <c r="F955" s="15"/>
      <c r="G955" s="387"/>
      <c r="H955" s="15"/>
      <c r="I955" s="11"/>
      <c r="J955" s="11"/>
      <c r="K955" s="11"/>
      <c r="L955" s="11"/>
      <c r="M955" s="15"/>
      <c r="N955" s="15"/>
      <c r="O955" s="15"/>
      <c r="P955" s="15"/>
      <c r="Q955" s="15"/>
      <c r="R955" s="15"/>
      <c r="S955" s="15"/>
      <c r="T955" s="15"/>
      <c r="U955" s="15"/>
      <c r="V955" s="15"/>
      <c r="W955" s="15"/>
      <c r="X955" s="15"/>
      <c r="Y955" s="15"/>
      <c r="Z955" s="15"/>
      <c r="AA955" s="15"/>
      <c r="AB955" s="15"/>
      <c r="AC955" s="15"/>
      <c r="AD955" s="15"/>
      <c r="AE955" s="15"/>
      <c r="AF955" s="15"/>
    </row>
    <row r="956" ht="15.75" customHeight="1">
      <c r="A956" s="15"/>
      <c r="B956" s="15"/>
      <c r="C956" s="21"/>
      <c r="D956" s="15"/>
      <c r="E956" s="15"/>
      <c r="F956" s="15"/>
      <c r="G956" s="387"/>
      <c r="H956" s="15"/>
      <c r="I956" s="11"/>
      <c r="J956" s="11"/>
      <c r="K956" s="11"/>
      <c r="L956" s="11"/>
      <c r="M956" s="15"/>
      <c r="N956" s="15"/>
      <c r="O956" s="15"/>
      <c r="P956" s="15"/>
      <c r="Q956" s="15"/>
      <c r="R956" s="15"/>
      <c r="S956" s="15"/>
      <c r="T956" s="15"/>
      <c r="U956" s="15"/>
      <c r="V956" s="15"/>
      <c r="W956" s="15"/>
      <c r="X956" s="15"/>
      <c r="Y956" s="15"/>
      <c r="Z956" s="15"/>
      <c r="AA956" s="15"/>
      <c r="AB956" s="15"/>
      <c r="AC956" s="15"/>
      <c r="AD956" s="15"/>
      <c r="AE956" s="15"/>
      <c r="AF956" s="15"/>
    </row>
    <row r="957" ht="15.75" customHeight="1">
      <c r="A957" s="15"/>
      <c r="B957" s="15"/>
      <c r="C957" s="21"/>
      <c r="D957" s="15"/>
      <c r="E957" s="15"/>
      <c r="F957" s="15"/>
      <c r="G957" s="387"/>
      <c r="H957" s="15"/>
      <c r="I957" s="11"/>
      <c r="J957" s="11"/>
      <c r="K957" s="11"/>
      <c r="L957" s="11"/>
      <c r="M957" s="15"/>
      <c r="N957" s="15"/>
      <c r="O957" s="15"/>
      <c r="P957" s="15"/>
      <c r="Q957" s="15"/>
      <c r="R957" s="15"/>
      <c r="S957" s="15"/>
      <c r="T957" s="15"/>
      <c r="U957" s="15"/>
      <c r="V957" s="15"/>
      <c r="W957" s="15"/>
      <c r="X957" s="15"/>
      <c r="Y957" s="15"/>
      <c r="Z957" s="15"/>
      <c r="AA957" s="15"/>
      <c r="AB957" s="15"/>
      <c r="AC957" s="15"/>
      <c r="AD957" s="15"/>
      <c r="AE957" s="15"/>
      <c r="AF957" s="15"/>
    </row>
    <row r="958" ht="15.75" customHeight="1">
      <c r="A958" s="15"/>
      <c r="B958" s="15"/>
      <c r="C958" s="21"/>
      <c r="D958" s="15"/>
      <c r="E958" s="15"/>
      <c r="F958" s="15"/>
      <c r="G958" s="387"/>
      <c r="H958" s="15"/>
      <c r="I958" s="11"/>
      <c r="J958" s="11"/>
      <c r="K958" s="11"/>
      <c r="L958" s="11"/>
      <c r="M958" s="15"/>
      <c r="N958" s="15"/>
      <c r="O958" s="15"/>
      <c r="P958" s="15"/>
      <c r="Q958" s="15"/>
      <c r="R958" s="15"/>
      <c r="S958" s="15"/>
      <c r="T958" s="15"/>
      <c r="U958" s="15"/>
      <c r="V958" s="15"/>
      <c r="W958" s="15"/>
      <c r="X958" s="15"/>
      <c r="Y958" s="15"/>
      <c r="Z958" s="15"/>
      <c r="AA958" s="15"/>
      <c r="AB958" s="15"/>
      <c r="AC958" s="15"/>
      <c r="AD958" s="15"/>
      <c r="AE958" s="15"/>
      <c r="AF958" s="15"/>
    </row>
    <row r="959" ht="15.75" customHeight="1">
      <c r="A959" s="15"/>
      <c r="B959" s="15"/>
      <c r="C959" s="21"/>
      <c r="D959" s="15"/>
      <c r="E959" s="15"/>
      <c r="F959" s="15"/>
      <c r="G959" s="387"/>
      <c r="H959" s="15"/>
      <c r="I959" s="11"/>
      <c r="J959" s="11"/>
      <c r="K959" s="11"/>
      <c r="L959" s="11"/>
      <c r="M959" s="15"/>
      <c r="N959" s="15"/>
      <c r="O959" s="15"/>
      <c r="P959" s="15"/>
      <c r="Q959" s="15"/>
      <c r="R959" s="15"/>
      <c r="S959" s="15"/>
      <c r="T959" s="15"/>
      <c r="U959" s="15"/>
      <c r="V959" s="15"/>
      <c r="W959" s="15"/>
      <c r="X959" s="15"/>
      <c r="Y959" s="15"/>
      <c r="Z959" s="15"/>
      <c r="AA959" s="15"/>
      <c r="AB959" s="15"/>
      <c r="AC959" s="15"/>
      <c r="AD959" s="15"/>
      <c r="AE959" s="15"/>
      <c r="AF959" s="15"/>
    </row>
    <row r="960" ht="15.75" customHeight="1">
      <c r="A960" s="15"/>
      <c r="B960" s="15"/>
      <c r="C960" s="21"/>
      <c r="D960" s="15"/>
      <c r="E960" s="15"/>
      <c r="F960" s="15"/>
      <c r="G960" s="387"/>
      <c r="H960" s="15"/>
      <c r="I960" s="11"/>
      <c r="J960" s="11"/>
      <c r="K960" s="11"/>
      <c r="L960" s="11"/>
      <c r="M960" s="15"/>
      <c r="N960" s="15"/>
      <c r="O960" s="15"/>
      <c r="P960" s="15"/>
      <c r="Q960" s="15"/>
      <c r="R960" s="15"/>
      <c r="S960" s="15"/>
      <c r="T960" s="15"/>
      <c r="U960" s="15"/>
      <c r="V960" s="15"/>
      <c r="W960" s="15"/>
      <c r="X960" s="15"/>
      <c r="Y960" s="15"/>
      <c r="Z960" s="15"/>
      <c r="AA960" s="15"/>
      <c r="AB960" s="15"/>
      <c r="AC960" s="15"/>
      <c r="AD960" s="15"/>
      <c r="AE960" s="15"/>
      <c r="AF960" s="15"/>
    </row>
    <row r="961" ht="15.75" customHeight="1">
      <c r="A961" s="15"/>
      <c r="B961" s="15"/>
      <c r="C961" s="21"/>
      <c r="D961" s="15"/>
      <c r="E961" s="15"/>
      <c r="F961" s="15"/>
      <c r="G961" s="387"/>
      <c r="H961" s="15"/>
      <c r="I961" s="11"/>
      <c r="J961" s="11"/>
      <c r="K961" s="11"/>
      <c r="L961" s="11"/>
      <c r="M961" s="15"/>
      <c r="N961" s="15"/>
      <c r="O961" s="15"/>
      <c r="P961" s="15"/>
      <c r="Q961" s="15"/>
      <c r="R961" s="15"/>
      <c r="S961" s="15"/>
      <c r="T961" s="15"/>
      <c r="U961" s="15"/>
      <c r="V961" s="15"/>
      <c r="W961" s="15"/>
      <c r="X961" s="15"/>
      <c r="Y961" s="15"/>
      <c r="Z961" s="15"/>
      <c r="AA961" s="15"/>
      <c r="AB961" s="15"/>
      <c r="AC961" s="15"/>
      <c r="AD961" s="15"/>
      <c r="AE961" s="15"/>
      <c r="AF961" s="15"/>
    </row>
    <row r="962" ht="15.75" customHeight="1">
      <c r="A962" s="15"/>
      <c r="B962" s="15"/>
      <c r="C962" s="21"/>
      <c r="D962" s="15"/>
      <c r="E962" s="15"/>
      <c r="F962" s="15"/>
      <c r="G962" s="387"/>
      <c r="H962" s="15"/>
      <c r="I962" s="11"/>
      <c r="J962" s="11"/>
      <c r="K962" s="11"/>
      <c r="L962" s="11"/>
      <c r="M962" s="15"/>
      <c r="N962" s="15"/>
      <c r="O962" s="15"/>
      <c r="P962" s="15"/>
      <c r="Q962" s="15"/>
      <c r="R962" s="15"/>
      <c r="S962" s="15"/>
      <c r="T962" s="15"/>
      <c r="U962" s="15"/>
      <c r="V962" s="15"/>
      <c r="W962" s="15"/>
      <c r="X962" s="15"/>
      <c r="Y962" s="15"/>
      <c r="Z962" s="15"/>
      <c r="AA962" s="15"/>
      <c r="AB962" s="15"/>
      <c r="AC962" s="15"/>
      <c r="AD962" s="15"/>
      <c r="AE962" s="15"/>
      <c r="AF962" s="15"/>
    </row>
    <row r="963" ht="15.75" customHeight="1">
      <c r="A963" s="15"/>
      <c r="B963" s="15"/>
      <c r="C963" s="21"/>
      <c r="D963" s="15"/>
      <c r="E963" s="15"/>
      <c r="F963" s="15"/>
      <c r="G963" s="387"/>
      <c r="H963" s="15"/>
      <c r="I963" s="11"/>
      <c r="J963" s="11"/>
      <c r="K963" s="11"/>
      <c r="L963" s="11"/>
      <c r="M963" s="15"/>
      <c r="N963" s="15"/>
      <c r="O963" s="15"/>
      <c r="P963" s="15"/>
      <c r="Q963" s="15"/>
      <c r="R963" s="15"/>
      <c r="S963" s="15"/>
      <c r="T963" s="15"/>
      <c r="U963" s="15"/>
      <c r="V963" s="15"/>
      <c r="W963" s="15"/>
      <c r="X963" s="15"/>
      <c r="Y963" s="15"/>
      <c r="Z963" s="15"/>
      <c r="AA963" s="15"/>
      <c r="AB963" s="15"/>
      <c r="AC963" s="15"/>
      <c r="AD963" s="15"/>
      <c r="AE963" s="15"/>
      <c r="AF963" s="15"/>
    </row>
    <row r="964" ht="15.75" customHeight="1">
      <c r="A964" s="15"/>
      <c r="B964" s="15"/>
      <c r="C964" s="21"/>
      <c r="D964" s="15"/>
      <c r="E964" s="15"/>
      <c r="F964" s="15"/>
      <c r="G964" s="387"/>
      <c r="H964" s="15"/>
      <c r="I964" s="11"/>
      <c r="J964" s="11"/>
      <c r="K964" s="11"/>
      <c r="L964" s="11"/>
      <c r="M964" s="15"/>
      <c r="N964" s="15"/>
      <c r="O964" s="15"/>
      <c r="P964" s="15"/>
      <c r="Q964" s="15"/>
      <c r="R964" s="15"/>
      <c r="S964" s="15"/>
      <c r="T964" s="15"/>
      <c r="U964" s="15"/>
      <c r="V964" s="15"/>
      <c r="W964" s="15"/>
      <c r="X964" s="15"/>
      <c r="Y964" s="15"/>
      <c r="Z964" s="15"/>
      <c r="AA964" s="15"/>
      <c r="AB964" s="15"/>
      <c r="AC964" s="15"/>
      <c r="AD964" s="15"/>
      <c r="AE964" s="15"/>
      <c r="AF964" s="15"/>
    </row>
    <row r="965" ht="15.75" customHeight="1">
      <c r="A965" s="15"/>
      <c r="B965" s="15"/>
      <c r="C965" s="21"/>
      <c r="D965" s="15"/>
      <c r="E965" s="15"/>
      <c r="F965" s="15"/>
      <c r="G965" s="387"/>
      <c r="H965" s="15"/>
      <c r="I965" s="11"/>
      <c r="J965" s="11"/>
      <c r="K965" s="11"/>
      <c r="L965" s="11"/>
      <c r="M965" s="15"/>
      <c r="N965" s="15"/>
      <c r="O965" s="15"/>
      <c r="P965" s="15"/>
      <c r="Q965" s="15"/>
      <c r="R965" s="15"/>
      <c r="S965" s="15"/>
      <c r="T965" s="15"/>
      <c r="U965" s="15"/>
      <c r="V965" s="15"/>
      <c r="W965" s="15"/>
      <c r="X965" s="15"/>
      <c r="Y965" s="15"/>
      <c r="Z965" s="15"/>
      <c r="AA965" s="15"/>
      <c r="AB965" s="15"/>
      <c r="AC965" s="15"/>
      <c r="AD965" s="15"/>
      <c r="AE965" s="15"/>
      <c r="AF965" s="15"/>
    </row>
    <row r="966" ht="15.75" customHeight="1">
      <c r="A966" s="15"/>
      <c r="B966" s="15"/>
      <c r="C966" s="21"/>
      <c r="D966" s="15"/>
      <c r="E966" s="15"/>
      <c r="F966" s="15"/>
      <c r="G966" s="387"/>
      <c r="H966" s="15"/>
      <c r="I966" s="11"/>
      <c r="J966" s="11"/>
      <c r="K966" s="11"/>
      <c r="L966" s="11"/>
      <c r="M966" s="15"/>
      <c r="N966" s="15"/>
      <c r="O966" s="15"/>
      <c r="P966" s="15"/>
      <c r="Q966" s="15"/>
      <c r="R966" s="15"/>
      <c r="S966" s="15"/>
      <c r="T966" s="15"/>
      <c r="U966" s="15"/>
      <c r="V966" s="15"/>
      <c r="W966" s="15"/>
      <c r="X966" s="15"/>
      <c r="Y966" s="15"/>
      <c r="Z966" s="15"/>
      <c r="AA966" s="15"/>
      <c r="AB966" s="15"/>
      <c r="AC966" s="15"/>
      <c r="AD966" s="15"/>
      <c r="AE966" s="15"/>
      <c r="AF966" s="15"/>
    </row>
    <row r="967" ht="15.75" customHeight="1">
      <c r="A967" s="15"/>
      <c r="B967" s="15"/>
      <c r="C967" s="21"/>
      <c r="D967" s="15"/>
      <c r="E967" s="15"/>
      <c r="F967" s="15"/>
      <c r="G967" s="387"/>
      <c r="H967" s="15"/>
      <c r="I967" s="11"/>
      <c r="J967" s="11"/>
      <c r="K967" s="11"/>
      <c r="L967" s="11"/>
      <c r="M967" s="15"/>
      <c r="N967" s="15"/>
      <c r="O967" s="15"/>
      <c r="P967" s="15"/>
      <c r="Q967" s="15"/>
      <c r="R967" s="15"/>
      <c r="S967" s="15"/>
      <c r="T967" s="15"/>
      <c r="U967" s="15"/>
      <c r="V967" s="15"/>
      <c r="W967" s="15"/>
      <c r="X967" s="15"/>
      <c r="Y967" s="15"/>
      <c r="Z967" s="15"/>
      <c r="AA967" s="15"/>
      <c r="AB967" s="15"/>
      <c r="AC967" s="15"/>
      <c r="AD967" s="15"/>
      <c r="AE967" s="15"/>
      <c r="AF967" s="15"/>
    </row>
    <row r="968" ht="15.75" customHeight="1">
      <c r="A968" s="15"/>
      <c r="B968" s="15"/>
      <c r="C968" s="21"/>
      <c r="D968" s="15"/>
      <c r="E968" s="15"/>
      <c r="F968" s="15"/>
      <c r="G968" s="387"/>
      <c r="H968" s="15"/>
      <c r="I968" s="11"/>
      <c r="J968" s="11"/>
      <c r="K968" s="11"/>
      <c r="L968" s="11"/>
      <c r="M968" s="15"/>
      <c r="N968" s="15"/>
      <c r="O968" s="15"/>
      <c r="P968" s="15"/>
      <c r="Q968" s="15"/>
      <c r="R968" s="15"/>
      <c r="S968" s="15"/>
      <c r="T968" s="15"/>
      <c r="U968" s="15"/>
      <c r="V968" s="15"/>
      <c r="W968" s="15"/>
      <c r="X968" s="15"/>
      <c r="Y968" s="15"/>
      <c r="Z968" s="15"/>
      <c r="AA968" s="15"/>
      <c r="AB968" s="15"/>
      <c r="AC968" s="15"/>
      <c r="AD968" s="15"/>
      <c r="AE968" s="15"/>
      <c r="AF968" s="15"/>
    </row>
    <row r="969" ht="15.75" customHeight="1">
      <c r="A969" s="15"/>
      <c r="B969" s="15"/>
      <c r="C969" s="21"/>
      <c r="D969" s="15"/>
      <c r="E969" s="15"/>
      <c r="F969" s="15"/>
      <c r="G969" s="387"/>
      <c r="H969" s="15"/>
      <c r="I969" s="11"/>
      <c r="J969" s="11"/>
      <c r="K969" s="11"/>
      <c r="L969" s="11"/>
      <c r="M969" s="15"/>
      <c r="N969" s="15"/>
      <c r="O969" s="15"/>
      <c r="P969" s="15"/>
      <c r="Q969" s="15"/>
      <c r="R969" s="15"/>
      <c r="S969" s="15"/>
      <c r="T969" s="15"/>
      <c r="U969" s="15"/>
      <c r="V969" s="15"/>
      <c r="W969" s="15"/>
      <c r="X969" s="15"/>
      <c r="Y969" s="15"/>
      <c r="Z969" s="15"/>
      <c r="AA969" s="15"/>
      <c r="AB969" s="15"/>
      <c r="AC969" s="15"/>
      <c r="AD969" s="15"/>
      <c r="AE969" s="15"/>
      <c r="AF969" s="15"/>
    </row>
    <row r="970" ht="15.75" customHeight="1">
      <c r="A970" s="15"/>
      <c r="B970" s="15"/>
      <c r="C970" s="21"/>
      <c r="D970" s="15"/>
      <c r="E970" s="15"/>
      <c r="F970" s="15"/>
      <c r="G970" s="387"/>
      <c r="H970" s="15"/>
      <c r="I970" s="11"/>
      <c r="J970" s="11"/>
      <c r="K970" s="11"/>
      <c r="L970" s="11"/>
      <c r="M970" s="15"/>
      <c r="N970" s="15"/>
      <c r="O970" s="15"/>
      <c r="P970" s="15"/>
      <c r="Q970" s="15"/>
      <c r="R970" s="15"/>
      <c r="S970" s="15"/>
      <c r="T970" s="15"/>
      <c r="U970" s="15"/>
      <c r="V970" s="15"/>
      <c r="W970" s="15"/>
      <c r="X970" s="15"/>
      <c r="Y970" s="15"/>
      <c r="Z970" s="15"/>
      <c r="AA970" s="15"/>
      <c r="AB970" s="15"/>
      <c r="AC970" s="15"/>
      <c r="AD970" s="15"/>
      <c r="AE970" s="15"/>
      <c r="AF970" s="15"/>
    </row>
    <row r="971" ht="15.75" customHeight="1">
      <c r="A971" s="15"/>
      <c r="B971" s="15"/>
      <c r="C971" s="21"/>
      <c r="D971" s="15"/>
      <c r="E971" s="15"/>
      <c r="F971" s="15"/>
      <c r="G971" s="387"/>
      <c r="H971" s="15"/>
      <c r="I971" s="11"/>
      <c r="J971" s="11"/>
      <c r="K971" s="11"/>
      <c r="L971" s="11"/>
      <c r="M971" s="15"/>
      <c r="N971" s="15"/>
      <c r="O971" s="15"/>
      <c r="P971" s="15"/>
      <c r="Q971" s="15"/>
      <c r="R971" s="15"/>
      <c r="S971" s="15"/>
      <c r="T971" s="15"/>
      <c r="U971" s="15"/>
      <c r="V971" s="15"/>
      <c r="W971" s="15"/>
      <c r="X971" s="15"/>
      <c r="Y971" s="15"/>
      <c r="Z971" s="15"/>
      <c r="AA971" s="15"/>
      <c r="AB971" s="15"/>
      <c r="AC971" s="15"/>
      <c r="AD971" s="15"/>
      <c r="AE971" s="15"/>
      <c r="AF971" s="15"/>
    </row>
    <row r="972" ht="15.75" customHeight="1">
      <c r="A972" s="15"/>
      <c r="B972" s="15"/>
      <c r="C972" s="21"/>
      <c r="D972" s="15"/>
      <c r="E972" s="15"/>
      <c r="F972" s="15"/>
      <c r="G972" s="387"/>
      <c r="H972" s="15"/>
      <c r="I972" s="11"/>
      <c r="J972" s="11"/>
      <c r="K972" s="11"/>
      <c r="L972" s="11"/>
      <c r="M972" s="15"/>
      <c r="N972" s="15"/>
      <c r="O972" s="15"/>
      <c r="P972" s="15"/>
      <c r="Q972" s="15"/>
      <c r="R972" s="15"/>
      <c r="S972" s="15"/>
      <c r="T972" s="15"/>
      <c r="U972" s="15"/>
      <c r="V972" s="15"/>
      <c r="W972" s="15"/>
      <c r="X972" s="15"/>
      <c r="Y972" s="15"/>
      <c r="Z972" s="15"/>
      <c r="AA972" s="15"/>
      <c r="AB972" s="15"/>
      <c r="AC972" s="15"/>
      <c r="AD972" s="15"/>
      <c r="AE972" s="15"/>
      <c r="AF972" s="15"/>
    </row>
    <row r="973" ht="15.75" customHeight="1">
      <c r="A973" s="15"/>
      <c r="B973" s="15"/>
      <c r="C973" s="21"/>
      <c r="D973" s="15"/>
      <c r="E973" s="15"/>
      <c r="F973" s="15"/>
      <c r="G973" s="387"/>
      <c r="H973" s="15"/>
      <c r="I973" s="11"/>
      <c r="J973" s="11"/>
      <c r="K973" s="11"/>
      <c r="L973" s="11"/>
      <c r="M973" s="15"/>
      <c r="N973" s="15"/>
      <c r="O973" s="15"/>
      <c r="P973" s="15"/>
      <c r="Q973" s="15"/>
      <c r="R973" s="15"/>
      <c r="S973" s="15"/>
      <c r="T973" s="15"/>
      <c r="U973" s="15"/>
      <c r="V973" s="15"/>
      <c r="W973" s="15"/>
      <c r="X973" s="15"/>
      <c r="Y973" s="15"/>
      <c r="Z973" s="15"/>
      <c r="AA973" s="15"/>
      <c r="AB973" s="15"/>
      <c r="AC973" s="15"/>
      <c r="AD973" s="15"/>
      <c r="AE973" s="15"/>
      <c r="AF973" s="15"/>
    </row>
    <row r="974" ht="15.75" customHeight="1">
      <c r="A974" s="15"/>
      <c r="B974" s="15"/>
      <c r="C974" s="21"/>
      <c r="D974" s="15"/>
      <c r="E974" s="15"/>
      <c r="F974" s="15"/>
      <c r="G974" s="387"/>
      <c r="H974" s="15"/>
      <c r="I974" s="11"/>
      <c r="J974" s="11"/>
      <c r="K974" s="11"/>
      <c r="L974" s="11"/>
      <c r="M974" s="15"/>
      <c r="N974" s="15"/>
      <c r="O974" s="15"/>
      <c r="P974" s="15"/>
      <c r="Q974" s="15"/>
      <c r="R974" s="15"/>
      <c r="S974" s="15"/>
      <c r="T974" s="15"/>
      <c r="U974" s="15"/>
      <c r="V974" s="15"/>
      <c r="W974" s="15"/>
      <c r="X974" s="15"/>
      <c r="Y974" s="15"/>
      <c r="Z974" s="15"/>
      <c r="AA974" s="15"/>
      <c r="AB974" s="15"/>
      <c r="AC974" s="15"/>
      <c r="AD974" s="15"/>
      <c r="AE974" s="15"/>
      <c r="AF974" s="15"/>
    </row>
    <row r="975" ht="15.75" customHeight="1">
      <c r="A975" s="15"/>
      <c r="B975" s="15"/>
      <c r="C975" s="21"/>
      <c r="D975" s="15"/>
      <c r="E975" s="15"/>
      <c r="F975" s="15"/>
      <c r="G975" s="387"/>
      <c r="H975" s="15"/>
      <c r="I975" s="11"/>
      <c r="J975" s="11"/>
      <c r="K975" s="11"/>
      <c r="L975" s="11"/>
      <c r="M975" s="15"/>
      <c r="N975" s="15"/>
      <c r="O975" s="15"/>
      <c r="P975" s="15"/>
      <c r="Q975" s="15"/>
      <c r="R975" s="15"/>
      <c r="S975" s="15"/>
      <c r="T975" s="15"/>
      <c r="U975" s="15"/>
      <c r="V975" s="15"/>
      <c r="W975" s="15"/>
      <c r="X975" s="15"/>
      <c r="Y975" s="15"/>
      <c r="Z975" s="15"/>
      <c r="AA975" s="15"/>
      <c r="AB975" s="15"/>
      <c r="AC975" s="15"/>
      <c r="AD975" s="15"/>
      <c r="AE975" s="15"/>
      <c r="AF975" s="15"/>
    </row>
    <row r="976" ht="15.75" customHeight="1">
      <c r="A976" s="15"/>
      <c r="B976" s="15"/>
      <c r="C976" s="21"/>
      <c r="D976" s="15"/>
      <c r="E976" s="15"/>
      <c r="F976" s="15"/>
      <c r="G976" s="387"/>
      <c r="H976" s="15"/>
      <c r="I976" s="11"/>
      <c r="J976" s="11"/>
      <c r="K976" s="11"/>
      <c r="L976" s="11"/>
      <c r="M976" s="15"/>
      <c r="N976" s="15"/>
      <c r="O976" s="15"/>
      <c r="P976" s="15"/>
      <c r="Q976" s="15"/>
      <c r="R976" s="15"/>
      <c r="S976" s="15"/>
      <c r="T976" s="15"/>
      <c r="U976" s="15"/>
      <c r="V976" s="15"/>
      <c r="W976" s="15"/>
      <c r="X976" s="15"/>
      <c r="Y976" s="15"/>
      <c r="Z976" s="15"/>
      <c r="AA976" s="15"/>
      <c r="AB976" s="15"/>
      <c r="AC976" s="15"/>
      <c r="AD976" s="15"/>
      <c r="AE976" s="15"/>
      <c r="AF976" s="15"/>
    </row>
    <row r="977" ht="15.75" customHeight="1">
      <c r="A977" s="15"/>
      <c r="B977" s="15"/>
      <c r="C977" s="21"/>
      <c r="D977" s="15"/>
      <c r="E977" s="15"/>
      <c r="F977" s="15"/>
      <c r="G977" s="387"/>
      <c r="H977" s="15"/>
      <c r="I977" s="11"/>
      <c r="J977" s="11"/>
      <c r="K977" s="11"/>
      <c r="L977" s="11"/>
      <c r="M977" s="15"/>
      <c r="N977" s="15"/>
      <c r="O977" s="15"/>
      <c r="P977" s="15"/>
      <c r="Q977" s="15"/>
      <c r="R977" s="15"/>
      <c r="S977" s="15"/>
      <c r="T977" s="15"/>
      <c r="U977" s="15"/>
      <c r="V977" s="15"/>
      <c r="W977" s="15"/>
      <c r="X977" s="15"/>
      <c r="Y977" s="15"/>
      <c r="Z977" s="15"/>
      <c r="AA977" s="15"/>
      <c r="AB977" s="15"/>
      <c r="AC977" s="15"/>
      <c r="AD977" s="15"/>
      <c r="AE977" s="15"/>
      <c r="AF977" s="15"/>
    </row>
    <row r="978" ht="15.75" customHeight="1">
      <c r="A978" s="15"/>
      <c r="B978" s="15"/>
      <c r="C978" s="21"/>
      <c r="D978" s="15"/>
      <c r="E978" s="15"/>
      <c r="F978" s="15"/>
      <c r="G978" s="387"/>
      <c r="H978" s="15"/>
      <c r="I978" s="11"/>
      <c r="J978" s="11"/>
      <c r="K978" s="11"/>
      <c r="L978" s="11"/>
      <c r="M978" s="15"/>
      <c r="N978" s="15"/>
      <c r="O978" s="15"/>
      <c r="P978" s="15"/>
      <c r="Q978" s="15"/>
      <c r="R978" s="15"/>
      <c r="S978" s="15"/>
      <c r="T978" s="15"/>
      <c r="U978" s="15"/>
      <c r="V978" s="15"/>
      <c r="W978" s="15"/>
      <c r="X978" s="15"/>
      <c r="Y978" s="15"/>
      <c r="Z978" s="15"/>
      <c r="AA978" s="15"/>
      <c r="AB978" s="15"/>
      <c r="AC978" s="15"/>
      <c r="AD978" s="15"/>
      <c r="AE978" s="15"/>
      <c r="AF978" s="15"/>
    </row>
    <row r="979" ht="15.75" customHeight="1">
      <c r="A979" s="15"/>
      <c r="B979" s="15"/>
      <c r="C979" s="21"/>
      <c r="D979" s="15"/>
      <c r="E979" s="15"/>
      <c r="F979" s="15"/>
      <c r="G979" s="387"/>
      <c r="H979" s="15"/>
      <c r="I979" s="11"/>
      <c r="J979" s="11"/>
      <c r="K979" s="11"/>
      <c r="L979" s="11"/>
      <c r="M979" s="15"/>
      <c r="N979" s="15"/>
      <c r="O979" s="15"/>
      <c r="P979" s="15"/>
      <c r="Q979" s="15"/>
      <c r="R979" s="15"/>
      <c r="S979" s="15"/>
      <c r="T979" s="15"/>
      <c r="U979" s="15"/>
      <c r="V979" s="15"/>
      <c r="W979" s="15"/>
      <c r="X979" s="15"/>
      <c r="Y979" s="15"/>
      <c r="Z979" s="15"/>
      <c r="AA979" s="15"/>
      <c r="AB979" s="15"/>
      <c r="AC979" s="15"/>
      <c r="AD979" s="15"/>
      <c r="AE979" s="15"/>
      <c r="AF979" s="15"/>
    </row>
    <row r="980" ht="15.75" customHeight="1">
      <c r="A980" s="15"/>
      <c r="B980" s="15"/>
      <c r="C980" s="21"/>
      <c r="D980" s="15"/>
      <c r="E980" s="15"/>
      <c r="F980" s="15"/>
      <c r="G980" s="387"/>
      <c r="H980" s="15"/>
      <c r="I980" s="11"/>
      <c r="J980" s="11"/>
      <c r="K980" s="11"/>
      <c r="L980" s="11"/>
      <c r="M980" s="15"/>
      <c r="N980" s="15"/>
      <c r="O980" s="15"/>
      <c r="P980" s="15"/>
      <c r="Q980" s="15"/>
      <c r="R980" s="15"/>
      <c r="S980" s="15"/>
      <c r="T980" s="15"/>
      <c r="U980" s="15"/>
      <c r="V980" s="15"/>
      <c r="W980" s="15"/>
      <c r="X980" s="15"/>
      <c r="Y980" s="15"/>
      <c r="Z980" s="15"/>
      <c r="AA980" s="15"/>
      <c r="AB980" s="15"/>
      <c r="AC980" s="15"/>
      <c r="AD980" s="15"/>
      <c r="AE980" s="15"/>
      <c r="AF980" s="15"/>
    </row>
    <row r="981" ht="15.75" customHeight="1">
      <c r="A981" s="15"/>
      <c r="B981" s="15"/>
      <c r="C981" s="21"/>
      <c r="D981" s="15"/>
      <c r="E981" s="15"/>
      <c r="F981" s="15"/>
      <c r="G981" s="387"/>
      <c r="H981" s="15"/>
      <c r="I981" s="11"/>
      <c r="J981" s="11"/>
      <c r="K981" s="11"/>
      <c r="L981" s="11"/>
      <c r="M981" s="15"/>
      <c r="N981" s="15"/>
      <c r="O981" s="15"/>
      <c r="P981" s="15"/>
      <c r="Q981" s="15"/>
      <c r="R981" s="15"/>
      <c r="S981" s="15"/>
      <c r="T981" s="15"/>
      <c r="U981" s="15"/>
      <c r="V981" s="15"/>
      <c r="W981" s="15"/>
      <c r="X981" s="15"/>
      <c r="Y981" s="15"/>
      <c r="Z981" s="15"/>
      <c r="AA981" s="15"/>
      <c r="AB981" s="15"/>
      <c r="AC981" s="15"/>
      <c r="AD981" s="15"/>
      <c r="AE981" s="15"/>
      <c r="AF981" s="15"/>
    </row>
    <row r="982" ht="15.75" customHeight="1">
      <c r="A982" s="15"/>
      <c r="B982" s="15"/>
      <c r="C982" s="21"/>
      <c r="D982" s="15"/>
      <c r="E982" s="15"/>
      <c r="F982" s="15"/>
      <c r="G982" s="387"/>
      <c r="H982" s="15"/>
      <c r="I982" s="11"/>
      <c r="J982" s="11"/>
      <c r="K982" s="11"/>
      <c r="L982" s="11"/>
      <c r="M982" s="15"/>
      <c r="N982" s="15"/>
      <c r="O982" s="15"/>
      <c r="P982" s="15"/>
      <c r="Q982" s="15"/>
      <c r="R982" s="15"/>
      <c r="S982" s="15"/>
      <c r="T982" s="15"/>
      <c r="U982" s="15"/>
      <c r="V982" s="15"/>
      <c r="W982" s="15"/>
      <c r="X982" s="15"/>
      <c r="Y982" s="15"/>
      <c r="Z982" s="15"/>
      <c r="AA982" s="15"/>
      <c r="AB982" s="15"/>
      <c r="AC982" s="15"/>
      <c r="AD982" s="15"/>
      <c r="AE982" s="15"/>
      <c r="AF982" s="15"/>
    </row>
    <row r="983" ht="15.75" customHeight="1">
      <c r="A983" s="15"/>
      <c r="B983" s="15"/>
      <c r="C983" s="21"/>
      <c r="D983" s="15"/>
      <c r="E983" s="15"/>
      <c r="F983" s="15"/>
      <c r="G983" s="387"/>
      <c r="H983" s="15"/>
      <c r="I983" s="11"/>
      <c r="J983" s="11"/>
      <c r="K983" s="11"/>
      <c r="L983" s="11"/>
      <c r="M983" s="15"/>
      <c r="N983" s="15"/>
      <c r="O983" s="15"/>
      <c r="P983" s="15"/>
      <c r="Q983" s="15"/>
      <c r="R983" s="15"/>
      <c r="S983" s="15"/>
      <c r="T983" s="15"/>
      <c r="U983" s="15"/>
      <c r="V983" s="15"/>
      <c r="W983" s="15"/>
      <c r="X983" s="15"/>
      <c r="Y983" s="15"/>
      <c r="Z983" s="15"/>
      <c r="AA983" s="15"/>
      <c r="AB983" s="15"/>
      <c r="AC983" s="15"/>
      <c r="AD983" s="15"/>
      <c r="AE983" s="15"/>
      <c r="AF983" s="15"/>
    </row>
    <row r="984" ht="15.75" customHeight="1">
      <c r="A984" s="15"/>
      <c r="B984" s="15"/>
      <c r="C984" s="21"/>
      <c r="D984" s="15"/>
      <c r="E984" s="15"/>
      <c r="F984" s="15"/>
      <c r="G984" s="387"/>
      <c r="H984" s="15"/>
      <c r="I984" s="11"/>
      <c r="J984" s="11"/>
      <c r="K984" s="11"/>
      <c r="L984" s="11"/>
      <c r="M984" s="15"/>
      <c r="N984" s="15"/>
      <c r="O984" s="15"/>
      <c r="P984" s="15"/>
      <c r="Q984" s="15"/>
      <c r="R984" s="15"/>
      <c r="S984" s="15"/>
      <c r="T984" s="15"/>
      <c r="U984" s="15"/>
      <c r="V984" s="15"/>
      <c r="W984" s="15"/>
      <c r="X984" s="15"/>
      <c r="Y984" s="15"/>
      <c r="Z984" s="15"/>
      <c r="AA984" s="15"/>
      <c r="AB984" s="15"/>
      <c r="AC984" s="15"/>
      <c r="AD984" s="15"/>
      <c r="AE984" s="15"/>
      <c r="AF984" s="15"/>
    </row>
    <row r="985" ht="15.75" customHeight="1">
      <c r="A985" s="15"/>
      <c r="B985" s="15"/>
      <c r="C985" s="21"/>
      <c r="D985" s="15"/>
      <c r="E985" s="15"/>
      <c r="F985" s="15"/>
      <c r="G985" s="387"/>
      <c r="H985" s="15"/>
      <c r="I985" s="11"/>
      <c r="J985" s="11"/>
      <c r="K985" s="11"/>
      <c r="L985" s="11"/>
      <c r="M985" s="15"/>
      <c r="N985" s="15"/>
      <c r="O985" s="15"/>
      <c r="P985" s="15"/>
      <c r="Q985" s="15"/>
      <c r="R985" s="15"/>
      <c r="S985" s="15"/>
      <c r="T985" s="15"/>
      <c r="U985" s="15"/>
      <c r="V985" s="15"/>
      <c r="W985" s="15"/>
      <c r="X985" s="15"/>
      <c r="Y985" s="15"/>
      <c r="Z985" s="15"/>
      <c r="AA985" s="15"/>
      <c r="AB985" s="15"/>
      <c r="AC985" s="15"/>
      <c r="AD985" s="15"/>
      <c r="AE985" s="15"/>
      <c r="AF985" s="15"/>
    </row>
    <row r="986" ht="15.75" customHeight="1">
      <c r="A986" s="15"/>
      <c r="B986" s="15"/>
      <c r="C986" s="21"/>
      <c r="D986" s="15"/>
      <c r="E986" s="15"/>
      <c r="F986" s="15"/>
      <c r="G986" s="387"/>
      <c r="H986" s="15"/>
      <c r="I986" s="11"/>
      <c r="J986" s="11"/>
      <c r="K986" s="11"/>
      <c r="L986" s="11"/>
      <c r="M986" s="15"/>
      <c r="N986" s="15"/>
      <c r="O986" s="15"/>
      <c r="P986" s="15"/>
      <c r="Q986" s="15"/>
      <c r="R986" s="15"/>
      <c r="S986" s="15"/>
      <c r="T986" s="15"/>
      <c r="U986" s="15"/>
      <c r="V986" s="15"/>
      <c r="W986" s="15"/>
      <c r="X986" s="15"/>
      <c r="Y986" s="15"/>
      <c r="Z986" s="15"/>
      <c r="AA986" s="15"/>
      <c r="AB986" s="15"/>
      <c r="AC986" s="15"/>
      <c r="AD986" s="15"/>
      <c r="AE986" s="15"/>
      <c r="AF986" s="15"/>
    </row>
    <row r="987" ht="15.75" customHeight="1">
      <c r="A987" s="15"/>
      <c r="B987" s="15"/>
      <c r="C987" s="21"/>
      <c r="D987" s="15"/>
      <c r="E987" s="15"/>
      <c r="F987" s="15"/>
      <c r="G987" s="387"/>
      <c r="H987" s="15"/>
      <c r="I987" s="11"/>
      <c r="J987" s="11"/>
      <c r="K987" s="11"/>
      <c r="L987" s="11"/>
      <c r="M987" s="15"/>
      <c r="N987" s="15"/>
      <c r="O987" s="15"/>
      <c r="P987" s="15"/>
      <c r="Q987" s="15"/>
      <c r="R987" s="15"/>
      <c r="S987" s="15"/>
      <c r="T987" s="15"/>
      <c r="U987" s="15"/>
      <c r="V987" s="15"/>
      <c r="W987" s="15"/>
      <c r="X987" s="15"/>
      <c r="Y987" s="15"/>
      <c r="Z987" s="15"/>
      <c r="AA987" s="15"/>
      <c r="AB987" s="15"/>
      <c r="AC987" s="15"/>
      <c r="AD987" s="15"/>
      <c r="AE987" s="15"/>
      <c r="AF987" s="15"/>
    </row>
    <row r="988" ht="15.75" customHeight="1">
      <c r="A988" s="15"/>
      <c r="B988" s="15"/>
      <c r="C988" s="21"/>
      <c r="D988" s="15"/>
      <c r="E988" s="15"/>
      <c r="F988" s="15"/>
      <c r="G988" s="387"/>
      <c r="H988" s="15"/>
      <c r="I988" s="11"/>
      <c r="J988" s="11"/>
      <c r="K988" s="11"/>
      <c r="L988" s="11"/>
      <c r="M988" s="15"/>
      <c r="N988" s="15"/>
      <c r="O988" s="15"/>
      <c r="P988" s="15"/>
      <c r="Q988" s="15"/>
      <c r="R988" s="15"/>
      <c r="S988" s="15"/>
      <c r="T988" s="15"/>
      <c r="U988" s="15"/>
      <c r="V988" s="15"/>
      <c r="W988" s="15"/>
      <c r="X988" s="15"/>
      <c r="Y988" s="15"/>
      <c r="Z988" s="15"/>
      <c r="AA988" s="15"/>
      <c r="AB988" s="15"/>
      <c r="AC988" s="15"/>
      <c r="AD988" s="15"/>
      <c r="AE988" s="15"/>
      <c r="AF988" s="15"/>
    </row>
    <row r="989" ht="15.75" customHeight="1">
      <c r="A989" s="15"/>
      <c r="B989" s="15"/>
      <c r="C989" s="21"/>
      <c r="D989" s="15"/>
      <c r="E989" s="15"/>
      <c r="F989" s="15"/>
      <c r="G989" s="387"/>
      <c r="H989" s="15"/>
      <c r="I989" s="11"/>
      <c r="J989" s="11"/>
      <c r="K989" s="11"/>
      <c r="L989" s="11"/>
      <c r="M989" s="15"/>
      <c r="N989" s="15"/>
      <c r="O989" s="15"/>
      <c r="P989" s="15"/>
      <c r="Q989" s="15"/>
      <c r="R989" s="15"/>
      <c r="S989" s="15"/>
      <c r="T989" s="15"/>
      <c r="U989" s="15"/>
      <c r="V989" s="15"/>
      <c r="W989" s="15"/>
      <c r="X989" s="15"/>
      <c r="Y989" s="15"/>
      <c r="Z989" s="15"/>
      <c r="AA989" s="15"/>
      <c r="AB989" s="15"/>
      <c r="AC989" s="15"/>
      <c r="AD989" s="15"/>
      <c r="AE989" s="15"/>
      <c r="AF989" s="15"/>
    </row>
    <row r="990" ht="15.75" customHeight="1">
      <c r="A990" s="15"/>
      <c r="B990" s="15"/>
      <c r="C990" s="21"/>
      <c r="D990" s="15"/>
      <c r="E990" s="15"/>
      <c r="F990" s="15"/>
      <c r="G990" s="387"/>
      <c r="H990" s="15"/>
      <c r="I990" s="11"/>
      <c r="J990" s="11"/>
      <c r="K990" s="11"/>
      <c r="L990" s="11"/>
      <c r="M990" s="15"/>
      <c r="N990" s="15"/>
      <c r="O990" s="15"/>
      <c r="P990" s="15"/>
      <c r="Q990" s="15"/>
      <c r="R990" s="15"/>
      <c r="S990" s="15"/>
      <c r="T990" s="15"/>
      <c r="U990" s="15"/>
      <c r="V990" s="15"/>
      <c r="W990" s="15"/>
      <c r="X990" s="15"/>
      <c r="Y990" s="15"/>
      <c r="Z990" s="15"/>
      <c r="AA990" s="15"/>
      <c r="AB990" s="15"/>
      <c r="AC990" s="15"/>
      <c r="AD990" s="15"/>
      <c r="AE990" s="15"/>
      <c r="AF990" s="15"/>
    </row>
    <row r="991" ht="15.75" customHeight="1">
      <c r="A991" s="15"/>
      <c r="B991" s="15"/>
      <c r="C991" s="21"/>
      <c r="D991" s="15"/>
      <c r="E991" s="15"/>
      <c r="F991" s="15"/>
      <c r="G991" s="387"/>
      <c r="H991" s="15"/>
      <c r="I991" s="11"/>
      <c r="J991" s="11"/>
      <c r="K991" s="11"/>
      <c r="L991" s="11"/>
      <c r="M991" s="15"/>
      <c r="N991" s="15"/>
      <c r="O991" s="15"/>
      <c r="P991" s="15"/>
      <c r="Q991" s="15"/>
      <c r="R991" s="15"/>
      <c r="S991" s="15"/>
      <c r="T991" s="15"/>
      <c r="U991" s="15"/>
      <c r="V991" s="15"/>
      <c r="W991" s="15"/>
      <c r="X991" s="15"/>
      <c r="Y991" s="15"/>
      <c r="Z991" s="15"/>
      <c r="AA991" s="15"/>
      <c r="AB991" s="15"/>
      <c r="AC991" s="15"/>
      <c r="AD991" s="15"/>
      <c r="AE991" s="15"/>
      <c r="AF991" s="15"/>
    </row>
    <row r="992" ht="15.75" customHeight="1">
      <c r="A992" s="15"/>
      <c r="B992" s="15"/>
      <c r="C992" s="21"/>
      <c r="D992" s="15"/>
      <c r="E992" s="15"/>
      <c r="F992" s="15"/>
      <c r="G992" s="387"/>
      <c r="H992" s="15"/>
      <c r="I992" s="11"/>
      <c r="J992" s="11"/>
      <c r="K992" s="11"/>
      <c r="L992" s="11"/>
      <c r="M992" s="15"/>
      <c r="N992" s="15"/>
      <c r="O992" s="15"/>
      <c r="P992" s="15"/>
      <c r="Q992" s="15"/>
      <c r="R992" s="15"/>
      <c r="S992" s="15"/>
      <c r="T992" s="15"/>
      <c r="U992" s="15"/>
      <c r="V992" s="15"/>
      <c r="W992" s="15"/>
      <c r="X992" s="15"/>
      <c r="Y992" s="15"/>
      <c r="Z992" s="15"/>
      <c r="AA992" s="15"/>
      <c r="AB992" s="15"/>
      <c r="AC992" s="15"/>
      <c r="AD992" s="15"/>
      <c r="AE992" s="15"/>
      <c r="AF992" s="15"/>
    </row>
    <row r="993" ht="15.75" customHeight="1">
      <c r="A993" s="15"/>
      <c r="B993" s="15"/>
      <c r="C993" s="21"/>
      <c r="D993" s="15"/>
      <c r="E993" s="15"/>
      <c r="F993" s="15"/>
      <c r="G993" s="387"/>
      <c r="H993" s="15"/>
      <c r="I993" s="11"/>
      <c r="J993" s="11"/>
      <c r="K993" s="11"/>
      <c r="L993" s="11"/>
      <c r="M993" s="15"/>
      <c r="N993" s="15"/>
      <c r="O993" s="15"/>
      <c r="P993" s="15"/>
      <c r="Q993" s="15"/>
      <c r="R993" s="15"/>
      <c r="S993" s="15"/>
      <c r="T993" s="15"/>
      <c r="U993" s="15"/>
      <c r="V993" s="15"/>
      <c r="W993" s="15"/>
      <c r="X993" s="15"/>
      <c r="Y993" s="15"/>
      <c r="Z993" s="15"/>
      <c r="AA993" s="15"/>
      <c r="AB993" s="15"/>
      <c r="AC993" s="15"/>
      <c r="AD993" s="15"/>
      <c r="AE993" s="15"/>
      <c r="AF993" s="15"/>
    </row>
    <row r="994" ht="15.75" customHeight="1">
      <c r="A994" s="15"/>
      <c r="B994" s="15"/>
      <c r="C994" s="21"/>
      <c r="D994" s="15"/>
      <c r="E994" s="15"/>
      <c r="F994" s="15"/>
      <c r="G994" s="387"/>
      <c r="H994" s="15"/>
      <c r="I994" s="11"/>
      <c r="J994" s="11"/>
      <c r="K994" s="11"/>
      <c r="L994" s="11"/>
      <c r="M994" s="15"/>
      <c r="N994" s="15"/>
      <c r="O994" s="15"/>
      <c r="P994" s="15"/>
      <c r="Q994" s="15"/>
      <c r="R994" s="15"/>
      <c r="S994" s="15"/>
      <c r="T994" s="15"/>
      <c r="U994" s="15"/>
      <c r="V994" s="15"/>
      <c r="W994" s="15"/>
      <c r="X994" s="15"/>
      <c r="Y994" s="15"/>
      <c r="Z994" s="15"/>
      <c r="AA994" s="15"/>
      <c r="AB994" s="15"/>
      <c r="AC994" s="15"/>
      <c r="AD994" s="15"/>
      <c r="AE994" s="15"/>
      <c r="AF994" s="15"/>
    </row>
    <row r="995" ht="15.75" customHeight="1">
      <c r="A995" s="15"/>
      <c r="B995" s="15"/>
      <c r="C995" s="21"/>
      <c r="D995" s="15"/>
      <c r="E995" s="15"/>
      <c r="F995" s="15"/>
      <c r="G995" s="387"/>
      <c r="H995" s="15"/>
      <c r="I995" s="11"/>
      <c r="J995" s="11"/>
      <c r="K995" s="11"/>
      <c r="L995" s="11"/>
      <c r="M995" s="15"/>
      <c r="N995" s="15"/>
      <c r="O995" s="15"/>
      <c r="P995" s="15"/>
      <c r="Q995" s="15"/>
      <c r="R995" s="15"/>
      <c r="S995" s="15"/>
      <c r="T995" s="15"/>
      <c r="U995" s="15"/>
      <c r="V995" s="15"/>
      <c r="W995" s="15"/>
      <c r="X995" s="15"/>
      <c r="Y995" s="15"/>
      <c r="Z995" s="15"/>
      <c r="AA995" s="15"/>
      <c r="AB995" s="15"/>
      <c r="AC995" s="15"/>
      <c r="AD995" s="15"/>
      <c r="AE995" s="15"/>
      <c r="AF995" s="15"/>
    </row>
    <row r="996" ht="15.75" customHeight="1">
      <c r="A996" s="15"/>
      <c r="B996" s="15"/>
      <c r="C996" s="21"/>
      <c r="D996" s="15"/>
      <c r="E996" s="15"/>
      <c r="F996" s="15"/>
      <c r="G996" s="387"/>
      <c r="H996" s="15"/>
      <c r="I996" s="11"/>
      <c r="J996" s="11"/>
      <c r="K996" s="11"/>
      <c r="L996" s="11"/>
      <c r="M996" s="15"/>
      <c r="N996" s="15"/>
      <c r="O996" s="15"/>
      <c r="P996" s="15"/>
      <c r="Q996" s="15"/>
      <c r="R996" s="15"/>
      <c r="S996" s="15"/>
      <c r="T996" s="15"/>
      <c r="U996" s="15"/>
      <c r="V996" s="15"/>
      <c r="W996" s="15"/>
      <c r="X996" s="15"/>
      <c r="Y996" s="15"/>
      <c r="Z996" s="15"/>
      <c r="AA996" s="15"/>
      <c r="AB996" s="15"/>
      <c r="AC996" s="15"/>
      <c r="AD996" s="15"/>
      <c r="AE996" s="15"/>
      <c r="AF996" s="15"/>
    </row>
    <row r="997" ht="15.75" customHeight="1">
      <c r="A997" s="15"/>
      <c r="B997" s="15"/>
      <c r="C997" s="21"/>
      <c r="D997" s="15"/>
      <c r="E997" s="15"/>
      <c r="F997" s="15"/>
      <c r="G997" s="387"/>
      <c r="H997" s="15"/>
      <c r="I997" s="11"/>
      <c r="J997" s="11"/>
      <c r="K997" s="11"/>
      <c r="L997" s="11"/>
      <c r="M997" s="15"/>
      <c r="N997" s="15"/>
      <c r="O997" s="15"/>
      <c r="P997" s="15"/>
      <c r="Q997" s="15"/>
      <c r="R997" s="15"/>
      <c r="S997" s="15"/>
      <c r="T997" s="15"/>
      <c r="U997" s="15"/>
      <c r="V997" s="15"/>
      <c r="W997" s="15"/>
      <c r="X997" s="15"/>
      <c r="Y997" s="15"/>
      <c r="Z997" s="15"/>
      <c r="AA997" s="15"/>
      <c r="AB997" s="15"/>
      <c r="AC997" s="15"/>
      <c r="AD997" s="15"/>
      <c r="AE997" s="15"/>
      <c r="AF997" s="15"/>
    </row>
    <row r="998" ht="15.75" customHeight="1">
      <c r="A998" s="15"/>
      <c r="B998" s="15"/>
      <c r="C998" s="21"/>
      <c r="D998" s="15"/>
      <c r="E998" s="15"/>
      <c r="F998" s="15"/>
      <c r="G998" s="387"/>
      <c r="H998" s="15"/>
      <c r="I998" s="11"/>
      <c r="J998" s="11"/>
      <c r="K998" s="11"/>
      <c r="L998" s="11"/>
      <c r="M998" s="15"/>
      <c r="N998" s="15"/>
      <c r="O998" s="15"/>
      <c r="P998" s="15"/>
      <c r="Q998" s="15"/>
      <c r="R998" s="15"/>
      <c r="S998" s="15"/>
      <c r="T998" s="15"/>
      <c r="U998" s="15"/>
      <c r="V998" s="15"/>
      <c r="W998" s="15"/>
      <c r="X998" s="15"/>
      <c r="Y998" s="15"/>
      <c r="Z998" s="15"/>
      <c r="AA998" s="15"/>
      <c r="AB998" s="15"/>
      <c r="AC998" s="15"/>
      <c r="AD998" s="15"/>
      <c r="AE998" s="15"/>
      <c r="AF998" s="15"/>
    </row>
    <row r="999" ht="15.75" customHeight="1">
      <c r="A999" s="15"/>
      <c r="B999" s="15"/>
      <c r="C999" s="21"/>
      <c r="D999" s="15"/>
      <c r="E999" s="15"/>
      <c r="F999" s="15"/>
      <c r="G999" s="387"/>
      <c r="H999" s="15"/>
      <c r="I999" s="11"/>
      <c r="J999" s="11"/>
      <c r="K999" s="11"/>
      <c r="L999" s="11"/>
      <c r="M999" s="15"/>
      <c r="N999" s="15"/>
      <c r="O999" s="15"/>
      <c r="P999" s="15"/>
      <c r="Q999" s="15"/>
      <c r="R999" s="15"/>
      <c r="S999" s="15"/>
      <c r="T999" s="15"/>
      <c r="U999" s="15"/>
      <c r="V999" s="15"/>
      <c r="W999" s="15"/>
      <c r="X999" s="15"/>
      <c r="Y999" s="15"/>
      <c r="Z999" s="15"/>
      <c r="AA999" s="15"/>
      <c r="AB999" s="15"/>
      <c r="AC999" s="15"/>
      <c r="AD999" s="15"/>
      <c r="AE999" s="15"/>
      <c r="AF999" s="15"/>
    </row>
    <row r="1000" ht="15.75" customHeight="1">
      <c r="A1000" s="15"/>
      <c r="B1000" s="15"/>
      <c r="C1000" s="21"/>
      <c r="D1000" s="15"/>
      <c r="E1000" s="15"/>
      <c r="F1000" s="15"/>
      <c r="G1000" s="387"/>
      <c r="H1000" s="15"/>
      <c r="I1000" s="11"/>
      <c r="J1000" s="11"/>
      <c r="K1000" s="11"/>
      <c r="L1000" s="11"/>
      <c r="M1000" s="15"/>
      <c r="N1000" s="15"/>
      <c r="O1000" s="15"/>
      <c r="P1000" s="15"/>
      <c r="Q1000" s="15"/>
      <c r="R1000" s="15"/>
      <c r="S1000" s="15"/>
      <c r="T1000" s="15"/>
      <c r="U1000" s="15"/>
      <c r="V1000" s="15"/>
      <c r="W1000" s="15"/>
      <c r="X1000" s="15"/>
      <c r="Y1000" s="15"/>
      <c r="Z1000" s="15"/>
      <c r="AA1000" s="15"/>
      <c r="AB1000" s="15"/>
      <c r="AC1000" s="15"/>
      <c r="AD1000" s="15"/>
      <c r="AE1000" s="15"/>
      <c r="AF1000" s="15"/>
    </row>
    <row r="1001" ht="15.75" customHeight="1">
      <c r="A1001" s="15"/>
      <c r="B1001" s="15"/>
      <c r="C1001" s="21"/>
      <c r="D1001" s="15"/>
      <c r="E1001" s="15"/>
      <c r="F1001" s="15"/>
      <c r="G1001" s="387"/>
      <c r="H1001" s="15"/>
      <c r="I1001" s="11"/>
      <c r="J1001" s="11"/>
      <c r="K1001" s="11"/>
      <c r="L1001" s="11"/>
      <c r="M1001" s="15"/>
      <c r="N1001" s="15"/>
      <c r="O1001" s="15"/>
      <c r="P1001" s="15"/>
      <c r="Q1001" s="15"/>
      <c r="R1001" s="15"/>
      <c r="S1001" s="15"/>
      <c r="T1001" s="15"/>
      <c r="U1001" s="15"/>
      <c r="V1001" s="15"/>
      <c r="W1001" s="15"/>
      <c r="X1001" s="15"/>
      <c r="Y1001" s="15"/>
      <c r="Z1001" s="15"/>
      <c r="AA1001" s="15"/>
      <c r="AB1001" s="15"/>
      <c r="AC1001" s="15"/>
      <c r="AD1001" s="15"/>
      <c r="AE1001" s="15"/>
      <c r="AF1001" s="15"/>
    </row>
    <row r="1002" ht="15.75" customHeight="1">
      <c r="A1002" s="15"/>
      <c r="B1002" s="15"/>
      <c r="C1002" s="21"/>
      <c r="D1002" s="15"/>
      <c r="E1002" s="15"/>
      <c r="F1002" s="15"/>
      <c r="G1002" s="387"/>
      <c r="H1002" s="15"/>
      <c r="I1002" s="11"/>
      <c r="J1002" s="11"/>
      <c r="K1002" s="11"/>
      <c r="L1002" s="11"/>
      <c r="M1002" s="15"/>
      <c r="N1002" s="15"/>
      <c r="O1002" s="15"/>
      <c r="P1002" s="15"/>
      <c r="Q1002" s="15"/>
      <c r="R1002" s="15"/>
      <c r="S1002" s="15"/>
      <c r="T1002" s="15"/>
      <c r="U1002" s="15"/>
      <c r="V1002" s="15"/>
      <c r="W1002" s="15"/>
      <c r="X1002" s="15"/>
      <c r="Y1002" s="15"/>
      <c r="Z1002" s="15"/>
      <c r="AA1002" s="15"/>
      <c r="AB1002" s="15"/>
      <c r="AC1002" s="15"/>
      <c r="AD1002" s="15"/>
      <c r="AE1002" s="15"/>
      <c r="AF1002" s="15"/>
    </row>
    <row r="1003" ht="15.75" customHeight="1">
      <c r="A1003" s="15"/>
      <c r="B1003" s="15"/>
      <c r="C1003" s="21"/>
      <c r="D1003" s="15"/>
      <c r="E1003" s="15"/>
      <c r="F1003" s="15"/>
      <c r="G1003" s="387"/>
      <c r="H1003" s="15"/>
      <c r="I1003" s="11"/>
      <c r="J1003" s="11"/>
      <c r="K1003" s="11"/>
      <c r="L1003" s="11"/>
      <c r="M1003" s="15"/>
      <c r="N1003" s="15"/>
      <c r="O1003" s="15"/>
      <c r="P1003" s="15"/>
      <c r="Q1003" s="15"/>
      <c r="R1003" s="15"/>
      <c r="S1003" s="15"/>
      <c r="T1003" s="15"/>
      <c r="U1003" s="15"/>
      <c r="V1003" s="15"/>
      <c r="W1003" s="15"/>
      <c r="X1003" s="15"/>
      <c r="Y1003" s="15"/>
      <c r="Z1003" s="15"/>
      <c r="AA1003" s="15"/>
      <c r="AB1003" s="15"/>
      <c r="AC1003" s="15"/>
      <c r="AD1003" s="15"/>
      <c r="AE1003" s="15"/>
      <c r="AF1003" s="15"/>
    </row>
    <row r="1004" ht="15.75" customHeight="1">
      <c r="A1004" s="15"/>
      <c r="B1004" s="15"/>
      <c r="C1004" s="21"/>
      <c r="D1004" s="15"/>
      <c r="E1004" s="15"/>
      <c r="F1004" s="15"/>
      <c r="G1004" s="387"/>
      <c r="H1004" s="15"/>
      <c r="I1004" s="11"/>
      <c r="J1004" s="11"/>
      <c r="K1004" s="11"/>
      <c r="L1004" s="11"/>
      <c r="M1004" s="15"/>
      <c r="N1004" s="15"/>
      <c r="O1004" s="15"/>
      <c r="P1004" s="15"/>
      <c r="Q1004" s="15"/>
      <c r="R1004" s="15"/>
      <c r="S1004" s="15"/>
      <c r="T1004" s="15"/>
      <c r="U1004" s="15"/>
      <c r="V1004" s="15"/>
      <c r="W1004" s="15"/>
      <c r="X1004" s="15"/>
      <c r="Y1004" s="15"/>
      <c r="Z1004" s="15"/>
      <c r="AA1004" s="15"/>
      <c r="AB1004" s="15"/>
      <c r="AC1004" s="15"/>
      <c r="AD1004" s="15"/>
      <c r="AE1004" s="15"/>
      <c r="AF1004" s="15"/>
    </row>
    <row r="1005" ht="15.75" customHeight="1">
      <c r="A1005" s="15"/>
      <c r="B1005" s="15"/>
      <c r="C1005" s="21"/>
      <c r="D1005" s="15"/>
      <c r="E1005" s="15"/>
      <c r="F1005" s="15"/>
      <c r="G1005" s="387"/>
      <c r="H1005" s="15"/>
      <c r="I1005" s="11"/>
      <c r="J1005" s="11"/>
      <c r="K1005" s="11"/>
      <c r="L1005" s="11"/>
      <c r="M1005" s="15"/>
      <c r="N1005" s="15"/>
      <c r="O1005" s="15"/>
      <c r="P1005" s="15"/>
      <c r="Q1005" s="15"/>
      <c r="R1005" s="15"/>
      <c r="S1005" s="15"/>
      <c r="T1005" s="15"/>
      <c r="U1005" s="15"/>
      <c r="V1005" s="15"/>
      <c r="W1005" s="15"/>
      <c r="X1005" s="15"/>
      <c r="Y1005" s="15"/>
      <c r="Z1005" s="15"/>
      <c r="AA1005" s="15"/>
      <c r="AB1005" s="15"/>
      <c r="AC1005" s="15"/>
      <c r="AD1005" s="15"/>
      <c r="AE1005" s="15"/>
      <c r="AF1005" s="15"/>
    </row>
    <row r="1006" ht="15.75" customHeight="1">
      <c r="A1006" s="15"/>
      <c r="B1006" s="15"/>
      <c r="C1006" s="21"/>
      <c r="D1006" s="15"/>
      <c r="E1006" s="15"/>
      <c r="F1006" s="15"/>
      <c r="G1006" s="387"/>
      <c r="H1006" s="15"/>
      <c r="I1006" s="11"/>
      <c r="J1006" s="11"/>
      <c r="K1006" s="11"/>
      <c r="L1006" s="11"/>
      <c r="M1006" s="15"/>
      <c r="N1006" s="15"/>
      <c r="O1006" s="15"/>
      <c r="P1006" s="15"/>
      <c r="Q1006" s="15"/>
      <c r="R1006" s="15"/>
      <c r="S1006" s="15"/>
      <c r="T1006" s="15"/>
      <c r="U1006" s="15"/>
      <c r="V1006" s="15"/>
      <c r="W1006" s="15"/>
      <c r="X1006" s="15"/>
      <c r="Y1006" s="15"/>
      <c r="Z1006" s="15"/>
      <c r="AA1006" s="15"/>
      <c r="AB1006" s="15"/>
      <c r="AC1006" s="15"/>
      <c r="AD1006" s="15"/>
      <c r="AE1006" s="15"/>
      <c r="AF1006" s="15"/>
    </row>
    <row r="1007" ht="15.75" customHeight="1">
      <c r="A1007" s="15"/>
      <c r="B1007" s="15"/>
      <c r="C1007" s="21"/>
      <c r="D1007" s="15"/>
      <c r="E1007" s="15"/>
      <c r="F1007" s="15"/>
      <c r="G1007" s="387"/>
      <c r="H1007" s="15"/>
      <c r="I1007" s="11"/>
      <c r="J1007" s="11"/>
      <c r="K1007" s="11"/>
      <c r="L1007" s="11"/>
      <c r="M1007" s="15"/>
      <c r="N1007" s="15"/>
      <c r="O1007" s="15"/>
      <c r="P1007" s="15"/>
      <c r="Q1007" s="15"/>
      <c r="R1007" s="15"/>
      <c r="S1007" s="15"/>
      <c r="T1007" s="15"/>
      <c r="U1007" s="15"/>
      <c r="V1007" s="15"/>
      <c r="W1007" s="15"/>
      <c r="X1007" s="15"/>
      <c r="Y1007" s="15"/>
      <c r="Z1007" s="15"/>
      <c r="AA1007" s="15"/>
      <c r="AB1007" s="15"/>
      <c r="AC1007" s="15"/>
      <c r="AD1007" s="15"/>
      <c r="AE1007" s="15"/>
      <c r="AF1007" s="15"/>
    </row>
    <row r="1008" ht="15.75" customHeight="1">
      <c r="A1008" s="15"/>
      <c r="B1008" s="15"/>
      <c r="C1008" s="21"/>
      <c r="D1008" s="15"/>
      <c r="E1008" s="15"/>
      <c r="F1008" s="15"/>
      <c r="G1008" s="387"/>
      <c r="H1008" s="15"/>
      <c r="I1008" s="11"/>
      <c r="J1008" s="11"/>
      <c r="K1008" s="11"/>
      <c r="L1008" s="11"/>
      <c r="M1008" s="15"/>
      <c r="N1008" s="15"/>
      <c r="O1008" s="15"/>
      <c r="P1008" s="15"/>
      <c r="Q1008" s="15"/>
      <c r="R1008" s="15"/>
      <c r="S1008" s="15"/>
      <c r="T1008" s="15"/>
      <c r="U1008" s="15"/>
      <c r="V1008" s="15"/>
      <c r="W1008" s="15"/>
      <c r="X1008" s="15"/>
      <c r="Y1008" s="15"/>
      <c r="Z1008" s="15"/>
      <c r="AA1008" s="15"/>
      <c r="AB1008" s="15"/>
      <c r="AC1008" s="15"/>
      <c r="AD1008" s="15"/>
      <c r="AE1008" s="15"/>
      <c r="AF1008" s="15"/>
    </row>
    <row r="1009" ht="15.75" customHeight="1">
      <c r="A1009" s="15"/>
      <c r="B1009" s="15"/>
      <c r="C1009" s="21"/>
      <c r="D1009" s="15"/>
      <c r="E1009" s="15"/>
      <c r="F1009" s="15"/>
      <c r="G1009" s="387"/>
      <c r="H1009" s="15"/>
      <c r="I1009" s="11"/>
      <c r="J1009" s="11"/>
      <c r="K1009" s="11"/>
      <c r="L1009" s="11"/>
      <c r="M1009" s="15"/>
      <c r="N1009" s="15"/>
      <c r="O1009" s="15"/>
      <c r="P1009" s="15"/>
      <c r="Q1009" s="15"/>
      <c r="R1009" s="15"/>
      <c r="S1009" s="15"/>
      <c r="T1009" s="15"/>
      <c r="U1009" s="15"/>
      <c r="V1009" s="15"/>
      <c r="W1009" s="15"/>
      <c r="X1009" s="15"/>
      <c r="Y1009" s="15"/>
      <c r="Z1009" s="15"/>
      <c r="AA1009" s="15"/>
      <c r="AB1009" s="15"/>
      <c r="AC1009" s="15"/>
      <c r="AD1009" s="15"/>
      <c r="AE1009" s="15"/>
      <c r="AF1009" s="15"/>
    </row>
    <row r="1010" ht="15.75" customHeight="1">
      <c r="A1010" s="15"/>
      <c r="B1010" s="15"/>
      <c r="C1010" s="21"/>
      <c r="D1010" s="15"/>
      <c r="E1010" s="15"/>
      <c r="F1010" s="15"/>
      <c r="G1010" s="387"/>
      <c r="H1010" s="15"/>
      <c r="I1010" s="11"/>
      <c r="J1010" s="11"/>
      <c r="K1010" s="11"/>
      <c r="L1010" s="11"/>
      <c r="M1010" s="15"/>
      <c r="N1010" s="15"/>
      <c r="O1010" s="15"/>
      <c r="P1010" s="15"/>
      <c r="Q1010" s="15"/>
      <c r="R1010" s="15"/>
      <c r="S1010" s="15"/>
      <c r="T1010" s="15"/>
      <c r="U1010" s="15"/>
      <c r="V1010" s="15"/>
      <c r="W1010" s="15"/>
      <c r="X1010" s="15"/>
      <c r="Y1010" s="15"/>
      <c r="Z1010" s="15"/>
      <c r="AA1010" s="15"/>
      <c r="AB1010" s="15"/>
      <c r="AC1010" s="15"/>
      <c r="AD1010" s="15"/>
      <c r="AE1010" s="15"/>
      <c r="AF1010" s="15"/>
    </row>
    <row r="1011" ht="15.75" customHeight="1">
      <c r="A1011" s="15"/>
      <c r="B1011" s="15"/>
      <c r="C1011" s="21"/>
      <c r="D1011" s="15"/>
      <c r="E1011" s="15"/>
      <c r="F1011" s="15"/>
      <c r="G1011" s="387"/>
      <c r="H1011" s="15"/>
      <c r="I1011" s="11"/>
      <c r="J1011" s="11"/>
      <c r="K1011" s="11"/>
      <c r="L1011" s="11"/>
      <c r="M1011" s="15"/>
      <c r="N1011" s="15"/>
      <c r="O1011" s="15"/>
      <c r="P1011" s="15"/>
      <c r="Q1011" s="15"/>
      <c r="R1011" s="15"/>
      <c r="S1011" s="15"/>
      <c r="T1011" s="15"/>
      <c r="U1011" s="15"/>
      <c r="V1011" s="15"/>
      <c r="W1011" s="15"/>
      <c r="X1011" s="15"/>
      <c r="Y1011" s="15"/>
      <c r="Z1011" s="15"/>
      <c r="AA1011" s="15"/>
      <c r="AB1011" s="15"/>
      <c r="AC1011" s="15"/>
      <c r="AD1011" s="15"/>
      <c r="AE1011" s="15"/>
      <c r="AF1011" s="15"/>
    </row>
    <row r="1012" ht="15.75" customHeight="1">
      <c r="A1012" s="15"/>
      <c r="B1012" s="15"/>
      <c r="C1012" s="21"/>
      <c r="D1012" s="15"/>
      <c r="E1012" s="15"/>
      <c r="F1012" s="15"/>
      <c r="G1012" s="387"/>
      <c r="H1012" s="15"/>
      <c r="I1012" s="11"/>
      <c r="J1012" s="11"/>
      <c r="K1012" s="11"/>
      <c r="L1012" s="11"/>
      <c r="M1012" s="15"/>
      <c r="N1012" s="15"/>
      <c r="O1012" s="15"/>
      <c r="P1012" s="15"/>
      <c r="Q1012" s="15"/>
      <c r="R1012" s="15"/>
      <c r="S1012" s="15"/>
      <c r="T1012" s="15"/>
      <c r="U1012" s="15"/>
      <c r="V1012" s="15"/>
      <c r="W1012" s="15"/>
      <c r="X1012" s="15"/>
      <c r="Y1012" s="15"/>
      <c r="Z1012" s="15"/>
      <c r="AA1012" s="15"/>
      <c r="AB1012" s="15"/>
      <c r="AC1012" s="15"/>
      <c r="AD1012" s="15"/>
      <c r="AE1012" s="15"/>
      <c r="AF1012" s="15"/>
    </row>
    <row r="1013" ht="15.75" customHeight="1">
      <c r="A1013" s="15"/>
      <c r="B1013" s="15"/>
      <c r="C1013" s="21"/>
      <c r="D1013" s="15"/>
      <c r="E1013" s="15"/>
      <c r="F1013" s="15"/>
      <c r="G1013" s="387"/>
      <c r="H1013" s="15"/>
      <c r="I1013" s="11"/>
      <c r="J1013" s="11"/>
      <c r="K1013" s="11"/>
      <c r="L1013" s="11"/>
      <c r="M1013" s="15"/>
      <c r="N1013" s="15"/>
      <c r="O1013" s="15"/>
      <c r="P1013" s="15"/>
      <c r="Q1013" s="15"/>
      <c r="R1013" s="15"/>
      <c r="S1013" s="15"/>
      <c r="T1013" s="15"/>
      <c r="U1013" s="15"/>
      <c r="V1013" s="15"/>
      <c r="W1013" s="15"/>
      <c r="X1013" s="15"/>
      <c r="Y1013" s="15"/>
      <c r="Z1013" s="15"/>
      <c r="AA1013" s="15"/>
      <c r="AB1013" s="15"/>
      <c r="AC1013" s="15"/>
      <c r="AD1013" s="15"/>
      <c r="AE1013" s="15"/>
      <c r="AF1013" s="15"/>
    </row>
    <row r="1014" ht="15.75" customHeight="1">
      <c r="A1014" s="15"/>
      <c r="B1014" s="15"/>
      <c r="C1014" s="21"/>
      <c r="D1014" s="15"/>
      <c r="E1014" s="15"/>
      <c r="F1014" s="15"/>
      <c r="G1014" s="387"/>
      <c r="H1014" s="15"/>
      <c r="I1014" s="11"/>
      <c r="J1014" s="11"/>
      <c r="K1014" s="11"/>
      <c r="L1014" s="11"/>
      <c r="M1014" s="15"/>
      <c r="N1014" s="15"/>
      <c r="O1014" s="15"/>
      <c r="P1014" s="15"/>
      <c r="Q1014" s="15"/>
      <c r="R1014" s="15"/>
      <c r="S1014" s="15"/>
      <c r="T1014" s="15"/>
      <c r="U1014" s="15"/>
      <c r="V1014" s="15"/>
      <c r="W1014" s="15"/>
      <c r="X1014" s="15"/>
      <c r="Y1014" s="15"/>
      <c r="Z1014" s="15"/>
      <c r="AA1014" s="15"/>
      <c r="AB1014" s="15"/>
      <c r="AC1014" s="15"/>
      <c r="AD1014" s="15"/>
      <c r="AE1014" s="15"/>
      <c r="AF1014" s="15"/>
    </row>
    <row r="1015" ht="15.75" customHeight="1">
      <c r="A1015" s="15"/>
      <c r="B1015" s="15"/>
      <c r="C1015" s="21"/>
      <c r="D1015" s="15"/>
      <c r="E1015" s="15"/>
      <c r="F1015" s="15"/>
      <c r="G1015" s="387"/>
      <c r="H1015" s="15"/>
      <c r="I1015" s="11"/>
      <c r="J1015" s="11"/>
      <c r="K1015" s="11"/>
      <c r="L1015" s="11"/>
      <c r="M1015" s="15"/>
      <c r="N1015" s="15"/>
      <c r="O1015" s="15"/>
      <c r="P1015" s="15"/>
      <c r="Q1015" s="15"/>
      <c r="R1015" s="15"/>
      <c r="S1015" s="15"/>
      <c r="T1015" s="15"/>
      <c r="U1015" s="15"/>
      <c r="V1015" s="15"/>
      <c r="W1015" s="15"/>
      <c r="X1015" s="15"/>
      <c r="Y1015" s="15"/>
      <c r="Z1015" s="15"/>
      <c r="AA1015" s="15"/>
      <c r="AB1015" s="15"/>
      <c r="AC1015" s="15"/>
      <c r="AD1015" s="15"/>
      <c r="AE1015" s="15"/>
      <c r="AF1015" s="15"/>
    </row>
    <row r="1016" ht="15.75" customHeight="1">
      <c r="A1016" s="15"/>
      <c r="B1016" s="15"/>
      <c r="C1016" s="21"/>
      <c r="D1016" s="15"/>
      <c r="E1016" s="15"/>
      <c r="F1016" s="15"/>
      <c r="G1016" s="387"/>
      <c r="H1016" s="15"/>
      <c r="I1016" s="11"/>
      <c r="J1016" s="11"/>
      <c r="K1016" s="11"/>
      <c r="L1016" s="11"/>
      <c r="M1016" s="15"/>
      <c r="N1016" s="15"/>
      <c r="O1016" s="15"/>
      <c r="P1016" s="15"/>
      <c r="Q1016" s="15"/>
      <c r="R1016" s="15"/>
      <c r="S1016" s="15"/>
      <c r="T1016" s="15"/>
      <c r="U1016" s="15"/>
      <c r="V1016" s="15"/>
      <c r="W1016" s="15"/>
      <c r="X1016" s="15"/>
      <c r="Y1016" s="15"/>
      <c r="Z1016" s="15"/>
      <c r="AA1016" s="15"/>
      <c r="AB1016" s="15"/>
      <c r="AC1016" s="15"/>
      <c r="AD1016" s="15"/>
      <c r="AE1016" s="15"/>
      <c r="AF1016" s="15"/>
    </row>
    <row r="1017" ht="15.75" customHeight="1">
      <c r="A1017" s="15"/>
      <c r="B1017" s="15"/>
      <c r="C1017" s="21"/>
      <c r="D1017" s="15"/>
      <c r="E1017" s="15"/>
      <c r="F1017" s="15"/>
      <c r="G1017" s="387"/>
      <c r="H1017" s="15"/>
      <c r="I1017" s="11"/>
      <c r="J1017" s="11"/>
      <c r="K1017" s="11"/>
      <c r="L1017" s="11"/>
      <c r="M1017" s="15"/>
      <c r="N1017" s="15"/>
      <c r="O1017" s="15"/>
      <c r="P1017" s="15"/>
      <c r="Q1017" s="15"/>
      <c r="R1017" s="15"/>
      <c r="S1017" s="15"/>
      <c r="T1017" s="15"/>
      <c r="U1017" s="15"/>
      <c r="V1017" s="15"/>
      <c r="W1017" s="15"/>
      <c r="X1017" s="15"/>
      <c r="Y1017" s="15"/>
      <c r="Z1017" s="15"/>
      <c r="AA1017" s="15"/>
      <c r="AB1017" s="15"/>
      <c r="AC1017" s="15"/>
      <c r="AD1017" s="15"/>
      <c r="AE1017" s="15"/>
      <c r="AF1017" s="15"/>
    </row>
    <row r="1018" ht="15.75" customHeight="1">
      <c r="A1018" s="15"/>
      <c r="B1018" s="15"/>
      <c r="C1018" s="21"/>
      <c r="D1018" s="15"/>
      <c r="E1018" s="15"/>
      <c r="F1018" s="15"/>
      <c r="G1018" s="387"/>
      <c r="H1018" s="15"/>
      <c r="I1018" s="11"/>
      <c r="J1018" s="11"/>
      <c r="K1018" s="11"/>
      <c r="L1018" s="11"/>
      <c r="M1018" s="15"/>
      <c r="N1018" s="15"/>
      <c r="O1018" s="15"/>
      <c r="P1018" s="15"/>
      <c r="Q1018" s="15"/>
      <c r="R1018" s="15"/>
      <c r="S1018" s="15"/>
      <c r="T1018" s="15"/>
      <c r="U1018" s="15"/>
      <c r="V1018" s="15"/>
      <c r="W1018" s="15"/>
      <c r="X1018" s="15"/>
      <c r="Y1018" s="15"/>
      <c r="Z1018" s="15"/>
      <c r="AA1018" s="15"/>
      <c r="AB1018" s="15"/>
      <c r="AC1018" s="15"/>
      <c r="AD1018" s="15"/>
      <c r="AE1018" s="15"/>
      <c r="AF1018" s="15"/>
    </row>
    <row r="1019" ht="15.75" customHeight="1">
      <c r="A1019" s="15"/>
      <c r="B1019" s="15"/>
      <c r="C1019" s="21"/>
      <c r="D1019" s="15"/>
      <c r="E1019" s="15"/>
      <c r="F1019" s="15"/>
      <c r="G1019" s="387"/>
      <c r="H1019" s="15"/>
      <c r="I1019" s="11"/>
      <c r="J1019" s="11"/>
      <c r="K1019" s="11"/>
      <c r="L1019" s="11"/>
      <c r="M1019" s="15"/>
      <c r="N1019" s="15"/>
      <c r="O1019" s="15"/>
      <c r="P1019" s="15"/>
      <c r="Q1019" s="15"/>
      <c r="R1019" s="15"/>
      <c r="S1019" s="15"/>
      <c r="T1019" s="15"/>
      <c r="U1019" s="15"/>
      <c r="V1019" s="15"/>
      <c r="W1019" s="15"/>
      <c r="X1019" s="15"/>
      <c r="Y1019" s="15"/>
      <c r="Z1019" s="15"/>
      <c r="AA1019" s="15"/>
      <c r="AB1019" s="15"/>
      <c r="AC1019" s="15"/>
      <c r="AD1019" s="15"/>
      <c r="AE1019" s="15"/>
      <c r="AF1019" s="15"/>
    </row>
    <row r="1020" ht="15.75" customHeight="1">
      <c r="A1020" s="15"/>
      <c r="B1020" s="15"/>
      <c r="C1020" s="21"/>
      <c r="D1020" s="15"/>
      <c r="E1020" s="15"/>
      <c r="F1020" s="15"/>
      <c r="G1020" s="387"/>
      <c r="H1020" s="15"/>
      <c r="I1020" s="11"/>
      <c r="J1020" s="11"/>
      <c r="K1020" s="11"/>
      <c r="L1020" s="11"/>
      <c r="M1020" s="15"/>
      <c r="N1020" s="15"/>
      <c r="O1020" s="15"/>
      <c r="P1020" s="15"/>
      <c r="Q1020" s="15"/>
      <c r="R1020" s="15"/>
      <c r="S1020" s="15"/>
      <c r="T1020" s="15"/>
      <c r="U1020" s="15"/>
      <c r="V1020" s="15"/>
      <c r="W1020" s="15"/>
      <c r="X1020" s="15"/>
      <c r="Y1020" s="15"/>
      <c r="Z1020" s="15"/>
      <c r="AA1020" s="15"/>
      <c r="AB1020" s="15"/>
      <c r="AC1020" s="15"/>
      <c r="AD1020" s="15"/>
      <c r="AE1020" s="15"/>
      <c r="AF1020" s="15"/>
    </row>
    <row r="1021" ht="15.75" customHeight="1">
      <c r="A1021" s="15"/>
      <c r="B1021" s="15"/>
      <c r="C1021" s="21"/>
      <c r="D1021" s="15"/>
      <c r="E1021" s="15"/>
      <c r="F1021" s="15"/>
      <c r="G1021" s="387"/>
      <c r="H1021" s="15"/>
      <c r="I1021" s="11"/>
      <c r="J1021" s="11"/>
      <c r="K1021" s="11"/>
      <c r="L1021" s="11"/>
      <c r="M1021" s="15"/>
      <c r="N1021" s="15"/>
      <c r="O1021" s="15"/>
      <c r="P1021" s="15"/>
      <c r="Q1021" s="15"/>
      <c r="R1021" s="15"/>
      <c r="S1021" s="15"/>
      <c r="T1021" s="15"/>
      <c r="U1021" s="15"/>
      <c r="V1021" s="15"/>
      <c r="W1021" s="15"/>
      <c r="X1021" s="15"/>
      <c r="Y1021" s="15"/>
      <c r="Z1021" s="15"/>
      <c r="AA1021" s="15"/>
      <c r="AB1021" s="15"/>
      <c r="AC1021" s="15"/>
      <c r="AD1021" s="15"/>
      <c r="AE1021" s="15"/>
      <c r="AF1021" s="15"/>
    </row>
    <row r="1022" ht="15.75" customHeight="1">
      <c r="A1022" s="15"/>
      <c r="B1022" s="15"/>
      <c r="C1022" s="21"/>
      <c r="D1022" s="15"/>
      <c r="E1022" s="15"/>
      <c r="F1022" s="15"/>
      <c r="G1022" s="387"/>
      <c r="H1022" s="15"/>
      <c r="I1022" s="11"/>
      <c r="J1022" s="11"/>
      <c r="K1022" s="11"/>
      <c r="L1022" s="11"/>
      <c r="M1022" s="15"/>
      <c r="N1022" s="15"/>
      <c r="O1022" s="15"/>
      <c r="P1022" s="15"/>
      <c r="Q1022" s="15"/>
      <c r="R1022" s="15"/>
      <c r="S1022" s="15"/>
      <c r="T1022" s="15"/>
      <c r="U1022" s="15"/>
      <c r="V1022" s="15"/>
      <c r="W1022" s="15"/>
      <c r="X1022" s="15"/>
      <c r="Y1022" s="15"/>
      <c r="Z1022" s="15"/>
      <c r="AA1022" s="15"/>
      <c r="AB1022" s="15"/>
      <c r="AC1022" s="15"/>
      <c r="AD1022" s="15"/>
      <c r="AE1022" s="15"/>
      <c r="AF1022" s="15"/>
    </row>
    <row r="1023" ht="15.75" customHeight="1">
      <c r="A1023" s="15"/>
      <c r="B1023" s="15"/>
      <c r="C1023" s="21"/>
      <c r="D1023" s="15"/>
      <c r="E1023" s="15"/>
      <c r="F1023" s="15"/>
      <c r="G1023" s="387"/>
      <c r="H1023" s="15"/>
      <c r="I1023" s="11"/>
      <c r="J1023" s="11"/>
      <c r="K1023" s="11"/>
      <c r="L1023" s="11"/>
      <c r="M1023" s="15"/>
      <c r="N1023" s="15"/>
      <c r="O1023" s="15"/>
      <c r="P1023" s="15"/>
      <c r="Q1023" s="15"/>
      <c r="R1023" s="15"/>
      <c r="S1023" s="15"/>
      <c r="T1023" s="15"/>
      <c r="U1023" s="15"/>
      <c r="V1023" s="15"/>
      <c r="W1023" s="15"/>
      <c r="X1023" s="15"/>
      <c r="Y1023" s="15"/>
      <c r="Z1023" s="15"/>
      <c r="AA1023" s="15"/>
      <c r="AB1023" s="15"/>
      <c r="AC1023" s="15"/>
      <c r="AD1023" s="15"/>
      <c r="AE1023" s="15"/>
      <c r="AF1023" s="15"/>
    </row>
    <row r="1024" ht="15.75" customHeight="1">
      <c r="A1024" s="15"/>
      <c r="B1024" s="15"/>
      <c r="C1024" s="21"/>
      <c r="D1024" s="15"/>
      <c r="E1024" s="15"/>
      <c r="F1024" s="15"/>
      <c r="G1024" s="387"/>
      <c r="H1024" s="15"/>
      <c r="I1024" s="11"/>
      <c r="J1024" s="11"/>
      <c r="K1024" s="11"/>
      <c r="L1024" s="11"/>
      <c r="M1024" s="15"/>
      <c r="N1024" s="15"/>
      <c r="O1024" s="15"/>
      <c r="P1024" s="15"/>
      <c r="Q1024" s="15"/>
      <c r="R1024" s="15"/>
      <c r="S1024" s="15"/>
      <c r="T1024" s="15"/>
      <c r="U1024" s="15"/>
      <c r="V1024" s="15"/>
      <c r="W1024" s="15"/>
      <c r="X1024" s="15"/>
      <c r="Y1024" s="15"/>
      <c r="Z1024" s="15"/>
      <c r="AA1024" s="15"/>
      <c r="AB1024" s="15"/>
      <c r="AC1024" s="15"/>
      <c r="AD1024" s="15"/>
      <c r="AE1024" s="15"/>
      <c r="AF1024" s="15"/>
    </row>
    <row r="1025" ht="15.75" customHeight="1">
      <c r="A1025" s="15"/>
      <c r="B1025" s="15"/>
      <c r="C1025" s="21"/>
      <c r="D1025" s="15"/>
      <c r="E1025" s="15"/>
      <c r="F1025" s="15"/>
      <c r="G1025" s="387"/>
      <c r="H1025" s="15"/>
      <c r="I1025" s="11"/>
      <c r="J1025" s="11"/>
      <c r="K1025" s="11"/>
      <c r="L1025" s="11"/>
      <c r="M1025" s="15"/>
      <c r="N1025" s="15"/>
      <c r="O1025" s="15"/>
      <c r="P1025" s="15"/>
      <c r="Q1025" s="15"/>
      <c r="R1025" s="15"/>
      <c r="S1025" s="15"/>
      <c r="T1025" s="15"/>
      <c r="U1025" s="15"/>
      <c r="V1025" s="15"/>
      <c r="W1025" s="15"/>
      <c r="X1025" s="15"/>
      <c r="Y1025" s="15"/>
      <c r="Z1025" s="15"/>
      <c r="AA1025" s="15"/>
      <c r="AB1025" s="15"/>
      <c r="AC1025" s="15"/>
      <c r="AD1025" s="15"/>
      <c r="AE1025" s="15"/>
      <c r="AF1025" s="15"/>
    </row>
    <row r="1026" ht="15.75" customHeight="1">
      <c r="A1026" s="15"/>
      <c r="B1026" s="15"/>
      <c r="C1026" s="21"/>
      <c r="D1026" s="15"/>
      <c r="E1026" s="15"/>
      <c r="F1026" s="15"/>
      <c r="G1026" s="387"/>
      <c r="H1026" s="15"/>
      <c r="I1026" s="11"/>
      <c r="J1026" s="11"/>
      <c r="K1026" s="11"/>
      <c r="L1026" s="11"/>
      <c r="M1026" s="15"/>
      <c r="N1026" s="15"/>
      <c r="O1026" s="15"/>
      <c r="P1026" s="15"/>
      <c r="Q1026" s="15"/>
      <c r="R1026" s="15"/>
      <c r="S1026" s="15"/>
      <c r="T1026" s="15"/>
      <c r="U1026" s="15"/>
      <c r="V1026" s="15"/>
      <c r="W1026" s="15"/>
      <c r="X1026" s="15"/>
      <c r="Y1026" s="15"/>
      <c r="Z1026" s="15"/>
      <c r="AA1026" s="15"/>
      <c r="AB1026" s="15"/>
      <c r="AC1026" s="15"/>
      <c r="AD1026" s="15"/>
      <c r="AE1026" s="15"/>
      <c r="AF1026" s="15"/>
    </row>
    <row r="1027" ht="15.75" customHeight="1">
      <c r="A1027" s="15"/>
      <c r="B1027" s="15"/>
      <c r="C1027" s="21"/>
      <c r="D1027" s="15"/>
      <c r="E1027" s="15"/>
      <c r="F1027" s="15"/>
      <c r="G1027" s="387"/>
      <c r="H1027" s="15"/>
      <c r="I1027" s="11"/>
      <c r="J1027" s="11"/>
      <c r="K1027" s="11"/>
      <c r="L1027" s="11"/>
      <c r="M1027" s="15"/>
      <c r="N1027" s="15"/>
      <c r="O1027" s="15"/>
      <c r="P1027" s="15"/>
      <c r="Q1027" s="15"/>
      <c r="R1027" s="15"/>
      <c r="S1027" s="15"/>
      <c r="T1027" s="15"/>
      <c r="U1027" s="15"/>
      <c r="V1027" s="15"/>
      <c r="W1027" s="15"/>
      <c r="X1027" s="15"/>
      <c r="Y1027" s="15"/>
      <c r="Z1027" s="15"/>
      <c r="AA1027" s="15"/>
      <c r="AB1027" s="15"/>
      <c r="AC1027" s="15"/>
      <c r="AD1027" s="15"/>
      <c r="AE1027" s="15"/>
      <c r="AF1027" s="15"/>
    </row>
    <row r="1028" ht="15.75" customHeight="1">
      <c r="A1028" s="15"/>
      <c r="B1028" s="15"/>
      <c r="C1028" s="21"/>
      <c r="D1028" s="15"/>
      <c r="E1028" s="15"/>
      <c r="F1028" s="15"/>
      <c r="G1028" s="387"/>
      <c r="H1028" s="15"/>
      <c r="I1028" s="11"/>
      <c r="J1028" s="11"/>
      <c r="K1028" s="11"/>
      <c r="L1028" s="11"/>
      <c r="M1028" s="15"/>
      <c r="N1028" s="15"/>
      <c r="O1028" s="15"/>
      <c r="P1028" s="15"/>
      <c r="Q1028" s="15"/>
      <c r="R1028" s="15"/>
      <c r="S1028" s="15"/>
      <c r="T1028" s="15"/>
      <c r="U1028" s="15"/>
      <c r="V1028" s="15"/>
      <c r="W1028" s="15"/>
      <c r="X1028" s="15"/>
      <c r="Y1028" s="15"/>
      <c r="Z1028" s="15"/>
      <c r="AA1028" s="15"/>
      <c r="AB1028" s="15"/>
      <c r="AC1028" s="15"/>
      <c r="AD1028" s="15"/>
      <c r="AE1028" s="15"/>
      <c r="AF1028" s="15"/>
    </row>
    <row r="1029" ht="15.75" customHeight="1">
      <c r="A1029" s="15"/>
      <c r="B1029" s="15"/>
      <c r="C1029" s="21"/>
      <c r="D1029" s="15"/>
      <c r="E1029" s="15"/>
      <c r="F1029" s="15"/>
      <c r="G1029" s="387"/>
      <c r="H1029" s="15"/>
      <c r="I1029" s="11"/>
      <c r="J1029" s="11"/>
      <c r="K1029" s="11"/>
      <c r="L1029" s="11"/>
      <c r="M1029" s="15"/>
      <c r="N1029" s="15"/>
      <c r="O1029" s="15"/>
      <c r="P1029" s="15"/>
      <c r="Q1029" s="15"/>
      <c r="R1029" s="15"/>
      <c r="S1029" s="15"/>
      <c r="T1029" s="15"/>
      <c r="U1029" s="15"/>
      <c r="V1029" s="15"/>
      <c r="W1029" s="15"/>
      <c r="X1029" s="15"/>
      <c r="Y1029" s="15"/>
      <c r="Z1029" s="15"/>
      <c r="AA1029" s="15"/>
      <c r="AB1029" s="15"/>
      <c r="AC1029" s="15"/>
      <c r="AD1029" s="15"/>
      <c r="AE1029" s="15"/>
      <c r="AF1029" s="15"/>
    </row>
    <row r="1030" ht="15.75" customHeight="1">
      <c r="A1030" s="15"/>
      <c r="B1030" s="15"/>
      <c r="C1030" s="21"/>
      <c r="D1030" s="15"/>
      <c r="E1030" s="15"/>
      <c r="F1030" s="15"/>
      <c r="G1030" s="387"/>
      <c r="H1030" s="15"/>
      <c r="I1030" s="11"/>
      <c r="J1030" s="11"/>
      <c r="K1030" s="11"/>
      <c r="L1030" s="11"/>
      <c r="M1030" s="15"/>
      <c r="N1030" s="15"/>
      <c r="O1030" s="15"/>
      <c r="P1030" s="15"/>
      <c r="Q1030" s="15"/>
      <c r="R1030" s="15"/>
      <c r="S1030" s="15"/>
      <c r="T1030" s="15"/>
      <c r="U1030" s="15"/>
      <c r="V1030" s="15"/>
      <c r="W1030" s="15"/>
      <c r="X1030" s="15"/>
      <c r="Y1030" s="15"/>
      <c r="Z1030" s="15"/>
      <c r="AA1030" s="15"/>
      <c r="AB1030" s="15"/>
      <c r="AC1030" s="15"/>
      <c r="AD1030" s="15"/>
      <c r="AE1030" s="15"/>
      <c r="AF1030" s="15"/>
    </row>
    <row r="1031" ht="15.75" customHeight="1">
      <c r="A1031" s="15"/>
      <c r="B1031" s="15"/>
      <c r="C1031" s="21"/>
      <c r="D1031" s="15"/>
      <c r="E1031" s="15"/>
      <c r="F1031" s="15"/>
      <c r="G1031" s="387"/>
      <c r="H1031" s="15"/>
      <c r="I1031" s="11"/>
      <c r="J1031" s="11"/>
      <c r="K1031" s="11"/>
      <c r="L1031" s="11"/>
      <c r="M1031" s="15"/>
      <c r="N1031" s="15"/>
      <c r="O1031" s="15"/>
      <c r="P1031" s="15"/>
      <c r="Q1031" s="15"/>
      <c r="R1031" s="15"/>
      <c r="S1031" s="15"/>
      <c r="T1031" s="15"/>
      <c r="U1031" s="15"/>
      <c r="V1031" s="15"/>
      <c r="W1031" s="15"/>
      <c r="X1031" s="15"/>
      <c r="Y1031" s="15"/>
      <c r="Z1031" s="15"/>
      <c r="AA1031" s="15"/>
      <c r="AB1031" s="15"/>
      <c r="AC1031" s="15"/>
      <c r="AD1031" s="15"/>
      <c r="AE1031" s="15"/>
      <c r="AF1031" s="15"/>
    </row>
    <row r="1032" ht="15.75" customHeight="1">
      <c r="A1032" s="15"/>
      <c r="B1032" s="15"/>
      <c r="C1032" s="21"/>
      <c r="D1032" s="15"/>
      <c r="E1032" s="15"/>
      <c r="F1032" s="15"/>
      <c r="G1032" s="387"/>
      <c r="H1032" s="15"/>
      <c r="I1032" s="11"/>
      <c r="J1032" s="11"/>
      <c r="K1032" s="11"/>
      <c r="L1032" s="11"/>
      <c r="M1032" s="15"/>
      <c r="N1032" s="15"/>
      <c r="O1032" s="15"/>
      <c r="P1032" s="15"/>
      <c r="Q1032" s="15"/>
      <c r="R1032" s="15"/>
      <c r="S1032" s="15"/>
      <c r="T1032" s="15"/>
      <c r="U1032" s="15"/>
      <c r="V1032" s="15"/>
      <c r="W1032" s="15"/>
      <c r="X1032" s="15"/>
      <c r="Y1032" s="15"/>
      <c r="Z1032" s="15"/>
      <c r="AA1032" s="15"/>
      <c r="AB1032" s="15"/>
      <c r="AC1032" s="15"/>
      <c r="AD1032" s="15"/>
      <c r="AE1032" s="15"/>
      <c r="AF1032" s="15"/>
    </row>
    <row r="1033" ht="15.75" customHeight="1">
      <c r="A1033" s="15"/>
      <c r="B1033" s="15"/>
      <c r="C1033" s="21"/>
      <c r="D1033" s="15"/>
      <c r="E1033" s="15"/>
      <c r="F1033" s="15"/>
      <c r="G1033" s="387"/>
      <c r="H1033" s="15"/>
      <c r="I1033" s="11"/>
      <c r="J1033" s="11"/>
      <c r="K1033" s="11"/>
      <c r="L1033" s="11"/>
      <c r="M1033" s="15"/>
      <c r="N1033" s="15"/>
      <c r="O1033" s="15"/>
      <c r="P1033" s="15"/>
      <c r="Q1033" s="15"/>
      <c r="R1033" s="15"/>
      <c r="S1033" s="15"/>
      <c r="T1033" s="15"/>
      <c r="U1033" s="15"/>
      <c r="V1033" s="15"/>
      <c r="W1033" s="15"/>
      <c r="X1033" s="15"/>
      <c r="Y1033" s="15"/>
      <c r="Z1033" s="15"/>
      <c r="AA1033" s="15"/>
      <c r="AB1033" s="15"/>
      <c r="AC1033" s="15"/>
      <c r="AD1033" s="15"/>
      <c r="AE1033" s="15"/>
      <c r="AF1033" s="15"/>
    </row>
    <row r="1034" ht="15.75" customHeight="1">
      <c r="A1034" s="15"/>
      <c r="B1034" s="15"/>
      <c r="C1034" s="21"/>
      <c r="D1034" s="15"/>
      <c r="E1034" s="15"/>
      <c r="F1034" s="15"/>
      <c r="G1034" s="387"/>
      <c r="H1034" s="15"/>
      <c r="I1034" s="11"/>
      <c r="J1034" s="11"/>
      <c r="K1034" s="11"/>
      <c r="L1034" s="11"/>
      <c r="M1034" s="15"/>
      <c r="N1034" s="15"/>
      <c r="O1034" s="15"/>
      <c r="P1034" s="15"/>
      <c r="Q1034" s="15"/>
      <c r="R1034" s="15"/>
      <c r="S1034" s="15"/>
      <c r="T1034" s="15"/>
      <c r="U1034" s="15"/>
      <c r="V1034" s="15"/>
      <c r="W1034" s="15"/>
      <c r="X1034" s="15"/>
      <c r="Y1034" s="15"/>
      <c r="Z1034" s="15"/>
      <c r="AA1034" s="15"/>
      <c r="AB1034" s="15"/>
      <c r="AC1034" s="15"/>
      <c r="AD1034" s="15"/>
      <c r="AE1034" s="15"/>
      <c r="AF1034" s="15"/>
    </row>
    <row r="1035" ht="15.75" customHeight="1">
      <c r="A1035" s="15"/>
      <c r="B1035" s="15"/>
      <c r="C1035" s="21"/>
      <c r="D1035" s="15"/>
      <c r="E1035" s="15"/>
      <c r="F1035" s="15"/>
      <c r="G1035" s="387"/>
      <c r="H1035" s="15"/>
      <c r="I1035" s="11"/>
      <c r="J1035" s="11"/>
      <c r="K1035" s="11"/>
      <c r="L1035" s="11"/>
      <c r="M1035" s="15"/>
      <c r="N1035" s="15"/>
      <c r="O1035" s="15"/>
      <c r="P1035" s="15"/>
      <c r="Q1035" s="15"/>
      <c r="R1035" s="15"/>
      <c r="S1035" s="15"/>
      <c r="T1035" s="15"/>
      <c r="U1035" s="15"/>
      <c r="V1035" s="15"/>
      <c r="W1035" s="15"/>
      <c r="X1035" s="15"/>
      <c r="Y1035" s="15"/>
      <c r="Z1035" s="15"/>
      <c r="AA1035" s="15"/>
      <c r="AB1035" s="15"/>
      <c r="AC1035" s="15"/>
      <c r="AD1035" s="15"/>
      <c r="AE1035" s="15"/>
      <c r="AF1035" s="15"/>
    </row>
    <row r="1036" ht="15.75" customHeight="1">
      <c r="A1036" s="15"/>
      <c r="B1036" s="15"/>
      <c r="C1036" s="21"/>
      <c r="D1036" s="15"/>
      <c r="E1036" s="15"/>
      <c r="F1036" s="15"/>
      <c r="G1036" s="387"/>
      <c r="H1036" s="15"/>
      <c r="I1036" s="11"/>
      <c r="J1036" s="11"/>
      <c r="K1036" s="11"/>
      <c r="L1036" s="11"/>
      <c r="M1036" s="15"/>
      <c r="N1036" s="15"/>
      <c r="O1036" s="15"/>
      <c r="P1036" s="15"/>
      <c r="Q1036" s="15"/>
      <c r="R1036" s="15"/>
      <c r="S1036" s="15"/>
      <c r="T1036" s="15"/>
      <c r="U1036" s="15"/>
      <c r="V1036" s="15"/>
      <c r="W1036" s="15"/>
      <c r="X1036" s="15"/>
      <c r="Y1036" s="15"/>
      <c r="Z1036" s="15"/>
      <c r="AA1036" s="15"/>
      <c r="AB1036" s="15"/>
      <c r="AC1036" s="15"/>
      <c r="AD1036" s="15"/>
      <c r="AE1036" s="15"/>
      <c r="AF1036" s="15"/>
    </row>
    <row r="1037" ht="15.75" customHeight="1">
      <c r="A1037" s="15"/>
      <c r="B1037" s="15"/>
      <c r="C1037" s="21"/>
      <c r="D1037" s="15"/>
      <c r="E1037" s="15"/>
      <c r="F1037" s="15"/>
      <c r="G1037" s="387"/>
      <c r="H1037" s="15"/>
      <c r="I1037" s="11"/>
      <c r="J1037" s="11"/>
      <c r="K1037" s="11"/>
      <c r="L1037" s="11"/>
      <c r="M1037" s="15"/>
      <c r="N1037" s="15"/>
      <c r="O1037" s="15"/>
      <c r="P1037" s="15"/>
      <c r="Q1037" s="15"/>
      <c r="R1037" s="15"/>
      <c r="S1037" s="15"/>
      <c r="T1037" s="15"/>
      <c r="U1037" s="15"/>
      <c r="V1037" s="15"/>
      <c r="W1037" s="15"/>
      <c r="X1037" s="15"/>
      <c r="Y1037" s="15"/>
      <c r="Z1037" s="15"/>
      <c r="AA1037" s="15"/>
      <c r="AB1037" s="15"/>
      <c r="AC1037" s="15"/>
      <c r="AD1037" s="15"/>
      <c r="AE1037" s="15"/>
      <c r="AF1037" s="15"/>
    </row>
    <row r="1038" ht="15.75" customHeight="1">
      <c r="A1038" s="15"/>
      <c r="B1038" s="15"/>
      <c r="C1038" s="21"/>
      <c r="D1038" s="15"/>
      <c r="E1038" s="15"/>
      <c r="F1038" s="15"/>
      <c r="G1038" s="387"/>
      <c r="H1038" s="15"/>
      <c r="I1038" s="11"/>
      <c r="J1038" s="11"/>
      <c r="K1038" s="11"/>
      <c r="L1038" s="11"/>
      <c r="M1038" s="15"/>
      <c r="N1038" s="15"/>
      <c r="O1038" s="15"/>
      <c r="P1038" s="15"/>
      <c r="Q1038" s="15"/>
      <c r="R1038" s="15"/>
      <c r="S1038" s="15"/>
      <c r="T1038" s="15"/>
      <c r="U1038" s="15"/>
      <c r="V1038" s="15"/>
      <c r="W1038" s="15"/>
      <c r="X1038" s="15"/>
      <c r="Y1038" s="15"/>
      <c r="Z1038" s="15"/>
      <c r="AA1038" s="15"/>
      <c r="AB1038" s="15"/>
      <c r="AC1038" s="15"/>
      <c r="AD1038" s="15"/>
      <c r="AE1038" s="15"/>
      <c r="AF1038" s="15"/>
    </row>
    <row r="1039" ht="15.75" customHeight="1">
      <c r="A1039" s="15"/>
      <c r="B1039" s="15"/>
      <c r="C1039" s="21"/>
      <c r="D1039" s="15"/>
      <c r="E1039" s="15"/>
      <c r="F1039" s="15"/>
      <c r="G1039" s="387"/>
      <c r="H1039" s="15"/>
      <c r="I1039" s="11"/>
      <c r="J1039" s="11"/>
      <c r="K1039" s="11"/>
      <c r="L1039" s="11"/>
      <c r="M1039" s="15"/>
      <c r="N1039" s="15"/>
      <c r="O1039" s="15"/>
      <c r="P1039" s="15"/>
      <c r="Q1039" s="15"/>
      <c r="R1039" s="15"/>
      <c r="S1039" s="15"/>
      <c r="T1039" s="15"/>
      <c r="U1039" s="15"/>
      <c r="V1039" s="15"/>
      <c r="W1039" s="15"/>
      <c r="X1039" s="15"/>
      <c r="Y1039" s="15"/>
      <c r="Z1039" s="15"/>
      <c r="AA1039" s="15"/>
      <c r="AB1039" s="15"/>
      <c r="AC1039" s="15"/>
      <c r="AD1039" s="15"/>
      <c r="AE1039" s="15"/>
      <c r="AF1039" s="15"/>
    </row>
    <row r="1040" ht="15.75" customHeight="1">
      <c r="A1040" s="15"/>
      <c r="B1040" s="15"/>
      <c r="C1040" s="21"/>
      <c r="D1040" s="15"/>
      <c r="E1040" s="15"/>
      <c r="F1040" s="15"/>
      <c r="G1040" s="387"/>
      <c r="H1040" s="15"/>
      <c r="I1040" s="11"/>
      <c r="J1040" s="11"/>
      <c r="K1040" s="11"/>
      <c r="L1040" s="11"/>
      <c r="M1040" s="15"/>
      <c r="N1040" s="15"/>
      <c r="O1040" s="15"/>
      <c r="P1040" s="15"/>
      <c r="Q1040" s="15"/>
      <c r="R1040" s="15"/>
      <c r="S1040" s="15"/>
      <c r="T1040" s="15"/>
      <c r="U1040" s="15"/>
      <c r="V1040" s="15"/>
      <c r="W1040" s="15"/>
      <c r="X1040" s="15"/>
      <c r="Y1040" s="15"/>
      <c r="Z1040" s="15"/>
      <c r="AA1040" s="15"/>
      <c r="AB1040" s="15"/>
      <c r="AC1040" s="15"/>
      <c r="AD1040" s="15"/>
      <c r="AE1040" s="15"/>
      <c r="AF1040" s="15"/>
    </row>
    <row r="1041" ht="15.75" customHeight="1">
      <c r="A1041" s="15"/>
      <c r="B1041" s="15"/>
      <c r="C1041" s="21"/>
      <c r="D1041" s="15"/>
      <c r="E1041" s="15"/>
      <c r="F1041" s="15"/>
      <c r="G1041" s="387"/>
      <c r="H1041" s="15"/>
      <c r="I1041" s="11"/>
      <c r="J1041" s="11"/>
      <c r="K1041" s="11"/>
      <c r="L1041" s="11"/>
      <c r="M1041" s="15"/>
      <c r="N1041" s="15"/>
      <c r="O1041" s="15"/>
      <c r="P1041" s="15"/>
      <c r="Q1041" s="15"/>
      <c r="R1041" s="15"/>
      <c r="S1041" s="15"/>
      <c r="T1041" s="15"/>
      <c r="U1041" s="15"/>
      <c r="V1041" s="15"/>
      <c r="W1041" s="15"/>
      <c r="X1041" s="15"/>
      <c r="Y1041" s="15"/>
      <c r="Z1041" s="15"/>
      <c r="AA1041" s="15"/>
      <c r="AB1041" s="15"/>
      <c r="AC1041" s="15"/>
      <c r="AD1041" s="15"/>
      <c r="AE1041" s="15"/>
      <c r="AF1041" s="15"/>
    </row>
    <row r="1042" ht="15.75" customHeight="1">
      <c r="A1042" s="15"/>
      <c r="B1042" s="15"/>
      <c r="C1042" s="21"/>
      <c r="D1042" s="15"/>
      <c r="E1042" s="15"/>
      <c r="F1042" s="15"/>
      <c r="G1042" s="387"/>
      <c r="H1042" s="15"/>
      <c r="I1042" s="11"/>
      <c r="J1042" s="11"/>
      <c r="K1042" s="11"/>
      <c r="L1042" s="11"/>
      <c r="M1042" s="15"/>
      <c r="N1042" s="15"/>
      <c r="O1042" s="15"/>
      <c r="P1042" s="15"/>
      <c r="Q1042" s="15"/>
      <c r="R1042" s="15"/>
      <c r="S1042" s="15"/>
      <c r="T1042" s="15"/>
      <c r="U1042" s="15"/>
      <c r="V1042" s="15"/>
      <c r="W1042" s="15"/>
      <c r="X1042" s="15"/>
      <c r="Y1042" s="15"/>
      <c r="Z1042" s="15"/>
      <c r="AA1042" s="15"/>
      <c r="AB1042" s="15"/>
      <c r="AC1042" s="15"/>
      <c r="AD1042" s="15"/>
      <c r="AE1042" s="15"/>
      <c r="AF1042" s="15"/>
    </row>
    <row r="1043" ht="15.75" customHeight="1">
      <c r="A1043" s="15"/>
      <c r="B1043" s="15"/>
      <c r="C1043" s="21"/>
      <c r="D1043" s="15"/>
      <c r="E1043" s="15"/>
      <c r="F1043" s="15"/>
      <c r="G1043" s="387"/>
      <c r="H1043" s="15"/>
      <c r="I1043" s="11"/>
      <c r="J1043" s="11"/>
      <c r="K1043" s="11"/>
      <c r="L1043" s="11"/>
      <c r="M1043" s="15"/>
      <c r="N1043" s="15"/>
      <c r="O1043" s="15"/>
      <c r="P1043" s="15"/>
      <c r="Q1043" s="15"/>
      <c r="R1043" s="15"/>
      <c r="S1043" s="15"/>
      <c r="T1043" s="15"/>
      <c r="U1043" s="15"/>
      <c r="V1043" s="15"/>
      <c r="W1043" s="15"/>
      <c r="X1043" s="15"/>
      <c r="Y1043" s="15"/>
      <c r="Z1043" s="15"/>
      <c r="AA1043" s="15"/>
      <c r="AB1043" s="15"/>
      <c r="AC1043" s="15"/>
      <c r="AD1043" s="15"/>
      <c r="AE1043" s="15"/>
      <c r="AF1043" s="15"/>
    </row>
    <row r="1044" ht="15.75" customHeight="1">
      <c r="A1044" s="15"/>
      <c r="B1044" s="15"/>
      <c r="C1044" s="21"/>
      <c r="D1044" s="15"/>
      <c r="E1044" s="15"/>
      <c r="F1044" s="15"/>
      <c r="G1044" s="387"/>
      <c r="H1044" s="15"/>
      <c r="I1044" s="11"/>
      <c r="J1044" s="11"/>
      <c r="K1044" s="11"/>
      <c r="L1044" s="11"/>
      <c r="M1044" s="15"/>
      <c r="N1044" s="15"/>
      <c r="O1044" s="15"/>
      <c r="P1044" s="15"/>
      <c r="Q1044" s="15"/>
      <c r="R1044" s="15"/>
      <c r="S1044" s="15"/>
      <c r="T1044" s="15"/>
      <c r="U1044" s="15"/>
      <c r="V1044" s="15"/>
      <c r="W1044" s="15"/>
      <c r="X1044" s="15"/>
      <c r="Y1044" s="15"/>
      <c r="Z1044" s="15"/>
      <c r="AA1044" s="15"/>
      <c r="AB1044" s="15"/>
      <c r="AC1044" s="15"/>
      <c r="AD1044" s="15"/>
      <c r="AE1044" s="15"/>
      <c r="AF1044" s="15"/>
    </row>
    <row r="1045" ht="15.75" customHeight="1">
      <c r="A1045" s="15"/>
      <c r="B1045" s="15"/>
      <c r="C1045" s="21"/>
      <c r="D1045" s="15"/>
      <c r="E1045" s="15"/>
      <c r="F1045" s="15"/>
      <c r="G1045" s="387"/>
      <c r="H1045" s="15"/>
      <c r="I1045" s="11"/>
      <c r="J1045" s="11"/>
      <c r="K1045" s="11"/>
      <c r="L1045" s="11"/>
      <c r="M1045" s="15"/>
      <c r="N1045" s="15"/>
      <c r="O1045" s="15"/>
      <c r="P1045" s="15"/>
      <c r="Q1045" s="15"/>
      <c r="R1045" s="15"/>
      <c r="S1045" s="15"/>
      <c r="T1045" s="15"/>
      <c r="U1045" s="15"/>
      <c r="V1045" s="15"/>
      <c r="W1045" s="15"/>
      <c r="X1045" s="15"/>
      <c r="Y1045" s="15"/>
      <c r="Z1045" s="15"/>
      <c r="AA1045" s="15"/>
      <c r="AB1045" s="15"/>
      <c r="AC1045" s="15"/>
      <c r="AD1045" s="15"/>
      <c r="AE1045" s="15"/>
      <c r="AF1045" s="15"/>
    </row>
    <row r="1046" ht="15.75" customHeight="1">
      <c r="A1046" s="15"/>
      <c r="B1046" s="15"/>
      <c r="C1046" s="21"/>
      <c r="D1046" s="15"/>
      <c r="E1046" s="15"/>
      <c r="F1046" s="15"/>
      <c r="G1046" s="387"/>
      <c r="H1046" s="15"/>
      <c r="I1046" s="11"/>
      <c r="J1046" s="11"/>
      <c r="K1046" s="11"/>
      <c r="L1046" s="11"/>
      <c r="M1046" s="15"/>
      <c r="N1046" s="15"/>
      <c r="O1046" s="15"/>
      <c r="P1046" s="15"/>
      <c r="Q1046" s="15"/>
      <c r="R1046" s="15"/>
      <c r="S1046" s="15"/>
      <c r="T1046" s="15"/>
      <c r="U1046" s="15"/>
      <c r="V1046" s="15"/>
      <c r="W1046" s="15"/>
      <c r="X1046" s="15"/>
      <c r="Y1046" s="15"/>
      <c r="Z1046" s="15"/>
      <c r="AA1046" s="15"/>
      <c r="AB1046" s="15"/>
      <c r="AC1046" s="15"/>
      <c r="AD1046" s="15"/>
      <c r="AE1046" s="15"/>
      <c r="AF1046" s="15"/>
    </row>
    <row r="1047" ht="15.75" customHeight="1">
      <c r="A1047" s="15"/>
      <c r="B1047" s="15"/>
      <c r="C1047" s="21"/>
      <c r="D1047" s="15"/>
      <c r="E1047" s="15"/>
      <c r="F1047" s="15"/>
      <c r="G1047" s="387"/>
      <c r="H1047" s="15"/>
      <c r="I1047" s="11"/>
      <c r="J1047" s="11"/>
      <c r="K1047" s="11"/>
      <c r="L1047" s="11"/>
      <c r="M1047" s="15"/>
      <c r="N1047" s="15"/>
      <c r="O1047" s="15"/>
      <c r="P1047" s="15"/>
      <c r="Q1047" s="15"/>
      <c r="R1047" s="15"/>
      <c r="S1047" s="15"/>
      <c r="T1047" s="15"/>
      <c r="U1047" s="15"/>
      <c r="V1047" s="15"/>
      <c r="W1047" s="15"/>
      <c r="X1047" s="15"/>
      <c r="Y1047" s="15"/>
      <c r="Z1047" s="15"/>
      <c r="AA1047" s="15"/>
      <c r="AB1047" s="15"/>
      <c r="AC1047" s="15"/>
      <c r="AD1047" s="15"/>
      <c r="AE1047" s="15"/>
      <c r="AF1047" s="15"/>
    </row>
    <row r="1048" ht="15.75" customHeight="1">
      <c r="A1048" s="15"/>
      <c r="B1048" s="15"/>
      <c r="C1048" s="21"/>
      <c r="D1048" s="15"/>
      <c r="E1048" s="15"/>
      <c r="F1048" s="15"/>
      <c r="G1048" s="387"/>
      <c r="H1048" s="15"/>
      <c r="I1048" s="11"/>
      <c r="J1048" s="11"/>
      <c r="K1048" s="11"/>
      <c r="L1048" s="11"/>
      <c r="M1048" s="15"/>
      <c r="N1048" s="15"/>
      <c r="O1048" s="15"/>
      <c r="P1048" s="15"/>
      <c r="Q1048" s="15"/>
      <c r="R1048" s="15"/>
      <c r="S1048" s="15"/>
      <c r="T1048" s="15"/>
      <c r="U1048" s="15"/>
      <c r="V1048" s="15"/>
      <c r="W1048" s="15"/>
      <c r="X1048" s="15"/>
      <c r="Y1048" s="15"/>
      <c r="Z1048" s="15"/>
      <c r="AA1048" s="15"/>
      <c r="AB1048" s="15"/>
      <c r="AC1048" s="15"/>
      <c r="AD1048" s="15"/>
      <c r="AE1048" s="15"/>
      <c r="AF1048" s="15"/>
    </row>
    <row r="1049" ht="15.75" customHeight="1">
      <c r="A1049" s="15"/>
      <c r="B1049" s="15"/>
      <c r="C1049" s="21"/>
      <c r="D1049" s="15"/>
      <c r="E1049" s="15"/>
      <c r="F1049" s="15"/>
      <c r="G1049" s="387"/>
      <c r="H1049" s="15"/>
      <c r="I1049" s="11"/>
      <c r="J1049" s="11"/>
      <c r="K1049" s="11"/>
      <c r="L1049" s="11"/>
      <c r="M1049" s="15"/>
      <c r="N1049" s="15"/>
      <c r="O1049" s="15"/>
      <c r="P1049" s="15"/>
      <c r="Q1049" s="15"/>
      <c r="R1049" s="15"/>
      <c r="S1049" s="15"/>
      <c r="T1049" s="15"/>
      <c r="U1049" s="15"/>
      <c r="V1049" s="15"/>
      <c r="W1049" s="15"/>
      <c r="X1049" s="15"/>
      <c r="Y1049" s="15"/>
      <c r="Z1049" s="15"/>
      <c r="AA1049" s="15"/>
      <c r="AB1049" s="15"/>
      <c r="AC1049" s="15"/>
      <c r="AD1049" s="15"/>
      <c r="AE1049" s="15"/>
      <c r="AF1049" s="15"/>
    </row>
    <row r="1050" ht="15.75" customHeight="1">
      <c r="A1050" s="15"/>
      <c r="B1050" s="15"/>
      <c r="C1050" s="21"/>
      <c r="D1050" s="15"/>
      <c r="E1050" s="15"/>
      <c r="F1050" s="15"/>
      <c r="G1050" s="387"/>
      <c r="H1050" s="15"/>
      <c r="I1050" s="11"/>
      <c r="J1050" s="11"/>
      <c r="K1050" s="11"/>
      <c r="L1050" s="11"/>
      <c r="M1050" s="15"/>
      <c r="N1050" s="15"/>
      <c r="O1050" s="15"/>
      <c r="P1050" s="15"/>
      <c r="Q1050" s="15"/>
      <c r="R1050" s="15"/>
      <c r="S1050" s="15"/>
      <c r="T1050" s="15"/>
      <c r="U1050" s="15"/>
      <c r="V1050" s="15"/>
      <c r="W1050" s="15"/>
      <c r="X1050" s="15"/>
      <c r="Y1050" s="15"/>
      <c r="Z1050" s="15"/>
      <c r="AA1050" s="15"/>
      <c r="AB1050" s="15"/>
      <c r="AC1050" s="15"/>
      <c r="AD1050" s="15"/>
      <c r="AE1050" s="15"/>
      <c r="AF1050" s="15"/>
    </row>
    <row r="1051" ht="15.75" customHeight="1">
      <c r="A1051" s="15"/>
      <c r="B1051" s="15"/>
      <c r="C1051" s="21"/>
      <c r="D1051" s="15"/>
      <c r="E1051" s="15"/>
      <c r="F1051" s="15"/>
      <c r="G1051" s="387"/>
      <c r="H1051" s="15"/>
      <c r="I1051" s="11"/>
      <c r="J1051" s="11"/>
      <c r="K1051" s="11"/>
      <c r="L1051" s="11"/>
      <c r="M1051" s="15"/>
      <c r="N1051" s="15"/>
      <c r="O1051" s="15"/>
      <c r="P1051" s="15"/>
      <c r="Q1051" s="15"/>
      <c r="R1051" s="15"/>
      <c r="S1051" s="15"/>
      <c r="T1051" s="15"/>
      <c r="U1051" s="15"/>
      <c r="V1051" s="15"/>
      <c r="W1051" s="15"/>
      <c r="X1051" s="15"/>
      <c r="Y1051" s="15"/>
      <c r="Z1051" s="15"/>
      <c r="AA1051" s="15"/>
      <c r="AB1051" s="15"/>
      <c r="AC1051" s="15"/>
      <c r="AD1051" s="15"/>
      <c r="AE1051" s="15"/>
      <c r="AF1051" s="15"/>
    </row>
    <row r="1052" ht="15.75" customHeight="1">
      <c r="A1052" s="15"/>
      <c r="B1052" s="15"/>
      <c r="C1052" s="21"/>
      <c r="D1052" s="15"/>
      <c r="E1052" s="15"/>
      <c r="F1052" s="15"/>
      <c r="G1052" s="387"/>
      <c r="H1052" s="15"/>
      <c r="I1052" s="11"/>
      <c r="J1052" s="11"/>
      <c r="K1052" s="11"/>
      <c r="L1052" s="11"/>
      <c r="M1052" s="15"/>
      <c r="N1052" s="15"/>
      <c r="O1052" s="15"/>
      <c r="P1052" s="15"/>
      <c r="Q1052" s="15"/>
      <c r="R1052" s="15"/>
      <c r="S1052" s="15"/>
      <c r="T1052" s="15"/>
      <c r="U1052" s="15"/>
      <c r="V1052" s="15"/>
      <c r="W1052" s="15"/>
      <c r="X1052" s="15"/>
      <c r="Y1052" s="15"/>
      <c r="Z1052" s="15"/>
      <c r="AA1052" s="15"/>
      <c r="AB1052" s="15"/>
      <c r="AC1052" s="15"/>
      <c r="AD1052" s="15"/>
      <c r="AE1052" s="15"/>
      <c r="AF1052" s="15"/>
    </row>
    <row r="1053" ht="15.75" customHeight="1">
      <c r="A1053" s="15"/>
      <c r="B1053" s="15"/>
      <c r="C1053" s="21"/>
      <c r="D1053" s="15"/>
      <c r="E1053" s="15"/>
      <c r="F1053" s="15"/>
      <c r="G1053" s="387"/>
      <c r="H1053" s="15"/>
      <c r="I1053" s="11"/>
      <c r="J1053" s="11"/>
      <c r="K1053" s="11"/>
      <c r="L1053" s="11"/>
      <c r="M1053" s="15"/>
      <c r="N1053" s="15"/>
      <c r="O1053" s="15"/>
      <c r="P1053" s="15"/>
      <c r="Q1053" s="15"/>
      <c r="R1053" s="15"/>
      <c r="S1053" s="15"/>
      <c r="T1053" s="15"/>
      <c r="U1053" s="15"/>
      <c r="V1053" s="15"/>
      <c r="W1053" s="15"/>
      <c r="X1053" s="15"/>
      <c r="Y1053" s="15"/>
      <c r="Z1053" s="15"/>
      <c r="AA1053" s="15"/>
      <c r="AB1053" s="15"/>
      <c r="AC1053" s="15"/>
      <c r="AD1053" s="15"/>
      <c r="AE1053" s="15"/>
      <c r="AF1053" s="15"/>
    </row>
    <row r="1054" ht="15.75" customHeight="1">
      <c r="A1054" s="15"/>
      <c r="B1054" s="15"/>
      <c r="C1054" s="21"/>
      <c r="D1054" s="15"/>
      <c r="E1054" s="15"/>
      <c r="F1054" s="15"/>
      <c r="G1054" s="387"/>
      <c r="H1054" s="15"/>
      <c r="I1054" s="11"/>
      <c r="J1054" s="11"/>
      <c r="K1054" s="11"/>
      <c r="L1054" s="11"/>
      <c r="M1054" s="15"/>
      <c r="N1054" s="15"/>
      <c r="O1054" s="15"/>
      <c r="P1054" s="15"/>
      <c r="Q1054" s="15"/>
      <c r="R1054" s="15"/>
      <c r="S1054" s="15"/>
      <c r="T1054" s="15"/>
      <c r="U1054" s="15"/>
      <c r="V1054" s="15"/>
      <c r="W1054" s="15"/>
      <c r="X1054" s="15"/>
      <c r="Y1054" s="15"/>
      <c r="Z1054" s="15"/>
      <c r="AA1054" s="15"/>
      <c r="AB1054" s="15"/>
      <c r="AC1054" s="15"/>
      <c r="AD1054" s="15"/>
      <c r="AE1054" s="15"/>
      <c r="AF1054" s="15"/>
    </row>
    <row r="1055" ht="15.75" customHeight="1">
      <c r="A1055" s="15"/>
      <c r="B1055" s="15"/>
      <c r="C1055" s="21"/>
      <c r="D1055" s="15"/>
      <c r="E1055" s="15"/>
      <c r="F1055" s="15"/>
      <c r="G1055" s="387"/>
      <c r="H1055" s="15"/>
      <c r="I1055" s="11"/>
      <c r="J1055" s="11"/>
      <c r="K1055" s="11"/>
      <c r="L1055" s="11"/>
      <c r="M1055" s="15"/>
      <c r="N1055" s="15"/>
      <c r="O1055" s="15"/>
      <c r="P1055" s="15"/>
      <c r="Q1055" s="15"/>
      <c r="R1055" s="15"/>
      <c r="S1055" s="15"/>
      <c r="T1055" s="15"/>
      <c r="U1055" s="15"/>
      <c r="V1055" s="15"/>
      <c r="W1055" s="15"/>
      <c r="X1055" s="15"/>
      <c r="Y1055" s="15"/>
      <c r="Z1055" s="15"/>
      <c r="AA1055" s="15"/>
      <c r="AB1055" s="15"/>
      <c r="AC1055" s="15"/>
      <c r="AD1055" s="15"/>
      <c r="AE1055" s="15"/>
      <c r="AF1055" s="15"/>
    </row>
    <row r="1056" ht="15.75" customHeight="1">
      <c r="A1056" s="15"/>
      <c r="B1056" s="15"/>
      <c r="C1056" s="21"/>
      <c r="D1056" s="15"/>
      <c r="E1056" s="15"/>
      <c r="F1056" s="15"/>
      <c r="G1056" s="387"/>
      <c r="H1056" s="15"/>
      <c r="I1056" s="11"/>
      <c r="J1056" s="11"/>
      <c r="K1056" s="11"/>
      <c r="L1056" s="11"/>
      <c r="M1056" s="15"/>
      <c r="N1056" s="15"/>
      <c r="O1056" s="15"/>
      <c r="P1056" s="15"/>
      <c r="Q1056" s="15"/>
      <c r="R1056" s="15"/>
      <c r="S1056" s="15"/>
      <c r="T1056" s="15"/>
      <c r="U1056" s="15"/>
      <c r="V1056" s="15"/>
      <c r="W1056" s="15"/>
      <c r="X1056" s="15"/>
      <c r="Y1056" s="15"/>
      <c r="Z1056" s="15"/>
      <c r="AA1056" s="15"/>
      <c r="AB1056" s="15"/>
      <c r="AC1056" s="15"/>
      <c r="AD1056" s="15"/>
      <c r="AE1056" s="15"/>
      <c r="AF1056" s="15"/>
    </row>
    <row r="1057" ht="15.75" customHeight="1">
      <c r="A1057" s="15"/>
      <c r="B1057" s="15"/>
      <c r="C1057" s="21"/>
      <c r="D1057" s="15"/>
      <c r="E1057" s="15"/>
      <c r="F1057" s="15"/>
      <c r="G1057" s="387"/>
      <c r="H1057" s="15"/>
      <c r="I1057" s="11"/>
      <c r="J1057" s="11"/>
      <c r="K1057" s="11"/>
      <c r="L1057" s="11"/>
      <c r="M1057" s="15"/>
      <c r="N1057" s="15"/>
      <c r="O1057" s="15"/>
      <c r="P1057" s="15"/>
      <c r="Q1057" s="15"/>
      <c r="R1057" s="15"/>
      <c r="S1057" s="15"/>
      <c r="T1057" s="15"/>
      <c r="U1057" s="15"/>
      <c r="V1057" s="15"/>
      <c r="W1057" s="15"/>
      <c r="X1057" s="15"/>
      <c r="Y1057" s="15"/>
      <c r="Z1057" s="15"/>
      <c r="AA1057" s="15"/>
      <c r="AB1057" s="15"/>
      <c r="AC1057" s="15"/>
      <c r="AD1057" s="15"/>
      <c r="AE1057" s="15"/>
      <c r="AF1057" s="15"/>
    </row>
    <row r="1058" ht="15.75" customHeight="1">
      <c r="A1058" s="15"/>
      <c r="B1058" s="15"/>
      <c r="C1058" s="21"/>
      <c r="D1058" s="15"/>
      <c r="E1058" s="15"/>
      <c r="F1058" s="15"/>
      <c r="G1058" s="387"/>
      <c r="H1058" s="15"/>
      <c r="I1058" s="11"/>
      <c r="J1058" s="11"/>
      <c r="K1058" s="11"/>
      <c r="L1058" s="11"/>
      <c r="M1058" s="15"/>
      <c r="N1058" s="15"/>
      <c r="O1058" s="15"/>
      <c r="P1058" s="15"/>
      <c r="Q1058" s="15"/>
      <c r="R1058" s="15"/>
      <c r="S1058" s="15"/>
      <c r="T1058" s="15"/>
      <c r="U1058" s="15"/>
      <c r="V1058" s="15"/>
      <c r="W1058" s="15"/>
      <c r="X1058" s="15"/>
      <c r="Y1058" s="15"/>
      <c r="Z1058" s="15"/>
      <c r="AA1058" s="15"/>
      <c r="AB1058" s="15"/>
      <c r="AC1058" s="15"/>
      <c r="AD1058" s="15"/>
      <c r="AE1058" s="15"/>
      <c r="AF1058" s="15"/>
    </row>
    <row r="1059" ht="15.75" customHeight="1">
      <c r="A1059" s="15"/>
      <c r="B1059" s="15"/>
      <c r="C1059" s="21"/>
      <c r="D1059" s="15"/>
      <c r="E1059" s="15"/>
      <c r="F1059" s="15"/>
      <c r="G1059" s="387"/>
      <c r="H1059" s="15"/>
      <c r="I1059" s="11"/>
      <c r="J1059" s="11"/>
      <c r="K1059" s="11"/>
      <c r="L1059" s="11"/>
      <c r="M1059" s="15"/>
      <c r="N1059" s="15"/>
      <c r="O1059" s="15"/>
      <c r="P1059" s="15"/>
      <c r="Q1059" s="15"/>
      <c r="R1059" s="15"/>
      <c r="S1059" s="15"/>
      <c r="T1059" s="15"/>
      <c r="U1059" s="15"/>
      <c r="V1059" s="15"/>
      <c r="W1059" s="15"/>
      <c r="X1059" s="15"/>
      <c r="Y1059" s="15"/>
      <c r="Z1059" s="15"/>
      <c r="AA1059" s="15"/>
      <c r="AB1059" s="15"/>
      <c r="AC1059" s="15"/>
      <c r="AD1059" s="15"/>
      <c r="AE1059" s="15"/>
      <c r="AF1059" s="15"/>
    </row>
    <row r="1060" ht="15.75" customHeight="1">
      <c r="A1060" s="15"/>
      <c r="B1060" s="15"/>
      <c r="C1060" s="21"/>
      <c r="D1060" s="15"/>
      <c r="E1060" s="15"/>
      <c r="F1060" s="15"/>
      <c r="G1060" s="387"/>
      <c r="H1060" s="15"/>
      <c r="I1060" s="11"/>
      <c r="J1060" s="11"/>
      <c r="K1060" s="11"/>
      <c r="L1060" s="11"/>
      <c r="M1060" s="15"/>
      <c r="N1060" s="15"/>
      <c r="O1060" s="15"/>
      <c r="P1060" s="15"/>
      <c r="Q1060" s="15"/>
      <c r="R1060" s="15"/>
      <c r="S1060" s="15"/>
      <c r="T1060" s="15"/>
      <c r="U1060" s="15"/>
      <c r="V1060" s="15"/>
      <c r="W1060" s="15"/>
      <c r="X1060" s="15"/>
      <c r="Y1060" s="15"/>
      <c r="Z1060" s="15"/>
      <c r="AA1060" s="15"/>
      <c r="AB1060" s="15"/>
      <c r="AC1060" s="15"/>
      <c r="AD1060" s="15"/>
      <c r="AE1060" s="15"/>
      <c r="AF1060" s="15"/>
    </row>
    <row r="1061" ht="15.75" customHeight="1">
      <c r="A1061" s="15"/>
      <c r="B1061" s="15"/>
      <c r="C1061" s="21"/>
      <c r="D1061" s="15"/>
      <c r="E1061" s="15"/>
      <c r="F1061" s="15"/>
      <c r="G1061" s="387"/>
      <c r="H1061" s="15"/>
      <c r="I1061" s="11"/>
      <c r="J1061" s="11"/>
      <c r="K1061" s="11"/>
      <c r="L1061" s="11"/>
      <c r="M1061" s="15"/>
      <c r="N1061" s="15"/>
      <c r="O1061" s="15"/>
      <c r="P1061" s="15"/>
      <c r="Q1061" s="15"/>
      <c r="R1061" s="15"/>
      <c r="S1061" s="15"/>
      <c r="T1061" s="15"/>
      <c r="U1061" s="15"/>
      <c r="V1061" s="15"/>
      <c r="W1061" s="15"/>
      <c r="X1061" s="15"/>
      <c r="Y1061" s="15"/>
      <c r="Z1061" s="15"/>
      <c r="AA1061" s="15"/>
      <c r="AB1061" s="15"/>
      <c r="AC1061" s="15"/>
      <c r="AD1061" s="15"/>
      <c r="AE1061" s="15"/>
      <c r="AF1061" s="15"/>
    </row>
    <row r="1062" ht="15.75" customHeight="1">
      <c r="A1062" s="15"/>
      <c r="B1062" s="15"/>
      <c r="C1062" s="21"/>
      <c r="D1062" s="15"/>
      <c r="E1062" s="15"/>
      <c r="F1062" s="15"/>
      <c r="G1062" s="387"/>
      <c r="H1062" s="15"/>
      <c r="I1062" s="11"/>
      <c r="J1062" s="11"/>
      <c r="K1062" s="11"/>
      <c r="L1062" s="11"/>
      <c r="M1062" s="15"/>
      <c r="N1062" s="15"/>
      <c r="O1062" s="15"/>
      <c r="P1062" s="15"/>
      <c r="Q1062" s="15"/>
      <c r="R1062" s="15"/>
      <c r="S1062" s="15"/>
      <c r="T1062" s="15"/>
      <c r="U1062" s="15"/>
      <c r="V1062" s="15"/>
      <c r="W1062" s="15"/>
      <c r="X1062" s="15"/>
      <c r="Y1062" s="15"/>
      <c r="Z1062" s="15"/>
      <c r="AA1062" s="15"/>
      <c r="AB1062" s="15"/>
      <c r="AC1062" s="15"/>
      <c r="AD1062" s="15"/>
      <c r="AE1062" s="15"/>
      <c r="AF1062" s="15"/>
    </row>
    <row r="1063" ht="15.75" customHeight="1">
      <c r="A1063" s="15"/>
      <c r="B1063" s="15"/>
      <c r="C1063" s="21"/>
      <c r="D1063" s="15"/>
      <c r="E1063" s="15"/>
      <c r="F1063" s="15"/>
      <c r="G1063" s="387"/>
      <c r="H1063" s="15"/>
      <c r="I1063" s="11"/>
      <c r="J1063" s="11"/>
      <c r="K1063" s="11"/>
      <c r="L1063" s="11"/>
      <c r="M1063" s="15"/>
      <c r="N1063" s="15"/>
      <c r="O1063" s="15"/>
      <c r="P1063" s="15"/>
      <c r="Q1063" s="15"/>
      <c r="R1063" s="15"/>
      <c r="S1063" s="15"/>
      <c r="T1063" s="15"/>
      <c r="U1063" s="15"/>
      <c r="V1063" s="15"/>
      <c r="W1063" s="15"/>
      <c r="X1063" s="15"/>
      <c r="Y1063" s="15"/>
      <c r="Z1063" s="15"/>
      <c r="AA1063" s="15"/>
      <c r="AB1063" s="15"/>
      <c r="AC1063" s="15"/>
      <c r="AD1063" s="15"/>
      <c r="AE1063" s="15"/>
      <c r="AF1063" s="15"/>
    </row>
    <row r="1064" ht="15.75" customHeight="1">
      <c r="A1064" s="15"/>
      <c r="B1064" s="15"/>
      <c r="C1064" s="21"/>
      <c r="D1064" s="15"/>
      <c r="E1064" s="15"/>
      <c r="F1064" s="15"/>
      <c r="G1064" s="387"/>
      <c r="H1064" s="15"/>
      <c r="I1064" s="11"/>
      <c r="J1064" s="11"/>
      <c r="K1064" s="11"/>
      <c r="L1064" s="11"/>
      <c r="M1064" s="15"/>
      <c r="N1064" s="15"/>
      <c r="O1064" s="15"/>
      <c r="P1064" s="15"/>
      <c r="Q1064" s="15"/>
      <c r="R1064" s="15"/>
      <c r="S1064" s="15"/>
      <c r="T1064" s="15"/>
      <c r="U1064" s="15"/>
      <c r="V1064" s="15"/>
      <c r="W1064" s="15"/>
      <c r="X1064" s="15"/>
      <c r="Y1064" s="15"/>
      <c r="Z1064" s="15"/>
      <c r="AA1064" s="15"/>
      <c r="AB1064" s="15"/>
      <c r="AC1064" s="15"/>
      <c r="AD1064" s="15"/>
      <c r="AE1064" s="15"/>
      <c r="AF1064" s="15"/>
    </row>
    <row r="1065" ht="15.75" customHeight="1">
      <c r="A1065" s="15"/>
      <c r="B1065" s="15"/>
      <c r="C1065" s="21"/>
      <c r="D1065" s="15"/>
      <c r="E1065" s="15"/>
      <c r="F1065" s="15"/>
      <c r="G1065" s="387"/>
      <c r="H1065" s="15"/>
      <c r="I1065" s="11"/>
      <c r="J1065" s="11"/>
      <c r="K1065" s="11"/>
      <c r="L1065" s="11"/>
      <c r="M1065" s="15"/>
      <c r="N1065" s="15"/>
      <c r="O1065" s="15"/>
      <c r="P1065" s="15"/>
      <c r="Q1065" s="15"/>
      <c r="R1065" s="15"/>
      <c r="S1065" s="15"/>
      <c r="T1065" s="15"/>
      <c r="U1065" s="15"/>
      <c r="V1065" s="15"/>
      <c r="W1065" s="15"/>
      <c r="X1065" s="15"/>
      <c r="Y1065" s="15"/>
      <c r="Z1065" s="15"/>
      <c r="AA1065" s="15"/>
      <c r="AB1065" s="15"/>
      <c r="AC1065" s="15"/>
      <c r="AD1065" s="15"/>
      <c r="AE1065" s="15"/>
      <c r="AF1065" s="15"/>
    </row>
    <row r="1066" ht="15.75" customHeight="1">
      <c r="A1066" s="15"/>
      <c r="B1066" s="15"/>
      <c r="C1066" s="21"/>
      <c r="D1066" s="15"/>
      <c r="E1066" s="15"/>
      <c r="F1066" s="15"/>
      <c r="G1066" s="387"/>
      <c r="H1066" s="15"/>
      <c r="I1066" s="11"/>
      <c r="J1066" s="11"/>
      <c r="K1066" s="11"/>
      <c r="L1066" s="11"/>
      <c r="M1066" s="15"/>
      <c r="N1066" s="15"/>
      <c r="O1066" s="15"/>
      <c r="P1066" s="15"/>
      <c r="Q1066" s="15"/>
      <c r="R1066" s="15"/>
      <c r="S1066" s="15"/>
      <c r="T1066" s="15"/>
      <c r="U1066" s="15"/>
      <c r="V1066" s="15"/>
      <c r="W1066" s="15"/>
      <c r="X1066" s="15"/>
      <c r="Y1066" s="15"/>
      <c r="Z1066" s="15"/>
      <c r="AA1066" s="15"/>
      <c r="AB1066" s="15"/>
      <c r="AC1066" s="15"/>
      <c r="AD1066" s="15"/>
      <c r="AE1066" s="15"/>
      <c r="AF1066" s="15"/>
    </row>
    <row r="1067" ht="15.75" customHeight="1">
      <c r="A1067" s="15"/>
      <c r="B1067" s="15"/>
      <c r="C1067" s="21"/>
      <c r="D1067" s="15"/>
      <c r="E1067" s="15"/>
      <c r="F1067" s="15"/>
      <c r="G1067" s="387"/>
      <c r="H1067" s="15"/>
      <c r="I1067" s="11"/>
      <c r="J1067" s="11"/>
      <c r="K1067" s="11"/>
      <c r="L1067" s="11"/>
      <c r="M1067" s="15"/>
      <c r="N1067" s="15"/>
      <c r="O1067" s="15"/>
      <c r="P1067" s="15"/>
      <c r="Q1067" s="15"/>
      <c r="R1067" s="15"/>
      <c r="S1067" s="15"/>
      <c r="T1067" s="15"/>
      <c r="U1067" s="15"/>
      <c r="V1067" s="15"/>
      <c r="W1067" s="15"/>
      <c r="X1067" s="15"/>
      <c r="Y1067" s="15"/>
      <c r="Z1067" s="15"/>
      <c r="AA1067" s="15"/>
      <c r="AB1067" s="15"/>
      <c r="AC1067" s="15"/>
      <c r="AD1067" s="15"/>
      <c r="AE1067" s="15"/>
      <c r="AF1067" s="15"/>
    </row>
    <row r="1068" ht="15.75" customHeight="1">
      <c r="A1068" s="15"/>
      <c r="B1068" s="15"/>
      <c r="C1068" s="21"/>
      <c r="D1068" s="15"/>
      <c r="E1068" s="15"/>
      <c r="F1068" s="15"/>
      <c r="G1068" s="387"/>
      <c r="H1068" s="15"/>
      <c r="I1068" s="11"/>
      <c r="J1068" s="11"/>
      <c r="K1068" s="11"/>
      <c r="L1068" s="11"/>
      <c r="M1068" s="15"/>
      <c r="N1068" s="15"/>
      <c r="O1068" s="15"/>
      <c r="P1068" s="15"/>
      <c r="Q1068" s="15"/>
      <c r="R1068" s="15"/>
      <c r="S1068" s="15"/>
      <c r="T1068" s="15"/>
      <c r="U1068" s="15"/>
      <c r="V1068" s="15"/>
      <c r="W1068" s="15"/>
      <c r="X1068" s="15"/>
      <c r="Y1068" s="15"/>
      <c r="Z1068" s="15"/>
      <c r="AA1068" s="15"/>
      <c r="AB1068" s="15"/>
      <c r="AC1068" s="15"/>
      <c r="AD1068" s="15"/>
      <c r="AE1068" s="15"/>
      <c r="AF1068" s="15"/>
    </row>
    <row r="1069" ht="15.75" customHeight="1">
      <c r="A1069" s="15"/>
      <c r="B1069" s="15"/>
      <c r="C1069" s="21"/>
      <c r="D1069" s="15"/>
      <c r="E1069" s="15"/>
      <c r="F1069" s="15"/>
      <c r="G1069" s="387"/>
      <c r="H1069" s="15"/>
      <c r="I1069" s="11"/>
      <c r="J1069" s="11"/>
      <c r="K1069" s="11"/>
      <c r="L1069" s="11"/>
      <c r="M1069" s="15"/>
      <c r="N1069" s="15"/>
      <c r="O1069" s="15"/>
      <c r="P1069" s="15"/>
      <c r="Q1069" s="15"/>
      <c r="R1069" s="15"/>
      <c r="S1069" s="15"/>
      <c r="T1069" s="15"/>
      <c r="U1069" s="15"/>
      <c r="V1069" s="15"/>
      <c r="W1069" s="15"/>
      <c r="X1069" s="15"/>
      <c r="Y1069" s="15"/>
      <c r="Z1069" s="15"/>
      <c r="AA1069" s="15"/>
      <c r="AB1069" s="15"/>
      <c r="AC1069" s="15"/>
      <c r="AD1069" s="15"/>
      <c r="AE1069" s="15"/>
      <c r="AF1069" s="15"/>
    </row>
    <row r="1070" ht="15.75" customHeight="1">
      <c r="A1070" s="15"/>
      <c r="B1070" s="15"/>
      <c r="C1070" s="21"/>
      <c r="D1070" s="15"/>
      <c r="E1070" s="15"/>
      <c r="F1070" s="15"/>
      <c r="G1070" s="387"/>
      <c r="H1070" s="15"/>
      <c r="I1070" s="11"/>
      <c r="J1070" s="11"/>
      <c r="K1070" s="11"/>
      <c r="L1070" s="11"/>
      <c r="M1070" s="15"/>
      <c r="N1070" s="15"/>
      <c r="O1070" s="15"/>
      <c r="P1070" s="15"/>
      <c r="Q1070" s="15"/>
      <c r="R1070" s="15"/>
      <c r="S1070" s="15"/>
      <c r="T1070" s="15"/>
      <c r="U1070" s="15"/>
      <c r="V1070" s="15"/>
      <c r="W1070" s="15"/>
      <c r="X1070" s="15"/>
      <c r="Y1070" s="15"/>
      <c r="Z1070" s="15"/>
      <c r="AA1070" s="15"/>
      <c r="AB1070" s="15"/>
      <c r="AC1070" s="15"/>
      <c r="AD1070" s="15"/>
      <c r="AE1070" s="15"/>
      <c r="AF1070" s="15"/>
    </row>
    <row r="1071" ht="15.75" customHeight="1">
      <c r="A1071" s="15"/>
      <c r="B1071" s="15"/>
      <c r="C1071" s="21"/>
      <c r="D1071" s="15"/>
      <c r="E1071" s="15"/>
      <c r="F1071" s="15"/>
      <c r="G1071" s="387"/>
      <c r="H1071" s="15"/>
      <c r="I1071" s="11"/>
      <c r="J1071" s="11"/>
      <c r="K1071" s="11"/>
      <c r="L1071" s="11"/>
      <c r="M1071" s="15"/>
      <c r="N1071" s="15"/>
      <c r="O1071" s="15"/>
      <c r="P1071" s="15"/>
      <c r="Q1071" s="15"/>
      <c r="R1071" s="15"/>
      <c r="S1071" s="15"/>
      <c r="T1071" s="15"/>
      <c r="U1071" s="15"/>
      <c r="V1071" s="15"/>
      <c r="W1071" s="15"/>
      <c r="X1071" s="15"/>
      <c r="Y1071" s="15"/>
      <c r="Z1071" s="15"/>
      <c r="AA1071" s="15"/>
      <c r="AB1071" s="15"/>
      <c r="AC1071" s="15"/>
      <c r="AD1071" s="15"/>
      <c r="AE1071" s="15"/>
      <c r="AF1071" s="15"/>
    </row>
    <row r="1072" ht="15.75" customHeight="1">
      <c r="A1072" s="15"/>
      <c r="B1072" s="15"/>
      <c r="C1072" s="21"/>
      <c r="D1072" s="15"/>
      <c r="E1072" s="15"/>
      <c r="F1072" s="15"/>
      <c r="G1072" s="387"/>
      <c r="H1072" s="15"/>
      <c r="I1072" s="11"/>
      <c r="J1072" s="11"/>
      <c r="K1072" s="11"/>
      <c r="L1072" s="11"/>
      <c r="M1072" s="15"/>
      <c r="N1072" s="15"/>
      <c r="O1072" s="15"/>
      <c r="P1072" s="15"/>
      <c r="Q1072" s="15"/>
      <c r="R1072" s="15"/>
      <c r="S1072" s="15"/>
      <c r="T1072" s="15"/>
      <c r="U1072" s="15"/>
      <c r="V1072" s="15"/>
      <c r="W1072" s="15"/>
      <c r="X1072" s="15"/>
      <c r="Y1072" s="15"/>
      <c r="Z1072" s="15"/>
      <c r="AA1072" s="15"/>
      <c r="AB1072" s="15"/>
      <c r="AC1072" s="15"/>
      <c r="AD1072" s="15"/>
      <c r="AE1072" s="15"/>
      <c r="AF1072" s="15"/>
    </row>
    <row r="1073" ht="15.75" customHeight="1">
      <c r="A1073" s="15"/>
      <c r="B1073" s="15"/>
      <c r="C1073" s="21"/>
      <c r="D1073" s="15"/>
      <c r="E1073" s="15"/>
      <c r="F1073" s="15"/>
      <c r="G1073" s="387"/>
      <c r="H1073" s="15"/>
      <c r="I1073" s="11"/>
      <c r="J1073" s="11"/>
      <c r="K1073" s="11"/>
      <c r="L1073" s="11"/>
      <c r="M1073" s="15"/>
      <c r="N1073" s="15"/>
      <c r="O1073" s="15"/>
      <c r="P1073" s="15"/>
      <c r="Q1073" s="15"/>
      <c r="R1073" s="15"/>
      <c r="S1073" s="15"/>
      <c r="T1073" s="15"/>
      <c r="U1073" s="15"/>
      <c r="V1073" s="15"/>
      <c r="W1073" s="15"/>
      <c r="X1073" s="15"/>
      <c r="Y1073" s="15"/>
      <c r="Z1073" s="15"/>
      <c r="AA1073" s="15"/>
      <c r="AB1073" s="15"/>
      <c r="AC1073" s="15"/>
      <c r="AD1073" s="15"/>
      <c r="AE1073" s="15"/>
      <c r="AF1073" s="15"/>
    </row>
    <row r="1074" ht="15.75" customHeight="1">
      <c r="A1074" s="15"/>
      <c r="B1074" s="15"/>
      <c r="C1074" s="21"/>
      <c r="D1074" s="15"/>
      <c r="E1074" s="15"/>
      <c r="F1074" s="15"/>
      <c r="G1074" s="387"/>
      <c r="H1074" s="15"/>
      <c r="I1074" s="11"/>
      <c r="J1074" s="11"/>
      <c r="K1074" s="11"/>
      <c r="L1074" s="11"/>
      <c r="M1074" s="15"/>
      <c r="N1074" s="15"/>
      <c r="O1074" s="15"/>
      <c r="P1074" s="15"/>
      <c r="Q1074" s="15"/>
      <c r="R1074" s="15"/>
      <c r="S1074" s="15"/>
      <c r="T1074" s="15"/>
      <c r="U1074" s="15"/>
      <c r="V1074" s="15"/>
      <c r="W1074" s="15"/>
      <c r="X1074" s="15"/>
      <c r="Y1074" s="15"/>
      <c r="Z1074" s="15"/>
      <c r="AA1074" s="15"/>
      <c r="AB1074" s="15"/>
      <c r="AC1074" s="15"/>
      <c r="AD1074" s="15"/>
      <c r="AE1074" s="15"/>
      <c r="AF1074" s="15"/>
    </row>
    <row r="1075" ht="15.75" customHeight="1">
      <c r="A1075" s="15"/>
      <c r="B1075" s="15"/>
      <c r="C1075" s="21"/>
      <c r="D1075" s="15"/>
      <c r="E1075" s="15"/>
      <c r="F1075" s="15"/>
      <c r="G1075" s="387"/>
      <c r="H1075" s="15"/>
      <c r="I1075" s="11"/>
      <c r="J1075" s="11"/>
      <c r="K1075" s="11"/>
      <c r="L1075" s="11"/>
      <c r="M1075" s="15"/>
      <c r="N1075" s="15"/>
      <c r="O1075" s="15"/>
      <c r="P1075" s="15"/>
      <c r="Q1075" s="15"/>
      <c r="R1075" s="15"/>
      <c r="S1075" s="15"/>
      <c r="T1075" s="15"/>
      <c r="U1075" s="15"/>
      <c r="V1075" s="15"/>
      <c r="W1075" s="15"/>
      <c r="X1075" s="15"/>
      <c r="Y1075" s="15"/>
      <c r="Z1075" s="15"/>
      <c r="AA1075" s="15"/>
      <c r="AB1075" s="15"/>
      <c r="AC1075" s="15"/>
      <c r="AD1075" s="15"/>
      <c r="AE1075" s="15"/>
      <c r="AF1075" s="15"/>
    </row>
    <row r="1076" ht="15.75" customHeight="1">
      <c r="A1076" s="15"/>
      <c r="B1076" s="15"/>
      <c r="C1076" s="21"/>
      <c r="D1076" s="15"/>
      <c r="E1076" s="15"/>
      <c r="F1076" s="15"/>
      <c r="G1076" s="387"/>
      <c r="H1076" s="15"/>
      <c r="I1076" s="11"/>
      <c r="J1076" s="11"/>
      <c r="K1076" s="11"/>
      <c r="L1076" s="11"/>
      <c r="M1076" s="15"/>
      <c r="N1076" s="15"/>
      <c r="O1076" s="15"/>
      <c r="P1076" s="15"/>
      <c r="Q1076" s="15"/>
      <c r="R1076" s="15"/>
      <c r="S1076" s="15"/>
      <c r="T1076" s="15"/>
      <c r="U1076" s="15"/>
      <c r="V1076" s="15"/>
      <c r="W1076" s="15"/>
      <c r="X1076" s="15"/>
      <c r="Y1076" s="15"/>
      <c r="Z1076" s="15"/>
      <c r="AA1076" s="15"/>
      <c r="AB1076" s="15"/>
      <c r="AC1076" s="15"/>
      <c r="AD1076" s="15"/>
      <c r="AE1076" s="15"/>
      <c r="AF1076" s="15"/>
    </row>
    <row r="1077" ht="15.75" customHeight="1">
      <c r="A1077" s="15"/>
      <c r="B1077" s="15"/>
      <c r="C1077" s="21"/>
      <c r="D1077" s="15"/>
      <c r="E1077" s="15"/>
      <c r="F1077" s="15"/>
      <c r="G1077" s="387"/>
      <c r="H1077" s="15"/>
      <c r="I1077" s="11"/>
      <c r="J1077" s="11"/>
      <c r="K1077" s="11"/>
      <c r="L1077" s="11"/>
      <c r="M1077" s="15"/>
      <c r="N1077" s="15"/>
      <c r="O1077" s="15"/>
      <c r="P1077" s="15"/>
      <c r="Q1077" s="15"/>
      <c r="R1077" s="15"/>
      <c r="S1077" s="15"/>
      <c r="T1077" s="15"/>
      <c r="U1077" s="15"/>
      <c r="V1077" s="15"/>
      <c r="W1077" s="15"/>
      <c r="X1077" s="15"/>
      <c r="Y1077" s="15"/>
      <c r="Z1077" s="15"/>
      <c r="AA1077" s="15"/>
      <c r="AB1077" s="15"/>
      <c r="AC1077" s="15"/>
      <c r="AD1077" s="15"/>
      <c r="AE1077" s="15"/>
      <c r="AF1077" s="15"/>
    </row>
    <row r="1078" ht="15.75" customHeight="1">
      <c r="A1078" s="15"/>
      <c r="B1078" s="15"/>
      <c r="C1078" s="21"/>
      <c r="D1078" s="15"/>
      <c r="E1078" s="15"/>
      <c r="F1078" s="15"/>
      <c r="G1078" s="387"/>
      <c r="H1078" s="15"/>
      <c r="I1078" s="11"/>
      <c r="J1078" s="11"/>
      <c r="K1078" s="11"/>
      <c r="L1078" s="11"/>
      <c r="M1078" s="15"/>
      <c r="N1078" s="15"/>
      <c r="O1078" s="15"/>
      <c r="P1078" s="15"/>
      <c r="Q1078" s="15"/>
      <c r="R1078" s="15"/>
      <c r="S1078" s="15"/>
      <c r="T1078" s="15"/>
      <c r="U1078" s="15"/>
      <c r="V1078" s="15"/>
      <c r="W1078" s="15"/>
      <c r="X1078" s="15"/>
      <c r="Y1078" s="15"/>
      <c r="Z1078" s="15"/>
      <c r="AA1078" s="15"/>
      <c r="AB1078" s="15"/>
      <c r="AC1078" s="15"/>
      <c r="AD1078" s="15"/>
      <c r="AE1078" s="15"/>
      <c r="AF1078" s="15"/>
    </row>
    <row r="1079" ht="15.75" customHeight="1">
      <c r="A1079" s="15"/>
      <c r="B1079" s="15"/>
      <c r="C1079" s="21"/>
      <c r="D1079" s="15"/>
      <c r="E1079" s="15"/>
      <c r="F1079" s="15"/>
      <c r="G1079" s="387"/>
      <c r="H1079" s="15"/>
      <c r="I1079" s="11"/>
      <c r="J1079" s="11"/>
      <c r="K1079" s="11"/>
      <c r="L1079" s="11"/>
      <c r="M1079" s="15"/>
      <c r="N1079" s="15"/>
      <c r="O1079" s="15"/>
      <c r="P1079" s="15"/>
      <c r="Q1079" s="15"/>
      <c r="R1079" s="15"/>
      <c r="S1079" s="15"/>
      <c r="T1079" s="15"/>
      <c r="U1079" s="15"/>
      <c r="V1079" s="15"/>
      <c r="W1079" s="15"/>
      <c r="X1079" s="15"/>
      <c r="Y1079" s="15"/>
      <c r="Z1079" s="15"/>
      <c r="AA1079" s="15"/>
      <c r="AB1079" s="15"/>
      <c r="AC1079" s="15"/>
      <c r="AD1079" s="15"/>
      <c r="AE1079" s="15"/>
      <c r="AF1079" s="15"/>
    </row>
    <row r="1080" ht="15.75" customHeight="1">
      <c r="A1080" s="15"/>
      <c r="B1080" s="15"/>
      <c r="C1080" s="21"/>
      <c r="D1080" s="15"/>
      <c r="E1080" s="15"/>
      <c r="F1080" s="15"/>
      <c r="G1080" s="387"/>
      <c r="H1080" s="15"/>
      <c r="I1080" s="11"/>
      <c r="J1080" s="11"/>
      <c r="K1080" s="11"/>
      <c r="L1080" s="11"/>
      <c r="M1080" s="15"/>
      <c r="N1080" s="15"/>
      <c r="O1080" s="15"/>
      <c r="P1080" s="15"/>
      <c r="Q1080" s="15"/>
      <c r="R1080" s="15"/>
      <c r="S1080" s="15"/>
      <c r="T1080" s="15"/>
      <c r="U1080" s="15"/>
      <c r="V1080" s="15"/>
      <c r="W1080" s="15"/>
      <c r="X1080" s="15"/>
      <c r="Y1080" s="15"/>
      <c r="Z1080" s="15"/>
      <c r="AA1080" s="15"/>
      <c r="AB1080" s="15"/>
      <c r="AC1080" s="15"/>
      <c r="AD1080" s="15"/>
      <c r="AE1080" s="15"/>
      <c r="AF1080" s="15"/>
    </row>
    <row r="1081" ht="15.75" customHeight="1">
      <c r="A1081" s="15"/>
      <c r="B1081" s="15"/>
      <c r="C1081" s="21"/>
      <c r="D1081" s="15"/>
      <c r="E1081" s="15"/>
      <c r="F1081" s="15"/>
      <c r="G1081" s="387"/>
      <c r="H1081" s="15"/>
      <c r="I1081" s="11"/>
      <c r="J1081" s="11"/>
      <c r="K1081" s="11"/>
      <c r="L1081" s="11"/>
      <c r="M1081" s="15"/>
      <c r="N1081" s="15"/>
      <c r="O1081" s="15"/>
      <c r="P1081" s="15"/>
      <c r="Q1081" s="15"/>
      <c r="R1081" s="15"/>
      <c r="S1081" s="15"/>
      <c r="T1081" s="15"/>
      <c r="U1081" s="15"/>
      <c r="V1081" s="15"/>
      <c r="W1081" s="15"/>
      <c r="X1081" s="15"/>
      <c r="Y1081" s="15"/>
      <c r="Z1081" s="15"/>
      <c r="AA1081" s="15"/>
      <c r="AB1081" s="15"/>
      <c r="AC1081" s="15"/>
      <c r="AD1081" s="15"/>
      <c r="AE1081" s="15"/>
      <c r="AF1081" s="15"/>
    </row>
    <row r="1082" ht="15.75" customHeight="1">
      <c r="A1082" s="15"/>
      <c r="B1082" s="15"/>
      <c r="C1082" s="21"/>
      <c r="D1082" s="15"/>
      <c r="E1082" s="15"/>
      <c r="F1082" s="15"/>
      <c r="G1082" s="387"/>
      <c r="H1082" s="15"/>
      <c r="I1082" s="11"/>
      <c r="J1082" s="11"/>
      <c r="K1082" s="11"/>
      <c r="L1082" s="11"/>
      <c r="M1082" s="15"/>
      <c r="N1082" s="15"/>
      <c r="O1082" s="15"/>
      <c r="P1082" s="15"/>
      <c r="Q1082" s="15"/>
      <c r="R1082" s="15"/>
      <c r="S1082" s="15"/>
      <c r="T1082" s="15"/>
      <c r="U1082" s="15"/>
      <c r="V1082" s="15"/>
      <c r="W1082" s="15"/>
      <c r="X1082" s="15"/>
      <c r="Y1082" s="15"/>
      <c r="Z1082" s="15"/>
      <c r="AA1082" s="15"/>
      <c r="AB1082" s="15"/>
      <c r="AC1082" s="15"/>
      <c r="AD1082" s="15"/>
      <c r="AE1082" s="15"/>
      <c r="AF1082" s="15"/>
    </row>
    <row r="1083" ht="15.75" customHeight="1">
      <c r="A1083" s="15"/>
      <c r="B1083" s="15"/>
      <c r="C1083" s="21"/>
      <c r="D1083" s="15"/>
      <c r="E1083" s="15"/>
      <c r="F1083" s="15"/>
      <c r="G1083" s="387"/>
      <c r="H1083" s="15"/>
      <c r="I1083" s="11"/>
      <c r="J1083" s="11"/>
      <c r="K1083" s="11"/>
      <c r="L1083" s="11"/>
      <c r="M1083" s="15"/>
      <c r="N1083" s="15"/>
      <c r="O1083" s="15"/>
      <c r="P1083" s="15"/>
      <c r="Q1083" s="15"/>
      <c r="R1083" s="15"/>
      <c r="S1083" s="15"/>
      <c r="T1083" s="15"/>
      <c r="U1083" s="15"/>
      <c r="V1083" s="15"/>
      <c r="W1083" s="15"/>
      <c r="X1083" s="15"/>
      <c r="Y1083" s="15"/>
      <c r="Z1083" s="15"/>
      <c r="AA1083" s="15"/>
      <c r="AB1083" s="15"/>
      <c r="AC1083" s="15"/>
      <c r="AD1083" s="15"/>
      <c r="AE1083" s="15"/>
      <c r="AF1083" s="15"/>
    </row>
    <row r="1084" ht="15.75" customHeight="1">
      <c r="A1084" s="15"/>
      <c r="B1084" s="15"/>
      <c r="C1084" s="21"/>
      <c r="D1084" s="15"/>
      <c r="E1084" s="15"/>
      <c r="F1084" s="15"/>
      <c r="G1084" s="387"/>
      <c r="H1084" s="15"/>
      <c r="I1084" s="11"/>
      <c r="J1084" s="11"/>
      <c r="K1084" s="11"/>
      <c r="L1084" s="11"/>
      <c r="M1084" s="15"/>
      <c r="N1084" s="15"/>
      <c r="O1084" s="15"/>
      <c r="P1084" s="15"/>
      <c r="Q1084" s="15"/>
      <c r="R1084" s="15"/>
      <c r="S1084" s="15"/>
      <c r="T1084" s="15"/>
      <c r="U1084" s="15"/>
      <c r="V1084" s="15"/>
      <c r="W1084" s="15"/>
      <c r="X1084" s="15"/>
      <c r="Y1084" s="15"/>
      <c r="Z1084" s="15"/>
      <c r="AA1084" s="15"/>
      <c r="AB1084" s="15"/>
      <c r="AC1084" s="15"/>
      <c r="AD1084" s="15"/>
      <c r="AE1084" s="15"/>
      <c r="AF1084" s="15"/>
    </row>
    <row r="1085" ht="15.75" customHeight="1">
      <c r="A1085" s="15"/>
      <c r="B1085" s="15"/>
      <c r="C1085" s="21"/>
      <c r="D1085" s="15"/>
      <c r="E1085" s="15"/>
      <c r="F1085" s="15"/>
      <c r="G1085" s="387"/>
      <c r="H1085" s="15"/>
      <c r="I1085" s="11"/>
      <c r="J1085" s="11"/>
      <c r="K1085" s="11"/>
      <c r="L1085" s="11"/>
      <c r="M1085" s="15"/>
      <c r="N1085" s="15"/>
      <c r="O1085" s="15"/>
      <c r="P1085" s="15"/>
      <c r="Q1085" s="15"/>
      <c r="R1085" s="15"/>
      <c r="S1085" s="15"/>
      <c r="T1085" s="15"/>
      <c r="U1085" s="15"/>
      <c r="V1085" s="15"/>
      <c r="W1085" s="15"/>
      <c r="X1085" s="15"/>
      <c r="Y1085" s="15"/>
      <c r="Z1085" s="15"/>
      <c r="AA1085" s="15"/>
      <c r="AB1085" s="15"/>
      <c r="AC1085" s="15"/>
      <c r="AD1085" s="15"/>
      <c r="AE1085" s="15"/>
      <c r="AF1085" s="15"/>
    </row>
    <row r="1086" ht="15.75" customHeight="1">
      <c r="A1086" s="15"/>
      <c r="B1086" s="15"/>
      <c r="C1086" s="21"/>
      <c r="D1086" s="15"/>
      <c r="E1086" s="15"/>
      <c r="F1086" s="15"/>
      <c r="G1086" s="387"/>
      <c r="H1086" s="15"/>
      <c r="I1086" s="11"/>
      <c r="J1086" s="11"/>
      <c r="K1086" s="11"/>
      <c r="L1086" s="11"/>
      <c r="M1086" s="15"/>
      <c r="N1086" s="15"/>
      <c r="O1086" s="15"/>
      <c r="P1086" s="15"/>
      <c r="Q1086" s="15"/>
      <c r="R1086" s="15"/>
      <c r="S1086" s="15"/>
      <c r="T1086" s="15"/>
      <c r="U1086" s="15"/>
      <c r="V1086" s="15"/>
      <c r="W1086" s="15"/>
      <c r="X1086" s="15"/>
      <c r="Y1086" s="15"/>
      <c r="Z1086" s="15"/>
      <c r="AA1086" s="15"/>
      <c r="AB1086" s="15"/>
      <c r="AC1086" s="15"/>
      <c r="AD1086" s="15"/>
      <c r="AE1086" s="15"/>
      <c r="AF1086" s="15"/>
    </row>
    <row r="1087" ht="15.75" customHeight="1">
      <c r="A1087" s="15"/>
      <c r="B1087" s="15"/>
      <c r="C1087" s="21"/>
      <c r="D1087" s="15"/>
      <c r="E1087" s="15"/>
      <c r="F1087" s="15"/>
      <c r="G1087" s="387"/>
      <c r="H1087" s="15"/>
      <c r="I1087" s="11"/>
      <c r="J1087" s="11"/>
      <c r="K1087" s="11"/>
      <c r="L1087" s="11"/>
      <c r="M1087" s="15"/>
      <c r="N1087" s="15"/>
      <c r="O1087" s="15"/>
      <c r="P1087" s="15"/>
      <c r="Q1087" s="15"/>
      <c r="R1087" s="15"/>
      <c r="S1087" s="15"/>
      <c r="T1087" s="15"/>
      <c r="U1087" s="15"/>
      <c r="V1087" s="15"/>
      <c r="W1087" s="15"/>
      <c r="X1087" s="15"/>
      <c r="Y1087" s="15"/>
      <c r="Z1087" s="15"/>
      <c r="AA1087" s="15"/>
      <c r="AB1087" s="15"/>
      <c r="AC1087" s="15"/>
      <c r="AD1087" s="15"/>
      <c r="AE1087" s="15"/>
      <c r="AF1087" s="15"/>
    </row>
    <row r="1088" ht="15.75" customHeight="1">
      <c r="A1088" s="15"/>
      <c r="B1088" s="15"/>
      <c r="C1088" s="21"/>
      <c r="D1088" s="15"/>
      <c r="E1088" s="15"/>
      <c r="F1088" s="15"/>
      <c r="G1088" s="387"/>
      <c r="H1088" s="15"/>
      <c r="I1088" s="11"/>
      <c r="J1088" s="11"/>
      <c r="K1088" s="11"/>
      <c r="L1088" s="11"/>
      <c r="M1088" s="15"/>
      <c r="N1088" s="15"/>
      <c r="O1088" s="15"/>
      <c r="P1088" s="15"/>
      <c r="Q1088" s="15"/>
      <c r="R1088" s="15"/>
      <c r="S1088" s="15"/>
      <c r="T1088" s="15"/>
      <c r="U1088" s="15"/>
      <c r="V1088" s="15"/>
      <c r="W1088" s="15"/>
      <c r="X1088" s="15"/>
      <c r="Y1088" s="15"/>
      <c r="Z1088" s="15"/>
      <c r="AA1088" s="15"/>
      <c r="AB1088" s="15"/>
      <c r="AC1088" s="15"/>
      <c r="AD1088" s="15"/>
      <c r="AE1088" s="15"/>
      <c r="AF1088" s="15"/>
    </row>
    <row r="1089" ht="15.75" customHeight="1">
      <c r="A1089" s="15"/>
      <c r="B1089" s="15"/>
      <c r="C1089" s="21"/>
      <c r="D1089" s="15"/>
      <c r="E1089" s="15"/>
      <c r="F1089" s="15"/>
      <c r="G1089" s="387"/>
      <c r="H1089" s="15"/>
      <c r="I1089" s="11"/>
      <c r="J1089" s="11"/>
      <c r="K1089" s="11"/>
      <c r="L1089" s="11"/>
      <c r="M1089" s="15"/>
      <c r="N1089" s="15"/>
      <c r="O1089" s="15"/>
      <c r="P1089" s="15"/>
      <c r="Q1089" s="15"/>
      <c r="R1089" s="15"/>
      <c r="S1089" s="15"/>
      <c r="T1089" s="15"/>
      <c r="U1089" s="15"/>
      <c r="V1089" s="15"/>
      <c r="W1089" s="15"/>
      <c r="X1089" s="15"/>
      <c r="Y1089" s="15"/>
      <c r="Z1089" s="15"/>
      <c r="AA1089" s="15"/>
      <c r="AB1089" s="15"/>
      <c r="AC1089" s="15"/>
      <c r="AD1089" s="15"/>
      <c r="AE1089" s="15"/>
      <c r="AF1089" s="15"/>
    </row>
    <row r="1090" ht="15.75" customHeight="1">
      <c r="A1090" s="15"/>
      <c r="B1090" s="15"/>
      <c r="C1090" s="21"/>
      <c r="D1090" s="15"/>
      <c r="E1090" s="15"/>
      <c r="F1090" s="15"/>
      <c r="G1090" s="387"/>
      <c r="H1090" s="15"/>
      <c r="I1090" s="11"/>
      <c r="J1090" s="11"/>
      <c r="K1090" s="11"/>
      <c r="L1090" s="11"/>
      <c r="M1090" s="15"/>
      <c r="N1090" s="15"/>
      <c r="O1090" s="15"/>
      <c r="P1090" s="15"/>
      <c r="Q1090" s="15"/>
      <c r="R1090" s="15"/>
      <c r="S1090" s="15"/>
      <c r="T1090" s="15"/>
      <c r="U1090" s="15"/>
      <c r="V1090" s="15"/>
      <c r="W1090" s="15"/>
      <c r="X1090" s="15"/>
      <c r="Y1090" s="15"/>
      <c r="Z1090" s="15"/>
      <c r="AA1090" s="15"/>
      <c r="AB1090" s="15"/>
      <c r="AC1090" s="15"/>
      <c r="AD1090" s="15"/>
      <c r="AE1090" s="15"/>
      <c r="AF1090" s="15"/>
    </row>
    <row r="1091" ht="15.75" customHeight="1">
      <c r="A1091" s="15"/>
      <c r="B1091" s="15"/>
      <c r="C1091" s="21"/>
      <c r="D1091" s="15"/>
      <c r="E1091" s="15"/>
      <c r="F1091" s="15"/>
      <c r="G1091" s="387"/>
      <c r="H1091" s="15"/>
      <c r="I1091" s="11"/>
      <c r="J1091" s="11"/>
      <c r="K1091" s="11"/>
      <c r="L1091" s="11"/>
      <c r="M1091" s="15"/>
      <c r="N1091" s="15"/>
      <c r="O1091" s="15"/>
      <c r="P1091" s="15"/>
      <c r="Q1091" s="15"/>
      <c r="R1091" s="15"/>
      <c r="S1091" s="15"/>
      <c r="T1091" s="15"/>
      <c r="U1091" s="15"/>
      <c r="V1091" s="15"/>
      <c r="W1091" s="15"/>
      <c r="X1091" s="15"/>
      <c r="Y1091" s="15"/>
      <c r="Z1091" s="15"/>
      <c r="AA1091" s="15"/>
      <c r="AB1091" s="15"/>
      <c r="AC1091" s="15"/>
      <c r="AD1091" s="15"/>
      <c r="AE1091" s="15"/>
      <c r="AF1091" s="15"/>
    </row>
    <row r="1092" ht="15.75" customHeight="1">
      <c r="A1092" s="15"/>
      <c r="B1092" s="15"/>
      <c r="C1092" s="21"/>
      <c r="D1092" s="15"/>
      <c r="E1092" s="15"/>
      <c r="F1092" s="15"/>
      <c r="G1092" s="387"/>
      <c r="H1092" s="15"/>
      <c r="I1092" s="11"/>
      <c r="J1092" s="11"/>
      <c r="K1092" s="11"/>
      <c r="L1092" s="11"/>
      <c r="M1092" s="15"/>
      <c r="N1092" s="15"/>
      <c r="O1092" s="15"/>
      <c r="P1092" s="15"/>
      <c r="Q1092" s="15"/>
      <c r="R1092" s="15"/>
      <c r="S1092" s="15"/>
      <c r="T1092" s="15"/>
      <c r="U1092" s="15"/>
      <c r="V1092" s="15"/>
      <c r="W1092" s="15"/>
      <c r="X1092" s="15"/>
      <c r="Y1092" s="15"/>
      <c r="Z1092" s="15"/>
      <c r="AA1092" s="15"/>
      <c r="AB1092" s="15"/>
      <c r="AC1092" s="15"/>
      <c r="AD1092" s="15"/>
      <c r="AE1092" s="15"/>
      <c r="AF1092" s="15"/>
    </row>
    <row r="1093" ht="15.75" customHeight="1">
      <c r="A1093" s="15"/>
      <c r="B1093" s="15"/>
      <c r="C1093" s="21"/>
      <c r="D1093" s="15"/>
      <c r="E1093" s="15"/>
      <c r="F1093" s="15"/>
      <c r="G1093" s="387"/>
      <c r="H1093" s="15"/>
      <c r="I1093" s="11"/>
      <c r="J1093" s="11"/>
      <c r="K1093" s="11"/>
      <c r="L1093" s="11"/>
      <c r="M1093" s="15"/>
      <c r="N1093" s="15"/>
      <c r="O1093" s="15"/>
      <c r="P1093" s="15"/>
      <c r="Q1093" s="15"/>
      <c r="R1093" s="15"/>
      <c r="S1093" s="15"/>
      <c r="T1093" s="15"/>
      <c r="U1093" s="15"/>
      <c r="V1093" s="15"/>
      <c r="W1093" s="15"/>
      <c r="X1093" s="15"/>
      <c r="Y1093" s="15"/>
      <c r="Z1093" s="15"/>
      <c r="AA1093" s="15"/>
      <c r="AB1093" s="15"/>
      <c r="AC1093" s="15"/>
      <c r="AD1093" s="15"/>
      <c r="AE1093" s="15"/>
      <c r="AF1093" s="15"/>
    </row>
    <row r="1094" ht="15.75" customHeight="1">
      <c r="A1094" s="15"/>
      <c r="B1094" s="15"/>
      <c r="C1094" s="21"/>
      <c r="D1094" s="15"/>
      <c r="E1094" s="15"/>
      <c r="F1094" s="15"/>
      <c r="G1094" s="387"/>
      <c r="H1094" s="15"/>
      <c r="I1094" s="11"/>
      <c r="J1094" s="11"/>
      <c r="K1094" s="11"/>
      <c r="L1094" s="11"/>
      <c r="M1094" s="15"/>
      <c r="N1094" s="15"/>
      <c r="O1094" s="15"/>
      <c r="P1094" s="15"/>
      <c r="Q1094" s="15"/>
      <c r="R1094" s="15"/>
      <c r="S1094" s="15"/>
      <c r="T1094" s="15"/>
      <c r="U1094" s="15"/>
      <c r="V1094" s="15"/>
      <c r="W1094" s="15"/>
      <c r="X1094" s="15"/>
      <c r="Y1094" s="15"/>
      <c r="Z1094" s="15"/>
      <c r="AA1094" s="15"/>
      <c r="AB1094" s="15"/>
      <c r="AC1094" s="15"/>
      <c r="AD1094" s="15"/>
      <c r="AE1094" s="15"/>
      <c r="AF1094" s="15"/>
    </row>
    <row r="1095" ht="15.75" customHeight="1">
      <c r="A1095" s="15"/>
      <c r="B1095" s="15"/>
      <c r="C1095" s="21"/>
      <c r="D1095" s="15"/>
      <c r="E1095" s="15"/>
      <c r="F1095" s="15"/>
      <c r="G1095" s="387"/>
      <c r="H1095" s="15"/>
      <c r="I1095" s="11"/>
      <c r="J1095" s="11"/>
      <c r="K1095" s="11"/>
      <c r="L1095" s="11"/>
      <c r="M1095" s="15"/>
      <c r="N1095" s="15"/>
      <c r="O1095" s="15"/>
      <c r="P1095" s="15"/>
      <c r="Q1095" s="15"/>
      <c r="R1095" s="15"/>
      <c r="S1095" s="15"/>
      <c r="T1095" s="15"/>
      <c r="U1095" s="15"/>
      <c r="V1095" s="15"/>
      <c r="W1095" s="15"/>
      <c r="X1095" s="15"/>
      <c r="Y1095" s="15"/>
      <c r="Z1095" s="15"/>
      <c r="AA1095" s="15"/>
      <c r="AB1095" s="15"/>
      <c r="AC1095" s="15"/>
      <c r="AD1095" s="15"/>
      <c r="AE1095" s="15"/>
      <c r="AF1095" s="15"/>
    </row>
    <row r="1096" ht="15.75" customHeight="1">
      <c r="A1096" s="15"/>
      <c r="B1096" s="15"/>
      <c r="C1096" s="21"/>
      <c r="D1096" s="15"/>
      <c r="E1096" s="15"/>
      <c r="F1096" s="15"/>
      <c r="G1096" s="387"/>
      <c r="H1096" s="15"/>
      <c r="I1096" s="11"/>
      <c r="J1096" s="11"/>
      <c r="K1096" s="11"/>
      <c r="L1096" s="11"/>
      <c r="M1096" s="15"/>
      <c r="N1096" s="15"/>
      <c r="O1096" s="15"/>
      <c r="P1096" s="15"/>
      <c r="Q1096" s="15"/>
      <c r="R1096" s="15"/>
      <c r="S1096" s="15"/>
      <c r="T1096" s="15"/>
      <c r="U1096" s="15"/>
      <c r="V1096" s="15"/>
      <c r="W1096" s="15"/>
      <c r="X1096" s="15"/>
      <c r="Y1096" s="15"/>
      <c r="Z1096" s="15"/>
      <c r="AA1096" s="15"/>
      <c r="AB1096" s="15"/>
      <c r="AC1096" s="15"/>
      <c r="AD1096" s="15"/>
      <c r="AE1096" s="15"/>
      <c r="AF1096" s="15"/>
    </row>
    <row r="1097" ht="15.75" customHeight="1">
      <c r="A1097" s="15"/>
      <c r="B1097" s="15"/>
      <c r="C1097" s="21"/>
      <c r="D1097" s="15"/>
      <c r="E1097" s="15"/>
      <c r="F1097" s="15"/>
      <c r="G1097" s="387"/>
      <c r="H1097" s="15"/>
      <c r="I1097" s="11"/>
      <c r="J1097" s="11"/>
      <c r="K1097" s="11"/>
      <c r="L1097" s="11"/>
      <c r="M1097" s="15"/>
      <c r="N1097" s="15"/>
      <c r="O1097" s="15"/>
      <c r="P1097" s="15"/>
      <c r="Q1097" s="15"/>
      <c r="R1097" s="15"/>
      <c r="S1097" s="15"/>
      <c r="T1097" s="15"/>
      <c r="U1097" s="15"/>
      <c r="V1097" s="15"/>
      <c r="W1097" s="15"/>
      <c r="X1097" s="15"/>
      <c r="Y1097" s="15"/>
      <c r="Z1097" s="15"/>
      <c r="AA1097" s="15"/>
      <c r="AB1097" s="15"/>
      <c r="AC1097" s="15"/>
      <c r="AD1097" s="15"/>
      <c r="AE1097" s="15"/>
      <c r="AF1097" s="15"/>
    </row>
    <row r="1098" ht="15.75" customHeight="1">
      <c r="A1098" s="15"/>
      <c r="B1098" s="15"/>
      <c r="C1098" s="21"/>
      <c r="D1098" s="15"/>
      <c r="E1098" s="15"/>
      <c r="F1098" s="15"/>
      <c r="G1098" s="387"/>
      <c r="H1098" s="15"/>
      <c r="I1098" s="11"/>
      <c r="J1098" s="11"/>
      <c r="K1098" s="11"/>
      <c r="L1098" s="11"/>
      <c r="M1098" s="15"/>
      <c r="N1098" s="15"/>
      <c r="O1098" s="15"/>
      <c r="P1098" s="15"/>
      <c r="Q1098" s="15"/>
      <c r="R1098" s="15"/>
      <c r="S1098" s="15"/>
      <c r="T1098" s="15"/>
      <c r="U1098" s="15"/>
      <c r="V1098" s="15"/>
      <c r="W1098" s="15"/>
      <c r="X1098" s="15"/>
      <c r="Y1098" s="15"/>
      <c r="Z1098" s="15"/>
      <c r="AA1098" s="15"/>
      <c r="AB1098" s="15"/>
      <c r="AC1098" s="15"/>
      <c r="AD1098" s="15"/>
      <c r="AE1098" s="15"/>
      <c r="AF1098" s="15"/>
    </row>
    <row r="1099" ht="15.75" customHeight="1">
      <c r="A1099" s="15"/>
      <c r="B1099" s="15"/>
      <c r="C1099" s="21"/>
      <c r="D1099" s="15"/>
      <c r="E1099" s="15"/>
      <c r="F1099" s="15"/>
      <c r="G1099" s="387"/>
      <c r="H1099" s="15"/>
      <c r="I1099" s="11"/>
      <c r="J1099" s="11"/>
      <c r="K1099" s="11"/>
      <c r="L1099" s="11"/>
      <c r="M1099" s="15"/>
      <c r="N1099" s="15"/>
      <c r="O1099" s="15"/>
      <c r="P1099" s="15"/>
      <c r="Q1099" s="15"/>
      <c r="R1099" s="15"/>
      <c r="S1099" s="15"/>
      <c r="T1099" s="15"/>
      <c r="U1099" s="15"/>
      <c r="V1099" s="15"/>
      <c r="W1099" s="15"/>
      <c r="X1099" s="15"/>
      <c r="Y1099" s="15"/>
      <c r="Z1099" s="15"/>
      <c r="AA1099" s="15"/>
      <c r="AB1099" s="15"/>
      <c r="AC1099" s="15"/>
      <c r="AD1099" s="15"/>
      <c r="AE1099" s="15"/>
      <c r="AF1099" s="15"/>
    </row>
    <row r="1100" ht="15.75" customHeight="1">
      <c r="A1100" s="15"/>
      <c r="B1100" s="15"/>
      <c r="C1100" s="21"/>
      <c r="D1100" s="15"/>
      <c r="E1100" s="15"/>
      <c r="F1100" s="15"/>
      <c r="G1100" s="387"/>
      <c r="H1100" s="15"/>
      <c r="I1100" s="11"/>
      <c r="J1100" s="11"/>
      <c r="K1100" s="11"/>
      <c r="L1100" s="11"/>
      <c r="M1100" s="15"/>
      <c r="N1100" s="15"/>
      <c r="O1100" s="15"/>
      <c r="P1100" s="15"/>
      <c r="Q1100" s="15"/>
      <c r="R1100" s="15"/>
      <c r="S1100" s="15"/>
      <c r="T1100" s="15"/>
      <c r="U1100" s="15"/>
      <c r="V1100" s="15"/>
      <c r="W1100" s="15"/>
      <c r="X1100" s="15"/>
      <c r="Y1100" s="15"/>
      <c r="Z1100" s="15"/>
      <c r="AA1100" s="15"/>
      <c r="AB1100" s="15"/>
      <c r="AC1100" s="15"/>
      <c r="AD1100" s="15"/>
      <c r="AE1100" s="15"/>
      <c r="AF1100" s="15"/>
    </row>
    <row r="1101" ht="15.75" customHeight="1">
      <c r="A1101" s="15"/>
      <c r="B1101" s="15"/>
      <c r="C1101" s="21"/>
      <c r="D1101" s="15"/>
      <c r="E1101" s="15"/>
      <c r="F1101" s="15"/>
      <c r="G1101" s="387"/>
      <c r="H1101" s="15"/>
      <c r="I1101" s="11"/>
      <c r="J1101" s="11"/>
      <c r="K1101" s="11"/>
      <c r="L1101" s="11"/>
      <c r="M1101" s="15"/>
      <c r="N1101" s="15"/>
      <c r="O1101" s="15"/>
      <c r="P1101" s="15"/>
      <c r="Q1101" s="15"/>
      <c r="R1101" s="15"/>
      <c r="S1101" s="15"/>
      <c r="T1101" s="15"/>
      <c r="U1101" s="15"/>
      <c r="V1101" s="15"/>
      <c r="W1101" s="15"/>
      <c r="X1101" s="15"/>
      <c r="Y1101" s="15"/>
      <c r="Z1101" s="15"/>
      <c r="AA1101" s="15"/>
      <c r="AB1101" s="15"/>
      <c r="AC1101" s="15"/>
      <c r="AD1101" s="15"/>
      <c r="AE1101" s="15"/>
      <c r="AF1101" s="15"/>
    </row>
    <row r="1102" ht="15.75" customHeight="1">
      <c r="A1102" s="15"/>
      <c r="B1102" s="15"/>
      <c r="C1102" s="21"/>
      <c r="D1102" s="15"/>
      <c r="E1102" s="15"/>
      <c r="F1102" s="15"/>
      <c r="G1102" s="387"/>
      <c r="H1102" s="15"/>
      <c r="I1102" s="11"/>
      <c r="J1102" s="11"/>
      <c r="K1102" s="11"/>
      <c r="L1102" s="11"/>
      <c r="M1102" s="15"/>
      <c r="N1102" s="15"/>
      <c r="O1102" s="15"/>
      <c r="P1102" s="15"/>
      <c r="Q1102" s="15"/>
      <c r="R1102" s="15"/>
      <c r="S1102" s="15"/>
      <c r="T1102" s="15"/>
      <c r="U1102" s="15"/>
      <c r="V1102" s="15"/>
      <c r="W1102" s="15"/>
      <c r="X1102" s="15"/>
      <c r="Y1102" s="15"/>
      <c r="Z1102" s="15"/>
      <c r="AA1102" s="15"/>
      <c r="AB1102" s="15"/>
      <c r="AC1102" s="15"/>
      <c r="AD1102" s="15"/>
      <c r="AE1102" s="15"/>
      <c r="AF1102" s="15"/>
    </row>
    <row r="1103" ht="15.75" customHeight="1">
      <c r="A1103" s="15"/>
      <c r="B1103" s="15"/>
      <c r="C1103" s="21"/>
      <c r="D1103" s="15"/>
      <c r="E1103" s="15"/>
      <c r="F1103" s="15"/>
      <c r="G1103" s="387"/>
      <c r="H1103" s="15"/>
      <c r="I1103" s="11"/>
      <c r="J1103" s="11"/>
      <c r="K1103" s="11"/>
      <c r="L1103" s="11"/>
      <c r="M1103" s="15"/>
      <c r="N1103" s="15"/>
      <c r="O1103" s="15"/>
      <c r="P1103" s="15"/>
      <c r="Q1103" s="15"/>
      <c r="R1103" s="15"/>
      <c r="S1103" s="15"/>
      <c r="T1103" s="15"/>
      <c r="U1103" s="15"/>
      <c r="V1103" s="15"/>
      <c r="W1103" s="15"/>
      <c r="X1103" s="15"/>
      <c r="Y1103" s="15"/>
      <c r="Z1103" s="15"/>
      <c r="AA1103" s="15"/>
      <c r="AB1103" s="15"/>
      <c r="AC1103" s="15"/>
      <c r="AD1103" s="15"/>
      <c r="AE1103" s="15"/>
      <c r="AF1103" s="15"/>
    </row>
    <row r="1104" ht="15.75" customHeight="1">
      <c r="A1104" s="15"/>
      <c r="B1104" s="15"/>
      <c r="C1104" s="21"/>
      <c r="D1104" s="15"/>
      <c r="E1104" s="15"/>
      <c r="F1104" s="15"/>
      <c r="G1104" s="387"/>
      <c r="H1104" s="15"/>
      <c r="I1104" s="11"/>
      <c r="J1104" s="11"/>
      <c r="K1104" s="11"/>
      <c r="L1104" s="11"/>
      <c r="M1104" s="15"/>
      <c r="N1104" s="15"/>
      <c r="O1104" s="15"/>
      <c r="P1104" s="15"/>
      <c r="Q1104" s="15"/>
      <c r="R1104" s="15"/>
      <c r="S1104" s="15"/>
      <c r="T1104" s="15"/>
      <c r="U1104" s="15"/>
      <c r="V1104" s="15"/>
      <c r="W1104" s="15"/>
      <c r="X1104" s="15"/>
      <c r="Y1104" s="15"/>
      <c r="Z1104" s="15"/>
      <c r="AA1104" s="15"/>
      <c r="AB1104" s="15"/>
      <c r="AC1104" s="15"/>
      <c r="AD1104" s="15"/>
      <c r="AE1104" s="15"/>
      <c r="AF1104" s="15"/>
    </row>
    <row r="1105" ht="15.75" customHeight="1">
      <c r="A1105" s="15"/>
      <c r="B1105" s="15"/>
      <c r="C1105" s="21"/>
      <c r="D1105" s="15"/>
      <c r="E1105" s="15"/>
      <c r="F1105" s="15"/>
      <c r="G1105" s="387"/>
      <c r="H1105" s="15"/>
      <c r="I1105" s="11"/>
      <c r="J1105" s="11"/>
      <c r="K1105" s="11"/>
      <c r="L1105" s="11"/>
      <c r="M1105" s="15"/>
      <c r="N1105" s="15"/>
      <c r="O1105" s="15"/>
      <c r="P1105" s="15"/>
      <c r="Q1105" s="15"/>
      <c r="R1105" s="15"/>
      <c r="S1105" s="15"/>
      <c r="T1105" s="15"/>
      <c r="U1105" s="15"/>
      <c r="V1105" s="15"/>
      <c r="W1105" s="15"/>
      <c r="X1105" s="15"/>
      <c r="Y1105" s="15"/>
      <c r="Z1105" s="15"/>
      <c r="AA1105" s="15"/>
      <c r="AB1105" s="15"/>
      <c r="AC1105" s="15"/>
      <c r="AD1105" s="15"/>
      <c r="AE1105" s="15"/>
      <c r="AF1105" s="15"/>
    </row>
    <row r="1106" ht="15.75" customHeight="1">
      <c r="A1106" s="15"/>
      <c r="B1106" s="15"/>
      <c r="C1106" s="21"/>
      <c r="D1106" s="15"/>
      <c r="E1106" s="15"/>
      <c r="F1106" s="15"/>
      <c r="G1106" s="387"/>
      <c r="H1106" s="15"/>
      <c r="I1106" s="11"/>
      <c r="J1106" s="11"/>
      <c r="K1106" s="11"/>
      <c r="L1106" s="11"/>
      <c r="M1106" s="15"/>
      <c r="N1106" s="15"/>
      <c r="O1106" s="15"/>
      <c r="P1106" s="15"/>
      <c r="Q1106" s="15"/>
      <c r="R1106" s="15"/>
      <c r="S1106" s="15"/>
      <c r="T1106" s="15"/>
      <c r="U1106" s="15"/>
      <c r="V1106" s="15"/>
      <c r="W1106" s="15"/>
      <c r="X1106" s="15"/>
      <c r="Y1106" s="15"/>
      <c r="Z1106" s="15"/>
      <c r="AA1106" s="15"/>
      <c r="AB1106" s="15"/>
      <c r="AC1106" s="15"/>
      <c r="AD1106" s="15"/>
      <c r="AE1106" s="15"/>
      <c r="AF1106" s="15"/>
    </row>
    <row r="1107" ht="15.75" customHeight="1">
      <c r="A1107" s="15"/>
      <c r="B1107" s="15"/>
      <c r="C1107" s="21"/>
      <c r="D1107" s="15"/>
      <c r="E1107" s="15"/>
      <c r="F1107" s="15"/>
      <c r="G1107" s="387"/>
      <c r="H1107" s="15"/>
      <c r="I1107" s="11"/>
      <c r="J1107" s="11"/>
      <c r="K1107" s="11"/>
      <c r="L1107" s="11"/>
      <c r="M1107" s="15"/>
      <c r="N1107" s="15"/>
      <c r="O1107" s="15"/>
      <c r="P1107" s="15"/>
      <c r="Q1107" s="15"/>
      <c r="R1107" s="15"/>
      <c r="S1107" s="15"/>
      <c r="T1107" s="15"/>
      <c r="U1107" s="15"/>
      <c r="V1107" s="15"/>
      <c r="W1107" s="15"/>
      <c r="X1107" s="15"/>
      <c r="Y1107" s="15"/>
      <c r="Z1107" s="15"/>
      <c r="AA1107" s="15"/>
      <c r="AB1107" s="15"/>
      <c r="AC1107" s="15"/>
      <c r="AD1107" s="15"/>
      <c r="AE1107" s="15"/>
      <c r="AF1107" s="15"/>
    </row>
    <row r="1108" ht="15.75" customHeight="1">
      <c r="A1108" s="15"/>
      <c r="B1108" s="15"/>
      <c r="C1108" s="21"/>
      <c r="D1108" s="15"/>
      <c r="E1108" s="15"/>
      <c r="F1108" s="15"/>
      <c r="G1108" s="387"/>
      <c r="H1108" s="15"/>
      <c r="I1108" s="11"/>
      <c r="J1108" s="11"/>
      <c r="K1108" s="11"/>
      <c r="L1108" s="11"/>
      <c r="M1108" s="15"/>
      <c r="N1108" s="15"/>
      <c r="O1108" s="15"/>
      <c r="P1108" s="15"/>
      <c r="Q1108" s="15"/>
      <c r="R1108" s="15"/>
      <c r="S1108" s="15"/>
      <c r="T1108" s="15"/>
      <c r="U1108" s="15"/>
      <c r="V1108" s="15"/>
      <c r="W1108" s="15"/>
      <c r="X1108" s="15"/>
      <c r="Y1108" s="15"/>
      <c r="Z1108" s="15"/>
      <c r="AA1108" s="15"/>
      <c r="AB1108" s="15"/>
      <c r="AC1108" s="15"/>
      <c r="AD1108" s="15"/>
      <c r="AE1108" s="15"/>
      <c r="AF1108" s="15"/>
    </row>
    <row r="1109" ht="15.75" customHeight="1">
      <c r="A1109" s="15"/>
      <c r="B1109" s="15"/>
      <c r="C1109" s="21"/>
      <c r="D1109" s="15"/>
      <c r="E1109" s="15"/>
      <c r="F1109" s="15"/>
      <c r="G1109" s="387"/>
      <c r="H1109" s="15"/>
      <c r="I1109" s="11"/>
      <c r="J1109" s="11"/>
      <c r="K1109" s="11"/>
      <c r="L1109" s="11"/>
      <c r="M1109" s="15"/>
      <c r="N1109" s="15"/>
      <c r="O1109" s="15"/>
      <c r="P1109" s="15"/>
      <c r="Q1109" s="15"/>
      <c r="R1109" s="15"/>
      <c r="S1109" s="15"/>
      <c r="T1109" s="15"/>
      <c r="U1109" s="15"/>
      <c r="V1109" s="15"/>
      <c r="W1109" s="15"/>
      <c r="X1109" s="15"/>
      <c r="Y1109" s="15"/>
      <c r="Z1109" s="15"/>
      <c r="AA1109" s="15"/>
      <c r="AB1109" s="15"/>
      <c r="AC1109" s="15"/>
      <c r="AD1109" s="15"/>
      <c r="AE1109" s="15"/>
      <c r="AF1109" s="15"/>
    </row>
    <row r="1110" ht="15.75" customHeight="1">
      <c r="A1110" s="15"/>
      <c r="B1110" s="15"/>
      <c r="C1110" s="21"/>
      <c r="D1110" s="15"/>
      <c r="E1110" s="15"/>
      <c r="F1110" s="15"/>
      <c r="G1110" s="387"/>
      <c r="H1110" s="15"/>
      <c r="I1110" s="11"/>
      <c r="J1110" s="11"/>
      <c r="K1110" s="11"/>
      <c r="L1110" s="11"/>
      <c r="M1110" s="15"/>
      <c r="N1110" s="15"/>
      <c r="O1110" s="15"/>
      <c r="P1110" s="15"/>
      <c r="Q1110" s="15"/>
      <c r="R1110" s="15"/>
      <c r="S1110" s="15"/>
      <c r="T1110" s="15"/>
      <c r="U1110" s="15"/>
      <c r="V1110" s="15"/>
      <c r="W1110" s="15"/>
      <c r="X1110" s="15"/>
      <c r="Y1110" s="15"/>
      <c r="Z1110" s="15"/>
      <c r="AA1110" s="15"/>
      <c r="AB1110" s="15"/>
      <c r="AC1110" s="15"/>
      <c r="AD1110" s="15"/>
      <c r="AE1110" s="15"/>
      <c r="AF1110" s="15"/>
    </row>
    <row r="1111" ht="15.75" customHeight="1">
      <c r="A1111" s="15"/>
      <c r="B1111" s="15"/>
      <c r="C1111" s="21"/>
      <c r="D1111" s="15"/>
      <c r="E1111" s="15"/>
      <c r="F1111" s="15"/>
      <c r="G1111" s="387"/>
      <c r="H1111" s="15"/>
      <c r="I1111" s="11"/>
      <c r="J1111" s="11"/>
      <c r="K1111" s="11"/>
      <c r="L1111" s="11"/>
      <c r="M1111" s="15"/>
      <c r="N1111" s="15"/>
      <c r="O1111" s="15"/>
      <c r="P1111" s="15"/>
      <c r="Q1111" s="15"/>
      <c r="R1111" s="15"/>
      <c r="S1111" s="15"/>
      <c r="T1111" s="15"/>
      <c r="U1111" s="15"/>
      <c r="V1111" s="15"/>
      <c r="W1111" s="15"/>
      <c r="X1111" s="15"/>
      <c r="Y1111" s="15"/>
      <c r="Z1111" s="15"/>
      <c r="AA1111" s="15"/>
      <c r="AB1111" s="15"/>
      <c r="AC1111" s="15"/>
      <c r="AD1111" s="15"/>
      <c r="AE1111" s="15"/>
      <c r="AF1111" s="15"/>
    </row>
    <row r="1112" ht="15.75" customHeight="1">
      <c r="A1112" s="15"/>
      <c r="B1112" s="15"/>
      <c r="C1112" s="21"/>
      <c r="D1112" s="15"/>
      <c r="E1112" s="15"/>
      <c r="F1112" s="15"/>
      <c r="G1112" s="387"/>
      <c r="H1112" s="15"/>
      <c r="I1112" s="11"/>
      <c r="J1112" s="11"/>
      <c r="K1112" s="11"/>
      <c r="L1112" s="11"/>
      <c r="M1112" s="15"/>
      <c r="N1112" s="15"/>
      <c r="O1112" s="15"/>
      <c r="P1112" s="15"/>
      <c r="Q1112" s="15"/>
      <c r="R1112" s="15"/>
      <c r="S1112" s="15"/>
      <c r="T1112" s="15"/>
      <c r="U1112" s="15"/>
      <c r="V1112" s="15"/>
      <c r="W1112" s="15"/>
      <c r="X1112" s="15"/>
      <c r="Y1112" s="15"/>
      <c r="Z1112" s="15"/>
      <c r="AA1112" s="15"/>
      <c r="AB1112" s="15"/>
      <c r="AC1112" s="15"/>
      <c r="AD1112" s="15"/>
      <c r="AE1112" s="15"/>
      <c r="AF1112" s="15"/>
    </row>
    <row r="1113" ht="15.75" customHeight="1">
      <c r="A1113" s="15"/>
      <c r="B1113" s="15"/>
      <c r="C1113" s="21"/>
      <c r="D1113" s="15"/>
      <c r="E1113" s="15"/>
      <c r="F1113" s="15"/>
      <c r="G1113" s="387"/>
      <c r="H1113" s="15"/>
      <c r="I1113" s="11"/>
      <c r="J1113" s="11"/>
      <c r="K1113" s="11"/>
      <c r="L1113" s="11"/>
      <c r="M1113" s="15"/>
      <c r="N1113" s="15"/>
      <c r="O1113" s="15"/>
      <c r="P1113" s="15"/>
      <c r="Q1113" s="15"/>
      <c r="R1113" s="15"/>
      <c r="S1113" s="15"/>
      <c r="T1113" s="15"/>
      <c r="U1113" s="15"/>
      <c r="V1113" s="15"/>
      <c r="W1113" s="15"/>
      <c r="X1113" s="15"/>
      <c r="Y1113" s="15"/>
      <c r="Z1113" s="15"/>
      <c r="AA1113" s="15"/>
      <c r="AB1113" s="15"/>
      <c r="AC1113" s="15"/>
      <c r="AD1113" s="15"/>
      <c r="AE1113" s="15"/>
      <c r="AF1113" s="15"/>
    </row>
    <row r="1114" ht="15.75" customHeight="1">
      <c r="A1114" s="15"/>
      <c r="B1114" s="15"/>
      <c r="C1114" s="21"/>
      <c r="D1114" s="15"/>
      <c r="E1114" s="15"/>
      <c r="F1114" s="15"/>
      <c r="G1114" s="387"/>
      <c r="H1114" s="15"/>
      <c r="I1114" s="11"/>
      <c r="J1114" s="11"/>
      <c r="K1114" s="11"/>
      <c r="L1114" s="11"/>
      <c r="M1114" s="15"/>
      <c r="N1114" s="15"/>
      <c r="O1114" s="15"/>
      <c r="P1114" s="15"/>
      <c r="Q1114" s="15"/>
      <c r="R1114" s="15"/>
      <c r="S1114" s="15"/>
      <c r="T1114" s="15"/>
      <c r="U1114" s="15"/>
      <c r="V1114" s="15"/>
      <c r="W1114" s="15"/>
      <c r="X1114" s="15"/>
      <c r="Y1114" s="15"/>
      <c r="Z1114" s="15"/>
      <c r="AA1114" s="15"/>
      <c r="AB1114" s="15"/>
      <c r="AC1114" s="15"/>
      <c r="AD1114" s="15"/>
      <c r="AE1114" s="15"/>
      <c r="AF1114" s="15"/>
    </row>
    <row r="1115" ht="15.75" customHeight="1">
      <c r="A1115" s="15"/>
      <c r="B1115" s="15"/>
      <c r="C1115" s="21"/>
      <c r="D1115" s="15"/>
      <c r="E1115" s="15"/>
      <c r="F1115" s="15"/>
      <c r="G1115" s="387"/>
      <c r="H1115" s="15"/>
      <c r="I1115" s="11"/>
      <c r="J1115" s="11"/>
      <c r="K1115" s="11"/>
      <c r="L1115" s="11"/>
      <c r="M1115" s="15"/>
      <c r="N1115" s="15"/>
      <c r="O1115" s="15"/>
      <c r="P1115" s="15"/>
      <c r="Q1115" s="15"/>
      <c r="R1115" s="15"/>
      <c r="S1115" s="15"/>
      <c r="T1115" s="15"/>
      <c r="U1115" s="15"/>
      <c r="V1115" s="15"/>
      <c r="W1115" s="15"/>
      <c r="X1115" s="15"/>
      <c r="Y1115" s="15"/>
      <c r="Z1115" s="15"/>
      <c r="AA1115" s="15"/>
      <c r="AB1115" s="15"/>
      <c r="AC1115" s="15"/>
      <c r="AD1115" s="15"/>
      <c r="AE1115" s="15"/>
      <c r="AF1115" s="15"/>
    </row>
    <row r="1116" ht="15.75" customHeight="1">
      <c r="A1116" s="15"/>
      <c r="B1116" s="15"/>
      <c r="C1116" s="21"/>
      <c r="D1116" s="15"/>
      <c r="E1116" s="15"/>
      <c r="F1116" s="15"/>
      <c r="G1116" s="387"/>
      <c r="H1116" s="15"/>
      <c r="I1116" s="11"/>
      <c r="J1116" s="11"/>
      <c r="K1116" s="11"/>
      <c r="L1116" s="11"/>
      <c r="M1116" s="15"/>
      <c r="N1116" s="15"/>
      <c r="O1116" s="15"/>
      <c r="P1116" s="15"/>
      <c r="Q1116" s="15"/>
      <c r="R1116" s="15"/>
      <c r="S1116" s="15"/>
      <c r="T1116" s="15"/>
      <c r="U1116" s="15"/>
      <c r="V1116" s="15"/>
      <c r="W1116" s="15"/>
      <c r="X1116" s="15"/>
      <c r="Y1116" s="15"/>
      <c r="Z1116" s="15"/>
      <c r="AA1116" s="15"/>
      <c r="AB1116" s="15"/>
      <c r="AC1116" s="15"/>
      <c r="AD1116" s="15"/>
      <c r="AE1116" s="15"/>
      <c r="AF1116" s="15"/>
    </row>
    <row r="1117" ht="15.75" customHeight="1">
      <c r="A1117" s="15"/>
      <c r="B1117" s="15"/>
      <c r="C1117" s="21"/>
      <c r="D1117" s="15"/>
      <c r="E1117" s="15"/>
      <c r="F1117" s="15"/>
      <c r="G1117" s="387"/>
      <c r="H1117" s="15"/>
      <c r="I1117" s="11"/>
      <c r="J1117" s="11"/>
      <c r="K1117" s="11"/>
      <c r="L1117" s="11"/>
      <c r="M1117" s="15"/>
      <c r="N1117" s="15"/>
      <c r="O1117" s="15"/>
      <c r="P1117" s="15"/>
      <c r="Q1117" s="15"/>
      <c r="R1117" s="15"/>
      <c r="S1117" s="15"/>
      <c r="T1117" s="15"/>
      <c r="U1117" s="15"/>
      <c r="V1117" s="15"/>
      <c r="W1117" s="15"/>
      <c r="X1117" s="15"/>
      <c r="Y1117" s="15"/>
      <c r="Z1117" s="15"/>
      <c r="AA1117" s="15"/>
      <c r="AB1117" s="15"/>
      <c r="AC1117" s="15"/>
      <c r="AD1117" s="15"/>
      <c r="AE1117" s="15"/>
      <c r="AF1117" s="15"/>
    </row>
    <row r="1118" ht="15.75" customHeight="1">
      <c r="A1118" s="15"/>
      <c r="B1118" s="15"/>
      <c r="C1118" s="21"/>
      <c r="D1118" s="15"/>
      <c r="E1118" s="15"/>
      <c r="F1118" s="15"/>
      <c r="G1118" s="387"/>
      <c r="H1118" s="15"/>
      <c r="I1118" s="11"/>
      <c r="J1118" s="11"/>
      <c r="K1118" s="11"/>
      <c r="L1118" s="11"/>
      <c r="M1118" s="15"/>
      <c r="N1118" s="15"/>
      <c r="O1118" s="15"/>
      <c r="P1118" s="15"/>
      <c r="Q1118" s="15"/>
      <c r="R1118" s="15"/>
      <c r="S1118" s="15"/>
      <c r="T1118" s="15"/>
      <c r="U1118" s="15"/>
      <c r="V1118" s="15"/>
      <c r="W1118" s="15"/>
      <c r="X1118" s="15"/>
      <c r="Y1118" s="15"/>
      <c r="Z1118" s="15"/>
      <c r="AA1118" s="15"/>
      <c r="AB1118" s="15"/>
      <c r="AC1118" s="15"/>
      <c r="AD1118" s="15"/>
      <c r="AE1118" s="15"/>
      <c r="AF1118" s="15"/>
    </row>
    <row r="1119" ht="15.75" customHeight="1">
      <c r="A1119" s="15"/>
      <c r="B1119" s="15"/>
      <c r="C1119" s="21"/>
      <c r="D1119" s="15"/>
      <c r="E1119" s="15"/>
      <c r="F1119" s="15"/>
      <c r="G1119" s="387"/>
      <c r="H1119" s="15"/>
      <c r="I1119" s="11"/>
      <c r="J1119" s="11"/>
      <c r="K1119" s="11"/>
      <c r="L1119" s="11"/>
      <c r="M1119" s="15"/>
      <c r="N1119" s="15"/>
      <c r="O1119" s="15"/>
      <c r="P1119" s="15"/>
      <c r="Q1119" s="15"/>
      <c r="R1119" s="15"/>
      <c r="S1119" s="15"/>
      <c r="T1119" s="15"/>
      <c r="U1119" s="15"/>
      <c r="V1119" s="15"/>
      <c r="W1119" s="15"/>
      <c r="X1119" s="15"/>
      <c r="Y1119" s="15"/>
      <c r="Z1119" s="15"/>
      <c r="AA1119" s="15"/>
      <c r="AB1119" s="15"/>
      <c r="AC1119" s="15"/>
      <c r="AD1119" s="15"/>
      <c r="AE1119" s="15"/>
      <c r="AF1119" s="15"/>
    </row>
    <row r="1120" ht="15.75" customHeight="1">
      <c r="A1120" s="15"/>
      <c r="B1120" s="15"/>
      <c r="C1120" s="21"/>
      <c r="D1120" s="15"/>
      <c r="E1120" s="15"/>
      <c r="F1120" s="15"/>
      <c r="G1120" s="387"/>
      <c r="H1120" s="15"/>
      <c r="I1120" s="11"/>
      <c r="J1120" s="11"/>
      <c r="K1120" s="11"/>
      <c r="L1120" s="11"/>
      <c r="M1120" s="15"/>
      <c r="N1120" s="15"/>
      <c r="O1120" s="15"/>
      <c r="P1120" s="15"/>
      <c r="Q1120" s="15"/>
      <c r="R1120" s="15"/>
      <c r="S1120" s="15"/>
      <c r="T1120" s="15"/>
      <c r="U1120" s="15"/>
      <c r="V1120" s="15"/>
      <c r="W1120" s="15"/>
      <c r="X1120" s="15"/>
      <c r="Y1120" s="15"/>
      <c r="Z1120" s="15"/>
      <c r="AA1120" s="15"/>
      <c r="AB1120" s="15"/>
      <c r="AC1120" s="15"/>
      <c r="AD1120" s="15"/>
      <c r="AE1120" s="15"/>
      <c r="AF1120" s="15"/>
    </row>
    <row r="1121" ht="15.75" customHeight="1">
      <c r="A1121" s="15"/>
      <c r="B1121" s="15"/>
      <c r="C1121" s="21"/>
      <c r="D1121" s="15"/>
      <c r="E1121" s="15"/>
      <c r="F1121" s="15"/>
      <c r="G1121" s="387"/>
      <c r="H1121" s="15"/>
      <c r="I1121" s="11"/>
      <c r="J1121" s="11"/>
      <c r="K1121" s="11"/>
      <c r="L1121" s="11"/>
      <c r="M1121" s="15"/>
      <c r="N1121" s="15"/>
      <c r="O1121" s="15"/>
      <c r="P1121" s="15"/>
      <c r="Q1121" s="15"/>
      <c r="R1121" s="15"/>
      <c r="S1121" s="15"/>
      <c r="T1121" s="15"/>
      <c r="U1121" s="15"/>
      <c r="V1121" s="15"/>
      <c r="W1121" s="15"/>
      <c r="X1121" s="15"/>
      <c r="Y1121" s="15"/>
      <c r="Z1121" s="15"/>
      <c r="AA1121" s="15"/>
      <c r="AB1121" s="15"/>
      <c r="AC1121" s="15"/>
      <c r="AD1121" s="15"/>
      <c r="AE1121" s="15"/>
      <c r="AF1121" s="15"/>
    </row>
    <row r="1122" ht="15.75" customHeight="1">
      <c r="A1122" s="15"/>
      <c r="B1122" s="15"/>
      <c r="C1122" s="21"/>
      <c r="D1122" s="15"/>
      <c r="E1122" s="15"/>
      <c r="F1122" s="15"/>
      <c r="G1122" s="387"/>
      <c r="H1122" s="15"/>
      <c r="I1122" s="11"/>
      <c r="J1122" s="11"/>
      <c r="K1122" s="11"/>
      <c r="L1122" s="11"/>
      <c r="M1122" s="15"/>
      <c r="N1122" s="15"/>
      <c r="O1122" s="15"/>
      <c r="P1122" s="15"/>
      <c r="Q1122" s="15"/>
      <c r="R1122" s="15"/>
      <c r="S1122" s="15"/>
      <c r="T1122" s="15"/>
      <c r="U1122" s="15"/>
      <c r="V1122" s="15"/>
      <c r="W1122" s="15"/>
      <c r="X1122" s="15"/>
      <c r="Y1122" s="15"/>
      <c r="Z1122" s="15"/>
      <c r="AA1122" s="15"/>
      <c r="AB1122" s="15"/>
      <c r="AC1122" s="15"/>
      <c r="AD1122" s="15"/>
      <c r="AE1122" s="15"/>
      <c r="AF1122" s="15"/>
    </row>
    <row r="1123" ht="15.75" customHeight="1">
      <c r="A1123" s="15"/>
      <c r="B1123" s="15"/>
      <c r="C1123" s="21"/>
      <c r="D1123" s="15"/>
      <c r="E1123" s="15"/>
      <c r="F1123" s="15"/>
      <c r="G1123" s="387"/>
      <c r="H1123" s="15"/>
      <c r="I1123" s="11"/>
      <c r="J1123" s="11"/>
      <c r="K1123" s="11"/>
      <c r="L1123" s="11"/>
      <c r="M1123" s="15"/>
      <c r="N1123" s="15"/>
      <c r="O1123" s="15"/>
      <c r="P1123" s="15"/>
      <c r="Q1123" s="15"/>
      <c r="R1123" s="15"/>
      <c r="S1123" s="15"/>
      <c r="T1123" s="15"/>
      <c r="U1123" s="15"/>
      <c r="V1123" s="15"/>
      <c r="W1123" s="15"/>
      <c r="X1123" s="15"/>
      <c r="Y1123" s="15"/>
      <c r="Z1123" s="15"/>
      <c r="AA1123" s="15"/>
      <c r="AB1123" s="15"/>
      <c r="AC1123" s="15"/>
      <c r="AD1123" s="15"/>
      <c r="AE1123" s="15"/>
      <c r="AF1123" s="15"/>
    </row>
    <row r="1124" ht="15.75" customHeight="1">
      <c r="A1124" s="15"/>
      <c r="B1124" s="15"/>
      <c r="C1124" s="21"/>
      <c r="D1124" s="15"/>
      <c r="E1124" s="15"/>
      <c r="F1124" s="15"/>
      <c r="G1124" s="387"/>
      <c r="H1124" s="15"/>
      <c r="I1124" s="11"/>
      <c r="J1124" s="11"/>
      <c r="K1124" s="11"/>
      <c r="L1124" s="11"/>
      <c r="M1124" s="15"/>
      <c r="N1124" s="15"/>
      <c r="O1124" s="15"/>
      <c r="P1124" s="15"/>
      <c r="Q1124" s="15"/>
      <c r="R1124" s="15"/>
      <c r="S1124" s="15"/>
      <c r="T1124" s="15"/>
      <c r="U1124" s="15"/>
      <c r="V1124" s="15"/>
      <c r="W1124" s="15"/>
      <c r="X1124" s="15"/>
      <c r="Y1124" s="15"/>
      <c r="Z1124" s="15"/>
      <c r="AA1124" s="15"/>
      <c r="AB1124" s="15"/>
      <c r="AC1124" s="15"/>
      <c r="AD1124" s="15"/>
      <c r="AE1124" s="15"/>
      <c r="AF1124" s="15"/>
    </row>
    <row r="1125" ht="15.75" customHeight="1">
      <c r="A1125" s="15"/>
      <c r="B1125" s="15"/>
      <c r="C1125" s="21"/>
      <c r="D1125" s="15"/>
      <c r="E1125" s="15"/>
      <c r="F1125" s="15"/>
      <c r="G1125" s="387"/>
      <c r="H1125" s="15"/>
      <c r="I1125" s="11"/>
      <c r="J1125" s="11"/>
      <c r="K1125" s="11"/>
      <c r="L1125" s="11"/>
      <c r="M1125" s="15"/>
      <c r="N1125" s="15"/>
      <c r="O1125" s="15"/>
      <c r="P1125" s="15"/>
      <c r="Q1125" s="15"/>
      <c r="R1125" s="15"/>
      <c r="S1125" s="15"/>
      <c r="T1125" s="15"/>
      <c r="U1125" s="15"/>
      <c r="V1125" s="15"/>
      <c r="W1125" s="15"/>
      <c r="X1125" s="15"/>
      <c r="Y1125" s="15"/>
      <c r="Z1125" s="15"/>
      <c r="AA1125" s="15"/>
      <c r="AB1125" s="15"/>
      <c r="AC1125" s="15"/>
      <c r="AD1125" s="15"/>
      <c r="AE1125" s="15"/>
      <c r="AF1125" s="15"/>
    </row>
    <row r="1126" ht="15.75" customHeight="1">
      <c r="A1126" s="15"/>
      <c r="B1126" s="15"/>
      <c r="C1126" s="21"/>
      <c r="D1126" s="15"/>
      <c r="E1126" s="15"/>
      <c r="F1126" s="15"/>
      <c r="G1126" s="387"/>
      <c r="H1126" s="15"/>
      <c r="I1126" s="11"/>
      <c r="J1126" s="11"/>
      <c r="K1126" s="11"/>
      <c r="L1126" s="11"/>
      <c r="M1126" s="15"/>
      <c r="N1126" s="15"/>
      <c r="O1126" s="15"/>
      <c r="P1126" s="15"/>
      <c r="Q1126" s="15"/>
      <c r="R1126" s="15"/>
      <c r="S1126" s="15"/>
      <c r="T1126" s="15"/>
      <c r="U1126" s="15"/>
      <c r="V1126" s="15"/>
      <c r="W1126" s="15"/>
      <c r="X1126" s="15"/>
      <c r="Y1126" s="15"/>
      <c r="Z1126" s="15"/>
      <c r="AA1126" s="15"/>
      <c r="AB1126" s="15"/>
      <c r="AC1126" s="15"/>
      <c r="AD1126" s="15"/>
      <c r="AE1126" s="15"/>
      <c r="AF1126" s="15"/>
    </row>
    <row r="1127" ht="15.75" customHeight="1">
      <c r="A1127" s="15"/>
      <c r="B1127" s="15"/>
      <c r="C1127" s="21"/>
      <c r="D1127" s="15"/>
      <c r="E1127" s="15"/>
      <c r="F1127" s="15"/>
      <c r="G1127" s="387"/>
      <c r="H1127" s="15"/>
      <c r="I1127" s="11"/>
      <c r="J1127" s="11"/>
      <c r="K1127" s="11"/>
      <c r="L1127" s="11"/>
      <c r="M1127" s="15"/>
      <c r="N1127" s="15"/>
      <c r="O1127" s="15"/>
      <c r="P1127" s="15"/>
      <c r="Q1127" s="15"/>
      <c r="R1127" s="15"/>
      <c r="S1127" s="15"/>
      <c r="T1127" s="15"/>
      <c r="U1127" s="15"/>
      <c r="V1127" s="15"/>
      <c r="W1127" s="15"/>
      <c r="X1127" s="15"/>
      <c r="Y1127" s="15"/>
      <c r="Z1127" s="15"/>
      <c r="AA1127" s="15"/>
      <c r="AB1127" s="15"/>
      <c r="AC1127" s="15"/>
      <c r="AD1127" s="15"/>
      <c r="AE1127" s="15"/>
      <c r="AF1127" s="15"/>
    </row>
    <row r="1128" ht="15.75" customHeight="1">
      <c r="A1128" s="15"/>
      <c r="B1128" s="15"/>
      <c r="C1128" s="21"/>
      <c r="D1128" s="15"/>
      <c r="E1128" s="15"/>
      <c r="F1128" s="15"/>
      <c r="G1128" s="387"/>
      <c r="H1128" s="15"/>
      <c r="I1128" s="11"/>
      <c r="J1128" s="11"/>
      <c r="K1128" s="11"/>
      <c r="L1128" s="11"/>
      <c r="M1128" s="15"/>
      <c r="N1128" s="15"/>
      <c r="O1128" s="15"/>
      <c r="P1128" s="15"/>
      <c r="Q1128" s="15"/>
      <c r="R1128" s="15"/>
      <c r="S1128" s="15"/>
      <c r="T1128" s="15"/>
      <c r="U1128" s="15"/>
      <c r="V1128" s="15"/>
      <c r="W1128" s="15"/>
      <c r="X1128" s="15"/>
      <c r="Y1128" s="15"/>
      <c r="Z1128" s="15"/>
      <c r="AA1128" s="15"/>
      <c r="AB1128" s="15"/>
      <c r="AC1128" s="15"/>
      <c r="AD1128" s="15"/>
      <c r="AE1128" s="15"/>
      <c r="AF1128" s="15"/>
    </row>
    <row r="1129" ht="15.75" customHeight="1">
      <c r="A1129" s="15"/>
      <c r="B1129" s="15"/>
      <c r="C1129" s="21"/>
      <c r="D1129" s="15"/>
      <c r="E1129" s="15"/>
      <c r="F1129" s="15"/>
      <c r="G1129" s="387"/>
      <c r="H1129" s="15"/>
      <c r="I1129" s="11"/>
      <c r="J1129" s="11"/>
      <c r="K1129" s="11"/>
      <c r="L1129" s="11"/>
      <c r="M1129" s="15"/>
      <c r="N1129" s="15"/>
      <c r="O1129" s="15"/>
      <c r="P1129" s="15"/>
      <c r="Q1129" s="15"/>
      <c r="R1129" s="15"/>
      <c r="S1129" s="15"/>
      <c r="T1129" s="15"/>
      <c r="U1129" s="15"/>
      <c r="V1129" s="15"/>
      <c r="W1129" s="15"/>
      <c r="X1129" s="15"/>
      <c r="Y1129" s="15"/>
      <c r="Z1129" s="15"/>
      <c r="AA1129" s="15"/>
      <c r="AB1129" s="15"/>
      <c r="AC1129" s="15"/>
      <c r="AD1129" s="15"/>
      <c r="AE1129" s="15"/>
      <c r="AF1129" s="15"/>
    </row>
    <row r="1130" ht="15.75" customHeight="1">
      <c r="A1130" s="15"/>
      <c r="B1130" s="15"/>
      <c r="C1130" s="21"/>
      <c r="D1130" s="15"/>
      <c r="E1130" s="15"/>
      <c r="F1130" s="15"/>
      <c r="G1130" s="387"/>
      <c r="H1130" s="15"/>
      <c r="I1130" s="11"/>
      <c r="J1130" s="11"/>
      <c r="K1130" s="11"/>
      <c r="L1130" s="11"/>
      <c r="M1130" s="15"/>
      <c r="N1130" s="15"/>
      <c r="O1130" s="15"/>
      <c r="P1130" s="15"/>
      <c r="Q1130" s="15"/>
      <c r="R1130" s="15"/>
      <c r="S1130" s="15"/>
      <c r="T1130" s="15"/>
      <c r="U1130" s="15"/>
      <c r="V1130" s="15"/>
      <c r="W1130" s="15"/>
      <c r="X1130" s="15"/>
      <c r="Y1130" s="15"/>
      <c r="Z1130" s="15"/>
      <c r="AA1130" s="15"/>
      <c r="AB1130" s="15"/>
      <c r="AC1130" s="15"/>
      <c r="AD1130" s="15"/>
      <c r="AE1130" s="15"/>
      <c r="AF1130" s="15"/>
    </row>
    <row r="1131" ht="15.75" customHeight="1">
      <c r="A1131" s="15"/>
      <c r="B1131" s="15"/>
      <c r="C1131" s="21"/>
      <c r="D1131" s="15"/>
      <c r="E1131" s="15"/>
      <c r="F1131" s="15"/>
      <c r="G1131" s="387"/>
      <c r="H1131" s="15"/>
      <c r="I1131" s="11"/>
      <c r="J1131" s="11"/>
      <c r="K1131" s="11"/>
      <c r="L1131" s="11"/>
      <c r="M1131" s="15"/>
      <c r="N1131" s="15"/>
      <c r="O1131" s="15"/>
      <c r="P1131" s="15"/>
      <c r="Q1131" s="15"/>
      <c r="R1131" s="15"/>
      <c r="S1131" s="15"/>
      <c r="T1131" s="15"/>
      <c r="U1131" s="15"/>
      <c r="V1131" s="15"/>
      <c r="W1131" s="15"/>
      <c r="X1131" s="15"/>
      <c r="Y1131" s="15"/>
      <c r="Z1131" s="15"/>
      <c r="AA1131" s="15"/>
      <c r="AB1131" s="15"/>
      <c r="AC1131" s="15"/>
      <c r="AD1131" s="15"/>
      <c r="AE1131" s="15"/>
      <c r="AF1131" s="15"/>
    </row>
    <row r="1132" ht="15.75" customHeight="1">
      <c r="A1132" s="15"/>
      <c r="B1132" s="15"/>
      <c r="C1132" s="21"/>
      <c r="D1132" s="15"/>
      <c r="E1132" s="15"/>
      <c r="F1132" s="15"/>
      <c r="G1132" s="387"/>
      <c r="H1132" s="15"/>
      <c r="I1132" s="11"/>
      <c r="J1132" s="11"/>
      <c r="K1132" s="11"/>
      <c r="L1132" s="11"/>
      <c r="M1132" s="15"/>
      <c r="N1132" s="15"/>
      <c r="O1132" s="15"/>
      <c r="P1132" s="15"/>
      <c r="Q1132" s="15"/>
      <c r="R1132" s="15"/>
      <c r="S1132" s="15"/>
      <c r="T1132" s="15"/>
      <c r="U1132" s="15"/>
      <c r="V1132" s="15"/>
      <c r="W1132" s="15"/>
      <c r="X1132" s="15"/>
      <c r="Y1132" s="15"/>
      <c r="Z1132" s="15"/>
      <c r="AA1132" s="15"/>
      <c r="AB1132" s="15"/>
      <c r="AC1132" s="15"/>
      <c r="AD1132" s="15"/>
      <c r="AE1132" s="15"/>
      <c r="AF1132" s="15"/>
    </row>
    <row r="1133" ht="15.75" customHeight="1">
      <c r="A1133" s="15"/>
      <c r="B1133" s="15"/>
      <c r="C1133" s="21"/>
      <c r="D1133" s="15"/>
      <c r="E1133" s="15"/>
      <c r="F1133" s="15"/>
      <c r="G1133" s="387"/>
      <c r="H1133" s="15"/>
      <c r="I1133" s="11"/>
      <c r="J1133" s="11"/>
      <c r="K1133" s="11"/>
      <c r="L1133" s="11"/>
      <c r="M1133" s="15"/>
      <c r="N1133" s="15"/>
      <c r="O1133" s="15"/>
      <c r="P1133" s="15"/>
      <c r="Q1133" s="15"/>
      <c r="R1133" s="15"/>
      <c r="S1133" s="15"/>
      <c r="T1133" s="15"/>
      <c r="U1133" s="15"/>
      <c r="V1133" s="15"/>
      <c r="W1133" s="15"/>
      <c r="X1133" s="15"/>
      <c r="Y1133" s="15"/>
      <c r="Z1133" s="15"/>
      <c r="AA1133" s="15"/>
      <c r="AB1133" s="15"/>
      <c r="AC1133" s="15"/>
      <c r="AD1133" s="15"/>
      <c r="AE1133" s="15"/>
      <c r="AF1133" s="15"/>
    </row>
    <row r="1134" ht="15.75" customHeight="1">
      <c r="A1134" s="15"/>
      <c r="B1134" s="15"/>
      <c r="C1134" s="21"/>
      <c r="D1134" s="15"/>
      <c r="E1134" s="15"/>
      <c r="F1134" s="15"/>
      <c r="G1134" s="387"/>
      <c r="H1134" s="15"/>
      <c r="I1134" s="11"/>
      <c r="J1134" s="11"/>
      <c r="K1134" s="11"/>
      <c r="L1134" s="11"/>
      <c r="M1134" s="15"/>
      <c r="N1134" s="15"/>
      <c r="O1134" s="15"/>
      <c r="P1134" s="15"/>
      <c r="Q1134" s="15"/>
      <c r="R1134" s="15"/>
      <c r="S1134" s="15"/>
      <c r="T1134" s="15"/>
      <c r="U1134" s="15"/>
      <c r="V1134" s="15"/>
      <c r="W1134" s="15"/>
      <c r="X1134" s="15"/>
      <c r="Y1134" s="15"/>
      <c r="Z1134" s="15"/>
      <c r="AA1134" s="15"/>
      <c r="AB1134" s="15"/>
      <c r="AC1134" s="15"/>
      <c r="AD1134" s="15"/>
      <c r="AE1134" s="15"/>
      <c r="AF1134" s="15"/>
    </row>
    <row r="1135" ht="15.75" customHeight="1">
      <c r="A1135" s="15"/>
      <c r="B1135" s="15"/>
      <c r="C1135" s="21"/>
      <c r="D1135" s="15"/>
      <c r="E1135" s="15"/>
      <c r="F1135" s="15"/>
      <c r="G1135" s="387"/>
      <c r="H1135" s="15"/>
      <c r="I1135" s="11"/>
      <c r="J1135" s="11"/>
      <c r="K1135" s="11"/>
      <c r="L1135" s="11"/>
      <c r="M1135" s="15"/>
      <c r="N1135" s="15"/>
      <c r="O1135" s="15"/>
      <c r="P1135" s="15"/>
      <c r="Q1135" s="15"/>
      <c r="R1135" s="15"/>
      <c r="S1135" s="15"/>
      <c r="T1135" s="15"/>
      <c r="U1135" s="15"/>
      <c r="V1135" s="15"/>
      <c r="W1135" s="15"/>
      <c r="X1135" s="15"/>
      <c r="Y1135" s="15"/>
      <c r="Z1135" s="15"/>
      <c r="AA1135" s="15"/>
      <c r="AB1135" s="15"/>
      <c r="AC1135" s="15"/>
      <c r="AD1135" s="15"/>
      <c r="AE1135" s="15"/>
      <c r="AF1135" s="15"/>
    </row>
    <row r="1136" ht="15.75" customHeight="1">
      <c r="A1136" s="15"/>
      <c r="B1136" s="15"/>
      <c r="C1136" s="21"/>
      <c r="D1136" s="15"/>
      <c r="E1136" s="15"/>
      <c r="F1136" s="15"/>
      <c r="G1136" s="387"/>
      <c r="H1136" s="15"/>
      <c r="I1136" s="11"/>
      <c r="J1136" s="11"/>
      <c r="K1136" s="11"/>
      <c r="L1136" s="11"/>
      <c r="M1136" s="15"/>
      <c r="N1136" s="15"/>
      <c r="O1136" s="15"/>
      <c r="P1136" s="15"/>
      <c r="Q1136" s="15"/>
      <c r="R1136" s="15"/>
      <c r="S1136" s="15"/>
      <c r="T1136" s="15"/>
      <c r="U1136" s="15"/>
      <c r="V1136" s="15"/>
      <c r="W1136" s="15"/>
      <c r="X1136" s="15"/>
      <c r="Y1136" s="15"/>
      <c r="Z1136" s="15"/>
      <c r="AA1136" s="15"/>
      <c r="AB1136" s="15"/>
      <c r="AC1136" s="15"/>
      <c r="AD1136" s="15"/>
      <c r="AE1136" s="15"/>
      <c r="AF1136" s="15"/>
    </row>
    <row r="1137" ht="15.75" customHeight="1">
      <c r="A1137" s="15"/>
      <c r="B1137" s="15"/>
      <c r="C1137" s="21"/>
      <c r="D1137" s="15"/>
      <c r="E1137" s="15"/>
      <c r="F1137" s="15"/>
      <c r="G1137" s="387"/>
      <c r="H1137" s="15"/>
      <c r="I1137" s="11"/>
      <c r="J1137" s="11"/>
      <c r="K1137" s="11"/>
      <c r="L1137" s="11"/>
      <c r="M1137" s="15"/>
      <c r="N1137" s="15"/>
      <c r="O1137" s="15"/>
      <c r="P1137" s="15"/>
      <c r="Q1137" s="15"/>
      <c r="R1137" s="15"/>
      <c r="S1137" s="15"/>
      <c r="T1137" s="15"/>
      <c r="U1137" s="15"/>
      <c r="V1137" s="15"/>
      <c r="W1137" s="15"/>
      <c r="X1137" s="15"/>
      <c r="Y1137" s="15"/>
      <c r="Z1137" s="15"/>
      <c r="AA1137" s="15"/>
      <c r="AB1137" s="15"/>
      <c r="AC1137" s="15"/>
      <c r="AD1137" s="15"/>
      <c r="AE1137" s="15"/>
      <c r="AF1137" s="15"/>
    </row>
    <row r="1138" ht="15.75" customHeight="1">
      <c r="A1138" s="15"/>
      <c r="B1138" s="15"/>
      <c r="C1138" s="21"/>
      <c r="D1138" s="15"/>
      <c r="E1138" s="15"/>
      <c r="F1138" s="15"/>
      <c r="G1138" s="387"/>
      <c r="H1138" s="15"/>
      <c r="I1138" s="11"/>
      <c r="J1138" s="11"/>
      <c r="K1138" s="11"/>
      <c r="L1138" s="11"/>
      <c r="M1138" s="15"/>
      <c r="N1138" s="15"/>
      <c r="O1138" s="15"/>
      <c r="P1138" s="15"/>
      <c r="Q1138" s="15"/>
      <c r="R1138" s="15"/>
      <c r="S1138" s="15"/>
      <c r="T1138" s="15"/>
      <c r="U1138" s="15"/>
      <c r="V1138" s="15"/>
      <c r="W1138" s="15"/>
      <c r="X1138" s="15"/>
      <c r="Y1138" s="15"/>
      <c r="Z1138" s="15"/>
      <c r="AA1138" s="15"/>
      <c r="AB1138" s="15"/>
      <c r="AC1138" s="15"/>
      <c r="AD1138" s="15"/>
      <c r="AE1138" s="15"/>
      <c r="AF1138" s="15"/>
    </row>
    <row r="1139" ht="15.75" customHeight="1">
      <c r="A1139" s="15"/>
      <c r="B1139" s="15"/>
      <c r="C1139" s="21"/>
      <c r="D1139" s="15"/>
      <c r="E1139" s="15"/>
      <c r="F1139" s="15"/>
      <c r="G1139" s="387"/>
      <c r="H1139" s="15"/>
      <c r="I1139" s="11"/>
      <c r="J1139" s="11"/>
      <c r="K1139" s="11"/>
      <c r="L1139" s="11"/>
      <c r="M1139" s="15"/>
      <c r="N1139" s="15"/>
      <c r="O1139" s="15"/>
      <c r="P1139" s="15"/>
      <c r="Q1139" s="15"/>
      <c r="R1139" s="15"/>
      <c r="S1139" s="15"/>
      <c r="T1139" s="15"/>
      <c r="U1139" s="15"/>
      <c r="V1139" s="15"/>
      <c r="W1139" s="15"/>
      <c r="X1139" s="15"/>
      <c r="Y1139" s="15"/>
      <c r="Z1139" s="15"/>
      <c r="AA1139" s="15"/>
      <c r="AB1139" s="15"/>
      <c r="AC1139" s="15"/>
      <c r="AD1139" s="15"/>
      <c r="AE1139" s="15"/>
      <c r="AF1139" s="15"/>
    </row>
    <row r="1140" ht="15.75" customHeight="1">
      <c r="A1140" s="15"/>
      <c r="B1140" s="15"/>
      <c r="C1140" s="21"/>
      <c r="D1140" s="15"/>
      <c r="E1140" s="15"/>
      <c r="F1140" s="15"/>
      <c r="G1140" s="387"/>
      <c r="H1140" s="15"/>
      <c r="I1140" s="11"/>
      <c r="J1140" s="11"/>
      <c r="K1140" s="11"/>
      <c r="L1140" s="11"/>
      <c r="M1140" s="15"/>
      <c r="N1140" s="15"/>
      <c r="O1140" s="15"/>
      <c r="P1140" s="15"/>
      <c r="Q1140" s="15"/>
      <c r="R1140" s="15"/>
      <c r="S1140" s="15"/>
      <c r="T1140" s="15"/>
      <c r="U1140" s="15"/>
      <c r="V1140" s="15"/>
      <c r="W1140" s="15"/>
      <c r="X1140" s="15"/>
      <c r="Y1140" s="15"/>
      <c r="Z1140" s="15"/>
      <c r="AA1140" s="15"/>
      <c r="AB1140" s="15"/>
      <c r="AC1140" s="15"/>
      <c r="AD1140" s="15"/>
      <c r="AE1140" s="15"/>
      <c r="AF1140" s="15"/>
    </row>
    <row r="1141" ht="15.75" customHeight="1">
      <c r="A1141" s="15"/>
      <c r="B1141" s="15"/>
      <c r="C1141" s="21"/>
      <c r="D1141" s="15"/>
      <c r="E1141" s="15"/>
      <c r="F1141" s="15"/>
      <c r="G1141" s="387"/>
      <c r="H1141" s="15"/>
      <c r="I1141" s="11"/>
      <c r="J1141" s="11"/>
      <c r="K1141" s="11"/>
      <c r="L1141" s="11"/>
      <c r="M1141" s="15"/>
      <c r="N1141" s="15"/>
      <c r="O1141" s="15"/>
      <c r="P1141" s="15"/>
      <c r="Q1141" s="15"/>
      <c r="R1141" s="15"/>
      <c r="S1141" s="15"/>
      <c r="T1141" s="15"/>
      <c r="U1141" s="15"/>
      <c r="V1141" s="15"/>
      <c r="W1141" s="15"/>
      <c r="X1141" s="15"/>
      <c r="Y1141" s="15"/>
      <c r="Z1141" s="15"/>
      <c r="AA1141" s="15"/>
      <c r="AB1141" s="15"/>
      <c r="AC1141" s="15"/>
      <c r="AD1141" s="15"/>
      <c r="AE1141" s="15"/>
      <c r="AF1141" s="15"/>
    </row>
    <row r="1142" ht="15.75" customHeight="1">
      <c r="A1142" s="15"/>
      <c r="B1142" s="15"/>
      <c r="C1142" s="21"/>
      <c r="D1142" s="15"/>
      <c r="E1142" s="15"/>
      <c r="F1142" s="15"/>
      <c r="G1142" s="387"/>
      <c r="H1142" s="15"/>
      <c r="I1142" s="11"/>
      <c r="J1142" s="11"/>
      <c r="K1142" s="11"/>
      <c r="L1142" s="11"/>
      <c r="M1142" s="15"/>
      <c r="N1142" s="15"/>
      <c r="O1142" s="15"/>
      <c r="P1142" s="15"/>
      <c r="Q1142" s="15"/>
      <c r="R1142" s="15"/>
      <c r="S1142" s="15"/>
      <c r="T1142" s="15"/>
      <c r="U1142" s="15"/>
      <c r="V1142" s="15"/>
      <c r="W1142" s="15"/>
      <c r="X1142" s="15"/>
      <c r="Y1142" s="15"/>
      <c r="Z1142" s="15"/>
      <c r="AA1142" s="15"/>
      <c r="AB1142" s="15"/>
      <c r="AC1142" s="15"/>
      <c r="AD1142" s="15"/>
      <c r="AE1142" s="15"/>
      <c r="AF1142" s="15"/>
    </row>
    <row r="1143" ht="15.75" customHeight="1">
      <c r="A1143" s="15"/>
      <c r="B1143" s="15"/>
      <c r="C1143" s="21"/>
      <c r="D1143" s="15"/>
      <c r="E1143" s="15"/>
      <c r="F1143" s="15"/>
      <c r="G1143" s="387"/>
      <c r="H1143" s="15"/>
      <c r="I1143" s="11"/>
      <c r="J1143" s="11"/>
      <c r="K1143" s="11"/>
      <c r="L1143" s="11"/>
      <c r="M1143" s="15"/>
      <c r="N1143" s="15"/>
      <c r="O1143" s="15"/>
      <c r="P1143" s="15"/>
      <c r="Q1143" s="15"/>
      <c r="R1143" s="15"/>
      <c r="S1143" s="15"/>
      <c r="T1143" s="15"/>
      <c r="U1143" s="15"/>
      <c r="V1143" s="15"/>
      <c r="W1143" s="15"/>
      <c r="X1143" s="15"/>
      <c r="Y1143" s="15"/>
      <c r="Z1143" s="15"/>
      <c r="AA1143" s="15"/>
      <c r="AB1143" s="15"/>
      <c r="AC1143" s="15"/>
      <c r="AD1143" s="15"/>
      <c r="AE1143" s="15"/>
      <c r="AF1143" s="15"/>
    </row>
    <row r="1144" ht="15.75" customHeight="1">
      <c r="A1144" s="15"/>
      <c r="B1144" s="15"/>
      <c r="C1144" s="21"/>
      <c r="D1144" s="15"/>
      <c r="E1144" s="15"/>
      <c r="F1144" s="15"/>
      <c r="G1144" s="387"/>
      <c r="H1144" s="15"/>
      <c r="I1144" s="11"/>
      <c r="J1144" s="11"/>
      <c r="K1144" s="11"/>
      <c r="L1144" s="11"/>
      <c r="M1144" s="15"/>
      <c r="N1144" s="15"/>
      <c r="O1144" s="15"/>
      <c r="P1144" s="15"/>
      <c r="Q1144" s="15"/>
      <c r="R1144" s="15"/>
      <c r="S1144" s="15"/>
      <c r="T1144" s="15"/>
      <c r="U1144" s="15"/>
      <c r="V1144" s="15"/>
      <c r="W1144" s="15"/>
      <c r="X1144" s="15"/>
      <c r="Y1144" s="15"/>
      <c r="Z1144" s="15"/>
      <c r="AA1144" s="15"/>
      <c r="AB1144" s="15"/>
      <c r="AC1144" s="15"/>
      <c r="AD1144" s="15"/>
      <c r="AE1144" s="15"/>
      <c r="AF1144" s="15"/>
    </row>
    <row r="1145" ht="15.75" customHeight="1">
      <c r="A1145" s="15"/>
      <c r="B1145" s="15"/>
      <c r="C1145" s="21"/>
      <c r="D1145" s="15"/>
      <c r="E1145" s="15"/>
      <c r="F1145" s="15"/>
      <c r="G1145" s="387"/>
      <c r="H1145" s="15"/>
      <c r="I1145" s="11"/>
      <c r="J1145" s="11"/>
      <c r="K1145" s="11"/>
      <c r="L1145" s="11"/>
      <c r="M1145" s="15"/>
      <c r="N1145" s="15"/>
      <c r="O1145" s="15"/>
      <c r="P1145" s="15"/>
      <c r="Q1145" s="15"/>
      <c r="R1145" s="15"/>
      <c r="S1145" s="15"/>
      <c r="T1145" s="15"/>
      <c r="U1145" s="15"/>
      <c r="V1145" s="15"/>
      <c r="W1145" s="15"/>
      <c r="X1145" s="15"/>
      <c r="Y1145" s="15"/>
      <c r="Z1145" s="15"/>
      <c r="AA1145" s="15"/>
      <c r="AB1145" s="15"/>
      <c r="AC1145" s="15"/>
      <c r="AD1145" s="15"/>
      <c r="AE1145" s="15"/>
      <c r="AF1145" s="15"/>
    </row>
    <row r="1146" ht="15.75" customHeight="1">
      <c r="A1146" s="15"/>
      <c r="B1146" s="15"/>
      <c r="C1146" s="21"/>
      <c r="D1146" s="15"/>
      <c r="E1146" s="15"/>
      <c r="F1146" s="15"/>
      <c r="G1146" s="387"/>
      <c r="H1146" s="15"/>
      <c r="I1146" s="11"/>
      <c r="J1146" s="11"/>
      <c r="K1146" s="11"/>
      <c r="L1146" s="11"/>
      <c r="M1146" s="15"/>
      <c r="N1146" s="15"/>
      <c r="O1146" s="15"/>
      <c r="P1146" s="15"/>
      <c r="Q1146" s="15"/>
      <c r="R1146" s="15"/>
      <c r="S1146" s="15"/>
      <c r="T1146" s="15"/>
      <c r="U1146" s="15"/>
      <c r="V1146" s="15"/>
      <c r="W1146" s="15"/>
      <c r="X1146" s="15"/>
      <c r="Y1146" s="15"/>
      <c r="Z1146" s="15"/>
      <c r="AA1146" s="15"/>
      <c r="AB1146" s="15"/>
      <c r="AC1146" s="15"/>
      <c r="AD1146" s="15"/>
      <c r="AE1146" s="15"/>
      <c r="AF1146" s="15"/>
    </row>
    <row r="1147" ht="15.75" customHeight="1">
      <c r="A1147" s="15"/>
      <c r="B1147" s="15"/>
      <c r="C1147" s="21"/>
      <c r="D1147" s="15"/>
      <c r="E1147" s="15"/>
      <c r="F1147" s="15"/>
      <c r="G1147" s="387"/>
      <c r="H1147" s="15"/>
      <c r="I1147" s="11"/>
      <c r="J1147" s="11"/>
      <c r="K1147" s="11"/>
      <c r="L1147" s="11"/>
      <c r="M1147" s="15"/>
      <c r="N1147" s="15"/>
      <c r="O1147" s="15"/>
      <c r="P1147" s="15"/>
      <c r="Q1147" s="15"/>
      <c r="R1147" s="15"/>
      <c r="S1147" s="15"/>
      <c r="T1147" s="15"/>
      <c r="U1147" s="15"/>
      <c r="V1147" s="15"/>
      <c r="W1147" s="15"/>
      <c r="X1147" s="15"/>
      <c r="Y1147" s="15"/>
      <c r="Z1147" s="15"/>
      <c r="AA1147" s="15"/>
      <c r="AB1147" s="15"/>
      <c r="AC1147" s="15"/>
      <c r="AD1147" s="15"/>
      <c r="AE1147" s="15"/>
      <c r="AF1147" s="15"/>
    </row>
    <row r="1148" ht="15.75" customHeight="1">
      <c r="A1148" s="15"/>
      <c r="B1148" s="15"/>
      <c r="C1148" s="21"/>
      <c r="D1148" s="15"/>
      <c r="E1148" s="15"/>
      <c r="F1148" s="15"/>
      <c r="G1148" s="387"/>
      <c r="H1148" s="15"/>
      <c r="I1148" s="11"/>
      <c r="J1148" s="11"/>
      <c r="K1148" s="11"/>
      <c r="L1148" s="11"/>
      <c r="M1148" s="15"/>
      <c r="N1148" s="15"/>
      <c r="O1148" s="15"/>
      <c r="P1148" s="15"/>
      <c r="Q1148" s="15"/>
      <c r="R1148" s="15"/>
      <c r="S1148" s="15"/>
      <c r="T1148" s="15"/>
      <c r="U1148" s="15"/>
      <c r="V1148" s="15"/>
      <c r="W1148" s="15"/>
      <c r="X1148" s="15"/>
      <c r="Y1148" s="15"/>
      <c r="Z1148" s="15"/>
      <c r="AA1148" s="15"/>
      <c r="AB1148" s="15"/>
      <c r="AC1148" s="15"/>
      <c r="AD1148" s="15"/>
      <c r="AE1148" s="15"/>
      <c r="AF1148" s="15"/>
    </row>
    <row r="1149" ht="15.75" customHeight="1">
      <c r="A1149" s="15"/>
      <c r="B1149" s="15"/>
      <c r="C1149" s="21"/>
      <c r="D1149" s="15"/>
      <c r="E1149" s="15"/>
      <c r="F1149" s="15"/>
      <c r="G1149" s="387"/>
      <c r="H1149" s="15"/>
      <c r="I1149" s="11"/>
      <c r="J1149" s="11"/>
      <c r="K1149" s="11"/>
      <c r="L1149" s="11"/>
      <c r="M1149" s="15"/>
      <c r="N1149" s="15"/>
      <c r="O1149" s="15"/>
      <c r="P1149" s="15"/>
      <c r="Q1149" s="15"/>
      <c r="R1149" s="15"/>
      <c r="S1149" s="15"/>
      <c r="T1149" s="15"/>
      <c r="U1149" s="15"/>
      <c r="V1149" s="15"/>
      <c r="W1149" s="15"/>
      <c r="X1149" s="15"/>
      <c r="Y1149" s="15"/>
      <c r="Z1149" s="15"/>
      <c r="AA1149" s="15"/>
      <c r="AB1149" s="15"/>
      <c r="AC1149" s="15"/>
      <c r="AD1149" s="15"/>
      <c r="AE1149" s="15"/>
      <c r="AF1149" s="15"/>
    </row>
    <row r="1150" ht="15.75" customHeight="1">
      <c r="A1150" s="15"/>
      <c r="B1150" s="15"/>
      <c r="C1150" s="21"/>
      <c r="D1150" s="15"/>
      <c r="E1150" s="15"/>
      <c r="F1150" s="15"/>
      <c r="G1150" s="387"/>
      <c r="H1150" s="15"/>
      <c r="I1150" s="11"/>
      <c r="J1150" s="11"/>
      <c r="K1150" s="11"/>
      <c r="L1150" s="11"/>
      <c r="M1150" s="15"/>
      <c r="N1150" s="15"/>
      <c r="O1150" s="15"/>
      <c r="P1150" s="15"/>
      <c r="Q1150" s="15"/>
      <c r="R1150" s="15"/>
      <c r="S1150" s="15"/>
      <c r="T1150" s="15"/>
      <c r="U1150" s="15"/>
      <c r="V1150" s="15"/>
      <c r="W1150" s="15"/>
      <c r="X1150" s="15"/>
      <c r="Y1150" s="15"/>
      <c r="Z1150" s="15"/>
      <c r="AA1150" s="15"/>
      <c r="AB1150" s="15"/>
      <c r="AC1150" s="15"/>
      <c r="AD1150" s="15"/>
      <c r="AE1150" s="15"/>
      <c r="AF1150" s="15"/>
    </row>
    <row r="1151" ht="15.75" customHeight="1">
      <c r="A1151" s="15"/>
      <c r="B1151" s="15"/>
      <c r="C1151" s="21"/>
      <c r="D1151" s="15"/>
      <c r="E1151" s="15"/>
      <c r="F1151" s="15"/>
      <c r="G1151" s="387"/>
      <c r="H1151" s="15"/>
      <c r="I1151" s="11"/>
      <c r="J1151" s="11"/>
      <c r="K1151" s="11"/>
      <c r="L1151" s="11"/>
      <c r="M1151" s="15"/>
      <c r="N1151" s="15"/>
      <c r="O1151" s="15"/>
      <c r="P1151" s="15"/>
      <c r="Q1151" s="15"/>
      <c r="R1151" s="15"/>
      <c r="S1151" s="15"/>
      <c r="T1151" s="15"/>
      <c r="U1151" s="15"/>
      <c r="V1151" s="15"/>
      <c r="W1151" s="15"/>
      <c r="X1151" s="15"/>
      <c r="Y1151" s="15"/>
      <c r="Z1151" s="15"/>
      <c r="AA1151" s="15"/>
      <c r="AB1151" s="15"/>
      <c r="AC1151" s="15"/>
      <c r="AD1151" s="15"/>
      <c r="AE1151" s="15"/>
      <c r="AF1151" s="15"/>
    </row>
    <row r="1152" ht="15.75" customHeight="1">
      <c r="A1152" s="15"/>
      <c r="B1152" s="15"/>
      <c r="C1152" s="21"/>
      <c r="D1152" s="15"/>
      <c r="E1152" s="15"/>
      <c r="F1152" s="15"/>
      <c r="G1152" s="387"/>
      <c r="H1152" s="15"/>
      <c r="I1152" s="11"/>
      <c r="J1152" s="11"/>
      <c r="K1152" s="11"/>
      <c r="L1152" s="11"/>
      <c r="M1152" s="15"/>
      <c r="N1152" s="15"/>
      <c r="O1152" s="15"/>
      <c r="P1152" s="15"/>
      <c r="Q1152" s="15"/>
      <c r="R1152" s="15"/>
      <c r="S1152" s="15"/>
      <c r="T1152" s="15"/>
      <c r="U1152" s="15"/>
      <c r="V1152" s="15"/>
      <c r="W1152" s="15"/>
      <c r="X1152" s="15"/>
      <c r="Y1152" s="15"/>
      <c r="Z1152" s="15"/>
      <c r="AA1152" s="15"/>
      <c r="AB1152" s="15"/>
      <c r="AC1152" s="15"/>
      <c r="AD1152" s="15"/>
      <c r="AE1152" s="15"/>
      <c r="AF1152" s="15"/>
    </row>
    <row r="1153" ht="15.75" customHeight="1">
      <c r="A1153" s="15"/>
      <c r="B1153" s="15"/>
      <c r="C1153" s="21"/>
      <c r="D1153" s="15"/>
      <c r="E1153" s="15"/>
      <c r="F1153" s="15"/>
      <c r="G1153" s="387"/>
      <c r="H1153" s="15"/>
      <c r="I1153" s="11"/>
      <c r="J1153" s="11"/>
      <c r="K1153" s="11"/>
      <c r="L1153" s="11"/>
      <c r="M1153" s="15"/>
      <c r="N1153" s="15"/>
      <c r="O1153" s="15"/>
      <c r="P1153" s="15"/>
      <c r="Q1153" s="15"/>
      <c r="R1153" s="15"/>
      <c r="S1153" s="15"/>
      <c r="T1153" s="15"/>
      <c r="U1153" s="15"/>
      <c r="V1153" s="15"/>
      <c r="W1153" s="15"/>
      <c r="X1153" s="15"/>
      <c r="Y1153" s="15"/>
      <c r="Z1153" s="15"/>
      <c r="AA1153" s="15"/>
      <c r="AB1153" s="15"/>
      <c r="AC1153" s="15"/>
      <c r="AD1153" s="15"/>
      <c r="AE1153" s="15"/>
      <c r="AF1153" s="15"/>
    </row>
    <row r="1154" ht="15.75" customHeight="1">
      <c r="A1154" s="15"/>
      <c r="B1154" s="15"/>
      <c r="C1154" s="21"/>
      <c r="D1154" s="15"/>
      <c r="E1154" s="15"/>
      <c r="F1154" s="15"/>
      <c r="G1154" s="387"/>
      <c r="H1154" s="15"/>
      <c r="I1154" s="11"/>
      <c r="J1154" s="11"/>
      <c r="K1154" s="11"/>
      <c r="L1154" s="11"/>
      <c r="M1154" s="15"/>
      <c r="N1154" s="15"/>
      <c r="O1154" s="15"/>
      <c r="P1154" s="15"/>
      <c r="Q1154" s="15"/>
      <c r="R1154" s="15"/>
      <c r="S1154" s="15"/>
      <c r="T1154" s="15"/>
      <c r="U1154" s="15"/>
      <c r="V1154" s="15"/>
      <c r="W1154" s="15"/>
      <c r="X1154" s="15"/>
      <c r="Y1154" s="15"/>
      <c r="Z1154" s="15"/>
      <c r="AA1154" s="15"/>
      <c r="AB1154" s="15"/>
      <c r="AC1154" s="15"/>
      <c r="AD1154" s="15"/>
      <c r="AE1154" s="15"/>
      <c r="AF1154" s="15"/>
    </row>
    <row r="1155" ht="15.75" customHeight="1">
      <c r="A1155" s="15"/>
      <c r="B1155" s="15"/>
      <c r="C1155" s="21"/>
      <c r="D1155" s="15"/>
      <c r="E1155" s="15"/>
      <c r="F1155" s="15"/>
      <c r="G1155" s="387"/>
      <c r="H1155" s="15"/>
      <c r="I1155" s="11"/>
      <c r="J1155" s="11"/>
      <c r="K1155" s="11"/>
      <c r="L1155" s="11"/>
      <c r="M1155" s="15"/>
      <c r="N1155" s="15"/>
      <c r="O1155" s="15"/>
      <c r="P1155" s="15"/>
      <c r="Q1155" s="15"/>
      <c r="R1155" s="15"/>
      <c r="S1155" s="15"/>
      <c r="T1155" s="15"/>
      <c r="U1155" s="15"/>
      <c r="V1155" s="15"/>
      <c r="W1155" s="15"/>
      <c r="X1155" s="15"/>
      <c r="Y1155" s="15"/>
      <c r="Z1155" s="15"/>
      <c r="AA1155" s="15"/>
      <c r="AB1155" s="15"/>
      <c r="AC1155" s="15"/>
      <c r="AD1155" s="15"/>
      <c r="AE1155" s="15"/>
      <c r="AF1155" s="15"/>
    </row>
    <row r="1156" ht="15.75" customHeight="1">
      <c r="A1156" s="15"/>
      <c r="B1156" s="15"/>
      <c r="C1156" s="21"/>
      <c r="D1156" s="15"/>
      <c r="E1156" s="15"/>
      <c r="F1156" s="15"/>
      <c r="G1156" s="387"/>
      <c r="H1156" s="15"/>
      <c r="I1156" s="11"/>
      <c r="J1156" s="11"/>
      <c r="K1156" s="11"/>
      <c r="L1156" s="11"/>
      <c r="M1156" s="15"/>
      <c r="N1156" s="15"/>
      <c r="O1156" s="15"/>
      <c r="P1156" s="15"/>
      <c r="Q1156" s="15"/>
      <c r="R1156" s="15"/>
      <c r="S1156" s="15"/>
      <c r="T1156" s="15"/>
      <c r="U1156" s="15"/>
      <c r="V1156" s="15"/>
      <c r="W1156" s="15"/>
      <c r="X1156" s="15"/>
      <c r="Y1156" s="15"/>
      <c r="Z1156" s="15"/>
      <c r="AA1156" s="15"/>
      <c r="AB1156" s="15"/>
      <c r="AC1156" s="15"/>
      <c r="AD1156" s="15"/>
      <c r="AE1156" s="15"/>
      <c r="AF1156" s="15"/>
    </row>
    <row r="1157" ht="15.75" customHeight="1">
      <c r="A1157" s="15"/>
      <c r="B1157" s="15"/>
      <c r="C1157" s="21"/>
      <c r="D1157" s="15"/>
      <c r="E1157" s="15"/>
      <c r="F1157" s="15"/>
      <c r="G1157" s="387"/>
      <c r="H1157" s="15"/>
      <c r="I1157" s="11"/>
      <c r="J1157" s="11"/>
      <c r="K1157" s="11"/>
      <c r="L1157" s="11"/>
      <c r="M1157" s="15"/>
      <c r="N1157" s="15"/>
      <c r="O1157" s="15"/>
      <c r="P1157" s="15"/>
      <c r="Q1157" s="15"/>
      <c r="R1157" s="15"/>
      <c r="S1157" s="15"/>
      <c r="T1157" s="15"/>
      <c r="U1157" s="15"/>
      <c r="V1157" s="15"/>
      <c r="W1157" s="15"/>
      <c r="X1157" s="15"/>
      <c r="Y1157" s="15"/>
      <c r="Z1157" s="15"/>
      <c r="AA1157" s="15"/>
      <c r="AB1157" s="15"/>
      <c r="AC1157" s="15"/>
      <c r="AD1157" s="15"/>
      <c r="AE1157" s="15"/>
      <c r="AF1157" s="15"/>
    </row>
    <row r="1158" ht="15.75" customHeight="1">
      <c r="A1158" s="15"/>
      <c r="B1158" s="15"/>
      <c r="C1158" s="21"/>
      <c r="D1158" s="15"/>
      <c r="E1158" s="15"/>
      <c r="F1158" s="15"/>
      <c r="G1158" s="387"/>
      <c r="H1158" s="15"/>
      <c r="I1158" s="11"/>
      <c r="J1158" s="11"/>
      <c r="K1158" s="11"/>
      <c r="L1158" s="11"/>
      <c r="M1158" s="15"/>
      <c r="N1158" s="15"/>
      <c r="O1158" s="15"/>
      <c r="P1158" s="15"/>
      <c r="Q1158" s="15"/>
      <c r="R1158" s="15"/>
      <c r="S1158" s="15"/>
      <c r="T1158" s="15"/>
      <c r="U1158" s="15"/>
      <c r="V1158" s="15"/>
      <c r="W1158" s="15"/>
      <c r="X1158" s="15"/>
      <c r="Y1158" s="15"/>
      <c r="Z1158" s="15"/>
      <c r="AA1158" s="15"/>
      <c r="AB1158" s="15"/>
      <c r="AC1158" s="15"/>
      <c r="AD1158" s="15"/>
      <c r="AE1158" s="15"/>
      <c r="AF1158" s="15"/>
    </row>
    <row r="1159" ht="15.75" customHeight="1">
      <c r="A1159" s="15"/>
      <c r="B1159" s="15"/>
      <c r="C1159" s="21"/>
      <c r="D1159" s="15"/>
      <c r="E1159" s="15"/>
      <c r="F1159" s="15"/>
      <c r="G1159" s="387"/>
      <c r="H1159" s="15"/>
      <c r="I1159" s="11"/>
      <c r="J1159" s="11"/>
      <c r="K1159" s="11"/>
      <c r="L1159" s="11"/>
      <c r="M1159" s="15"/>
      <c r="N1159" s="15"/>
      <c r="O1159" s="15"/>
      <c r="P1159" s="15"/>
      <c r="Q1159" s="15"/>
      <c r="R1159" s="15"/>
      <c r="S1159" s="15"/>
      <c r="T1159" s="15"/>
      <c r="U1159" s="15"/>
      <c r="V1159" s="15"/>
      <c r="W1159" s="15"/>
      <c r="X1159" s="15"/>
      <c r="Y1159" s="15"/>
      <c r="Z1159" s="15"/>
      <c r="AA1159" s="15"/>
      <c r="AB1159" s="15"/>
      <c r="AC1159" s="15"/>
      <c r="AD1159" s="15"/>
      <c r="AE1159" s="15"/>
      <c r="AF1159" s="15"/>
    </row>
    <row r="1160" ht="15.75" customHeight="1">
      <c r="A1160" s="15"/>
      <c r="B1160" s="15"/>
      <c r="C1160" s="21"/>
      <c r="D1160" s="15"/>
      <c r="E1160" s="15"/>
      <c r="F1160" s="15"/>
      <c r="G1160" s="387"/>
      <c r="H1160" s="15"/>
      <c r="I1160" s="11"/>
      <c r="J1160" s="11"/>
      <c r="K1160" s="11"/>
      <c r="L1160" s="11"/>
      <c r="M1160" s="15"/>
      <c r="N1160" s="15"/>
      <c r="O1160" s="15"/>
      <c r="P1160" s="15"/>
      <c r="Q1160" s="15"/>
      <c r="R1160" s="15"/>
      <c r="S1160" s="15"/>
      <c r="T1160" s="15"/>
      <c r="U1160" s="15"/>
      <c r="V1160" s="15"/>
      <c r="W1160" s="15"/>
      <c r="X1160" s="15"/>
      <c r="Y1160" s="15"/>
      <c r="Z1160" s="15"/>
      <c r="AA1160" s="15"/>
      <c r="AB1160" s="15"/>
      <c r="AC1160" s="15"/>
      <c r="AD1160" s="15"/>
      <c r="AE1160" s="15"/>
      <c r="AF1160" s="15"/>
    </row>
    <row r="1161" ht="15.75" customHeight="1">
      <c r="A1161" s="15"/>
      <c r="B1161" s="15"/>
      <c r="C1161" s="21"/>
      <c r="D1161" s="15"/>
      <c r="E1161" s="15"/>
      <c r="F1161" s="15"/>
      <c r="G1161" s="387"/>
      <c r="H1161" s="15"/>
      <c r="I1161" s="11"/>
      <c r="J1161" s="11"/>
      <c r="K1161" s="11"/>
      <c r="L1161" s="11"/>
      <c r="M1161" s="15"/>
      <c r="N1161" s="15"/>
      <c r="O1161" s="15"/>
      <c r="P1161" s="15"/>
      <c r="Q1161" s="15"/>
      <c r="R1161" s="15"/>
      <c r="S1161" s="15"/>
      <c r="T1161" s="15"/>
      <c r="U1161" s="15"/>
      <c r="V1161" s="15"/>
      <c r="W1161" s="15"/>
      <c r="X1161" s="15"/>
      <c r="Y1161" s="15"/>
      <c r="Z1161" s="15"/>
      <c r="AA1161" s="15"/>
      <c r="AB1161" s="15"/>
      <c r="AC1161" s="15"/>
      <c r="AD1161" s="15"/>
      <c r="AE1161" s="15"/>
      <c r="AF1161" s="15"/>
    </row>
    <row r="1162" ht="15.75" customHeight="1">
      <c r="A1162" s="15"/>
      <c r="B1162" s="15"/>
      <c r="C1162" s="21"/>
      <c r="D1162" s="15"/>
      <c r="E1162" s="15"/>
      <c r="F1162" s="15"/>
      <c r="G1162" s="387"/>
      <c r="H1162" s="15"/>
      <c r="I1162" s="11"/>
      <c r="J1162" s="11"/>
      <c r="K1162" s="11"/>
      <c r="L1162" s="11"/>
      <c r="M1162" s="15"/>
      <c r="N1162" s="15"/>
      <c r="O1162" s="15"/>
      <c r="P1162" s="15"/>
      <c r="Q1162" s="15"/>
      <c r="R1162" s="15"/>
      <c r="S1162" s="15"/>
      <c r="T1162" s="15"/>
      <c r="U1162" s="15"/>
      <c r="V1162" s="15"/>
      <c r="W1162" s="15"/>
      <c r="X1162" s="15"/>
      <c r="Y1162" s="15"/>
      <c r="Z1162" s="15"/>
      <c r="AA1162" s="15"/>
      <c r="AB1162" s="15"/>
      <c r="AC1162" s="15"/>
      <c r="AD1162" s="15"/>
      <c r="AE1162" s="15"/>
      <c r="AF1162" s="15"/>
    </row>
    <row r="1163" ht="15.75" customHeight="1">
      <c r="A1163" s="15"/>
      <c r="B1163" s="15"/>
      <c r="C1163" s="21"/>
      <c r="D1163" s="15"/>
      <c r="E1163" s="15"/>
      <c r="F1163" s="15"/>
      <c r="G1163" s="387"/>
      <c r="H1163" s="15"/>
      <c r="I1163" s="11"/>
      <c r="J1163" s="11"/>
      <c r="K1163" s="11"/>
      <c r="L1163" s="11"/>
      <c r="M1163" s="15"/>
      <c r="N1163" s="15"/>
      <c r="O1163" s="15"/>
      <c r="P1163" s="15"/>
      <c r="Q1163" s="15"/>
      <c r="R1163" s="15"/>
      <c r="S1163" s="15"/>
      <c r="T1163" s="15"/>
      <c r="U1163" s="15"/>
      <c r="V1163" s="15"/>
      <c r="W1163" s="15"/>
      <c r="X1163" s="15"/>
      <c r="Y1163" s="15"/>
      <c r="Z1163" s="15"/>
      <c r="AA1163" s="15"/>
      <c r="AB1163" s="15"/>
      <c r="AC1163" s="15"/>
      <c r="AD1163" s="15"/>
      <c r="AE1163" s="15"/>
      <c r="AF1163" s="15"/>
    </row>
    <row r="1164" ht="15.75" customHeight="1">
      <c r="A1164" s="15"/>
      <c r="B1164" s="15"/>
      <c r="C1164" s="21"/>
      <c r="D1164" s="15"/>
      <c r="E1164" s="15"/>
      <c r="F1164" s="15"/>
      <c r="G1164" s="387"/>
      <c r="H1164" s="15"/>
      <c r="I1164" s="11"/>
      <c r="J1164" s="11"/>
      <c r="K1164" s="11"/>
      <c r="L1164" s="11"/>
      <c r="M1164" s="15"/>
      <c r="N1164" s="15"/>
      <c r="O1164" s="15"/>
      <c r="P1164" s="15"/>
      <c r="Q1164" s="15"/>
      <c r="R1164" s="15"/>
      <c r="S1164" s="15"/>
      <c r="T1164" s="15"/>
      <c r="U1164" s="15"/>
      <c r="V1164" s="15"/>
      <c r="W1164" s="15"/>
      <c r="X1164" s="15"/>
      <c r="Y1164" s="15"/>
      <c r="Z1164" s="15"/>
      <c r="AA1164" s="15"/>
      <c r="AB1164" s="15"/>
      <c r="AC1164" s="15"/>
      <c r="AD1164" s="15"/>
      <c r="AE1164" s="15"/>
      <c r="AF1164" s="15"/>
    </row>
    <row r="1165" ht="15.75" customHeight="1">
      <c r="A1165" s="15"/>
      <c r="B1165" s="15"/>
      <c r="C1165" s="21"/>
      <c r="D1165" s="15"/>
      <c r="E1165" s="15"/>
      <c r="F1165" s="15"/>
      <c r="G1165" s="387"/>
      <c r="H1165" s="15"/>
      <c r="I1165" s="11"/>
      <c r="J1165" s="11"/>
      <c r="K1165" s="11"/>
      <c r="L1165" s="11"/>
      <c r="M1165" s="15"/>
      <c r="N1165" s="15"/>
      <c r="O1165" s="15"/>
      <c r="P1165" s="15"/>
      <c r="Q1165" s="15"/>
      <c r="R1165" s="15"/>
      <c r="S1165" s="15"/>
      <c r="T1165" s="15"/>
      <c r="U1165" s="15"/>
      <c r="V1165" s="15"/>
      <c r="W1165" s="15"/>
      <c r="X1165" s="15"/>
      <c r="Y1165" s="15"/>
      <c r="Z1165" s="15"/>
      <c r="AA1165" s="15"/>
      <c r="AB1165" s="15"/>
      <c r="AC1165" s="15"/>
      <c r="AD1165" s="15"/>
      <c r="AE1165" s="15"/>
      <c r="AF1165" s="15"/>
    </row>
    <row r="1166" ht="15.75" customHeight="1">
      <c r="A1166" s="15"/>
      <c r="B1166" s="15"/>
      <c r="C1166" s="21"/>
      <c r="D1166" s="15"/>
      <c r="E1166" s="15"/>
      <c r="F1166" s="15"/>
      <c r="G1166" s="387"/>
      <c r="H1166" s="15"/>
      <c r="I1166" s="11"/>
      <c r="J1166" s="11"/>
      <c r="K1166" s="11"/>
      <c r="L1166" s="11"/>
      <c r="M1166" s="15"/>
      <c r="N1166" s="15"/>
      <c r="O1166" s="15"/>
      <c r="P1166" s="15"/>
      <c r="Q1166" s="15"/>
      <c r="R1166" s="15"/>
      <c r="S1166" s="15"/>
      <c r="T1166" s="15"/>
      <c r="U1166" s="15"/>
      <c r="V1166" s="15"/>
      <c r="W1166" s="15"/>
      <c r="X1166" s="15"/>
      <c r="Y1166" s="15"/>
      <c r="Z1166" s="15"/>
      <c r="AA1166" s="15"/>
      <c r="AB1166" s="15"/>
      <c r="AC1166" s="15"/>
      <c r="AD1166" s="15"/>
      <c r="AE1166" s="15"/>
      <c r="AF1166" s="15"/>
    </row>
    <row r="1167" ht="15.75" customHeight="1">
      <c r="A1167" s="15"/>
      <c r="B1167" s="15"/>
      <c r="C1167" s="21"/>
      <c r="D1167" s="15"/>
      <c r="E1167" s="15"/>
      <c r="F1167" s="15"/>
      <c r="G1167" s="387"/>
      <c r="H1167" s="15"/>
      <c r="I1167" s="11"/>
      <c r="J1167" s="11"/>
      <c r="K1167" s="11"/>
      <c r="L1167" s="11"/>
      <c r="M1167" s="15"/>
      <c r="N1167" s="15"/>
      <c r="O1167" s="15"/>
      <c r="P1167" s="15"/>
      <c r="Q1167" s="15"/>
      <c r="R1167" s="15"/>
      <c r="S1167" s="15"/>
      <c r="T1167" s="15"/>
      <c r="U1167" s="15"/>
      <c r="V1167" s="15"/>
      <c r="W1167" s="15"/>
      <c r="X1167" s="15"/>
      <c r="Y1167" s="15"/>
      <c r="Z1167" s="15"/>
      <c r="AA1167" s="15"/>
      <c r="AB1167" s="15"/>
      <c r="AC1167" s="15"/>
      <c r="AD1167" s="15"/>
      <c r="AE1167" s="15"/>
      <c r="AF1167" s="15"/>
    </row>
    <row r="1168" ht="15.75" customHeight="1">
      <c r="A1168" s="15"/>
      <c r="B1168" s="15"/>
      <c r="C1168" s="21"/>
      <c r="D1168" s="15"/>
      <c r="E1168" s="15"/>
      <c r="F1168" s="15"/>
      <c r="G1168" s="387"/>
      <c r="H1168" s="15"/>
      <c r="I1168" s="11"/>
      <c r="J1168" s="11"/>
      <c r="K1168" s="11"/>
      <c r="L1168" s="11"/>
      <c r="M1168" s="15"/>
      <c r="N1168" s="15"/>
      <c r="O1168" s="15"/>
      <c r="P1168" s="15"/>
      <c r="Q1168" s="15"/>
      <c r="R1168" s="15"/>
      <c r="S1168" s="15"/>
      <c r="T1168" s="15"/>
      <c r="U1168" s="15"/>
      <c r="V1168" s="15"/>
      <c r="W1168" s="15"/>
      <c r="X1168" s="15"/>
      <c r="Y1168" s="15"/>
      <c r="Z1168" s="15"/>
      <c r="AA1168" s="15"/>
      <c r="AB1168" s="15"/>
      <c r="AC1168" s="15"/>
      <c r="AD1168" s="15"/>
      <c r="AE1168" s="15"/>
      <c r="AF1168" s="15"/>
    </row>
    <row r="1169" ht="15.75" customHeight="1">
      <c r="A1169" s="15"/>
      <c r="B1169" s="15"/>
      <c r="C1169" s="21"/>
      <c r="D1169" s="15"/>
      <c r="E1169" s="15"/>
      <c r="F1169" s="15"/>
      <c r="G1169" s="387"/>
      <c r="H1169" s="15"/>
      <c r="I1169" s="11"/>
      <c r="J1169" s="11"/>
      <c r="K1169" s="11"/>
      <c r="L1169" s="11"/>
      <c r="M1169" s="15"/>
      <c r="N1169" s="15"/>
      <c r="O1169" s="15"/>
      <c r="P1169" s="15"/>
      <c r="Q1169" s="15"/>
      <c r="R1169" s="15"/>
      <c r="S1169" s="15"/>
      <c r="T1169" s="15"/>
      <c r="U1169" s="15"/>
      <c r="V1169" s="15"/>
      <c r="W1169" s="15"/>
      <c r="X1169" s="15"/>
      <c r="Y1169" s="15"/>
      <c r="Z1169" s="15"/>
      <c r="AA1169" s="15"/>
      <c r="AB1169" s="15"/>
      <c r="AC1169" s="15"/>
      <c r="AD1169" s="15"/>
      <c r="AE1169" s="15"/>
      <c r="AF1169" s="15"/>
    </row>
    <row r="1170" ht="15.75" customHeight="1">
      <c r="A1170" s="15"/>
      <c r="B1170" s="15"/>
      <c r="C1170" s="21"/>
      <c r="D1170" s="15"/>
      <c r="E1170" s="15"/>
      <c r="F1170" s="15"/>
      <c r="G1170" s="387"/>
      <c r="H1170" s="15"/>
      <c r="I1170" s="11"/>
      <c r="J1170" s="11"/>
      <c r="K1170" s="11"/>
      <c r="L1170" s="11"/>
      <c r="M1170" s="15"/>
      <c r="N1170" s="15"/>
      <c r="O1170" s="15"/>
      <c r="P1170" s="15"/>
      <c r="Q1170" s="15"/>
      <c r="R1170" s="15"/>
      <c r="S1170" s="15"/>
      <c r="T1170" s="15"/>
      <c r="U1170" s="15"/>
      <c r="V1170" s="15"/>
      <c r="W1170" s="15"/>
      <c r="X1170" s="15"/>
      <c r="Y1170" s="15"/>
      <c r="Z1170" s="15"/>
      <c r="AA1170" s="15"/>
      <c r="AB1170" s="15"/>
      <c r="AC1170" s="15"/>
      <c r="AD1170" s="15"/>
      <c r="AE1170" s="15"/>
      <c r="AF1170" s="15"/>
    </row>
    <row r="1171" ht="15.75" customHeight="1">
      <c r="A1171" s="15"/>
      <c r="B1171" s="15"/>
      <c r="C1171" s="21"/>
      <c r="D1171" s="15"/>
      <c r="E1171" s="15"/>
      <c r="F1171" s="15"/>
      <c r="G1171" s="387"/>
      <c r="H1171" s="15"/>
      <c r="I1171" s="11"/>
      <c r="J1171" s="11"/>
      <c r="K1171" s="11"/>
      <c r="L1171" s="11"/>
      <c r="M1171" s="15"/>
      <c r="N1171" s="15"/>
      <c r="O1171" s="15"/>
      <c r="P1171" s="15"/>
      <c r="Q1171" s="15"/>
      <c r="R1171" s="15"/>
      <c r="S1171" s="15"/>
      <c r="T1171" s="15"/>
      <c r="U1171" s="15"/>
      <c r="V1171" s="15"/>
      <c r="W1171" s="15"/>
      <c r="X1171" s="15"/>
      <c r="Y1171" s="15"/>
      <c r="Z1171" s="15"/>
      <c r="AA1171" s="15"/>
      <c r="AB1171" s="15"/>
      <c r="AC1171" s="15"/>
      <c r="AD1171" s="15"/>
      <c r="AE1171" s="15"/>
      <c r="AF1171" s="15"/>
    </row>
    <row r="1172" ht="15.75" customHeight="1">
      <c r="A1172" s="15"/>
      <c r="B1172" s="15"/>
      <c r="C1172" s="21"/>
      <c r="D1172" s="15"/>
      <c r="E1172" s="15"/>
      <c r="F1172" s="15"/>
      <c r="G1172" s="387"/>
      <c r="H1172" s="15"/>
      <c r="I1172" s="11"/>
      <c r="J1172" s="11"/>
      <c r="K1172" s="11"/>
      <c r="L1172" s="11"/>
      <c r="M1172" s="15"/>
      <c r="N1172" s="15"/>
      <c r="O1172" s="15"/>
      <c r="P1172" s="15"/>
      <c r="Q1172" s="15"/>
      <c r="R1172" s="15"/>
      <c r="S1172" s="15"/>
      <c r="T1172" s="15"/>
      <c r="U1172" s="15"/>
      <c r="V1172" s="15"/>
      <c r="W1172" s="15"/>
      <c r="X1172" s="15"/>
      <c r="Y1172" s="15"/>
      <c r="Z1172" s="15"/>
      <c r="AA1172" s="15"/>
      <c r="AB1172" s="15"/>
      <c r="AC1172" s="15"/>
      <c r="AD1172" s="15"/>
      <c r="AE1172" s="15"/>
      <c r="AF1172" s="15"/>
    </row>
    <row r="1173" ht="15.75" customHeight="1">
      <c r="A1173" s="15"/>
      <c r="B1173" s="15"/>
      <c r="C1173" s="21"/>
      <c r="D1173" s="15"/>
      <c r="E1173" s="15"/>
      <c r="F1173" s="15"/>
      <c r="G1173" s="387"/>
      <c r="H1173" s="15"/>
      <c r="I1173" s="11"/>
      <c r="J1173" s="11"/>
      <c r="K1173" s="11"/>
      <c r="L1173" s="11"/>
      <c r="M1173" s="15"/>
      <c r="N1173" s="15"/>
      <c r="O1173" s="15"/>
      <c r="P1173" s="15"/>
      <c r="Q1173" s="15"/>
      <c r="R1173" s="15"/>
      <c r="S1173" s="15"/>
      <c r="T1173" s="15"/>
      <c r="U1173" s="15"/>
      <c r="V1173" s="15"/>
      <c r="W1173" s="15"/>
      <c r="X1173" s="15"/>
      <c r="Y1173" s="15"/>
      <c r="Z1173" s="15"/>
      <c r="AA1173" s="15"/>
      <c r="AB1173" s="15"/>
      <c r="AC1173" s="15"/>
      <c r="AD1173" s="15"/>
      <c r="AE1173" s="15"/>
      <c r="AF1173" s="15"/>
    </row>
    <row r="1174" ht="15.75" customHeight="1">
      <c r="A1174" s="15"/>
      <c r="B1174" s="15"/>
      <c r="C1174" s="21"/>
      <c r="D1174" s="15"/>
      <c r="E1174" s="15"/>
      <c r="F1174" s="15"/>
      <c r="G1174" s="387"/>
      <c r="H1174" s="15"/>
      <c r="I1174" s="11"/>
      <c r="J1174" s="11"/>
      <c r="K1174" s="11"/>
      <c r="L1174" s="11"/>
      <c r="M1174" s="15"/>
      <c r="N1174" s="15"/>
      <c r="O1174" s="15"/>
      <c r="P1174" s="15"/>
      <c r="Q1174" s="15"/>
      <c r="R1174" s="15"/>
      <c r="S1174" s="15"/>
      <c r="T1174" s="15"/>
      <c r="U1174" s="15"/>
      <c r="V1174" s="15"/>
      <c r="W1174" s="15"/>
      <c r="X1174" s="15"/>
      <c r="Y1174" s="15"/>
      <c r="Z1174" s="15"/>
      <c r="AA1174" s="15"/>
      <c r="AB1174" s="15"/>
      <c r="AC1174" s="15"/>
      <c r="AD1174" s="15"/>
      <c r="AE1174" s="15"/>
      <c r="AF1174" s="15"/>
    </row>
    <row r="1175" ht="15.75" customHeight="1">
      <c r="A1175" s="15"/>
      <c r="B1175" s="15"/>
      <c r="C1175" s="21"/>
      <c r="D1175" s="15"/>
      <c r="E1175" s="15"/>
      <c r="F1175" s="15"/>
      <c r="G1175" s="387"/>
      <c r="H1175" s="15"/>
      <c r="I1175" s="11"/>
      <c r="J1175" s="11"/>
      <c r="K1175" s="11"/>
      <c r="L1175" s="11"/>
      <c r="M1175" s="15"/>
      <c r="N1175" s="15"/>
      <c r="O1175" s="15"/>
      <c r="P1175" s="15"/>
      <c r="Q1175" s="15"/>
      <c r="R1175" s="15"/>
      <c r="S1175" s="15"/>
      <c r="T1175" s="15"/>
      <c r="U1175" s="15"/>
      <c r="V1175" s="15"/>
      <c r="W1175" s="15"/>
      <c r="X1175" s="15"/>
      <c r="Y1175" s="15"/>
      <c r="Z1175" s="15"/>
      <c r="AA1175" s="15"/>
      <c r="AB1175" s="15"/>
      <c r="AC1175" s="15"/>
      <c r="AD1175" s="15"/>
      <c r="AE1175" s="15"/>
      <c r="AF1175" s="15"/>
    </row>
    <row r="1176" ht="15.75" customHeight="1">
      <c r="A1176" s="15"/>
      <c r="B1176" s="15"/>
      <c r="C1176" s="21"/>
      <c r="D1176" s="15"/>
      <c r="E1176" s="15"/>
      <c r="F1176" s="15"/>
      <c r="G1176" s="387"/>
      <c r="H1176" s="15"/>
      <c r="I1176" s="11"/>
      <c r="J1176" s="11"/>
      <c r="K1176" s="11"/>
      <c r="L1176" s="11"/>
      <c r="M1176" s="15"/>
      <c r="N1176" s="15"/>
      <c r="O1176" s="15"/>
      <c r="P1176" s="15"/>
      <c r="Q1176" s="15"/>
      <c r="R1176" s="15"/>
      <c r="S1176" s="15"/>
      <c r="T1176" s="15"/>
      <c r="U1176" s="15"/>
      <c r="V1176" s="15"/>
      <c r="W1176" s="15"/>
      <c r="X1176" s="15"/>
      <c r="Y1176" s="15"/>
      <c r="Z1176" s="15"/>
      <c r="AA1176" s="15"/>
      <c r="AB1176" s="15"/>
      <c r="AC1176" s="15"/>
      <c r="AD1176" s="15"/>
      <c r="AE1176" s="15"/>
      <c r="AF1176" s="15"/>
    </row>
    <row r="1177" ht="15.75" customHeight="1">
      <c r="A1177" s="15"/>
      <c r="B1177" s="15"/>
      <c r="C1177" s="21"/>
      <c r="D1177" s="15"/>
      <c r="E1177" s="15"/>
      <c r="F1177" s="15"/>
      <c r="G1177" s="387"/>
      <c r="H1177" s="15"/>
      <c r="I1177" s="11"/>
      <c r="J1177" s="11"/>
      <c r="K1177" s="11"/>
      <c r="L1177" s="11"/>
      <c r="M1177" s="15"/>
      <c r="N1177" s="15"/>
      <c r="O1177" s="15"/>
      <c r="P1177" s="15"/>
      <c r="Q1177" s="15"/>
      <c r="R1177" s="15"/>
      <c r="S1177" s="15"/>
      <c r="T1177" s="15"/>
      <c r="U1177" s="15"/>
      <c r="V1177" s="15"/>
      <c r="W1177" s="15"/>
      <c r="X1177" s="15"/>
      <c r="Y1177" s="15"/>
      <c r="Z1177" s="15"/>
      <c r="AA1177" s="15"/>
      <c r="AB1177" s="15"/>
      <c r="AC1177" s="15"/>
      <c r="AD1177" s="15"/>
      <c r="AE1177" s="15"/>
      <c r="AF1177" s="15"/>
    </row>
    <row r="1178" ht="15.75" customHeight="1">
      <c r="A1178" s="15"/>
      <c r="B1178" s="15"/>
      <c r="C1178" s="21"/>
      <c r="D1178" s="15"/>
      <c r="E1178" s="15"/>
      <c r="F1178" s="15"/>
      <c r="G1178" s="387"/>
      <c r="H1178" s="15"/>
      <c r="I1178" s="11"/>
      <c r="J1178" s="11"/>
      <c r="K1178" s="11"/>
      <c r="L1178" s="11"/>
      <c r="M1178" s="15"/>
      <c r="N1178" s="15"/>
      <c r="O1178" s="15"/>
      <c r="P1178" s="15"/>
      <c r="Q1178" s="15"/>
      <c r="R1178" s="15"/>
      <c r="S1178" s="15"/>
      <c r="T1178" s="15"/>
      <c r="U1178" s="15"/>
      <c r="V1178" s="15"/>
      <c r="W1178" s="15"/>
      <c r="X1178" s="15"/>
      <c r="Y1178" s="15"/>
      <c r="Z1178" s="15"/>
      <c r="AA1178" s="15"/>
      <c r="AB1178" s="15"/>
      <c r="AC1178" s="15"/>
      <c r="AD1178" s="15"/>
      <c r="AE1178" s="15"/>
      <c r="AF1178" s="15"/>
    </row>
    <row r="1179" ht="15.75" customHeight="1">
      <c r="A1179" s="15"/>
      <c r="B1179" s="15"/>
      <c r="C1179" s="21"/>
      <c r="D1179" s="15"/>
      <c r="E1179" s="15"/>
      <c r="F1179" s="15"/>
      <c r="G1179" s="387"/>
      <c r="H1179" s="15"/>
      <c r="I1179" s="11"/>
      <c r="J1179" s="11"/>
      <c r="K1179" s="11"/>
      <c r="L1179" s="11"/>
      <c r="M1179" s="15"/>
      <c r="N1179" s="15"/>
      <c r="O1179" s="15"/>
      <c r="P1179" s="15"/>
      <c r="Q1179" s="15"/>
      <c r="R1179" s="15"/>
      <c r="S1179" s="15"/>
      <c r="T1179" s="15"/>
      <c r="U1179" s="15"/>
      <c r="V1179" s="15"/>
      <c r="W1179" s="15"/>
      <c r="X1179" s="15"/>
      <c r="Y1179" s="15"/>
      <c r="Z1179" s="15"/>
      <c r="AA1179" s="15"/>
      <c r="AB1179" s="15"/>
      <c r="AC1179" s="15"/>
      <c r="AD1179" s="15"/>
      <c r="AE1179" s="15"/>
      <c r="AF1179" s="15"/>
    </row>
    <row r="1180" ht="15.75" customHeight="1">
      <c r="A1180" s="15"/>
      <c r="B1180" s="15"/>
      <c r="C1180" s="21"/>
      <c r="D1180" s="15"/>
      <c r="E1180" s="15"/>
      <c r="F1180" s="15"/>
      <c r="G1180" s="387"/>
      <c r="H1180" s="15"/>
      <c r="I1180" s="11"/>
      <c r="J1180" s="11"/>
      <c r="K1180" s="11"/>
      <c r="L1180" s="11"/>
      <c r="M1180" s="15"/>
      <c r="N1180" s="15"/>
      <c r="O1180" s="15"/>
      <c r="P1180" s="15"/>
      <c r="Q1180" s="15"/>
      <c r="R1180" s="15"/>
      <c r="S1180" s="15"/>
      <c r="T1180" s="15"/>
      <c r="U1180" s="15"/>
      <c r="V1180" s="15"/>
      <c r="W1180" s="15"/>
      <c r="X1180" s="15"/>
      <c r="Y1180" s="15"/>
      <c r="Z1180" s="15"/>
      <c r="AA1180" s="15"/>
      <c r="AB1180" s="15"/>
      <c r="AC1180" s="15"/>
      <c r="AD1180" s="15"/>
      <c r="AE1180" s="15"/>
      <c r="AF1180" s="15"/>
    </row>
    <row r="1181" ht="15.75" customHeight="1">
      <c r="A1181" s="15"/>
      <c r="B1181" s="15"/>
      <c r="C1181" s="21"/>
      <c r="D1181" s="15"/>
      <c r="E1181" s="15"/>
      <c r="F1181" s="15"/>
      <c r="G1181" s="387"/>
      <c r="H1181" s="15"/>
      <c r="I1181" s="11"/>
      <c r="J1181" s="11"/>
      <c r="K1181" s="11"/>
      <c r="L1181" s="11"/>
      <c r="M1181" s="15"/>
      <c r="N1181" s="15"/>
      <c r="O1181" s="15"/>
      <c r="P1181" s="15"/>
      <c r="Q1181" s="15"/>
      <c r="R1181" s="15"/>
      <c r="S1181" s="15"/>
      <c r="T1181" s="15"/>
      <c r="U1181" s="15"/>
      <c r="V1181" s="15"/>
      <c r="W1181" s="15"/>
      <c r="X1181" s="15"/>
      <c r="Y1181" s="15"/>
      <c r="Z1181" s="15"/>
      <c r="AA1181" s="15"/>
      <c r="AB1181" s="15"/>
      <c r="AC1181" s="15"/>
      <c r="AD1181" s="15"/>
      <c r="AE1181" s="15"/>
      <c r="AF1181" s="15"/>
    </row>
    <row r="1182" ht="15.75" customHeight="1">
      <c r="A1182" s="15"/>
      <c r="B1182" s="15"/>
      <c r="C1182" s="21"/>
      <c r="D1182" s="15"/>
      <c r="E1182" s="15"/>
      <c r="F1182" s="15"/>
      <c r="G1182" s="387"/>
      <c r="H1182" s="15"/>
      <c r="I1182" s="11"/>
      <c r="J1182" s="11"/>
      <c r="K1182" s="11"/>
      <c r="L1182" s="11"/>
      <c r="M1182" s="15"/>
      <c r="N1182" s="15"/>
      <c r="O1182" s="15"/>
      <c r="P1182" s="15"/>
      <c r="Q1182" s="15"/>
      <c r="R1182" s="15"/>
      <c r="S1182" s="15"/>
      <c r="T1182" s="15"/>
      <c r="U1182" s="15"/>
      <c r="V1182" s="15"/>
      <c r="W1182" s="15"/>
      <c r="X1182" s="15"/>
      <c r="Y1182" s="15"/>
      <c r="Z1182" s="15"/>
      <c r="AA1182" s="15"/>
      <c r="AB1182" s="15"/>
      <c r="AC1182" s="15"/>
      <c r="AD1182" s="15"/>
      <c r="AE1182" s="15"/>
      <c r="AF1182" s="15"/>
    </row>
    <row r="1183" ht="15.75" customHeight="1">
      <c r="A1183" s="15"/>
      <c r="B1183" s="15"/>
      <c r="C1183" s="21"/>
      <c r="D1183" s="15"/>
      <c r="E1183" s="15"/>
      <c r="F1183" s="15"/>
      <c r="G1183" s="387"/>
      <c r="H1183" s="15"/>
      <c r="I1183" s="11"/>
      <c r="J1183" s="11"/>
      <c r="K1183" s="11"/>
      <c r="L1183" s="11"/>
      <c r="M1183" s="15"/>
      <c r="N1183" s="15"/>
      <c r="O1183" s="15"/>
      <c r="P1183" s="15"/>
      <c r="Q1183" s="15"/>
      <c r="R1183" s="15"/>
      <c r="S1183" s="15"/>
      <c r="T1183" s="15"/>
      <c r="U1183" s="15"/>
      <c r="V1183" s="15"/>
      <c r="W1183" s="15"/>
      <c r="X1183" s="15"/>
      <c r="Y1183" s="15"/>
      <c r="Z1183" s="15"/>
      <c r="AA1183" s="15"/>
      <c r="AB1183" s="15"/>
      <c r="AC1183" s="15"/>
      <c r="AD1183" s="15"/>
      <c r="AE1183" s="15"/>
      <c r="AF1183" s="15"/>
    </row>
    <row r="1184" ht="15.75" customHeight="1">
      <c r="A1184" s="15"/>
      <c r="B1184" s="15"/>
      <c r="C1184" s="21"/>
      <c r="D1184" s="15"/>
      <c r="E1184" s="15"/>
      <c r="F1184" s="15"/>
      <c r="G1184" s="387"/>
      <c r="H1184" s="15"/>
      <c r="I1184" s="11"/>
      <c r="J1184" s="11"/>
      <c r="K1184" s="11"/>
      <c r="L1184" s="11"/>
      <c r="M1184" s="15"/>
      <c r="N1184" s="15"/>
      <c r="O1184" s="15"/>
      <c r="P1184" s="15"/>
      <c r="Q1184" s="15"/>
      <c r="R1184" s="15"/>
      <c r="S1184" s="15"/>
      <c r="T1184" s="15"/>
      <c r="U1184" s="15"/>
      <c r="V1184" s="15"/>
      <c r="W1184" s="15"/>
      <c r="X1184" s="15"/>
      <c r="Y1184" s="15"/>
      <c r="Z1184" s="15"/>
      <c r="AA1184" s="15"/>
      <c r="AB1184" s="15"/>
      <c r="AC1184" s="15"/>
      <c r="AD1184" s="15"/>
      <c r="AE1184" s="15"/>
      <c r="AF1184" s="15"/>
    </row>
    <row r="1185" ht="15.75" customHeight="1">
      <c r="A1185" s="15"/>
      <c r="B1185" s="15"/>
      <c r="C1185" s="21"/>
      <c r="D1185" s="15"/>
      <c r="E1185" s="15"/>
      <c r="F1185" s="15"/>
      <c r="G1185" s="387"/>
      <c r="H1185" s="15"/>
      <c r="I1185" s="11"/>
      <c r="J1185" s="11"/>
      <c r="K1185" s="11"/>
      <c r="L1185" s="11"/>
      <c r="M1185" s="15"/>
      <c r="N1185" s="15"/>
      <c r="O1185" s="15"/>
      <c r="P1185" s="15"/>
      <c r="Q1185" s="15"/>
      <c r="R1185" s="15"/>
      <c r="S1185" s="15"/>
      <c r="T1185" s="15"/>
      <c r="U1185" s="15"/>
      <c r="V1185" s="15"/>
      <c r="W1185" s="15"/>
      <c r="X1185" s="15"/>
      <c r="Y1185" s="15"/>
      <c r="Z1185" s="15"/>
      <c r="AA1185" s="15"/>
      <c r="AB1185" s="15"/>
      <c r="AC1185" s="15"/>
      <c r="AD1185" s="15"/>
      <c r="AE1185" s="15"/>
      <c r="AF1185" s="15"/>
    </row>
    <row r="1186" ht="15.75" customHeight="1">
      <c r="A1186" s="15"/>
      <c r="B1186" s="15"/>
      <c r="C1186" s="21"/>
      <c r="D1186" s="15"/>
      <c r="E1186" s="15"/>
      <c r="F1186" s="15"/>
      <c r="G1186" s="387"/>
      <c r="H1186" s="15"/>
      <c r="I1186" s="11"/>
      <c r="J1186" s="11"/>
      <c r="K1186" s="11"/>
      <c r="L1186" s="11"/>
      <c r="M1186" s="15"/>
      <c r="N1186" s="15"/>
      <c r="O1186" s="15"/>
      <c r="P1186" s="15"/>
      <c r="Q1186" s="15"/>
      <c r="R1186" s="15"/>
      <c r="S1186" s="15"/>
      <c r="T1186" s="15"/>
      <c r="U1186" s="15"/>
      <c r="V1186" s="15"/>
      <c r="W1186" s="15"/>
      <c r="X1186" s="15"/>
      <c r="Y1186" s="15"/>
      <c r="Z1186" s="15"/>
      <c r="AA1186" s="15"/>
      <c r="AB1186" s="15"/>
      <c r="AC1186" s="15"/>
      <c r="AD1186" s="15"/>
      <c r="AE1186" s="15"/>
      <c r="AF1186" s="15"/>
    </row>
    <row r="1187" ht="15.75" customHeight="1">
      <c r="A1187" s="15"/>
      <c r="B1187" s="15"/>
      <c r="C1187" s="21"/>
      <c r="D1187" s="15"/>
      <c r="E1187" s="15"/>
      <c r="F1187" s="15"/>
      <c r="G1187" s="387"/>
      <c r="H1187" s="15"/>
      <c r="I1187" s="11"/>
      <c r="J1187" s="11"/>
      <c r="K1187" s="11"/>
      <c r="L1187" s="11"/>
      <c r="M1187" s="15"/>
      <c r="N1187" s="15"/>
      <c r="O1187" s="15"/>
      <c r="P1187" s="15"/>
      <c r="Q1187" s="15"/>
      <c r="R1187" s="15"/>
      <c r="S1187" s="15"/>
      <c r="T1187" s="15"/>
      <c r="U1187" s="15"/>
      <c r="V1187" s="15"/>
      <c r="W1187" s="15"/>
      <c r="X1187" s="15"/>
      <c r="Y1187" s="15"/>
      <c r="Z1187" s="15"/>
      <c r="AA1187" s="15"/>
      <c r="AB1187" s="15"/>
      <c r="AC1187" s="15"/>
      <c r="AD1187" s="15"/>
      <c r="AE1187" s="15"/>
      <c r="AF1187" s="15"/>
    </row>
    <row r="1188" ht="15.75" customHeight="1">
      <c r="A1188" s="15"/>
      <c r="B1188" s="15"/>
      <c r="C1188" s="21"/>
      <c r="D1188" s="15"/>
      <c r="E1188" s="15"/>
      <c r="F1188" s="15"/>
      <c r="G1188" s="387"/>
      <c r="H1188" s="15"/>
      <c r="I1188" s="11"/>
      <c r="J1188" s="11"/>
      <c r="K1188" s="11"/>
      <c r="L1188" s="11"/>
      <c r="M1188" s="15"/>
      <c r="N1188" s="15"/>
      <c r="O1188" s="15"/>
      <c r="P1188" s="15"/>
      <c r="Q1188" s="15"/>
      <c r="R1188" s="15"/>
      <c r="S1188" s="15"/>
      <c r="T1188" s="15"/>
      <c r="U1188" s="15"/>
      <c r="V1188" s="15"/>
      <c r="W1188" s="15"/>
      <c r="X1188" s="15"/>
      <c r="Y1188" s="15"/>
      <c r="Z1188" s="15"/>
      <c r="AA1188" s="15"/>
      <c r="AB1188" s="15"/>
      <c r="AC1188" s="15"/>
      <c r="AD1188" s="15"/>
      <c r="AE1188" s="15"/>
      <c r="AF1188" s="15"/>
    </row>
    <row r="1189" ht="15.75" customHeight="1">
      <c r="A1189" s="15"/>
      <c r="B1189" s="15"/>
      <c r="C1189" s="21"/>
      <c r="D1189" s="15"/>
      <c r="E1189" s="15"/>
      <c r="F1189" s="15"/>
      <c r="G1189" s="387"/>
      <c r="H1189" s="15"/>
      <c r="I1189" s="11"/>
      <c r="J1189" s="11"/>
      <c r="K1189" s="11"/>
      <c r="L1189" s="11"/>
      <c r="M1189" s="15"/>
      <c r="N1189" s="15"/>
      <c r="O1189" s="15"/>
      <c r="P1189" s="15"/>
      <c r="Q1189" s="15"/>
      <c r="R1189" s="15"/>
      <c r="S1189" s="15"/>
      <c r="T1189" s="15"/>
      <c r="U1189" s="15"/>
      <c r="V1189" s="15"/>
      <c r="W1189" s="15"/>
      <c r="X1189" s="15"/>
      <c r="Y1189" s="15"/>
      <c r="Z1189" s="15"/>
      <c r="AA1189" s="15"/>
      <c r="AB1189" s="15"/>
      <c r="AC1189" s="15"/>
      <c r="AD1189" s="15"/>
      <c r="AE1189" s="15"/>
      <c r="AF1189" s="15"/>
    </row>
  </sheetData>
  <mergeCells count="146">
    <mergeCell ref="C3:I3"/>
    <mergeCell ref="B6:B17"/>
    <mergeCell ref="C6:C17"/>
    <mergeCell ref="D6:D17"/>
    <mergeCell ref="B18:B30"/>
    <mergeCell ref="C18:C30"/>
    <mergeCell ref="D18:D30"/>
    <mergeCell ref="C55:C66"/>
    <mergeCell ref="D55:D66"/>
    <mergeCell ref="B31:B42"/>
    <mergeCell ref="C31:C42"/>
    <mergeCell ref="D31:D42"/>
    <mergeCell ref="B43:B54"/>
    <mergeCell ref="C43:C54"/>
    <mergeCell ref="D43:D54"/>
    <mergeCell ref="B55:B66"/>
    <mergeCell ref="C91:C103"/>
    <mergeCell ref="D91:D103"/>
    <mergeCell ref="B67:B78"/>
    <mergeCell ref="C67:C78"/>
    <mergeCell ref="D67:D78"/>
    <mergeCell ref="B79:B90"/>
    <mergeCell ref="C79:C90"/>
    <mergeCell ref="D79:D90"/>
    <mergeCell ref="B91:B103"/>
    <mergeCell ref="C129:C141"/>
    <mergeCell ref="D129:D141"/>
    <mergeCell ref="B104:B115"/>
    <mergeCell ref="C104:C115"/>
    <mergeCell ref="D104:D115"/>
    <mergeCell ref="B116:B128"/>
    <mergeCell ref="C116:C128"/>
    <mergeCell ref="D116:D128"/>
    <mergeCell ref="B129:B141"/>
    <mergeCell ref="C167:C177"/>
    <mergeCell ref="D167:D177"/>
    <mergeCell ref="B142:B154"/>
    <mergeCell ref="C142:C154"/>
    <mergeCell ref="D142:D154"/>
    <mergeCell ref="B155:B166"/>
    <mergeCell ref="C155:C166"/>
    <mergeCell ref="D155:D166"/>
    <mergeCell ref="B167:B177"/>
    <mergeCell ref="C200:C210"/>
    <mergeCell ref="D200:D210"/>
    <mergeCell ref="B178:B188"/>
    <mergeCell ref="C178:C188"/>
    <mergeCell ref="D178:D188"/>
    <mergeCell ref="B189:B199"/>
    <mergeCell ref="C189:C199"/>
    <mergeCell ref="D189:D199"/>
    <mergeCell ref="B200:B210"/>
    <mergeCell ref="C235:C247"/>
    <mergeCell ref="D235:D247"/>
    <mergeCell ref="B211:B223"/>
    <mergeCell ref="C211:C223"/>
    <mergeCell ref="D211:D223"/>
    <mergeCell ref="B224:B234"/>
    <mergeCell ref="C224:C234"/>
    <mergeCell ref="D224:D234"/>
    <mergeCell ref="B235:B247"/>
    <mergeCell ref="B248:B260"/>
    <mergeCell ref="C248:C260"/>
    <mergeCell ref="D248:D260"/>
    <mergeCell ref="B261:B273"/>
    <mergeCell ref="C261:C273"/>
    <mergeCell ref="D261:D273"/>
    <mergeCell ref="A273:A278"/>
    <mergeCell ref="C426:C443"/>
    <mergeCell ref="D426:D443"/>
    <mergeCell ref="B395:B407"/>
    <mergeCell ref="C395:C407"/>
    <mergeCell ref="D395:D407"/>
    <mergeCell ref="B408:B425"/>
    <mergeCell ref="C408:C425"/>
    <mergeCell ref="D408:D425"/>
    <mergeCell ref="B426:B443"/>
    <mergeCell ref="C472:C488"/>
    <mergeCell ref="D472:D488"/>
    <mergeCell ref="B444:B453"/>
    <mergeCell ref="C444:C453"/>
    <mergeCell ref="D444:D453"/>
    <mergeCell ref="B454:B471"/>
    <mergeCell ref="C454:C471"/>
    <mergeCell ref="D454:D471"/>
    <mergeCell ref="B472:B488"/>
    <mergeCell ref="C532:C544"/>
    <mergeCell ref="C546:C556"/>
    <mergeCell ref="C569:C580"/>
    <mergeCell ref="C582:C586"/>
    <mergeCell ref="C588:C594"/>
    <mergeCell ref="C596:C601"/>
    <mergeCell ref="D604:D615"/>
    <mergeCell ref="C604:C615"/>
    <mergeCell ref="C618:C623"/>
    <mergeCell ref="C625:C631"/>
    <mergeCell ref="C633:C637"/>
    <mergeCell ref="C639:C645"/>
    <mergeCell ref="C648:C658"/>
    <mergeCell ref="C672:C679"/>
    <mergeCell ref="C762:C768"/>
    <mergeCell ref="C770:C780"/>
    <mergeCell ref="C783:C791"/>
    <mergeCell ref="C793:C802"/>
    <mergeCell ref="C804:C812"/>
    <mergeCell ref="C697:C702"/>
    <mergeCell ref="C704:C715"/>
    <mergeCell ref="C718:C724"/>
    <mergeCell ref="C726:C732"/>
    <mergeCell ref="C734:C740"/>
    <mergeCell ref="C742:C750"/>
    <mergeCell ref="C752:C760"/>
    <mergeCell ref="C305:C316"/>
    <mergeCell ref="D305:D316"/>
    <mergeCell ref="B274:B292"/>
    <mergeCell ref="C274:C292"/>
    <mergeCell ref="D274:D292"/>
    <mergeCell ref="B293:B304"/>
    <mergeCell ref="C293:C304"/>
    <mergeCell ref="D293:D304"/>
    <mergeCell ref="B305:B316"/>
    <mergeCell ref="C342:C355"/>
    <mergeCell ref="D342:D355"/>
    <mergeCell ref="B317:B327"/>
    <mergeCell ref="C317:C327"/>
    <mergeCell ref="D317:D327"/>
    <mergeCell ref="B328:B341"/>
    <mergeCell ref="C328:C341"/>
    <mergeCell ref="D328:D341"/>
    <mergeCell ref="B342:B355"/>
    <mergeCell ref="C384:C394"/>
    <mergeCell ref="D384:D394"/>
    <mergeCell ref="B356:B369"/>
    <mergeCell ref="C356:C369"/>
    <mergeCell ref="D356:D369"/>
    <mergeCell ref="B370:B383"/>
    <mergeCell ref="C370:C383"/>
    <mergeCell ref="D370:D383"/>
    <mergeCell ref="B384:B394"/>
    <mergeCell ref="B489:B507"/>
    <mergeCell ref="C489:C507"/>
    <mergeCell ref="D489:D507"/>
    <mergeCell ref="B508:B518"/>
    <mergeCell ref="C508:C518"/>
    <mergeCell ref="D508:D518"/>
    <mergeCell ref="C519:C530"/>
  </mergeCells>
  <dataValidations>
    <dataValidation type="list" allowBlank="1" sqref="H522:K522 H549:K549 H707:K707 H737:K737 H745:K745 H755:K755">
      <formula1>"ClosingCleanUp,CleanUp,CreateDoneAwayOrder,GetDataClosing"</formula1>
    </dataValidation>
    <dataValidation type="list" allowBlank="1" sqref="I293:K293 H294:K295">
      <formula1>"CreateDoneAwayOrder,GetDataClosing,VerifyLongPositionsGrid,VerifyShortPositionsGrid,AutomaticClosing,VerifyClosedTrades,CheckAllocatedGroups,GetDataAllocation,UnwindClosing,Copy of Data,Copy of Data_conflict1829986562,Copy of Data 1,Copy of Data 2"</formula1>
    </dataValidation>
    <dataValidation type="list" allowBlank="1" sqref="H535:K535">
      <formula1>"CL,Clean,ClosingCleanUp,CleanUp,CreateDoneAwayOrder,GetDataClosing"</formula1>
    </dataValidation>
    <dataValidation type="list" allowBlank="1" sqref="F447 F451 F453 F486">
      <formula1>"CheckDashboardPM,CheckPortfolioManagement,OpenPSTFromPM,ClosePM,FilterPM,GroupRowPM,CheckDashboardWithPM,RemoveFilterPM,CheckSummaryRowsPM,OpenPTTFromPM,,,,,,,,,,,,,,,,,,,,,,,,,,,,,,,,,,,,,,,,,,,,,,,,,,,,,,,,,,,,,,,,,,,,,,,,,,,,,,,,,,,,,,,,,,,,,,,,,,,,,,,"&amp;",,,,,,,,,,,,,,,,,,,,,,,,,,,,,,,,,,,,,,,,,,,,,,,,,,,,,,,,,,,,,,,,,,,,,,,,,,,,,,,,,,,,,,,,,,,,,,,,,,,,,,,,,,,,,,,,,,,,,,,,,,,,,,,,,,,,,,,,,,,,,,,,,,,,,,,,,,,,,,,,,,,,,,,,,,,,,,,,,,,,,,,,,,,,,,,,,,,,,,,,,,,,,,,,,,,,,,,,,,,,,,,,,,,,,,,,,,,,,,,,,,,,,,,,,,,,,,,"&amp;",,,,,,,,,,,,,,,,,,,,,,,,,,,,,,,,,,,,,,,,,,,,,,,,,,,,,,,,,,,,,,,,,,,,,,,,,,,,,,,,,,,,,,,,,,,,,,,,,,,,,,,,,,,,,,,,,,,,,,,,,,,,,,,,,"</formula1>
    </dataValidation>
    <dataValidation type="list" allowBlank="1" sqref="H511:K511">
      <formula1>"CloseOrder,ClosingCleanUp,CleanUp,CreateDoneAwayOrder,GetDataClosing"</formula1>
    </dataValidation>
    <dataValidation type="list" allowBlank="1" sqref="H709:K709">
      <formula1>"ClosingCleanUp,CleanUp,CreateDoneAwayOrder,GetDataClosing,VerifyLongPositionsGrid,VerifyShortPositionsGrid"</formula1>
    </dataValidation>
    <dataValidation type="list" allowBlank="1" sqref="H666:K666">
      <formula1>"CreateDoneAwayOrder,GetDataAllocation,SelectAllocatedGroup,BookOrUpdateSwap,SelectTradeUnexpiredUnsettled,SwapExpireAndRollover,CheckAllocatedGroups,GetDataClosing"</formula1>
    </dataValidation>
    <dataValidation type="list" allowBlank="1" sqref="I248:K248 H249:K250">
      <formula1>"GetDataClosing,SelectTradeUnexpiredUnsettled,ExerciseAssignment,VerifyExpiredSettledGrid,UnWindTradeSettlement,GetDataAllocation,CheckPortfolioManagement,CheckAllocatedGroups,CreateDoneAwayOrder,VerifyLongPositionsGrid,VerifyShortPositionsGrid,Copy of Dat"&amp;"a"</formula1>
    </dataValidation>
    <dataValidation type="list" allowBlank="1" sqref="H644:K644">
      <formula1>"ClosingCleanUp,CleanUp,CreateTransaction,SaveTransaction,CashSettlementAtCost"</formula1>
    </dataValidation>
    <dataValidation type="list" allowBlank="1" sqref="H304:K304 H316:K316">
      <formula1>"CreateDoneAwayOrder,GetDataClosing,VerifyLongPositionsGrid,VerifyShortPositionsGrid,AutomaticClosing,VerifyClosedTrades,CheckAllocatedGroups,GetDataAllocation,CheckPortfolioManagement,UnwindClosing"</formula1>
    </dataValidation>
    <dataValidation type="list" allowBlank="1" sqref="H345:K354">
      <formula1>"CreateDoneAwayOrder,GetDataClosing,VerifyLongPositionsGrid,SelectTradeUnexpiredUnsettled,CashSettlementAtCost,VerifyExpiredSettledGrid,GetDataAllocation,CheckAllocatedGroups,UnWindTradeSettlement,VerifyTradingTransaction,GetTradingTransaction"</formula1>
    </dataValidation>
    <dataValidation type="list" allowBlank="1" sqref="H655:K655">
      <formula1>"CreateDoneAwayOrder,GetDataAllocation,SelectAllocatedGroup,BookOrUpdateSwap,SelectTradeUnexpiredUnsettled"</formula1>
    </dataValidation>
    <dataValidation type="list" allowBlank="1" sqref="H614:K614">
      <formula1>"SetGeneralPreferences,CreateDoneAwayOrder,CleanUp,ClosingCleanUp,ExerciseAssignment,SelectTradeUnexpiredUnsettled,VerifyExpiredSettledGrid,GetDataAllocation,CheckAllocatedGroups,CheckUnallocatedGroups"</formula1>
    </dataValidation>
    <dataValidation type="list" allowBlank="1" sqref="F641:F642">
      <formula1>"CreateTransaction,AddNewTransaction,SaveTransaction,,,,,,,,,,,,,,,,,,,,,,,,,,,,,,,,,,,,,,,,,,,,,,,,,,,,,,,,,,,,,,,,,,,,,,,,,,,,,,,,,,,,,,,,,,,,,,,,,,,,,,,,,,,,,,,,,,,,,,,,,,,,,,,,,,,,,,,,,,,,,,,,,,,,,,,,,,,,,,,,,,,,,,,,,,,,,,,,,,,,,,,,,,,,,,,,,,,,,,,,,,,,"&amp;",,,,,,,,,,,,,,,,,,,,,,,,,,,,,,,,,,,,,,,,,,,,,,,,,,,,,,,,,,,,,,,,,,,,,,,,,,,,,,,,,,,,,,,,,,,,,,,,,,,,,,,,,,,,,,,,,,,,,,,,,,,,,,,,,,,,,,,,,,,,,,,,,,,,,,,,,,,,,,,,,,,,,,,,,,,,,,,,,,,,,,,,,,,,,,,,,,,,,,,,,,,,,,,,,,,,,,,,,,,,,,,,,,,,,,,,,,,,,,,,,,,,,,,,,,,,,,,"&amp;",,,,,,,,,,,,,,,,,,,,,,,,,,,,,,,,,,,"</formula1>
    </dataValidation>
    <dataValidation type="list" allowBlank="1" sqref="H586:K586 H630:K630 H637:K637">
      <formula1>"ClosingCleanUp,CleanUp,CreateDoneAwayOrder,ManualClosing,VerifyClosedTrades"</formula1>
    </dataValidation>
    <dataValidation type="list" allowBlank="1" sqref="H700:K700">
      <formula1>"Import,GetDataAllocation,UpdateForexConversion"</formula1>
    </dataValidation>
    <dataValidation type="list" allowBlank="1" sqref="H768:K768">
      <formula1>"ClosingCleanUp,CleanUp,CreateDoneAwayOrder,SelectAllocatedGroup,EditAllocatedGroupSidePanel,CheckAllocatedGroups,ManualClosing"</formula1>
    </dataValidation>
    <dataValidation type="list" allowBlank="1" sqref="I200:K200 H201:K202">
      <formula1>"CreateDoneAwayOrder,GetDataClosing,SelectTradeUnexpiredUnsettled,CashSettlementAtZeroPrice,UnWindTradeSettlement,VerifyExpiredSettledGrid,GetDataAllocation,CheckAllocatedGroups,VerifyLongPositionsGrid,Copy of Data,Copy of Data_conflict82411215"</formula1>
    </dataValidation>
    <dataValidation type="list" allowBlank="1" sqref="H537:K537 H574:K574">
      <formula1>"CreateDoneAwayOrder,GetDataClosing,VerifyLongPositionsGrid,SelectTradeUnexpiredUnsettled"</formula1>
    </dataValidation>
    <dataValidation type="list" allowBlank="1" sqref="H600:K600">
      <formula1>"ClosingCleanUp,CleanUp,CreateDoneAwayOrder,Verify,ManualClosing,UnwindClosing"</formula1>
    </dataValidation>
    <dataValidation type="list" allowBlank="1" sqref="H712:K712">
      <formula1>"ClosingCleanUp,CleanUp,CreateDoneAwayOrder,GetDataClosing,VerifyLongPositionsGrid,VerifyShortPositionsGrid,AutomaticClosing,VerifyClosedTrades"</formula1>
    </dataValidation>
    <dataValidation type="list" allowBlank="1" sqref="H552:K552">
      <formula1>"ClosingCleanUp,CleanUp,CreateDoneAwayOrder,GetDataClosing,VerifyLongPositionsGrid,SelectTradeUnexpiredUnsettled,CashSettlementAtCost"</formula1>
    </dataValidation>
    <dataValidation type="list" allowBlank="1" sqref="H690:K690">
      <formula1>"ClosingCleanUp,CleanUp,SetClosingPreference,CreateDoneAwayOrder,GetDataClosing,SelectTradeUnexpiredUnsettled,ExerciseAssignment"</formula1>
    </dataValidation>
    <dataValidation type="list" allowBlank="1" sqref="F12:F13 F37:F38 F49:F50 F61:F62 F85:F86 F94 F97 F99 F107 F110:F111 F119 F122 F124 F132 F135 F137 F145 F148 F150 F158 F161:F162 F170 F173:F174 F181 F184:F185 F192 F194:F195 F203 F205:F206 F216 F218 F331 F333:F334 F345 F347:F348 F359 F361:F362 F375:F376 F401 F403">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amp;",,,,,,,,,,,,,,,,,,,,,,,,,,,,,,,,,,,,,,,,,,,,,,,,,,,,,,,,,,,,,,,,,,,,,,,,,,,,,,,,,,,,,,,,,,,,,,,,,,,,,,,,,,,,,,,,,,,,,,,,,,,,,,,,,,,,,,,,,,,,,,,,,,,,,,,,,,,,,,,,,,,,,,,,,,,,,,,,,,,,,,,,,,,,,,,,,,,,,,,,,,,,,,,,,,,,,,,,,,,,,,,,,,,,,,,,,,,,,,,,,,,,,,,,,,,,,,,"&amp;",,,,,,,,,,,,,,,,,,,,,,,,,,,,,,,,,,,,,,,,,,,,,,,,,,,,,,,,,,,,,,,,,,,,,,,,,,,,,,,,,,,,,,,,,,,,,,,,,,,,,,,,,,,,,,,,,,,,,,,,,,,,,,,,,,,,,,,,,,,,,,,,,,,,,,,,,,,,,,,,,,,,,,,,,,,"</formula1>
    </dataValidation>
    <dataValidation type="list" allowBlank="1" sqref="I31:K31 H32:K37 H40:K42">
      <formula1>"ManualClosing,VerifyClosedTrades,CreateDoneAwayOrder,CheckAllocatedGroups,CheckPortfolioManagement,GetDataClosing,VerifyLongPositionsGrid,VerifyShortPositionsGrid,GetDataAllocation,Copy of Data,Copy of Data_conflict1302148328"</formula1>
    </dataValidation>
    <dataValidation type="list" allowBlank="1" sqref="H599:K599">
      <formula1>"ClosingCleanUp,CleanUp,CreateDoneAwayOrder,Verify,ManualClosing"</formula1>
    </dataValidation>
    <dataValidation type="list" allowBlank="1" sqref="H670:K670">
      <formula1>"ClosingCleanUp,CleanUp,CreateDoneAwayOrder,GetDataAllocation,SelectAllocatedGroup,BookOrUpdateSwap,GetDataClosing,SelectTradeUnexpiredUnsettled,SwapExpireAndRollover,CheckAllocatedGroups"</formula1>
    </dataValidation>
    <dataValidation type="list" allowBlank="1" sqref="H70:K73 H74:H75 H76:K78">
      <formula1>"CreateDoneAwayOrder,ManualClosing,VerifyClosedTrades,CheckAllocatedGroups,CheckPortfolioManagement,GetDataClosing,VerifyLongPositionsGrid,VerifyShortPositionsGrid,GetDataAllocation"</formula1>
    </dataValidation>
    <dataValidation type="list" allowBlank="1" sqref="H561:K561">
      <formula1>"SetClosingPreference,CreateDoneAwayOrder"</formula1>
    </dataValidation>
    <dataValidation type="list" allowBlank="1" sqref="F411 F429">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SaveAllocation,UnallocateWithOutSave,,,,,,,,,,,,,,,,,,,,,,,,,,,,,,,,,,,,,,,,,,,,,,,,,,,,,,,,,,,,,,,,,,,,,,,,,,,,,,,,,,,,,,,,,,,,,,,,,,,,,,,,,,,,,,,,,,,,,,,,,,,,,,,,,,,,,,,,,,,,,,,,,"&amp;",,,,,,,,,,,,,,,,,,,,,,,,,,,,,,,,,,,,,,,,,,,,,,,,,,,,,,,,,,,,,,,,,,,,,,,,,,,,,,,,,,,,,,,,,,,,,,,,,,,,,,,,,,,,,,,,,,,,,,,,,,,,,,,,,,,,,,,,,,,,,,,,,,,,,,,,,,,,,,,,,,,,,,,,,,,,,,,,,,,,,,,,,,,,,,,,,,,,,,,,,,,,,,,,,,,,,,,,,,,,,,,,,,,,,,,,,,,,,,,,,,,,,,,,,"</formula1>
    </dataValidation>
    <dataValidation type="list" allowBlank="1" sqref="E7:E17 E19:E30 E32:E42 E44:E54 E56:E66 E68:E78 E80:E86 E90 E92:E93 E97:E102 E105:E106 E110:E114 E117:E118 E122:E127 E130:E131 E141 E143:E154 E156:E166 E168:E177 E179:E188 E190:E199 E201:E210 E212:E223 E225:E234 E236:E242 E247 E249:E260 E262:E273 E275:E281 E294:E304 E306:E316 E318:E327 E329:E341 E343:E355 E357:E369 E371:E383 E385:E394 E396:E407 E409:E425 E427:E443 E445:E453 E455:E488 E490:E1189">
      <formula1>'_Modules'!$A$4:$A1189</formula1>
    </dataValidation>
    <dataValidation type="list" allowBlank="1" sqref="H373:K382">
      <formula1>"CreateDoneAwayOrder,GetDataClosing,VerifyLongPositionsGrid,SelectTradeUnexpiredUnsettled,VerifyExpiredSettledGrid,GetDataAllocation,CheckAllocatedGroups,UnWindTradeSettlement,CashSettlementAtZeroPrice,GetTradingTransaction,VerifyTradingTransaction"</formula1>
    </dataValidation>
    <dataValidation type="list" allowBlank="1" sqref="I6:K6 H7:K8">
      <formula1>"CreateDoneAwayOrder,ManualClosing,VerifyClosedTrades,CheckAllocatedGroups,CheckPortfolioManagement,UnwindClosing,GetDataClosing,GetDataAllocation,VerifyLongPositionsGrid,VerifyShortPositionsGrid,Copy of Data"</formula1>
    </dataValidation>
    <dataValidation type="list" allowBlank="1" sqref="H664:K664">
      <formula1>"ClosingCleanUp,CleanUp,CreateDoneAwayOrder,GetDataAllocation,SelectAllocatedGroup"</formula1>
    </dataValidation>
    <dataValidation type="list" allowBlank="1" sqref="H539:K539 H576:K576">
      <formula1>"CreateDoneAwayOrder,GetDataClosing,VerifyLongPositionsGrid,SelectTradeUnexpiredUnsettled,ExerciseAssignmentAtZero,VerifyExpiredSettledGrid"</formula1>
    </dataValidation>
    <dataValidation type="list" allowBlank="1" sqref="H643:K643">
      <formula1>"CashSettlementAtCost,VerifyExpiredSettledGrid,CreateTransaction1,SelectTradeUnexpiredUnsettled"</formula1>
    </dataValidation>
    <dataValidation type="list" allowBlank="1" sqref="H669:K669">
      <formula1>"CreateDoneAwayOrder,GetDataAllocation,SelectAllocatedGroup,BookOrUpdateSwap,GetDataClosing,SelectTradeUnexpiredUnsettled,SwapExpireAndRollover,CheckAllocatedGroups"</formula1>
    </dataValidation>
    <dataValidation type="list" allowBlank="1" sqref="H730:K730">
      <formula1>"CreateDoneAwayOrder,GetDataClosing,ExerciseAssignment,SelectTradeUnexpiredUnsettled"</formula1>
    </dataValidation>
    <dataValidation type="list" allowBlank="1" sqref="I178:K178 H179:K180">
      <formula1>"UnwindClosing,GetDataClosing,AutomaticClosing,VerifyClosedTrades,GetDataAllocation,CheckAllocatedGroups,CheckPortfolioManagement,CreateDoneAwayOrder,VerifyLongPositionsGrid,VerifyShortPositionsGrid,Copy of Data"</formula1>
    </dataValidation>
    <dataValidation type="list" allowBlank="1" sqref="H514:K514">
      <formula1>"CloseOrder,ClosingCleanUp,CleanUp,CreateDoneAwayOrder,GetDataClosing,VerifyLongPositionsGrid,SelectTradeUnexpiredUnsettled,Expire"</formula1>
    </dataValidation>
    <dataValidation type="list" allowBlank="1" sqref="I370:K370 H371:K372">
      <formula1>"CreateDoneAwayOrder,GetDataClosing,VerifyLongPositionsGrid,SelectTradeUnexpiredUnsettled,VerifyExpiredSettledGrid,GetDataAllocation,CheckAllocatedGroups,UnWindTradeSettlement,CashSettlementAtZeroPrice,GetTradingTransaction,VerifyTradingTransaction,Copy of"&amp;" Data,Copy of Data_conflict1776658474"</formula1>
    </dataValidation>
    <dataValidation type="list" allowBlank="1" sqref="H398:K407">
      <formula1>"ManualClosing,VerifyClosedTrades,CreateDoneAwayOrder,CheckAllocatedGroups,CheckPortfolioManagement,UnwindClosing,GetDataClosing,GetDataAllocation,VerifyLongPositionsGrid,VerifyShortPositionsGrid"</formula1>
    </dataValidation>
    <dataValidation type="list" allowBlank="1" sqref="H602:K602">
      <formula1>"UpdateServerConfig,RestartExpnl,Copy of Data,Copy of Data 1"</formula1>
    </dataValidation>
    <dataValidation type="list" allowBlank="1" sqref="H38:K39 I43:K43 H44:K45 I74:K75">
      <formula1>"ManualClosing,VerifyClosedTrades,CreateDoneAwayOrder,CheckAllocatedGroups,CheckPortfolioManagement,GetDataClosing,VerifyLongPositionsGrid,VerifyShortPositionsGrid,GetDataAllocation"</formula1>
    </dataValidation>
    <dataValidation type="list" allowBlank="1" sqref="H94:K103">
      <formula1>"CreateDoneAwayOrder,AutomaticClosing,VerifyClosedTrades,UnwindClosing,GetDataClosing,CheckAllocatedGroups,CheckPortfolioManagement,GetDataAllocation,VerifyLongPositionsGrid,VerifyShortPositionsGrid"</formula1>
    </dataValidation>
    <dataValidation type="list" allowBlank="1" sqref="H590:K590">
      <formula1>"ManualClosing,ManualClosing1,ManualClosing2,VerifyClosedTrades,Copy of Data,Copy of Data 1,CreateDoneAwayOrder"</formula1>
    </dataValidation>
    <dataValidation type="list" allowBlank="1" sqref="H296:K303">
      <formula1>"CreateDoneAwayOrder,GetDataClosing,VerifyLongPositionsGrid,VerifyShortPositionsGrid,AutomaticClosing,VerifyClosedTrades,CheckAllocatedGroups,GetDataAllocation,UnwindClosing"</formula1>
    </dataValidation>
    <dataValidation type="list" allowBlank="1" sqref="H801:K801">
      <formula1>"ClosingCleanUp,CleanUp,SetClosingPreference,CreateDoneAwayOrder,SelectTradeUnexpiredUnsettled,ExerciseAssignment,CheckAllocatedGroups"</formula1>
    </dataValidation>
    <dataValidation type="list" allowBlank="1" sqref="H775:K775 H781:K781">
      <formula1>"CreateDoneAwayOrder,CheckAllocatedGroups,ManualClosing,CheckAllocatedGroups1,SelectAllocatedGroup,EditTradesAllocated,VerifyClosedTrades"</formula1>
    </dataValidation>
    <dataValidation type="list" allowBlank="1" sqref="H132:K141 H145:K154 H158:K166">
      <formula1>"CreateDoneAwayOrder,GetDataClosing,AutomaticClosing,VerifyClosedTrades,UnwindClosing,GetDataAllocation,CheckAllocatedGroups,CheckPortfolioManagement,VerifyLongPositionsGrid,VerifyShortPositionsGrid"</formula1>
    </dataValidation>
    <dataValidation type="list" allowBlank="1" sqref="H58:K66">
      <formula1>"ManualClosing,VerifyClosedTrades,CreateDoneAwayOrder,CheckAllocatedGroups,CheckPortfolioManagement,UnwindClosing,GetDataClosing,VerifyLongPositionsGrid,VerifyShortPositionsGrid,GetDataAllocation"</formula1>
    </dataValidation>
    <dataValidation type="list" allowBlank="1" sqref="H528:K528">
      <formula1>"ClosingCleanUp,CleanUp,CreateDoneAwayOrder,GetDataClosing,VerifyLongPositionsGrid,SelectTradeUnexpiredUnsettled,ExerciseAssignment,ExerciseAssignmentAtZero,VerifyExpiredSettledGrid,GetDataAllocation,CheckAllocatedGroups"</formula1>
    </dataValidation>
    <dataValidation type="list" allowBlank="1" sqref="I224:K224 H225:K226">
      <formula1>"GetDataClosing,SelectTradeUnexpiredUnsettled,Expire,UnWindTradeSettlement,VerifyExpiredSettledGrid,GetDataAllocation,CheckAllocatedGroups,CreateDoneAwayOrder,VerifyLongPositionsGrid,Copy of Data"</formula1>
    </dataValidation>
    <dataValidation type="list" allowBlank="1" sqref="H779:K779">
      <formula1>"CreateDoneAwayOrder,CheckAllocatedGroups,ManualClosing,CheckAllocatedGroups1,SelectAllocatedGroup,EditTradesAllocated,VerifyClosedTrades,ManualClosing2,ManualClosing3,ManualClosing4,EditAllocatedGroupSidePanel"</formula1>
    </dataValidation>
    <dataValidation type="list" allowBlank="1" sqref="I167:K167 H168:K169">
      <formula1>"UnwindClosing,GetDataClosing,VerifyClosedTrades,AutomaticClosing,GetDataAllocation,CheckAllocatedGroups,CheckPortfolioManagement,CreateDoneAwayOrder,VerifyLongPositionsGrid,VerifyShortPositionsGrid,Copy of Data,Copy of Data_conflict871054957"</formula1>
    </dataValidation>
    <dataValidation type="list" allowBlank="1" sqref="H492:K495 H497:K506">
      <formula1>"CreateDoneAwayOrder,GetDataClosing,ManualClosing,VerifyClosedTrades,UnwindClosing,CreateDoneAwayOrder1,AutomaticClosing,VerifyClosedTradesFIFO,UnwindClosing1,VerifyLongPositionsGrid,VerifyShortPositionsGrid,AutomaticClosingLIFO,VerifyClosedTradesLIFO,Unwi"&amp;"ndClosing2"</formula1>
    </dataValidation>
    <dataValidation type="list" allowBlank="1" sqref="H553:K553">
      <formula1>"ClosingCleanUp,CleanUp,CreateDoneAwayOrder,GetDataClosing,VerifyLongPositionsGrid,SelectTradeUnexpiredUnsettled,CashSettlementAtCost,VerifyExpiredSettledGrid"</formula1>
    </dataValidation>
    <dataValidation type="list" allowBlank="1" sqref="F14 F28 F40 F52 F63 F76 F87 F301:F302 F313:F314 F325:F326 F404 F412:F415 F421:F422 F430:F433 F439:F440">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275">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615:K615">
      <formula1>"SetGeneralPreferences,CreateDoneAwayOrder,CleanUp,ClosingCleanUp,ExerciseAssignment,SelectTradeUnexpiredUnsettled,VerifyExpiredSettledGrid,GetDataAllocation,CheckAllocatedGroups,CheckUnallocatedGroups,UnWindTradeSettlement"</formula1>
    </dataValidation>
    <dataValidation type="list" allowBlank="1" sqref="H658:K658">
      <formula1>"CreateDoneAwayOrder,GetDataAllocation,SelectAllocatedGroup,BookOrUpdateSwap,SelectTradeUnexpiredUnsettled,GetDataClosing,SwapExpire,CheckAllocatedGroups"</formula1>
    </dataValidation>
    <dataValidation type="list" allowBlank="1" sqref="H746:K746 H756:K756">
      <formula1>"ClosingCleanUp,CleanUp,CreateDoneAwayOrder,GetDataClosing,ManualClosing"</formula1>
    </dataValidation>
    <dataValidation type="list" allowBlank="1" sqref="H510:K510">
      <formula1>"CloseOrder,ClosingCleanUp,CleanUp,CreateDoneAwayOrder"</formula1>
    </dataValidation>
    <dataValidation type="list" allowBlank="1" sqref="H429:K443">
      <formula1>"CreateDoneAwayOrder,CheckAllocatedGroups,SelectAllocatedGroup,EditAllocatedGroupSidePanel,GetDataClosing,VerifyUnExpiredUnSettledGrid,SelectTradeUnexpiredUnsettled,PhysicalSettlement,VerifyExpiredSettledGrid,GetDataAllocation,VerifyActivity,GetActivityDat"&amp;"a,UnWindTradeSettlement,CheckAllocatedGroups2,CheckAllocatedGroups1"</formula1>
    </dataValidation>
    <dataValidation type="list" allowBlank="1" sqref="F602 F616">
      <formula1>"RestartServer,UpdateServerConfig,,,,,,,,,,,,,,,,,,,,,,,,,,,,,,,,,,,,,,,,,,,,,,,,,,,,,,,,,,,,,,,,,,,,,,,,,,,,,,,,,,,,,,,,,,,,,,,,,,,,,,,,,,,,,,,,,,,,,,,,,,,,,,,,,,,,,,,,,,,,,,,,,,,,,,,,,,,,,,,,,,,,,,,,,,,,,,,,,,,,,,,,,,,,,,,,,,,,,,,,,,,,,,,,,,,,,,,,,,,,,,,"&amp;",,,,,,,,,,,,,,,,,,,,,,,,,,,,,,,,,,,,,,,,,,,,,,,,,,,,,,,,,,,,,,,,,,,,,,,,,,,,,,,,,,,,,,,,,,,,,,,,,,,,,,,,,,,,,,,,,,,,,,,,,,,,,,,,,,,,,,,,,,,,,,,,,,,,,,,,,,,,,,,,,,,,,,,,,,,,,,,,,,,,,,,,,,,,,,,,,,,,,,,,,,,,,,,,,,,,,,,,,,,,,,,,,,,,,,,,,,,,,,,,,,,,,,,,,,,,,,,"&amp;",,,,,,,,,,,,,,,,,"</formula1>
    </dataValidation>
    <dataValidation type="list" allowBlank="1" sqref="H677:K677">
      <formula1>"clea,ClosingCleanUp,CleanUp,CreateDoneAwayOrder,SelectTradeUnexpiredUnsettled,ExerciseAssignment,ManualClosing"</formula1>
    </dataValidation>
    <dataValidation type="list" allowBlank="1" sqref="H711:K711">
      <formula1>"CreateDoneAwayOrder,GetDataClosing,VerifyLongPositionsGrid,VerifyShortPositionsGrid,AutomaticClosing,VerifyClosedTrades,GetDataAllocation,CheckAllocatedGroups,CheckPortfolioManagement"</formula1>
    </dataValidation>
    <dataValidation type="list" allowBlank="1" sqref="H777:K777">
      <formula1>"CreateDoneAwayOrder,CheckAllocatedGroups,ManualClosing,CheckAllocatedGroups1,SelectAllocatedGroup,EditTradesAllocated,VerifyClosedTrades,ManualClosing2,ManualClosing3"</formula1>
    </dataValidation>
    <dataValidation type="list" allowBlank="1" sqref="I18:K18 H19:K20">
      <formula1>"CreateDoneAwayOrder,ManualClosing,VerifyClosedTrades,CheckAllocatedGroups,CheckPortfolioManagement,GetDataClosing,GetDataAllocation,VerifyLongPositionsGrid,VerifyShortPositionsGrid,Copy of Data,Copy of Data 1"</formula1>
    </dataValidation>
    <dataValidation type="list" allowBlank="1" sqref="I261:K261 H262:K263">
      <formula1>"GetDataClosing,SelectTradeUnexpiredUnsettled,ExerciseAssignmentAtZero,VerifyExpiredSettledGrid,UnWindTradeSettlement,CreateDoneAwayOrder,GetDataAllocation,CheckAllocatedGroups,CheckPortfolioManagement,VerifyLongPositionsGrid,VerifyShortPositionsGrid,Copy "&amp;"of Data"</formula1>
    </dataValidation>
    <dataValidation type="list" allowBlank="1" sqref="H474:K474">
      <formula1>"CreateDoneAwayOrder,GetDataClosing,VerifyLongPositionsGrid,VerifyShortPositionsGrid,ManualClosing,UnwindClosing,VerifyClosedTrades,CheckPortfolioManagement,GetActivityData,VerifyActivity,ManualClosing1,Copy of Data"</formula1>
    </dataValidation>
    <dataValidation type="list" allowBlank="1" sqref="H722:K722">
      <formula1>"CreateDoneAwayOrder,GetDataClosing,SelectTradeUnexpiredUnsettled"</formula1>
    </dataValidation>
    <dataValidation type="list" allowBlank="1" sqref="H536:K536">
      <formula1>"CreateDoneAwayOrder,GetDataClosing,VerifyLongPositionsGrid"</formula1>
    </dataValidation>
    <dataValidation type="list" allowBlank="1" sqref="H702:K702">
      <formula1>"Import,GetDataAllocation,UpdateForexConversion,GetDataClosing,VerifyLongPositionsGrid"</formula1>
    </dataValidation>
    <dataValidation type="list" allowBlank="1" sqref="H540:K540 H577:K577">
      <formula1>"CreateDoneAwayOrder,GetDataClosing,VerifyLongPositionsGrid,SelectTradeUnexpiredUnsettled,ExerciseAssignmentAtZero,VerifyExpiredSettledGrid,GetDataAllocation"</formula1>
    </dataValidation>
    <dataValidation type="list" allowBlank="1" sqref="I142:K142 H143:K144">
      <formula1>"CreateDoneAwayOrder,GetDataClosing,AutomaticClosing,VerifyClosedTrades,UnwindClosing,GetDataAllocation,CheckAllocatedGroups,CheckPortfolioManagement,VerifyLongPositionsGrid,VerifyShortPositionsGrid,Copy of Data,Copy of Data_conflict1601801213"</formula1>
    </dataValidation>
    <dataValidation type="list" allowBlank="1" sqref="I104:K104 H105:K106">
      <formula1>"CreateDoneAwayOrder,AutomaticClosing,VerifyClosedTrades,UnwindClosing,GetDataClosing,GetDataAllocation,CheckAllocatedGroups,CheckPortfolioManagement,VerifyLongPositionsGrid,VerifyShortPositionsGrid,Copy of Data,Copy of Data 1"</formula1>
    </dataValidation>
    <dataValidation type="list" allowBlank="1" sqref="H523:K523 H550:K550 H708:K708">
      <formula1>"ClosingCleanUp,CleanUp,CreateDoneAwayOrder,GetDataClosing,VerifyLongPositionsGrid"</formula1>
    </dataValidation>
    <dataValidation type="list" allowBlank="1" sqref="H674:K674">
      <formula1>"clea,ClosingCleanUp,CleanUp,CreateDoneAwayOrder"</formula1>
    </dataValidation>
    <dataValidation type="list" allowBlank="1" sqref="H747:K747 H757:K757">
      <formula1>"CreateDoneAwayOrder,GetDataClosing,ManualClosing,SelectAllocatedGroup,EditAllocatedGroupSidePanel,CheckAllocatedGroups,VerifyClosedTrades"</formula1>
    </dataValidation>
    <dataValidation type="list" allowBlank="1" sqref="H543:K543 H580:K580">
      <formula1>"CreateDoneAwayOrder,GetDataClosing,VerifyLongPositionsGrid,SelectTradeUnexpiredUnsettled,ExerciseAssignmentAtZero,VerifyExpiredSettledGrid,GetDataAllocation,CheckAllocatedGroups,CheckPortfolioManagement,UnWindTradeSettlement"</formula1>
    </dataValidation>
    <dataValidation type="list" allowBlank="1" sqref="H517:K517">
      <formula1>"CloseOrder,ClosingCleanUp,CleanUp,CreateDoneAwayOrder,GetDataClosing,VerifyLongPositionsGrid,SelectTradeUnexpiredUnsettled,Expire,VerifyExpiredSettledGrid,CheckAllocatedGroups"</formula1>
    </dataValidation>
    <dataValidation type="list" allowBlank="1" sqref="H631:K631">
      <formula1>"ClosingCleanUp,CleanUp,CreateDoneAwayOrder,ManualClosing,VerifyClosedTrades,CheckAllocatedGroups"</formula1>
    </dataValidation>
    <dataValidation type="list" allowBlank="1" sqref="H214:K223">
      <formula1>"CreateDoneAwayOrder,GetDataClosing,SelectTradeUnexpiredUnsettled,CashSettlementAtClosingDtSpotPx,UnWindTradeSettlement,VerifyExpiredSettledGrid,GetDataAllocation,CheckAllocatedGroups,VerifyLongPositionsGrid,GetMarkPriceData,UpdateMarkPrice"</formula1>
    </dataValidation>
    <dataValidation type="list" allowBlank="1" sqref="F16 F30 F42 F54 F65 F78 F89 F102 F114 F127 F140 F153 F165 F246 F259 F272 F406">
      <formula1>"CheckDashboardPM,CheckPortfolioManagement,OpenPSTFromPM,ClosePM,FilterPM,GroupRowPM,CheckDashboardWithPM,RemoveFilterPM,CheckSummaryRowsPM,,,,,,,,,,,,,,,,,,,,,,,,,,,,,,,,,,,,,,,,,,,,,,,,,,,,,,,,,,,,,,,,,,,,,,,,,,,,,,,,,,,,,,,,,,,,,,,,,,,,,,,,,,,,,,,,,,,,,"&amp;",,,,,,,,,,,,,,,,,,,,,,,,,,,,,,,,,,,,,,,,,,,,,,,,,,,,,,,,,,,,,,,,,,,,,,,,,,,,,,,,,,,,,,,,,,,,,,,,,,,,,,,,,,,,,,,,,,,,,,,,,,,,,,,,,,,,,,,,,,,,,,,,,,,,,,,,,,,,,,,,,,,,,,,,,,,,,,,,,,,,,,,,,,,,,,,,,,,,,,,,,,,,,,,,,,,,,,,,,,,,,,,,,,,,,,,,,,,,,,,,,,,,,,,,,,,,,,,"&amp;",,,,,,,,,,,,,,,,,,,,,,,,,,,,,,,,,,,,,,,,,,,,,,,,,,,,,,,,,,,,,,,,,,,,,,,,,,,,,,,,,,,,,,,,,,,,,,,,,,,,,,,,,,,,,,,,,,,,"</formula1>
    </dataValidation>
    <dataValidation type="list" allowBlank="1" sqref="H616:K616">
      <formula1>"UpdateServerConfig,RestartExpnl"</formula1>
    </dataValidation>
    <dataValidation type="list" allowBlank="1" sqref="H331:K340">
      <formula1>"CreateDoneAwayOrder,GetDataClosing,VerifyLongPositionsGrid,SelectTradeUnexpiredUnsettled,CashSettlementAtCost,VerifyExpiredSettledGrid,GetDataAllocation,CheckAllocatedGroups,GetTradingTransaction,VerifyTradingTransaction,UnWindTradeSettlement"</formula1>
    </dataValidation>
    <dataValidation type="list" allowBlank="1" sqref="H809:K809">
      <formula1>"ClosingCleanUp,CleanUp,SetClosingPreference,CreateDoneAwayOrder,CheckAllocatedGroups,SelectTradeUnexpiredUnsettled"</formula1>
    </dataValidation>
    <dataValidation type="list" allowBlank="1" sqref="H650:K650 H728:K728">
      <formula1>"CreateDoneAwayOrder"</formula1>
    </dataValidation>
    <dataValidation type="list" allowBlank="1" sqref="H657:K657">
      <formula1>"CreateDoneAwayOrder,GetDataAllocation,SelectAllocatedGroup,BookOrUpdateSwap,GetDataClosing,SelectTradeUnexpiredUnsettled,SwapExpire,CheckAllocatedGroups,VerifyExpiredSettledGrid"</formula1>
    </dataValidation>
    <dataValidation type="list" allowBlank="1" sqref="H652:K652">
      <formula1>"CreateDoneAwayOrder,GetDataAllocation,SelectAllocatedGroup"</formula1>
    </dataValidation>
    <dataValidation type="list" allowBlank="1" sqref="F698">
      <formula1>"Import,,,,,,,,,,,,,,,,,,,,,,,,,,,,,,,,,,,,,,,,,,,,,,,,,,,,,,,,,,,,,,,,,,,,,,,,,,,,,,,,,,,,,,,,,,,,,,,,,,,,,,,,,,,,,,,,,,,,,,,,,,,,,,,,,,,,,,,,,,,,,,,,,,,,,,,,,,,,,,,,,,,,,,,,,,,,,,,,,,,,,,,,,,,,,,,,,,,,,,,,,,,,,,,,,,,,,,,,,,,,,,,,,,,,,,,,,,,,,,,,,,,,,,,,,"&amp;",,,,,,,,,,,,,,,,,,,,,,,,,,,,,,,,,,,,,,,,,,,,,,,,,,,,,,,,,,,,,,,,,,,,,,,,,,,,,,,,,,,,,,,,,,,,,,,,,,,,,,,,,,,,,,,,,,,,,,,,,,,,,,,,,,,,,,,,,,,,,,,,,,,,,,,,,,,,,,,,,,,,,,,,,,,,,,,,,,,,,,,,,,,,,,,,,,,,,,,,,,,,,,,,,,,,,,,,,,,,,,,,,,,,,,,,,,,,,,,,,,,,,,,"</formula1>
    </dataValidation>
    <dataValidation type="list" allowBlank="1" sqref="F700">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790:K790">
      <formula1>"ClosingCleanUp,CleanUp,CreateDoneAwayOrder,SelectTradeUnexpiredUnsettled,SetClosingPreference,ExerciseAssignment,CheckAllocatedGroups"</formula1>
    </dataValidation>
    <dataValidation type="list" allowBlank="1" sqref="H608:K608">
      <formula1>"SetGeneralPreferences,CreateDoneAwayOrder,CleanUp,ClosingCleanUp,ExerciseAssignment,SelectTradeUnexpiredUnsettled,VerifyExpiredSettledGrid,GetDataAllocation,CheckAllocatedGroups,CheckUnallocatedGroups,UnWindTradeSettlement,SetGeneralPreferences2,UpdateSer"&amp;"verConfig,GetDataClosing"</formula1>
    </dataValidation>
    <dataValidation type="list" allowBlank="1" sqref="H612:K612">
      <formula1>"SetGeneralPreferences,CreateDoneAwayOrder,CleanUp,ClosingCleanUp,ExerciseAssignment,SelectTradeUnexpiredUnsettled,VerifyExpiredSettledGrid,GetDataAllocation"</formula1>
    </dataValidation>
    <dataValidation type="list" allowBlank="1" sqref="H564:K564">
      <formula1>"SetClosingPreference,CreateDoneAwayOrder,ManualClosing,VerifyClosedTrades,SetClosingPreference2"</formula1>
    </dataValidation>
    <dataValidation type="list" allowBlank="1" sqref="H413:K413 H415:K425">
      <formula1>"CreateDoneAwayOrder,CheckAllocatedGroups,EditAllocatedGroupSidePanel,GetDataClosing,VerifyUnExpiredUnSettledGrid,SelectTradeUnexpiredUnsettled,PhysicalSettlement,VerifyExpiredSettledGrid,SelectAllocatedGroup,GetDataAllocation,GetActivityData,VerifyActivit"&amp;"y,UnWindTradeSettlement,CheckAllocatedGroups1,CheckAllocatedGroups2,EditAllocatedGroupSidePanel1"</formula1>
    </dataValidation>
    <dataValidation type="list" allowBlank="1" sqref="H732:K732">
      <formula1>"CreateDoneAwayOrder,GetDataClosing,SelectTradeUnexpiredUnsettled,ExerciseAssignment,CheckAllocatedGroups"</formula1>
    </dataValidation>
    <dataValidation type="list" allowBlank="1" sqref="H656:K656">
      <formula1>"CreateDoneAwayOrder,GetDataAllocation,SelectAllocatedGroup,BookOrUpdateSwap,SelectTradeUnexpiredUnsettled,GetDataClosing,SwapExpire"</formula1>
    </dataValidation>
    <dataValidation type="list" allowBlank="1" sqref="I116:K116 H117:K118">
      <formula1>"CreateDoneAwayOrder,AutomaticClosing,VerifyClosedTrades,UnwindClosing,GetDataClosing,GetDataAllocation,CheckAllocatedGroups,CheckPortfolioManagement,VerifyLongPositionsGrid,VerifyShortPositionsGrid,Copy of Data"</formula1>
    </dataValidation>
    <dataValidation type="list" allowBlank="1" sqref="H668:K668">
      <formula1>"ClosingCleanUp,CleanUp,CreateDoneAwayOrder,GetDataAllocation,SelectAllocatedGroup,BookOrUpdateSwap,GetDataClosing,SelectTradeUnexpiredUnsettled,SwapExpireAndRollover"</formula1>
    </dataValidation>
    <dataValidation type="list" allowBlank="1" sqref="H766:K766">
      <formula1>"ClosingCleanUp,CleanUp,CreateDoneAwayOrder,SelectAllocatedGroup,EditAllocatedGroupSidePanel"</formula1>
    </dataValidation>
    <dataValidation type="list" allowBlank="1" sqref="H534:K534">
      <formula1>"CL,Clean,ClosingCleanUp,CleanUp,CreateDoneAwayOrder"</formula1>
    </dataValidation>
    <dataValidation type="list" allowBlank="1" sqref="H556:K556">
      <formula1>"ClosingCleanUp,CleanUp,CreateDoneAwayOrder,GetDataClosing,VerifyLongPositionsGrid,SelectTradeUnexpiredUnsettled,CashSettlementAtCost,VerifyExpiredSettledGrid,GetDataAllocation,CheckAllocatedGroups,CheckPortfolioManagement"</formula1>
    </dataValidation>
    <dataValidation type="list" allowBlank="1" sqref="F473">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StrategyValuesToAllocate,SetGeneralRuleCalculatedPref,CopyCalculatedPreferenceToolbar,EnterAllocatePreference,ExportAllCalculatedPreferences,SaveCalculatedPreferences,CloseCalculatedPreferences,ExportCalculatedPreference,EditUnal"&amp;"locatedGroupSidePanel,ImportCalculatedPreferences,OpenAuditTrailUnallocatedGroup,DeleteCalculatedPreferencesTool,ImportCalculatedPreferencesTool,ExportAllCalculatedPreferTool,CheckFixedPreference,DeleteFixedPreference,OpenSymbolLookupUnallocateGroup,OpenS"&amp;"ymbolLookupAllocatedGroup,GetFixedPreference,CheckAllocatedGroups,CheckUnallocatedGroups,SetGeneralPreferences,EditAllocatedGroupSidePanel,OpenAuditTrailAllocatedGroup,GroupTrades,UngroupTrades,DeleteGroup,CloseOrder,Unallocate,CloseAllocation,GeneralPref"&amp;"CompanyUserWise,SetGeneralRuleCalPreference,UpdateGRAccountValue,UpdateGRStrategyValue,UpdateGRDefaultRule,UpdateGeneralRulePref,ModifyGRPreferenceValues,AddMFPreferences,AddMFPreferenceToolbar,DeleteMFPreferences,DeleteMFPreferenceToolbar,RenameMFPrefere"&amp;"nces,SaveCloseMFPreference,SetMFPrefAccountValues,ModifyMFPrefGeneralRuleValues,SetMFPrefStrategyValues,SetMFPrefFundDistribution,SetMFPreferencesDefaultRule,SetMFPrefGeneralRule,SetMFPrefFundDefaultRule,ClearPrefetchFilters,ExpandCollapseAllUnallocated,E"&amp;"xpandCollapseAllAllocated,GenerateCashTransaction,SaveAllocation,UnallocateWithOutSave,,,,,,,,,,,,,,,,,,,,,,,,,,,,,,,,,,,,,,,,,,,,,,,,,,,,,,,,,,,,,,,,,,,,,,,,,,,,,,,,,,,,,,,,,,,,,,,,,,,,,,,,,,,,,,,,,,,,,,,,,,,,,,,,,,,,,,,,,,,,,,,,,,,,,,,,,,,,,,,,,,,,,,,,,"&amp;",,,,,,,,,,,,,,,,,,,,,,,,,,,,,,,,,,,,,,,,,,,,,,,,,,,,,,,,,,,,,,,,,,,,,,,,,,,,,,,,,,,,,,,,,,,,,,,,,,,,,,,,,,,,,,,,,,,,,,,,,,,,,,,,,,,,,,,,,,,,,,,,,,,,,,,,,,,,,,,,,,,,,,,,,,,,,,,,,,,,,,,,,,,,,,,,,,,,,,,,,,,,,,,,,,,,,,,,,,,,,,,,,,"</formula1>
    </dataValidation>
    <dataValidation type="list" allowBlank="1" sqref="H491:K491">
      <formula1>"CreateDoneAwayOrder,GetDataClosing,ManualClosing,VerifyClosedTrades,UnwindClosing,CreateDoneAwayOrder1,AutomaticClosing,VerifyClosedTradesFIFO,UnwindClosing1,VerifyLongPositionsGrid,VerifyShortPositionsGrid,AutomaticClosingLIFO,VerifyClosedTradesLIFO,Unwi"&amp;"ndClosing2,Copy of Data"</formula1>
    </dataValidation>
    <dataValidation type="list" allowBlank="1" sqref="I79:K79 H80:K81">
      <formula1>"ManualClosing,VerifyClosedTrades,UnwindClosing,CreateDoneAwayOrder,CheckAllocatedGroups,CheckPortfolioManagement,GetDataClosing,VerifyLongPositionsGrid,VerifyShortPositionsGrid,GetDataAllocation,Copy of Data,Copy of Data_conflict274867680"</formula1>
    </dataValidation>
    <dataValidation type="list" allowBlank="1" sqref="F7:F8 F19:F20 F32:F33 F44:F45 F56:F57 F68:F69 F80:F81 F92:F93 F105:F106 F117:F118 F130:F131 F143:F144 F156:F157 F168:F169 F179:F180 F190:F191 F201:F202 F212:F213 F225:F226 F236:F237 F249:F250 F262:F263 F276 F294:F295 F306:F307 F318:F319 F329:F330 F343:F344 F357:F358 F371:F372 F385:F386 F396:F397 F409:F410 F427:F428 F445:F446 F455:F456 F474 F490:F491">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515:K515">
      <formula1>"CloseOrder,ClosingCleanUp,CleanUp,CreateDoneAwayOrder,GetDataClosing,VerifyLongPositionsGrid,SelectTradeUnexpiredUnsettled,Expire,VerifyExpiredSettledGrid"</formula1>
    </dataValidation>
    <dataValidation type="list" allowBlank="1" sqref="H798:K798">
      <formula1>"SetClosingPreference,CreateDoneAwayOrder,SelectTradeUnexpiredUnsettled,ExerciseAssignment,CheckAllocatedGroups,EditTradeUnexpiredUnsettled"</formula1>
    </dataValidation>
    <dataValidation type="list" allowBlank="1" sqref="H622:K622">
      <formula1>"CreateDoneAwayOrder,ManualClosing,VerifyLongPositionsGrid,create"</formula1>
    </dataValidation>
    <dataValidation type="list" allowBlank="1" sqref="H181:K188">
      <formula1>"UnwindClosing,GetDataClosing,AutomaticClosing,VerifyClosedTrades,GetDataAllocation,CheckAllocatedGroups,CheckPortfolioManagement,CreateDoneAwayOrder,VerifyLongPositionsGrid,VerifyShortPositionsGrid"</formula1>
    </dataValidation>
    <dataValidation type="list" allowBlank="1" sqref="I342:K342 H343:K344">
      <formula1>"CreateDoneAwayOrder,GetDataClosing,VerifyLongPositionsGrid,SelectTradeUnexpiredUnsettled,CashSettlementAtCost,VerifyExpiredSettledGrid,GetDataAllocation,CheckAllocatedGroups,UnWindTradeSettlement,VerifyTradingTransaction,GetTradingTransaction,Copy of Data"&amp;",Copy of Data_conflict1952109081"</formula1>
    </dataValidation>
    <dataValidation type="list" allowBlank="1" sqref="H542:K542 H579:K579">
      <formula1>"CreateDoneAwayOrder,GetDataClosing,VerifyLongPositionsGrid,SelectTradeUnexpiredUnsettled,ExerciseAssignmentAtZero,VerifyExpiredSettledGrid,GetDataAllocation,CheckAllocatedGroups,CheckPortfolioManagement"</formula1>
    </dataValidation>
    <dataValidation type="list" allowBlank="1" sqref="H785:K785">
      <formula1>"ClosingCleanUp,CleanUp,CreateDoneAwayOrder,SelectTradeUnexpiredUnsettled,SetClosingPreference"</formula1>
    </dataValidation>
    <dataValidation type="list" allowBlank="1" sqref="H308:K308 H315:K315">
      <formula1>"CreateDoneAwayOrder,GetDataClosing,UnwindClosing,VerifyLongPositionsGrid,VerifyShortPositionsGrid,AutomaticClosing,VerifyClosedTrades,GetDataAllocation,CheckAllocatedGroups,CheckPortfolioManagement"</formula1>
    </dataValidation>
    <dataValidation type="list" allowBlank="1" sqref="I155:K155 H156:K157">
      <formula1>"CreateDoneAwayOrder,GetDataClosing,AutomaticClosing,VerifyClosedTrades,UnwindClosing,GetDataAllocation,CheckAllocatedGroups,CheckPortfolioManagement,VerifyLongPositionsGrid,VerifyShortPositionsGrid,Copy of Data,Copy of Data_conflict1108649710"</formula1>
    </dataValidation>
    <dataValidation type="list" allowBlank="1" sqref="I235:K235 H236:K237">
      <formula1>"CreateDoneAwayOrder,GetDataClosing,SelectTradeUnexpiredUnsettled,PhysicalSettlement,UnWindTradeSettlement,VerifyExpiredSettledGrid,GetDataAllocation,CheckAllocatedGroups,CheckPortfolioManagement,VerifyLongPositionsGrid,VerifyShortPositionsGrid,Copy of Dat"&amp;"a,Copy of Data_conflict1764711013"</formula1>
    </dataValidation>
    <dataValidation type="list" allowBlank="1" sqref="H714:K714">
      <formula1>"ClosingCleanUp,CleanUp,CreateDoneAwayOrder,GetDataClosing,VerifyLongPositionsGrid,VerifyShortPositionsGrid,AutomaticClosing,VerifyClosedTrades,GetDataAllocation,CheckAllocatedGroups"</formula1>
    </dataValidation>
    <dataValidation type="list" allowBlank="1" sqref="H411:K412 H414:K414">
      <formula1>"CreateDoneAwayOrder,CheckAllocatedGroups,EditAllocatedGroupSidePanel,GetDataClosing,VerifyUnExpiredUnSettledGrid,SelectTradeUnexpiredUnsettled,PhysicalSettlement,VerifyExpiredSettledGrid,SelectAllocatedGroup,GetDataAllocation,GetActivityData,VerifyActivit"&amp;"y,UnWindTradeSettlement,CheckAllocatedGroups1,CheckAllocatedGroups2"</formula1>
    </dataValidation>
    <dataValidation type="list" allowBlank="1" sqref="H641:K641">
      <formula1>"CreateTransaction,SaveTransaction,SelectTradeUnexpiredUnsettled,CashSettlementAtCost,VerifyExpiredSettledGrid"</formula1>
    </dataValidation>
    <dataValidation type="list" allowBlank="1" sqref="F26 F31 F39 F43 F51 F55 F67 F73:F74 F79 F91 F104 F116 F129 F142 F155 F167 F178 F189 F200 F211 F224 F235 F248 F255:F256 F261 F274 F293 F305 F317 F328 F342 F356 F370 F373 F384 F395 F408 F426 F444 F454 F489">
      <formula1>"GetDataClosing,ManualClosing,UnwindClosing,VerifyClosedTrades,VerifyLongPositionsGrid,VerifyShortPositionsGrid,SelectTradeUnexpiredUnsettled,CashSettlementAtCost,CashSettlementAtZeroPrice,CashSettlementAtClosingDtSpotPx,PhysicalSettlement,AutomaticClosing"&amp;",Expire,ExerciseAssignment,ExerciseAssignmentAtZero,SwapExpireAndRollover,SwapExpire,VerifyExpiredSettledGrid,VerifyUnExpiredUnSettledGrid,UnWindTradeSettlement,CloseOrder,VerifyCloseOrder,UnWindCloseOrder,ClosingCleanUp,CloseClosingUI,,,,,,,,,,,,,,,,,,,,"&amp;",,,,,,,,,,,,,,,,,,,,,,,,,,,,,,,,,,,,,,,,,,,,,,,,,,,,,,,,,,,,,,,,,,,,,,,,,,,,,,,,,,,,,,,,,,,,,,,,,,,,,,,,,,,,,,,,,,,,,,,,,,,,,,,,,,,,,,,,,,,,,,,,,,,,,,,,,,,,,,,,,,,,,,,,,,,,,,,,,,,,,,,,,,,,,,,,,,,,,,,,,,,,,,,,,,,,,,,,,,,,,,,,,,,,,,,,,,,,,,,,,,,,,,,,,,,,,,,"&amp;",,,,,,,,,,,,,,,,,,,,,,,,,,,,,,,,,,,,,,,,,,,,,,,,,,,,,,,,,,,,,,,,,,,,,,,,,,,,,,,,,,,,,,,,,,,,,,,,,,,,,,,,,,,,,,,,,,,,,,,,,,,,,,,,,,,,,,,,,,,,,,,,,,,,,,,,,,,,,,,,,,,,,,,,,,,,,,,,,,,,,,,,,,,,,,,,,,,,,"</formula1>
    </dataValidation>
    <dataValidation type="list" allowBlank="1" sqref="H759:K759">
      <formula1>"ClosingCleanUp,CleanUp,CreateDoneAwayOrder,GetDataClosing,ManualClosing,SelectAllocatedGroup,EditAllocatedGroupSidePanel"</formula1>
    </dataValidation>
    <dataValidation type="list" allowBlank="1" sqref="H812:K812">
      <formula1>"ClosingCleanUp,CleanUp,SetClosingPreference,CreateDoneAwayOrder,CheckAllocatedGroups,SelectTradeUnexpiredUnsettled,ExerciseAssignment,CheckAllocatedGroups1"</formula1>
    </dataValidation>
    <dataValidation type="list" allowBlank="1" sqref="I211:K211 H212:K213">
      <formula1>"CreateDoneAwayOrder,GetDataClosing,SelectTradeUnexpiredUnsettled,CashSettlementAtClosingDtSpotPx,UnWindTradeSettlement,VerifyExpiredSettledGrid,GetDataAllocation,CheckAllocatedGroups,VerifyLongPositionsGrid,GetMarkPriceData,UpdateMarkPrice,Copy of Data"</formula1>
    </dataValidation>
    <dataValidation type="list" allowBlank="1" sqref="H594:K594">
      <formula1>"ClosingCleanUp,CleanUp,CreateDoneAwayOrder,ManualClosing,ManualClosing1,ManualClosing2,VerifyClosedTrades"</formula1>
    </dataValidation>
    <dataValidation type="list" allowBlank="1" sqref="H447:K453">
      <formula1>"CreateDoneAwayOrder,CheckPortfolioManagement,GetDataClosing,ManualClosing,VerifyClosedTrades,UnwindClosing"</formula1>
    </dataValidation>
    <dataValidation type="list" allowBlank="1" sqref="H527:K527">
      <formula1>"ClosingCleanUp,CleanUp,CreateDoneAwayOrder,GetDataClosing,VerifyLongPositionsGrid,SelectTradeUnexpiredUnsettled,ExerciseAssignment,ExerciseAssignmentAtZero,VerifyExpiredSettledGrid,GetDataAllocation"</formula1>
    </dataValidation>
    <dataValidation type="list" allowBlank="1" sqref="H623:K623">
      <formula1>"CreateDoneAwayOrder,ManualClosing,CreateDoneAwayOrder1,VerifyShortPositionsGrid"</formula1>
    </dataValidation>
    <dataValidation type="list" allowBlank="1" sqref="F529 F542 F556 F579 F715">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475:K488">
      <formula1>"CreateDoneAwayOrder,GetDataClosing,VerifyLongPositionsGrid,VerifyShortPositionsGrid,ManualClosing,UnwindClosing,VerifyClosedTrades,CheckPortfolioManagement,GetActivityData,VerifyActivity,ManualClosing1"</formula1>
    </dataValidation>
    <dataValidation type="list" allowBlank="1" sqref="H255:K255">
      <formula1>"GetDataClosing,SelectTradeUnexpiredUnsettled,ExerciseAssignment,VerifyExpiredSettledGrid,UnWindTradeSettlement,GetDataAllocation,CheckPortfolioManagement,CheckAllocatedGroups,CreateDoneAwayOrder,VerifyLongPositionsGrid,VerifyShortPositionsGrid,Copy of Dat"&amp;"a,Copy of Data 1"</formula1>
    </dataValidation>
    <dataValidation type="list" allowBlank="1" sqref="H698:K698">
      <formula1>"CleanUp,Import"</formula1>
    </dataValidation>
    <dataValidation type="list" allowBlank="1" sqref="I55:K55 H56:K57">
      <formula1>"ManualClosing,VerifyClosedTrades,CreateDoneAwayOrder,CheckAllocatedGroups,CheckPortfolioManagement,UnwindClosing,GetDataClosing,VerifyLongPositionsGrid,VerifyShortPositionsGrid,GetDataAllocation,Copy of Data"</formula1>
    </dataValidation>
    <dataValidation type="list" allowBlank="1" sqref="H538:K538 H575:K575">
      <formula1>"CreateDoneAwayOrder,GetDataClosing,VerifyLongPositionsGrid,SelectTradeUnexpiredUnsettled,ExerciseAssignmentAtZero"</formula1>
    </dataValidation>
    <dataValidation type="list" allowBlank="1" sqref="H767:K767">
      <formula1>"ClosingCleanUp,CleanUp,CreateDoneAwayOrder,SelectAllocatedGroup,EditAllocatedGroupSidePanel,CheckAllocatedGroups"</formula1>
    </dataValidation>
    <dataValidation type="list" allowBlank="1" sqref="H572:K572">
      <formula1>"CreateDoneAwayOrder,Copy of Data,Copy of Data 1,Copy of Data 2,GetDataClosing"</formula1>
    </dataValidation>
    <dataValidation type="list" allowBlank="1" sqref="F24">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amp;",,,,,,,,,,,,,,,,,,,,,,,,,,,,,,,,,,,,,,,,,,,,,,,,,,,,,,,,,,,,,,,,,,,,,,,,,,,,,,,,,,,,,,,,,,,,,,,,,,,,,,,,,,,,,,,,,,,,,,,,,,,,,,,,,,,,,,,,,,,,,,,,,,,,,,,,,,,,,,,,,,,,,,,,,,,,,,,,,,,,,,,,,,,,,,,,,,,,,,,,,,,,,,,,,,,,,,,,,,,,,,,,,,,,,,,,,,,,,,,,,,,,,,,,,,,,,,,"&amp;",,,,,,,,,,,,,,,,,,,,,,,,,,,,,,,,,,,,,,,,,,,,,,,,,,,,,,,,,,,,,,,,,,,,,,,,,,,,,,,,,,,,,,,,,,,,,,,,,,,,,,,,,,,,,,,,,,,,,,,,,,,,,,,,,,,,,,,,,,,,,,,,,,,,,,,,,,,,,,,,,,,,,,,,,,,"</formula1>
    </dataValidation>
    <dataValidation type="list" allowBlank="1" sqref="I129:K129 H130:K131">
      <formula1>"CreateDoneAwayOrder,GetDataClosing,AutomaticClosing,VerifyClosedTrades,UnwindClosing,GetDataAllocation,CheckAllocatedGroups,CheckPortfolioManagement,VerifyLongPositionsGrid,VerifyShortPositionsGrid,Copy of Data"</formula1>
    </dataValidation>
    <dataValidation type="list" allowBlank="1" sqref="H676:K676">
      <formula1>"clea,ClosingCleanUp,CleanUp,CreateDoneAwayOrder,SelectTradeUnexpiredUnsettled,ExerciseAssignment"</formula1>
    </dataValidation>
    <dataValidation type="list" allowBlank="1" sqref="H309:K314">
      <formula1>"CreateDoneAwayOrder,GetDataClosing,UnwindClosing,VerifyLongPositionsGrid,VerifyShortPositionsGrid,AutomaticClosing,VerifyClosedTrades,GetDataAllocation,CheckAllocatedGroups,CheckPortfolioManagement,12"</formula1>
    </dataValidation>
    <dataValidation type="list" allowBlank="1" sqref="H694:K694">
      <formula1>"ClosingCleanUp,CleanUp,SetClosingPreference,CreateDoneAwayOrder,GetDataClosing,SelectTradeUnexpiredUnsettled,ExerciseAssignment,VerifyExpiredSettledGrid,CheckAllocatedGroups,UnWindTradeSettlement"</formula1>
    </dataValidation>
    <dataValidation type="list" allowBlank="1" sqref="F617">
      <formula1>"RestartPricingServer,UpdatePricingConfig,,,,,,,,,,,,,,,,,,,,,,,,,,,,,,,,,,,,,,,,,,,,,,,,,,,,,,,,,,,,,,,,,,,,,,,,,,,,,,,,,,,,,,,,,,,,,,,,,,,,,,,,,,,,,,,,,,,,,,,,,,,,,,,,,,,,,,,,,,,,,,,,,,,,,,,,,,,,,,,,,,,,,,,,,,,,,,,,,,,,,,,,,,,,,,,,,,,,,,,,,,,,,,,,,,,,,,,"&amp;",,,,,,,,,,,,,,,,,,,,,,,,,,,,,,,,,,,,,,,,,,,,,,,,,,,,,,,,,,,,,,,,,,,,,,,,,,,,,,,,,,,,,,,,,,,,,,,,,,,,,,,,,,,,,,,,,,,,,,,,,,,,,,,,,,,,,,,,,,,,,,,,,,,,,,,,,,,,,,,,,,,,,,,,,,,,,,,,,,,,,,,,,,,,,,,,,,,,,,,,,,,,,,,,,,,,,,,,,,,,,,,,,,,,,,,,,,,,,,,,,,,,,,,,,,,,,,,"&amp;",,,,,,,,,,,,,,,,,,,,,,,,,"</formula1>
    </dataValidation>
    <dataValidation type="list" allowBlank="1" sqref="H107:K115 H119:K128">
      <formula1>"CreateDoneAwayOrder,AutomaticClosing,VerifyClosedTrades,UnwindClosing,GetDataClosing,GetDataAllocation,CheckAllocatedGroups,CheckPortfolioManagement,VerifyLongPositionsGrid,VerifyShortPositionsGrid"</formula1>
    </dataValidation>
    <dataValidation type="list" allowBlank="1" sqref="H687:K687 H796:K796 H807:K807">
      <formula1>"ClosingCleanUp,CleanUp,SetClosingPreference,CreateDoneAwayOrder"</formula1>
    </dataValidation>
    <dataValidation type="list" allowBlank="1" sqref="H713:K713">
      <formula1>"ClosingCleanUp,CleanUp,CreateDoneAwayOrder,GetDataClosing,VerifyLongPositionsGrid,VerifyShortPositionsGrid,AutomaticClosing,VerifyClosedTrades,GetDataAllocation"</formula1>
    </dataValidation>
    <dataValidation type="list" allowBlank="1" sqref="H356:K368">
      <formula1>"CreateDoneAwayOrder,GetDataClosing,VerifyLongPositionsGrid,SelectTradeUnexpiredUnsettled,CashSettlementAtZeroPrice,VerifyExpiredSettledGrid,GetDataAllocation,CheckAllocatedGroups,GetTradingTransaction,VerifyTradingTransaction,UnWindTradeSettlement"</formula1>
    </dataValidation>
    <dataValidation type="list" allowBlank="1" sqref="H789:K789">
      <formula1>"SetClosingPreference,CreateDoneAwayOrder,SelectTradeUnexpiredUnsettled,ExerciseAssignment,CheckAllocatedGroups,SetClosingPreference1,VerifyExpiredSettledGrid"</formula1>
    </dataValidation>
    <dataValidation type="list" allowBlank="1" sqref="I189:K189 H190:K191">
      <formula1>"CreateDoneAwayOrder,SelectTradeUnexpiredUnsettled,GetDataClosing,UnWindTradeSettlement,CashSettlementAtCost,GetDataAllocation,CheckAllocatedGroups,VerifyExpiredSettledGrid,VerifyLongPositionsGrid,Copy of Data,Copy of Data_conflict1258899202"</formula1>
    </dataValidation>
    <dataValidation type="list" allowBlank="1" sqref="I91:K91 H92:K93">
      <formula1>"CreateDoneAwayOrder,AutomaticClosing,VerifyClosedTrades,UnwindClosing,GetDataClosing,CheckAllocatedGroups,CheckPortfolioManagement,GetDataAllocation,VerifyLongPositionsGrid,VerifyShortPositionsGrid,Copy of Data,Copy of Data_conflict1932814585"</formula1>
    </dataValidation>
    <dataValidation type="list" allowBlank="1" sqref="H21:K25 H26 H27:K30">
      <formula1>"CreateDoneAwayOrder,ManualClosing,VerifyClosedTrades,CheckAllocatedGroups,CheckPortfolioManagement,GetDataClosing,GetDataAllocation,VerifyLongPositionsGrid,VerifyShortPositionsGrid"</formula1>
    </dataValidation>
    <dataValidation type="list" allowBlank="1" sqref="H693:K693">
      <formula1>"ClosingCleanUp,CleanUp,SetClosingPreference,CreateDoneAwayOrder,GetDataClosing,SelectTradeUnexpiredUnsettled,ExerciseAssignment,VerifyExpiredSettledGrid,CheckAllocatedGroups"</formula1>
    </dataValidation>
    <dataValidation type="list" allowBlank="1" sqref="H799:K799">
      <formula1>"ClosingCleanUp,CleanUp,SetClosingPreference,CreateDoneAwayOrder,SelectTradeUnexpiredUnsettled,ExerciseAssignment"</formula1>
    </dataValidation>
    <dataValidation type="list" allowBlank="1" sqref="I305:K305 H306:K307">
      <formula1>"CreateDoneAwayOrder,GetDataClosing,VerifyLongPositionsGrid,VerifyShortPositionsGrid,AutomaticClosing,VerifyClosedTrades,GetDataAllocation,CheckAllocatedGroups,CheckPortfolioManagement,UnwindClosing,Copy of Data,Copy of Data_conflict1296559144"</formula1>
    </dataValidation>
    <dataValidation type="list" allowBlank="1" sqref="H810:K811">
      <formula1>"ClosingCleanUp,CleanUp,SetClosingPreference,CreateDoneAwayOrder,CheckAllocatedGroups,SelectTradeUnexpiredUnsettled,ExerciseAssignment"</formula1>
    </dataValidation>
    <dataValidation type="list" allowBlank="1" sqref="H562:K562">
      <formula1>"SetClosingPreference,CreateDoneAwayOrder,ManualClosing"</formula1>
    </dataValidation>
    <dataValidation type="list" allowBlank="1" sqref="H516:K516">
      <formula1>"CloseOrder,ClosingCleanUp,CleanUp,CreateDoneAwayOrder,GetDataClosing,VerifyLongPositionsGrid,SelectTradeUnexpiredUnsettled,Expire,VerifyExpiredSettledGrid,CheckAllocatedGroups,UnWindTradeSettlement,Allocate,GetDataAllocation"</formula1>
    </dataValidation>
    <dataValidation type="list" allowBlank="1" sqref="H563:K563">
      <formula1>"SetClosingPreference,CreateDoneAwayOrder,ManualClosing,VerifyClosedTrades"</formula1>
    </dataValidation>
    <dataValidation type="list" allowBlank="1" sqref="H802:K802">
      <formula1>"SetClosingPreference,CreateDoneAwayOrder,SelectTradeUnexpiredUnsettled,EditTradeUnexpiredUnsettled,ExerciseAssignment,CheckAllocatedGroups"</formula1>
    </dataValidation>
    <dataValidation type="list" allowBlank="1" sqref="H512:K512">
      <formula1>"CloseOrder,ClosingCleanUp,CleanUp,CreateDoneAwayOrder,GetDataClosing,VerifyLongPositionsGrid"</formula1>
    </dataValidation>
    <dataValidation type="list" allowBlank="1" sqref="H738:K738">
      <formula1>"ClosingCleanUp,CleanUp,CreateDoneAwayOrder,GetDataClosing,SelectTradeUnexpiredUnsettled"</formula1>
    </dataValidation>
    <dataValidation type="list" allowBlank="1" sqref="H292:K292">
      <formula1>"CreateDoneAwayOrder,CloseOrder,CloseOrderClosing,VerifyCloseOrder,GetDataAllocation,CheckAllocatedGroups,UnWindCloseOrder,CheckAllocatedGroups1,CloseOrder1,VerifyCloseOrder1,CheckAllocatedGroups2,Unallocate,UnWindCloseOrder1,CloseOrder2"</formula1>
    </dataValidation>
    <dataValidation type="list" allowBlank="1" sqref="H778:K778">
      <formula1>"CreateDoneAwayOrder,CheckAllocatedGroups,ManualClosing,CheckAllocatedGroups1,SelectAllocatedGroup"</formula1>
    </dataValidation>
    <dataValidation type="list" allowBlank="1" sqref="I328:K328 H329:K330">
      <formula1>"CreateDoneAwayOrder,GetDataClosing,VerifyLongPositionsGrid,SelectTradeUnexpiredUnsettled,CashSettlementAtCost,VerifyExpiredSettledGrid,GetDataAllocation,CheckAllocatedGroups,GetTradingTransaction,VerifyTradingTransaction,UnWindTradeSettlement,Copy of Data"&amp;",Copy of Data_conflict739649342"</formula1>
    </dataValidation>
    <dataValidation type="list" allowBlank="1" sqref="H731:K731">
      <formula1>"CreateDoneAwayOrder,GetDataClosing,ExerciseAssignment"</formula1>
    </dataValidation>
    <dataValidation type="list" allowBlank="1" sqref="H227:K234">
      <formula1>"CreateDoneAwayOrder,GetDataClosing,SelectTradeUnexpiredUnsettled,Expire,UnWindTradeSettlement,VerifyExpiredSettledGrid,GetDataAllocation,CheckAllocatedGroups,VerifyLongPositionsGrid"</formula1>
    </dataValidation>
    <dataValidation type="list" allowBlank="1" sqref="H521:K521 H548:K548 H571:K571 H584:K584 H598:K598 H620:K620 H627:K627 H635:K635 H662:K662 H706:K706 H720:K720 H736:K736 H744:K744 H754:K754 H764:K764 H772:K772 H786:K786">
      <formula1>"ClosingCleanUp,CleanUp,CreateDoneAwayOrder"</formula1>
    </dataValidation>
    <dataValidation type="list" allowBlank="1" sqref="I384:K384 H385:K386">
      <formula1>"CreateDoneAwayOrder,GetDataClosing,VerifyLongPositionsGrid,SelectTradeUnexpiredUnsettled,Expire,VerifyExpiredSettledGrid,GetDataAllocation,CheckAllocatedGroups,UnWindTradeSettlement,Copy of Data,Copy of Data_conflict1855181759"</formula1>
    </dataValidation>
    <dataValidation type="list" allowBlank="1" sqref="F509 F516:F517 F520 F527:F528 F533 F540:F541 F547 F554:F555 F560 F570 F577:F578 F583 F589 F597 F605:F606 F612:F615 F619 F626 F631 F634 F640 F649 F651:F653 F658 F661 F663:F665 F669:F670 F673 F685 F692:F693 F697 F699 F705 F713:F714 F719 F727 F732 F735 F743 F748:F750 F753 F758:F760 F763 F765:F767 F771 F773 F778:F780 F784 F790 F794 F801 F805 F808 F811">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I408:K408 H409:K410">
      <formula1>"CreateDoneAwayOrder,CheckAllocatedGroups,EditAllocatedGroupSidePanel,GetDataClosing,VerifyUnExpiredUnSettledGrid,SelectTradeUnexpiredUnsettled,PhysicalSettlement,VerifyExpiredSettledGrid,SelectAllocatedGroup,GetDataAllocation,GetActivityData,VerifyActivit"&amp;"y,UnWindTradeSettlement,CheckAllocatedGroups1,CheckAllocatedGroups2,EditAllocatedGroupSidePanel1,Copy of Data,Copy of Data 1"</formula1>
    </dataValidation>
    <dataValidation type="list" allowBlank="1" sqref="H606:K606">
      <formula1>"SetGeneralPreferences"</formula1>
    </dataValidation>
    <dataValidation type="list" allowBlank="1" sqref="H607:K607">
      <formula1>"SetGeneralPreferences,CreateDoneAwayOrder"</formula1>
    </dataValidation>
    <dataValidation type="list" allowBlank="1" sqref="H663:K663">
      <formula1>"ClosingCleanUp,CleanUp,CreateDoneAwayOrder,GetDataAllocation"</formula1>
    </dataValidation>
    <dataValidation type="list" allowBlank="1" sqref="D6 D18 D31 D43 D55 D67 D79 D91 D104 D142 D155 D167 D178 D189 D200 D211 D224 D248 D261 D274 D293 D305 D317 D328 D342 D356 D370 D384 D395 D408 D426 D444 D454 D472 D489 D508 D519:D604 D616:D1189">
      <formula1>'_Categories'!$A$4:$A1189</formula1>
    </dataValidation>
    <dataValidation type="list" allowBlank="1" sqref="H654:K654">
      <formula1>"CreateDoneAwayOrder,GetDataAllocation,SelectAllocatedGroup,BookOrUpdateSwap,SelectTradeUnexpiredUnsettled,GetDataClosing"</formula1>
    </dataValidation>
    <dataValidation type="list" allowBlank="1" sqref="H573:K573">
      <formula1>"CreateDoneAwayOrder,Copy of Data,Copy of Data 1,Copy of Data 2,GetDataClosing,verify,VerifyLongPositionsGrid"</formula1>
    </dataValidation>
    <dataValidation type="list" allowBlank="1" sqref="H678:K678">
      <formula1>"CreateDoneAwayOrder,SelectTradeUnexpiredUnsettled,ExerciseAssignment,ManualClosing,UnWindTradeSettlement,Copy of Data,UnwindClosing"</formula1>
    </dataValidation>
    <dataValidation type="list" allowBlank="1" sqref="H688:K688">
      <formula1>"ClosingCleanUp,CleanUp,SetClosingPreference,CreateDoneAwayOrder,GetDataClosing"</formula1>
    </dataValidation>
    <dataValidation type="list" allowBlank="1" sqref="H723:K723">
      <formula1>"CreateDoneAwayOrder,GetDataClosing,SelectTradeUnexpiredUnsettled,ExerciseAssignment"</formula1>
    </dataValidation>
    <dataValidation type="list" allowBlank="1" sqref="H689:K689">
      <formula1>"ClosingCleanUp,CleanUp,SetClosingPreference,CreateDoneAwayOrder,GetDataClosing,SelectTradeUnexpiredUnsettled"</formula1>
    </dataValidation>
    <dataValidation type="list" allowBlank="1" sqref="H203:K210">
      <formula1>"CreateDoneAwayOrder,GetDataClosing,SelectTradeUnexpiredUnsettled,CashSettlementAtZeroPrice,UnWindTradeSettlement,VerifyExpiredSettledGrid,GetDataAllocation,CheckAllocatedGroups,VerifyLongPositionsGrid"</formula1>
    </dataValidation>
    <dataValidation type="list" allowBlank="1" sqref="H238:K247">
      <formula1>"CreateDoneAwayOrder,GetDataClosing,SelectTradeUnexpiredUnsettled,PhysicalSettlement,UnWindTradeSettlement,VerifyExpiredSettledGrid,GetDataAllocation,CheckAllocatedGroups,CheckPortfolioManagement,VerifyLongPositionsGrid,VerifyShortPositionsGrid"</formula1>
    </dataValidation>
    <dataValidation type="list" allowBlank="1" sqref="H691:K691">
      <formula1>"ClosingCleanUp,CleanUp,SetClosingPreference,CreateDoneAwayOrder,GetDataClosing,SelectTradeUnexpiredUnsettled,ExerciseAssignment,VerifyExpiredSettledGrid"</formula1>
    </dataValidation>
    <dataValidation type="list" allowBlank="1" sqref="H724:K724">
      <formula1>"CreateDoneAwayOrder,GetDataClosing,SelectTradeUnexpiredUnsettled,ExerciseAssignment,VerifyExpiredSettledGrid"</formula1>
    </dataValidation>
    <dataValidation type="list" allowBlank="1" sqref="H710:K710">
      <formula1>"ClosingCleanUp,CleanUp,CreateDoneAwayOrder,GetDataClosing,VerifyLongPositionsGrid,VerifyShortPositionsGrid,AutomaticClosing"</formula1>
    </dataValidation>
    <dataValidation type="list" allowBlank="1" sqref="H788:K788">
      <formula1>"ClosingCleanUp,CleanUp,CreateDoneAwayOrder,SelectTradeUnexpiredUnsettled,SetClosingPreference,ExerciseAssignment"</formula1>
    </dataValidation>
    <dataValidation type="list" allowBlank="1" sqref="F227 F229:F230 F238 F241 F243 F251 F254 F264 F267:F269 F279:F280 F387 F389:F390">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amp;",,,,,,,,,,,,,,,,,,,,,,,,,,,,,,,,,,,,,,,,,,,,,,,,,,,,,,,,,,,,,,,,,,,,,,,,,,,,,,,,,,,,,,,,,,,,,,,,,,,,,,,,,,,,,,,,,,,,,,,,,,,,,,,,,,,,,,,,,,,,,,,,,,,,,,,,,,,,,,,,,,,,,,,,,,,,,,,,,,,,,,,,,,,,,,,,,,,,,,,,,,,,,,,,,,,,,,,,,,,,,,,,,,,,,,,,,,,,,,,,,,,,,,,,,,,,,,,"&amp;",,,,,,,,,,,,,,,,,,,,,,,,,,,,,,,,,,,,,,,,,,,,,,,,,,,,,,,,,,,,,,,,,,,,,,,,,,,,,,,,,,,,,,,,,,,,,,,,,,,,,,,,,,,,,,,,,,,,,,,,,,,,,,,,,,,,,,,,,,,,,,,,,,,,,,,,,,,,,,,,,,,,,,,,,"</formula1>
    </dataValidation>
    <dataValidation type="list" allowBlank="1" sqref="I317:K317 H318:K319">
      <formula1>"CreateDoneAwayOrder,GetDataClosing,VerifyLongPositionsGrid,VerifyShortPositionsGrid,AutomaticClosing,VerifyClosedTrades,GetDataAllocation,CheckAllocatedGroups,UnwindClosing,CloseClosingUI,Copy of Data,Copy of Data 1"</formula1>
    </dataValidation>
    <dataValidation type="list" allowBlank="1" sqref="F277 F281 F283:F284 F287:F289 F291:F292">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amp;",,,,,,,,,,,,,,,,,,,,,,,,,,,,,,,,,,,,,,,,,,,,,,,,,,,,,,,,,,,,,,,,,,,,,,,,,,,,,,,,,,,,,,,,,,,,,,,,,,,,,,,,,,,,,,,,,,,,,,,,,,,,,,,,,,,,,,,,,,,,,,,,,,,,,,,,,,,,,,,,,,,,,,,,,,,,,,,,,,,,,,,,,,,,,,,,,,,,,,,,,,,,,,,,,,,,,,,,,,,,,,,,,,,,,,,,,,,,,,,,,,,,,,,,,,,,,,,"&amp;",,,,,,,,,,,,,,,,,,,,,,,,,,,,,,,,,,,,,,,,,,,,,,,,,,,,,,,,,,,,,,,,,,,,,,,,,,,,,,,,,,,,,,,,,,,,,,,,,,,,,,,,,,,,,,,,,,,,,"</formula1>
    </dataValidation>
    <dataValidation type="list" allowBlank="1" sqref="H748:K748 H758:K758">
      <formula1>"ClosingCleanUp,CleanUp,CreateDoneAwayOrder,GetDataClosing,ManualClosing,SelectAllocatedGroup"</formula1>
    </dataValidation>
    <dataValidation type="list" allowBlank="1" sqref="H765:K765">
      <formula1>"ClosingCleanUp,CleanUp,CreateDoneAwayOrder,SelectAllocatedGroup"</formula1>
    </dataValidation>
    <dataValidation type="list" allowBlank="1" sqref="H601:K601">
      <formula1>"ClosingCleanUp,CleanUp,CreateDoneAwayOrder,Verify,ManualClosing,UnwindClosing,VerifyLongPositionsGrid"</formula1>
    </dataValidation>
    <dataValidation type="list" allowBlank="1" sqref="H252:K254">
      <formula1>"GetDataClosing,SelectTradeUnexpiredUnsettled,ExerciseAssignment,VerifyExpiredSettledGrid,UnWindTradeSettlement,GetDataAllocation,CheckPortfolioManagement,CheckAllocatedGroups,CreateDoneAwayOrder,VerifyLongPositionsGrid,VerifyShortPositionsGrid"</formula1>
    </dataValidation>
    <dataValidation type="list" allowBlank="1" sqref="F214:F215">
      <formula1>"UpdateBeta,UpdateDailyCash,UpdateForexConversion,CleanUp,GetMarkPriceData,GetForwardPoints,GetForexConversion,AddForexConversion,GetNAV,AddNAV,DeleteNAV,GetDailyCash,AddDailyCash,GetDailyBeta,GetDailyVolatility,GetDailyDividendYield,GetDailyTradingVolume,"&amp;"GetDailyOutstandings,GetDailyDelta,UpdateDailyVolatility,UpdateDividendYield,DataManagement.Click(MouseButtons.Left);,UpdateTradingVolume,UpdateDailyDelta,UpdateDailyOutstandings,AddForexConversion,UpdateBeta,UpdateNAV,UpdateDailyCash,UpdateCreditLimt,Upd"&amp;"ateDailyCreditLimt,AddDailyCreditLimit,RemoveDailyCreditLimt,RemoveDailyCreditLimit,RemoveDailyCash,RemoveNAV,UpdateMarkPrice,UpdateForwardPoints,,,,,,,,,,,,,,,,,,,,,,,,,,,,,,,,,,,,,,,,,,,,,,,,,,,,,,,,,,,,,,,,,,,,,,,,,,,,,,,,,,,,,,,,,,,,,,,,,,,,,,,,,,,,,,"&amp;",,,,,,,,,,,,,,,,,,,,,,,,,,,,,,,,,,,,,,,,,,,,,,,,,,,,,,,,,,,,,,,,,,,,,,,,,,,,,,,,,,,,,,,,,,,,,,,,,,,,,,,,,,,,,,,,,,,,,,,,,,,,,,,,,,,,,,,,,,,,,,,,,,,,,,,,,,,,,,,,,,,,,,,,,,,,,,,,,,,,,,,,,,,,,,,,,,,,,,,,,,,,,,,,,,,,,,,,,,,,,,,,,,,,,,,,,,,,,,,,,,,,,,,,,,,,,,,"&amp;",,,,,,,,,,,,,,,,,,,,,,,,,,,,,,,,,,,,,,,,,,,,,,,,,,,,,,,,,,,,,,,,,,,,,,,,,,,,,,,,,,,,,,,,,,,,,,"</formula1>
    </dataValidation>
    <dataValidation type="list" allowBlank="1" sqref="H541:K541 H578:K578">
      <formula1>"CreateDoneAwayOrder,GetDataClosing,VerifyLongPositionsGrid,SelectTradeUnexpiredUnsettled,ExerciseAssignmentAtZero,VerifyExpiredSettledGrid,GetDataAllocation,CheckAllocatedGroups"</formula1>
    </dataValidation>
    <dataValidation type="list" allowBlank="1" sqref="H611:K611">
      <formula1>"SetGeneralPreferences,CreateDoneAwayOrder,CleanUp,ClosingCleanUp,ExerciseAssignment,SelectTradeUnexpiredUnsettled,VerifyExpiredSettledGrid"</formula1>
    </dataValidation>
    <dataValidation type="list" allowBlank="1" sqref="H667:K667">
      <formula1>"ClosingCleanUp,CleanUp,CreateDoneAwayOrder,GetDataAllocation,SelectAllocatedGroup,BookOrUpdateSwap,GetDataClosing,SelectTradeUnexpiredUnsettled"</formula1>
    </dataValidation>
    <dataValidation type="list" allowBlank="1" sqref="H9:K17">
      <formula1>"CreateDoneAwayOrder,ManualClosing,VerifyClosedTrades,CheckAllocatedGroups,CheckPortfolioManagement,UnwindClosing,GetDataClosing,GetDataAllocation,VerifyLongPositionsGrid,VerifyShortPositionsGrid"</formula1>
    </dataValidation>
    <dataValidation type="list" allowBlank="1" sqref="H609:K610">
      <formula1>"SetGeneralPreferences,CreateDoneAwayOrder,CleanUp,ClosingCleanUp,ExerciseAssignment,SelectTradeUnexpiredUnsettled"</formula1>
    </dataValidation>
    <dataValidation type="list" allowBlank="1" sqref="H651:K651">
      <formula1>"CreateDoneAwayOrder,GetDataAllocation"</formula1>
    </dataValidation>
    <dataValidation type="list" allowBlank="1" sqref="H686:K686 H795:K795 H806:K806">
      <formula1>"ClosingCleanUp,CleanUp,SetClosingPreference"</formula1>
    </dataValidation>
    <dataValidation type="list" allowBlank="1" sqref="I426:K426 H427:K428">
      <formula1>"CheckAllocatedGroups,SelectAllocatedGroup,EditAllocatedGroupSidePanel,GetDataClosing,VerifyUnExpiredUnSettledGrid,SelectTradeUnexpiredUnsettled,PhysicalSettlement,VerifyExpiredSettledGrid,GetDataAllocation,VerifyActivity,GetActivityData,UnWindTradeSettlem"&amp;"ent,CreateDoneAwayOrder,CheckAllocatedGroups2,CheckAllocatedGroups1,Copy of Data,Copy of Data_conflict360339632"</formula1>
    </dataValidation>
    <dataValidation type="list" allowBlank="1" sqref="H525:K526">
      <formula1>"CreateDoneAwayOrder,GetDataClosing,VerifyLongPositionsGrid,SelectTradeUnexpiredUnsettled,ExerciseAssignmentAtZero,VerifyExpiredSettledGrid,GetDataAllocation,CheckAllocatedGroups,CheckPortfolioManagement,UnWindTradeSettlement,CashSettlementAtZeroPrice"</formula1>
    </dataValidation>
    <dataValidation type="list" allowBlank="1" sqref="H264:K273">
      <formula1>"GetDataClosing,SelectTradeUnexpiredUnsettled,ExerciseAssignmentAtZero,VerifyExpiredSettledGrid,UnWindTradeSettlement,CreateDoneAwayOrder,GetDataAllocation,CheckAllocatedGroups,CheckPortfolioManagement,VerifyLongPositionsGrid,VerifyShortPositionsGrid"</formula1>
    </dataValidation>
    <dataValidation type="list" allowBlank="1" sqref="H46:K54">
      <formula1>"ManualClosing,VerifyClosedTrades,CreateDoneAwayOrder,GetDataClosing,CheckAllocatedGroups,CheckPortfolioManagement,VerifyLongPositionsGrid,VerifyShortPositionsGrid,GetDataAllocation"</formula1>
    </dataValidation>
    <dataValidation type="list" allowBlank="1" sqref="H721:K721 H729:K729">
      <formula1>"CreateDoneAwayOrder,GetDataClosing"</formula1>
    </dataValidation>
    <dataValidation type="list" allowBlank="1" sqref="H750:K750">
      <formula1>"CreateDoneAwayOrder,GetDataClosing,ManualClosing,SelectAllocatedGroup,EditAllocatedGroupSidePanel,CheckAllocatedGroups"</formula1>
    </dataValidation>
    <dataValidation type="list" allowBlank="1" sqref="H739:K739">
      <formula1>"ClosingCleanUp,CleanUp,CreateDoneAwayOrder,GetDataClosing,SelectTradeUnexpiredUnsettled,EditTradeUnexpiredUnsettled"</formula1>
    </dataValidation>
    <dataValidation type="list" allowBlank="1" sqref="H251:K251 H256:K260">
      <formula1>"GetDataClosing,SelectTradeUnexpiredUnsettled,ExerciseAssignment,VerifyExpiredSettledGrid,UnWindTradeSettlement,GetDataAllocation,CheckPortfolioManagement,CheckAllocatedGroups,CreateDoneAwayOrder,VerifyLongPositionsGrid,VerifyShortPositionsGrid,Copy of Dat"&amp;"a,Copy of Data 1,Copy of Data 2"</formula1>
    </dataValidation>
    <dataValidation type="list" allowBlank="1" sqref="H530:K530">
      <formula1>"ClosingCleanUp,CleanUp,CreateDoneAwayOrder,GetDataClosing,VerifyLongPositionsGrid,SelectTradeUnexpiredUnsettled,ExerciseAssignment,ExerciseAssignmentAtZero,VerifyExpiredSettledGrid,GetDataAllocation,CheckAllocatedGroups,CheckPortfolioManagement,UnWindTrad"&amp;"eSettlement"</formula1>
    </dataValidation>
    <dataValidation type="list" allowBlank="1" sqref="H387:K394">
      <formula1>"CreateDoneAwayOrder,GetDataClosing,VerifyLongPositionsGrid,SelectTradeUnexpiredUnsettled,Expire,VerifyExpiredSettledGrid,GetDataAllocation,CheckAllocatedGroups,UnWindTradeSettlement"</formula1>
    </dataValidation>
    <dataValidation type="list" allowBlank="1" sqref="H629:K629">
      <formula1>"CreateDoneAwayOrder,ManualClosing,VerifyClosedTrades,CheckAllocatedGroups"</formula1>
    </dataValidation>
    <dataValidation type="list" allowBlank="1" sqref="H740:K740">
      <formula1>"ClosingCleanUp,CleanUp,CreateDoneAwayOrder,GetDataClosing,SelectTradeUnexpiredUnsettled,EditTradeUnexpiredUnsettled,ExerciseAssignment"</formula1>
    </dataValidation>
    <dataValidation type="list" allowBlank="1" sqref="I395:K395 H396:K397">
      <formula1>"ManualClosing,VerifyClosedTrades,CreateDoneAwayOrder,CheckAllocatedGroups,UnwindClosing,CheckPortfolioManagement,GetDataClosing,GetDataAllocation,VerifyLongPositionsGrid,VerifyShortPositionsGrid,Copy of Data"</formula1>
    </dataValidation>
    <dataValidation type="list" allowBlank="1" sqref="H518:K518">
      <formula1>"CloseOrder,ClosingCleanUp,CleanUp,CreateDoneAwayOrder,GetDataClosing,VerifyLongPositionsGrid,SelectTradeUnexpiredUnsettled,Expire,VerifyExpiredSettledGrid,CheckAllocatedGroups,UnWindTradeSettlement"</formula1>
    </dataValidation>
    <dataValidation type="list" allowBlank="1" sqref="H645:K645">
      <formula1>"ClosingCleanUp,CleanUp,CreateTransaction,SaveTransaction,CashSettlementAtCost,SelectTradeUnexpiredUnsettled,VerifyExpiredSettledGrid"</formula1>
    </dataValidation>
    <dataValidation type="list" allowBlank="1" sqref="H192:K199">
      <formula1>"CreateDoneAwayOrder,SelectTradeUnexpiredUnsettled,GetDataClosing,UnWindTradeSettlement,CashSettlementAtCost,GetDataAllocation,CheckAllocatedGroups,VerifyExpiredSettledGrid,VerifyLongPositionsGrid"</formula1>
    </dataValidation>
    <dataValidation type="list" allowBlank="1" sqref="H797:K797">
      <formula1>"ClosingCleanUp,CleanUp,SetClosingPreference,CreateDoneAwayOrder,SelectTradeUnexpiredUnsettled"</formula1>
    </dataValidation>
    <dataValidation type="list" allowBlank="1" sqref="F9:F11 F17 F21:F23 F25 F27 F34:F36 F46:F48 F58:F60 F66 F70:F72 F75 F82:F84 F90 F95:F96 F103 F108:F109 F115 F120:F121 F128 F133:F134 F141 F146:F147 F154 F159:F160 F166 F171:F172 F177 F182:F183 F188 F193 F196 F199 F204 F207 F210 F217 F220 F223 F228 F231 F234 F239:F240 F247 F252:F253 F260 F265:F266 F273 F282 F285:F286 F290 F296:F300 F303:F304 F308:F312 F315:F316 F320:F324 F327 F332 F335 F340:F341 H341 F346 F349 F354:F355 H355 F360 F363 F368:F369 H369 F374 F377 F382:F383 H383 F388 F391 F394 F398:F400 F402 F407 F416:F420 F425 F434:F438 F443 F448:F450 F452 F460 F465:F472 F475:F485 F507">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277:K291">
      <formula1>"CreateDoneAwayOrder,CloseOrder,CloseOrderClosing,VerifyCloseOrder,GetDataAllocation,CheckAllocatedGroups,UnWindCloseOrder,CheckAllocatedGroups1,CloseOrder1,VerifyCloseOrder1,CheckAllocatedGroups2,Unallocate,UnWindCloseOrder1"</formula1>
    </dataValidation>
    <dataValidation type="list" allowBlank="1" sqref="H320:K326">
      <formula1>"CreateDoneAwayOrder,GetDataClosing,VerifyLongPositionsGrid,VerifyShortPositionsGrid,AutomaticClosing,VerifyClosedTrades,GetDataAllocation,CheckAllocatedGroups,UnwindClosing"</formula1>
    </dataValidation>
    <dataValidation type="list" allowBlank="1" sqref="H170:K177">
      <formula1>"UnwindClosing,GetDataClosing,VerifyClosedTrades,AutomaticClosing,GetDataAllocation,CheckAllocatedGroups,CheckPortfolioManagement,CreateDoneAwayOrder,VerifyLongPositionsGrid,VerifyShortPositionsGrid"</formula1>
    </dataValidation>
    <dataValidation type="list" allowBlank="1" sqref="H613:K613">
      <formula1>"SetGeneralPreferences,CreateDoneAwayOrder,CleanUp,ClosingCleanUp,ExerciseAssignment,SelectTradeUnexpiredUnsettled,VerifyExpiredSettledGrid,GetDataAllocation,CheckAllocatedGroups"</formula1>
    </dataValidation>
    <dataValidation type="list" allowBlank="1" sqref="I444:K444 H445:K446">
      <formula1>"CreateDoneAwayOrder,CheckPortfolioManagement,GetDataClosing,ManualClosing,VerifyClosedTrades,UnwindClosing,Copy of Data,Copy of Data 1"</formula1>
    </dataValidation>
    <dataValidation type="list" allowBlank="1" sqref="H585:K585 H591:K593 H621:K621 H628:K628 H636:K636">
      <formula1>"ClosingCleanUp,CleanUp,CreateDoneAwayOrder,ManualClosing"</formula1>
    </dataValidation>
    <dataValidation type="list" allowBlank="1" sqref="H679:K679">
      <formula1>"clea,ClosingCleanUp,CleanUp,CreateDoneAwayOrder,SelectTradeUnexpiredUnsettled,ExerciseAssignment,ManualClosing,UnWindTradeSettlement"</formula1>
    </dataValidation>
    <dataValidation type="list" allowBlank="1" sqref="H773:K773">
      <formula1>"CreateDoneAwayOrder,CheckAllocatedGroups"</formula1>
    </dataValidation>
    <dataValidation type="list" allowBlank="1" sqref="H760:K760">
      <formula1>"ClosingCleanUp,CleanUp,CreateDoneAwayOrder,GetDataClosing,ManualClosing,SelectAllocatedGroup,EditAllocatedGroupSidePanel,CheckAllocatedGroups"</formula1>
    </dataValidation>
    <dataValidation type="list" allowBlank="1" sqref="H665:K665">
      <formula1>"ClosingCleanUp,CleanUp,CreateDoneAwayOrder,GetDataAllocation,SelectAllocatedGroup,BookOrUpdateSwap"</formula1>
    </dataValidation>
    <dataValidation type="list" allowBlank="1" sqref="H692:K692 H695:K695">
      <formula1>"SetClosingPreference,CreateDoneAwayOrder,GetDataClosing,SelectTradeUnexpiredUnsettled,ExerciseAssignment,VerifyExpiredSettledGrid,CheckAllocatedGroups,UnWindTradeSettlement,GetDataAllocation"</formula1>
    </dataValidation>
    <dataValidation type="list" allowBlank="1" sqref="H555:K555">
      <formula1>"ClosingCleanUp,CleanUp,CreateDoneAwayOrder,GetDataClosing,VerifyLongPositionsGrid,SelectTradeUnexpiredUnsettled,CashSettlementAtCost,VerifyExpiredSettledGrid,GetDataAllocation,CheckAllocatedGroups"</formula1>
    </dataValidation>
    <dataValidation type="list" allowBlank="1" sqref="F510 F521 F534 F548 F561 F571 F584 F590 F598 F607 F620 F622 F627 F635 F650 F662 F674 F687 F706 F720 F728 F736 F744 F754 F764 F772 F786 F796 F807">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513:K513">
      <formula1>"CloseOrder,ClosingCleanUp,CleanUp,CreateDoneAwayOrder,GetDataClosing,VerifyLongPositionsGrid,SelectTradeUnexpiredUnsettled"</formula1>
    </dataValidation>
    <dataValidation type="list" allowBlank="1" sqref="H524:K524 H551:K551">
      <formula1>"ClosingCleanUp,CleanUp,CreateDoneAwayOrder,GetDataClosing,VerifyLongPositionsGrid,SelectTradeUnexpiredUnsettled"</formula1>
    </dataValidation>
    <dataValidation type="list" allowBlank="1" sqref="H557:K557">
      <formula1>"ClosingCleanUp,CleanUp,CreateDoneAwayOrder,GetDataClosing,VerifyLongPositionsGrid,SelectTradeUnexpiredUnsettled,CashSettlementAtCost,VerifyExpiredSettledGrid,GetDataAllocation,CheckAllocatedGroups,CheckPortfolioManagement,UnWindTradeSettlement"</formula1>
    </dataValidation>
    <dataValidation type="list" allowBlank="1" sqref="H776:K776">
      <formula1>"CreateDoneAwayOrder,CheckAllocatedGroups,ManualClosing,CheckAllocatedGroups1,SelectAllocatedGroup,EditTradesAllocated,VerifyClosedTrades,ManualClosing2"</formula1>
    </dataValidation>
    <dataValidation type="list" allowBlank="1" sqref="F98 F123 F136 F149 F464 F499 F508 F511:F515 F518:F519 F522:F526 F530 F532 F535:F539 F543 F546 F549:F553 F557:F559 F562:F564 F569 F572:F576 F580 F582 F585:F586 F588 F591:F594 F596 F599:F601 F603:F604 F608:F611 F618 F621 F623 F625 F628:F630 F633 F636:F637 F639 F643:F645 F647:F648 F654:F657 F660 F666:F668 F672 F675:F679 F684 F686 F688:F691 F694:F695 F701:F702 F704 F707:F712 F718 F721:F724 F726 F729:F731 F734 F737:F740 F742 F745:F747 F752 F755:F757 F762 F768 F770 F774:F777 F781 F783 F785 F787:F789 F791 F793 F795 F797:F800 F802 F804 F806 F809:F810 F812">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82:K90">
      <formula1>"ManualClosing,VerifyClosedTrades,UnwindClosing,CreateDoneAwayOrder,CheckAllocatedGroups,CheckPortfolioManagement,GetDataClosing,VerifyLongPositionsGrid,VerifyShortPositionsGrid,GetDataAllocation"</formula1>
    </dataValidation>
    <dataValidation type="list" allowBlank="1" sqref="I67:K67 H68:K69">
      <formula1>"ManualClosing,VerifyClosedTrades,CreateDoneAwayOrder,CheckAllocatedGroups,CheckPortfolioManagement,GetDataClosing,VerifyLongPositionsGrid,VerifyShortPositionsGrid,GetDataAllocation,Copy of Data"</formula1>
    </dataValidation>
    <dataValidation type="list" allowBlank="1" sqref="H808:K808">
      <formula1>"ClosingCleanUp,CleanUp,SetClosingPreference,CreateDoneAwayOrder,CheckAllocatedGroups"</formula1>
    </dataValidation>
    <dataValidation type="list" allowBlank="1" sqref="H653:K653">
      <formula1>"CreateDoneAwayOrder,GetDataAllocation,SelectAllocatedGroup,BookOrUpdateSwap"</formula1>
    </dataValidation>
    <dataValidation type="list" allowBlank="1" sqref="I274:K274 H275:K276">
      <formula1>"CreateDoneAwayOrder,CloseOrder,CloseOrderClosing,VerifyCloseOrder,GetDataAllocation,CheckAllocatedGroups,UnWindCloseOrder,CheckAllocatedGroups1,CloseOrder1,VerifyCloseOrder1,CheckAllocatedGroups2,Unallocate,UnWindCloseOrder1,CloseOrder2,Copy of Data,Copy "&amp;"of Data 1"</formula1>
    </dataValidation>
    <dataValidation type="list" allowBlank="1" sqref="H780:K780">
      <formula1>"CreateDoneAwayOrder,CheckAllocatedGroups,ManualClosing,SelectAllocatedGroup"</formula1>
    </dataValidation>
    <dataValidation type="list" allowBlank="1" sqref="H701:K701">
      <formula1>"Import,GetDataAllocation,UpdateForexConversion,GetDataClosing"</formula1>
    </dataValidation>
    <dataValidation type="list" allowBlank="1" sqref="H774:K774">
      <formula1>"CreateDoneAwayOrder,CheckAllocatedGroups,ManualClosing"</formula1>
    </dataValidation>
    <dataValidation type="list" allowBlank="1" sqref="H558:K558">
      <formula1>"SetClosingPreference"</formula1>
    </dataValidation>
    <dataValidation type="list" allowBlank="1" sqref="H455:K460 H462:K471">
      <formula1>"CreateDoneAwayOrder,GetDataClosing,ManualClosing,VerifyClosedTrades,UnwindClosing,CreateDoneAwayOrder1,AutomaticClosing,VerifyClosedTradesFIFO,UnwindClosing1,UnwindClosing2,VerifyLongPositionsGrid,VerifyShortPositionsGrid,VerifyClosedTradesLIFO,AutomaticC"&amp;"losingLIFO"</formula1>
    </dataValidation>
    <dataValidation type="list" allowBlank="1" sqref="H749:K749">
      <formula1>"CreateDoneAwayOrder,GetDataClosing,ManualClosing,SelectAllocatedGroup,EditTradesAllocated,CheckAllocatedGroups,ed,EditAllocatedGroupSidePanel"</formula1>
    </dataValidation>
    <dataValidation type="list" allowBlank="1" sqref="H791:K791">
      <formula1>"SetClosingPreference,CreateDoneAwayOrder,SelectTradeUnexpiredUnsettled,ExerciseAssignment,CheckAllocatedGroups"</formula1>
    </dataValidation>
    <dataValidation type="list" allowBlank="1" sqref="H787:K787">
      <formula1>"ClosingCleanUp,CleanUp,CreateDoneAwayOrder,SelectTradeUnexpiredUnsettled"</formula1>
    </dataValidation>
    <dataValidation type="list" allowBlank="1" sqref="H554:K554">
      <formula1>"ClosingCleanUp,CleanUp,CreateDoneAwayOrder,GetDataClosing,VerifyLongPositionsGrid,SelectTradeUnexpiredUnsettled,CashSettlementAtCost,VerifyExpiredSettledGrid,GetDataAllocation"</formula1>
    </dataValidation>
    <dataValidation type="list" allowBlank="1" sqref="F15 F29 F41 F53 F64 F77 F88 F100:F101 F112:F113 F125:F126 F138:F139 F151:F152 F163:F164 F175:F176 F186:F187 F197:F198 F208:F209 F221:F222 F232:F233 F244:F245 F257:F258 F270:F271 F278 F336:F337 F350:F351 F364:F365 F378:F379 F392:F393 F405">
      <formula1>"Allocate,CheckAllocation,Unallocate,GetDataAllocation,SelectTradeAllocation,EditTradesAllocated,EditTradesUnallocated,Reallocate,CleanUp,EditTrades,TradeAttributeBulkChange,CommissionBulkChange,GeneralPreferencesDefaultRule,AttributeRenaming,AutoGroupingR"&amp;"ules,MasterFundRatioAllocation,CheckFixedPreferenceScheme,GetFixedScheme,AddCalculatedPreferences,BulkChangeCalculatedPreferences,DeleteCalculatedPreferences,RenameCalculatedPreferences,CopyCalculatedPreferences,RunAutoGroup,SwapControl,RunProrata,SetDefa"&amp;"ultRuleForCalculatedPreference,RenameTradeAttributes,SetAccountValueCalculatedPref,TradeAttributeBulkChange,TradeAttributeBulkChangeGroup,TradeAttributeBulkChangeTaxlots,TradeAttributeBulkChangeGroups,SetMasterFundRatio,AddCalculatedPreferenceToolbar,SetG"&amp;"roupingRules,ApplyBulkUpdateOnGroups,SetStrategyValueCalculatedPref,ApplyBulkUpdateOnTaxlots,SetDefaultRuleCalculatedPref,CommissionBulkChangeOnGroups,CommissionBulkChangeOnTaxlots,BookOrUpdateSwap,SelectUnallocatedGroup,SelectAllocatedGroup,EnterAccountV"&amp;"aluesToAllocate,ApplyPrefetchFilters,EnterAllocatePerference,EnterStrategyValuesToAllocate,CopyCalculatedPreferencesToolbar,SetGeneralRuleCalculatedPref,CopyCalculatedPreferenceToolbar,EnterAllocatePreference,ExportAllCalculatedPreferences,SaveCalculatedP"&amp;"references,ExportAllCalculatedPreferences,SaveCalculatedPreferences,CloseCalculatedPreferences,ExportCalculatedPreference,EditUnallocatedGroupSidePanel,ImportCalculatedPreferences,OpenAuditTrailUnallocatedGroup,DeleteCalculatedPreferencesTool,ImportCalcul"&amp;"atedPreferencesTool,ExportAllCalculatedPreferTool,CheckFixedPreference,DeleteFixedPreference,OpenSymbolLookupUnallocateGroup,OpenSymbolLookupAllocatedGroup,ExportAllCalculatedPreferTool,ExportAllCalculatedPreferences,GetFixedPreference,CheckAllocatedGroup"&amp;"s,CheckUnallocatedGroups,SetGeneralPreferences,EditAllocatedGroupSidePanel,OpenAuditTrailAllocatedGroup,GroupTrades,UngroupTrades,DeleteGroup,CloseOrder,Unallocate,CloseAllocation,GeneralPrefCompanyUserWise,,,,,,,,,,,,,,,,,,,,,,,,,,,,,,,,,,,,,,,,,,,,,,,,,"&amp;",,,,,,,,,,,,,,,,,,,,,,,,,,,,,,,,,,,,,,,,,,,,,,,,,,,,,,,,,,,,,,,,,,,,,,,,,,,,,,,,,,,,,,,,,,,,,,,,,,,,,,,,,,,,,,,,,,,,,,,,,,,,,,,,,,,,,,,,,,,,,,,,,,,,,,,,,,,,,,,,,,,,,,,,,,,,,,,,,,,,,,,,,,,,,,,,,,,,,,,,,,,,,,,,,,,,,,,,,,,,,,,,,,,,,,,,,,,,,,,,,,,,,,,,,,,,,,,"&amp;",,,,,,,,,,,,,,,,,,,,,,,,,,,,,,,,,,,,,,,,,,,,,,,,,,,,,,,,,,,,,,,,,,,,,,,,,,,,,,,,,,,,,,,,,,,,,,,,,,,,,,,,,,,,,"</formula1>
    </dataValidation>
    <dataValidation type="list" allowBlank="1" sqref="H699:K699">
      <formula1>"Import,GetDataAllocation"</formula1>
    </dataValidation>
    <dataValidation type="list" allowBlank="1" sqref="H675:K675">
      <formula1>"clea,ClosingCleanUp,CleanUp,CreateDoneAwayOrder,SelectTradeUnexpiredUnsettled"</formula1>
    </dataValidation>
    <dataValidation type="list" allowBlank="1" sqref="H529:K529">
      <formula1>"ClosingCleanUp,CleanUp,CreateDoneAwayOrder,GetDataClosing,VerifyLongPositionsGrid,SelectTradeUnexpiredUnsettled,ExerciseAssignment,ExerciseAssignmentAtZero,VerifyExpiredSettledGrid,GetDataAllocation,CheckAllocatedGroups,CheckPortfolioManagement"</formula1>
    </dataValidation>
    <dataValidation type="list" allowBlank="1" sqref="H715:K715">
      <formula1>"ClosingCleanUp,CleanUp,CreateDoneAwayOrder,GetDataClosing,VerifyLongPositionsGrid,VerifyShortPositionsGrid,AutomaticClosing,VerifyClosedTrades,GetDataAllocation,CheckAllocatedGroups,CheckPortfolioManagement"</formula1>
    </dataValidation>
    <dataValidation type="list" allowBlank="1" sqref="F219">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CashSettlementAtClosingDtSpotPx,CashSettlementA"&amp;"tClosingDtSpot,CashSettlementAtClosingDtSpotPx,,,,,,,,,,,,,,,,,,,,,,,,,,,,,,,,,,,,,,,,,,,,,,,,,,,,,,,,,,,,,,,,,,,,,,,,,,,,,,,,,,,,,,,,,,,,,,,,,,,,,,,,,,,,,,,,,,,,,,,,,,,,,,,,,,,,,,,,,,,,,,,,,,,,,,,,,,,,,,,,,,,,,,,,,,,,,,,,,,,,,,,,,,,,,,,,,,,,,,,,,,,,,,,,,"&amp;",,,,,,,,,,,,,,,,,,,,,,,,,,,,,,,,,,,,,,,,,,,,,,,,,,,,,,,,,,,,,,,,,,,,,,,,,,,,,,,,,,,,,,,,,,,,,,,,,,,,,,,,,,,,,,,,,,,,,,,,,,,,,,,,,,,,,,,,,,,,,,,,,,,,,,,,,,,,,,,,,,,,,,,,,,,,,,,,,,,,,,,,,,,,,,,,,,,,,,,,,,,,,,,,,,,,,,,,,,,,,,,,,,,,,,,,,,,,,,,,,,,,,,,,,,,,,,,"&amp;",,,,,,,"</formula1>
    </dataValidation>
    <dataValidation type="list" allowBlank="1" sqref="F338:F339 F352:F353 F366:F367 F380:F381 F423:F424 F441:F442 F487:F488">
      <formula1>"GetDataCash,EnterCashDividends,EnterNonTradingTransaction,VerifyCash,VerifyActivityTabData,VerifyTradingTransactionData,VerifyActivityTabData,VerifyTradingTransactionData,GetTransactionData,GetTradingTransaction,GetActivityData,VerifyTradingTransaction,Ge"&amp;"tRevaluationData,VerifyActivity,GetAccountDetails,GetAccountDetails,GetNonTradingTransactio,GetNonTradingTransaction,GetDividendData,VerifyNonTradingTransaction,VerifyNonTradingTransaction,VerifyRevaluationData,VerifyDividend,GetOpeningBalance,GetOpeningB"&amp;"alanceData,GetAccountBalance,SelectNonTradingTransaction,SelectNonTradingTranItem,DeleteNonTradingTransaction,DeleteNonTradingTranItem,AddNonTradingTransaction,AddNonTradingTranItem,VerifyOpeningBalance,VerifyOpeningBalanceData,SelectOpeningBalanceTransac"&amp;"tion,SelectOpeningBalanceTransaction,SelectOpeningBalanceTransaction,SelectOpeningBalanceTransaction,SelectOpeningBalanceTranItem,EditNonTradingTransaction,EditNonTradingTransaction,EditNonTradingTranItem,DeleteOpeningBalanceTransaction,DeleteOpeningBalan"&amp;"ceTransaction,DeleteOpeningBalanceTranItem,GetDayEndCash,CalculateDayEndCash,VerifyDayEndCash,RunRevaluation,CalculateDayEndCash,GetCashTransaction,SelectCashTransaction,DeleteCashTransaction,EditCashTransaction,AddCashTransaction,AddOpeningBalanceTransac"&amp;"tion,AddOpeningBalanceTranItem,GetDailyCalculationsData,CalculateDailyCalculations,EditNonTradingTransaction,EditOpeningBalanceTranItem,EditOpeningBalanceTransaction,VerifyDailyCalTransactions,CloseGeneralLedger,VerifyAccountDetails,,,,,,,,,,,,,,,,,,,,,,,"&amp;",,,,,,,,,,,,,,,,,,,,,,,,,,,,,,,,,,,,,,,,,,,,,,,,,,,,,,,,,,,,,,,,,,,,,,,,,,,,,,,,,,,,,,,,,,,,,,,,,,,,,,,,,,,,,,,,,,,,,,,,,,,,,,,,,,,,,,,,,,,,,,,,,,,,,,,,,,,,,,,,,,,,,,,,,,,,,,,,,,,,,,,,,,,,,,,,,,,,,,,,,,,,,,,,,,,,,,,,,,,,,,,,,,,,,,,,,,,,,,,,,,,,,,,,,,,,,,,"&amp;",,,,,,,,,,,,,,,,,,,,,,,,,,,,,,,,,,,,,,,,,,,,,,,,,,,,,,,,,,,,,,,,,,,,,,,,,,,,,,,,,,,,,,,,,,,,,,,,,,,,,,,,,,,,,,,,,,,,,,,,,,,,,,,,,,,,,,,,,,,,,,,,,,,,,,,,,,"</formula1>
    </dataValidation>
    <dataValidation type="list" allowBlank="1" sqref="H800:K800">
      <formula1>"SetClosingPreference,CreateDoneAwayOrder,SelectTradeUnexpiredUnsettled,EditTradeUnexpiredUnsettled,ExerciseAssignment,CheckAllocatedGroups,SetClosingPreference1,VerifyExpiredSettledGrid"</formula1>
    </dataValidation>
  </dataValidations>
  <hyperlinks>
    <hyperlink r:id="rId1" location="gid=661870191" ref="G8"/>
    <hyperlink r:id="rId2" location="gid=439472557" ref="G9"/>
    <hyperlink r:id="rId3" location="gid=1633805318" ref="G10"/>
    <hyperlink r:id="rId4" location="gid=1762812941" ref="G11"/>
    <hyperlink r:id="rId5" location="gid=490279348" ref="G12"/>
    <hyperlink r:id="rId6" location="gid=1331223491" ref="G13"/>
    <hyperlink r:id="rId7" location="gid=309119616" ref="G14"/>
    <hyperlink r:id="rId8" location="gid=357672643" ref="G15"/>
    <hyperlink r:id="rId9" location="gid=662354077" ref="G16"/>
    <hyperlink r:id="rId10" location="gid=1768029149" ref="G17"/>
    <hyperlink r:id="rId11" location="gid=528325801" ref="G20"/>
    <hyperlink r:id="rId12" location="gid=2131707535" ref="G21"/>
    <hyperlink r:id="rId13" location="gid=1202107744" ref="G22"/>
    <hyperlink r:id="rId14" location="gid=1560661372" ref="G23"/>
    <hyperlink r:id="rId15" location="gid=660540369" ref="G24"/>
    <hyperlink r:id="rId16" location="gid=2131707535" ref="G25"/>
    <hyperlink r:id="rId17" location="gid=1202107744" ref="G26"/>
    <hyperlink r:id="rId18" location="gid=1560661372" ref="G27"/>
    <hyperlink r:id="rId19" location="gid=1503467462" ref="G28"/>
    <hyperlink r:id="rId20" location="gid=1271595260" ref="G29"/>
    <hyperlink r:id="rId21" location="gid=2100961353" ref="G30"/>
    <hyperlink r:id="rId22" location="gid=1474985168" ref="G33"/>
    <hyperlink r:id="rId23" location="gid=427680556" ref="G34"/>
    <hyperlink r:id="rId24" location="gid=161172773" ref="G35"/>
    <hyperlink r:id="rId25" location="gid=1996936049" ref="G36"/>
    <hyperlink r:id="rId26" location="gid=1105156258" ref="G37"/>
    <hyperlink r:id="rId27" location="gid=161172773" ref="G38"/>
    <hyperlink r:id="rId28" location="gid=1996936049" ref="G39"/>
    <hyperlink r:id="rId29" location="gid=1233524399" ref="G40"/>
    <hyperlink r:id="rId30" location="gid=784974237" ref="G41"/>
    <hyperlink r:id="rId31" location="gid=1530356970" ref="G42"/>
    <hyperlink r:id="rId32" location="gid=1150330467" ref="G45"/>
    <hyperlink r:id="rId33" location="gid=87445256" ref="G46"/>
    <hyperlink r:id="rId34" location="gid=1930860524" ref="G47"/>
    <hyperlink r:id="rId35" location="gid=92478031" ref="G48"/>
    <hyperlink r:id="rId36" location="gid=615743638" ref="G49"/>
    <hyperlink r:id="rId37" location="gid=1930860524" ref="G50"/>
    <hyperlink r:id="rId38" location="gid=92478031" ref="G51"/>
    <hyperlink r:id="rId39" location="gid=484075537" ref="G52"/>
    <hyperlink r:id="rId40" location="gid=1565295536" ref="G53"/>
    <hyperlink r:id="rId41" location="gid=599320425" ref="G54"/>
    <hyperlink r:id="rId42" location="gid=1617174422" ref="G57"/>
    <hyperlink r:id="rId43" location="gid=1454706936" ref="G58"/>
    <hyperlink r:id="rId44" location="gid=891971282" ref="G59"/>
    <hyperlink r:id="rId45" location="gid=2100670141" ref="G60"/>
    <hyperlink r:id="rId46" location="gid=1574467783" ref="G61"/>
    <hyperlink r:id="rId47" location="gid=2116114700" ref="G62"/>
    <hyperlink r:id="rId48" location="gid=162789913" ref="G63"/>
    <hyperlink r:id="rId49" location="gid=106999407" ref="G64"/>
    <hyperlink r:id="rId50" location="gid=1821110906" ref="G65"/>
    <hyperlink r:id="rId51" location="gid=735422056" ref="G66"/>
    <hyperlink r:id="rId52" location="gid=1532223646" ref="G69"/>
    <hyperlink r:id="rId53" location="gid=4423925" ref="G70"/>
    <hyperlink r:id="rId54" location="gid=1048915611" ref="G71"/>
    <hyperlink r:id="rId55" location="gid=2010165704" ref="G72"/>
    <hyperlink r:id="rId56" location="gid=28738045" ref="G73"/>
    <hyperlink r:id="rId57" location="gid=1048915611" ref="G74"/>
    <hyperlink r:id="rId58" location="gid=2010165704" ref="G75"/>
    <hyperlink r:id="rId59" location="gid=1353175279" ref="G76"/>
    <hyperlink r:id="rId60" location="gid=2081622281" ref="G77"/>
    <hyperlink r:id="rId61" location="gid=837226235" ref="G78"/>
    <hyperlink r:id="rId62" location="gid=515897178" ref="G81"/>
    <hyperlink r:id="rId63" location="gid=723719354" ref="G82"/>
    <hyperlink r:id="rId64" location="gid=775016557" ref="G83"/>
    <hyperlink r:id="rId65" location="gid=295310251" ref="G84"/>
    <hyperlink r:id="rId66" location="gid=473963231" ref="G85"/>
    <hyperlink r:id="rId67" location="gid=29817230" ref="G86"/>
    <hyperlink r:id="rId68" location="gid=1148059995" ref="G87"/>
    <hyperlink r:id="rId69" location="gid=1266953968" ref="G88"/>
    <hyperlink r:id="rId70" location="gid=1404960324" ref="G89"/>
    <hyperlink r:id="rId71" location="gid=1435127696" ref="G90"/>
    <hyperlink r:id="rId72" location="gid=1197854122" ref="G93"/>
    <hyperlink r:id="rId73" location="gid=466655397" ref="G94"/>
    <hyperlink r:id="rId74" location="gid=1182683171" ref="G95"/>
    <hyperlink r:id="rId75" location="gid=1634688385" ref="G96"/>
    <hyperlink r:id="rId76" location="gid=665081070" ref="G97"/>
    <hyperlink r:id="rId77" location="gid=1880641366" ref="G99"/>
    <hyperlink r:id="rId78" location="gid=899754788" ref="G100"/>
    <hyperlink r:id="rId79" location="gid=2136593393" ref="G101"/>
    <hyperlink r:id="rId80" location="gid=553130979" ref="G102"/>
    <hyperlink r:id="rId81" location="gid=696651465" ref="G103"/>
    <hyperlink r:id="rId82" location="gid=1697946566" ref="G106"/>
    <hyperlink r:id="rId83" location="gid=1128020406" ref="G107"/>
    <hyperlink r:id="rId84" location="gid=1515020694" ref="G108"/>
    <hyperlink r:id="rId85" location="gid=543280312" ref="G109"/>
    <hyperlink r:id="rId86" location="gid=552310302" ref="G110"/>
    <hyperlink r:id="rId87" location="gid=903751202" ref="G111"/>
    <hyperlink r:id="rId88" location="gid=368070186" ref="G112"/>
    <hyperlink r:id="rId89" location="gid=1548629918" ref="G113"/>
    <hyperlink r:id="rId90" location="gid=1156978361" ref="G114"/>
    <hyperlink r:id="rId91" location="gid=2086153807" ref="G115"/>
    <hyperlink r:id="rId92" location="gid=1206234737" ref="G118"/>
    <hyperlink r:id="rId93" location="gid=1056624882" ref="G119"/>
    <hyperlink r:id="rId94" location="gid=1269232404" ref="G120"/>
    <hyperlink r:id="rId95" location="gid=1971116489" ref="G121"/>
    <hyperlink r:id="rId96" location="gid=534231227" ref="G122"/>
    <hyperlink r:id="rId97" location="gid=1818863792" ref="G124"/>
    <hyperlink r:id="rId98" location="gid=929084254" ref="G125"/>
    <hyperlink r:id="rId99" location="gid=1192723772" ref="G126"/>
    <hyperlink r:id="rId100" location="gid=758422210" ref="G127"/>
    <hyperlink r:id="rId101" location="gid=805291505" ref="G128"/>
    <hyperlink r:id="rId102" location="gid=1760856174" ref="G131"/>
    <hyperlink r:id="rId103" location="gid=2141955546" ref="G132"/>
    <hyperlink r:id="rId104" location="gid=527041982" ref="G133"/>
    <hyperlink r:id="rId105" location="gid=938578958" ref="G134"/>
    <hyperlink r:id="rId106" location="gid=2017949502" ref="G135"/>
    <hyperlink r:id="rId107" location="gid=311345476" ref="G137"/>
    <hyperlink r:id="rId108" location="gid=732309419" ref="G138"/>
    <hyperlink r:id="rId109" location="gid=1255513636" ref="G139"/>
    <hyperlink r:id="rId110" location="gid=220730396" ref="G140"/>
    <hyperlink r:id="rId111" location="gid=1904420247" ref="G141"/>
    <hyperlink r:id="rId112" location="gid=1617019801" ref="G144"/>
    <hyperlink r:id="rId113" location="gid=1730013790" ref="G145"/>
    <hyperlink r:id="rId114" location="gid=53011906" ref="G146"/>
    <hyperlink r:id="rId115" location="gid=254983549" ref="G147"/>
    <hyperlink r:id="rId116" location="gid=243338529" ref="G148"/>
    <hyperlink r:id="rId117" location="gid=1664021042" ref="G150"/>
    <hyperlink r:id="rId118" location="gid=1268674304" ref="G151"/>
    <hyperlink r:id="rId119" location="gid=304385367" ref="G152"/>
    <hyperlink r:id="rId120" location="gid=1988081712" ref="G153"/>
    <hyperlink r:id="rId121" location="gid=1945084879" ref="G154"/>
    <hyperlink r:id="rId122" location="gid=753258417" ref="G157"/>
    <hyperlink r:id="rId123" location="gid=1526849747" ref="G158"/>
    <hyperlink r:id="rId124" location="gid=124710556" ref="G159"/>
    <hyperlink r:id="rId125" location="gid=1613811731" ref="G160"/>
    <hyperlink r:id="rId126" location="gid=839657417" ref="G161"/>
    <hyperlink r:id="rId127" location="gid=751252027" ref="G162"/>
    <hyperlink r:id="rId128" location="gid=633310308" ref="G163"/>
    <hyperlink r:id="rId129" location="gid=2021910848" ref="G164"/>
    <hyperlink r:id="rId130" location="gid=419896648" ref="G165"/>
    <hyperlink r:id="rId131" location="gid=1010509594" ref="G166"/>
    <hyperlink r:id="rId132" location="gid=1868038417" ref="G169"/>
    <hyperlink r:id="rId133" location="gid=1699572109" ref="G170"/>
    <hyperlink r:id="rId134" location="gid=598182252" ref="G171"/>
    <hyperlink r:id="rId135" location="gid=137453217" ref="G172"/>
    <hyperlink r:id="rId136" location="gid=1483828452" ref="G173"/>
    <hyperlink r:id="rId137" location="gid=779877727" ref="G174"/>
    <hyperlink r:id="rId138" location="gid=170354749" ref="G175"/>
    <hyperlink r:id="rId139" location="gid=188265927" ref="G176"/>
    <hyperlink r:id="rId140" location="gid=177630288" ref="G177"/>
    <hyperlink r:id="rId141" location="gid=300537410" ref="G180"/>
    <hyperlink r:id="rId142" location="gid=53751763" ref="G181"/>
    <hyperlink r:id="rId143" location="gid=1098202038" ref="G182"/>
    <hyperlink r:id="rId144" location="gid=384541845" ref="G183"/>
    <hyperlink r:id="rId145" location="gid=1331391119" ref="G184"/>
    <hyperlink r:id="rId146" location="gid=209917675" ref="G185"/>
    <hyperlink r:id="rId147" location="gid=2063070755" ref="G186"/>
    <hyperlink r:id="rId148" location="gid=2108747447" ref="G187"/>
    <hyperlink r:id="rId149" location="gid=1601161778" ref="G188"/>
    <hyperlink r:id="rId150" location="gid=1955860042" ref="G191"/>
    <hyperlink r:id="rId151" location="gid=490145280" ref="G192"/>
    <hyperlink r:id="rId152" location="gid=614857166" ref="G193"/>
    <hyperlink r:id="rId153" location="gid=1572473126" ref="G194"/>
    <hyperlink r:id="rId154" location="gid=567218084" ref="G195"/>
    <hyperlink r:id="rId155" location="gid=2000502710" ref="G196"/>
    <hyperlink r:id="rId156" location="gid=677978164" ref="G197"/>
    <hyperlink r:id="rId157" location="gid=5422051" ref="G198"/>
    <hyperlink r:id="rId158" location="gid=986000353" ref="G199"/>
    <hyperlink r:id="rId159" location="gid=1261260341" ref="G202"/>
    <hyperlink r:id="rId160" location="gid=1575740277" ref="G203"/>
    <hyperlink r:id="rId161" location="gid=1544237301" ref="G204"/>
    <hyperlink r:id="rId162" location="gid=303134537" ref="G205"/>
    <hyperlink r:id="rId163" location="gid=1568155117" ref="G206"/>
    <hyperlink r:id="rId164" location="gid=1035542475" ref="G207"/>
    <hyperlink r:id="rId165" location="gid=459141951" ref="G208"/>
    <hyperlink r:id="rId166" location="gid=1990222359" ref="G209"/>
    <hyperlink r:id="rId167" location="gid=1979347484" ref="G210"/>
    <hyperlink r:id="rId168" location="gid=1885839916" ref="G213"/>
    <hyperlink r:id="rId169" location="gid=2031525932" ref="G214"/>
    <hyperlink r:id="rId170" location="gid=2121038820" ref="G215"/>
    <hyperlink r:id="rId171" location="gid=681664091" ref="G216"/>
    <hyperlink r:id="rId172" location="gid=2082008509" ref="G217"/>
    <hyperlink r:id="rId173" location="gid=1188715072" ref="G218"/>
    <hyperlink r:id="rId174" location="gid=815183128" ref="G219"/>
    <hyperlink r:id="rId175" location="gid=645550060" ref="G220"/>
    <hyperlink r:id="rId176" location="gid=1813915262" ref="G221"/>
    <hyperlink r:id="rId177" location="gid=990947482" ref="G222"/>
    <hyperlink r:id="rId178" location="gid=637191058" ref="G223"/>
    <hyperlink r:id="rId179" location="gid=1176887468" ref="G226"/>
    <hyperlink r:id="rId180" location="gid=539664374" ref="G227"/>
    <hyperlink r:id="rId181" location="gid=307879091" ref="G228"/>
    <hyperlink r:id="rId182" location="gid=2045855571" ref="G229"/>
    <hyperlink r:id="rId183" location="gid=767729008" ref="G230"/>
    <hyperlink r:id="rId184" location="gid=752257924" ref="G231"/>
    <hyperlink r:id="rId185" location="gid=704026043" ref="G232"/>
    <hyperlink r:id="rId186" location="gid=419175433" ref="G233"/>
    <hyperlink r:id="rId187" location="gid=39014840" ref="G234"/>
    <hyperlink r:id="rId188" location="gid=305454492" ref="G237"/>
    <hyperlink r:id="rId189" location="gid=454682789" ref="G238"/>
    <hyperlink r:id="rId190" location="gid=1535848704" ref="G239"/>
    <hyperlink r:id="rId191" location="gid=1569026833" ref="G240"/>
    <hyperlink r:id="rId192" location="gid=1835414818" ref="G241"/>
    <hyperlink r:id="rId193" location="gid=1738824226" ref="G242"/>
    <hyperlink r:id="rId194" location="gid=1266084082" ref="G243"/>
    <hyperlink r:id="rId195" location="gid=986759316" ref="G244"/>
    <hyperlink r:id="rId196" location="gid=1696414086" ref="G245"/>
    <hyperlink r:id="rId197" location="gid=160585138" ref="G246"/>
    <hyperlink r:id="rId198" location="gid=1235428383" ref="G247"/>
    <hyperlink r:id="rId199" location="gid=474429007" ref="G250"/>
    <hyperlink r:id="rId200" location="gid=1781835645" ref="G251"/>
    <hyperlink r:id="rId201" location="gid=393308138" ref="G252"/>
    <hyperlink r:id="rId202" location="gid=1147169934" ref="G253"/>
    <hyperlink r:id="rId203" location="gid=295993864" ref="G254"/>
    <hyperlink r:id="rId204" location="gid=761551007" ref="G255"/>
    <hyperlink r:id="rId205" location="gid=1015909716" ref="G256"/>
    <hyperlink r:id="rId206" location="gid=1177907904" ref="G257"/>
    <hyperlink r:id="rId207" location="gid=1016851219" ref="G258"/>
    <hyperlink r:id="rId208" location="gid=401982941" ref="G259"/>
    <hyperlink r:id="rId209" location="gid=429052846" ref="G260"/>
    <hyperlink r:id="rId210" location="gid=215684979" ref="G263"/>
    <hyperlink r:id="rId211" location="gid=1620330192" ref="G264"/>
    <hyperlink r:id="rId212" location="gid=744594320" ref="G265"/>
    <hyperlink r:id="rId213" location="gid=1867716354" ref="G266"/>
    <hyperlink r:id="rId214" location="gid=685205368" ref="G267"/>
    <hyperlink r:id="rId215" location="gid=313589880" ref="G268"/>
    <hyperlink r:id="rId216" location="gid=230076521" ref="G269"/>
    <hyperlink r:id="rId217" location="gid=1242308961" ref="G270"/>
    <hyperlink r:id="rId218" location="gid=1187656409" ref="G271"/>
    <hyperlink r:id="rId219" location="gid=1241694682" ref="G272"/>
    <hyperlink r:id="rId220" location="gid=2127134925" ref="G273"/>
    <hyperlink r:id="rId221" location="gid=638890102" ref="G276"/>
    <hyperlink r:id="rId222" location="gid=993988734" ref="G277"/>
    <hyperlink r:id="rId223" location="gid=591440990" ref="G278"/>
    <hyperlink r:id="rId224" location="gid=1613037171" ref="G279"/>
    <hyperlink r:id="rId225" location="gid=1600641064" ref="G280"/>
    <hyperlink r:id="rId226" location="gid=1468979616" ref="G281"/>
    <hyperlink r:id="rId227" location="gid=1774005946" ref="G282"/>
    <hyperlink r:id="rId228" location="gid=2035197095" ref="G283"/>
    <hyperlink r:id="rId229" location="gid=591440990" ref="G284"/>
    <hyperlink r:id="rId230" location="gid=1204554458" ref="G285"/>
    <hyperlink r:id="rId231" location="gid=419724438" ref="G286"/>
    <hyperlink r:id="rId232" location="gid=2112663266" ref="G287"/>
    <hyperlink r:id="rId233" location="gid=303330524" ref="G288"/>
    <hyperlink r:id="rId234" location="gid=2112663266" ref="G289"/>
    <hyperlink r:id="rId235" location="gid=560294227" ref="G290"/>
    <hyperlink r:id="rId236" location="gid=2035197095" ref="G291"/>
    <hyperlink r:id="rId237" location="gid=1511208659" ref="G292"/>
    <hyperlink r:id="rId238" location="gid=890700101" ref="G295"/>
    <hyperlink r:id="rId239" location="gid=1601655484" ref="G296"/>
    <hyperlink r:id="rId240" location="gid=1760376059" ref="G297"/>
    <hyperlink r:id="rId241" location="gid=1853899090" ref="G298"/>
    <hyperlink r:id="rId242" location="gid=1665053817" ref="G299"/>
    <hyperlink r:id="rId243" location="gid=509500143" ref="G300"/>
    <hyperlink r:id="rId244" location="gid=1051422619" ref="G301"/>
    <hyperlink r:id="rId245" location="gid=1151686442" ref="G302"/>
    <hyperlink r:id="rId246" location="gid=487775083" ref="G303"/>
    <hyperlink r:id="rId247" location="gid=800190470" ref="G307"/>
    <hyperlink r:id="rId248" location="gid=1515950937" ref="G308"/>
    <hyperlink r:id="rId249" location="gid=1475296903" ref="G309"/>
    <hyperlink r:id="rId250" location="gid=109218845" ref="G310"/>
    <hyperlink r:id="rId251" location="gid=1971928956" ref="G311"/>
    <hyperlink r:id="rId252" location="gid=1975727471" ref="G312"/>
    <hyperlink r:id="rId253" location="gid=16831331" ref="G313"/>
    <hyperlink r:id="rId254" location="gid=1790485834" ref="G314"/>
    <hyperlink r:id="rId255" location="gid=1528928633" ref="G315"/>
    <hyperlink r:id="rId256" location="gid=318845822" ref="G319"/>
    <hyperlink r:id="rId257" location="gid=603655854" ref="G320"/>
    <hyperlink r:id="rId258" location="gid=442122498" ref="G321"/>
    <hyperlink r:id="rId259" location="gid=1071959026" ref="G322"/>
    <hyperlink r:id="rId260" location="gid=2103529476" ref="G323"/>
    <hyperlink r:id="rId261" location="gid=1671438536" ref="G324"/>
    <hyperlink r:id="rId262" location="gid=1581936781" ref="G325"/>
    <hyperlink r:id="rId263" location="gid=332773489" ref="G326"/>
    <hyperlink r:id="rId264" location="gid=1229942367" ref="G330"/>
    <hyperlink r:id="rId265" location="gid=1782827339" ref="G331"/>
    <hyperlink r:id="rId266" location="gid=726080975" ref="G332"/>
    <hyperlink r:id="rId267" location="gid=518774982" ref="G333"/>
    <hyperlink r:id="rId268" location="gid=640205184" ref="G334"/>
    <hyperlink r:id="rId269" location="gid=334016804" ref="G335"/>
    <hyperlink r:id="rId270" location="gid=1630470805" ref="G336"/>
    <hyperlink r:id="rId271" location="gid=487161000" ref="G337"/>
    <hyperlink r:id="rId272" location="gid=889432248" ref="G338"/>
    <hyperlink r:id="rId273" location="gid=1942164349" ref="G339"/>
    <hyperlink r:id="rId274" location="gid=390744462" ref="G340"/>
    <hyperlink r:id="rId275" location="gid=2060051482" ref="G344"/>
    <hyperlink r:id="rId276" location="gid=1254922161" ref="G345"/>
    <hyperlink r:id="rId277" location="gid=692240992" ref="G346"/>
    <hyperlink r:id="rId278" location="gid=35149807" ref="G347"/>
    <hyperlink r:id="rId279" location="gid=850493249" ref="G348"/>
    <hyperlink r:id="rId280" location="gid=1440339299" ref="G349"/>
    <hyperlink r:id="rId281" location="gid=1834748367" ref="G350"/>
    <hyperlink r:id="rId282" location="gid=20951947" ref="G351"/>
    <hyperlink r:id="rId283" location="gid=46052285" ref="G352"/>
    <hyperlink r:id="rId284" location="gid=1034050891" ref="G353"/>
    <hyperlink r:id="rId285" location="gid=1678484958" ref="G354"/>
    <hyperlink r:id="rId286" location="gid=958279391" ref="G358"/>
    <hyperlink r:id="rId287" location="gid=914107250" ref="G359"/>
    <hyperlink r:id="rId288" location="gid=1030551014" ref="G360"/>
    <hyperlink r:id="rId289" location="gid=1158884042" ref="G361"/>
    <hyperlink r:id="rId290" location="gid=98860914" ref="G362"/>
    <hyperlink r:id="rId291" location="gid=568394657" ref="G363"/>
    <hyperlink r:id="rId292" location="gid=632858040" ref="G364"/>
    <hyperlink r:id="rId293" location="gid=882659587" ref="G365"/>
    <hyperlink r:id="rId294" location="gid=676122114" ref="G366"/>
    <hyperlink r:id="rId295" location="gid=2070050487" ref="G367"/>
    <hyperlink r:id="rId296" location="gid=1434699220" ref="G368"/>
    <hyperlink r:id="rId297" location="gid=854478114" ref="G372"/>
    <hyperlink r:id="rId298" location="gid=117623935" ref="G373"/>
    <hyperlink r:id="rId299" location="gid=2028722546" ref="G374"/>
    <hyperlink r:id="rId300" location="gid=519119785" ref="G375"/>
    <hyperlink r:id="rId301" location="gid=1717200279" ref="G376"/>
    <hyperlink r:id="rId302" location="gid=1750626089" ref="G377"/>
    <hyperlink r:id="rId303" location="gid=66531466" ref="G378"/>
    <hyperlink r:id="rId304" location="gid=1094785963" ref="G379"/>
    <hyperlink r:id="rId305" location="gid=1952760570" ref="G380"/>
    <hyperlink r:id="rId306" location="gid=1164112512" ref="G381"/>
    <hyperlink r:id="rId307" location="gid=1351467387" ref="G382"/>
    <hyperlink r:id="rId308" location="gid=794138302" ref="G386"/>
    <hyperlink r:id="rId309" location="gid=1802430195" ref="G387"/>
    <hyperlink r:id="rId310" location="gid=98775755" ref="G388"/>
    <hyperlink r:id="rId311" location="gid=861393937" ref="G389"/>
    <hyperlink r:id="rId312" location="gid=2034418358" ref="G390"/>
    <hyperlink r:id="rId313" location="gid=976366735" ref="G391"/>
    <hyperlink r:id="rId314" location="gid=1239879230" ref="G392"/>
    <hyperlink r:id="rId315" location="gid=1571679512" ref="G393"/>
    <hyperlink r:id="rId316" location="gid=1303638915" ref="G394"/>
    <hyperlink r:id="rId317" location="gid=1351753475" ref="G397"/>
    <hyperlink r:id="rId318" location="gid=239532275" ref="G398"/>
    <hyperlink r:id="rId319" location="gid=848958753" ref="G399"/>
    <hyperlink r:id="rId320" location="gid=1383565828" ref="G400"/>
    <hyperlink r:id="rId321" location="gid=1952472425" ref="G401"/>
    <hyperlink r:id="rId322" location="gid=239532275" ref="G402"/>
    <hyperlink r:id="rId323" location="gid=1920731868" ref="G403"/>
    <hyperlink r:id="rId324" location="gid=274813320" ref="G404"/>
    <hyperlink r:id="rId325" location="gid=133218389" ref="G405"/>
    <hyperlink r:id="rId326" location="gid=1799622680" ref="G406"/>
    <hyperlink r:id="rId327" location="gid=1946986557" ref="G407"/>
    <hyperlink r:id="rId328" location="gid=1009720111" ref="G410"/>
    <hyperlink r:id="rId329" location="gid=465337546" ref="G411"/>
    <hyperlink r:id="rId330" location="gid=407822796" ref="G412"/>
    <hyperlink r:id="rId331" location="gid=1988870864" ref="G413"/>
    <hyperlink r:id="rId332" location="gid=1840493839" ref="G414"/>
    <hyperlink r:id="rId333" location="gid=509973549" ref="G415"/>
    <hyperlink r:id="rId334" location="gid=789143739" ref="G416"/>
    <hyperlink r:id="rId335" location="gid=237799465" ref="G417"/>
    <hyperlink r:id="rId336" location="gid=677191004" ref="G418"/>
    <hyperlink r:id="rId337" location="gid=1134395727" ref="G419"/>
    <hyperlink r:id="rId338" location="gid=557312436" ref="G420"/>
    <hyperlink r:id="rId339" location="gid=465337546" ref="G421"/>
    <hyperlink r:id="rId340" location="gid=296077674" ref="G422"/>
    <hyperlink r:id="rId341" location="gid=1983841507" ref="G423"/>
    <hyperlink r:id="rId342" location="gid=352536801" ref="G424"/>
    <hyperlink r:id="rId343" location="gid=1783270309" ref="G425"/>
    <hyperlink r:id="rId344" location="gid=2070641429" ref="G428"/>
    <hyperlink r:id="rId345" location="gid=2064144554" ref="G429"/>
    <hyperlink r:id="rId346" location="gid=2042172963" ref="G430"/>
    <hyperlink r:id="rId347" location="gid=722305812" ref="G431"/>
    <hyperlink r:id="rId348" location="gid=1127530415" ref="G432"/>
    <hyperlink r:id="rId349" location="gid=894010454" ref="G433"/>
    <hyperlink r:id="rId350" location="gid=1435936411" ref="G434"/>
    <hyperlink r:id="rId351" location="gid=381671898" ref="G435"/>
    <hyperlink r:id="rId352" location="gid=1198295828" ref="G436"/>
    <hyperlink r:id="rId353" location="gid=2146540073" ref="G437"/>
    <hyperlink r:id="rId354" location="gid=1556642062" ref="G438"/>
    <hyperlink r:id="rId355" location="gid=2064144554" ref="G439"/>
    <hyperlink r:id="rId356" location="gid=1219421945" ref="G440"/>
    <hyperlink r:id="rId357" location="gid=582416771" ref="G441"/>
    <hyperlink r:id="rId358" location="gid=616466746" ref="G442"/>
    <hyperlink r:id="rId359" location="gid=1102404601" ref="G443"/>
    <hyperlink r:id="rId360" location="gid=679823971" ref="G446"/>
    <hyperlink r:id="rId361" location="gid=87611987" ref="G447"/>
    <hyperlink r:id="rId362" location="gid=487862532" ref="G448"/>
    <hyperlink r:id="rId363" location="gid=921203830" ref="G449"/>
    <hyperlink r:id="rId364" location="gid=1333612972" ref="G450"/>
    <hyperlink r:id="rId365" location="gid=87611987" ref="G451"/>
    <hyperlink r:id="rId366" location="gid=533327125" ref="G452"/>
    <hyperlink r:id="rId367" location="gid=87611987" ref="G453"/>
    <hyperlink r:id="rId368" location="gid=863904210" ref="G456"/>
    <hyperlink r:id="rId369" location="gid=1291694339" ref="G457"/>
    <hyperlink r:id="rId370" location="gid=1704891544" ref="G458"/>
    <hyperlink r:id="rId371" location="gid=582732342" ref="G459"/>
    <hyperlink r:id="rId372" location="gid=1163447011" ref="G460"/>
    <hyperlink r:id="rId373" location="gid=1935144070" ref="G462"/>
    <hyperlink r:id="rId374" location="gid=1050453256" ref="G463"/>
    <hyperlink r:id="rId375" location="gid=1103931094" ref="G465"/>
    <hyperlink r:id="rId376" location="gid=305340693" ref="G466"/>
    <hyperlink r:id="rId377" location="gid=1768060834" ref="G467"/>
    <hyperlink r:id="rId378" location="gid=636177201" ref="G468"/>
    <hyperlink r:id="rId379" location="gid=1175240703" ref="G469"/>
    <hyperlink r:id="rId380" location="gid=1662052447" ref="G470"/>
    <hyperlink r:id="rId381" location="gid=10973256" ref="G471"/>
    <hyperlink r:id="rId382" location="gid=2014475669" ref="G474"/>
    <hyperlink r:id="rId383" location="gid=737130187" ref="G475"/>
    <hyperlink r:id="rId384" location="gid=1658710339" ref="G476"/>
    <hyperlink r:id="rId385" location="gid=120265262" ref="G477"/>
    <hyperlink r:id="rId386" location="gid=1172690695" ref="G478"/>
    <hyperlink r:id="rId387" location="gid=167199833" ref="G479"/>
    <hyperlink r:id="rId388" location="gid=1248437998" ref="G480"/>
    <hyperlink r:id="rId389" location="gid=1658710339" ref="G481"/>
    <hyperlink r:id="rId390" location="gid=120265262" ref="G482"/>
    <hyperlink r:id="rId391" location="gid=96365846" ref="G483"/>
    <hyperlink r:id="rId392" location="gid=1658710339" ref="G484"/>
    <hyperlink r:id="rId393" location="gid=120265262" ref="G485"/>
    <hyperlink r:id="rId394" location="gid=1144603692" ref="G486"/>
    <hyperlink r:id="rId395" location="gid=389616323" ref="G487"/>
    <hyperlink r:id="rId396" location="gid=750614803" ref="G488"/>
    <hyperlink r:id="rId397" location="gid=605869163" ref="G491"/>
    <hyperlink r:id="rId398" location="gid=1876333242" ref="G492"/>
    <hyperlink r:id="rId399" location="gid=975082099" ref="G493"/>
    <hyperlink r:id="rId400" location="gid=212458668" ref="G494"/>
    <hyperlink r:id="rId401" location="gid=1550389881" ref="G495"/>
    <hyperlink r:id="rId402" location="gid=212551806" ref="G497"/>
    <hyperlink r:id="rId403" location="gid=464696266" ref="G498"/>
    <hyperlink r:id="rId404" location="gid=461161088" ref="G500"/>
    <hyperlink r:id="rId405" location="gid=640046467" ref="G501"/>
    <hyperlink r:id="rId406" location="gid=1603513337" ref="G502"/>
    <hyperlink r:id="rId407" location="gid=2038337327" ref="G503"/>
    <hyperlink r:id="rId408" location="gid=805381603" ref="G504"/>
    <hyperlink r:id="rId409" location="gid=1052780682" ref="G505"/>
    <hyperlink r:id="rId410" location="gid=1292988169" ref="G506"/>
  </hyperlinks>
  <drawing r:id="rId4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49.29"/>
    <col customWidth="1" min="4" max="4" width="16.86"/>
    <col customWidth="1" min="5" max="5" width="24.71"/>
    <col customWidth="1" min="6" max="6" width="27.86"/>
    <col customWidth="1" min="7" max="7" width="81.57"/>
    <col customWidth="1" min="8" max="8" width="26.29"/>
    <col customWidth="1" min="9" max="12" width="18.0"/>
    <col customWidth="1" min="13" max="32" width="14.43"/>
  </cols>
  <sheetData>
    <row r="1" ht="1.5" customHeight="1">
      <c r="A1" s="16"/>
      <c r="B1" s="16"/>
      <c r="C1" s="17"/>
      <c r="D1" s="17"/>
      <c r="E1" s="17"/>
      <c r="F1" s="17"/>
      <c r="G1" s="17"/>
      <c r="H1" s="17"/>
      <c r="I1" s="17"/>
      <c r="J1" s="16"/>
      <c r="K1" s="16"/>
      <c r="L1" s="16"/>
      <c r="M1" s="18"/>
      <c r="N1" s="18"/>
      <c r="O1" s="18"/>
      <c r="P1" s="18"/>
      <c r="Q1" s="18"/>
      <c r="R1" s="18"/>
      <c r="S1" s="18"/>
      <c r="T1" s="18"/>
      <c r="U1" s="18"/>
      <c r="V1" s="18"/>
      <c r="W1" s="18"/>
      <c r="X1" s="18"/>
      <c r="Y1" s="18"/>
      <c r="Z1" s="18"/>
      <c r="AA1" s="18"/>
      <c r="AB1" s="18"/>
      <c r="AC1" s="18"/>
      <c r="AD1" s="18"/>
      <c r="AE1" s="18"/>
      <c r="AF1" s="18"/>
    </row>
    <row r="2" ht="1.5" customHeight="1">
      <c r="A2" s="16"/>
      <c r="B2" s="16"/>
      <c r="C2" s="17"/>
      <c r="D2" s="17"/>
      <c r="E2" s="17"/>
      <c r="F2" s="17"/>
      <c r="G2" s="17"/>
      <c r="H2" s="17"/>
      <c r="I2" s="17"/>
      <c r="J2" s="16"/>
      <c r="K2" s="16"/>
      <c r="L2" s="16"/>
      <c r="M2" s="18"/>
      <c r="N2" s="18"/>
      <c r="O2" s="18"/>
      <c r="P2" s="18"/>
      <c r="Q2" s="18"/>
      <c r="R2" s="18"/>
      <c r="S2" s="18"/>
      <c r="T2" s="18"/>
      <c r="U2" s="18"/>
      <c r="V2" s="18"/>
      <c r="W2" s="18"/>
      <c r="X2" s="18"/>
      <c r="Y2" s="18"/>
      <c r="Z2" s="18"/>
      <c r="AA2" s="18"/>
      <c r="AB2" s="18"/>
      <c r="AC2" s="18"/>
      <c r="AD2" s="18"/>
      <c r="AE2" s="18"/>
      <c r="AF2" s="18"/>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0"/>
      <c r="C4" s="21"/>
      <c r="D4" s="20"/>
      <c r="E4" s="20"/>
      <c r="F4" s="20"/>
      <c r="G4" s="20"/>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23" t="s">
        <v>8</v>
      </c>
      <c r="D5" s="24" t="s">
        <v>9</v>
      </c>
      <c r="E5" s="24" t="s">
        <v>10</v>
      </c>
      <c r="F5" s="24" t="s">
        <v>11</v>
      </c>
      <c r="G5" s="24" t="s">
        <v>12</v>
      </c>
      <c r="H5" s="229" t="s">
        <v>13</v>
      </c>
      <c r="I5" s="24" t="s">
        <v>14</v>
      </c>
      <c r="J5" s="22" t="s">
        <v>15</v>
      </c>
      <c r="K5" s="22" t="s">
        <v>16</v>
      </c>
      <c r="L5" s="22" t="s">
        <v>17</v>
      </c>
      <c r="M5" s="15"/>
      <c r="N5" s="15"/>
      <c r="O5" s="15"/>
      <c r="P5" s="15"/>
      <c r="Q5" s="15"/>
      <c r="R5" s="15"/>
      <c r="S5" s="15"/>
      <c r="T5" s="15"/>
      <c r="U5" s="15"/>
      <c r="V5" s="15"/>
      <c r="W5" s="15"/>
      <c r="X5" s="15"/>
      <c r="Y5" s="15"/>
      <c r="Z5" s="15"/>
      <c r="AA5" s="15"/>
      <c r="AB5" s="15"/>
      <c r="AC5" s="15"/>
      <c r="AD5" s="15"/>
      <c r="AE5" s="15"/>
      <c r="AF5" s="15"/>
    </row>
    <row r="6" ht="15.75" customHeight="1">
      <c r="A6" s="35" t="s">
        <v>5</v>
      </c>
      <c r="B6" s="457" t="s">
        <v>4033</v>
      </c>
      <c r="C6" s="457" t="s">
        <v>1983</v>
      </c>
      <c r="D6" s="458" t="s">
        <v>20</v>
      </c>
      <c r="E6" s="28" t="s">
        <v>86</v>
      </c>
      <c r="F6" s="35" t="s">
        <v>87</v>
      </c>
    </row>
    <row r="7" ht="17.25" customHeight="1">
      <c r="A7" s="28" t="s">
        <v>5</v>
      </c>
      <c r="D7" s="459"/>
      <c r="E7" s="28" t="s">
        <v>88</v>
      </c>
      <c r="F7" s="395" t="s">
        <v>89</v>
      </c>
      <c r="G7" s="37"/>
      <c r="H7" s="36"/>
      <c r="I7" s="36"/>
      <c r="J7" s="36"/>
      <c r="L7" s="45"/>
      <c r="M7" s="45"/>
      <c r="N7" s="15"/>
      <c r="O7" s="15"/>
      <c r="P7" s="15"/>
      <c r="Q7" s="15"/>
      <c r="R7" s="15"/>
      <c r="S7" s="15"/>
      <c r="T7" s="15"/>
      <c r="U7" s="15"/>
      <c r="V7" s="15"/>
      <c r="W7" s="15"/>
      <c r="X7" s="15"/>
      <c r="Y7" s="15"/>
      <c r="Z7" s="15"/>
      <c r="AA7" s="15"/>
      <c r="AB7" s="15"/>
      <c r="AC7" s="15"/>
      <c r="AD7" s="15"/>
      <c r="AE7" s="15"/>
      <c r="AF7" s="15"/>
    </row>
    <row r="8" ht="17.25" customHeight="1">
      <c r="A8" s="28" t="s">
        <v>5</v>
      </c>
      <c r="B8" s="460" t="s">
        <v>4034</v>
      </c>
      <c r="C8" s="460" t="s">
        <v>4035</v>
      </c>
      <c r="D8" s="460" t="s">
        <v>20</v>
      </c>
      <c r="E8" s="28" t="s">
        <v>21</v>
      </c>
      <c r="F8" s="395" t="s">
        <v>51</v>
      </c>
      <c r="G8" s="166" t="s">
        <v>4036</v>
      </c>
      <c r="H8" s="35" t="s">
        <v>51</v>
      </c>
      <c r="I8" s="36"/>
      <c r="J8" s="36"/>
      <c r="L8" s="45"/>
      <c r="M8" s="45"/>
      <c r="N8" s="15"/>
      <c r="O8" s="15"/>
      <c r="P8" s="15"/>
      <c r="Q8" s="15"/>
      <c r="R8" s="15"/>
      <c r="S8" s="15"/>
      <c r="T8" s="15"/>
      <c r="U8" s="15"/>
      <c r="V8" s="15"/>
      <c r="W8" s="15"/>
      <c r="X8" s="15"/>
      <c r="Y8" s="15"/>
      <c r="Z8" s="15"/>
      <c r="AA8" s="15"/>
      <c r="AB8" s="15"/>
      <c r="AC8" s="15"/>
      <c r="AD8" s="15"/>
      <c r="AE8" s="15"/>
      <c r="AF8" s="15"/>
    </row>
    <row r="9" ht="15.75" customHeight="1">
      <c r="A9" s="28" t="s">
        <v>5</v>
      </c>
      <c r="B9" s="461"/>
      <c r="C9" s="461"/>
      <c r="D9" s="461"/>
      <c r="E9" s="28" t="s">
        <v>104</v>
      </c>
      <c r="F9" s="28" t="s">
        <v>105</v>
      </c>
      <c r="G9" s="166" t="s">
        <v>4037</v>
      </c>
      <c r="H9" s="35" t="s">
        <v>105</v>
      </c>
      <c r="I9" s="36"/>
      <c r="J9" s="36"/>
      <c r="L9" s="45"/>
      <c r="M9" s="45"/>
      <c r="N9" s="15"/>
      <c r="O9" s="15"/>
      <c r="P9" s="15"/>
      <c r="Q9" s="15"/>
      <c r="R9" s="15"/>
      <c r="S9" s="15"/>
      <c r="T9" s="15"/>
      <c r="U9" s="15"/>
      <c r="V9" s="15"/>
      <c r="W9" s="15"/>
      <c r="X9" s="15"/>
      <c r="Y9" s="15"/>
      <c r="Z9" s="15"/>
      <c r="AA9" s="15"/>
      <c r="AB9" s="15"/>
      <c r="AC9" s="15"/>
      <c r="AD9" s="15"/>
      <c r="AE9" s="15"/>
      <c r="AF9" s="15"/>
    </row>
    <row r="10" ht="15.75" customHeight="1">
      <c r="A10" s="28" t="s">
        <v>5</v>
      </c>
      <c r="B10" s="459"/>
      <c r="C10" s="459"/>
      <c r="D10" s="459"/>
      <c r="E10" s="28" t="s">
        <v>104</v>
      </c>
      <c r="F10" s="28" t="s">
        <v>796</v>
      </c>
      <c r="G10" s="37"/>
      <c r="H10" s="37"/>
      <c r="I10" s="37"/>
      <c r="J10" s="45"/>
      <c r="K10" s="45"/>
      <c r="L10" s="45"/>
      <c r="M10" s="45"/>
      <c r="N10" s="15"/>
      <c r="O10" s="15"/>
      <c r="P10" s="15"/>
      <c r="Q10" s="15"/>
      <c r="R10" s="15"/>
      <c r="S10" s="15"/>
      <c r="T10" s="15"/>
      <c r="U10" s="15"/>
      <c r="V10" s="15"/>
      <c r="W10" s="15"/>
      <c r="X10" s="15"/>
      <c r="Y10" s="15"/>
      <c r="Z10" s="15"/>
      <c r="AA10" s="15"/>
      <c r="AB10" s="15"/>
      <c r="AC10" s="15"/>
      <c r="AD10" s="15"/>
      <c r="AE10" s="15"/>
      <c r="AF10" s="15"/>
    </row>
    <row r="11" ht="15.75" customHeight="1">
      <c r="A11" s="28" t="s">
        <v>5</v>
      </c>
      <c r="B11" s="462" t="s">
        <v>4038</v>
      </c>
      <c r="C11" s="460" t="s">
        <v>4039</v>
      </c>
      <c r="D11" s="462" t="s">
        <v>20</v>
      </c>
      <c r="E11" s="28" t="s">
        <v>104</v>
      </c>
      <c r="F11" s="28" t="s">
        <v>105</v>
      </c>
      <c r="G11" s="166" t="s">
        <v>4040</v>
      </c>
      <c r="H11" s="35" t="s">
        <v>105</v>
      </c>
      <c r="L11" s="45"/>
      <c r="M11" s="45"/>
      <c r="N11" s="15"/>
      <c r="O11" s="15"/>
      <c r="P11" s="15"/>
      <c r="Q11" s="15"/>
      <c r="R11" s="15"/>
      <c r="S11" s="15"/>
      <c r="T11" s="15"/>
      <c r="U11" s="15"/>
      <c r="V11" s="15"/>
      <c r="W11" s="15"/>
      <c r="X11" s="15"/>
      <c r="Y11" s="15"/>
      <c r="Z11" s="15"/>
      <c r="AA11" s="15"/>
      <c r="AB11" s="15"/>
      <c r="AC11" s="15"/>
      <c r="AD11" s="15"/>
      <c r="AE11" s="15"/>
      <c r="AF11" s="15"/>
    </row>
    <row r="12" ht="15.75" customHeight="1">
      <c r="A12" s="28" t="s">
        <v>5</v>
      </c>
      <c r="B12" s="459"/>
      <c r="C12" s="461"/>
      <c r="D12" s="459"/>
      <c r="E12" s="28" t="s">
        <v>104</v>
      </c>
      <c r="F12" s="28" t="s">
        <v>796</v>
      </c>
      <c r="G12" s="37"/>
      <c r="H12" s="37"/>
      <c r="I12" s="37"/>
      <c r="J12" s="37"/>
      <c r="K12" s="37"/>
      <c r="L12" s="45"/>
      <c r="M12" s="45"/>
      <c r="N12" s="15"/>
      <c r="O12" s="15"/>
      <c r="P12" s="15"/>
      <c r="Q12" s="15"/>
      <c r="R12" s="15"/>
      <c r="S12" s="15"/>
      <c r="T12" s="15"/>
      <c r="U12" s="15"/>
      <c r="V12" s="15"/>
      <c r="W12" s="15"/>
      <c r="X12" s="15"/>
      <c r="Y12" s="15"/>
      <c r="Z12" s="15"/>
      <c r="AA12" s="15"/>
      <c r="AB12" s="15"/>
      <c r="AC12" s="15"/>
      <c r="AD12" s="15"/>
      <c r="AE12" s="15"/>
      <c r="AF12" s="15"/>
    </row>
    <row r="13" ht="15.75" customHeight="1">
      <c r="A13" s="28" t="s">
        <v>5</v>
      </c>
      <c r="B13" s="462" t="s">
        <v>4041</v>
      </c>
      <c r="C13" s="460" t="s">
        <v>4042</v>
      </c>
      <c r="D13" s="462" t="s">
        <v>20</v>
      </c>
      <c r="E13" s="28" t="s">
        <v>104</v>
      </c>
      <c r="F13" s="28" t="s">
        <v>797</v>
      </c>
      <c r="G13" s="37"/>
      <c r="H13" s="37"/>
      <c r="I13" s="45"/>
      <c r="J13" s="45"/>
      <c r="K13" s="45"/>
      <c r="L13" s="45"/>
      <c r="M13" s="45"/>
      <c r="N13" s="15"/>
      <c r="O13" s="15"/>
      <c r="P13" s="15"/>
      <c r="Q13" s="15"/>
      <c r="R13" s="15"/>
      <c r="S13" s="15"/>
      <c r="T13" s="15"/>
      <c r="U13" s="15"/>
      <c r="V13" s="15"/>
      <c r="W13" s="15"/>
      <c r="X13" s="15"/>
      <c r="Y13" s="15"/>
      <c r="Z13" s="15"/>
      <c r="AA13" s="15"/>
      <c r="AB13" s="15"/>
      <c r="AC13" s="15"/>
      <c r="AD13" s="15"/>
      <c r="AE13" s="15"/>
      <c r="AF13" s="15"/>
    </row>
    <row r="14" ht="15.75" customHeight="1">
      <c r="A14" s="28" t="s">
        <v>5</v>
      </c>
      <c r="B14" s="459"/>
      <c r="C14" s="461"/>
      <c r="D14" s="459"/>
      <c r="E14" s="28" t="s">
        <v>104</v>
      </c>
      <c r="F14" s="28" t="s">
        <v>796</v>
      </c>
      <c r="G14" s="37"/>
      <c r="H14" s="37"/>
      <c r="I14" s="45"/>
      <c r="J14" s="45"/>
      <c r="K14" s="45"/>
      <c r="L14" s="45"/>
      <c r="M14" s="45"/>
      <c r="N14" s="15"/>
      <c r="O14" s="15"/>
      <c r="P14" s="15"/>
      <c r="Q14" s="15"/>
      <c r="R14" s="15"/>
      <c r="S14" s="15"/>
      <c r="T14" s="15"/>
      <c r="U14" s="15"/>
      <c r="V14" s="15"/>
      <c r="W14" s="15"/>
      <c r="X14" s="15"/>
      <c r="Y14" s="15"/>
      <c r="Z14" s="15"/>
      <c r="AA14" s="15"/>
      <c r="AB14" s="15"/>
      <c r="AC14" s="15"/>
      <c r="AD14" s="15"/>
      <c r="AE14" s="15"/>
      <c r="AF14" s="15"/>
    </row>
    <row r="15" ht="15.75" customHeight="1">
      <c r="A15" s="28" t="s">
        <v>5</v>
      </c>
      <c r="B15" s="175" t="s">
        <v>4043</v>
      </c>
      <c r="C15" s="175" t="s">
        <v>4044</v>
      </c>
      <c r="D15" s="175" t="s">
        <v>20</v>
      </c>
      <c r="E15" s="65" t="s">
        <v>104</v>
      </c>
      <c r="F15" s="65" t="s">
        <v>793</v>
      </c>
      <c r="G15" s="166" t="s">
        <v>4045</v>
      </c>
      <c r="H15" s="35" t="s">
        <v>793</v>
      </c>
      <c r="L15" s="20"/>
      <c r="M15" s="15"/>
      <c r="N15" s="15"/>
      <c r="O15" s="15"/>
      <c r="P15" s="15"/>
      <c r="Q15" s="15"/>
      <c r="R15" s="15"/>
      <c r="S15" s="15"/>
      <c r="T15" s="15"/>
      <c r="U15" s="15"/>
      <c r="V15" s="15"/>
      <c r="W15" s="15"/>
      <c r="X15" s="15"/>
      <c r="Y15" s="15"/>
      <c r="Z15" s="15"/>
      <c r="AA15" s="15"/>
      <c r="AB15" s="15"/>
      <c r="AC15" s="15"/>
      <c r="AD15" s="15"/>
      <c r="AE15" s="15"/>
      <c r="AF15" s="15"/>
    </row>
    <row r="16" ht="23.25" customHeight="1">
      <c r="A16" s="28" t="s">
        <v>5</v>
      </c>
      <c r="E16" s="65" t="s">
        <v>104</v>
      </c>
      <c r="F16" s="65" t="s">
        <v>798</v>
      </c>
      <c r="G16" s="166" t="s">
        <v>4046</v>
      </c>
      <c r="H16" s="35" t="s">
        <v>798</v>
      </c>
      <c r="L16" s="20"/>
      <c r="M16" s="15"/>
      <c r="N16" s="15"/>
      <c r="O16" s="15"/>
      <c r="P16" s="15"/>
      <c r="Q16" s="15"/>
      <c r="R16" s="15"/>
      <c r="S16" s="15"/>
      <c r="T16" s="15"/>
      <c r="U16" s="15"/>
      <c r="V16" s="15"/>
      <c r="W16" s="15"/>
      <c r="X16" s="15"/>
      <c r="Y16" s="15"/>
      <c r="Z16" s="15"/>
      <c r="AA16" s="15"/>
      <c r="AB16" s="15"/>
      <c r="AC16" s="15"/>
      <c r="AD16" s="15"/>
      <c r="AE16" s="15"/>
      <c r="AF16" s="15"/>
    </row>
    <row r="17" ht="15.75" customHeight="1">
      <c r="A17" s="28" t="s">
        <v>5</v>
      </c>
      <c r="B17" s="175" t="s">
        <v>4047</v>
      </c>
      <c r="C17" s="175" t="s">
        <v>1983</v>
      </c>
      <c r="D17" s="175" t="s">
        <v>20</v>
      </c>
      <c r="E17" s="65" t="s">
        <v>86</v>
      </c>
      <c r="F17" s="65" t="s">
        <v>87</v>
      </c>
      <c r="G17" s="28"/>
      <c r="H17" s="36"/>
      <c r="L17" s="20"/>
      <c r="M17" s="15"/>
      <c r="N17" s="15"/>
      <c r="O17" s="15"/>
      <c r="P17" s="15"/>
      <c r="Q17" s="15"/>
      <c r="R17" s="15"/>
      <c r="S17" s="15"/>
      <c r="T17" s="15"/>
      <c r="U17" s="15"/>
      <c r="V17" s="15"/>
      <c r="W17" s="15"/>
      <c r="X17" s="15"/>
      <c r="Y17" s="15"/>
      <c r="Z17" s="15"/>
      <c r="AA17" s="15"/>
      <c r="AB17" s="15"/>
      <c r="AC17" s="15"/>
      <c r="AD17" s="15"/>
      <c r="AE17" s="15"/>
      <c r="AF17" s="15"/>
    </row>
    <row r="18" ht="15.75" customHeight="1">
      <c r="A18" s="28" t="s">
        <v>5</v>
      </c>
      <c r="E18" s="65" t="s">
        <v>88</v>
      </c>
      <c r="F18" s="65" t="s">
        <v>89</v>
      </c>
      <c r="G18" s="28"/>
      <c r="H18" s="36"/>
      <c r="L18" s="20"/>
      <c r="M18" s="15"/>
      <c r="N18" s="15"/>
      <c r="O18" s="15"/>
      <c r="P18" s="15"/>
      <c r="Q18" s="15"/>
      <c r="R18" s="15"/>
      <c r="S18" s="15"/>
      <c r="T18" s="15"/>
      <c r="U18" s="15"/>
      <c r="V18" s="15"/>
      <c r="W18" s="15"/>
      <c r="X18" s="15"/>
      <c r="Y18" s="15"/>
      <c r="Z18" s="15"/>
      <c r="AA18" s="15"/>
      <c r="AB18" s="15"/>
      <c r="AC18" s="15"/>
      <c r="AD18" s="15"/>
      <c r="AE18" s="15"/>
      <c r="AF18" s="15"/>
    </row>
    <row r="19" ht="15.75" customHeight="1">
      <c r="A19" s="28" t="s">
        <v>5</v>
      </c>
      <c r="B19" s="175" t="s">
        <v>4048</v>
      </c>
      <c r="C19" s="175" t="s">
        <v>4049</v>
      </c>
      <c r="D19" s="175" t="s">
        <v>20</v>
      </c>
      <c r="E19" s="65" t="s">
        <v>172</v>
      </c>
      <c r="F19" s="65" t="s">
        <v>173</v>
      </c>
      <c r="G19" s="166" t="s">
        <v>4050</v>
      </c>
      <c r="H19" s="151" t="s">
        <v>4051</v>
      </c>
      <c r="L19" s="20"/>
      <c r="M19" s="15"/>
      <c r="N19" s="15"/>
      <c r="O19" s="15"/>
      <c r="P19" s="15"/>
      <c r="Q19" s="15"/>
      <c r="R19" s="15"/>
      <c r="S19" s="15"/>
      <c r="T19" s="15"/>
      <c r="U19" s="15"/>
      <c r="V19" s="15"/>
      <c r="W19" s="15"/>
      <c r="X19" s="15"/>
      <c r="Y19" s="15"/>
      <c r="Z19" s="15"/>
      <c r="AA19" s="15"/>
      <c r="AB19" s="15"/>
      <c r="AC19" s="15"/>
      <c r="AD19" s="15"/>
      <c r="AE19" s="15"/>
      <c r="AF19" s="15"/>
    </row>
    <row r="20" ht="15.75" customHeight="1">
      <c r="A20" s="28" t="s">
        <v>5</v>
      </c>
      <c r="E20" s="65" t="s">
        <v>172</v>
      </c>
      <c r="F20" s="65" t="s">
        <v>402</v>
      </c>
      <c r="G20" s="166" t="s">
        <v>4052</v>
      </c>
      <c r="H20" s="151" t="s">
        <v>4053</v>
      </c>
      <c r="L20" s="20"/>
      <c r="M20" s="15"/>
      <c r="N20" s="15"/>
      <c r="O20" s="15"/>
      <c r="P20" s="15"/>
      <c r="Q20" s="15"/>
      <c r="R20" s="15"/>
      <c r="S20" s="15"/>
      <c r="T20" s="15"/>
      <c r="U20" s="15"/>
      <c r="V20" s="15"/>
      <c r="W20" s="15"/>
      <c r="X20" s="15"/>
      <c r="Y20" s="15"/>
      <c r="Z20" s="15"/>
      <c r="AA20" s="15"/>
      <c r="AB20" s="15"/>
      <c r="AC20" s="15"/>
      <c r="AD20" s="15"/>
      <c r="AE20" s="15"/>
      <c r="AF20" s="15"/>
    </row>
    <row r="21" ht="15.75" customHeight="1">
      <c r="A21" s="28" t="s">
        <v>5</v>
      </c>
      <c r="E21" s="65" t="s">
        <v>21</v>
      </c>
      <c r="F21" s="65" t="s">
        <v>51</v>
      </c>
      <c r="G21" s="166" t="s">
        <v>4054</v>
      </c>
      <c r="H21" s="35" t="s">
        <v>51</v>
      </c>
      <c r="L21" s="20"/>
      <c r="M21" s="15"/>
      <c r="N21" s="15"/>
      <c r="O21" s="15"/>
      <c r="P21" s="15"/>
      <c r="Q21" s="15"/>
      <c r="R21" s="15"/>
      <c r="S21" s="15"/>
      <c r="T21" s="15"/>
      <c r="U21" s="15"/>
      <c r="V21" s="15"/>
      <c r="W21" s="15"/>
      <c r="X21" s="15"/>
      <c r="Y21" s="15"/>
      <c r="Z21" s="15"/>
      <c r="AA21" s="15"/>
      <c r="AB21" s="15"/>
      <c r="AC21" s="15"/>
      <c r="AD21" s="15"/>
      <c r="AE21" s="15"/>
      <c r="AF21" s="15"/>
    </row>
    <row r="22" ht="15.75" customHeight="1">
      <c r="A22" s="28" t="s">
        <v>5</v>
      </c>
      <c r="E22" s="65" t="s">
        <v>408</v>
      </c>
      <c r="F22" s="65" t="s">
        <v>408</v>
      </c>
      <c r="G22" s="166" t="s">
        <v>4055</v>
      </c>
      <c r="H22" s="35" t="s">
        <v>408</v>
      </c>
      <c r="L22" s="20"/>
      <c r="M22" s="15"/>
      <c r="N22" s="15"/>
      <c r="O22" s="15"/>
      <c r="P22" s="15"/>
      <c r="Q22" s="15"/>
      <c r="R22" s="15"/>
      <c r="S22" s="15"/>
      <c r="T22" s="15"/>
      <c r="U22" s="15"/>
      <c r="V22" s="15"/>
      <c r="W22" s="15"/>
      <c r="X22" s="15"/>
      <c r="Y22" s="15"/>
      <c r="Z22" s="15"/>
      <c r="AA22" s="15"/>
      <c r="AB22" s="15"/>
      <c r="AC22" s="15"/>
      <c r="AD22" s="15"/>
      <c r="AE22" s="15"/>
      <c r="AF22" s="15"/>
    </row>
    <row r="23" ht="15.75" customHeight="1">
      <c r="A23" s="28" t="s">
        <v>5</v>
      </c>
      <c r="E23" s="65" t="s">
        <v>172</v>
      </c>
      <c r="F23" s="65" t="s">
        <v>173</v>
      </c>
      <c r="G23" s="166" t="s">
        <v>4056</v>
      </c>
      <c r="H23" s="35" t="s">
        <v>173</v>
      </c>
      <c r="L23" s="20"/>
      <c r="M23" s="15"/>
      <c r="N23" s="15"/>
      <c r="O23" s="15"/>
      <c r="P23" s="15"/>
      <c r="Q23" s="15"/>
      <c r="R23" s="15"/>
      <c r="S23" s="15"/>
      <c r="T23" s="15"/>
      <c r="U23" s="15"/>
      <c r="V23" s="15"/>
      <c r="W23" s="15"/>
      <c r="X23" s="15"/>
      <c r="Y23" s="15"/>
      <c r="Z23" s="15"/>
      <c r="AA23" s="15"/>
      <c r="AB23" s="15"/>
      <c r="AC23" s="15"/>
      <c r="AD23" s="15"/>
      <c r="AE23" s="15"/>
      <c r="AF23" s="15"/>
    </row>
    <row r="24" ht="15.75" customHeight="1">
      <c r="A24" s="28" t="s">
        <v>5</v>
      </c>
      <c r="E24" s="65" t="s">
        <v>172</v>
      </c>
      <c r="F24" s="65" t="s">
        <v>402</v>
      </c>
      <c r="G24" s="166" t="s">
        <v>4057</v>
      </c>
      <c r="H24" s="35" t="s">
        <v>402</v>
      </c>
      <c r="L24" s="20"/>
      <c r="M24" s="15"/>
      <c r="N24" s="15"/>
      <c r="O24" s="15"/>
      <c r="P24" s="15"/>
      <c r="Q24" s="15"/>
      <c r="R24" s="15"/>
      <c r="S24" s="15"/>
      <c r="T24" s="15"/>
      <c r="U24" s="15"/>
      <c r="V24" s="15"/>
      <c r="W24" s="15"/>
      <c r="X24" s="15"/>
      <c r="Y24" s="15"/>
      <c r="Z24" s="15"/>
      <c r="AA24" s="15"/>
      <c r="AB24" s="15"/>
      <c r="AC24" s="15"/>
      <c r="AD24" s="15"/>
      <c r="AE24" s="15"/>
      <c r="AF24" s="15"/>
    </row>
    <row r="25" ht="15.75" customHeight="1">
      <c r="A25" s="28" t="s">
        <v>5</v>
      </c>
      <c r="E25" s="65" t="s">
        <v>172</v>
      </c>
      <c r="F25" s="65" t="s">
        <v>203</v>
      </c>
      <c r="G25" s="166" t="s">
        <v>4058</v>
      </c>
      <c r="H25" s="35" t="s">
        <v>203</v>
      </c>
      <c r="L25" s="20"/>
      <c r="M25" s="15"/>
      <c r="N25" s="15"/>
      <c r="O25" s="15"/>
      <c r="P25" s="15"/>
      <c r="Q25" s="15"/>
      <c r="R25" s="15"/>
      <c r="S25" s="15"/>
      <c r="T25" s="15"/>
      <c r="U25" s="15"/>
      <c r="V25" s="15"/>
      <c r="W25" s="15"/>
      <c r="X25" s="15"/>
      <c r="Y25" s="15"/>
      <c r="Z25" s="15"/>
      <c r="AA25" s="15"/>
      <c r="AB25" s="15"/>
      <c r="AC25" s="15"/>
      <c r="AD25" s="15"/>
      <c r="AE25" s="15"/>
      <c r="AF25" s="15"/>
    </row>
    <row r="26" ht="15.75" customHeight="1">
      <c r="A26" s="28" t="s">
        <v>5</v>
      </c>
      <c r="E26" s="65" t="s">
        <v>172</v>
      </c>
      <c r="F26" s="65" t="s">
        <v>204</v>
      </c>
      <c r="G26" s="166" t="s">
        <v>4059</v>
      </c>
      <c r="H26" s="35" t="s">
        <v>204</v>
      </c>
      <c r="L26" s="20"/>
      <c r="M26" s="15"/>
      <c r="N26" s="15"/>
      <c r="O26" s="15"/>
      <c r="P26" s="15"/>
      <c r="Q26" s="15"/>
      <c r="R26" s="15"/>
      <c r="S26" s="15"/>
      <c r="T26" s="15"/>
      <c r="U26" s="15"/>
      <c r="V26" s="15"/>
      <c r="W26" s="15"/>
      <c r="X26" s="15"/>
      <c r="Y26" s="15"/>
      <c r="Z26" s="15"/>
      <c r="AA26" s="15"/>
      <c r="AB26" s="15"/>
      <c r="AC26" s="15"/>
      <c r="AD26" s="15"/>
      <c r="AE26" s="15"/>
      <c r="AF26" s="15"/>
    </row>
    <row r="27" ht="20.25" customHeight="1">
      <c r="A27" s="28" t="s">
        <v>5</v>
      </c>
      <c r="E27" s="65" t="s">
        <v>104</v>
      </c>
      <c r="F27" s="65" t="s">
        <v>250</v>
      </c>
      <c r="G27" s="166" t="s">
        <v>4060</v>
      </c>
      <c r="H27" s="35" t="s">
        <v>250</v>
      </c>
      <c r="L27" s="20"/>
      <c r="M27" s="15"/>
      <c r="N27" s="15"/>
      <c r="O27" s="15"/>
      <c r="P27" s="15"/>
      <c r="Q27" s="15"/>
      <c r="R27" s="15"/>
      <c r="S27" s="15"/>
      <c r="T27" s="15"/>
      <c r="U27" s="15"/>
      <c r="V27" s="15"/>
      <c r="W27" s="15"/>
      <c r="X27" s="15"/>
      <c r="Y27" s="15"/>
      <c r="Z27" s="15"/>
      <c r="AA27" s="15"/>
      <c r="AB27" s="15"/>
      <c r="AC27" s="15"/>
      <c r="AD27" s="15"/>
      <c r="AE27" s="15"/>
      <c r="AF27" s="15"/>
    </row>
    <row r="28" ht="15.75" customHeight="1">
      <c r="A28" s="28" t="s">
        <v>5</v>
      </c>
      <c r="B28" s="175" t="s">
        <v>4061</v>
      </c>
      <c r="C28" s="175" t="s">
        <v>4062</v>
      </c>
      <c r="D28" s="175" t="s">
        <v>20</v>
      </c>
      <c r="E28" s="65" t="s">
        <v>172</v>
      </c>
      <c r="F28" s="65" t="s">
        <v>173</v>
      </c>
      <c r="G28" s="166" t="s">
        <v>4063</v>
      </c>
      <c r="H28" s="151" t="s">
        <v>4051</v>
      </c>
      <c r="I28" s="36"/>
      <c r="J28" s="36"/>
      <c r="L28" s="20"/>
      <c r="M28" s="15"/>
      <c r="N28" s="15"/>
      <c r="O28" s="15"/>
      <c r="P28" s="15"/>
      <c r="Q28" s="15"/>
      <c r="R28" s="15"/>
      <c r="S28" s="15"/>
      <c r="T28" s="15"/>
      <c r="U28" s="15"/>
      <c r="V28" s="15"/>
      <c r="W28" s="15"/>
      <c r="X28" s="15"/>
      <c r="Y28" s="15"/>
      <c r="Z28" s="15"/>
      <c r="AA28" s="15"/>
      <c r="AB28" s="15"/>
      <c r="AC28" s="15"/>
      <c r="AD28" s="15"/>
      <c r="AE28" s="15"/>
      <c r="AF28" s="15"/>
    </row>
    <row r="29" ht="15.75" customHeight="1">
      <c r="A29" s="28" t="s">
        <v>5</v>
      </c>
      <c r="E29" s="65" t="s">
        <v>172</v>
      </c>
      <c r="F29" s="65" t="s">
        <v>402</v>
      </c>
      <c r="G29" s="166" t="s">
        <v>4064</v>
      </c>
      <c r="H29" s="151" t="s">
        <v>4053</v>
      </c>
      <c r="I29" s="36"/>
      <c r="J29" s="36"/>
      <c r="L29" s="20"/>
      <c r="M29" s="15"/>
      <c r="N29" s="15"/>
      <c r="O29" s="15"/>
      <c r="P29" s="15"/>
      <c r="Q29" s="15"/>
      <c r="R29" s="15"/>
      <c r="S29" s="15"/>
      <c r="T29" s="15"/>
      <c r="U29" s="15"/>
      <c r="V29" s="15"/>
      <c r="W29" s="15"/>
      <c r="X29" s="15"/>
      <c r="Y29" s="15"/>
      <c r="Z29" s="15"/>
      <c r="AA29" s="15"/>
      <c r="AB29" s="15"/>
      <c r="AC29" s="15"/>
      <c r="AD29" s="15"/>
      <c r="AE29" s="15"/>
      <c r="AF29" s="15"/>
    </row>
    <row r="30" ht="15.75" customHeight="1">
      <c r="A30" s="28" t="s">
        <v>5</v>
      </c>
      <c r="E30" s="65" t="s">
        <v>21</v>
      </c>
      <c r="F30" s="65" t="s">
        <v>51</v>
      </c>
      <c r="G30" s="166" t="s">
        <v>4065</v>
      </c>
      <c r="H30" s="35" t="s">
        <v>51</v>
      </c>
      <c r="I30" s="36"/>
      <c r="J30" s="36"/>
      <c r="L30" s="20"/>
      <c r="M30" s="15"/>
      <c r="N30" s="15"/>
      <c r="O30" s="15"/>
      <c r="P30" s="15"/>
      <c r="Q30" s="15"/>
      <c r="R30" s="15"/>
      <c r="S30" s="15"/>
      <c r="T30" s="15"/>
      <c r="U30" s="15"/>
      <c r="V30" s="15"/>
      <c r="W30" s="15"/>
      <c r="X30" s="15"/>
      <c r="Y30" s="15"/>
      <c r="Z30" s="15"/>
      <c r="AA30" s="15"/>
      <c r="AB30" s="15"/>
      <c r="AC30" s="15"/>
      <c r="AD30" s="15"/>
      <c r="AE30" s="15"/>
      <c r="AF30" s="15"/>
    </row>
    <row r="31" ht="15.75" customHeight="1">
      <c r="A31" s="28" t="s">
        <v>5</v>
      </c>
      <c r="E31" s="65" t="s">
        <v>408</v>
      </c>
      <c r="F31" s="65" t="s">
        <v>408</v>
      </c>
      <c r="G31" s="166" t="s">
        <v>4066</v>
      </c>
      <c r="H31" s="35" t="s">
        <v>408</v>
      </c>
      <c r="I31" s="36"/>
      <c r="J31" s="36"/>
      <c r="L31" s="20"/>
      <c r="M31" s="15"/>
      <c r="N31" s="15"/>
      <c r="O31" s="15"/>
      <c r="P31" s="15"/>
      <c r="Q31" s="15"/>
      <c r="R31" s="15"/>
      <c r="S31" s="15"/>
      <c r="T31" s="15"/>
      <c r="U31" s="15"/>
      <c r="V31" s="15"/>
      <c r="W31" s="15"/>
      <c r="X31" s="15"/>
      <c r="Y31" s="15"/>
      <c r="Z31" s="15"/>
      <c r="AA31" s="15"/>
      <c r="AB31" s="15"/>
      <c r="AC31" s="15"/>
      <c r="AD31" s="15"/>
      <c r="AE31" s="15"/>
      <c r="AF31" s="15"/>
    </row>
    <row r="32" ht="15.75" customHeight="1">
      <c r="A32" s="28" t="s">
        <v>5</v>
      </c>
      <c r="E32" s="65" t="s">
        <v>172</v>
      </c>
      <c r="F32" s="65" t="s">
        <v>203</v>
      </c>
      <c r="G32" s="166" t="s">
        <v>4067</v>
      </c>
      <c r="H32" s="35" t="s">
        <v>203</v>
      </c>
      <c r="I32" s="36"/>
      <c r="J32" s="36"/>
      <c r="L32" s="20"/>
      <c r="M32" s="15"/>
      <c r="N32" s="15"/>
      <c r="O32" s="15"/>
      <c r="P32" s="15"/>
      <c r="Q32" s="15"/>
      <c r="R32" s="15"/>
      <c r="S32" s="15"/>
      <c r="T32" s="15"/>
      <c r="U32" s="15"/>
      <c r="V32" s="15"/>
      <c r="W32" s="15"/>
      <c r="X32" s="15"/>
      <c r="Y32" s="15"/>
      <c r="Z32" s="15"/>
      <c r="AA32" s="15"/>
      <c r="AB32" s="15"/>
      <c r="AC32" s="15"/>
      <c r="AD32" s="15"/>
      <c r="AE32" s="15"/>
      <c r="AF32" s="15"/>
    </row>
    <row r="33" ht="15.75" customHeight="1">
      <c r="A33" s="28" t="s">
        <v>5</v>
      </c>
      <c r="E33" s="65" t="s">
        <v>172</v>
      </c>
      <c r="F33" s="65" t="s">
        <v>204</v>
      </c>
      <c r="G33" s="166" t="s">
        <v>4068</v>
      </c>
      <c r="H33" s="35" t="s">
        <v>204</v>
      </c>
      <c r="I33" s="36"/>
      <c r="J33" s="36"/>
      <c r="L33" s="20"/>
      <c r="M33" s="15"/>
      <c r="N33" s="15"/>
      <c r="O33" s="15"/>
      <c r="P33" s="15"/>
      <c r="Q33" s="15"/>
      <c r="R33" s="15"/>
      <c r="S33" s="15"/>
      <c r="T33" s="15"/>
      <c r="U33" s="15"/>
      <c r="V33" s="15"/>
      <c r="W33" s="15"/>
      <c r="X33" s="15"/>
      <c r="Y33" s="15"/>
      <c r="Z33" s="15"/>
      <c r="AA33" s="15"/>
      <c r="AB33" s="15"/>
      <c r="AC33" s="15"/>
      <c r="AD33" s="15"/>
      <c r="AE33" s="15"/>
      <c r="AF33" s="15"/>
    </row>
    <row r="34" ht="15.75" customHeight="1">
      <c r="A34" s="28" t="s">
        <v>5</v>
      </c>
      <c r="E34" s="65" t="s">
        <v>172</v>
      </c>
      <c r="F34" s="65" t="s">
        <v>173</v>
      </c>
      <c r="G34" s="166" t="s">
        <v>4069</v>
      </c>
      <c r="H34" s="35" t="s">
        <v>173</v>
      </c>
      <c r="I34" s="36"/>
      <c r="J34" s="36"/>
      <c r="L34" s="20"/>
      <c r="M34" s="15"/>
      <c r="N34" s="15"/>
      <c r="O34" s="15"/>
      <c r="P34" s="15"/>
      <c r="Q34" s="15"/>
      <c r="R34" s="15"/>
      <c r="S34" s="15"/>
      <c r="T34" s="15"/>
      <c r="U34" s="15"/>
      <c r="V34" s="15"/>
      <c r="W34" s="15"/>
      <c r="X34" s="15"/>
      <c r="Y34" s="15"/>
      <c r="Z34" s="15"/>
      <c r="AA34" s="15"/>
      <c r="AB34" s="15"/>
      <c r="AC34" s="15"/>
      <c r="AD34" s="15"/>
      <c r="AE34" s="15"/>
      <c r="AF34" s="15"/>
    </row>
    <row r="35" ht="15.75" customHeight="1">
      <c r="A35" s="28" t="s">
        <v>5</v>
      </c>
      <c r="E35" s="65" t="s">
        <v>172</v>
      </c>
      <c r="F35" s="65" t="s">
        <v>402</v>
      </c>
      <c r="G35" s="166" t="s">
        <v>4070</v>
      </c>
      <c r="H35" s="35" t="s">
        <v>402</v>
      </c>
      <c r="I35" s="36"/>
      <c r="J35" s="36"/>
      <c r="L35" s="20"/>
      <c r="M35" s="15"/>
      <c r="N35" s="15"/>
      <c r="O35" s="15"/>
      <c r="P35" s="15"/>
      <c r="Q35" s="15"/>
      <c r="R35" s="15"/>
      <c r="S35" s="15"/>
      <c r="T35" s="15"/>
      <c r="U35" s="15"/>
      <c r="V35" s="15"/>
      <c r="W35" s="15"/>
      <c r="X35" s="15"/>
      <c r="Y35" s="15"/>
      <c r="Z35" s="15"/>
      <c r="AA35" s="15"/>
      <c r="AB35" s="15"/>
      <c r="AC35" s="15"/>
      <c r="AD35" s="15"/>
      <c r="AE35" s="15"/>
      <c r="AF35" s="15"/>
    </row>
    <row r="36" ht="15.75" customHeight="1">
      <c r="A36" s="28" t="s">
        <v>5</v>
      </c>
      <c r="E36" s="65" t="s">
        <v>104</v>
      </c>
      <c r="F36" s="65" t="s">
        <v>250</v>
      </c>
      <c r="G36" s="166" t="s">
        <v>4071</v>
      </c>
      <c r="H36" s="35" t="s">
        <v>250</v>
      </c>
      <c r="I36" s="36"/>
      <c r="J36" s="36"/>
      <c r="L36" s="20"/>
      <c r="M36" s="15"/>
      <c r="N36" s="15"/>
      <c r="O36" s="15"/>
      <c r="P36" s="15"/>
      <c r="Q36" s="15"/>
      <c r="R36" s="15"/>
      <c r="S36" s="15"/>
      <c r="T36" s="15"/>
      <c r="U36" s="15"/>
      <c r="V36" s="15"/>
      <c r="W36" s="15"/>
      <c r="X36" s="15"/>
      <c r="Y36" s="15"/>
      <c r="Z36" s="15"/>
      <c r="AA36" s="15"/>
      <c r="AB36" s="15"/>
      <c r="AC36" s="15"/>
      <c r="AD36" s="15"/>
      <c r="AE36" s="15"/>
      <c r="AF36" s="15"/>
    </row>
    <row r="37" ht="15.75" customHeight="1">
      <c r="A37" s="28" t="s">
        <v>5</v>
      </c>
      <c r="B37" s="175" t="s">
        <v>4072</v>
      </c>
      <c r="C37" s="175" t="s">
        <v>4073</v>
      </c>
      <c r="D37" s="175" t="s">
        <v>20</v>
      </c>
      <c r="E37" s="65" t="s">
        <v>172</v>
      </c>
      <c r="F37" s="65" t="s">
        <v>173</v>
      </c>
      <c r="G37" s="166" t="s">
        <v>4074</v>
      </c>
      <c r="H37" s="35" t="s">
        <v>4051</v>
      </c>
      <c r="I37" s="36"/>
      <c r="J37" s="36"/>
      <c r="L37" s="20"/>
      <c r="M37" s="15"/>
      <c r="N37" s="15"/>
      <c r="O37" s="15"/>
      <c r="P37" s="15"/>
      <c r="Q37" s="15"/>
      <c r="R37" s="15"/>
      <c r="S37" s="15"/>
      <c r="T37" s="15"/>
      <c r="U37" s="15"/>
      <c r="V37" s="15"/>
      <c r="W37" s="15"/>
      <c r="X37" s="15"/>
      <c r="Y37" s="15"/>
      <c r="Z37" s="15"/>
      <c r="AA37" s="15"/>
      <c r="AB37" s="15"/>
      <c r="AC37" s="15"/>
      <c r="AD37" s="15"/>
      <c r="AE37" s="15"/>
      <c r="AF37" s="15"/>
    </row>
    <row r="38" ht="15.75" customHeight="1">
      <c r="A38" s="28" t="s">
        <v>5</v>
      </c>
      <c r="E38" s="65" t="s">
        <v>172</v>
      </c>
      <c r="F38" s="65" t="s">
        <v>402</v>
      </c>
      <c r="G38" s="166" t="s">
        <v>4075</v>
      </c>
      <c r="H38" s="35" t="s">
        <v>4053</v>
      </c>
      <c r="I38" s="36"/>
      <c r="J38" s="36"/>
      <c r="L38" s="20"/>
      <c r="M38" s="15"/>
      <c r="N38" s="15"/>
      <c r="O38" s="15"/>
      <c r="P38" s="15"/>
      <c r="Q38" s="15"/>
      <c r="R38" s="15"/>
      <c r="S38" s="15"/>
      <c r="T38" s="15"/>
      <c r="U38" s="15"/>
      <c r="V38" s="15"/>
      <c r="W38" s="15"/>
      <c r="X38" s="15"/>
      <c r="Y38" s="15"/>
      <c r="Z38" s="15"/>
      <c r="AA38" s="15"/>
      <c r="AB38" s="15"/>
      <c r="AC38" s="15"/>
      <c r="AD38" s="15"/>
      <c r="AE38" s="15"/>
      <c r="AF38" s="15"/>
    </row>
    <row r="39" ht="15.75" customHeight="1">
      <c r="A39" s="28" t="s">
        <v>5</v>
      </c>
      <c r="E39" s="65" t="s">
        <v>21</v>
      </c>
      <c r="F39" s="65" t="s">
        <v>51</v>
      </c>
      <c r="G39" s="166" t="s">
        <v>4076</v>
      </c>
      <c r="H39" s="65" t="s">
        <v>51</v>
      </c>
      <c r="I39" s="35"/>
      <c r="J39" s="35"/>
      <c r="L39" s="20"/>
      <c r="M39" s="15"/>
      <c r="N39" s="15"/>
      <c r="O39" s="15"/>
      <c r="P39" s="15"/>
      <c r="Q39" s="15"/>
      <c r="R39" s="15"/>
      <c r="S39" s="15"/>
      <c r="T39" s="15"/>
      <c r="U39" s="15"/>
      <c r="V39" s="15"/>
      <c r="W39" s="15"/>
      <c r="X39" s="15"/>
      <c r="Y39" s="15"/>
      <c r="Z39" s="15"/>
      <c r="AA39" s="15"/>
      <c r="AB39" s="15"/>
      <c r="AC39" s="15"/>
      <c r="AD39" s="15"/>
      <c r="AE39" s="15"/>
      <c r="AF39" s="15"/>
    </row>
    <row r="40" ht="15.75" customHeight="1">
      <c r="A40" s="28" t="s">
        <v>5</v>
      </c>
      <c r="E40" s="65" t="s">
        <v>408</v>
      </c>
      <c r="F40" s="65" t="s">
        <v>408</v>
      </c>
      <c r="G40" s="166" t="s">
        <v>4077</v>
      </c>
      <c r="H40" s="35" t="s">
        <v>408</v>
      </c>
      <c r="I40" s="35"/>
      <c r="L40" s="20"/>
      <c r="M40" s="15"/>
      <c r="N40" s="15"/>
      <c r="O40" s="15"/>
      <c r="P40" s="15"/>
      <c r="Q40" s="15"/>
      <c r="R40" s="15"/>
      <c r="S40" s="15"/>
      <c r="T40" s="15"/>
      <c r="U40" s="15"/>
      <c r="V40" s="15"/>
      <c r="W40" s="15"/>
      <c r="X40" s="15"/>
      <c r="Y40" s="15"/>
      <c r="Z40" s="15"/>
      <c r="AA40" s="15"/>
      <c r="AB40" s="15"/>
      <c r="AC40" s="15"/>
      <c r="AD40" s="15"/>
      <c r="AE40" s="15"/>
      <c r="AF40" s="15"/>
    </row>
    <row r="41" ht="15.75" customHeight="1">
      <c r="A41" s="28" t="s">
        <v>5</v>
      </c>
      <c r="E41" s="65" t="s">
        <v>172</v>
      </c>
      <c r="F41" s="65" t="s">
        <v>203</v>
      </c>
      <c r="G41" s="166" t="s">
        <v>4078</v>
      </c>
      <c r="H41" s="35" t="s">
        <v>203</v>
      </c>
      <c r="I41" s="35"/>
      <c r="L41" s="20"/>
      <c r="M41" s="15"/>
      <c r="N41" s="15"/>
      <c r="O41" s="15"/>
      <c r="P41" s="15"/>
      <c r="Q41" s="15"/>
      <c r="R41" s="15"/>
      <c r="S41" s="15"/>
      <c r="T41" s="15"/>
      <c r="U41" s="15"/>
      <c r="V41" s="15"/>
      <c r="W41" s="15"/>
      <c r="X41" s="15"/>
      <c r="Y41" s="15"/>
      <c r="Z41" s="15"/>
      <c r="AA41" s="15"/>
      <c r="AB41" s="15"/>
      <c r="AC41" s="15"/>
      <c r="AD41" s="15"/>
      <c r="AE41" s="15"/>
      <c r="AF41" s="15"/>
    </row>
    <row r="42" ht="15.75" customHeight="1">
      <c r="A42" s="28" t="s">
        <v>5</v>
      </c>
      <c r="E42" s="65" t="s">
        <v>172</v>
      </c>
      <c r="F42" s="65" t="s">
        <v>204</v>
      </c>
      <c r="G42" s="166" t="s">
        <v>4079</v>
      </c>
      <c r="H42" s="35" t="s">
        <v>204</v>
      </c>
      <c r="L42" s="20"/>
      <c r="M42" s="15"/>
      <c r="N42" s="15"/>
      <c r="O42" s="15"/>
      <c r="P42" s="15"/>
      <c r="Q42" s="15"/>
      <c r="R42" s="15"/>
      <c r="S42" s="15"/>
      <c r="T42" s="15"/>
      <c r="U42" s="15"/>
      <c r="V42" s="15"/>
      <c r="W42" s="15"/>
      <c r="X42" s="15"/>
      <c r="Y42" s="15"/>
      <c r="Z42" s="15"/>
      <c r="AA42" s="15"/>
      <c r="AB42" s="15"/>
      <c r="AC42" s="15"/>
      <c r="AD42" s="15"/>
      <c r="AE42" s="15"/>
      <c r="AF42" s="15"/>
    </row>
    <row r="43" ht="15.75" customHeight="1">
      <c r="A43" s="28" t="s">
        <v>5</v>
      </c>
      <c r="E43" s="65" t="s">
        <v>172</v>
      </c>
      <c r="F43" s="65" t="s">
        <v>173</v>
      </c>
      <c r="G43" s="166" t="s">
        <v>4080</v>
      </c>
      <c r="H43" s="35" t="s">
        <v>173</v>
      </c>
      <c r="I43" s="35"/>
      <c r="J43" s="35"/>
      <c r="K43" s="35"/>
      <c r="L43" s="20"/>
      <c r="M43" s="15"/>
      <c r="N43" s="15"/>
      <c r="O43" s="15"/>
      <c r="P43" s="15"/>
      <c r="Q43" s="15"/>
      <c r="R43" s="15"/>
      <c r="S43" s="15"/>
      <c r="T43" s="15"/>
      <c r="U43" s="15"/>
      <c r="V43" s="15"/>
      <c r="W43" s="15"/>
      <c r="X43" s="15"/>
      <c r="Y43" s="15"/>
      <c r="Z43" s="15"/>
      <c r="AA43" s="15"/>
      <c r="AB43" s="15"/>
      <c r="AC43" s="15"/>
      <c r="AD43" s="15"/>
      <c r="AE43" s="15"/>
      <c r="AF43" s="15"/>
    </row>
    <row r="44" ht="15.75" customHeight="1">
      <c r="A44" s="28" t="s">
        <v>5</v>
      </c>
      <c r="E44" s="65" t="s">
        <v>172</v>
      </c>
      <c r="F44" s="65" t="s">
        <v>402</v>
      </c>
      <c r="G44" s="166" t="s">
        <v>4081</v>
      </c>
      <c r="H44" s="35" t="s">
        <v>402</v>
      </c>
      <c r="L44" s="20"/>
      <c r="M44" s="15"/>
      <c r="N44" s="15"/>
      <c r="O44" s="15"/>
      <c r="P44" s="15"/>
      <c r="Q44" s="15"/>
      <c r="R44" s="15"/>
      <c r="S44" s="15"/>
      <c r="T44" s="15"/>
      <c r="U44" s="15"/>
      <c r="V44" s="15"/>
      <c r="W44" s="15"/>
      <c r="X44" s="15"/>
      <c r="Y44" s="15"/>
      <c r="Z44" s="15"/>
      <c r="AA44" s="15"/>
      <c r="AB44" s="15"/>
      <c r="AC44" s="15"/>
      <c r="AD44" s="15"/>
      <c r="AE44" s="15"/>
      <c r="AF44" s="15"/>
    </row>
    <row r="45" ht="24.0" customHeight="1">
      <c r="A45" s="28" t="s">
        <v>5</v>
      </c>
      <c r="E45" s="65" t="s">
        <v>104</v>
      </c>
      <c r="F45" s="65" t="s">
        <v>250</v>
      </c>
      <c r="G45" s="170" t="s">
        <v>4082</v>
      </c>
      <c r="H45" s="35" t="s">
        <v>250</v>
      </c>
      <c r="I45" s="35"/>
      <c r="J45" s="35"/>
      <c r="L45" s="20"/>
      <c r="M45" s="15"/>
      <c r="N45" s="15"/>
      <c r="O45" s="15"/>
      <c r="P45" s="15"/>
      <c r="Q45" s="15"/>
      <c r="R45" s="15"/>
      <c r="S45" s="15"/>
      <c r="T45" s="15"/>
      <c r="U45" s="15"/>
      <c r="V45" s="15"/>
      <c r="W45" s="15"/>
      <c r="X45" s="15"/>
      <c r="Y45" s="15"/>
      <c r="Z45" s="15"/>
      <c r="AA45" s="15"/>
      <c r="AB45" s="15"/>
      <c r="AC45" s="15"/>
      <c r="AD45" s="15"/>
      <c r="AE45" s="15"/>
      <c r="AF45" s="15"/>
    </row>
    <row r="46" ht="15.75" customHeight="1">
      <c r="A46" s="28" t="s">
        <v>5</v>
      </c>
      <c r="B46" s="175" t="s">
        <v>4083</v>
      </c>
      <c r="C46" s="175" t="s">
        <v>4084</v>
      </c>
      <c r="D46" s="175" t="s">
        <v>20</v>
      </c>
      <c r="E46" s="65" t="s">
        <v>172</v>
      </c>
      <c r="F46" s="65" t="s">
        <v>173</v>
      </c>
      <c r="G46" s="166" t="s">
        <v>4085</v>
      </c>
      <c r="H46" s="35" t="s">
        <v>4051</v>
      </c>
      <c r="L46" s="20"/>
      <c r="M46" s="15"/>
      <c r="N46" s="15"/>
      <c r="O46" s="15"/>
      <c r="P46" s="15"/>
      <c r="Q46" s="15"/>
      <c r="R46" s="15"/>
      <c r="S46" s="15"/>
      <c r="T46" s="15"/>
      <c r="U46" s="15"/>
      <c r="V46" s="15"/>
      <c r="W46" s="15"/>
      <c r="X46" s="15"/>
      <c r="Y46" s="15"/>
      <c r="Z46" s="15"/>
      <c r="AA46" s="15"/>
      <c r="AB46" s="15"/>
      <c r="AC46" s="15"/>
      <c r="AD46" s="15"/>
      <c r="AE46" s="15"/>
      <c r="AF46" s="15"/>
    </row>
    <row r="47" ht="15.75" customHeight="1">
      <c r="A47" s="28" t="s">
        <v>5</v>
      </c>
      <c r="E47" s="65" t="s">
        <v>172</v>
      </c>
      <c r="F47" s="65" t="s">
        <v>402</v>
      </c>
      <c r="G47" s="166" t="s">
        <v>4086</v>
      </c>
      <c r="H47" s="35" t="s">
        <v>4053</v>
      </c>
      <c r="L47" s="20"/>
      <c r="M47" s="15"/>
      <c r="N47" s="15"/>
      <c r="O47" s="15"/>
      <c r="P47" s="15"/>
      <c r="Q47" s="15"/>
      <c r="R47" s="15"/>
      <c r="S47" s="15"/>
      <c r="T47" s="15"/>
      <c r="U47" s="15"/>
      <c r="V47" s="15"/>
      <c r="W47" s="15"/>
      <c r="X47" s="15"/>
      <c r="Y47" s="15"/>
      <c r="Z47" s="15"/>
      <c r="AA47" s="15"/>
      <c r="AB47" s="15"/>
      <c r="AC47" s="15"/>
      <c r="AD47" s="15"/>
      <c r="AE47" s="15"/>
      <c r="AF47" s="15"/>
    </row>
    <row r="48" ht="15.75" customHeight="1">
      <c r="A48" s="28" t="s">
        <v>5</v>
      </c>
      <c r="E48" s="65" t="s">
        <v>21</v>
      </c>
      <c r="F48" s="65" t="s">
        <v>51</v>
      </c>
      <c r="G48" s="166" t="s">
        <v>4087</v>
      </c>
      <c r="H48" s="65" t="s">
        <v>51</v>
      </c>
      <c r="L48" s="20"/>
      <c r="M48" s="15"/>
      <c r="N48" s="15"/>
      <c r="O48" s="15"/>
      <c r="P48" s="15"/>
      <c r="Q48" s="15"/>
      <c r="R48" s="15"/>
      <c r="S48" s="15"/>
      <c r="T48" s="15"/>
      <c r="U48" s="15"/>
      <c r="V48" s="15"/>
      <c r="W48" s="15"/>
      <c r="X48" s="15"/>
      <c r="Y48" s="15"/>
      <c r="Z48" s="15"/>
      <c r="AA48" s="15"/>
      <c r="AB48" s="15"/>
      <c r="AC48" s="15"/>
      <c r="AD48" s="15"/>
      <c r="AE48" s="15"/>
      <c r="AF48" s="15"/>
    </row>
    <row r="49" ht="15.75" customHeight="1">
      <c r="A49" s="28" t="s">
        <v>5</v>
      </c>
      <c r="E49" s="65" t="s">
        <v>408</v>
      </c>
      <c r="F49" s="65" t="s">
        <v>408</v>
      </c>
      <c r="G49" s="166" t="s">
        <v>4088</v>
      </c>
      <c r="H49" s="65" t="s">
        <v>408</v>
      </c>
      <c r="I49" s="35"/>
      <c r="J49" s="35"/>
      <c r="K49" s="35"/>
      <c r="L49" s="20"/>
      <c r="M49" s="15"/>
      <c r="N49" s="15"/>
      <c r="O49" s="15"/>
      <c r="P49" s="15"/>
      <c r="Q49" s="15"/>
      <c r="R49" s="15"/>
      <c r="S49" s="15"/>
      <c r="T49" s="15"/>
      <c r="U49" s="15"/>
      <c r="V49" s="15"/>
      <c r="W49" s="15"/>
      <c r="X49" s="15"/>
      <c r="Y49" s="15"/>
      <c r="Z49" s="15"/>
      <c r="AA49" s="15"/>
      <c r="AB49" s="15"/>
      <c r="AC49" s="15"/>
      <c r="AD49" s="15"/>
      <c r="AE49" s="15"/>
      <c r="AF49" s="15"/>
    </row>
    <row r="50" ht="15.75" customHeight="1">
      <c r="A50" s="28" t="s">
        <v>5</v>
      </c>
      <c r="E50" s="65" t="s">
        <v>172</v>
      </c>
      <c r="F50" s="65" t="s">
        <v>203</v>
      </c>
      <c r="G50" s="166" t="s">
        <v>4089</v>
      </c>
      <c r="H50" s="65" t="s">
        <v>203</v>
      </c>
      <c r="L50" s="20"/>
      <c r="M50" s="15"/>
      <c r="N50" s="15"/>
      <c r="O50" s="15"/>
      <c r="P50" s="15"/>
      <c r="Q50" s="15"/>
      <c r="R50" s="15"/>
      <c r="S50" s="15"/>
      <c r="T50" s="15"/>
      <c r="U50" s="15"/>
      <c r="V50" s="15"/>
      <c r="W50" s="15"/>
      <c r="X50" s="15"/>
      <c r="Y50" s="15"/>
      <c r="Z50" s="15"/>
      <c r="AA50" s="15"/>
      <c r="AB50" s="15"/>
      <c r="AC50" s="15"/>
      <c r="AD50" s="15"/>
      <c r="AE50" s="15"/>
      <c r="AF50" s="15"/>
    </row>
    <row r="51" ht="15.75" customHeight="1">
      <c r="A51" s="28" t="s">
        <v>5</v>
      </c>
      <c r="E51" s="65" t="s">
        <v>172</v>
      </c>
      <c r="F51" s="65" t="s">
        <v>204</v>
      </c>
      <c r="G51" s="166" t="s">
        <v>4090</v>
      </c>
      <c r="H51" s="65" t="s">
        <v>204</v>
      </c>
      <c r="L51" s="20"/>
      <c r="M51" s="15"/>
      <c r="N51" s="15"/>
      <c r="O51" s="15"/>
      <c r="P51" s="15"/>
      <c r="Q51" s="15"/>
      <c r="R51" s="15"/>
      <c r="S51" s="15"/>
      <c r="T51" s="15"/>
      <c r="U51" s="15"/>
      <c r="V51" s="15"/>
      <c r="W51" s="15"/>
      <c r="X51" s="15"/>
      <c r="Y51" s="15"/>
      <c r="Z51" s="15"/>
      <c r="AA51" s="15"/>
      <c r="AB51" s="15"/>
      <c r="AC51" s="15"/>
      <c r="AD51" s="15"/>
      <c r="AE51" s="15"/>
      <c r="AF51" s="15"/>
    </row>
    <row r="52" ht="15.75" customHeight="1">
      <c r="A52" s="28" t="s">
        <v>5</v>
      </c>
      <c r="E52" s="65" t="s">
        <v>172</v>
      </c>
      <c r="F52" s="65" t="s">
        <v>173</v>
      </c>
      <c r="G52" s="166" t="s">
        <v>4091</v>
      </c>
      <c r="H52" s="65" t="s">
        <v>173</v>
      </c>
      <c r="I52" s="35"/>
      <c r="L52" s="20"/>
      <c r="M52" s="15"/>
      <c r="N52" s="15"/>
      <c r="O52" s="15"/>
      <c r="P52" s="15"/>
      <c r="Q52" s="15"/>
      <c r="R52" s="15"/>
      <c r="S52" s="15"/>
      <c r="T52" s="15"/>
      <c r="U52" s="15"/>
      <c r="V52" s="15"/>
      <c r="W52" s="15"/>
      <c r="X52" s="15"/>
      <c r="Y52" s="15"/>
      <c r="Z52" s="15"/>
      <c r="AA52" s="15"/>
      <c r="AB52" s="15"/>
      <c r="AC52" s="15"/>
      <c r="AD52" s="15"/>
      <c r="AE52" s="15"/>
      <c r="AF52" s="15"/>
    </row>
    <row r="53" ht="15.75" customHeight="1">
      <c r="A53" s="28" t="s">
        <v>5</v>
      </c>
      <c r="E53" s="65" t="s">
        <v>172</v>
      </c>
      <c r="F53" s="65" t="s">
        <v>402</v>
      </c>
      <c r="G53" s="166" t="s">
        <v>4092</v>
      </c>
      <c r="H53" s="65" t="s">
        <v>402</v>
      </c>
      <c r="L53" s="20"/>
      <c r="M53" s="15"/>
      <c r="N53" s="15"/>
      <c r="O53" s="15"/>
      <c r="P53" s="15"/>
      <c r="Q53" s="15"/>
      <c r="R53" s="15"/>
      <c r="S53" s="15"/>
      <c r="T53" s="15"/>
      <c r="U53" s="15"/>
      <c r="V53" s="15"/>
      <c r="W53" s="15"/>
      <c r="X53" s="15"/>
      <c r="Y53" s="15"/>
      <c r="Z53" s="15"/>
      <c r="AA53" s="15"/>
      <c r="AB53" s="15"/>
      <c r="AC53" s="15"/>
      <c r="AD53" s="15"/>
      <c r="AE53" s="15"/>
      <c r="AF53" s="15"/>
    </row>
    <row r="54" ht="21.0" customHeight="1">
      <c r="A54" s="28" t="s">
        <v>5</v>
      </c>
      <c r="E54" s="28" t="s">
        <v>104</v>
      </c>
      <c r="F54" s="65" t="s">
        <v>250</v>
      </c>
      <c r="G54" s="166" t="s">
        <v>4093</v>
      </c>
      <c r="H54" s="35" t="s">
        <v>250</v>
      </c>
      <c r="L54" s="11"/>
      <c r="M54" s="15"/>
      <c r="N54" s="15"/>
      <c r="O54" s="15"/>
      <c r="P54" s="15"/>
      <c r="Q54" s="15"/>
      <c r="R54" s="15"/>
      <c r="S54" s="15"/>
      <c r="T54" s="15"/>
      <c r="U54" s="15"/>
      <c r="V54" s="15"/>
      <c r="W54" s="15"/>
      <c r="X54" s="15"/>
      <c r="Y54" s="15"/>
      <c r="Z54" s="15"/>
      <c r="AA54" s="15"/>
      <c r="AB54" s="15"/>
      <c r="AC54" s="15"/>
      <c r="AD54" s="15"/>
      <c r="AE54" s="15"/>
      <c r="AF54" s="15"/>
    </row>
    <row r="55" ht="15.75" customHeight="1">
      <c r="A55" s="28" t="s">
        <v>5</v>
      </c>
      <c r="B55" s="175" t="s">
        <v>4094</v>
      </c>
      <c r="C55" s="175" t="s">
        <v>4095</v>
      </c>
      <c r="D55" s="175" t="s">
        <v>20</v>
      </c>
      <c r="E55" s="28" t="s">
        <v>172</v>
      </c>
      <c r="F55" s="32" t="s">
        <v>173</v>
      </c>
      <c r="G55" s="166" t="s">
        <v>4096</v>
      </c>
      <c r="H55" s="35" t="s">
        <v>4051</v>
      </c>
      <c r="L55" s="11"/>
      <c r="M55" s="15"/>
      <c r="N55" s="15"/>
      <c r="O55" s="15"/>
      <c r="P55" s="15"/>
      <c r="Q55" s="15"/>
      <c r="R55" s="15"/>
      <c r="S55" s="15"/>
      <c r="T55" s="15"/>
      <c r="U55" s="15"/>
      <c r="V55" s="15"/>
      <c r="W55" s="15"/>
      <c r="X55" s="15"/>
      <c r="Y55" s="15"/>
      <c r="Z55" s="15"/>
      <c r="AA55" s="15"/>
      <c r="AB55" s="15"/>
      <c r="AC55" s="15"/>
      <c r="AD55" s="15"/>
      <c r="AE55" s="15"/>
      <c r="AF55" s="15"/>
    </row>
    <row r="56" ht="15.75" customHeight="1">
      <c r="A56" s="28" t="s">
        <v>5</v>
      </c>
      <c r="E56" s="28" t="s">
        <v>172</v>
      </c>
      <c r="F56" s="32" t="s">
        <v>402</v>
      </c>
      <c r="G56" s="166" t="s">
        <v>4097</v>
      </c>
      <c r="H56" s="35" t="s">
        <v>4053</v>
      </c>
      <c r="L56" s="11"/>
      <c r="M56" s="15"/>
      <c r="N56" s="15"/>
      <c r="O56" s="15"/>
      <c r="P56" s="15"/>
      <c r="Q56" s="15"/>
      <c r="R56" s="15"/>
      <c r="S56" s="15"/>
      <c r="T56" s="15"/>
      <c r="U56" s="15"/>
      <c r="V56" s="15"/>
      <c r="W56" s="15"/>
      <c r="X56" s="15"/>
      <c r="Y56" s="15"/>
      <c r="Z56" s="15"/>
      <c r="AA56" s="15"/>
      <c r="AB56" s="15"/>
      <c r="AC56" s="15"/>
      <c r="AD56" s="15"/>
      <c r="AE56" s="15"/>
      <c r="AF56" s="15"/>
    </row>
    <row r="57" ht="15.75" customHeight="1">
      <c r="A57" s="28" t="s">
        <v>5</v>
      </c>
      <c r="E57" s="28" t="s">
        <v>21</v>
      </c>
      <c r="F57" s="32" t="s">
        <v>51</v>
      </c>
      <c r="G57" s="166" t="s">
        <v>4098</v>
      </c>
      <c r="H57" s="32" t="s">
        <v>51</v>
      </c>
      <c r="L57" s="11"/>
      <c r="M57" s="15"/>
      <c r="N57" s="15"/>
      <c r="O57" s="15"/>
      <c r="P57" s="15"/>
      <c r="Q57" s="15"/>
      <c r="R57" s="15"/>
      <c r="S57" s="15"/>
      <c r="T57" s="15"/>
      <c r="U57" s="15"/>
      <c r="V57" s="15"/>
      <c r="W57" s="15"/>
      <c r="X57" s="15"/>
      <c r="Y57" s="15"/>
      <c r="Z57" s="15"/>
      <c r="AA57" s="15"/>
      <c r="AB57" s="15"/>
      <c r="AC57" s="15"/>
      <c r="AD57" s="15"/>
      <c r="AE57" s="15"/>
      <c r="AF57" s="15"/>
    </row>
    <row r="58" ht="15.75" customHeight="1">
      <c r="A58" s="28" t="s">
        <v>5</v>
      </c>
      <c r="E58" s="28" t="s">
        <v>408</v>
      </c>
      <c r="F58" s="32" t="s">
        <v>408</v>
      </c>
      <c r="G58" s="166" t="s">
        <v>4099</v>
      </c>
      <c r="H58" s="32" t="s">
        <v>408</v>
      </c>
      <c r="I58" s="35"/>
      <c r="L58" s="11"/>
      <c r="M58" s="15"/>
      <c r="N58" s="15"/>
      <c r="O58" s="15"/>
      <c r="P58" s="15"/>
      <c r="Q58" s="15"/>
      <c r="R58" s="15"/>
      <c r="S58" s="15"/>
      <c r="T58" s="15"/>
      <c r="U58" s="15"/>
      <c r="V58" s="15"/>
      <c r="W58" s="15"/>
      <c r="X58" s="15"/>
      <c r="Y58" s="15"/>
      <c r="Z58" s="15"/>
      <c r="AA58" s="15"/>
      <c r="AB58" s="15"/>
      <c r="AC58" s="15"/>
      <c r="AD58" s="15"/>
      <c r="AE58" s="15"/>
      <c r="AF58" s="15"/>
    </row>
    <row r="59" ht="15.75" customHeight="1">
      <c r="A59" s="28" t="s">
        <v>5</v>
      </c>
      <c r="E59" s="28" t="s">
        <v>172</v>
      </c>
      <c r="F59" s="32" t="s">
        <v>203</v>
      </c>
      <c r="G59" s="166" t="s">
        <v>4100</v>
      </c>
      <c r="H59" s="32" t="s">
        <v>203</v>
      </c>
      <c r="I59" s="35"/>
      <c r="L59" s="11"/>
      <c r="M59" s="15"/>
      <c r="N59" s="15"/>
      <c r="O59" s="15"/>
      <c r="P59" s="15"/>
      <c r="Q59" s="15"/>
      <c r="R59" s="15"/>
      <c r="S59" s="15"/>
      <c r="T59" s="15"/>
      <c r="U59" s="15"/>
      <c r="V59" s="15"/>
      <c r="W59" s="15"/>
      <c r="X59" s="15"/>
      <c r="Y59" s="15"/>
      <c r="Z59" s="15"/>
      <c r="AA59" s="15"/>
      <c r="AB59" s="15"/>
      <c r="AC59" s="15"/>
      <c r="AD59" s="15"/>
      <c r="AE59" s="15"/>
      <c r="AF59" s="15"/>
    </row>
    <row r="60" ht="15.75" customHeight="1">
      <c r="A60" s="28" t="s">
        <v>5</v>
      </c>
      <c r="E60" s="28" t="s">
        <v>172</v>
      </c>
      <c r="F60" s="32" t="s">
        <v>204</v>
      </c>
      <c r="G60" s="166" t="s">
        <v>4101</v>
      </c>
      <c r="H60" s="32" t="s">
        <v>204</v>
      </c>
      <c r="L60" s="11"/>
      <c r="M60" s="15"/>
      <c r="N60" s="15"/>
      <c r="O60" s="15"/>
      <c r="P60" s="15"/>
      <c r="Q60" s="15"/>
      <c r="R60" s="15"/>
      <c r="S60" s="15"/>
      <c r="T60" s="15"/>
      <c r="U60" s="15"/>
      <c r="V60" s="15"/>
      <c r="W60" s="15"/>
      <c r="X60" s="15"/>
      <c r="Y60" s="15"/>
      <c r="Z60" s="15"/>
      <c r="AA60" s="15"/>
      <c r="AB60" s="15"/>
      <c r="AC60" s="15"/>
      <c r="AD60" s="15"/>
      <c r="AE60" s="15"/>
      <c r="AF60" s="15"/>
    </row>
    <row r="61" ht="15.75" customHeight="1">
      <c r="A61" s="28" t="s">
        <v>5</v>
      </c>
      <c r="E61" s="28" t="s">
        <v>172</v>
      </c>
      <c r="F61" s="65" t="s">
        <v>173</v>
      </c>
      <c r="G61" s="166" t="s">
        <v>4102</v>
      </c>
      <c r="H61" s="65" t="s">
        <v>173</v>
      </c>
      <c r="L61" s="11"/>
      <c r="M61" s="15"/>
      <c r="N61" s="15"/>
      <c r="O61" s="15"/>
      <c r="P61" s="15"/>
      <c r="Q61" s="15"/>
      <c r="R61" s="15"/>
      <c r="S61" s="15"/>
      <c r="T61" s="15"/>
      <c r="U61" s="15"/>
      <c r="V61" s="15"/>
      <c r="W61" s="15"/>
      <c r="X61" s="15"/>
      <c r="Y61" s="15"/>
      <c r="Z61" s="15"/>
      <c r="AA61" s="15"/>
      <c r="AB61" s="15"/>
      <c r="AC61" s="15"/>
      <c r="AD61" s="15"/>
      <c r="AE61" s="15"/>
      <c r="AF61" s="15"/>
    </row>
    <row r="62" ht="15.75" customHeight="1">
      <c r="A62" s="28" t="s">
        <v>5</v>
      </c>
      <c r="E62" s="28" t="s">
        <v>172</v>
      </c>
      <c r="F62" s="32" t="s">
        <v>402</v>
      </c>
      <c r="G62" s="166" t="s">
        <v>4103</v>
      </c>
      <c r="H62" s="32" t="s">
        <v>402</v>
      </c>
      <c r="L62" s="11"/>
      <c r="M62" s="15"/>
      <c r="N62" s="15"/>
      <c r="O62" s="15"/>
      <c r="P62" s="15"/>
      <c r="Q62" s="15"/>
      <c r="R62" s="15"/>
      <c r="S62" s="15"/>
      <c r="T62" s="15"/>
      <c r="U62" s="15"/>
      <c r="V62" s="15"/>
      <c r="W62" s="15"/>
      <c r="X62" s="15"/>
      <c r="Y62" s="15"/>
      <c r="Z62" s="15"/>
      <c r="AA62" s="15"/>
      <c r="AB62" s="15"/>
      <c r="AC62" s="15"/>
      <c r="AD62" s="15"/>
      <c r="AE62" s="15"/>
      <c r="AF62" s="15"/>
    </row>
    <row r="63" ht="15.75" customHeight="1">
      <c r="A63" s="28" t="s">
        <v>5</v>
      </c>
      <c r="E63" s="28" t="s">
        <v>104</v>
      </c>
      <c r="F63" s="32" t="s">
        <v>250</v>
      </c>
      <c r="G63" s="166" t="s">
        <v>4104</v>
      </c>
      <c r="H63" s="35" t="s">
        <v>250</v>
      </c>
      <c r="L63" s="11"/>
      <c r="M63" s="15"/>
      <c r="N63" s="15"/>
      <c r="O63" s="15"/>
      <c r="P63" s="15"/>
      <c r="Q63" s="15"/>
      <c r="R63" s="15"/>
      <c r="S63" s="15"/>
      <c r="T63" s="15"/>
      <c r="U63" s="15"/>
      <c r="V63" s="15"/>
      <c r="W63" s="15"/>
      <c r="X63" s="15"/>
      <c r="Y63" s="15"/>
      <c r="Z63" s="15"/>
      <c r="AA63" s="15"/>
      <c r="AB63" s="15"/>
      <c r="AC63" s="15"/>
      <c r="AD63" s="15"/>
      <c r="AE63" s="15"/>
      <c r="AF63" s="15"/>
    </row>
    <row r="64" ht="15.75" customHeight="1">
      <c r="A64" s="28" t="s">
        <v>5</v>
      </c>
      <c r="B64" s="175" t="s">
        <v>4105</v>
      </c>
      <c r="C64" s="175" t="s">
        <v>4106</v>
      </c>
      <c r="D64" s="175" t="s">
        <v>20</v>
      </c>
      <c r="E64" s="28" t="s">
        <v>172</v>
      </c>
      <c r="F64" s="65" t="s">
        <v>173</v>
      </c>
      <c r="G64" s="166" t="s">
        <v>4107</v>
      </c>
      <c r="H64" s="35" t="s">
        <v>4051</v>
      </c>
      <c r="L64" s="11"/>
      <c r="M64" s="15"/>
      <c r="N64" s="15"/>
      <c r="O64" s="15"/>
      <c r="P64" s="15"/>
      <c r="Q64" s="15"/>
      <c r="R64" s="15"/>
      <c r="S64" s="15"/>
      <c r="T64" s="15"/>
      <c r="U64" s="15"/>
      <c r="V64" s="15"/>
      <c r="W64" s="15"/>
      <c r="X64" s="15"/>
      <c r="Y64" s="15"/>
      <c r="Z64" s="15"/>
      <c r="AA64" s="15"/>
      <c r="AB64" s="15"/>
      <c r="AC64" s="15"/>
      <c r="AD64" s="15"/>
      <c r="AE64" s="15"/>
      <c r="AF64" s="15"/>
    </row>
    <row r="65" ht="15.75" customHeight="1">
      <c r="A65" s="28" t="s">
        <v>5</v>
      </c>
      <c r="E65" s="28" t="s">
        <v>172</v>
      </c>
      <c r="F65" s="65" t="s">
        <v>402</v>
      </c>
      <c r="G65" s="166" t="s">
        <v>4108</v>
      </c>
      <c r="H65" s="35" t="s">
        <v>4053</v>
      </c>
      <c r="L65" s="11"/>
      <c r="M65" s="15"/>
      <c r="N65" s="15"/>
      <c r="O65" s="15"/>
      <c r="P65" s="15"/>
      <c r="Q65" s="15"/>
      <c r="R65" s="15"/>
      <c r="S65" s="15"/>
      <c r="T65" s="15"/>
      <c r="U65" s="15"/>
      <c r="V65" s="15"/>
      <c r="W65" s="15"/>
      <c r="X65" s="15"/>
      <c r="Y65" s="15"/>
      <c r="Z65" s="15"/>
      <c r="AA65" s="15"/>
      <c r="AB65" s="15"/>
      <c r="AC65" s="15"/>
      <c r="AD65" s="15"/>
      <c r="AE65" s="15"/>
      <c r="AF65" s="15"/>
    </row>
    <row r="66" ht="15.75" customHeight="1">
      <c r="A66" s="28" t="s">
        <v>5</v>
      </c>
      <c r="E66" s="28" t="s">
        <v>21</v>
      </c>
      <c r="F66" s="65" t="s">
        <v>51</v>
      </c>
      <c r="G66" s="166" t="s">
        <v>4109</v>
      </c>
      <c r="H66" s="65" t="s">
        <v>51</v>
      </c>
      <c r="L66" s="11"/>
      <c r="M66" s="15"/>
      <c r="N66" s="15"/>
      <c r="O66" s="15"/>
      <c r="P66" s="15"/>
      <c r="Q66" s="15"/>
      <c r="R66" s="15"/>
      <c r="S66" s="15"/>
      <c r="T66" s="15"/>
      <c r="U66" s="15"/>
      <c r="V66" s="15"/>
      <c r="W66" s="15"/>
      <c r="X66" s="15"/>
      <c r="Y66" s="15"/>
      <c r="Z66" s="15"/>
      <c r="AA66" s="15"/>
      <c r="AB66" s="15"/>
      <c r="AC66" s="15"/>
      <c r="AD66" s="15"/>
      <c r="AE66" s="15"/>
      <c r="AF66" s="15"/>
    </row>
    <row r="67" ht="15.75" customHeight="1">
      <c r="A67" s="28" t="s">
        <v>5</v>
      </c>
      <c r="E67" s="28" t="s">
        <v>408</v>
      </c>
      <c r="F67" s="32" t="s">
        <v>408</v>
      </c>
      <c r="G67" s="166" t="s">
        <v>4110</v>
      </c>
      <c r="H67" s="32" t="s">
        <v>408</v>
      </c>
      <c r="L67" s="11"/>
      <c r="M67" s="15"/>
      <c r="N67" s="15"/>
      <c r="O67" s="15"/>
      <c r="P67" s="15"/>
      <c r="Q67" s="15"/>
      <c r="R67" s="15"/>
      <c r="S67" s="15"/>
      <c r="T67" s="15"/>
      <c r="U67" s="15"/>
      <c r="V67" s="15"/>
      <c r="W67" s="15"/>
      <c r="X67" s="15"/>
      <c r="Y67" s="15"/>
      <c r="Z67" s="15"/>
      <c r="AA67" s="15"/>
      <c r="AB67" s="15"/>
      <c r="AC67" s="15"/>
      <c r="AD67" s="15"/>
      <c r="AE67" s="15"/>
      <c r="AF67" s="15"/>
    </row>
    <row r="68" ht="15.75" customHeight="1">
      <c r="A68" s="28" t="s">
        <v>5</v>
      </c>
      <c r="E68" s="28" t="s">
        <v>172</v>
      </c>
      <c r="F68" s="32" t="s">
        <v>203</v>
      </c>
      <c r="G68" s="166" t="s">
        <v>4111</v>
      </c>
      <c r="H68" s="32" t="s">
        <v>203</v>
      </c>
      <c r="L68" s="11"/>
      <c r="M68" s="15"/>
      <c r="N68" s="15"/>
      <c r="O68" s="15"/>
      <c r="P68" s="15"/>
      <c r="Q68" s="15"/>
      <c r="R68" s="15"/>
      <c r="S68" s="15"/>
      <c r="T68" s="15"/>
      <c r="U68" s="15"/>
      <c r="V68" s="15"/>
      <c r="W68" s="15"/>
      <c r="X68" s="15"/>
      <c r="Y68" s="15"/>
      <c r="Z68" s="15"/>
      <c r="AA68" s="15"/>
      <c r="AB68" s="15"/>
      <c r="AC68" s="15"/>
      <c r="AD68" s="15"/>
      <c r="AE68" s="15"/>
      <c r="AF68" s="15"/>
    </row>
    <row r="69" ht="15.75" customHeight="1">
      <c r="A69" s="28" t="s">
        <v>5</v>
      </c>
      <c r="E69" s="28" t="s">
        <v>172</v>
      </c>
      <c r="F69" s="32" t="s">
        <v>204</v>
      </c>
      <c r="G69" s="166" t="s">
        <v>4112</v>
      </c>
      <c r="H69" s="32" t="s">
        <v>204</v>
      </c>
      <c r="L69" s="11"/>
      <c r="M69" s="15"/>
      <c r="N69" s="15"/>
      <c r="O69" s="15"/>
      <c r="P69" s="15"/>
      <c r="Q69" s="15"/>
      <c r="R69" s="15"/>
      <c r="S69" s="15"/>
      <c r="T69" s="15"/>
      <c r="U69" s="15"/>
      <c r="V69" s="15"/>
      <c r="W69" s="15"/>
      <c r="X69" s="15"/>
      <c r="Y69" s="15"/>
      <c r="Z69" s="15"/>
      <c r="AA69" s="15"/>
      <c r="AB69" s="15"/>
      <c r="AC69" s="15"/>
      <c r="AD69" s="15"/>
      <c r="AE69" s="15"/>
      <c r="AF69" s="15"/>
    </row>
    <row r="70" ht="15.75" customHeight="1">
      <c r="A70" s="28" t="s">
        <v>5</v>
      </c>
      <c r="E70" s="28" t="s">
        <v>172</v>
      </c>
      <c r="F70" s="32" t="s">
        <v>173</v>
      </c>
      <c r="G70" s="166" t="s">
        <v>4113</v>
      </c>
      <c r="H70" s="32" t="s">
        <v>173</v>
      </c>
      <c r="L70" s="11"/>
      <c r="M70" s="15"/>
      <c r="N70" s="15"/>
      <c r="O70" s="15"/>
      <c r="P70" s="15"/>
      <c r="Q70" s="15"/>
      <c r="R70" s="15"/>
      <c r="S70" s="15"/>
      <c r="T70" s="15"/>
      <c r="U70" s="15"/>
      <c r="V70" s="15"/>
      <c r="W70" s="15"/>
      <c r="X70" s="15"/>
      <c r="Y70" s="15"/>
      <c r="Z70" s="15"/>
      <c r="AA70" s="15"/>
      <c r="AB70" s="15"/>
      <c r="AC70" s="15"/>
      <c r="AD70" s="15"/>
      <c r="AE70" s="15"/>
      <c r="AF70" s="15"/>
    </row>
    <row r="71" ht="15.75" customHeight="1">
      <c r="A71" s="28" t="s">
        <v>5</v>
      </c>
      <c r="E71" s="28" t="s">
        <v>172</v>
      </c>
      <c r="F71" s="32" t="s">
        <v>402</v>
      </c>
      <c r="G71" s="166" t="s">
        <v>4114</v>
      </c>
      <c r="H71" s="32" t="s">
        <v>402</v>
      </c>
      <c r="I71" s="35"/>
      <c r="L71" s="11"/>
      <c r="M71" s="15"/>
      <c r="N71" s="15"/>
      <c r="O71" s="15"/>
      <c r="P71" s="15"/>
      <c r="Q71" s="15"/>
      <c r="R71" s="15"/>
      <c r="S71" s="15"/>
      <c r="T71" s="15"/>
      <c r="U71" s="15"/>
      <c r="V71" s="15"/>
      <c r="W71" s="15"/>
      <c r="X71" s="15"/>
      <c r="Y71" s="15"/>
      <c r="Z71" s="15"/>
      <c r="AA71" s="15"/>
      <c r="AB71" s="15"/>
      <c r="AC71" s="15"/>
      <c r="AD71" s="15"/>
      <c r="AE71" s="15"/>
      <c r="AF71" s="15"/>
    </row>
    <row r="72" ht="15.75" customHeight="1">
      <c r="A72" s="28" t="s">
        <v>5</v>
      </c>
      <c r="E72" s="28" t="s">
        <v>104</v>
      </c>
      <c r="F72" s="32" t="s">
        <v>250</v>
      </c>
      <c r="G72" s="166" t="s">
        <v>4115</v>
      </c>
      <c r="H72" s="32" t="s">
        <v>250</v>
      </c>
      <c r="L72" s="11"/>
      <c r="M72" s="15"/>
      <c r="N72" s="15"/>
      <c r="O72" s="15"/>
      <c r="P72" s="15"/>
      <c r="Q72" s="15"/>
      <c r="R72" s="15"/>
      <c r="S72" s="15"/>
      <c r="T72" s="15"/>
      <c r="U72" s="15"/>
      <c r="V72" s="15"/>
      <c r="W72" s="15"/>
      <c r="X72" s="15"/>
      <c r="Y72" s="15"/>
      <c r="Z72" s="15"/>
      <c r="AA72" s="15"/>
      <c r="AB72" s="15"/>
      <c r="AC72" s="15"/>
      <c r="AD72" s="15"/>
      <c r="AE72" s="15"/>
      <c r="AF72" s="15"/>
    </row>
    <row r="73" ht="15.75" customHeight="1">
      <c r="A73" s="28" t="s">
        <v>5</v>
      </c>
      <c r="B73" s="175" t="s">
        <v>4116</v>
      </c>
      <c r="C73" s="175" t="s">
        <v>4117</v>
      </c>
      <c r="D73" s="175" t="s">
        <v>20</v>
      </c>
      <c r="E73" s="28" t="s">
        <v>172</v>
      </c>
      <c r="F73" s="32" t="s">
        <v>173</v>
      </c>
      <c r="G73" s="166" t="s">
        <v>4118</v>
      </c>
      <c r="H73" s="35" t="s">
        <v>4051</v>
      </c>
      <c r="I73" s="36"/>
      <c r="L73" s="11"/>
      <c r="M73" s="15"/>
      <c r="N73" s="15"/>
      <c r="O73" s="15"/>
      <c r="P73" s="15"/>
      <c r="Q73" s="15"/>
      <c r="R73" s="15"/>
      <c r="S73" s="15"/>
      <c r="T73" s="15"/>
      <c r="U73" s="15"/>
      <c r="V73" s="15"/>
      <c r="W73" s="15"/>
      <c r="X73" s="15"/>
      <c r="Y73" s="15"/>
      <c r="Z73" s="15"/>
      <c r="AA73" s="15"/>
      <c r="AB73" s="15"/>
      <c r="AC73" s="15"/>
      <c r="AD73" s="15"/>
      <c r="AE73" s="15"/>
      <c r="AF73" s="15"/>
    </row>
    <row r="74" ht="15.75" customHeight="1">
      <c r="A74" s="28" t="s">
        <v>5</v>
      </c>
      <c r="E74" s="28" t="s">
        <v>172</v>
      </c>
      <c r="F74" s="32" t="s">
        <v>402</v>
      </c>
      <c r="G74" s="166" t="s">
        <v>4119</v>
      </c>
      <c r="H74" s="35" t="s">
        <v>4053</v>
      </c>
      <c r="I74" s="36"/>
      <c r="L74" s="11"/>
      <c r="M74" s="15"/>
      <c r="N74" s="15"/>
      <c r="O74" s="15"/>
      <c r="P74" s="15"/>
      <c r="Q74" s="15"/>
      <c r="R74" s="15"/>
      <c r="S74" s="15"/>
      <c r="T74" s="15"/>
      <c r="U74" s="15"/>
      <c r="V74" s="15"/>
      <c r="W74" s="15"/>
      <c r="X74" s="15"/>
      <c r="Y74" s="15"/>
      <c r="Z74" s="15"/>
      <c r="AA74" s="15"/>
      <c r="AB74" s="15"/>
      <c r="AC74" s="15"/>
      <c r="AD74" s="15"/>
      <c r="AE74" s="15"/>
      <c r="AF74" s="15"/>
    </row>
    <row r="75" ht="15.75" customHeight="1">
      <c r="A75" s="28" t="s">
        <v>5</v>
      </c>
      <c r="E75" s="28" t="s">
        <v>21</v>
      </c>
      <c r="F75" s="32" t="s">
        <v>51</v>
      </c>
      <c r="G75" s="166" t="s">
        <v>4120</v>
      </c>
      <c r="H75" s="32" t="s">
        <v>51</v>
      </c>
      <c r="I75" s="35"/>
      <c r="L75" s="11"/>
      <c r="M75" s="15"/>
      <c r="N75" s="15"/>
      <c r="O75" s="15"/>
      <c r="P75" s="15"/>
      <c r="Q75" s="15"/>
      <c r="R75" s="15"/>
      <c r="S75" s="15"/>
      <c r="T75" s="15"/>
      <c r="U75" s="15"/>
      <c r="V75" s="15"/>
      <c r="W75" s="15"/>
      <c r="X75" s="15"/>
      <c r="Y75" s="15"/>
      <c r="Z75" s="15"/>
      <c r="AA75" s="15"/>
      <c r="AB75" s="15"/>
      <c r="AC75" s="15"/>
      <c r="AD75" s="15"/>
      <c r="AE75" s="15"/>
      <c r="AF75" s="15"/>
    </row>
    <row r="76" ht="15.75" customHeight="1">
      <c r="A76" s="28" t="s">
        <v>5</v>
      </c>
      <c r="E76" s="28" t="s">
        <v>408</v>
      </c>
      <c r="F76" s="65" t="s">
        <v>408</v>
      </c>
      <c r="G76" s="166" t="s">
        <v>4121</v>
      </c>
      <c r="H76" s="65" t="s">
        <v>408</v>
      </c>
      <c r="L76" s="11"/>
      <c r="M76" s="15"/>
      <c r="N76" s="15"/>
      <c r="O76" s="15"/>
      <c r="P76" s="15"/>
      <c r="Q76" s="15"/>
      <c r="R76" s="15"/>
      <c r="S76" s="15"/>
      <c r="T76" s="15"/>
      <c r="U76" s="15"/>
      <c r="V76" s="15"/>
      <c r="W76" s="15"/>
      <c r="X76" s="15"/>
      <c r="Y76" s="15"/>
      <c r="Z76" s="15"/>
      <c r="AA76" s="15"/>
      <c r="AB76" s="15"/>
      <c r="AC76" s="15"/>
      <c r="AD76" s="15"/>
      <c r="AE76" s="15"/>
      <c r="AF76" s="15"/>
    </row>
    <row r="77" ht="15.75" customHeight="1">
      <c r="A77" s="28" t="s">
        <v>5</v>
      </c>
      <c r="E77" s="28" t="s">
        <v>172</v>
      </c>
      <c r="F77" s="32" t="s">
        <v>173</v>
      </c>
      <c r="G77" s="165" t="s">
        <v>4122</v>
      </c>
      <c r="H77" s="35" t="s">
        <v>173</v>
      </c>
      <c r="I77" s="35"/>
      <c r="J77" s="35"/>
      <c r="K77" s="35"/>
      <c r="L77" s="11"/>
      <c r="M77" s="15"/>
      <c r="N77" s="15"/>
      <c r="O77" s="15"/>
      <c r="P77" s="15"/>
      <c r="Q77" s="15"/>
      <c r="R77" s="15"/>
      <c r="S77" s="15"/>
      <c r="T77" s="15"/>
      <c r="U77" s="15"/>
      <c r="V77" s="15"/>
      <c r="W77" s="15"/>
      <c r="X77" s="15"/>
      <c r="Y77" s="15"/>
      <c r="Z77" s="15"/>
      <c r="AA77" s="15"/>
      <c r="AB77" s="15"/>
      <c r="AC77" s="15"/>
      <c r="AD77" s="15"/>
      <c r="AE77" s="15"/>
      <c r="AF77" s="15"/>
    </row>
    <row r="78" ht="15.75" customHeight="1">
      <c r="A78" s="28" t="s">
        <v>5</v>
      </c>
      <c r="E78" s="28" t="s">
        <v>172</v>
      </c>
      <c r="F78" s="32" t="s">
        <v>402</v>
      </c>
      <c r="G78" s="165" t="s">
        <v>4123</v>
      </c>
      <c r="H78" s="35" t="s">
        <v>402</v>
      </c>
      <c r="I78" s="36"/>
      <c r="J78" s="36"/>
      <c r="K78" s="36"/>
      <c r="L78" s="11"/>
      <c r="M78" s="15"/>
      <c r="N78" s="15"/>
      <c r="O78" s="15"/>
      <c r="P78" s="15"/>
      <c r="Q78" s="15"/>
      <c r="R78" s="15"/>
      <c r="S78" s="15"/>
      <c r="T78" s="15"/>
      <c r="U78" s="15"/>
      <c r="V78" s="15"/>
      <c r="W78" s="15"/>
      <c r="X78" s="15"/>
      <c r="Y78" s="15"/>
      <c r="Z78" s="15"/>
      <c r="AA78" s="15"/>
      <c r="AB78" s="15"/>
      <c r="AC78" s="15"/>
      <c r="AD78" s="15"/>
      <c r="AE78" s="15"/>
      <c r="AF78" s="15"/>
    </row>
    <row r="79" ht="15.75" customHeight="1">
      <c r="A79" s="28" t="s">
        <v>5</v>
      </c>
      <c r="E79" s="28" t="s">
        <v>172</v>
      </c>
      <c r="F79" s="32" t="s">
        <v>271</v>
      </c>
      <c r="G79" s="165" t="s">
        <v>4124</v>
      </c>
      <c r="H79" s="35" t="s">
        <v>271</v>
      </c>
      <c r="I79" s="35"/>
      <c r="J79" s="35"/>
      <c r="K79" s="35"/>
      <c r="L79" s="11"/>
      <c r="M79" s="15"/>
      <c r="N79" s="15"/>
      <c r="O79" s="15"/>
      <c r="P79" s="15"/>
      <c r="Q79" s="15"/>
      <c r="R79" s="15"/>
      <c r="S79" s="15"/>
      <c r="T79" s="15"/>
      <c r="U79" s="15"/>
      <c r="V79" s="15"/>
      <c r="W79" s="15"/>
      <c r="X79" s="15"/>
      <c r="Y79" s="15"/>
      <c r="Z79" s="15"/>
      <c r="AA79" s="15"/>
      <c r="AB79" s="15"/>
      <c r="AC79" s="15"/>
      <c r="AD79" s="15"/>
      <c r="AE79" s="15"/>
      <c r="AF79" s="15"/>
    </row>
    <row r="80" ht="15.75" customHeight="1">
      <c r="A80" s="28" t="s">
        <v>5</v>
      </c>
      <c r="E80" s="28" t="s">
        <v>172</v>
      </c>
      <c r="F80" s="32" t="s">
        <v>185</v>
      </c>
      <c r="G80" s="165" t="s">
        <v>4125</v>
      </c>
      <c r="H80" s="35" t="s">
        <v>185</v>
      </c>
      <c r="I80" s="35"/>
      <c r="J80" s="35"/>
      <c r="K80" s="35"/>
      <c r="L80" s="11"/>
      <c r="M80" s="15"/>
      <c r="N80" s="15"/>
      <c r="O80" s="15"/>
      <c r="P80" s="15"/>
      <c r="Q80" s="15"/>
      <c r="R80" s="15"/>
      <c r="S80" s="15"/>
      <c r="T80" s="15"/>
      <c r="U80" s="15"/>
      <c r="V80" s="15"/>
      <c r="W80" s="15"/>
      <c r="X80" s="15"/>
      <c r="Y80" s="15"/>
      <c r="Z80" s="15"/>
      <c r="AA80" s="15"/>
      <c r="AB80" s="15"/>
      <c r="AC80" s="15"/>
      <c r="AD80" s="15"/>
      <c r="AE80" s="15"/>
      <c r="AF80" s="15"/>
    </row>
    <row r="81" ht="15.75" customHeight="1">
      <c r="A81" s="28" t="s">
        <v>5</v>
      </c>
      <c r="E81" s="28" t="s">
        <v>104</v>
      </c>
      <c r="F81" s="32" t="s">
        <v>250</v>
      </c>
      <c r="G81" s="165" t="s">
        <v>4126</v>
      </c>
      <c r="H81" s="35" t="s">
        <v>250</v>
      </c>
      <c r="I81" s="35"/>
      <c r="J81" s="35"/>
      <c r="K81" s="35"/>
      <c r="L81" s="11"/>
      <c r="M81" s="15"/>
      <c r="N81" s="15"/>
      <c r="O81" s="15"/>
      <c r="P81" s="15"/>
      <c r="Q81" s="15"/>
      <c r="R81" s="15"/>
      <c r="S81" s="15"/>
      <c r="T81" s="15"/>
      <c r="U81" s="15"/>
      <c r="V81" s="15"/>
      <c r="W81" s="15"/>
      <c r="X81" s="15"/>
      <c r="Y81" s="15"/>
      <c r="Z81" s="15"/>
      <c r="AA81" s="15"/>
      <c r="AB81" s="15"/>
      <c r="AC81" s="15"/>
      <c r="AD81" s="15"/>
      <c r="AE81" s="15"/>
      <c r="AF81" s="15"/>
    </row>
    <row r="82" ht="15.75" customHeight="1">
      <c r="A82" s="28" t="s">
        <v>5</v>
      </c>
      <c r="B82" s="175" t="s">
        <v>4127</v>
      </c>
      <c r="C82" s="175" t="s">
        <v>4128</v>
      </c>
      <c r="D82" s="175" t="s">
        <v>20</v>
      </c>
      <c r="E82" s="28" t="s">
        <v>172</v>
      </c>
      <c r="F82" s="32" t="s">
        <v>173</v>
      </c>
      <c r="G82" s="165" t="s">
        <v>4129</v>
      </c>
      <c r="H82" s="35" t="s">
        <v>4051</v>
      </c>
      <c r="I82" s="36"/>
      <c r="L82" s="11"/>
      <c r="M82" s="15"/>
      <c r="N82" s="15"/>
      <c r="O82" s="15"/>
      <c r="P82" s="15"/>
      <c r="Q82" s="15"/>
      <c r="R82" s="15"/>
      <c r="S82" s="15"/>
      <c r="T82" s="15"/>
      <c r="U82" s="15"/>
      <c r="V82" s="15"/>
      <c r="W82" s="15"/>
      <c r="X82" s="15"/>
      <c r="Y82" s="15"/>
      <c r="Z82" s="15"/>
      <c r="AA82" s="15"/>
      <c r="AB82" s="15"/>
      <c r="AC82" s="15"/>
      <c r="AD82" s="15"/>
      <c r="AE82" s="15"/>
      <c r="AF82" s="15"/>
    </row>
    <row r="83" ht="15.75" customHeight="1">
      <c r="A83" s="28" t="s">
        <v>5</v>
      </c>
      <c r="E83" s="28" t="s">
        <v>172</v>
      </c>
      <c r="F83" s="32" t="s">
        <v>402</v>
      </c>
      <c r="G83" s="165" t="s">
        <v>4130</v>
      </c>
      <c r="H83" s="35" t="s">
        <v>4053</v>
      </c>
      <c r="I83" s="36"/>
      <c r="L83" s="11"/>
      <c r="M83" s="15"/>
      <c r="N83" s="15"/>
      <c r="O83" s="15"/>
      <c r="P83" s="15"/>
      <c r="Q83" s="15"/>
      <c r="R83" s="15"/>
      <c r="S83" s="15"/>
      <c r="T83" s="15"/>
      <c r="U83" s="15"/>
      <c r="V83" s="15"/>
      <c r="W83" s="15"/>
      <c r="X83" s="15"/>
      <c r="Y83" s="15"/>
      <c r="Z83" s="15"/>
      <c r="AA83" s="15"/>
      <c r="AB83" s="15"/>
      <c r="AC83" s="15"/>
      <c r="AD83" s="15"/>
      <c r="AE83" s="15"/>
      <c r="AF83" s="15"/>
    </row>
    <row r="84" ht="15.75" customHeight="1">
      <c r="A84" s="28" t="s">
        <v>5</v>
      </c>
      <c r="E84" s="28" t="s">
        <v>21</v>
      </c>
      <c r="F84" s="32" t="s">
        <v>51</v>
      </c>
      <c r="G84" s="165" t="s">
        <v>4131</v>
      </c>
      <c r="H84" s="35" t="s">
        <v>51</v>
      </c>
      <c r="I84" s="35"/>
      <c r="L84" s="11"/>
      <c r="M84" s="15"/>
      <c r="N84" s="15"/>
      <c r="O84" s="15"/>
      <c r="P84" s="15"/>
      <c r="Q84" s="15"/>
      <c r="R84" s="15"/>
      <c r="S84" s="15"/>
      <c r="T84" s="15"/>
      <c r="U84" s="15"/>
      <c r="V84" s="15"/>
      <c r="W84" s="15"/>
      <c r="X84" s="15"/>
      <c r="Y84" s="15"/>
      <c r="Z84" s="15"/>
      <c r="AA84" s="15"/>
      <c r="AB84" s="15"/>
      <c r="AC84" s="15"/>
      <c r="AD84" s="15"/>
      <c r="AE84" s="15"/>
      <c r="AF84" s="15"/>
    </row>
    <row r="85" ht="15.75" customHeight="1">
      <c r="A85" s="28" t="s">
        <v>5</v>
      </c>
      <c r="E85" s="28" t="s">
        <v>408</v>
      </c>
      <c r="F85" s="32" t="s">
        <v>408</v>
      </c>
      <c r="G85" s="166" t="s">
        <v>4132</v>
      </c>
      <c r="H85" s="35" t="s">
        <v>408</v>
      </c>
      <c r="L85" s="11"/>
      <c r="M85" s="15"/>
      <c r="N85" s="15"/>
      <c r="O85" s="15"/>
      <c r="P85" s="15"/>
      <c r="Q85" s="15"/>
      <c r="R85" s="15"/>
      <c r="S85" s="15"/>
      <c r="T85" s="15"/>
      <c r="U85" s="15"/>
      <c r="V85" s="15"/>
      <c r="W85" s="15"/>
      <c r="X85" s="15"/>
      <c r="Y85" s="15"/>
      <c r="Z85" s="15"/>
      <c r="AA85" s="15"/>
      <c r="AB85" s="15"/>
      <c r="AC85" s="15"/>
      <c r="AD85" s="15"/>
      <c r="AE85" s="15"/>
      <c r="AF85" s="15"/>
    </row>
    <row r="86" ht="15.75" customHeight="1">
      <c r="A86" s="28" t="s">
        <v>5</v>
      </c>
      <c r="E86" s="28" t="s">
        <v>172</v>
      </c>
      <c r="F86" s="32" t="s">
        <v>271</v>
      </c>
      <c r="G86" s="166" t="s">
        <v>4133</v>
      </c>
      <c r="H86" s="35" t="s">
        <v>271</v>
      </c>
      <c r="I86" s="35"/>
      <c r="L86" s="11"/>
      <c r="M86" s="15"/>
      <c r="N86" s="15"/>
      <c r="O86" s="15"/>
      <c r="P86" s="15"/>
      <c r="Q86" s="15"/>
      <c r="R86" s="15"/>
      <c r="S86" s="15"/>
      <c r="T86" s="15"/>
      <c r="U86" s="15"/>
      <c r="V86" s="15"/>
      <c r="W86" s="15"/>
      <c r="X86" s="15"/>
      <c r="Y86" s="15"/>
      <c r="Z86" s="15"/>
      <c r="AA86" s="15"/>
      <c r="AB86" s="15"/>
      <c r="AC86" s="15"/>
      <c r="AD86" s="15"/>
      <c r="AE86" s="15"/>
      <c r="AF86" s="15"/>
    </row>
    <row r="87" ht="15.75" customHeight="1">
      <c r="A87" s="28" t="s">
        <v>5</v>
      </c>
      <c r="E87" s="28" t="s">
        <v>172</v>
      </c>
      <c r="F87" s="32" t="s">
        <v>185</v>
      </c>
      <c r="G87" s="166" t="s">
        <v>4134</v>
      </c>
      <c r="H87" s="35" t="s">
        <v>185</v>
      </c>
      <c r="I87" s="35"/>
      <c r="L87" s="11"/>
      <c r="M87" s="15"/>
      <c r="N87" s="15"/>
      <c r="O87" s="15"/>
      <c r="P87" s="15"/>
      <c r="Q87" s="15"/>
      <c r="R87" s="15"/>
      <c r="S87" s="15"/>
      <c r="T87" s="15"/>
      <c r="U87" s="15"/>
      <c r="V87" s="15"/>
      <c r="W87" s="15"/>
      <c r="X87" s="15"/>
      <c r="Y87" s="15"/>
      <c r="Z87" s="15"/>
      <c r="AA87" s="15"/>
      <c r="AB87" s="15"/>
      <c r="AC87" s="15"/>
      <c r="AD87" s="15"/>
      <c r="AE87" s="15"/>
      <c r="AF87" s="15"/>
    </row>
    <row r="88" ht="15.75" customHeight="1">
      <c r="A88" s="28" t="s">
        <v>5</v>
      </c>
      <c r="E88" s="28" t="s">
        <v>172</v>
      </c>
      <c r="F88" s="32" t="s">
        <v>271</v>
      </c>
      <c r="G88" s="166" t="s">
        <v>4133</v>
      </c>
      <c r="H88" s="35" t="s">
        <v>271</v>
      </c>
      <c r="I88" s="35"/>
      <c r="L88" s="11"/>
      <c r="M88" s="15"/>
      <c r="N88" s="15"/>
      <c r="O88" s="15"/>
      <c r="P88" s="15"/>
      <c r="Q88" s="15"/>
      <c r="R88" s="15"/>
      <c r="S88" s="15"/>
      <c r="T88" s="15"/>
      <c r="U88" s="15"/>
      <c r="V88" s="15"/>
      <c r="W88" s="15"/>
      <c r="X88" s="15"/>
      <c r="Y88" s="15"/>
      <c r="Z88" s="15"/>
      <c r="AA88" s="15"/>
      <c r="AB88" s="15"/>
      <c r="AC88" s="15"/>
      <c r="AD88" s="15"/>
      <c r="AE88" s="15"/>
      <c r="AF88" s="15"/>
    </row>
    <row r="89" ht="15.75" customHeight="1">
      <c r="A89" s="28" t="s">
        <v>5</v>
      </c>
      <c r="E89" s="28" t="s">
        <v>172</v>
      </c>
      <c r="F89" s="32" t="s">
        <v>185</v>
      </c>
      <c r="G89" s="166" t="s">
        <v>4134</v>
      </c>
      <c r="H89" s="35" t="s">
        <v>185</v>
      </c>
      <c r="I89" s="35"/>
      <c r="L89" s="11"/>
      <c r="M89" s="15"/>
      <c r="N89" s="15"/>
      <c r="O89" s="15"/>
      <c r="P89" s="15"/>
      <c r="Q89" s="15"/>
      <c r="R89" s="15"/>
      <c r="S89" s="15"/>
      <c r="T89" s="15"/>
      <c r="U89" s="15"/>
      <c r="V89" s="15"/>
      <c r="W89" s="15"/>
      <c r="X89" s="15"/>
      <c r="Y89" s="15"/>
      <c r="Z89" s="15"/>
      <c r="AA89" s="15"/>
      <c r="AB89" s="15"/>
      <c r="AC89" s="15"/>
      <c r="AD89" s="15"/>
      <c r="AE89" s="15"/>
      <c r="AF89" s="15"/>
    </row>
    <row r="90" ht="15.75" customHeight="1">
      <c r="A90" s="28" t="s">
        <v>5</v>
      </c>
      <c r="E90" s="28" t="s">
        <v>104</v>
      </c>
      <c r="F90" s="32" t="s">
        <v>250</v>
      </c>
      <c r="G90" s="166" t="s">
        <v>4135</v>
      </c>
      <c r="H90" s="35" t="s">
        <v>250</v>
      </c>
      <c r="I90" s="35"/>
      <c r="L90" s="11"/>
      <c r="M90" s="15"/>
      <c r="N90" s="15"/>
      <c r="O90" s="15"/>
      <c r="P90" s="15"/>
      <c r="Q90" s="15"/>
      <c r="R90" s="15"/>
      <c r="S90" s="15"/>
      <c r="T90" s="15"/>
      <c r="U90" s="15"/>
      <c r="V90" s="15"/>
      <c r="W90" s="15"/>
      <c r="X90" s="15"/>
      <c r="Y90" s="15"/>
      <c r="Z90" s="15"/>
      <c r="AA90" s="15"/>
      <c r="AB90" s="15"/>
      <c r="AC90" s="15"/>
      <c r="AD90" s="15"/>
      <c r="AE90" s="15"/>
      <c r="AF90" s="15"/>
    </row>
    <row r="91" ht="15.75" customHeight="1">
      <c r="A91" s="32" t="s">
        <v>5</v>
      </c>
      <c r="B91" s="207" t="s">
        <v>4136</v>
      </c>
      <c r="C91" s="175" t="s">
        <v>4137</v>
      </c>
      <c r="D91" s="175" t="s">
        <v>20</v>
      </c>
      <c r="E91" s="65" t="s">
        <v>172</v>
      </c>
      <c r="F91" s="65" t="s">
        <v>173</v>
      </c>
      <c r="G91" s="74" t="s">
        <v>4138</v>
      </c>
      <c r="H91" s="35" t="s">
        <v>173</v>
      </c>
      <c r="I91" s="36"/>
      <c r="J91" s="36"/>
      <c r="L91" s="11"/>
      <c r="M91" s="15"/>
      <c r="N91" s="15"/>
      <c r="O91" s="15"/>
      <c r="P91" s="15"/>
      <c r="Q91" s="15"/>
      <c r="R91" s="15"/>
      <c r="S91" s="15"/>
      <c r="T91" s="15"/>
      <c r="U91" s="15"/>
      <c r="V91" s="15"/>
      <c r="W91" s="15"/>
      <c r="X91" s="15"/>
      <c r="Y91" s="15"/>
      <c r="Z91" s="15"/>
      <c r="AA91" s="15"/>
      <c r="AB91" s="15"/>
      <c r="AC91" s="15"/>
      <c r="AD91" s="15"/>
      <c r="AE91" s="15"/>
      <c r="AF91" s="15"/>
    </row>
    <row r="92" ht="15.75" customHeight="1">
      <c r="A92" s="32" t="s">
        <v>5</v>
      </c>
      <c r="E92" s="65" t="s">
        <v>172</v>
      </c>
      <c r="F92" s="65" t="s">
        <v>402</v>
      </c>
      <c r="G92" s="74" t="s">
        <v>4139</v>
      </c>
      <c r="H92" s="151" t="s">
        <v>402</v>
      </c>
      <c r="I92" s="35"/>
      <c r="J92" s="35"/>
      <c r="L92" s="11"/>
      <c r="M92" s="15"/>
      <c r="N92" s="15"/>
      <c r="O92" s="15"/>
      <c r="P92" s="15"/>
      <c r="Q92" s="15"/>
      <c r="R92" s="15"/>
      <c r="S92" s="15"/>
      <c r="T92" s="15"/>
      <c r="U92" s="15"/>
      <c r="V92" s="15"/>
      <c r="W92" s="15"/>
      <c r="X92" s="15"/>
      <c r="Y92" s="15"/>
      <c r="Z92" s="15"/>
      <c r="AA92" s="15"/>
      <c r="AB92" s="15"/>
      <c r="AC92" s="15"/>
      <c r="AD92" s="15"/>
      <c r="AE92" s="15"/>
      <c r="AF92" s="15"/>
    </row>
    <row r="93" ht="15.75" customHeight="1">
      <c r="A93" s="32" t="s">
        <v>5</v>
      </c>
      <c r="E93" s="65" t="s">
        <v>21</v>
      </c>
      <c r="F93" s="65" t="s">
        <v>51</v>
      </c>
      <c r="G93" s="74" t="s">
        <v>4140</v>
      </c>
      <c r="H93" s="151" t="s">
        <v>51</v>
      </c>
      <c r="I93" s="35"/>
      <c r="J93" s="35"/>
      <c r="L93" s="11"/>
      <c r="M93" s="15"/>
      <c r="N93" s="15"/>
      <c r="O93" s="15"/>
      <c r="P93" s="15"/>
      <c r="Q93" s="15"/>
      <c r="R93" s="15"/>
      <c r="S93" s="15"/>
      <c r="T93" s="15"/>
      <c r="U93" s="15"/>
      <c r="V93" s="15"/>
      <c r="W93" s="15"/>
      <c r="X93" s="15"/>
      <c r="Y93" s="15"/>
      <c r="Z93" s="15"/>
      <c r="AA93" s="15"/>
      <c r="AB93" s="15"/>
      <c r="AC93" s="15"/>
      <c r="AD93" s="15"/>
      <c r="AE93" s="15"/>
      <c r="AF93" s="15"/>
    </row>
    <row r="94" ht="15.75" customHeight="1">
      <c r="A94" s="32" t="s">
        <v>5</v>
      </c>
      <c r="E94" s="65" t="s">
        <v>408</v>
      </c>
      <c r="F94" s="65" t="s">
        <v>408</v>
      </c>
      <c r="G94" s="187" t="s">
        <v>4141</v>
      </c>
      <c r="H94" s="151" t="s">
        <v>408</v>
      </c>
      <c r="I94" s="35"/>
      <c r="L94" s="11"/>
      <c r="M94" s="15"/>
      <c r="N94" s="15"/>
      <c r="O94" s="15"/>
      <c r="P94" s="15"/>
      <c r="Q94" s="15"/>
      <c r="R94" s="15"/>
      <c r="S94" s="15"/>
      <c r="T94" s="15"/>
      <c r="U94" s="15"/>
      <c r="V94" s="15"/>
      <c r="W94" s="15"/>
      <c r="X94" s="15"/>
      <c r="Y94" s="15"/>
      <c r="Z94" s="15"/>
      <c r="AA94" s="15"/>
      <c r="AB94" s="15"/>
      <c r="AC94" s="15"/>
      <c r="AD94" s="15"/>
      <c r="AE94" s="15"/>
      <c r="AF94" s="15"/>
    </row>
    <row r="95" ht="15.75" customHeight="1">
      <c r="E95" s="65" t="s">
        <v>172</v>
      </c>
      <c r="F95" s="65" t="s">
        <v>203</v>
      </c>
      <c r="G95" s="74" t="s">
        <v>4142</v>
      </c>
      <c r="H95" s="151" t="s">
        <v>203</v>
      </c>
      <c r="I95" s="35"/>
      <c r="L95" s="11"/>
      <c r="M95" s="15"/>
      <c r="N95" s="15"/>
      <c r="O95" s="15"/>
      <c r="P95" s="15"/>
      <c r="Q95" s="15"/>
      <c r="R95" s="15"/>
      <c r="S95" s="15"/>
      <c r="T95" s="15"/>
      <c r="U95" s="15"/>
      <c r="V95" s="15"/>
      <c r="W95" s="15"/>
      <c r="X95" s="15"/>
      <c r="Y95" s="15"/>
      <c r="Z95" s="15"/>
      <c r="AA95" s="15"/>
      <c r="AB95" s="15"/>
      <c r="AC95" s="15"/>
      <c r="AD95" s="15"/>
      <c r="AE95" s="15"/>
      <c r="AF95" s="15"/>
    </row>
    <row r="96" ht="15.75" customHeight="1">
      <c r="E96" s="65" t="s">
        <v>172</v>
      </c>
      <c r="F96" s="65" t="s">
        <v>204</v>
      </c>
      <c r="G96" s="74" t="s">
        <v>4143</v>
      </c>
      <c r="H96" s="151" t="s">
        <v>204</v>
      </c>
      <c r="I96" s="35"/>
      <c r="L96" s="11"/>
      <c r="M96" s="15"/>
      <c r="N96" s="15"/>
      <c r="O96" s="15"/>
      <c r="P96" s="15"/>
      <c r="Q96" s="15"/>
      <c r="R96" s="15"/>
      <c r="S96" s="15"/>
      <c r="T96" s="15"/>
      <c r="U96" s="15"/>
      <c r="V96" s="15"/>
      <c r="W96" s="15"/>
      <c r="X96" s="15"/>
      <c r="Y96" s="15"/>
      <c r="Z96" s="15"/>
      <c r="AA96" s="15"/>
      <c r="AB96" s="15"/>
      <c r="AC96" s="15"/>
      <c r="AD96" s="15"/>
      <c r="AE96" s="15"/>
      <c r="AF96" s="15"/>
    </row>
    <row r="97" ht="15.75" customHeight="1">
      <c r="E97" s="65" t="s">
        <v>172</v>
      </c>
      <c r="F97" s="65" t="s">
        <v>173</v>
      </c>
      <c r="G97" s="74" t="s">
        <v>4138</v>
      </c>
      <c r="H97" s="65" t="s">
        <v>173</v>
      </c>
      <c r="I97" s="35"/>
      <c r="L97" s="11"/>
      <c r="M97" s="15"/>
      <c r="N97" s="15"/>
      <c r="O97" s="15"/>
      <c r="P97" s="15"/>
      <c r="Q97" s="15"/>
      <c r="R97" s="15"/>
      <c r="S97" s="15"/>
      <c r="T97" s="15"/>
      <c r="U97" s="15"/>
      <c r="V97" s="15"/>
      <c r="W97" s="15"/>
      <c r="X97" s="15"/>
      <c r="Y97" s="15"/>
      <c r="Z97" s="15"/>
      <c r="AA97" s="15"/>
      <c r="AB97" s="15"/>
      <c r="AC97" s="15"/>
      <c r="AD97" s="15"/>
      <c r="AE97" s="15"/>
      <c r="AF97" s="15"/>
    </row>
    <row r="98" ht="15.75" customHeight="1">
      <c r="A98" s="32" t="s">
        <v>5</v>
      </c>
      <c r="E98" s="65" t="s">
        <v>172</v>
      </c>
      <c r="F98" s="65" t="s">
        <v>402</v>
      </c>
      <c r="G98" s="171" t="s">
        <v>4139</v>
      </c>
      <c r="H98" s="151" t="s">
        <v>402</v>
      </c>
      <c r="I98" s="32"/>
      <c r="J98" s="11"/>
      <c r="K98" s="11"/>
      <c r="L98" s="11"/>
      <c r="M98" s="15"/>
      <c r="N98" s="15"/>
      <c r="O98" s="15"/>
      <c r="P98" s="15"/>
      <c r="Q98" s="15"/>
      <c r="R98" s="15"/>
      <c r="S98" s="15"/>
      <c r="T98" s="15"/>
      <c r="U98" s="15"/>
      <c r="V98" s="15"/>
      <c r="W98" s="15"/>
      <c r="X98" s="15"/>
      <c r="Y98" s="15"/>
      <c r="Z98" s="15"/>
      <c r="AA98" s="15"/>
      <c r="AB98" s="15"/>
      <c r="AC98" s="15"/>
      <c r="AD98" s="15"/>
      <c r="AE98" s="15"/>
      <c r="AF98" s="15"/>
    </row>
    <row r="99" ht="15.75" customHeight="1">
      <c r="A99" s="32" t="s">
        <v>5</v>
      </c>
      <c r="E99" s="65" t="s">
        <v>104</v>
      </c>
      <c r="F99" s="65" t="s">
        <v>250</v>
      </c>
      <c r="G99" s="165" t="s">
        <v>4144</v>
      </c>
      <c r="H99" s="151" t="s">
        <v>250</v>
      </c>
      <c r="I99" s="11"/>
      <c r="J99" s="11"/>
      <c r="K99" s="11"/>
      <c r="L99" s="11"/>
      <c r="M99" s="15"/>
      <c r="N99" s="15"/>
      <c r="O99" s="15"/>
      <c r="P99" s="15"/>
      <c r="Q99" s="15"/>
      <c r="R99" s="15"/>
      <c r="S99" s="15"/>
      <c r="T99" s="15"/>
      <c r="U99" s="15"/>
      <c r="V99" s="15"/>
      <c r="W99" s="15"/>
      <c r="X99" s="15"/>
      <c r="Y99" s="15"/>
      <c r="Z99" s="15"/>
      <c r="AA99" s="15"/>
      <c r="AB99" s="15"/>
      <c r="AC99" s="15"/>
      <c r="AD99" s="15"/>
      <c r="AE99" s="15"/>
      <c r="AF99" s="15"/>
    </row>
    <row r="100" ht="15.75" customHeight="1">
      <c r="A100" s="32" t="s">
        <v>5</v>
      </c>
      <c r="B100" s="207" t="s">
        <v>4145</v>
      </c>
      <c r="C100" s="175" t="s">
        <v>4146</v>
      </c>
      <c r="D100" s="175" t="s">
        <v>20</v>
      </c>
      <c r="E100" s="65" t="s">
        <v>172</v>
      </c>
      <c r="F100" s="65" t="s">
        <v>173</v>
      </c>
      <c r="G100" s="171" t="s">
        <v>4147</v>
      </c>
      <c r="H100" s="35" t="s">
        <v>173</v>
      </c>
      <c r="L100" s="11"/>
      <c r="M100" s="15"/>
      <c r="N100" s="15"/>
      <c r="O100" s="15"/>
      <c r="P100" s="15"/>
      <c r="Q100" s="15"/>
      <c r="R100" s="15"/>
      <c r="S100" s="15"/>
      <c r="T100" s="15"/>
      <c r="U100" s="15"/>
      <c r="V100" s="15"/>
      <c r="W100" s="15"/>
      <c r="X100" s="15"/>
      <c r="Y100" s="15"/>
      <c r="Z100" s="15"/>
      <c r="AA100" s="15"/>
      <c r="AB100" s="15"/>
      <c r="AC100" s="15"/>
      <c r="AD100" s="15"/>
      <c r="AE100" s="15"/>
      <c r="AF100" s="15"/>
    </row>
    <row r="101" ht="15.75" customHeight="1">
      <c r="A101" s="32" t="s">
        <v>5</v>
      </c>
      <c r="E101" s="65" t="s">
        <v>172</v>
      </c>
      <c r="F101" s="65" t="s">
        <v>402</v>
      </c>
      <c r="G101" s="171" t="s">
        <v>4148</v>
      </c>
      <c r="H101" s="35" t="s">
        <v>402</v>
      </c>
      <c r="L101" s="11"/>
      <c r="M101" s="15"/>
      <c r="N101" s="15"/>
      <c r="O101" s="15"/>
      <c r="P101" s="15"/>
      <c r="Q101" s="15"/>
      <c r="R101" s="15"/>
      <c r="S101" s="15"/>
      <c r="T101" s="15"/>
      <c r="U101" s="15"/>
      <c r="V101" s="15"/>
      <c r="W101" s="15"/>
      <c r="X101" s="15"/>
      <c r="Y101" s="15"/>
      <c r="Z101" s="15"/>
      <c r="AA101" s="15"/>
      <c r="AB101" s="15"/>
      <c r="AC101" s="15"/>
      <c r="AD101" s="15"/>
      <c r="AE101" s="15"/>
      <c r="AF101" s="15"/>
    </row>
    <row r="102" ht="15.75" customHeight="1">
      <c r="A102" s="32" t="s">
        <v>5</v>
      </c>
      <c r="E102" s="65" t="s">
        <v>21</v>
      </c>
      <c r="F102" s="65" t="s">
        <v>51</v>
      </c>
      <c r="G102" s="171" t="s">
        <v>4149</v>
      </c>
      <c r="H102" s="35" t="s">
        <v>51</v>
      </c>
      <c r="L102" s="11"/>
      <c r="M102" s="15"/>
      <c r="N102" s="15"/>
      <c r="O102" s="15"/>
      <c r="P102" s="15"/>
      <c r="Q102" s="15"/>
      <c r="R102" s="15"/>
      <c r="S102" s="15"/>
      <c r="T102" s="15"/>
      <c r="U102" s="15"/>
      <c r="V102" s="15"/>
      <c r="W102" s="15"/>
      <c r="X102" s="15"/>
      <c r="Y102" s="15"/>
      <c r="Z102" s="15"/>
      <c r="AA102" s="15"/>
      <c r="AB102" s="15"/>
      <c r="AC102" s="15"/>
      <c r="AD102" s="15"/>
      <c r="AE102" s="15"/>
      <c r="AF102" s="15"/>
    </row>
    <row r="103" ht="15.75" customHeight="1">
      <c r="A103" s="32" t="s">
        <v>5</v>
      </c>
      <c r="E103" s="65" t="s">
        <v>408</v>
      </c>
      <c r="F103" s="65" t="s">
        <v>408</v>
      </c>
      <c r="G103" s="165" t="s">
        <v>4150</v>
      </c>
      <c r="H103" s="35" t="s">
        <v>408</v>
      </c>
      <c r="L103" s="11"/>
      <c r="M103" s="15"/>
      <c r="N103" s="15"/>
      <c r="O103" s="15"/>
      <c r="P103" s="15"/>
      <c r="Q103" s="15"/>
      <c r="R103" s="15"/>
      <c r="S103" s="15"/>
      <c r="T103" s="15"/>
      <c r="U103" s="15"/>
      <c r="V103" s="15"/>
      <c r="W103" s="15"/>
      <c r="X103" s="15"/>
      <c r="Y103" s="15"/>
      <c r="Z103" s="15"/>
      <c r="AA103" s="15"/>
      <c r="AB103" s="15"/>
      <c r="AC103" s="15"/>
      <c r="AD103" s="15"/>
      <c r="AE103" s="15"/>
      <c r="AF103" s="15"/>
    </row>
    <row r="104" ht="15.75" customHeight="1">
      <c r="A104" s="32" t="s">
        <v>5</v>
      </c>
      <c r="E104" s="65" t="s">
        <v>172</v>
      </c>
      <c r="F104" s="65" t="s">
        <v>203</v>
      </c>
      <c r="G104" s="165" t="s">
        <v>4151</v>
      </c>
      <c r="H104" s="35" t="s">
        <v>203</v>
      </c>
      <c r="L104" s="11"/>
      <c r="M104" s="15"/>
      <c r="N104" s="15"/>
      <c r="O104" s="15"/>
      <c r="P104" s="15"/>
      <c r="Q104" s="15"/>
      <c r="R104" s="15"/>
      <c r="S104" s="15"/>
      <c r="T104" s="15"/>
      <c r="U104" s="15"/>
      <c r="V104" s="15"/>
      <c r="W104" s="15"/>
      <c r="X104" s="15"/>
      <c r="Y104" s="15"/>
      <c r="Z104" s="15"/>
      <c r="AA104" s="15"/>
      <c r="AB104" s="15"/>
      <c r="AC104" s="15"/>
      <c r="AD104" s="15"/>
      <c r="AE104" s="15"/>
      <c r="AF104" s="15"/>
    </row>
    <row r="105" ht="15.75" customHeight="1">
      <c r="A105" s="32" t="s">
        <v>5</v>
      </c>
      <c r="E105" s="65" t="s">
        <v>172</v>
      </c>
      <c r="F105" s="65" t="s">
        <v>204</v>
      </c>
      <c r="G105" s="165" t="s">
        <v>4148</v>
      </c>
      <c r="H105" s="35" t="s">
        <v>402</v>
      </c>
      <c r="L105" s="11"/>
      <c r="M105" s="15"/>
      <c r="N105" s="15"/>
      <c r="O105" s="15"/>
      <c r="P105" s="15"/>
      <c r="Q105" s="15"/>
      <c r="R105" s="15"/>
      <c r="S105" s="15"/>
      <c r="T105" s="15"/>
      <c r="U105" s="15"/>
      <c r="V105" s="15"/>
      <c r="W105" s="15"/>
      <c r="X105" s="15"/>
      <c r="Y105" s="15"/>
      <c r="Z105" s="15"/>
      <c r="AA105" s="15"/>
      <c r="AB105" s="15"/>
      <c r="AC105" s="15"/>
      <c r="AD105" s="15"/>
      <c r="AE105" s="15"/>
      <c r="AF105" s="15"/>
    </row>
    <row r="106" ht="15.75" customHeight="1">
      <c r="A106" s="32" t="s">
        <v>5</v>
      </c>
      <c r="E106" s="65" t="s">
        <v>172</v>
      </c>
      <c r="F106" s="65" t="s">
        <v>173</v>
      </c>
      <c r="G106" s="171" t="s">
        <v>4147</v>
      </c>
      <c r="H106" s="35" t="s">
        <v>173</v>
      </c>
      <c r="L106" s="11"/>
      <c r="M106" s="15"/>
      <c r="N106" s="15"/>
      <c r="O106" s="15"/>
      <c r="P106" s="15"/>
      <c r="Q106" s="15"/>
      <c r="R106" s="15"/>
      <c r="S106" s="15"/>
      <c r="T106" s="15"/>
      <c r="U106" s="15"/>
      <c r="V106" s="15"/>
      <c r="W106" s="15"/>
      <c r="X106" s="15"/>
      <c r="Y106" s="15"/>
      <c r="Z106" s="15"/>
      <c r="AA106" s="15"/>
      <c r="AB106" s="15"/>
      <c r="AC106" s="15"/>
      <c r="AD106" s="15"/>
      <c r="AE106" s="15"/>
      <c r="AF106" s="15"/>
    </row>
    <row r="107" ht="15.75" customHeight="1">
      <c r="A107" s="32" t="s">
        <v>5</v>
      </c>
      <c r="E107" s="65" t="s">
        <v>172</v>
      </c>
      <c r="F107" s="65" t="s">
        <v>402</v>
      </c>
      <c r="G107" s="171" t="s">
        <v>4148</v>
      </c>
      <c r="H107" s="35" t="s">
        <v>402</v>
      </c>
      <c r="L107" s="11"/>
      <c r="M107" s="15"/>
      <c r="N107" s="15"/>
      <c r="O107" s="15"/>
      <c r="P107" s="15"/>
      <c r="Q107" s="15"/>
      <c r="R107" s="15"/>
      <c r="S107" s="15"/>
      <c r="T107" s="15"/>
      <c r="U107" s="15"/>
      <c r="V107" s="15"/>
      <c r="W107" s="15"/>
      <c r="X107" s="15"/>
      <c r="Y107" s="15"/>
      <c r="Z107" s="15"/>
      <c r="AA107" s="15"/>
      <c r="AB107" s="15"/>
      <c r="AC107" s="15"/>
      <c r="AD107" s="15"/>
      <c r="AE107" s="15"/>
      <c r="AF107" s="15"/>
    </row>
    <row r="108" ht="15.75" customHeight="1">
      <c r="A108" s="32" t="s">
        <v>5</v>
      </c>
      <c r="E108" s="65" t="s">
        <v>104</v>
      </c>
      <c r="F108" s="65" t="s">
        <v>250</v>
      </c>
      <c r="G108" s="165" t="s">
        <v>4152</v>
      </c>
      <c r="H108" s="35" t="s">
        <v>250</v>
      </c>
      <c r="L108" s="11"/>
      <c r="M108" s="15"/>
      <c r="N108" s="15"/>
      <c r="O108" s="15"/>
      <c r="P108" s="15"/>
      <c r="Q108" s="15"/>
      <c r="R108" s="15"/>
      <c r="S108" s="15"/>
      <c r="T108" s="15"/>
      <c r="U108" s="15"/>
      <c r="V108" s="15"/>
      <c r="W108" s="15"/>
      <c r="X108" s="15"/>
      <c r="Y108" s="15"/>
      <c r="Z108" s="15"/>
      <c r="AA108" s="15"/>
      <c r="AB108" s="15"/>
      <c r="AC108" s="15"/>
      <c r="AD108" s="15"/>
      <c r="AE108" s="15"/>
      <c r="AF108" s="15"/>
    </row>
    <row r="109" ht="15.75" customHeight="1">
      <c r="A109" s="32" t="s">
        <v>5</v>
      </c>
      <c r="B109" s="8" t="s">
        <v>4153</v>
      </c>
      <c r="C109" s="463" t="s">
        <v>4154</v>
      </c>
      <c r="D109" s="464" t="s">
        <v>20</v>
      </c>
      <c r="E109" s="464" t="s">
        <v>21</v>
      </c>
      <c r="F109" s="65" t="s">
        <v>51</v>
      </c>
      <c r="G109" s="465" t="s">
        <v>4155</v>
      </c>
      <c r="H109" s="35" t="s">
        <v>51</v>
      </c>
      <c r="L109" s="11"/>
      <c r="M109" s="15"/>
      <c r="N109" s="15"/>
      <c r="O109" s="15"/>
      <c r="P109" s="15"/>
      <c r="Q109" s="15"/>
      <c r="R109" s="15"/>
      <c r="S109" s="15"/>
      <c r="T109" s="15"/>
      <c r="U109" s="15"/>
      <c r="V109" s="15"/>
      <c r="W109" s="15"/>
      <c r="X109" s="15"/>
      <c r="Y109" s="15"/>
      <c r="Z109" s="15"/>
      <c r="AA109" s="15"/>
      <c r="AB109" s="15"/>
      <c r="AC109" s="15"/>
      <c r="AD109" s="15"/>
      <c r="AE109" s="15"/>
      <c r="AF109" s="15"/>
    </row>
    <row r="110" ht="15.75" customHeight="1">
      <c r="A110" s="32" t="s">
        <v>5</v>
      </c>
      <c r="E110" s="8" t="s">
        <v>104</v>
      </c>
      <c r="F110" s="65" t="s">
        <v>250</v>
      </c>
      <c r="G110" s="34" t="s">
        <v>4156</v>
      </c>
      <c r="H110" s="35" t="s">
        <v>250</v>
      </c>
      <c r="L110" s="11"/>
      <c r="M110" s="15"/>
      <c r="N110" s="15"/>
      <c r="O110" s="15"/>
      <c r="P110" s="15"/>
      <c r="Q110" s="15"/>
      <c r="R110" s="15"/>
      <c r="S110" s="15"/>
      <c r="T110" s="15"/>
      <c r="U110" s="15"/>
      <c r="V110" s="15"/>
      <c r="W110" s="15"/>
      <c r="X110" s="15"/>
      <c r="Y110" s="15"/>
      <c r="Z110" s="15"/>
      <c r="AA110" s="15"/>
      <c r="AB110" s="15"/>
      <c r="AC110" s="15"/>
      <c r="AD110" s="15"/>
      <c r="AE110" s="15"/>
      <c r="AF110" s="15"/>
    </row>
    <row r="111" ht="15.75" customHeight="1">
      <c r="A111" s="32" t="s">
        <v>5</v>
      </c>
      <c r="E111" s="8" t="s">
        <v>104</v>
      </c>
      <c r="F111" s="65" t="s">
        <v>793</v>
      </c>
      <c r="G111" s="34" t="s">
        <v>4157</v>
      </c>
      <c r="H111" s="35" t="s">
        <v>793</v>
      </c>
      <c r="L111" s="11"/>
      <c r="M111" s="15"/>
      <c r="N111" s="15"/>
      <c r="O111" s="15"/>
      <c r="P111" s="15"/>
      <c r="Q111" s="15"/>
      <c r="R111" s="15"/>
      <c r="S111" s="15"/>
      <c r="T111" s="15"/>
      <c r="U111" s="15"/>
      <c r="V111" s="15"/>
      <c r="W111" s="15"/>
      <c r="X111" s="15"/>
      <c r="Y111" s="15"/>
      <c r="Z111" s="15"/>
      <c r="AA111" s="15"/>
      <c r="AB111" s="15"/>
      <c r="AC111" s="15"/>
      <c r="AD111" s="15"/>
      <c r="AE111" s="15"/>
      <c r="AF111" s="15"/>
    </row>
    <row r="112" ht="15.75" customHeight="1">
      <c r="A112" s="32" t="s">
        <v>5</v>
      </c>
      <c r="E112" s="8" t="s">
        <v>104</v>
      </c>
      <c r="F112" s="65" t="s">
        <v>250</v>
      </c>
      <c r="G112" s="34" t="s">
        <v>4156</v>
      </c>
      <c r="H112" s="35" t="s">
        <v>1981</v>
      </c>
      <c r="L112" s="11"/>
      <c r="M112" s="15"/>
      <c r="N112" s="15"/>
      <c r="O112" s="15"/>
      <c r="P112" s="15"/>
      <c r="Q112" s="15"/>
      <c r="R112" s="15"/>
      <c r="S112" s="15"/>
      <c r="T112" s="15"/>
      <c r="U112" s="15"/>
      <c r="V112" s="15"/>
      <c r="W112" s="15"/>
      <c r="X112" s="15"/>
      <c r="Y112" s="15"/>
      <c r="Z112" s="15"/>
      <c r="AA112" s="15"/>
      <c r="AB112" s="15"/>
      <c r="AC112" s="15"/>
      <c r="AD112" s="15"/>
      <c r="AE112" s="15"/>
      <c r="AF112" s="15"/>
    </row>
    <row r="113" ht="15.75" customHeight="1">
      <c r="A113" s="32" t="s">
        <v>5</v>
      </c>
      <c r="E113" s="8" t="s">
        <v>104</v>
      </c>
      <c r="F113" s="65" t="s">
        <v>550</v>
      </c>
      <c r="G113" s="29"/>
      <c r="H113" s="36"/>
      <c r="L113" s="11"/>
      <c r="M113" s="15"/>
      <c r="N113" s="15"/>
      <c r="O113" s="15"/>
      <c r="P113" s="15"/>
      <c r="Q113" s="15"/>
      <c r="R113" s="15"/>
      <c r="S113" s="15"/>
      <c r="T113" s="15"/>
      <c r="U113" s="15"/>
      <c r="V113" s="15"/>
      <c r="W113" s="15"/>
      <c r="X113" s="15"/>
      <c r="Y113" s="15"/>
      <c r="Z113" s="15"/>
      <c r="AA113" s="15"/>
      <c r="AB113" s="15"/>
      <c r="AC113" s="15"/>
      <c r="AD113" s="15"/>
      <c r="AE113" s="15"/>
      <c r="AF113" s="15"/>
    </row>
    <row r="114" ht="15.75" customHeight="1">
      <c r="A114" s="32" t="s">
        <v>5</v>
      </c>
      <c r="E114" s="8" t="s">
        <v>104</v>
      </c>
      <c r="F114" s="65" t="s">
        <v>105</v>
      </c>
      <c r="G114" s="34" t="s">
        <v>4158</v>
      </c>
      <c r="H114" s="8" t="s">
        <v>105</v>
      </c>
      <c r="I114" s="9"/>
      <c r="J114" s="9"/>
      <c r="K114" s="11"/>
      <c r="L114" s="11"/>
      <c r="M114" s="15"/>
      <c r="N114" s="15"/>
      <c r="O114" s="15"/>
      <c r="P114" s="15"/>
      <c r="Q114" s="15"/>
      <c r="R114" s="15"/>
      <c r="S114" s="15"/>
      <c r="T114" s="15"/>
      <c r="U114" s="15"/>
      <c r="V114" s="15"/>
      <c r="W114" s="15"/>
      <c r="X114" s="15"/>
      <c r="Y114" s="15"/>
      <c r="Z114" s="15"/>
      <c r="AA114" s="15"/>
      <c r="AB114" s="15"/>
      <c r="AC114" s="15"/>
      <c r="AD114" s="15"/>
      <c r="AE114" s="15"/>
      <c r="AF114" s="15"/>
    </row>
    <row r="115" ht="15.75" customHeight="1">
      <c r="A115" s="32" t="s">
        <v>5</v>
      </c>
      <c r="E115" s="8" t="s">
        <v>104</v>
      </c>
      <c r="F115" s="65" t="s">
        <v>250</v>
      </c>
      <c r="G115" s="34" t="s">
        <v>4156</v>
      </c>
      <c r="H115" s="35" t="s">
        <v>250</v>
      </c>
      <c r="J115" s="36"/>
      <c r="L115" s="11"/>
      <c r="M115" s="15"/>
      <c r="N115" s="15"/>
      <c r="O115" s="15"/>
      <c r="P115" s="15"/>
      <c r="Q115" s="15"/>
      <c r="R115" s="15"/>
      <c r="S115" s="15"/>
      <c r="T115" s="15"/>
      <c r="U115" s="15"/>
      <c r="V115" s="15"/>
      <c r="W115" s="15"/>
      <c r="X115" s="15"/>
      <c r="Y115" s="15"/>
      <c r="Z115" s="15"/>
      <c r="AA115" s="15"/>
      <c r="AB115" s="15"/>
      <c r="AC115" s="15"/>
      <c r="AD115" s="15"/>
      <c r="AE115" s="15"/>
      <c r="AF115" s="15"/>
    </row>
    <row r="116" ht="15.75" customHeight="1">
      <c r="A116" s="32" t="s">
        <v>5</v>
      </c>
      <c r="E116" s="8" t="s">
        <v>104</v>
      </c>
      <c r="F116" s="65" t="s">
        <v>793</v>
      </c>
      <c r="G116" s="34" t="s">
        <v>4157</v>
      </c>
      <c r="H116" s="8" t="s">
        <v>793</v>
      </c>
      <c r="I116" s="31"/>
      <c r="J116" s="31"/>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32" t="s">
        <v>5</v>
      </c>
      <c r="D117" s="466"/>
      <c r="E117" s="8" t="s">
        <v>104</v>
      </c>
      <c r="F117" s="65" t="s">
        <v>250</v>
      </c>
      <c r="G117" s="34" t="s">
        <v>4159</v>
      </c>
      <c r="H117" s="35" t="s">
        <v>4160</v>
      </c>
      <c r="I117" s="36"/>
      <c r="J117" s="36"/>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32" t="s">
        <v>5</v>
      </c>
      <c r="B118" s="8" t="s">
        <v>4161</v>
      </c>
      <c r="C118" s="463" t="s">
        <v>4162</v>
      </c>
      <c r="D118" s="8" t="s">
        <v>20</v>
      </c>
      <c r="E118" s="8" t="s">
        <v>21</v>
      </c>
      <c r="F118" s="65" t="s">
        <v>51</v>
      </c>
      <c r="G118" s="34" t="s">
        <v>4163</v>
      </c>
      <c r="H118" s="35" t="s">
        <v>51</v>
      </c>
      <c r="I118" s="36"/>
      <c r="J118" s="36"/>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32" t="s">
        <v>5</v>
      </c>
      <c r="E119" s="8" t="s">
        <v>88</v>
      </c>
      <c r="F119" s="8" t="s">
        <v>95</v>
      </c>
      <c r="G119" s="34" t="s">
        <v>4164</v>
      </c>
      <c r="H119" s="35" t="s">
        <v>95</v>
      </c>
      <c r="I119" s="36"/>
      <c r="J119" s="36"/>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32" t="s">
        <v>5</v>
      </c>
      <c r="E120" s="8" t="s">
        <v>88</v>
      </c>
      <c r="F120" s="8" t="s">
        <v>96</v>
      </c>
      <c r="G120" s="34" t="s">
        <v>4165</v>
      </c>
      <c r="H120" s="35" t="s">
        <v>96</v>
      </c>
      <c r="I120" s="36"/>
      <c r="J120" s="36"/>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32" t="s">
        <v>5</v>
      </c>
      <c r="E121" s="8" t="s">
        <v>104</v>
      </c>
      <c r="F121" s="8" t="s">
        <v>250</v>
      </c>
      <c r="G121" s="34" t="s">
        <v>4166</v>
      </c>
      <c r="H121" s="35" t="s">
        <v>250</v>
      </c>
      <c r="I121" s="36"/>
      <c r="J121" s="36"/>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449"/>
      <c r="C122" s="450"/>
      <c r="D122" s="31"/>
      <c r="E122" s="37"/>
      <c r="F122" s="30"/>
      <c r="G122" s="29"/>
      <c r="H122" s="30"/>
      <c r="I122" s="31"/>
      <c r="J122" s="31"/>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344"/>
      <c r="C123" s="175" t="s">
        <v>4167</v>
      </c>
      <c r="D123" s="344" t="s">
        <v>20</v>
      </c>
      <c r="E123" s="8" t="s">
        <v>86</v>
      </c>
      <c r="F123" s="8" t="s">
        <v>87</v>
      </c>
      <c r="G123" s="29"/>
      <c r="H123" s="36"/>
      <c r="I123" s="36"/>
      <c r="J123" s="36"/>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344"/>
      <c r="E124" s="8" t="s">
        <v>88</v>
      </c>
      <c r="F124" s="8" t="s">
        <v>89</v>
      </c>
      <c r="G124" s="29"/>
      <c r="H124" s="36"/>
      <c r="I124" s="36"/>
      <c r="J124" s="36"/>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344" t="s">
        <v>4168</v>
      </c>
      <c r="E125" s="8" t="s">
        <v>21</v>
      </c>
      <c r="F125" s="8" t="s">
        <v>51</v>
      </c>
      <c r="G125" s="29" t="str">
        <f>HYPERLINK("https://docs.google.com/spreadsheets/d/1IpEcsomRFniC7qU1G2rk_1Cl8xszSFgLYNV-vGhY6NA/edit#gid=2103699799", "https://docs.google.com/spreadsheets/d/1IpEcsomRFniC7qU1G2rk_1Cl8xszSFgLYNV-vGhY6NA/edit#gid=2103699799")</f>
        <v>https://docs.google.com/spreadsheets/d/1IpEcsomRFniC7qU1G2rk_1Cl8xszSFgLYNV-vGhY6NA/edit#gid=2103699799</v>
      </c>
      <c r="H125" s="8" t="s">
        <v>51</v>
      </c>
      <c r="I125" s="31"/>
      <c r="J125" s="31"/>
      <c r="K125" s="11"/>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E126" s="8" t="s">
        <v>172</v>
      </c>
      <c r="F126" s="8" t="s">
        <v>203</v>
      </c>
      <c r="G126" s="29" t="str">
        <f>HYPERLINK("https://docs.google.com/spreadsheets/d/1IpEcsomRFniC7qU1G2rk_1Cl8xszSFgLYNV-vGhY6NA/edit#gid=920546182", "https://docs.google.com/spreadsheets/d/1IpEcsomRFniC7qU1G2rk_1Cl8xszSFgLYNV-vGhY6NA/edit#gid=920546182")</f>
        <v>https://docs.google.com/spreadsheets/d/1IpEcsomRFniC7qU1G2rk_1Cl8xszSFgLYNV-vGhY6NA/edit#gid=920546182</v>
      </c>
      <c r="H126" s="8" t="s">
        <v>203</v>
      </c>
      <c r="I126" s="31"/>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15"/>
      <c r="E127" s="28" t="s">
        <v>172</v>
      </c>
      <c r="F127" s="8" t="s">
        <v>204</v>
      </c>
      <c r="G127" s="29" t="str">
        <f>HYPERLINK("https://docs.google.com/spreadsheets/d/1IpEcsomRFniC7qU1G2rk_1Cl8xszSFgLYNV-vGhY6NA/edit#gid=40569874", "https://docs.google.com/spreadsheets/d/1IpEcsomRFniC7qU1G2rk_1Cl8xszSFgLYNV-vGhY6NA/edit#gid=40569874")</f>
        <v>https://docs.google.com/spreadsheets/d/1IpEcsomRFniC7qU1G2rk_1Cl8xszSFgLYNV-vGhY6NA/edit#gid=40569874</v>
      </c>
      <c r="H127" s="8" t="s">
        <v>204</v>
      </c>
      <c r="I127" s="9"/>
      <c r="J127" s="9"/>
      <c r="K127" s="11"/>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15"/>
      <c r="E128" s="28" t="s">
        <v>172</v>
      </c>
      <c r="F128" s="38" t="s">
        <v>173</v>
      </c>
      <c r="G128" s="29" t="str">
        <f>HYPERLINK("https://docs.google.com/spreadsheets/d/1IpEcsomRFniC7qU1G2rk_1Cl8xszSFgLYNV-vGhY6NA/edit#gid=672050724", "https://docs.google.com/spreadsheets/d/1IpEcsomRFniC7qU1G2rk_1Cl8xszSFgLYNV-vGhY6NA/edit#gid=672050724")</f>
        <v>https://docs.google.com/spreadsheets/d/1IpEcsomRFniC7qU1G2rk_1Cl8xszSFgLYNV-vGhY6NA/edit#gid=672050724</v>
      </c>
      <c r="H128" s="38" t="s">
        <v>173</v>
      </c>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15"/>
      <c r="E129" s="28" t="s">
        <v>172</v>
      </c>
      <c r="F129" s="28" t="s">
        <v>402</v>
      </c>
      <c r="G129" s="29" t="str">
        <f>HYPERLINK("https://docs.google.com/spreadsheets/d/1IpEcsomRFniC7qU1G2rk_1Cl8xszSFgLYNV-vGhY6NA/edit#gid=1735619429", "https://docs.google.com/spreadsheets/d/1IpEcsomRFniC7qU1G2rk_1Cl8xszSFgLYNV-vGhY6NA/edit#gid=1735619429")</f>
        <v>https://docs.google.com/spreadsheets/d/1IpEcsomRFniC7qU1G2rk_1Cl8xszSFgLYNV-vGhY6NA/edit#gid=1735619429</v>
      </c>
      <c r="H129" s="38" t="s">
        <v>402</v>
      </c>
      <c r="I129" s="9"/>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15"/>
      <c r="E130" s="28" t="s">
        <v>408</v>
      </c>
      <c r="F130" s="38" t="s">
        <v>408</v>
      </c>
      <c r="G130" s="29" t="str">
        <f>HYPERLINK("https://docs.google.com/spreadsheets/d/1IpEcsomRFniC7qU1G2rk_1Cl8xszSFgLYNV-vGhY6NA/edit#gid=895439479", "https://docs.google.com/spreadsheets/d/1IpEcsomRFniC7qU1G2rk_1Cl8xszSFgLYNV-vGhY6NA/edit#gid=895439479")</f>
        <v>https://docs.google.com/spreadsheets/d/1IpEcsomRFniC7qU1G2rk_1Cl8xszSFgLYNV-vGhY6NA/edit#gid=895439479</v>
      </c>
      <c r="H130" s="38" t="s">
        <v>408</v>
      </c>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15"/>
      <c r="E131" s="28" t="s">
        <v>178</v>
      </c>
      <c r="F131" s="28" t="s">
        <v>205</v>
      </c>
      <c r="G131" s="29" t="str">
        <f>HYPERLINK("https://docs.google.com/spreadsheets/d/1IpEcsomRFniC7qU1G2rk_1Cl8xszSFgLYNV-vGhY6NA/edit#gid=548163110", "https://docs.google.com/spreadsheets/d/1IpEcsomRFniC7qU1G2rk_1Cl8xszSFgLYNV-vGhY6NA/edit#gid=548163110")</f>
        <v>https://docs.google.com/spreadsheets/d/1IpEcsomRFniC7qU1G2rk_1Cl8xszSFgLYNV-vGhY6NA/edit#gid=548163110</v>
      </c>
      <c r="H131" s="38" t="s">
        <v>205</v>
      </c>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15"/>
      <c r="E132" s="28" t="s">
        <v>178</v>
      </c>
      <c r="F132" s="38" t="s">
        <v>206</v>
      </c>
      <c r="G132" s="29"/>
      <c r="H132" s="36"/>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15"/>
      <c r="E133" s="28" t="s">
        <v>104</v>
      </c>
      <c r="F133" s="38" t="s">
        <v>105</v>
      </c>
      <c r="G133" s="29" t="str">
        <f>HYPERLINK("https://docs.google.com/spreadsheets/d/1IpEcsomRFniC7qU1G2rk_1Cl8xszSFgLYNV-vGhY6NA/edit#gid=179095807", "https://docs.google.com/spreadsheets/d/1IpEcsomRFniC7qU1G2rk_1Cl8xszSFgLYNV-vGhY6NA/edit#gid=179095807")</f>
        <v>https://docs.google.com/spreadsheets/d/1IpEcsomRFniC7qU1G2rk_1Cl8xszSFgLYNV-vGhY6NA/edit#gid=179095807</v>
      </c>
      <c r="H133" s="35" t="s">
        <v>105</v>
      </c>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9"/>
      <c r="E134" s="8" t="s">
        <v>104</v>
      </c>
      <c r="F134" s="8" t="s">
        <v>250</v>
      </c>
      <c r="G134" s="29" t="str">
        <f>HYPERLINK("https://docs.google.com/spreadsheets/d/1IpEcsomRFniC7qU1G2rk_1Cl8xszSFgLYNV-vGhY6NA/edit#gid=930661549", "https://docs.google.com/spreadsheets/d/1IpEcsomRFniC7qU1G2rk_1Cl8xszSFgLYNV-vGhY6NA/edit#gid=930661549")</f>
        <v>https://docs.google.com/spreadsheets/d/1IpEcsomRFniC7qU1G2rk_1Cl8xszSFgLYNV-vGhY6NA/edit#gid=930661549</v>
      </c>
      <c r="H134" s="8" t="s">
        <v>250</v>
      </c>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ht="15.75" customHeight="1">
      <c r="A135" s="9"/>
      <c r="E135" s="8" t="s">
        <v>104</v>
      </c>
      <c r="F135" s="8" t="s">
        <v>105</v>
      </c>
      <c r="G135" s="29" t="str">
        <f>HYPERLINK("https://docs.google.com/spreadsheets/d/1IpEcsomRFniC7qU1G2rk_1Cl8xszSFgLYNV-vGhY6NA/edit#gid=368395924", "https://docs.google.com/spreadsheets/d/1IpEcsomRFniC7qU1G2rk_1Cl8xszSFgLYNV-vGhY6NA/edit#gid=368395924")</f>
        <v>https://docs.google.com/spreadsheets/d/1IpEcsomRFniC7qU1G2rk_1Cl8xszSFgLYNV-vGhY6NA/edit#gid=368395924</v>
      </c>
      <c r="H135" s="8" t="s">
        <v>4169</v>
      </c>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ht="15.75" customHeight="1">
      <c r="A136" s="9"/>
      <c r="E136" s="8" t="s">
        <v>104</v>
      </c>
      <c r="F136" s="8" t="s">
        <v>106</v>
      </c>
      <c r="G136" s="29" t="str">
        <f>HYPERLINK("https://docs.google.com/spreadsheets/d/1IpEcsomRFniC7qU1G2rk_1Cl8xszSFgLYNV-vGhY6NA/edit#gid=1753884091", "https://docs.google.com/spreadsheets/d/1IpEcsomRFniC7qU1G2rk_1Cl8xszSFgLYNV-vGhY6NA/edit#gid=1753884091")</f>
        <v>https://docs.google.com/spreadsheets/d/1IpEcsomRFniC7qU1G2rk_1Cl8xszSFgLYNV-vGhY6NA/edit#gid=1753884091</v>
      </c>
      <c r="H136" s="8" t="s">
        <v>106</v>
      </c>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ht="15.75" customHeight="1">
      <c r="A137" s="9"/>
      <c r="E137" s="8" t="s">
        <v>104</v>
      </c>
      <c r="F137" s="8" t="s">
        <v>797</v>
      </c>
      <c r="G137" s="29"/>
      <c r="H137" s="36"/>
      <c r="L137" s="9"/>
      <c r="M137" s="9"/>
      <c r="N137" s="9"/>
      <c r="O137" s="9"/>
      <c r="P137" s="9"/>
      <c r="Q137" s="9"/>
      <c r="R137" s="9"/>
      <c r="S137" s="9"/>
      <c r="T137" s="9"/>
      <c r="U137" s="9"/>
      <c r="V137" s="9"/>
      <c r="W137" s="9"/>
      <c r="X137" s="9"/>
      <c r="Y137" s="9"/>
      <c r="Z137" s="9"/>
      <c r="AA137" s="9"/>
      <c r="AB137" s="9"/>
      <c r="AC137" s="9"/>
      <c r="AD137" s="9"/>
      <c r="AE137" s="9"/>
      <c r="AF137" s="9"/>
    </row>
    <row r="138" ht="15.75" customHeight="1">
      <c r="A138" s="15"/>
      <c r="E138" s="28" t="s">
        <v>104</v>
      </c>
      <c r="F138" s="28" t="s">
        <v>250</v>
      </c>
      <c r="G138" s="29" t="str">
        <f>HYPERLINK("https://docs.google.com/spreadsheets/d/1IpEcsomRFniC7qU1G2rk_1Cl8xszSFgLYNV-vGhY6NA/edit#gid=1848749841", "https://docs.google.com/spreadsheets/d/1IpEcsomRFniC7qU1G2rk_1Cl8xszSFgLYNV-vGhY6NA/edit#gid=1848749841")</f>
        <v>https://docs.google.com/spreadsheets/d/1IpEcsomRFniC7qU1G2rk_1Cl8xszSFgLYNV-vGhY6NA/edit#gid=1848749841</v>
      </c>
      <c r="H138" s="35" t="s">
        <v>1981</v>
      </c>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15"/>
      <c r="E139" s="8" t="s">
        <v>89</v>
      </c>
      <c r="F139" s="8" t="s">
        <v>291</v>
      </c>
      <c r="G139" s="29"/>
      <c r="H139" s="36"/>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15"/>
      <c r="E140" s="37"/>
      <c r="F140" s="31"/>
      <c r="G140" s="29"/>
      <c r="H140" s="31"/>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15"/>
      <c r="B141" s="344" t="s">
        <v>4170</v>
      </c>
      <c r="C141" s="175" t="s">
        <v>4171</v>
      </c>
      <c r="D141" s="344" t="s">
        <v>20</v>
      </c>
      <c r="E141" s="28" t="s">
        <v>86</v>
      </c>
      <c r="F141" s="38" t="s">
        <v>87</v>
      </c>
      <c r="G141" s="29"/>
      <c r="H141" s="36"/>
      <c r="I141" s="36"/>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15"/>
      <c r="E142" s="28" t="s">
        <v>88</v>
      </c>
      <c r="F142" s="38" t="s">
        <v>89</v>
      </c>
      <c r="G142" s="29"/>
      <c r="H142" s="36"/>
      <c r="I142" s="36"/>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15"/>
      <c r="E143" s="28" t="s">
        <v>21</v>
      </c>
      <c r="F143" s="38" t="s">
        <v>51</v>
      </c>
      <c r="G143" s="29" t="str">
        <f>HYPERLINK("https://docs.google.com/spreadsheets/d/1rz0fr28Nu-jYh0MhMFR-7Cm21oIfwjF5tHbUAE1M8F8/edit#gid=773160253", "https://docs.google.com/spreadsheets/d/1rz0fr28Nu-jYh0MhMFR-7Cm21oIfwjF5tHbUAE1M8F8/edit#gid=773160253")</f>
        <v>https://docs.google.com/spreadsheets/d/1rz0fr28Nu-jYh0MhMFR-7Cm21oIfwjF5tHbUAE1M8F8/edit#gid=773160253</v>
      </c>
      <c r="H143" s="38" t="s">
        <v>51</v>
      </c>
      <c r="I143" s="31"/>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15"/>
      <c r="E144" s="28" t="s">
        <v>172</v>
      </c>
      <c r="F144" s="28" t="s">
        <v>203</v>
      </c>
      <c r="G144" s="29" t="str">
        <f>HYPERLINK("https://docs.google.com/spreadsheets/d/1rz0fr28Nu-jYh0MhMFR-7Cm21oIfwjF5tHbUAE1M8F8/edit#gid=672378684", "https://docs.google.com/spreadsheets/d/1rz0fr28Nu-jYh0MhMFR-7Cm21oIfwjF5tHbUAE1M8F8/edit#gid=672378684")</f>
        <v>https://docs.google.com/spreadsheets/d/1rz0fr28Nu-jYh0MhMFR-7Cm21oIfwjF5tHbUAE1M8F8/edit#gid=672378684</v>
      </c>
      <c r="H144" s="38" t="s">
        <v>203</v>
      </c>
      <c r="I144" s="31"/>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15"/>
      <c r="E145" s="8" t="s">
        <v>172</v>
      </c>
      <c r="F145" s="8" t="s">
        <v>204</v>
      </c>
      <c r="G145" s="29" t="str">
        <f>HYPERLINK("https://docs.google.com/spreadsheets/d/1rz0fr28Nu-jYh0MhMFR-7Cm21oIfwjF5tHbUAE1M8F8/edit#gid=1932203769", "https://docs.google.com/spreadsheets/d/1rz0fr28Nu-jYh0MhMFR-7Cm21oIfwjF5tHbUAE1M8F8/edit#gid=1932203769")</f>
        <v>https://docs.google.com/spreadsheets/d/1rz0fr28Nu-jYh0MhMFR-7Cm21oIfwjF5tHbUAE1M8F8/edit#gid=1932203769</v>
      </c>
      <c r="H145" s="8" t="s">
        <v>204</v>
      </c>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15"/>
      <c r="E146" s="8" t="s">
        <v>172</v>
      </c>
      <c r="F146" s="8" t="s">
        <v>173</v>
      </c>
      <c r="G146" s="29" t="str">
        <f>HYPERLINK("https://docs.google.com/spreadsheets/d/1rz0fr28Nu-jYh0MhMFR-7Cm21oIfwjF5tHbUAE1M8F8/edit#gid=1988180625", "https://docs.google.com/spreadsheets/d/1rz0fr28Nu-jYh0MhMFR-7Cm21oIfwjF5tHbUAE1M8F8/edit#gid=1988180625")</f>
        <v>https://docs.google.com/spreadsheets/d/1rz0fr28Nu-jYh0MhMFR-7Cm21oIfwjF5tHbUAE1M8F8/edit#gid=1988180625</v>
      </c>
      <c r="H146" s="8" t="s">
        <v>173</v>
      </c>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15"/>
      <c r="E147" s="8" t="s">
        <v>172</v>
      </c>
      <c r="F147" s="8" t="s">
        <v>402</v>
      </c>
      <c r="G147" s="29" t="str">
        <f>HYPERLINK("https://docs.google.com/spreadsheets/d/1rz0fr28Nu-jYh0MhMFR-7Cm21oIfwjF5tHbUAE1M8F8/edit#gid=12374018", "https://docs.google.com/spreadsheets/d/1rz0fr28Nu-jYh0MhMFR-7Cm21oIfwjF5tHbUAE1M8F8/edit#gid=12374018")</f>
        <v>https://docs.google.com/spreadsheets/d/1rz0fr28Nu-jYh0MhMFR-7Cm21oIfwjF5tHbUAE1M8F8/edit#gid=12374018</v>
      </c>
      <c r="H147" s="8" t="s">
        <v>402</v>
      </c>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15"/>
      <c r="E148" s="8" t="s">
        <v>408</v>
      </c>
      <c r="F148" s="8" t="s">
        <v>408</v>
      </c>
      <c r="G148" s="29" t="str">
        <f>HYPERLINK("https://docs.google.com/spreadsheets/d/1rz0fr28Nu-jYh0MhMFR-7Cm21oIfwjF5tHbUAE1M8F8/edit#gid=2075774061", "https://docs.google.com/spreadsheets/d/1rz0fr28Nu-jYh0MhMFR-7Cm21oIfwjF5tHbUAE1M8F8/edit#gid=2075774061")</f>
        <v>https://docs.google.com/spreadsheets/d/1rz0fr28Nu-jYh0MhMFR-7Cm21oIfwjF5tHbUAE1M8F8/edit#gid=2075774061</v>
      </c>
      <c r="H148" s="8" t="s">
        <v>408</v>
      </c>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15"/>
      <c r="E149" s="8" t="s">
        <v>178</v>
      </c>
      <c r="F149" s="8" t="s">
        <v>205</v>
      </c>
      <c r="G149" s="29" t="str">
        <f>HYPERLINK("https://docs.google.com/spreadsheets/d/1rz0fr28Nu-jYh0MhMFR-7Cm21oIfwjF5tHbUAE1M8F8/edit#gid=480626722", "https://docs.google.com/spreadsheets/d/1rz0fr28Nu-jYh0MhMFR-7Cm21oIfwjF5tHbUAE1M8F8/edit#gid=480626722")</f>
        <v>https://docs.google.com/spreadsheets/d/1rz0fr28Nu-jYh0MhMFR-7Cm21oIfwjF5tHbUAE1M8F8/edit#gid=480626722</v>
      </c>
      <c r="H149" s="8" t="s">
        <v>205</v>
      </c>
      <c r="I149" s="9"/>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15"/>
      <c r="E150" s="28" t="s">
        <v>178</v>
      </c>
      <c r="F150" s="8" t="s">
        <v>206</v>
      </c>
      <c r="G150" s="29"/>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15"/>
      <c r="E151" s="28" t="s">
        <v>21</v>
      </c>
      <c r="F151" s="38" t="s">
        <v>51</v>
      </c>
      <c r="G151" s="29" t="str">
        <f>HYPERLINK("https://docs.google.com/spreadsheets/d/1rz0fr28Nu-jYh0MhMFR-7Cm21oIfwjF5tHbUAE1M8F8/edit#gid=124059651", "https://docs.google.com/spreadsheets/d/1rz0fr28Nu-jYh0MhMFR-7Cm21oIfwjF5tHbUAE1M8F8/edit#gid=124059651")</f>
        <v>https://docs.google.com/spreadsheets/d/1rz0fr28Nu-jYh0MhMFR-7Cm21oIfwjF5tHbUAE1M8F8/edit#gid=124059651</v>
      </c>
      <c r="H151" s="38" t="s">
        <v>1383</v>
      </c>
      <c r="I151" s="31"/>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15"/>
      <c r="E152" s="28" t="s">
        <v>104</v>
      </c>
      <c r="F152" s="28" t="s">
        <v>250</v>
      </c>
      <c r="G152" s="29" t="str">
        <f>HYPERLINK("https://docs.google.com/spreadsheets/d/1rz0fr28Nu-jYh0MhMFR-7Cm21oIfwjF5tHbUAE1M8F8/edit#gid=1438915318", "https://docs.google.com/spreadsheets/d/1rz0fr28Nu-jYh0MhMFR-7Cm21oIfwjF5tHbUAE1M8F8/edit#gid=1438915318")</f>
        <v>https://docs.google.com/spreadsheets/d/1rz0fr28Nu-jYh0MhMFR-7Cm21oIfwjF5tHbUAE1M8F8/edit#gid=1438915318</v>
      </c>
      <c r="H152" s="38" t="s">
        <v>250</v>
      </c>
      <c r="I152" s="31"/>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15"/>
      <c r="E153" s="28" t="s">
        <v>104</v>
      </c>
      <c r="F153" s="28" t="s">
        <v>106</v>
      </c>
      <c r="G153" s="29" t="str">
        <f>HYPERLINK("https://docs.google.com/spreadsheets/d/1rz0fr28Nu-jYh0MhMFR-7Cm21oIfwjF5tHbUAE1M8F8/edit#gid=993072524", "https://docs.google.com/spreadsheets/d/1rz0fr28Nu-jYh0MhMFR-7Cm21oIfwjF5tHbUAE1M8F8/edit#gid=993072524")</f>
        <v>https://docs.google.com/spreadsheets/d/1rz0fr28Nu-jYh0MhMFR-7Cm21oIfwjF5tHbUAE1M8F8/edit#gid=993072524</v>
      </c>
      <c r="H153" s="35" t="s">
        <v>106</v>
      </c>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15"/>
      <c r="E154" s="8" t="s">
        <v>89</v>
      </c>
      <c r="F154" s="8" t="s">
        <v>291</v>
      </c>
      <c r="H154" s="36"/>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15"/>
      <c r="E155" s="31"/>
      <c r="F155" s="31"/>
      <c r="G155" s="29"/>
      <c r="H155" s="31"/>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15"/>
      <c r="B156" s="344"/>
      <c r="C156" s="467"/>
      <c r="D156" s="345"/>
      <c r="E156" s="37"/>
      <c r="F156" s="31"/>
      <c r="G156" s="31"/>
      <c r="H156" s="31"/>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15"/>
      <c r="B157" s="344" t="s">
        <v>4172</v>
      </c>
      <c r="C157" s="175" t="s">
        <v>4173</v>
      </c>
      <c r="D157" s="344" t="s">
        <v>20</v>
      </c>
      <c r="E157" s="8" t="s">
        <v>86</v>
      </c>
      <c r="F157" s="8" t="s">
        <v>87</v>
      </c>
      <c r="G157" s="29"/>
      <c r="H157" s="36"/>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15"/>
      <c r="E158" s="8" t="s">
        <v>88</v>
      </c>
      <c r="F158" s="8" t="s">
        <v>89</v>
      </c>
      <c r="G158" s="29"/>
      <c r="H158" s="36"/>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15"/>
      <c r="E159" s="8" t="s">
        <v>21</v>
      </c>
      <c r="F159" s="8" t="s">
        <v>51</v>
      </c>
      <c r="G159" s="29" t="str">
        <f>HYPERLINK("https://docs.google.com/spreadsheets/d/1DllkrjFFvK7VhNRbnu964UdQFAMqDnwzu7f6gK6jiWE/edit#gid=675916141", "https://docs.google.com/spreadsheets/d/1DllkrjFFvK7VhNRbnu964UdQFAMqDnwzu7f6gK6jiWE/edit#gid=675916141")</f>
        <v>https://docs.google.com/spreadsheets/d/1DllkrjFFvK7VhNRbnu964UdQFAMqDnwzu7f6gK6jiWE/edit#gid=675916141</v>
      </c>
      <c r="H159" s="8" t="s">
        <v>51</v>
      </c>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15"/>
      <c r="E160" s="8" t="s">
        <v>172</v>
      </c>
      <c r="F160" s="8" t="s">
        <v>203</v>
      </c>
      <c r="G160" s="29" t="str">
        <f>HYPERLINK("https://docs.google.com/spreadsheets/d/1DllkrjFFvK7VhNRbnu964UdQFAMqDnwzu7f6gK6jiWE/edit#gid=1179055385", "https://docs.google.com/spreadsheets/d/1DllkrjFFvK7VhNRbnu964UdQFAMqDnwzu7f6gK6jiWE/edit#gid=1179055385")</f>
        <v>https://docs.google.com/spreadsheets/d/1DllkrjFFvK7VhNRbnu964UdQFAMqDnwzu7f6gK6jiWE/edit#gid=1179055385</v>
      </c>
      <c r="H160" s="8" t="s">
        <v>203</v>
      </c>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15"/>
      <c r="E161" s="8" t="s">
        <v>172</v>
      </c>
      <c r="F161" s="8" t="s">
        <v>204</v>
      </c>
      <c r="G161" s="29" t="str">
        <f>HYPERLINK("https://docs.google.com/spreadsheets/d/1DllkrjFFvK7VhNRbnu964UdQFAMqDnwzu7f6gK6jiWE/edit#gid=1658628833", "https://docs.google.com/spreadsheets/d/1DllkrjFFvK7VhNRbnu964UdQFAMqDnwzu7f6gK6jiWE/edit#gid=1658628833")</f>
        <v>https://docs.google.com/spreadsheets/d/1DllkrjFFvK7VhNRbnu964UdQFAMqDnwzu7f6gK6jiWE/edit#gid=1658628833</v>
      </c>
      <c r="H161" s="8" t="s">
        <v>204</v>
      </c>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15"/>
      <c r="E162" s="28" t="s">
        <v>172</v>
      </c>
      <c r="F162" s="8" t="s">
        <v>173</v>
      </c>
      <c r="G162" s="29" t="str">
        <f>HYPERLINK("https://docs.google.com/spreadsheets/d/1DllkrjFFvK7VhNRbnu964UdQFAMqDnwzu7f6gK6jiWE/edit#gid=1452693989", "https://docs.google.com/spreadsheets/d/1DllkrjFFvK7VhNRbnu964UdQFAMqDnwzu7f6gK6jiWE/edit#gid=1452693989")</f>
        <v>https://docs.google.com/spreadsheets/d/1DllkrjFFvK7VhNRbnu964UdQFAMqDnwzu7f6gK6jiWE/edit#gid=1452693989</v>
      </c>
      <c r="H162" s="8" t="s">
        <v>173</v>
      </c>
      <c r="I162" s="31"/>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15"/>
      <c r="E163" s="28" t="s">
        <v>172</v>
      </c>
      <c r="F163" s="38" t="s">
        <v>402</v>
      </c>
      <c r="G163" s="29" t="str">
        <f>HYPERLINK("https://docs.google.com/spreadsheets/d/1DllkrjFFvK7VhNRbnu964UdQFAMqDnwzu7f6gK6jiWE/edit#gid=1275820798", "https://docs.google.com/spreadsheets/d/1DllkrjFFvK7VhNRbnu964UdQFAMqDnwzu7f6gK6jiWE/edit#gid=1275820798")</f>
        <v>https://docs.google.com/spreadsheets/d/1DllkrjFFvK7VhNRbnu964UdQFAMqDnwzu7f6gK6jiWE/edit#gid=1275820798</v>
      </c>
      <c r="H163" s="38" t="s">
        <v>402</v>
      </c>
      <c r="I163" s="31"/>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15"/>
      <c r="E164" s="28" t="s">
        <v>408</v>
      </c>
      <c r="F164" s="28" t="s">
        <v>408</v>
      </c>
      <c r="G164" s="29" t="str">
        <f>HYPERLINK("https://docs.google.com/spreadsheets/d/1DllkrjFFvK7VhNRbnu964UdQFAMqDnwzu7f6gK6jiWE/edit#gid=1811906657", "https://docs.google.com/spreadsheets/d/1DllkrjFFvK7VhNRbnu964UdQFAMqDnwzu7f6gK6jiWE/edit#gid=1811906657")</f>
        <v>https://docs.google.com/spreadsheets/d/1DllkrjFFvK7VhNRbnu964UdQFAMqDnwzu7f6gK6jiWE/edit#gid=1811906657</v>
      </c>
      <c r="H164" s="38" t="s">
        <v>408</v>
      </c>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15"/>
      <c r="E165" s="8" t="s">
        <v>86</v>
      </c>
      <c r="F165" s="8" t="s">
        <v>90</v>
      </c>
      <c r="G165" s="29" t="str">
        <f>HYPERLINK("https://docs.google.com/spreadsheets/d/1DllkrjFFvK7VhNRbnu964UdQFAMqDnwzu7f6gK6jiWE/edit#gid=2084344212", "https://docs.google.com/spreadsheets/d/1DllkrjFFvK7VhNRbnu964UdQFAMqDnwzu7f6gK6jiWE/edit#gid=2084344212")</f>
        <v>https://docs.google.com/spreadsheets/d/1DllkrjFFvK7VhNRbnu964UdQFAMqDnwzu7f6gK6jiWE/edit#gid=2084344212</v>
      </c>
      <c r="H165" s="8" t="s">
        <v>90</v>
      </c>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15"/>
      <c r="E166" s="8" t="s">
        <v>86</v>
      </c>
      <c r="F166" s="8" t="s">
        <v>339</v>
      </c>
      <c r="G166" s="29" t="str">
        <f>HYPERLINK("https://docs.google.com/spreadsheets/d/1DllkrjFFvK7VhNRbnu964UdQFAMqDnwzu7f6gK6jiWE/edit#gid=85283070", "https://docs.google.com/spreadsheets/d/1DllkrjFFvK7VhNRbnu964UdQFAMqDnwzu7f6gK6jiWE/edit#gid=85283070")</f>
        <v>https://docs.google.com/spreadsheets/d/1DllkrjFFvK7VhNRbnu964UdQFAMqDnwzu7f6gK6jiWE/edit#gid=85283070</v>
      </c>
      <c r="H166" s="8" t="s">
        <v>339</v>
      </c>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15"/>
      <c r="E167" s="8" t="s">
        <v>178</v>
      </c>
      <c r="F167" s="8" t="s">
        <v>205</v>
      </c>
      <c r="G167" s="29" t="str">
        <f>HYPERLINK("https://docs.google.com/spreadsheets/d/1DllkrjFFvK7VhNRbnu964UdQFAMqDnwzu7f6gK6jiWE/edit#gid=2135639337", "https://docs.google.com/spreadsheets/d/1DllkrjFFvK7VhNRbnu964UdQFAMqDnwzu7f6gK6jiWE/edit#gid=2135639337")</f>
        <v>https://docs.google.com/spreadsheets/d/1DllkrjFFvK7VhNRbnu964UdQFAMqDnwzu7f6gK6jiWE/edit#gid=2135639337</v>
      </c>
      <c r="H167" s="8" t="s">
        <v>205</v>
      </c>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15"/>
      <c r="E168" s="8" t="s">
        <v>178</v>
      </c>
      <c r="F168" s="8" t="s">
        <v>206</v>
      </c>
      <c r="G168" s="29"/>
      <c r="H168" s="36"/>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15"/>
      <c r="E169" s="8" t="s">
        <v>104</v>
      </c>
      <c r="F169" s="8" t="s">
        <v>250</v>
      </c>
      <c r="G169" s="29" t="str">
        <f>HYPERLINK("https://docs.google.com/spreadsheets/d/1DllkrjFFvK7VhNRbnu964UdQFAMqDnwzu7f6gK6jiWE/edit#gid=321853740", "https://docs.google.com/spreadsheets/d/1DllkrjFFvK7VhNRbnu964UdQFAMqDnwzu7f6gK6jiWE/edit#gid=321853740")</f>
        <v>https://docs.google.com/spreadsheets/d/1DllkrjFFvK7VhNRbnu964UdQFAMqDnwzu7f6gK6jiWE/edit#gid=321853740</v>
      </c>
      <c r="H169" s="35" t="s">
        <v>250</v>
      </c>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15"/>
      <c r="E170" s="28" t="s">
        <v>89</v>
      </c>
      <c r="F170" s="8" t="s">
        <v>291</v>
      </c>
      <c r="G170" s="29"/>
      <c r="H170" s="31"/>
      <c r="I170" s="31"/>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15"/>
      <c r="E171" s="37"/>
      <c r="F171" s="30"/>
      <c r="G171" s="29"/>
      <c r="H171" s="30"/>
      <c r="I171" s="31"/>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15"/>
      <c r="B172" s="344" t="s">
        <v>4174</v>
      </c>
      <c r="C172" s="175" t="s">
        <v>4175</v>
      </c>
      <c r="D172" s="344" t="s">
        <v>20</v>
      </c>
      <c r="E172" s="28" t="s">
        <v>86</v>
      </c>
      <c r="F172" s="28" t="s">
        <v>87</v>
      </c>
      <c r="G172" s="29"/>
      <c r="H172" s="36"/>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15"/>
      <c r="E173" s="28" t="s">
        <v>88</v>
      </c>
      <c r="F173" s="28" t="s">
        <v>89</v>
      </c>
      <c r="G173" s="29"/>
      <c r="H173" s="36"/>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15"/>
      <c r="E174" s="28" t="s">
        <v>21</v>
      </c>
      <c r="F174" s="28" t="s">
        <v>51</v>
      </c>
      <c r="G174" s="29" t="str">
        <f>HYPERLINK("https://docs.google.com/spreadsheets/d/1V86hdtpN7FhZfZe4Ra024jUREM9A1YTv1wDYjn3Ht0k/edit#gid=440832980", "https://docs.google.com/spreadsheets/d/1V86hdtpN7FhZfZe4Ra024jUREM9A1YTv1wDYjn3Ht0k/edit#gid=440832980")</f>
        <v>https://docs.google.com/spreadsheets/d/1V86hdtpN7FhZfZe4Ra024jUREM9A1YTv1wDYjn3Ht0k/edit#gid=440832980</v>
      </c>
      <c r="H174" s="38" t="s">
        <v>51</v>
      </c>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15"/>
      <c r="E175" s="8" t="s">
        <v>172</v>
      </c>
      <c r="F175" s="8" t="s">
        <v>203</v>
      </c>
      <c r="G175" s="29" t="str">
        <f>HYPERLINK("https://docs.google.com/spreadsheets/d/1V86hdtpN7FhZfZe4Ra024jUREM9A1YTv1wDYjn3Ht0k/edit#gid=951673352", "https://docs.google.com/spreadsheets/d/1V86hdtpN7FhZfZe4Ra024jUREM9A1YTv1wDYjn3Ht0k/edit#gid=951673352")</f>
        <v>https://docs.google.com/spreadsheets/d/1V86hdtpN7FhZfZe4Ra024jUREM9A1YTv1wDYjn3Ht0k/edit#gid=951673352</v>
      </c>
      <c r="H175" s="8" t="s">
        <v>203</v>
      </c>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E176" s="8" t="s">
        <v>172</v>
      </c>
      <c r="F176" s="8" t="s">
        <v>204</v>
      </c>
      <c r="G176" s="29" t="str">
        <f>HYPERLINK("https://docs.google.com/spreadsheets/d/1V86hdtpN7FhZfZe4Ra024jUREM9A1YTv1wDYjn3Ht0k/edit#gid=2139797502", "https://docs.google.com/spreadsheets/d/1V86hdtpN7FhZfZe4Ra024jUREM9A1YTv1wDYjn3Ht0k/edit#gid=2139797502")</f>
        <v>https://docs.google.com/spreadsheets/d/1V86hdtpN7FhZfZe4Ra024jUREM9A1YTv1wDYjn3Ht0k/edit#gid=2139797502</v>
      </c>
      <c r="H176" s="8" t="s">
        <v>204</v>
      </c>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15"/>
      <c r="E177" s="8" t="s">
        <v>172</v>
      </c>
      <c r="F177" s="8" t="s">
        <v>173</v>
      </c>
      <c r="G177" s="29" t="str">
        <f>HYPERLINK("https://docs.google.com/spreadsheets/d/1V86hdtpN7FhZfZe4Ra024jUREM9A1YTv1wDYjn3Ht0k/edit#gid=1061662364", "https://docs.google.com/spreadsheets/d/1V86hdtpN7FhZfZe4Ra024jUREM9A1YTv1wDYjn3Ht0k/edit#gid=1061662364")</f>
        <v>https://docs.google.com/spreadsheets/d/1V86hdtpN7FhZfZe4Ra024jUREM9A1YTv1wDYjn3Ht0k/edit#gid=1061662364</v>
      </c>
      <c r="H177" s="8" t="s">
        <v>173</v>
      </c>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E178" s="8" t="s">
        <v>172</v>
      </c>
      <c r="F178" s="8" t="s">
        <v>402</v>
      </c>
      <c r="G178" s="29" t="str">
        <f>HYPERLINK("https://docs.google.com/spreadsheets/d/1V86hdtpN7FhZfZe4Ra024jUREM9A1YTv1wDYjn3Ht0k/edit#gid=1154308390", "https://docs.google.com/spreadsheets/d/1V86hdtpN7FhZfZe4Ra024jUREM9A1YTv1wDYjn3Ht0k/edit#gid=1154308390")</f>
        <v>https://docs.google.com/spreadsheets/d/1V86hdtpN7FhZfZe4Ra024jUREM9A1YTv1wDYjn3Ht0k/edit#gid=1154308390</v>
      </c>
      <c r="H178" s="8" t="s">
        <v>402</v>
      </c>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15"/>
      <c r="E179" s="8" t="s">
        <v>408</v>
      </c>
      <c r="F179" s="8" t="s">
        <v>408</v>
      </c>
      <c r="G179" s="29" t="str">
        <f>HYPERLINK("https://docs.google.com/spreadsheets/d/1V86hdtpN7FhZfZe4Ra024jUREM9A1YTv1wDYjn3Ht0k/edit#gid=1599072726", "https://docs.google.com/spreadsheets/d/1V86hdtpN7FhZfZe4Ra024jUREM9A1YTv1wDYjn3Ht0k/edit#gid=1599072726")</f>
        <v>https://docs.google.com/spreadsheets/d/1V86hdtpN7FhZfZe4Ra024jUREM9A1YTv1wDYjn3Ht0k/edit#gid=1599072726</v>
      </c>
      <c r="H179" s="8" t="s">
        <v>408</v>
      </c>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15"/>
      <c r="E180" s="28" t="s">
        <v>21</v>
      </c>
      <c r="F180" s="8" t="s">
        <v>51</v>
      </c>
      <c r="G180" s="29" t="str">
        <f>HYPERLINK("https://docs.google.com/spreadsheets/d/1V86hdtpN7FhZfZe4Ra024jUREM9A1YTv1wDYjn3Ht0k/edit#gid=1114228526", "https://docs.google.com/spreadsheets/d/1V86hdtpN7FhZfZe4Ra024jUREM9A1YTv1wDYjn3Ht0k/edit#gid=1114228526")</f>
        <v>https://docs.google.com/spreadsheets/d/1V86hdtpN7FhZfZe4Ra024jUREM9A1YTv1wDYjn3Ht0k/edit#gid=1114228526</v>
      </c>
      <c r="H180" s="8" t="s">
        <v>1383</v>
      </c>
      <c r="I180" s="31"/>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15"/>
      <c r="E181" s="28" t="s">
        <v>86</v>
      </c>
      <c r="F181" s="38" t="s">
        <v>90</v>
      </c>
      <c r="G181" s="29" t="str">
        <f>HYPERLINK("https://docs.google.com/spreadsheets/d/1V86hdtpN7FhZfZe4Ra024jUREM9A1YTv1wDYjn3Ht0k/edit#gid=1105405209", "https://docs.google.com/spreadsheets/d/1V86hdtpN7FhZfZe4Ra024jUREM9A1YTv1wDYjn3Ht0k/edit#gid=1105405209")</f>
        <v>https://docs.google.com/spreadsheets/d/1V86hdtpN7FhZfZe4Ra024jUREM9A1YTv1wDYjn3Ht0k/edit#gid=1105405209</v>
      </c>
      <c r="H181" s="38" t="s">
        <v>90</v>
      </c>
      <c r="I181" s="31"/>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15"/>
      <c r="E182" s="28" t="s">
        <v>86</v>
      </c>
      <c r="F182" s="28" t="s">
        <v>339</v>
      </c>
      <c r="G182" s="29" t="str">
        <f>HYPERLINK("https://docs.google.com/spreadsheets/d/1V86hdtpN7FhZfZe4Ra024jUREM9A1YTv1wDYjn3Ht0k/edit#gid=848202296", "https://docs.google.com/spreadsheets/d/1V86hdtpN7FhZfZe4Ra024jUREM9A1YTv1wDYjn3Ht0k/edit#gid=848202296")</f>
        <v>https://docs.google.com/spreadsheets/d/1V86hdtpN7FhZfZe4Ra024jUREM9A1YTv1wDYjn3Ht0k/edit#gid=848202296</v>
      </c>
      <c r="H182" s="38" t="s">
        <v>339</v>
      </c>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15"/>
      <c r="E183" s="8" t="s">
        <v>178</v>
      </c>
      <c r="F183" s="8" t="s">
        <v>205</v>
      </c>
      <c r="G183" s="29" t="str">
        <f>HYPERLINK("https://docs.google.com/spreadsheets/d/1V86hdtpN7FhZfZe4Ra024jUREM9A1YTv1wDYjn3Ht0k/edit#gid=173685027", "https://docs.google.com/spreadsheets/d/1V86hdtpN7FhZfZe4Ra024jUREM9A1YTv1wDYjn3Ht0k/edit#gid=173685027")</f>
        <v>https://docs.google.com/spreadsheets/d/1V86hdtpN7FhZfZe4Ra024jUREM9A1YTv1wDYjn3Ht0k/edit#gid=173685027</v>
      </c>
      <c r="H183" s="8" t="s">
        <v>205</v>
      </c>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15"/>
      <c r="E184" s="8" t="s">
        <v>178</v>
      </c>
      <c r="F184" s="8" t="s">
        <v>206</v>
      </c>
      <c r="G184" s="34" t="s">
        <v>98</v>
      </c>
      <c r="H184" s="36"/>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15"/>
      <c r="E185" s="8" t="s">
        <v>104</v>
      </c>
      <c r="F185" s="8" t="s">
        <v>250</v>
      </c>
      <c r="G185" s="29" t="str">
        <f>HYPERLINK("https://docs.google.com/spreadsheets/d/1V86hdtpN7FhZfZe4Ra024jUREM9A1YTv1wDYjn3Ht0k/edit#gid=474458143", "https://docs.google.com/spreadsheets/d/1V86hdtpN7FhZfZe4Ra024jUREM9A1YTv1wDYjn3Ht0k/edit#gid=474458143")</f>
        <v>https://docs.google.com/spreadsheets/d/1V86hdtpN7FhZfZe4Ra024jUREM9A1YTv1wDYjn3Ht0k/edit#gid=474458143</v>
      </c>
      <c r="H185" s="8" t="s">
        <v>250</v>
      </c>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15"/>
      <c r="E186" s="8" t="s">
        <v>89</v>
      </c>
      <c r="F186" s="8" t="s">
        <v>291</v>
      </c>
      <c r="G186" s="34" t="s">
        <v>98</v>
      </c>
      <c r="H186" s="36"/>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15"/>
      <c r="B187" s="344"/>
      <c r="C187" s="175"/>
      <c r="D187" s="344"/>
      <c r="E187" s="28"/>
      <c r="F187" s="8"/>
      <c r="G187" s="29"/>
      <c r="H187" s="8"/>
      <c r="I187" s="31"/>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15"/>
      <c r="B188" s="344" t="s">
        <v>4176</v>
      </c>
      <c r="C188" s="175" t="s">
        <v>4177</v>
      </c>
      <c r="D188" s="344" t="s">
        <v>20</v>
      </c>
      <c r="E188" s="28" t="s">
        <v>86</v>
      </c>
      <c r="F188" s="8" t="s">
        <v>87</v>
      </c>
      <c r="G188" s="29"/>
      <c r="H188" s="36"/>
      <c r="I188" s="36"/>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15"/>
      <c r="E189" s="28" t="s">
        <v>88</v>
      </c>
      <c r="F189" s="8" t="s">
        <v>89</v>
      </c>
      <c r="G189" s="29"/>
      <c r="H189" s="36"/>
      <c r="I189" s="36"/>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15"/>
      <c r="E190" s="28" t="s">
        <v>21</v>
      </c>
      <c r="F190" s="8" t="s">
        <v>51</v>
      </c>
      <c r="G190" s="29" t="str">
        <f>HYPERLINK("https://docs.google.com/spreadsheets/d/13mSVU3Aa0cft7s35W5HJNkGey0JjhH12Razv0xV-Go0/edit#gid=1597341729", "https://docs.google.com/spreadsheets/d/13mSVU3Aa0cft7s35W5HJNkGey0JjhH12Razv0xV-Go0/edit#gid=1597341729")</f>
        <v>https://docs.google.com/spreadsheets/d/13mSVU3Aa0cft7s35W5HJNkGey0JjhH12Razv0xV-Go0/edit#gid=1597341729</v>
      </c>
      <c r="H190" s="8" t="s">
        <v>51</v>
      </c>
      <c r="I190" s="31"/>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E191" s="28" t="s">
        <v>172</v>
      </c>
      <c r="F191" s="38" t="s">
        <v>203</v>
      </c>
      <c r="G191" s="29" t="str">
        <f>HYPERLINK("https://docs.google.com/spreadsheets/d/13mSVU3Aa0cft7s35W5HJNkGey0JjhH12Razv0xV-Go0/edit#gid=1027412879", "https://docs.google.com/spreadsheets/d/13mSVU3Aa0cft7s35W5HJNkGey0JjhH12Razv0xV-Go0/edit#gid=1027412879")</f>
        <v>https://docs.google.com/spreadsheets/d/13mSVU3Aa0cft7s35W5HJNkGey0JjhH12Razv0xV-Go0/edit#gid=1027412879</v>
      </c>
      <c r="H191" s="38" t="s">
        <v>203</v>
      </c>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E192" s="28" t="s">
        <v>172</v>
      </c>
      <c r="F192" s="28" t="s">
        <v>204</v>
      </c>
      <c r="G192" s="29" t="str">
        <f>HYPERLINK("https://docs.google.com/spreadsheets/d/13mSVU3Aa0cft7s35W5HJNkGey0JjhH12Razv0xV-Go0/edit#gid=668294419", "https://docs.google.com/spreadsheets/d/13mSVU3Aa0cft7s35W5HJNkGey0JjhH12Razv0xV-Go0/edit#gid=668294419")</f>
        <v>https://docs.google.com/spreadsheets/d/13mSVU3Aa0cft7s35W5HJNkGey0JjhH12Razv0xV-Go0/edit#gid=668294419</v>
      </c>
      <c r="H192" s="38" t="s">
        <v>204</v>
      </c>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15"/>
      <c r="E193" s="8" t="s">
        <v>172</v>
      </c>
      <c r="F193" s="8" t="s">
        <v>203</v>
      </c>
      <c r="G193" s="29" t="str">
        <f>HYPERLINK("https://docs.google.com/spreadsheets/d/13mSVU3Aa0cft7s35W5HJNkGey0JjhH12Razv0xV-Go0/edit#gid=1762464964", "https://docs.google.com/spreadsheets/d/13mSVU3Aa0cft7s35W5HJNkGey0JjhH12Razv0xV-Go0/edit#gid=1762464964")</f>
        <v>https://docs.google.com/spreadsheets/d/13mSVU3Aa0cft7s35W5HJNkGey0JjhH12Razv0xV-Go0/edit#gid=1762464964</v>
      </c>
      <c r="H193" s="8" t="s">
        <v>1995</v>
      </c>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15"/>
      <c r="E194" s="8" t="s">
        <v>172</v>
      </c>
      <c r="F194" s="8" t="s">
        <v>204</v>
      </c>
      <c r="G194" s="29" t="str">
        <f>HYPERLINK("https://docs.google.com/spreadsheets/d/13mSVU3Aa0cft7s35W5HJNkGey0JjhH12Razv0xV-Go0/edit#gid=268997418", "https://docs.google.com/spreadsheets/d/13mSVU3Aa0cft7s35W5HJNkGey0JjhH12Razv0xV-Go0/edit#gid=268997418")</f>
        <v>https://docs.google.com/spreadsheets/d/13mSVU3Aa0cft7s35W5HJNkGey0JjhH12Razv0xV-Go0/edit#gid=268997418</v>
      </c>
      <c r="H194" s="8" t="s">
        <v>1996</v>
      </c>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15"/>
      <c r="E195" s="8" t="s">
        <v>172</v>
      </c>
      <c r="F195" s="8" t="s">
        <v>173</v>
      </c>
      <c r="G195" s="29" t="str">
        <f>HYPERLINK("https://docs.google.com/spreadsheets/d/13mSVU3Aa0cft7s35W5HJNkGey0JjhH12Razv0xV-Go0/edit#gid=1722189899", "https://docs.google.com/spreadsheets/d/13mSVU3Aa0cft7s35W5HJNkGey0JjhH12Razv0xV-Go0/edit#gid=1722189899")</f>
        <v>https://docs.google.com/spreadsheets/d/13mSVU3Aa0cft7s35W5HJNkGey0JjhH12Razv0xV-Go0/edit#gid=1722189899</v>
      </c>
      <c r="H195" s="8" t="s">
        <v>173</v>
      </c>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15"/>
      <c r="E196" s="8" t="s">
        <v>172</v>
      </c>
      <c r="F196" s="8" t="s">
        <v>402</v>
      </c>
      <c r="G196" s="29" t="str">
        <f>HYPERLINK("https://docs.google.com/spreadsheets/d/13mSVU3Aa0cft7s35W5HJNkGey0JjhH12Razv0xV-Go0/edit#gid=1162494375", "https://docs.google.com/spreadsheets/d/13mSVU3Aa0cft7s35W5HJNkGey0JjhH12Razv0xV-Go0/edit#gid=1162494375")</f>
        <v>https://docs.google.com/spreadsheets/d/13mSVU3Aa0cft7s35W5HJNkGey0JjhH12Razv0xV-Go0/edit#gid=1162494375</v>
      </c>
      <c r="H196" s="8" t="s">
        <v>402</v>
      </c>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15"/>
      <c r="E197" s="28" t="s">
        <v>172</v>
      </c>
      <c r="F197" s="8" t="s">
        <v>173</v>
      </c>
      <c r="G197" s="29" t="str">
        <f>HYPERLINK("https://docs.google.com/spreadsheets/d/13mSVU3Aa0cft7s35W5HJNkGey0JjhH12Razv0xV-Go0/edit#gid=1537761276", "https://docs.google.com/spreadsheets/d/13mSVU3Aa0cft7s35W5HJNkGey0JjhH12Razv0xV-Go0/edit#gid=1537761276")</f>
        <v>https://docs.google.com/spreadsheets/d/13mSVU3Aa0cft7s35W5HJNkGey0JjhH12Razv0xV-Go0/edit#gid=1537761276</v>
      </c>
      <c r="H197" s="8" t="s">
        <v>269</v>
      </c>
      <c r="I197" s="31"/>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15"/>
      <c r="E198" s="28" t="s">
        <v>172</v>
      </c>
      <c r="F198" s="38" t="s">
        <v>402</v>
      </c>
      <c r="G198" s="29" t="str">
        <f>HYPERLINK("https://docs.google.com/spreadsheets/d/13mSVU3Aa0cft7s35W5HJNkGey0JjhH12Razv0xV-Go0/edit#gid=1496816322", "https://docs.google.com/spreadsheets/d/13mSVU3Aa0cft7s35W5HJNkGey0JjhH12Razv0xV-Go0/edit#gid=1496816322")</f>
        <v>https://docs.google.com/spreadsheets/d/13mSVU3Aa0cft7s35W5HJNkGey0JjhH12Razv0xV-Go0/edit#gid=1496816322</v>
      </c>
      <c r="H198" s="38" t="s">
        <v>2053</v>
      </c>
      <c r="I198" s="31"/>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15"/>
      <c r="E199" s="28" t="s">
        <v>408</v>
      </c>
      <c r="F199" s="28" t="s">
        <v>408</v>
      </c>
      <c r="G199" s="29" t="str">
        <f>HYPERLINK("https://docs.google.com/spreadsheets/d/13mSVU3Aa0cft7s35W5HJNkGey0JjhH12Razv0xV-Go0/edit#gid=771543947", "https://docs.google.com/spreadsheets/d/13mSVU3Aa0cft7s35W5HJNkGey0JjhH12Razv0xV-Go0/edit#gid=771543947")</f>
        <v>https://docs.google.com/spreadsheets/d/13mSVU3Aa0cft7s35W5HJNkGey0JjhH12Razv0xV-Go0/edit#gid=771543947</v>
      </c>
      <c r="H199" s="38" t="s">
        <v>408</v>
      </c>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15"/>
      <c r="E200" s="8" t="s">
        <v>86</v>
      </c>
      <c r="F200" s="8" t="s">
        <v>90</v>
      </c>
      <c r="G200" s="29" t="str">
        <f>HYPERLINK("https://docs.google.com/spreadsheets/d/13mSVU3Aa0cft7s35W5HJNkGey0JjhH12Razv0xV-Go0/edit#gid=129362380", "https://docs.google.com/spreadsheets/d/13mSVU3Aa0cft7s35W5HJNkGey0JjhH12Razv0xV-Go0/edit#gid=129362380")</f>
        <v>https://docs.google.com/spreadsheets/d/13mSVU3Aa0cft7s35W5HJNkGey0JjhH12Razv0xV-Go0/edit#gid=129362380</v>
      </c>
      <c r="H200" s="8" t="s">
        <v>90</v>
      </c>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E201" s="8" t="s">
        <v>86</v>
      </c>
      <c r="F201" s="8" t="s">
        <v>339</v>
      </c>
      <c r="G201" s="29" t="str">
        <f>HYPERLINK("https://docs.google.com/spreadsheets/d/13mSVU3Aa0cft7s35W5HJNkGey0JjhH12Razv0xV-Go0/edit#gid=1762774220", "https://docs.google.com/spreadsheets/d/13mSVU3Aa0cft7s35W5HJNkGey0JjhH12Razv0xV-Go0/edit#gid=1762774220")</f>
        <v>https://docs.google.com/spreadsheets/d/13mSVU3Aa0cft7s35W5HJNkGey0JjhH12Razv0xV-Go0/edit#gid=1762774220</v>
      </c>
      <c r="H201" s="8" t="s">
        <v>339</v>
      </c>
      <c r="I201" s="9"/>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15"/>
      <c r="E202" s="8" t="s">
        <v>178</v>
      </c>
      <c r="F202" s="8" t="s">
        <v>205</v>
      </c>
      <c r="G202" s="29" t="str">
        <f>HYPERLINK("https://docs.google.com/spreadsheets/d/13mSVU3Aa0cft7s35W5HJNkGey0JjhH12Razv0xV-Go0/edit#gid=173236228", "https://docs.google.com/spreadsheets/d/13mSVU3Aa0cft7s35W5HJNkGey0JjhH12Razv0xV-Go0/edit#gid=173236228")</f>
        <v>https://docs.google.com/spreadsheets/d/13mSVU3Aa0cft7s35W5HJNkGey0JjhH12Razv0xV-Go0/edit#gid=173236228</v>
      </c>
      <c r="H202" s="8" t="s">
        <v>205</v>
      </c>
      <c r="I202" s="9"/>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E203" s="8" t="s">
        <v>178</v>
      </c>
      <c r="F203" s="8" t="s">
        <v>206</v>
      </c>
      <c r="G203" s="29"/>
      <c r="H203" s="36"/>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15"/>
      <c r="E204" s="8" t="s">
        <v>104</v>
      </c>
      <c r="F204" s="8" t="s">
        <v>250</v>
      </c>
      <c r="G204" s="29" t="str">
        <f>HYPERLINK("https://docs.google.com/spreadsheets/d/13mSVU3Aa0cft7s35W5HJNkGey0JjhH12Razv0xV-Go0/edit#gid=1387106367", "https://docs.google.com/spreadsheets/d/13mSVU3Aa0cft7s35W5HJNkGey0JjhH12Razv0xV-Go0/edit#gid=1387106367")</f>
        <v>https://docs.google.com/spreadsheets/d/13mSVU3Aa0cft7s35W5HJNkGey0JjhH12Razv0xV-Go0/edit#gid=1387106367</v>
      </c>
      <c r="H204" s="8" t="s">
        <v>250</v>
      </c>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E205" s="28" t="s">
        <v>89</v>
      </c>
      <c r="F205" s="8" t="s">
        <v>291</v>
      </c>
      <c r="G205" s="34"/>
      <c r="H205" s="36"/>
      <c r="I205" s="36"/>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345"/>
      <c r="C206" s="467"/>
      <c r="D206" s="345"/>
      <c r="E206" s="37"/>
      <c r="F206" s="30"/>
      <c r="G206" s="29"/>
      <c r="H206" s="30"/>
      <c r="I206" s="31"/>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344" t="s">
        <v>4178</v>
      </c>
      <c r="C207" s="175" t="s">
        <v>4179</v>
      </c>
      <c r="D207" s="344" t="s">
        <v>20</v>
      </c>
      <c r="E207" s="28" t="s">
        <v>86</v>
      </c>
      <c r="F207" s="28" t="s">
        <v>87</v>
      </c>
      <c r="G207" s="29"/>
      <c r="H207" s="36"/>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E208" s="28" t="s">
        <v>88</v>
      </c>
      <c r="F208" s="28" t="s">
        <v>89</v>
      </c>
      <c r="G208" s="29"/>
      <c r="H208" s="36"/>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E209" s="28" t="s">
        <v>21</v>
      </c>
      <c r="F209" s="28" t="s">
        <v>51</v>
      </c>
      <c r="G209" s="29" t="str">
        <f>HYPERLINK("https://docs.google.com/spreadsheets/d/1x30jXb4ua4PMfEiT3WJkQeW7O2iM2Tjt4qwfauy3a-I/edit#gid=4744943", "https://docs.google.com/spreadsheets/d/1x30jXb4ua4PMfEiT3WJkQeW7O2iM2Tjt4qwfauy3a-I/edit#gid=4744943")</f>
        <v>https://docs.google.com/spreadsheets/d/1x30jXb4ua4PMfEiT3WJkQeW7O2iM2Tjt4qwfauy3a-I/edit#gid=4744943</v>
      </c>
      <c r="H209" s="38" t="s">
        <v>51</v>
      </c>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E210" s="8" t="s">
        <v>172</v>
      </c>
      <c r="F210" s="8" t="s">
        <v>203</v>
      </c>
      <c r="G210" s="29" t="str">
        <f>HYPERLINK("https://docs.google.com/spreadsheets/d/1x30jXb4ua4PMfEiT3WJkQeW7O2iM2Tjt4qwfauy3a-I/edit#gid=610380605", "https://docs.google.com/spreadsheets/d/1x30jXb4ua4PMfEiT3WJkQeW7O2iM2Tjt4qwfauy3a-I/edit#gid=610380605")</f>
        <v>https://docs.google.com/spreadsheets/d/1x30jXb4ua4PMfEiT3WJkQeW7O2iM2Tjt4qwfauy3a-I/edit#gid=610380605</v>
      </c>
      <c r="H210" s="8" t="s">
        <v>203</v>
      </c>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E211" s="8" t="s">
        <v>172</v>
      </c>
      <c r="F211" s="8" t="s">
        <v>204</v>
      </c>
      <c r="G211" s="29" t="str">
        <f>HYPERLINK("https://docs.google.com/spreadsheets/d/1x30jXb4ua4PMfEiT3WJkQeW7O2iM2Tjt4qwfauy3a-I/edit#gid=908834324", "https://docs.google.com/spreadsheets/d/1x30jXb4ua4PMfEiT3WJkQeW7O2iM2Tjt4qwfauy3a-I/edit#gid=908834324")</f>
        <v>https://docs.google.com/spreadsheets/d/1x30jXb4ua4PMfEiT3WJkQeW7O2iM2Tjt4qwfauy3a-I/edit#gid=908834324</v>
      </c>
      <c r="H211" s="8" t="s">
        <v>204</v>
      </c>
      <c r="I211" s="9"/>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E212" s="8" t="s">
        <v>408</v>
      </c>
      <c r="F212" s="8" t="s">
        <v>408</v>
      </c>
      <c r="G212" s="29" t="str">
        <f>HYPERLINK("https://docs.google.com/spreadsheets/d/1x30jXb4ua4PMfEiT3WJkQeW7O2iM2Tjt4qwfauy3a-I/edit#gid=604521758", "https://docs.google.com/spreadsheets/d/1x30jXb4ua4PMfEiT3WJkQeW7O2iM2Tjt4qwfauy3a-I/edit#gid=604521758")</f>
        <v>https://docs.google.com/spreadsheets/d/1x30jXb4ua4PMfEiT3WJkQeW7O2iM2Tjt4qwfauy3a-I/edit#gid=604521758</v>
      </c>
      <c r="H212" s="8" t="s">
        <v>408</v>
      </c>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E213" s="8" t="s">
        <v>178</v>
      </c>
      <c r="F213" s="8" t="s">
        <v>205</v>
      </c>
      <c r="G213" s="29" t="str">
        <f>HYPERLINK("https://docs.google.com/spreadsheets/d/1x30jXb4ua4PMfEiT3WJkQeW7O2iM2Tjt4qwfauy3a-I/edit#gid=581171366", "https://docs.google.com/spreadsheets/d/1x30jXb4ua4PMfEiT3WJkQeW7O2iM2Tjt4qwfauy3a-I/edit#gid=581171366")</f>
        <v>https://docs.google.com/spreadsheets/d/1x30jXb4ua4PMfEiT3WJkQeW7O2iM2Tjt4qwfauy3a-I/edit#gid=581171366</v>
      </c>
      <c r="H213" s="8" t="s">
        <v>205</v>
      </c>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E214" s="8" t="s">
        <v>178</v>
      </c>
      <c r="F214" s="8" t="s">
        <v>206</v>
      </c>
      <c r="G214" s="29"/>
      <c r="H214" s="36"/>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E215" s="28" t="s">
        <v>104</v>
      </c>
      <c r="F215" s="8" t="s">
        <v>250</v>
      </c>
      <c r="G215" s="29" t="str">
        <f>HYPERLINK("https://docs.google.com/spreadsheets/d/1x30jXb4ua4PMfEiT3WJkQeW7O2iM2Tjt4qwfauy3a-I/edit#gid=1271502169", "https://docs.google.com/spreadsheets/d/1x30jXb4ua4PMfEiT3WJkQeW7O2iM2Tjt4qwfauy3a-I/edit#gid=1271502169")</f>
        <v>https://docs.google.com/spreadsheets/d/1x30jXb4ua4PMfEiT3WJkQeW7O2iM2Tjt4qwfauy3a-I/edit#gid=1271502169</v>
      </c>
      <c r="H215" s="8" t="s">
        <v>250</v>
      </c>
      <c r="I215" s="31"/>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E216" s="28" t="s">
        <v>89</v>
      </c>
      <c r="F216" s="38" t="s">
        <v>291</v>
      </c>
      <c r="G216" s="34"/>
      <c r="H216" s="36"/>
      <c r="I216" s="36"/>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345"/>
      <c r="C217" s="467"/>
      <c r="D217" s="345"/>
      <c r="E217" s="37"/>
      <c r="F217" s="37"/>
      <c r="G217" s="29"/>
      <c r="H217" s="30"/>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345"/>
      <c r="C218" s="467"/>
      <c r="D218" s="345"/>
      <c r="E218" s="31"/>
      <c r="F218" s="31"/>
      <c r="G218" s="29"/>
      <c r="H218" s="31"/>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344" t="s">
        <v>4180</v>
      </c>
      <c r="C219" s="175" t="s">
        <v>4181</v>
      </c>
      <c r="D219" s="344" t="s">
        <v>20</v>
      </c>
      <c r="E219" s="8" t="s">
        <v>86</v>
      </c>
      <c r="F219" s="8" t="s">
        <v>87</v>
      </c>
      <c r="G219" s="29"/>
      <c r="H219" s="36"/>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E220" s="8" t="s">
        <v>88</v>
      </c>
      <c r="F220" s="8" t="s">
        <v>89</v>
      </c>
      <c r="G220" s="29"/>
      <c r="H220" s="36"/>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E221" s="8" t="s">
        <v>21</v>
      </c>
      <c r="F221" s="8" t="s">
        <v>51</v>
      </c>
      <c r="G221" s="29" t="str">
        <f>HYPERLINK("https://docs.google.com/spreadsheets/d/1cGL3-mNO9ipdIhFNIAimB20mpF7MzygQRpFOFbCizrg/edit#gid=1998805539", "https://docs.google.com/spreadsheets/d/1cGL3-mNO9ipdIhFNIAimB20mpF7MzygQRpFOFbCizrg/edit#gid=1998805539")</f>
        <v>https://docs.google.com/spreadsheets/d/1cGL3-mNO9ipdIhFNIAimB20mpF7MzygQRpFOFbCizrg/edit#gid=1998805539</v>
      </c>
      <c r="H221" s="8" t="s">
        <v>51</v>
      </c>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E222" s="8" t="s">
        <v>172</v>
      </c>
      <c r="F222" s="8" t="s">
        <v>203</v>
      </c>
      <c r="G222" s="29" t="str">
        <f>HYPERLINK("https://docs.google.com/spreadsheets/d/1cGL3-mNO9ipdIhFNIAimB20mpF7MzygQRpFOFbCizrg/edit#gid=1983669914", "https://docs.google.com/spreadsheets/d/1cGL3-mNO9ipdIhFNIAimB20mpF7MzygQRpFOFbCizrg/edit#gid=1983669914")</f>
        <v>https://docs.google.com/spreadsheets/d/1cGL3-mNO9ipdIhFNIAimB20mpF7MzygQRpFOFbCizrg/edit#gid=1983669914</v>
      </c>
      <c r="H222" s="8" t="s">
        <v>203</v>
      </c>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E223" s="8" t="s">
        <v>172</v>
      </c>
      <c r="F223" s="8" t="s">
        <v>204</v>
      </c>
      <c r="G223" s="29" t="str">
        <f>HYPERLINK("https://docs.google.com/spreadsheets/d/1cGL3-mNO9ipdIhFNIAimB20mpF7MzygQRpFOFbCizrg/edit#gid=847018628", "https://docs.google.com/spreadsheets/d/1cGL3-mNO9ipdIhFNIAimB20mpF7MzygQRpFOFbCizrg/edit#gid=847018628")</f>
        <v>https://docs.google.com/spreadsheets/d/1cGL3-mNO9ipdIhFNIAimB20mpF7MzygQRpFOFbCizrg/edit#gid=847018628</v>
      </c>
      <c r="H223" s="8" t="s">
        <v>204</v>
      </c>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E224" s="8" t="s">
        <v>408</v>
      </c>
      <c r="F224" s="8" t="s">
        <v>408</v>
      </c>
      <c r="G224" s="29" t="str">
        <f>HYPERLINK("https://docs.google.com/spreadsheets/d/1cGL3-mNO9ipdIhFNIAimB20mpF7MzygQRpFOFbCizrg/edit#gid=575584415", "https://docs.google.com/spreadsheets/d/1cGL3-mNO9ipdIhFNIAimB20mpF7MzygQRpFOFbCizrg/edit#gid=575584415")</f>
        <v>https://docs.google.com/spreadsheets/d/1cGL3-mNO9ipdIhFNIAimB20mpF7MzygQRpFOFbCizrg/edit#gid=575584415</v>
      </c>
      <c r="H224" s="8" t="s">
        <v>408</v>
      </c>
      <c r="I224" s="9"/>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E225" s="8" t="s">
        <v>178</v>
      </c>
      <c r="F225" s="8" t="s">
        <v>205</v>
      </c>
      <c r="G225" s="29" t="str">
        <f>HYPERLINK("https://docs.google.com/spreadsheets/d/1cGL3-mNO9ipdIhFNIAimB20mpF7MzygQRpFOFbCizrg/edit#gid=1862846768", "https://docs.google.com/spreadsheets/d/1cGL3-mNO9ipdIhFNIAimB20mpF7MzygQRpFOFbCizrg/edit#gid=1862846768")</f>
        <v>https://docs.google.com/spreadsheets/d/1cGL3-mNO9ipdIhFNIAimB20mpF7MzygQRpFOFbCizrg/edit#gid=1862846768</v>
      </c>
      <c r="H225" s="8" t="s">
        <v>205</v>
      </c>
      <c r="I225" s="9"/>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E226" s="8" t="s">
        <v>178</v>
      </c>
      <c r="F226" s="8" t="s">
        <v>206</v>
      </c>
      <c r="G226" s="29"/>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E227" s="28" t="s">
        <v>21</v>
      </c>
      <c r="F227" s="8" t="s">
        <v>51</v>
      </c>
      <c r="G227" s="29" t="str">
        <f>HYPERLINK("https://docs.google.com/spreadsheets/d/1cGL3-mNO9ipdIhFNIAimB20mpF7MzygQRpFOFbCizrg/edit#gid=1060346189", "https://docs.google.com/spreadsheets/d/1cGL3-mNO9ipdIhFNIAimB20mpF7MzygQRpFOFbCizrg/edit#gid=1060346189")</f>
        <v>https://docs.google.com/spreadsheets/d/1cGL3-mNO9ipdIhFNIAimB20mpF7MzygQRpFOFbCizrg/edit#gid=1060346189</v>
      </c>
      <c r="H227" s="8" t="s">
        <v>1383</v>
      </c>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E228" s="28" t="s">
        <v>104</v>
      </c>
      <c r="F228" s="38" t="s">
        <v>250</v>
      </c>
      <c r="G228" s="29" t="str">
        <f>HYPERLINK("https://docs.google.com/spreadsheets/d/1cGL3-mNO9ipdIhFNIAimB20mpF7MzygQRpFOFbCizrg/edit#gid=1888605681", "https://docs.google.com/spreadsheets/d/1cGL3-mNO9ipdIhFNIAimB20mpF7MzygQRpFOFbCizrg/edit#gid=1888605681")</f>
        <v>https://docs.google.com/spreadsheets/d/1cGL3-mNO9ipdIhFNIAimB20mpF7MzygQRpFOFbCizrg/edit#gid=1888605681</v>
      </c>
      <c r="H228" s="38" t="s">
        <v>250</v>
      </c>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E229" s="28" t="s">
        <v>89</v>
      </c>
      <c r="F229" s="28" t="s">
        <v>291</v>
      </c>
      <c r="G229" s="29"/>
      <c r="H229" s="36"/>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345"/>
      <c r="C230" s="467"/>
      <c r="D230" s="345"/>
      <c r="E230" s="31"/>
      <c r="F230" s="31"/>
      <c r="G230" s="29"/>
      <c r="H230" s="31"/>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344" t="s">
        <v>4182</v>
      </c>
      <c r="C231" s="175" t="s">
        <v>4183</v>
      </c>
      <c r="D231" s="344" t="s">
        <v>20</v>
      </c>
      <c r="E231" s="8" t="s">
        <v>86</v>
      </c>
      <c r="F231" s="8" t="s">
        <v>87</v>
      </c>
      <c r="G231" s="29"/>
      <c r="H231" s="36"/>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E232" s="8" t="s">
        <v>88</v>
      </c>
      <c r="F232" s="8" t="s">
        <v>89</v>
      </c>
      <c r="G232" s="29"/>
      <c r="H232" s="36"/>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E233" s="8" t="s">
        <v>21</v>
      </c>
      <c r="F233" s="8" t="s">
        <v>51</v>
      </c>
      <c r="G233" s="29" t="str">
        <f>HYPERLINK("https://docs.google.com/spreadsheets/d/1yDi8s-UYxp9UYfQADMZzW_pIiWYlQ9YbxD0b2voyuj8/edit#gid=1569441405", "https://docs.google.com/spreadsheets/d/1yDi8s-UYxp9UYfQADMZzW_pIiWYlQ9YbxD0b2voyuj8/edit#gid=1569441405")</f>
        <v>https://docs.google.com/spreadsheets/d/1yDi8s-UYxp9UYfQADMZzW_pIiWYlQ9YbxD0b2voyuj8/edit#gid=1569441405</v>
      </c>
      <c r="H233" s="8" t="s">
        <v>51</v>
      </c>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E234" s="8" t="s">
        <v>172</v>
      </c>
      <c r="F234" s="8" t="s">
        <v>203</v>
      </c>
      <c r="G234" s="29" t="str">
        <f>HYPERLINK("https://docs.google.com/spreadsheets/d/1yDi8s-UYxp9UYfQADMZzW_pIiWYlQ9YbxD0b2voyuj8/edit#gid=218800445", "https://docs.google.com/spreadsheets/d/1yDi8s-UYxp9UYfQADMZzW_pIiWYlQ9YbxD0b2voyuj8/edit#gid=218800445")</f>
        <v>https://docs.google.com/spreadsheets/d/1yDi8s-UYxp9UYfQADMZzW_pIiWYlQ9YbxD0b2voyuj8/edit#gid=218800445</v>
      </c>
      <c r="H234" s="8" t="s">
        <v>203</v>
      </c>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E235" s="8" t="s">
        <v>172</v>
      </c>
      <c r="F235" s="8" t="s">
        <v>204</v>
      </c>
      <c r="G235" s="29" t="str">
        <f>HYPERLINK("https://docs.google.com/spreadsheets/d/1yDi8s-UYxp9UYfQADMZzW_pIiWYlQ9YbxD0b2voyuj8/edit#gid=438031352", "https://docs.google.com/spreadsheets/d/1yDi8s-UYxp9UYfQADMZzW_pIiWYlQ9YbxD0b2voyuj8/edit#gid=438031352")</f>
        <v>https://docs.google.com/spreadsheets/d/1yDi8s-UYxp9UYfQADMZzW_pIiWYlQ9YbxD0b2voyuj8/edit#gid=438031352</v>
      </c>
      <c r="H235" s="8" t="s">
        <v>204</v>
      </c>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E236" s="28" t="s">
        <v>408</v>
      </c>
      <c r="F236" s="8" t="s">
        <v>408</v>
      </c>
      <c r="G236" s="29" t="str">
        <f>HYPERLINK("https://docs.google.com/spreadsheets/d/1yDi8s-UYxp9UYfQADMZzW_pIiWYlQ9YbxD0b2voyuj8/edit#gid=2008804436", "https://docs.google.com/spreadsheets/d/1yDi8s-UYxp9UYfQADMZzW_pIiWYlQ9YbxD0b2voyuj8/edit#gid=2008804436")</f>
        <v>https://docs.google.com/spreadsheets/d/1yDi8s-UYxp9UYfQADMZzW_pIiWYlQ9YbxD0b2voyuj8/edit#gid=2008804436</v>
      </c>
      <c r="H236" s="8" t="s">
        <v>408</v>
      </c>
      <c r="I236" s="31"/>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E237" s="28" t="s">
        <v>86</v>
      </c>
      <c r="F237" s="38" t="s">
        <v>90</v>
      </c>
      <c r="G237" s="29" t="str">
        <f>HYPERLINK("https://docs.google.com/spreadsheets/d/1yDi8s-UYxp9UYfQADMZzW_pIiWYlQ9YbxD0b2voyuj8/edit#gid=1647342557", "https://docs.google.com/spreadsheets/d/1yDi8s-UYxp9UYfQADMZzW_pIiWYlQ9YbxD0b2voyuj8/edit#gid=1647342557")</f>
        <v>https://docs.google.com/spreadsheets/d/1yDi8s-UYxp9UYfQADMZzW_pIiWYlQ9YbxD0b2voyuj8/edit#gid=1647342557</v>
      </c>
      <c r="H237" s="38" t="s">
        <v>90</v>
      </c>
      <c r="I237" s="31"/>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E238" s="28" t="s">
        <v>86</v>
      </c>
      <c r="F238" s="28" t="s">
        <v>339</v>
      </c>
      <c r="G238" s="29" t="str">
        <f>HYPERLINK("https://docs.google.com/spreadsheets/d/1yDi8s-UYxp9UYfQADMZzW_pIiWYlQ9YbxD0b2voyuj8/edit#gid=694517007", "https://docs.google.com/spreadsheets/d/1yDi8s-UYxp9UYfQADMZzW_pIiWYlQ9YbxD0b2voyuj8/edit#gid=694517007")</f>
        <v>https://docs.google.com/spreadsheets/d/1yDi8s-UYxp9UYfQADMZzW_pIiWYlQ9YbxD0b2voyuj8/edit#gid=694517007</v>
      </c>
      <c r="H238" s="38" t="s">
        <v>339</v>
      </c>
      <c r="I238" s="9"/>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E239" s="8" t="s">
        <v>178</v>
      </c>
      <c r="F239" s="8" t="s">
        <v>205</v>
      </c>
      <c r="G239" s="29" t="str">
        <f>HYPERLINK("https://docs.google.com/spreadsheets/d/1yDi8s-UYxp9UYfQADMZzW_pIiWYlQ9YbxD0b2voyuj8/edit#gid=319175930", "https://docs.google.com/spreadsheets/d/1yDi8s-UYxp9UYfQADMZzW_pIiWYlQ9YbxD0b2voyuj8/edit#gid=319175930")</f>
        <v>https://docs.google.com/spreadsheets/d/1yDi8s-UYxp9UYfQADMZzW_pIiWYlQ9YbxD0b2voyuj8/edit#gid=319175930</v>
      </c>
      <c r="H239" s="8" t="s">
        <v>205</v>
      </c>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E240" s="8" t="s">
        <v>178</v>
      </c>
      <c r="F240" s="8" t="s">
        <v>206</v>
      </c>
      <c r="G240" s="29"/>
      <c r="H240" s="36"/>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E241" s="8" t="s">
        <v>104</v>
      </c>
      <c r="F241" s="8" t="s">
        <v>250</v>
      </c>
      <c r="G241" s="29" t="str">
        <f>HYPERLINK("https://docs.google.com/spreadsheets/d/1yDi8s-UYxp9UYfQADMZzW_pIiWYlQ9YbxD0b2voyuj8/edit#gid=52854714", "https://docs.google.com/spreadsheets/d/1yDi8s-UYxp9UYfQADMZzW_pIiWYlQ9YbxD0b2voyuj8/edit#gid=52854714")</f>
        <v>https://docs.google.com/spreadsheets/d/1yDi8s-UYxp9UYfQADMZzW_pIiWYlQ9YbxD0b2voyuj8/edit#gid=52854714</v>
      </c>
      <c r="H241" s="8" t="s">
        <v>250</v>
      </c>
      <c r="I241" s="9"/>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E242" s="8" t="s">
        <v>89</v>
      </c>
      <c r="F242" s="8" t="s">
        <v>291</v>
      </c>
      <c r="G242" s="29"/>
      <c r="H242" s="36"/>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345"/>
      <c r="C243" s="467"/>
      <c r="D243" s="345"/>
      <c r="E243" s="31"/>
      <c r="F243" s="31"/>
      <c r="G243" s="29"/>
      <c r="H243" s="31"/>
      <c r="I243" s="9"/>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344" t="s">
        <v>4184</v>
      </c>
      <c r="C244" s="175" t="s">
        <v>4185</v>
      </c>
      <c r="D244" s="344" t="s">
        <v>20</v>
      </c>
      <c r="E244" s="28" t="s">
        <v>86</v>
      </c>
      <c r="F244" s="8" t="s">
        <v>87</v>
      </c>
      <c r="G244" s="29"/>
      <c r="H244" s="36"/>
      <c r="I244" s="36"/>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E245" s="28" t="s">
        <v>88</v>
      </c>
      <c r="F245" s="8" t="s">
        <v>89</v>
      </c>
      <c r="G245" s="29"/>
      <c r="H245" s="36"/>
      <c r="I245" s="36"/>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E246" s="28" t="s">
        <v>21</v>
      </c>
      <c r="F246" s="8" t="s">
        <v>51</v>
      </c>
      <c r="G246" s="29" t="str">
        <f>HYPERLINK("https://docs.google.com/spreadsheets/d/1Q4qrv85D0Jv52E12sZDGkskjKempguL_xaPHWsv7hDM/edit#gid=33523387", "https://docs.google.com/spreadsheets/d/1Q4qrv85D0Jv52E12sZDGkskjKempguL_xaPHWsv7hDM/edit#gid=33523387")</f>
        <v>https://docs.google.com/spreadsheets/d/1Q4qrv85D0Jv52E12sZDGkskjKempguL_xaPHWsv7hDM/edit#gid=33523387</v>
      </c>
      <c r="H246" s="8" t="s">
        <v>51</v>
      </c>
      <c r="I246" s="31"/>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E247" s="28" t="s">
        <v>172</v>
      </c>
      <c r="F247" s="38" t="s">
        <v>203</v>
      </c>
      <c r="G247" s="29" t="str">
        <f>HYPERLINK("https://docs.google.com/spreadsheets/d/1Q4qrv85D0Jv52E12sZDGkskjKempguL_xaPHWsv7hDM/edit#gid=1337667810", "https://docs.google.com/spreadsheets/d/1Q4qrv85D0Jv52E12sZDGkskjKempguL_xaPHWsv7hDM/edit#gid=1337667810")</f>
        <v>https://docs.google.com/spreadsheets/d/1Q4qrv85D0Jv52E12sZDGkskjKempguL_xaPHWsv7hDM/edit#gid=1337667810</v>
      </c>
      <c r="H247" s="38" t="s">
        <v>203</v>
      </c>
      <c r="I247" s="31"/>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E248" s="28" t="s">
        <v>172</v>
      </c>
      <c r="F248" s="28" t="s">
        <v>204</v>
      </c>
      <c r="G248" s="42" t="str">
        <f>HYPERLINK("https://docs.google.com/spreadsheets/d/1Q4qrv85D0Jv52E12sZDGkskjKempguL_xaPHWsv7hDM/edit#gid=533413199", "https://docs.google.com/spreadsheets/d/1Q4qrv85D0Jv52E12sZDGkskjKempguL_xaPHWsv7hDM/edit#gid=533413199")</f>
        <v>https://docs.google.com/spreadsheets/d/1Q4qrv85D0Jv52E12sZDGkskjKempguL_xaPHWsv7hDM/edit#gid=533413199</v>
      </c>
      <c r="H248" s="38" t="s">
        <v>204</v>
      </c>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E249" s="8" t="s">
        <v>408</v>
      </c>
      <c r="F249" s="8" t="s">
        <v>408</v>
      </c>
      <c r="G249" s="42" t="str">
        <f>HYPERLINK("https://docs.google.com/spreadsheets/d/1Q4qrv85D0Jv52E12sZDGkskjKempguL_xaPHWsv7hDM/edit#gid=1487553452", "https://docs.google.com/spreadsheets/d/1Q4qrv85D0Jv52E12sZDGkskjKempguL_xaPHWsv7hDM/edit#gid=1487553452")</f>
        <v>https://docs.google.com/spreadsheets/d/1Q4qrv85D0Jv52E12sZDGkskjKempguL_xaPHWsv7hDM/edit#gid=1487553452</v>
      </c>
      <c r="H249" s="8" t="s">
        <v>408</v>
      </c>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E250" s="8" t="s">
        <v>21</v>
      </c>
      <c r="F250" s="8" t="s">
        <v>51</v>
      </c>
      <c r="G250" s="42" t="str">
        <f>HYPERLINK("https://docs.google.com/spreadsheets/d/1Q4qrv85D0Jv52E12sZDGkskjKempguL_xaPHWsv7hDM/edit#gid=825682252", "https://docs.google.com/spreadsheets/d/1Q4qrv85D0Jv52E12sZDGkskjKempguL_xaPHWsv7hDM/edit#gid=825682252")</f>
        <v>https://docs.google.com/spreadsheets/d/1Q4qrv85D0Jv52E12sZDGkskjKempguL_xaPHWsv7hDM/edit#gid=825682252</v>
      </c>
      <c r="H250" s="8" t="s">
        <v>1383</v>
      </c>
      <c r="I250" s="9"/>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E251" s="8" t="s">
        <v>86</v>
      </c>
      <c r="F251" s="8" t="s">
        <v>90</v>
      </c>
      <c r="G251" s="42" t="str">
        <f>HYPERLINK("https://docs.google.com/spreadsheets/d/1Q4qrv85D0Jv52E12sZDGkskjKempguL_xaPHWsv7hDM/edit#gid=1183216386", "https://docs.google.com/spreadsheets/d/1Q4qrv85D0Jv52E12sZDGkskjKempguL_xaPHWsv7hDM/edit#gid=1183216386")</f>
        <v>https://docs.google.com/spreadsheets/d/1Q4qrv85D0Jv52E12sZDGkskjKempguL_xaPHWsv7hDM/edit#gid=1183216386</v>
      </c>
      <c r="H251" s="8" t="s">
        <v>90</v>
      </c>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E252" s="28" t="s">
        <v>86</v>
      </c>
      <c r="F252" s="8" t="s">
        <v>339</v>
      </c>
      <c r="G252" s="48" t="str">
        <f>HYPERLINK("https://docs.google.com/spreadsheets/d/1Q4qrv85D0Jv52E12sZDGkskjKempguL_xaPHWsv7hDM/edit#gid=2079078936", "https://docs.google.com/spreadsheets/d/1Q4qrv85D0Jv52E12sZDGkskjKempguL_xaPHWsv7hDM/edit#gid=2079078936")</f>
        <v>https://docs.google.com/spreadsheets/d/1Q4qrv85D0Jv52E12sZDGkskjKempguL_xaPHWsv7hDM/edit#gid=2079078936</v>
      </c>
      <c r="H252" s="8" t="s">
        <v>339</v>
      </c>
      <c r="I252" s="9"/>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E253" s="8" t="s">
        <v>178</v>
      </c>
      <c r="F253" s="8" t="s">
        <v>205</v>
      </c>
      <c r="G253" s="48" t="str">
        <f>HYPERLINK("https://docs.google.com/spreadsheets/d/1Q4qrv85D0Jv52E12sZDGkskjKempguL_xaPHWsv7hDM/edit#gid=1064386897", "https://docs.google.com/spreadsheets/d/1Q4qrv85D0Jv52E12sZDGkskjKempguL_xaPHWsv7hDM/edit#gid=1064386897")</f>
        <v>https://docs.google.com/spreadsheets/d/1Q4qrv85D0Jv52E12sZDGkskjKempguL_xaPHWsv7hDM/edit#gid=1064386897</v>
      </c>
      <c r="H253" s="8" t="s">
        <v>205</v>
      </c>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E254" s="8" t="s">
        <v>178</v>
      </c>
      <c r="F254" s="8" t="s">
        <v>206</v>
      </c>
      <c r="G254" s="9"/>
      <c r="H254" s="36"/>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E255" s="28" t="s">
        <v>104</v>
      </c>
      <c r="F255" s="8" t="s">
        <v>250</v>
      </c>
      <c r="G255" s="48" t="str">
        <f>HYPERLINK("https://docs.google.com/spreadsheets/d/1Q4qrv85D0Jv52E12sZDGkskjKempguL_xaPHWsv7hDM/edit#gid=362428231", "https://docs.google.com/spreadsheets/d/1Q4qrv85D0Jv52E12sZDGkskjKempguL_xaPHWsv7hDM/edit#gid=362428231")</f>
        <v>https://docs.google.com/spreadsheets/d/1Q4qrv85D0Jv52E12sZDGkskjKempguL_xaPHWsv7hDM/edit#gid=362428231</v>
      </c>
      <c r="H255" s="8" t="s">
        <v>250</v>
      </c>
      <c r="I255" s="9"/>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E256" s="8" t="s">
        <v>89</v>
      </c>
      <c r="F256" s="8" t="s">
        <v>291</v>
      </c>
      <c r="G256" s="42"/>
      <c r="H256" s="36"/>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344"/>
      <c r="C257" s="175"/>
      <c r="D257" s="344"/>
      <c r="E257" s="8"/>
      <c r="F257" s="8"/>
      <c r="G257" s="42"/>
      <c r="H257" s="36"/>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344" t="s">
        <v>4186</v>
      </c>
      <c r="C258" s="468" t="s">
        <v>4187</v>
      </c>
      <c r="D258" s="468" t="s">
        <v>20</v>
      </c>
      <c r="E258" s="8" t="s">
        <v>86</v>
      </c>
      <c r="F258" s="8" t="s">
        <v>87</v>
      </c>
      <c r="G258" s="42"/>
      <c r="H258" s="36"/>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E259" s="8" t="s">
        <v>88</v>
      </c>
      <c r="F259" s="8" t="s">
        <v>89</v>
      </c>
      <c r="G259" s="42"/>
      <c r="H259" s="36"/>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E260" s="8" t="s">
        <v>21</v>
      </c>
      <c r="F260" s="8" t="s">
        <v>51</v>
      </c>
      <c r="G260" s="42" t="str">
        <f>HYPERLINK("https://docs.google.com/spreadsheets/d/1TTEMnLKbTV7w8wgNr8WTvieX0QwaLZTWkgbMhWgITso/edit#gid=1133671434", "https://docs.google.com/spreadsheets/d/1TTEMnLKbTV7w8wgNr8WTvieX0QwaLZTWkgbMhWgITso/edit#gid=1133671434")</f>
        <v>https://docs.google.com/spreadsheets/d/1TTEMnLKbTV7w8wgNr8WTvieX0QwaLZTWkgbMhWgITso/edit#gid=1133671434</v>
      </c>
      <c r="H260" s="8" t="s">
        <v>51</v>
      </c>
      <c r="I260" s="9"/>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E261" s="8" t="s">
        <v>172</v>
      </c>
      <c r="F261" s="8" t="s">
        <v>203</v>
      </c>
      <c r="G261" s="42" t="str">
        <f>HYPERLINK("https://docs.google.com/spreadsheets/d/1TTEMnLKbTV7w8wgNr8WTvieX0QwaLZTWkgbMhWgITso/edit#gid=442332613", "https://docs.google.com/spreadsheets/d/1TTEMnLKbTV7w8wgNr8WTvieX0QwaLZTWkgbMhWgITso/edit#gid=442332613")</f>
        <v>https://docs.google.com/spreadsheets/d/1TTEMnLKbTV7w8wgNr8WTvieX0QwaLZTWkgbMhWgITso/edit#gid=442332613</v>
      </c>
      <c r="H261" s="8" t="s">
        <v>203</v>
      </c>
      <c r="I261" s="9"/>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E262" s="28" t="s">
        <v>172</v>
      </c>
      <c r="F262" s="8" t="s">
        <v>204</v>
      </c>
      <c r="G262" s="42" t="str">
        <f>HYPERLINK("https://docs.google.com/spreadsheets/d/1TTEMnLKbTV7w8wgNr8WTvieX0QwaLZTWkgbMhWgITso/edit#gid=1039196663", "https://docs.google.com/spreadsheets/d/1TTEMnLKbTV7w8wgNr8WTvieX0QwaLZTWkgbMhWgITso/edit#gid=1039196663")</f>
        <v>https://docs.google.com/spreadsheets/d/1TTEMnLKbTV7w8wgNr8WTvieX0QwaLZTWkgbMhWgITso/edit#gid=1039196663</v>
      </c>
      <c r="H262" s="8" t="s">
        <v>204</v>
      </c>
      <c r="I262" s="9"/>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E263" s="28" t="s">
        <v>172</v>
      </c>
      <c r="F263" s="38" t="s">
        <v>203</v>
      </c>
      <c r="G263" s="42" t="str">
        <f>HYPERLINK("https://docs.google.com/spreadsheets/d/1TTEMnLKbTV7w8wgNr8WTvieX0QwaLZTWkgbMhWgITso/edit#gid=813698634", "https://docs.google.com/spreadsheets/d/1TTEMnLKbTV7w8wgNr8WTvieX0QwaLZTWkgbMhWgITso/edit#gid=813698634")</f>
        <v>https://docs.google.com/spreadsheets/d/1TTEMnLKbTV7w8wgNr8WTvieX0QwaLZTWkgbMhWgITso/edit#gid=813698634</v>
      </c>
      <c r="H263" s="38" t="s">
        <v>1995</v>
      </c>
      <c r="I263" s="9"/>
      <c r="J263" s="9"/>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E264" s="28" t="s">
        <v>172</v>
      </c>
      <c r="F264" s="28" t="s">
        <v>204</v>
      </c>
      <c r="G264" s="42" t="str">
        <f>HYPERLINK("https://docs.google.com/spreadsheets/d/1TTEMnLKbTV7w8wgNr8WTvieX0QwaLZTWkgbMhWgITso/edit#gid=713428855", "https://docs.google.com/spreadsheets/d/1TTEMnLKbTV7w8wgNr8WTvieX0QwaLZTWkgbMhWgITso/edit#gid=713428855")</f>
        <v>https://docs.google.com/spreadsheets/d/1TTEMnLKbTV7w8wgNr8WTvieX0QwaLZTWkgbMhWgITso/edit#gid=713428855</v>
      </c>
      <c r="H264" s="38" t="s">
        <v>1996</v>
      </c>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E265" s="28" t="s">
        <v>408</v>
      </c>
      <c r="F265" s="28" t="s">
        <v>408</v>
      </c>
      <c r="G265" s="42" t="str">
        <f>HYPERLINK("https://docs.google.com/spreadsheets/d/1TTEMnLKbTV7w8wgNr8WTvieX0QwaLZTWkgbMhWgITso/edit#gid=1538395063", "https://docs.google.com/spreadsheets/d/1TTEMnLKbTV7w8wgNr8WTvieX0QwaLZTWkgbMhWgITso/edit#gid=1538395063")</f>
        <v>https://docs.google.com/spreadsheets/d/1TTEMnLKbTV7w8wgNr8WTvieX0QwaLZTWkgbMhWgITso/edit#gid=1538395063</v>
      </c>
      <c r="H265" s="38" t="s">
        <v>408</v>
      </c>
      <c r="I265" s="9"/>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E266" s="8" t="s">
        <v>4188</v>
      </c>
      <c r="F266" s="8" t="s">
        <v>90</v>
      </c>
      <c r="G266" s="42" t="str">
        <f>HYPERLINK("https://docs.google.com/spreadsheets/d/1TTEMnLKbTV7w8wgNr8WTvieX0QwaLZTWkgbMhWgITso/edit#gid=410462707", "https://docs.google.com/spreadsheets/d/1TTEMnLKbTV7w8wgNr8WTvieX0QwaLZTWkgbMhWgITso/edit#gid=410462707")</f>
        <v>https://docs.google.com/spreadsheets/d/1TTEMnLKbTV7w8wgNr8WTvieX0QwaLZTWkgbMhWgITso/edit#gid=410462707</v>
      </c>
      <c r="H266" s="8" t="s">
        <v>90</v>
      </c>
      <c r="I266" s="9"/>
      <c r="J266" s="9"/>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E267" s="8" t="s">
        <v>86</v>
      </c>
      <c r="F267" s="8" t="s">
        <v>339</v>
      </c>
      <c r="G267" s="42" t="str">
        <f>HYPERLINK("https://docs.google.com/spreadsheets/d/1TTEMnLKbTV7w8wgNr8WTvieX0QwaLZTWkgbMhWgITso/edit#gid=11766675", "https://docs.google.com/spreadsheets/d/1TTEMnLKbTV7w8wgNr8WTvieX0QwaLZTWkgbMhWgITso/edit#gid=11766675")</f>
        <v>https://docs.google.com/spreadsheets/d/1TTEMnLKbTV7w8wgNr8WTvieX0QwaLZTWkgbMhWgITso/edit#gid=11766675</v>
      </c>
      <c r="H267" s="8" t="s">
        <v>339</v>
      </c>
      <c r="I267" s="9"/>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E268" s="8" t="s">
        <v>178</v>
      </c>
      <c r="F268" s="8" t="s">
        <v>205</v>
      </c>
      <c r="G268" s="42" t="str">
        <f>HYPERLINK("https://docs.google.com/spreadsheets/d/1TTEMnLKbTV7w8wgNr8WTvieX0QwaLZTWkgbMhWgITso/edit#gid=541736325", "https://docs.google.com/spreadsheets/d/1TTEMnLKbTV7w8wgNr8WTvieX0QwaLZTWkgbMhWgITso/edit#gid=541736325")</f>
        <v>https://docs.google.com/spreadsheets/d/1TTEMnLKbTV7w8wgNr8WTvieX0QwaLZTWkgbMhWgITso/edit#gid=541736325</v>
      </c>
      <c r="H268" s="8" t="s">
        <v>205</v>
      </c>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E269" s="8" t="s">
        <v>178</v>
      </c>
      <c r="F269" s="8" t="s">
        <v>206</v>
      </c>
      <c r="G269" s="42"/>
      <c r="H269" s="36"/>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E270" s="8" t="s">
        <v>104</v>
      </c>
      <c r="F270" s="8" t="s">
        <v>250</v>
      </c>
      <c r="G270" s="42" t="str">
        <f>HYPERLINK("https://docs.google.com/spreadsheets/d/1TTEMnLKbTV7w8wgNr8WTvieX0QwaLZTWkgbMhWgITso/edit#gid=1645201381", "https://docs.google.com/spreadsheets/d/1TTEMnLKbTV7w8wgNr8WTvieX0QwaLZTWkgbMhWgITso/edit#gid=1645201381")</f>
        <v>https://docs.google.com/spreadsheets/d/1TTEMnLKbTV7w8wgNr8WTvieX0QwaLZTWkgbMhWgITso/edit#gid=1645201381</v>
      </c>
      <c r="H270" s="8" t="s">
        <v>250</v>
      </c>
      <c r="I270" s="9"/>
      <c r="J270" s="9"/>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E271" s="28" t="s">
        <v>89</v>
      </c>
      <c r="F271" s="8" t="s">
        <v>291</v>
      </c>
      <c r="G271" s="42"/>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344"/>
      <c r="C272" s="468"/>
      <c r="D272" s="468"/>
      <c r="E272" s="28"/>
      <c r="F272" s="8"/>
      <c r="G272" s="42"/>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344" t="s">
        <v>4189</v>
      </c>
      <c r="C273" s="468" t="s">
        <v>4190</v>
      </c>
      <c r="D273" s="468" t="s">
        <v>20</v>
      </c>
      <c r="E273" s="28" t="s">
        <v>86</v>
      </c>
      <c r="F273" s="38" t="s">
        <v>87</v>
      </c>
      <c r="G273" s="42"/>
      <c r="H273" s="36"/>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E274" s="28" t="s">
        <v>88</v>
      </c>
      <c r="F274" s="38" t="s">
        <v>89</v>
      </c>
      <c r="G274" s="42"/>
      <c r="H274" s="36"/>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E275" s="28" t="s">
        <v>21</v>
      </c>
      <c r="F275" s="38" t="s">
        <v>51</v>
      </c>
      <c r="G275" s="42" t="str">
        <f>HYPERLINK("https://docs.google.com/spreadsheets/d/1-FUqy6Jm9dCSUu0TqMC6sb7z9fmNewGn5HLdqEWkUMk/edit#gid=660221529", "https://docs.google.com/spreadsheets/d/1-FUqy6Jm9dCSUu0TqMC6sb7z9fmNewGn5HLdqEWkUMk/edit#gid=660221529")</f>
        <v>https://docs.google.com/spreadsheets/d/1-FUqy6Jm9dCSUu0TqMC6sb7z9fmNewGn5HLdqEWkUMk/edit#gid=660221529</v>
      </c>
      <c r="H275" s="35" t="s">
        <v>51</v>
      </c>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E276" s="28" t="s">
        <v>172</v>
      </c>
      <c r="F276" s="28" t="s">
        <v>203</v>
      </c>
      <c r="G276" s="42" t="str">
        <f>HYPERLINK("https://docs.google.com/spreadsheets/d/1-FUqy6Jm9dCSUu0TqMC6sb7z9fmNewGn5HLdqEWkUMk/edit#gid=1420924294", "https://docs.google.com/spreadsheets/d/1-FUqy6Jm9dCSUu0TqMC6sb7z9fmNewGn5HLdqEWkUMk/edit#gid=1420924294")</f>
        <v>https://docs.google.com/spreadsheets/d/1-FUqy6Jm9dCSUu0TqMC6sb7z9fmNewGn5HLdqEWkUMk/edit#gid=1420924294</v>
      </c>
      <c r="H276" s="38" t="s">
        <v>203</v>
      </c>
      <c r="I276" s="9"/>
      <c r="J276" s="9"/>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E277" s="8" t="s">
        <v>172</v>
      </c>
      <c r="F277" s="8" t="s">
        <v>204</v>
      </c>
      <c r="G277" s="42" t="str">
        <f>HYPERLINK("https://docs.google.com/spreadsheets/d/1-FUqy6Jm9dCSUu0TqMC6sb7z9fmNewGn5HLdqEWkUMk/edit#gid=1074098042", "https://docs.google.com/spreadsheets/d/1-FUqy6Jm9dCSUu0TqMC6sb7z9fmNewGn5HLdqEWkUMk/edit#gid=1074098042")</f>
        <v>https://docs.google.com/spreadsheets/d/1-FUqy6Jm9dCSUu0TqMC6sb7z9fmNewGn5HLdqEWkUMk/edit#gid=1074098042</v>
      </c>
      <c r="H277" s="8" t="s">
        <v>204</v>
      </c>
      <c r="I277" s="9"/>
      <c r="J277" s="9"/>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E278" s="8" t="s">
        <v>172</v>
      </c>
      <c r="F278" s="8" t="s">
        <v>173</v>
      </c>
      <c r="G278" s="42" t="str">
        <f>HYPERLINK("https://docs.google.com/spreadsheets/d/1-FUqy6Jm9dCSUu0TqMC6sb7z9fmNewGn5HLdqEWkUMk/edit#gid=1886919796", "https://docs.google.com/spreadsheets/d/1-FUqy6Jm9dCSUu0TqMC6sb7z9fmNewGn5HLdqEWkUMk/edit#gid=1886919796")</f>
        <v>https://docs.google.com/spreadsheets/d/1-FUqy6Jm9dCSUu0TqMC6sb7z9fmNewGn5HLdqEWkUMk/edit#gid=1886919796</v>
      </c>
      <c r="H278" s="8" t="s">
        <v>173</v>
      </c>
      <c r="I278" s="9"/>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E279" s="8" t="s">
        <v>172</v>
      </c>
      <c r="F279" s="8" t="s">
        <v>402</v>
      </c>
      <c r="G279" s="42" t="str">
        <f>HYPERLINK("https://docs.google.com/spreadsheets/d/1-FUqy6Jm9dCSUu0TqMC6sb7z9fmNewGn5HLdqEWkUMk/edit#gid=1503849773", "https://docs.google.com/spreadsheets/d/1-FUqy6Jm9dCSUu0TqMC6sb7z9fmNewGn5HLdqEWkUMk/edit#gid=1503849773")</f>
        <v>https://docs.google.com/spreadsheets/d/1-FUqy6Jm9dCSUu0TqMC6sb7z9fmNewGn5HLdqEWkUMk/edit#gid=1503849773</v>
      </c>
      <c r="H279" s="8" t="s">
        <v>402</v>
      </c>
      <c r="I279" s="9"/>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E280" s="8" t="s">
        <v>408</v>
      </c>
      <c r="F280" s="8" t="s">
        <v>408</v>
      </c>
      <c r="G280" s="42" t="str">
        <f>HYPERLINK("https://docs.google.com/spreadsheets/d/1-FUqy6Jm9dCSUu0TqMC6sb7z9fmNewGn5HLdqEWkUMk/edit#gid=1875600166", "https://docs.google.com/spreadsheets/d/1-FUqy6Jm9dCSUu0TqMC6sb7z9fmNewGn5HLdqEWkUMk/edit#gid=1875600166")</f>
        <v>https://docs.google.com/spreadsheets/d/1-FUqy6Jm9dCSUu0TqMC6sb7z9fmNewGn5HLdqEWkUMk/edit#gid=1875600166</v>
      </c>
      <c r="H280" s="8" t="s">
        <v>408</v>
      </c>
      <c r="I280" s="9"/>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E281" s="8" t="s">
        <v>178</v>
      </c>
      <c r="F281" s="8" t="s">
        <v>205</v>
      </c>
      <c r="G281" s="42" t="str">
        <f>HYPERLINK("https://docs.google.com/spreadsheets/d/1-FUqy6Jm9dCSUu0TqMC6sb7z9fmNewGn5HLdqEWkUMk/edit#gid=897237360", "https://docs.google.com/spreadsheets/d/1-FUqy6Jm9dCSUu0TqMC6sb7z9fmNewGn5HLdqEWkUMk/edit#gid=897237360")</f>
        <v>https://docs.google.com/spreadsheets/d/1-FUqy6Jm9dCSUu0TqMC6sb7z9fmNewGn5HLdqEWkUMk/edit#gid=897237360</v>
      </c>
      <c r="H281" s="8" t="s">
        <v>205</v>
      </c>
      <c r="I281" s="9"/>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E282" s="28" t="s">
        <v>178</v>
      </c>
      <c r="F282" s="8" t="s">
        <v>206</v>
      </c>
      <c r="G282" s="42"/>
      <c r="H282" s="36"/>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E283" s="28" t="s">
        <v>104</v>
      </c>
      <c r="F283" s="38" t="s">
        <v>250</v>
      </c>
      <c r="G283" s="42" t="str">
        <f>HYPERLINK("https://docs.google.com/spreadsheets/d/1-FUqy6Jm9dCSUu0TqMC6sb7z9fmNewGn5HLdqEWkUMk/edit#gid=1398792292", "https://docs.google.com/spreadsheets/d/1-FUqy6Jm9dCSUu0TqMC6sb7z9fmNewGn5HLdqEWkUMk/edit#gid=1398792292")</f>
        <v>https://docs.google.com/spreadsheets/d/1-FUqy6Jm9dCSUu0TqMC6sb7z9fmNewGn5HLdqEWkUMk/edit#gid=1398792292</v>
      </c>
      <c r="H283" s="38" t="s">
        <v>250</v>
      </c>
      <c r="I283" s="9"/>
      <c r="J283" s="9"/>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E284" s="28" t="s">
        <v>89</v>
      </c>
      <c r="F284" s="28" t="s">
        <v>291</v>
      </c>
      <c r="G284" s="29"/>
      <c r="H284" s="36"/>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469"/>
      <c r="C285" s="470"/>
      <c r="D285" s="470"/>
      <c r="E285" s="31"/>
      <c r="F285" s="31"/>
      <c r="G285" s="29"/>
      <c r="H285" s="31"/>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344" t="s">
        <v>4191</v>
      </c>
      <c r="C286" s="468" t="s">
        <v>4192</v>
      </c>
      <c r="D286" s="468" t="s">
        <v>20</v>
      </c>
      <c r="E286" s="8" t="s">
        <v>86</v>
      </c>
      <c r="F286" s="8" t="s">
        <v>87</v>
      </c>
      <c r="G286" s="29"/>
      <c r="H286" s="36"/>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E287" s="8" t="s">
        <v>88</v>
      </c>
      <c r="F287" s="8" t="s">
        <v>89</v>
      </c>
      <c r="G287" s="29"/>
      <c r="H287" s="36"/>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E288" s="8" t="s">
        <v>21</v>
      </c>
      <c r="F288" s="8" t="s">
        <v>51</v>
      </c>
      <c r="G288" s="29" t="str">
        <f>HYPERLINK("https://docs.google.com/spreadsheets/d/13dXpQPVhqkYq4_nskzlqBStBGV-e40KoijFo33lxC7M/edit#gid=306763439", "https://docs.google.com/spreadsheets/d/13dXpQPVhqkYq4_nskzlqBStBGV-e40KoijFo33lxC7M/edit#gid=306763439")</f>
        <v>https://docs.google.com/spreadsheets/d/13dXpQPVhqkYq4_nskzlqBStBGV-e40KoijFo33lxC7M/edit#gid=306763439</v>
      </c>
      <c r="H288" s="8" t="s">
        <v>51</v>
      </c>
      <c r="I288" s="9"/>
      <c r="J288" s="9"/>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E289" s="8" t="s">
        <v>172</v>
      </c>
      <c r="F289" s="8" t="s">
        <v>203</v>
      </c>
      <c r="G289" s="29" t="str">
        <f>HYPERLINK("https://docs.google.com/spreadsheets/d/13dXpQPVhqkYq4_nskzlqBStBGV-e40KoijFo33lxC7M/edit#gid=990076448", "https://docs.google.com/spreadsheets/d/13dXpQPVhqkYq4_nskzlqBStBGV-e40KoijFo33lxC7M/edit#gid=990076448")</f>
        <v>https://docs.google.com/spreadsheets/d/13dXpQPVhqkYq4_nskzlqBStBGV-e40KoijFo33lxC7M/edit#gid=990076448</v>
      </c>
      <c r="H289" s="8" t="s">
        <v>203</v>
      </c>
      <c r="I289" s="9"/>
      <c r="J289" s="9"/>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E290" s="8" t="s">
        <v>172</v>
      </c>
      <c r="F290" s="8" t="s">
        <v>204</v>
      </c>
      <c r="G290" s="29" t="str">
        <f>HYPERLINK("https://docs.google.com/spreadsheets/d/13dXpQPVhqkYq4_nskzlqBStBGV-e40KoijFo33lxC7M/edit#gid=1250306472", "https://docs.google.com/spreadsheets/d/13dXpQPVhqkYq4_nskzlqBStBGV-e40KoijFo33lxC7M/edit#gid=1250306472")</f>
        <v>https://docs.google.com/spreadsheets/d/13dXpQPVhqkYq4_nskzlqBStBGV-e40KoijFo33lxC7M/edit#gid=1250306472</v>
      </c>
      <c r="H290" s="8" t="s">
        <v>204</v>
      </c>
      <c r="I290" s="9"/>
      <c r="J290" s="9"/>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E291" s="8" t="s">
        <v>172</v>
      </c>
      <c r="F291" s="8" t="s">
        <v>173</v>
      </c>
      <c r="G291" s="29" t="str">
        <f>HYPERLINK("https://docs.google.com/spreadsheets/d/13dXpQPVhqkYq4_nskzlqBStBGV-e40KoijFo33lxC7M/edit#gid=1465899987", "https://docs.google.com/spreadsheets/d/13dXpQPVhqkYq4_nskzlqBStBGV-e40KoijFo33lxC7M/edit#gid=1465899987")</f>
        <v>https://docs.google.com/spreadsheets/d/13dXpQPVhqkYq4_nskzlqBStBGV-e40KoijFo33lxC7M/edit#gid=1465899987</v>
      </c>
      <c r="H291" s="8" t="s">
        <v>173</v>
      </c>
      <c r="I291" s="9"/>
      <c r="J291" s="9"/>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E292" s="28" t="s">
        <v>172</v>
      </c>
      <c r="F292" s="8" t="s">
        <v>402</v>
      </c>
      <c r="G292" s="29" t="str">
        <f>HYPERLINK("https://docs.google.com/spreadsheets/d/13dXpQPVhqkYq4_nskzlqBStBGV-e40KoijFo33lxC7M/edit#gid=562119399", "https://docs.google.com/spreadsheets/d/13dXpQPVhqkYq4_nskzlqBStBGV-e40KoijFo33lxC7M/edit#gid=562119399")</f>
        <v>https://docs.google.com/spreadsheets/d/13dXpQPVhqkYq4_nskzlqBStBGV-e40KoijFo33lxC7M/edit#gid=562119399</v>
      </c>
      <c r="H292" s="8" t="s">
        <v>402</v>
      </c>
      <c r="I292" s="9"/>
      <c r="J292" s="9"/>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E293" s="28" t="s">
        <v>408</v>
      </c>
      <c r="F293" s="38" t="s">
        <v>408</v>
      </c>
      <c r="G293" s="29" t="str">
        <f>HYPERLINK("https://docs.google.com/spreadsheets/d/13dXpQPVhqkYq4_nskzlqBStBGV-e40KoijFo33lxC7M/edit#gid=739691526", "https://docs.google.com/spreadsheets/d/13dXpQPVhqkYq4_nskzlqBStBGV-e40KoijFo33lxC7M/edit#gid=739691526")</f>
        <v>https://docs.google.com/spreadsheets/d/13dXpQPVhqkYq4_nskzlqBStBGV-e40KoijFo33lxC7M/edit#gid=739691526</v>
      </c>
      <c r="H293" s="38" t="s">
        <v>408</v>
      </c>
      <c r="I293" s="9"/>
      <c r="J293" s="9"/>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E294" s="28" t="s">
        <v>178</v>
      </c>
      <c r="F294" s="28" t="s">
        <v>205</v>
      </c>
      <c r="G294" s="29" t="str">
        <f>HYPERLINK("https://docs.google.com/spreadsheets/d/13dXpQPVhqkYq4_nskzlqBStBGV-e40KoijFo33lxC7M/edit#gid=321345091", "https://docs.google.com/spreadsheets/d/13dXpQPVhqkYq4_nskzlqBStBGV-e40KoijFo33lxC7M/edit#gid=321345091")</f>
        <v>https://docs.google.com/spreadsheets/d/13dXpQPVhqkYq4_nskzlqBStBGV-e40KoijFo33lxC7M/edit#gid=321345091</v>
      </c>
      <c r="H294" s="38" t="s">
        <v>205</v>
      </c>
      <c r="I294" s="31"/>
      <c r="J294" s="9"/>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E295" s="8" t="s">
        <v>178</v>
      </c>
      <c r="F295" s="8" t="s">
        <v>206</v>
      </c>
      <c r="G295" s="29"/>
      <c r="H295" s="36"/>
      <c r="I295" s="36"/>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E296" s="8" t="s">
        <v>21</v>
      </c>
      <c r="F296" s="8" t="s">
        <v>51</v>
      </c>
      <c r="G296" s="29" t="str">
        <f>HYPERLINK("https://docs.google.com/spreadsheets/d/13dXpQPVhqkYq4_nskzlqBStBGV-e40KoijFo33lxC7M/edit#gid=1850227512", "https://docs.google.com/spreadsheets/d/13dXpQPVhqkYq4_nskzlqBStBGV-e40KoijFo33lxC7M/edit#gid=1850227512")</f>
        <v>https://docs.google.com/spreadsheets/d/13dXpQPVhqkYq4_nskzlqBStBGV-e40KoijFo33lxC7M/edit#gid=1850227512</v>
      </c>
      <c r="H296" s="8" t="s">
        <v>1383</v>
      </c>
      <c r="I296" s="9"/>
      <c r="J296" s="9"/>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E297" s="8" t="s">
        <v>104</v>
      </c>
      <c r="F297" s="8" t="s">
        <v>250</v>
      </c>
      <c r="G297" s="29" t="str">
        <f>HYPERLINK("https://docs.google.com/spreadsheets/d/13dXpQPVhqkYq4_nskzlqBStBGV-e40KoijFo33lxC7M/edit#gid=1868060785", "https://docs.google.com/spreadsheets/d/13dXpQPVhqkYq4_nskzlqBStBGV-e40KoijFo33lxC7M/edit#gid=1868060785")</f>
        <v>https://docs.google.com/spreadsheets/d/13dXpQPVhqkYq4_nskzlqBStBGV-e40KoijFo33lxC7M/edit#gid=1868060785</v>
      </c>
      <c r="H297" s="8" t="s">
        <v>250</v>
      </c>
      <c r="I297" s="9"/>
      <c r="J297" s="9"/>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E298" s="8" t="s">
        <v>89</v>
      </c>
      <c r="F298" s="8" t="s">
        <v>291</v>
      </c>
      <c r="G298" s="29"/>
      <c r="H298" s="36"/>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344"/>
      <c r="C299" s="468"/>
      <c r="D299" s="468"/>
      <c r="E299" s="8"/>
      <c r="F299" s="8"/>
      <c r="G299" s="29"/>
      <c r="H299" s="36"/>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344" t="s">
        <v>4193</v>
      </c>
      <c r="C300" s="468" t="s">
        <v>4194</v>
      </c>
      <c r="D300" s="468" t="s">
        <v>20</v>
      </c>
      <c r="E300" s="28" t="s">
        <v>86</v>
      </c>
      <c r="F300" s="8" t="s">
        <v>87</v>
      </c>
      <c r="G300" s="29"/>
      <c r="H300" s="36"/>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E301" s="28" t="s">
        <v>88</v>
      </c>
      <c r="F301" s="8" t="s">
        <v>89</v>
      </c>
      <c r="G301" s="29"/>
      <c r="H301" s="36"/>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E302" s="28" t="s">
        <v>21</v>
      </c>
      <c r="F302" s="8" t="s">
        <v>51</v>
      </c>
      <c r="G302" s="29" t="str">
        <f>HYPERLINK("https://docs.google.com/spreadsheets/d/1V-NPVXWCl75ovV7k12LxO-44BCFHGhFScpYH3NLllIM/edit#gid=1939588121", "https://docs.google.com/spreadsheets/d/1V-NPVXWCl75ovV7k12LxO-44BCFHGhFScpYH3NLllIM/edit#gid=1939588121")</f>
        <v>https://docs.google.com/spreadsheets/d/1V-NPVXWCl75ovV7k12LxO-44BCFHGhFScpYH3NLllIM/edit#gid=1939588121</v>
      </c>
      <c r="H302" s="8" t="s">
        <v>51</v>
      </c>
      <c r="I302" s="9"/>
      <c r="J302" s="9"/>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E303" s="28" t="s">
        <v>172</v>
      </c>
      <c r="F303" s="38" t="s">
        <v>203</v>
      </c>
      <c r="G303" s="29" t="str">
        <f>HYPERLINK("https://docs.google.com/spreadsheets/d/1V-NPVXWCl75ovV7k12LxO-44BCFHGhFScpYH3NLllIM/edit#gid=541274128", "https://docs.google.com/spreadsheets/d/1V-NPVXWCl75ovV7k12LxO-44BCFHGhFScpYH3NLllIM/edit#gid=541274128")</f>
        <v>https://docs.google.com/spreadsheets/d/1V-NPVXWCl75ovV7k12LxO-44BCFHGhFScpYH3NLllIM/edit#gid=541274128</v>
      </c>
      <c r="H303" s="38" t="s">
        <v>203</v>
      </c>
      <c r="I303" s="9"/>
      <c r="J303" s="9"/>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E304" s="28" t="s">
        <v>172</v>
      </c>
      <c r="F304" s="28" t="s">
        <v>204</v>
      </c>
      <c r="G304" s="29" t="str">
        <f>HYPERLINK("https://docs.google.com/spreadsheets/d/1V-NPVXWCl75ovV7k12LxO-44BCFHGhFScpYH3NLllIM/edit#gid=172404969", "https://docs.google.com/spreadsheets/d/1V-NPVXWCl75ovV7k12LxO-44BCFHGhFScpYH3NLllIM/edit#gid=172404969")</f>
        <v>https://docs.google.com/spreadsheets/d/1V-NPVXWCl75ovV7k12LxO-44BCFHGhFScpYH3NLllIM/edit#gid=172404969</v>
      </c>
      <c r="H304" s="38" t="s">
        <v>204</v>
      </c>
      <c r="I304" s="9"/>
      <c r="J304" s="9"/>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E305" s="8" t="s">
        <v>172</v>
      </c>
      <c r="F305" s="8" t="s">
        <v>173</v>
      </c>
      <c r="G305" s="29" t="str">
        <f>HYPERLINK("https://docs.google.com/spreadsheets/d/1V-NPVXWCl75ovV7k12LxO-44BCFHGhFScpYH3NLllIM/edit#gid=2124985461", "https://docs.google.com/spreadsheets/d/1V-NPVXWCl75ovV7k12LxO-44BCFHGhFScpYH3NLllIM/edit#gid=2124985461")</f>
        <v>https://docs.google.com/spreadsheets/d/1V-NPVXWCl75ovV7k12LxO-44BCFHGhFScpYH3NLllIM/edit#gid=2124985461</v>
      </c>
      <c r="H305" s="8" t="s">
        <v>173</v>
      </c>
      <c r="I305" s="31"/>
      <c r="J305" s="9"/>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E306" s="8" t="s">
        <v>172</v>
      </c>
      <c r="F306" s="8" t="s">
        <v>402</v>
      </c>
      <c r="G306" s="29" t="str">
        <f>HYPERLINK("https://docs.google.com/spreadsheets/d/1V-NPVXWCl75ovV7k12LxO-44BCFHGhFScpYH3NLllIM/edit#gid=1419292146", "https://docs.google.com/spreadsheets/d/1V-NPVXWCl75ovV7k12LxO-44BCFHGhFScpYH3NLllIM/edit#gid=1419292146")</f>
        <v>https://docs.google.com/spreadsheets/d/1V-NPVXWCl75ovV7k12LxO-44BCFHGhFScpYH3NLllIM/edit#gid=1419292146</v>
      </c>
      <c r="H306" s="8" t="s">
        <v>402</v>
      </c>
      <c r="I306" s="31"/>
      <c r="J306" s="9"/>
      <c r="K306" s="11"/>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E307" s="8" t="s">
        <v>408</v>
      </c>
      <c r="F307" s="8" t="s">
        <v>408</v>
      </c>
      <c r="G307" s="29" t="str">
        <f>HYPERLINK("https://docs.google.com/spreadsheets/d/1V-NPVXWCl75ovV7k12LxO-44BCFHGhFScpYH3NLllIM/edit#gid=1659657195", "https://docs.google.com/spreadsheets/d/1V-NPVXWCl75ovV7k12LxO-44BCFHGhFScpYH3NLllIM/edit#gid=1659657195")</f>
        <v>https://docs.google.com/spreadsheets/d/1V-NPVXWCl75ovV7k12LxO-44BCFHGhFScpYH3NLllIM/edit#gid=1659657195</v>
      </c>
      <c r="H307" s="8" t="s">
        <v>408</v>
      </c>
      <c r="I307" s="9"/>
      <c r="J307" s="9"/>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E308" s="8" t="s">
        <v>86</v>
      </c>
      <c r="F308" s="8" t="s">
        <v>90</v>
      </c>
      <c r="G308" s="29" t="str">
        <f>HYPERLINK("https://docs.google.com/spreadsheets/d/1V-NPVXWCl75ovV7k12LxO-44BCFHGhFScpYH3NLllIM/edit#gid=339740830", "https://docs.google.com/spreadsheets/d/1V-NPVXWCl75ovV7k12LxO-44BCFHGhFScpYH3NLllIM/edit#gid=339740830")</f>
        <v>https://docs.google.com/spreadsheets/d/1V-NPVXWCl75ovV7k12LxO-44BCFHGhFScpYH3NLllIM/edit#gid=339740830</v>
      </c>
      <c r="H308" s="8" t="s">
        <v>90</v>
      </c>
      <c r="I308" s="9"/>
      <c r="J308" s="9"/>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E309" s="8" t="s">
        <v>86</v>
      </c>
      <c r="F309" s="8" t="s">
        <v>339</v>
      </c>
      <c r="G309" s="29" t="str">
        <f>HYPERLINK("https://docs.google.com/spreadsheets/d/1V-NPVXWCl75ovV7k12LxO-44BCFHGhFScpYH3NLllIM/edit#gid=97292820", "https://docs.google.com/spreadsheets/d/1V-NPVXWCl75ovV7k12LxO-44BCFHGhFScpYH3NLllIM/edit#gid=97292820")</f>
        <v>https://docs.google.com/spreadsheets/d/1V-NPVXWCl75ovV7k12LxO-44BCFHGhFScpYH3NLllIM/edit#gid=97292820</v>
      </c>
      <c r="H309" s="8" t="s">
        <v>339</v>
      </c>
      <c r="I309" s="9"/>
      <c r="J309" s="9"/>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E310" s="28" t="s">
        <v>178</v>
      </c>
      <c r="F310" s="8" t="s">
        <v>205</v>
      </c>
      <c r="G310" s="29" t="str">
        <f>HYPERLINK("https://docs.google.com/spreadsheets/d/1V-NPVXWCl75ovV7k12LxO-44BCFHGhFScpYH3NLllIM/edit#gid=1203631237", "https://docs.google.com/spreadsheets/d/1V-NPVXWCl75ovV7k12LxO-44BCFHGhFScpYH3NLllIM/edit#gid=1203631237")</f>
        <v>https://docs.google.com/spreadsheets/d/1V-NPVXWCl75ovV7k12LxO-44BCFHGhFScpYH3NLllIM/edit#gid=1203631237</v>
      </c>
      <c r="H310" s="8" t="s">
        <v>205</v>
      </c>
      <c r="I310" s="9"/>
      <c r="J310" s="9"/>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E311" s="28" t="s">
        <v>178</v>
      </c>
      <c r="F311" s="38" t="s">
        <v>206</v>
      </c>
      <c r="G311" s="29"/>
      <c r="H311" s="36"/>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E312" s="28" t="s">
        <v>104</v>
      </c>
      <c r="F312" s="28" t="s">
        <v>250</v>
      </c>
      <c r="G312" s="29" t="str">
        <f>HYPERLINK("https://docs.google.com/spreadsheets/d/1V-NPVXWCl75ovV7k12LxO-44BCFHGhFScpYH3NLllIM/edit#gid=1266215704", "https://docs.google.com/spreadsheets/d/1V-NPVXWCl75ovV7k12LxO-44BCFHGhFScpYH3NLllIM/edit#gid=1266215704")</f>
        <v>https://docs.google.com/spreadsheets/d/1V-NPVXWCl75ovV7k12LxO-44BCFHGhFScpYH3NLllIM/edit#gid=1266215704</v>
      </c>
      <c r="H312" s="38" t="s">
        <v>250</v>
      </c>
      <c r="I312" s="9"/>
      <c r="J312" s="9"/>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15"/>
      <c r="E313" s="8" t="s">
        <v>89</v>
      </c>
      <c r="F313" s="8" t="s">
        <v>291</v>
      </c>
      <c r="G313" s="29"/>
      <c r="H313" s="36"/>
      <c r="I313" s="36"/>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344"/>
      <c r="C314" s="468"/>
      <c r="D314" s="468"/>
      <c r="E314" s="8"/>
      <c r="F314" s="8"/>
      <c r="G314" s="29"/>
      <c r="H314" s="36"/>
      <c r="I314" s="36"/>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344" t="s">
        <v>4195</v>
      </c>
      <c r="C315" s="468" t="s">
        <v>4196</v>
      </c>
      <c r="D315" s="468" t="s">
        <v>20</v>
      </c>
      <c r="E315" s="8" t="s">
        <v>86</v>
      </c>
      <c r="F315" s="8" t="s">
        <v>87</v>
      </c>
      <c r="G315" s="29"/>
      <c r="H315" s="36"/>
      <c r="I315" s="36"/>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E316" s="8" t="s">
        <v>88</v>
      </c>
      <c r="F316" s="8" t="s">
        <v>89</v>
      </c>
      <c r="G316" s="29"/>
      <c r="H316" s="36"/>
      <c r="I316" s="36"/>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E317" s="8" t="s">
        <v>21</v>
      </c>
      <c r="F317" s="8" t="s">
        <v>51</v>
      </c>
      <c r="G317" s="29" t="str">
        <f>HYPERLINK("https://docs.google.com/spreadsheets/d/1AN8f9TdTgPp1-MNxAkro-aEhn87g8WMwj7ebuetLRPY/edit#gid=1644093525", "https://docs.google.com/spreadsheets/d/1AN8f9TdTgPp1-MNxAkro-aEhn87g8WMwj7ebuetLRPY/edit#gid=1644093525")</f>
        <v>https://docs.google.com/spreadsheets/d/1AN8f9TdTgPp1-MNxAkro-aEhn87g8WMwj7ebuetLRPY/edit#gid=1644093525</v>
      </c>
      <c r="H317" s="8" t="s">
        <v>51</v>
      </c>
      <c r="I317" s="31"/>
      <c r="J317" s="9"/>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E318" s="8" t="s">
        <v>172</v>
      </c>
      <c r="F318" s="8" t="s">
        <v>203</v>
      </c>
      <c r="G318" s="29" t="str">
        <f>HYPERLINK("https://docs.google.com/spreadsheets/d/1AN8f9TdTgPp1-MNxAkro-aEhn87g8WMwj7ebuetLRPY/edit#gid=1709315447", "https://docs.google.com/spreadsheets/d/1AN8f9TdTgPp1-MNxAkro-aEhn87g8WMwj7ebuetLRPY/edit#gid=1709315447")</f>
        <v>https://docs.google.com/spreadsheets/d/1AN8f9TdTgPp1-MNxAkro-aEhn87g8WMwj7ebuetLRPY/edit#gid=1709315447</v>
      </c>
      <c r="H318" s="8" t="s">
        <v>203</v>
      </c>
      <c r="I318" s="9"/>
      <c r="J318" s="9"/>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E319" s="8" t="s">
        <v>172</v>
      </c>
      <c r="F319" s="8" t="s">
        <v>204</v>
      </c>
      <c r="G319" s="29" t="str">
        <f>HYPERLINK("https://docs.google.com/spreadsheets/d/1AN8f9TdTgPp1-MNxAkro-aEhn87g8WMwj7ebuetLRPY/edit#gid=1960852315", "https://docs.google.com/spreadsheets/d/1AN8f9TdTgPp1-MNxAkro-aEhn87g8WMwj7ebuetLRPY/edit#gid=1960852315")</f>
        <v>https://docs.google.com/spreadsheets/d/1AN8f9TdTgPp1-MNxAkro-aEhn87g8WMwj7ebuetLRPY/edit#gid=1960852315</v>
      </c>
      <c r="H319" s="8" t="s">
        <v>204</v>
      </c>
      <c r="I319" s="9"/>
      <c r="J319" s="9"/>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E320" s="8" t="s">
        <v>172</v>
      </c>
      <c r="F320" s="8" t="s">
        <v>173</v>
      </c>
      <c r="G320" s="29" t="str">
        <f>HYPERLINK("https://docs.google.com/spreadsheets/d/1AN8f9TdTgPp1-MNxAkro-aEhn87g8WMwj7ebuetLRPY/edit#gid=1012837236", "https://docs.google.com/spreadsheets/d/1AN8f9TdTgPp1-MNxAkro-aEhn87g8WMwj7ebuetLRPY/edit#gid=1012837236")</f>
        <v>https://docs.google.com/spreadsheets/d/1AN8f9TdTgPp1-MNxAkro-aEhn87g8WMwj7ebuetLRPY/edit#gid=1012837236</v>
      </c>
      <c r="H320" s="8" t="s">
        <v>173</v>
      </c>
      <c r="I320" s="9"/>
      <c r="J320" s="9"/>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E321" s="28" t="s">
        <v>172</v>
      </c>
      <c r="F321" s="8" t="s">
        <v>402</v>
      </c>
      <c r="G321" s="29" t="str">
        <f>HYPERLINK("https://docs.google.com/spreadsheets/d/1AN8f9TdTgPp1-MNxAkro-aEhn87g8WMwj7ebuetLRPY/edit#gid=1586931210", "https://docs.google.com/spreadsheets/d/1AN8f9TdTgPp1-MNxAkro-aEhn87g8WMwj7ebuetLRPY/edit#gid=1586931210")</f>
        <v>https://docs.google.com/spreadsheets/d/1AN8f9TdTgPp1-MNxAkro-aEhn87g8WMwj7ebuetLRPY/edit#gid=1586931210</v>
      </c>
      <c r="H321" s="8" t="s">
        <v>402</v>
      </c>
      <c r="I321" s="9"/>
      <c r="J321" s="9"/>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E322" s="28" t="s">
        <v>408</v>
      </c>
      <c r="F322" s="38" t="s">
        <v>408</v>
      </c>
      <c r="G322" s="29" t="str">
        <f>HYPERLINK("https://docs.google.com/spreadsheets/d/1AN8f9TdTgPp1-MNxAkro-aEhn87g8WMwj7ebuetLRPY/edit#gid=254260017", "https://docs.google.com/spreadsheets/d/1AN8f9TdTgPp1-MNxAkro-aEhn87g8WMwj7ebuetLRPY/edit#gid=254260017")</f>
        <v>https://docs.google.com/spreadsheets/d/1AN8f9TdTgPp1-MNxAkro-aEhn87g8WMwj7ebuetLRPY/edit#gid=254260017</v>
      </c>
      <c r="H322" s="38" t="s">
        <v>408</v>
      </c>
      <c r="I322" s="9"/>
      <c r="J322" s="9"/>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E323" s="28" t="s">
        <v>21</v>
      </c>
      <c r="F323" s="38" t="s">
        <v>51</v>
      </c>
      <c r="G323" s="29" t="str">
        <f>HYPERLINK("https://docs.google.com/spreadsheets/d/1AN8f9TdTgPp1-MNxAkro-aEhn87g8WMwj7ebuetLRPY/edit#gid=1198625585", "https://docs.google.com/spreadsheets/d/1AN8f9TdTgPp1-MNxAkro-aEhn87g8WMwj7ebuetLRPY/edit#gid=1198625585")</f>
        <v>https://docs.google.com/spreadsheets/d/1AN8f9TdTgPp1-MNxAkro-aEhn87g8WMwj7ebuetLRPY/edit#gid=1198625585</v>
      </c>
      <c r="H323" s="38" t="s">
        <v>1383</v>
      </c>
      <c r="I323" s="9"/>
      <c r="J323" s="9"/>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E324" s="28" t="s">
        <v>86</v>
      </c>
      <c r="F324" s="28" t="s">
        <v>90</v>
      </c>
      <c r="G324" s="29" t="str">
        <f>HYPERLINK("https://docs.google.com/spreadsheets/d/1AN8f9TdTgPp1-MNxAkro-aEhn87g8WMwj7ebuetLRPY/edit#gid=472005237", "https://docs.google.com/spreadsheets/d/1AN8f9TdTgPp1-MNxAkro-aEhn87g8WMwj7ebuetLRPY/edit#gid=472005237")</f>
        <v>https://docs.google.com/spreadsheets/d/1AN8f9TdTgPp1-MNxAkro-aEhn87g8WMwj7ebuetLRPY/edit#gid=472005237</v>
      </c>
      <c r="H324" s="38" t="s">
        <v>90</v>
      </c>
      <c r="I324" s="9"/>
      <c r="J324" s="9"/>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E325" s="8" t="s">
        <v>86</v>
      </c>
      <c r="F325" s="8" t="s">
        <v>339</v>
      </c>
      <c r="G325" s="29" t="str">
        <f>HYPERLINK("https://docs.google.com/spreadsheets/d/1AN8f9TdTgPp1-MNxAkro-aEhn87g8WMwj7ebuetLRPY/edit#gid=1348871492", "https://docs.google.com/spreadsheets/d/1AN8f9TdTgPp1-MNxAkro-aEhn87g8WMwj7ebuetLRPY/edit#gid=1348871492")</f>
        <v>https://docs.google.com/spreadsheets/d/1AN8f9TdTgPp1-MNxAkro-aEhn87g8WMwj7ebuetLRPY/edit#gid=1348871492</v>
      </c>
      <c r="H325" s="8" t="s">
        <v>339</v>
      </c>
      <c r="I325" s="9"/>
      <c r="J325" s="9"/>
      <c r="K325" s="11"/>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E326" s="8" t="s">
        <v>178</v>
      </c>
      <c r="F326" s="8" t="s">
        <v>205</v>
      </c>
      <c r="G326" s="29" t="str">
        <f>HYPERLINK("https://docs.google.com/spreadsheets/d/1AN8f9TdTgPp1-MNxAkro-aEhn87g8WMwj7ebuetLRPY/edit#gid=813548313", "https://docs.google.com/spreadsheets/d/1AN8f9TdTgPp1-MNxAkro-aEhn87g8WMwj7ebuetLRPY/edit#gid=813548313")</f>
        <v>https://docs.google.com/spreadsheets/d/1AN8f9TdTgPp1-MNxAkro-aEhn87g8WMwj7ebuetLRPY/edit#gid=813548313</v>
      </c>
      <c r="H326" s="8" t="s">
        <v>205</v>
      </c>
      <c r="I326" s="9"/>
      <c r="J326" s="9"/>
      <c r="K326" s="11"/>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E327" s="8" t="s">
        <v>178</v>
      </c>
      <c r="F327" s="8" t="s">
        <v>206</v>
      </c>
      <c r="G327" s="29"/>
      <c r="H327" s="36"/>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E328" s="8" t="s">
        <v>104</v>
      </c>
      <c r="F328" s="8" t="s">
        <v>250</v>
      </c>
      <c r="G328" s="29" t="str">
        <f>HYPERLINK("https://docs.google.com/spreadsheets/d/1AN8f9TdTgPp1-MNxAkro-aEhn87g8WMwj7ebuetLRPY/edit#gid=2114372160", "https://docs.google.com/spreadsheets/d/1AN8f9TdTgPp1-MNxAkro-aEhn87g8WMwj7ebuetLRPY/edit#gid=2114372160")</f>
        <v>https://docs.google.com/spreadsheets/d/1AN8f9TdTgPp1-MNxAkro-aEhn87g8WMwj7ebuetLRPY/edit#gid=2114372160</v>
      </c>
      <c r="H328" s="8" t="s">
        <v>250</v>
      </c>
      <c r="I328" s="9"/>
      <c r="J328" s="9"/>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E329" s="28" t="s">
        <v>89</v>
      </c>
      <c r="F329" s="8" t="s">
        <v>291</v>
      </c>
      <c r="G329" s="29"/>
      <c r="H329" s="36"/>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344"/>
      <c r="C330" s="468"/>
      <c r="D330" s="468"/>
      <c r="E330" s="28"/>
      <c r="F330" s="8"/>
      <c r="G330" s="29"/>
      <c r="H330" s="36"/>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344" t="s">
        <v>4197</v>
      </c>
      <c r="C331" s="468" t="s">
        <v>4198</v>
      </c>
      <c r="D331" s="468" t="s">
        <v>20</v>
      </c>
      <c r="E331" s="28" t="s">
        <v>86</v>
      </c>
      <c r="F331" s="38" t="s">
        <v>87</v>
      </c>
      <c r="G331" s="29"/>
      <c r="H331" s="36"/>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E332" s="28" t="s">
        <v>88</v>
      </c>
      <c r="F332" s="38" t="s">
        <v>89</v>
      </c>
      <c r="G332" s="29"/>
      <c r="H332" s="36"/>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E333" s="28" t="s">
        <v>21</v>
      </c>
      <c r="F333" s="38" t="s">
        <v>51</v>
      </c>
      <c r="G333" s="29" t="str">
        <f>HYPERLINK("https://docs.google.com/spreadsheets/d/1tit5M_fe6ct4JwVLbmXnUnZukKLb5tHdlOfOdgLULHk/edit#gid=1359269143", "https://docs.google.com/spreadsheets/d/1tit5M_fe6ct4JwVLbmXnUnZukKLb5tHdlOfOdgLULHk/edit#gid=1359269143")</f>
        <v>https://docs.google.com/spreadsheets/d/1tit5M_fe6ct4JwVLbmXnUnZukKLb5tHdlOfOdgLULHk/edit#gid=1359269143</v>
      </c>
      <c r="H333" s="38" t="s">
        <v>51</v>
      </c>
      <c r="I333" s="9"/>
      <c r="J333" s="9"/>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E334" s="28" t="s">
        <v>172</v>
      </c>
      <c r="F334" s="28" t="s">
        <v>203</v>
      </c>
      <c r="G334" s="29" t="str">
        <f>HYPERLINK("https://docs.google.com/spreadsheets/d/1tit5M_fe6ct4JwVLbmXnUnZukKLb5tHdlOfOdgLULHk/edit#gid=492949218", "https://docs.google.com/spreadsheets/d/1tit5M_fe6ct4JwVLbmXnUnZukKLb5tHdlOfOdgLULHk/edit#gid=492949218")</f>
        <v>https://docs.google.com/spreadsheets/d/1tit5M_fe6ct4JwVLbmXnUnZukKLb5tHdlOfOdgLULHk/edit#gid=492949218</v>
      </c>
      <c r="H334" s="38" t="s">
        <v>203</v>
      </c>
      <c r="I334" s="9"/>
      <c r="J334" s="9"/>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E335" s="8" t="s">
        <v>172</v>
      </c>
      <c r="F335" s="8" t="s">
        <v>204</v>
      </c>
      <c r="G335" s="29" t="str">
        <f>HYPERLINK("https://docs.google.com/spreadsheets/d/1tit5M_fe6ct4JwVLbmXnUnZukKLb5tHdlOfOdgLULHk/edit#gid=1440154372", "https://docs.google.com/spreadsheets/d/1tit5M_fe6ct4JwVLbmXnUnZukKLb5tHdlOfOdgLULHk/edit#gid=1440154372")</f>
        <v>https://docs.google.com/spreadsheets/d/1tit5M_fe6ct4JwVLbmXnUnZukKLb5tHdlOfOdgLULHk/edit#gid=1440154372</v>
      </c>
      <c r="H335" s="8" t="s">
        <v>204</v>
      </c>
      <c r="I335" s="31"/>
      <c r="J335" s="9"/>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E336" s="8" t="s">
        <v>172</v>
      </c>
      <c r="F336" s="8" t="s">
        <v>203</v>
      </c>
      <c r="G336" s="29" t="str">
        <f>HYPERLINK("https://docs.google.com/spreadsheets/d/1tit5M_fe6ct4JwVLbmXnUnZukKLb5tHdlOfOdgLULHk/edit#gid=478722595", "https://docs.google.com/spreadsheets/d/1tit5M_fe6ct4JwVLbmXnUnZukKLb5tHdlOfOdgLULHk/edit#gid=478722595")</f>
        <v>https://docs.google.com/spreadsheets/d/1tit5M_fe6ct4JwVLbmXnUnZukKLb5tHdlOfOdgLULHk/edit#gid=478722595</v>
      </c>
      <c r="H336" s="8" t="s">
        <v>1995</v>
      </c>
      <c r="I336" s="31"/>
      <c r="J336" s="9"/>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E337" s="8" t="s">
        <v>172</v>
      </c>
      <c r="F337" s="8" t="s">
        <v>204</v>
      </c>
      <c r="G337" s="29" t="str">
        <f>HYPERLINK("https://docs.google.com/spreadsheets/d/1tit5M_fe6ct4JwVLbmXnUnZukKLb5tHdlOfOdgLULHk/edit#gid=1062474108", "https://docs.google.com/spreadsheets/d/1tit5M_fe6ct4JwVLbmXnUnZukKLb5tHdlOfOdgLULHk/edit#gid=1062474108")</f>
        <v>https://docs.google.com/spreadsheets/d/1tit5M_fe6ct4JwVLbmXnUnZukKLb5tHdlOfOdgLULHk/edit#gid=1062474108</v>
      </c>
      <c r="H337" s="8" t="s">
        <v>1996</v>
      </c>
      <c r="I337" s="9"/>
      <c r="J337" s="9"/>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E338" s="8" t="s">
        <v>172</v>
      </c>
      <c r="F338" s="8" t="s">
        <v>173</v>
      </c>
      <c r="G338" s="29" t="str">
        <f>HYPERLINK("https://docs.google.com/spreadsheets/d/1tit5M_fe6ct4JwVLbmXnUnZukKLb5tHdlOfOdgLULHk/edit#gid=89679960", "https://docs.google.com/spreadsheets/d/1tit5M_fe6ct4JwVLbmXnUnZukKLb5tHdlOfOdgLULHk/edit#gid=89679960")</f>
        <v>https://docs.google.com/spreadsheets/d/1tit5M_fe6ct4JwVLbmXnUnZukKLb5tHdlOfOdgLULHk/edit#gid=89679960</v>
      </c>
      <c r="H338" s="8" t="s">
        <v>173</v>
      </c>
      <c r="I338" s="9"/>
      <c r="J338" s="9"/>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E339" s="8" t="s">
        <v>172</v>
      </c>
      <c r="F339" s="8" t="s">
        <v>402</v>
      </c>
      <c r="G339" s="29" t="str">
        <f>HYPERLINK("https://docs.google.com/spreadsheets/d/1tit5M_fe6ct4JwVLbmXnUnZukKLb5tHdlOfOdgLULHk/edit#gid=1148240794", "https://docs.google.com/spreadsheets/d/1tit5M_fe6ct4JwVLbmXnUnZukKLb5tHdlOfOdgLULHk/edit#gid=1148240794")</f>
        <v>https://docs.google.com/spreadsheets/d/1tit5M_fe6ct4JwVLbmXnUnZukKLb5tHdlOfOdgLULHk/edit#gid=1148240794</v>
      </c>
      <c r="H339" s="8" t="s">
        <v>402</v>
      </c>
      <c r="I339" s="9"/>
      <c r="J339" s="9"/>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E340" s="28" t="s">
        <v>172</v>
      </c>
      <c r="F340" s="8" t="s">
        <v>173</v>
      </c>
      <c r="G340" s="29" t="str">
        <f>HYPERLINK("https://docs.google.com/spreadsheets/d/1tit5M_fe6ct4JwVLbmXnUnZukKLb5tHdlOfOdgLULHk/edit#gid=401226642", "https://docs.google.com/spreadsheets/d/1tit5M_fe6ct4JwVLbmXnUnZukKLb5tHdlOfOdgLULHk/edit#gid=401226642")</f>
        <v>https://docs.google.com/spreadsheets/d/1tit5M_fe6ct4JwVLbmXnUnZukKLb5tHdlOfOdgLULHk/edit#gid=401226642</v>
      </c>
      <c r="H340" s="8" t="s">
        <v>269</v>
      </c>
      <c r="I340" s="9"/>
      <c r="J340" s="9"/>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E341" s="28" t="s">
        <v>172</v>
      </c>
      <c r="F341" s="38" t="s">
        <v>402</v>
      </c>
      <c r="G341" s="29" t="str">
        <f>HYPERLINK("https://docs.google.com/spreadsheets/d/1tit5M_fe6ct4JwVLbmXnUnZukKLb5tHdlOfOdgLULHk/edit#gid=253215426", "https://docs.google.com/spreadsheets/d/1tit5M_fe6ct4JwVLbmXnUnZukKLb5tHdlOfOdgLULHk/edit#gid=253215426")</f>
        <v>https://docs.google.com/spreadsheets/d/1tit5M_fe6ct4JwVLbmXnUnZukKLb5tHdlOfOdgLULHk/edit#gid=253215426</v>
      </c>
      <c r="H341" s="38" t="s">
        <v>2053</v>
      </c>
      <c r="I341" s="9"/>
      <c r="J341" s="9"/>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E342" s="28" t="s">
        <v>408</v>
      </c>
      <c r="F342" s="28" t="s">
        <v>408</v>
      </c>
      <c r="G342" s="29" t="str">
        <f>HYPERLINK("https://docs.google.com/spreadsheets/d/1tit5M_fe6ct4JwVLbmXnUnZukKLb5tHdlOfOdgLULHk/edit#gid=930354522", "https://docs.google.com/spreadsheets/d/1tit5M_fe6ct4JwVLbmXnUnZukKLb5tHdlOfOdgLULHk/edit#gid=930354522")</f>
        <v>https://docs.google.com/spreadsheets/d/1tit5M_fe6ct4JwVLbmXnUnZukKLb5tHdlOfOdgLULHk/edit#gid=930354522</v>
      </c>
      <c r="H342" s="38" t="s">
        <v>408</v>
      </c>
      <c r="I342" s="9"/>
      <c r="J342" s="9"/>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E343" s="8" t="s">
        <v>4188</v>
      </c>
      <c r="F343" s="8" t="s">
        <v>90</v>
      </c>
      <c r="G343" s="29" t="str">
        <f>HYPERLINK("https://docs.google.com/spreadsheets/d/1tit5M_fe6ct4JwVLbmXnUnZukKLb5tHdlOfOdgLULHk/edit#gid=581351454", "https://docs.google.com/spreadsheets/d/1tit5M_fe6ct4JwVLbmXnUnZukKLb5tHdlOfOdgLULHk/edit#gid=581351454")</f>
        <v>https://docs.google.com/spreadsheets/d/1tit5M_fe6ct4JwVLbmXnUnZukKLb5tHdlOfOdgLULHk/edit#gid=581351454</v>
      </c>
      <c r="H343" s="8" t="s">
        <v>90</v>
      </c>
      <c r="I343" s="31"/>
      <c r="J343" s="9"/>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E344" s="8" t="s">
        <v>86</v>
      </c>
      <c r="F344" s="8" t="s">
        <v>339</v>
      </c>
      <c r="G344" s="29" t="str">
        <f>HYPERLINK("https://docs.google.com/spreadsheets/d/1tit5M_fe6ct4JwVLbmXnUnZukKLb5tHdlOfOdgLULHk/edit#gid=619561730", "https://docs.google.com/spreadsheets/d/1tit5M_fe6ct4JwVLbmXnUnZukKLb5tHdlOfOdgLULHk/edit#gid=619561730")</f>
        <v>https://docs.google.com/spreadsheets/d/1tit5M_fe6ct4JwVLbmXnUnZukKLb5tHdlOfOdgLULHk/edit#gid=619561730</v>
      </c>
      <c r="H344" s="8" t="s">
        <v>339</v>
      </c>
      <c r="I344" s="31"/>
      <c r="J344" s="9"/>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E345" s="8" t="s">
        <v>178</v>
      </c>
      <c r="F345" s="8" t="s">
        <v>205</v>
      </c>
      <c r="G345" s="29" t="str">
        <f>HYPERLINK("https://docs.google.com/spreadsheets/d/1tit5M_fe6ct4JwVLbmXnUnZukKLb5tHdlOfOdgLULHk/edit#gid=1947452949", "https://docs.google.com/spreadsheets/d/1tit5M_fe6ct4JwVLbmXnUnZukKLb5tHdlOfOdgLULHk/edit#gid=1947452949")</f>
        <v>https://docs.google.com/spreadsheets/d/1tit5M_fe6ct4JwVLbmXnUnZukKLb5tHdlOfOdgLULHk/edit#gid=1947452949</v>
      </c>
      <c r="H345" s="8" t="s">
        <v>205</v>
      </c>
      <c r="I345" s="9"/>
      <c r="J345" s="9"/>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E346" s="8" t="s">
        <v>178</v>
      </c>
      <c r="F346" s="8" t="s">
        <v>206</v>
      </c>
      <c r="G346" s="29"/>
      <c r="H346" s="36"/>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E347" s="8" t="s">
        <v>104</v>
      </c>
      <c r="F347" s="8" t="s">
        <v>250</v>
      </c>
      <c r="G347" s="29" t="str">
        <f>HYPERLINK("https://docs.google.com/spreadsheets/d/1tit5M_fe6ct4JwVLbmXnUnZukKLb5tHdlOfOdgLULHk/edit#gid=206833404", "https://docs.google.com/spreadsheets/d/1tit5M_fe6ct4JwVLbmXnUnZukKLb5tHdlOfOdgLULHk/edit#gid=206833404")</f>
        <v>https://docs.google.com/spreadsheets/d/1tit5M_fe6ct4JwVLbmXnUnZukKLb5tHdlOfOdgLULHk/edit#gid=206833404</v>
      </c>
      <c r="H347" s="8" t="s">
        <v>250</v>
      </c>
      <c r="I347" s="9"/>
      <c r="J347" s="9"/>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E348" s="28" t="s">
        <v>89</v>
      </c>
      <c r="F348" s="8" t="s">
        <v>291</v>
      </c>
      <c r="G348" s="29"/>
      <c r="H348" s="36"/>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344"/>
      <c r="C349" s="468"/>
      <c r="D349" s="468"/>
      <c r="E349" s="28"/>
      <c r="F349" s="8"/>
      <c r="G349" s="29"/>
      <c r="H349" s="36"/>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344" t="s">
        <v>4199</v>
      </c>
      <c r="C350" s="468" t="s">
        <v>4200</v>
      </c>
      <c r="D350" s="468" t="s">
        <v>20</v>
      </c>
      <c r="E350" s="28" t="s">
        <v>86</v>
      </c>
      <c r="F350" s="38" t="s">
        <v>87</v>
      </c>
      <c r="G350" s="29"/>
      <c r="H350" s="36"/>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E351" s="28" t="s">
        <v>88</v>
      </c>
      <c r="F351" s="38" t="s">
        <v>89</v>
      </c>
      <c r="G351" s="29"/>
      <c r="H351" s="36"/>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E352" s="28" t="s">
        <v>21</v>
      </c>
      <c r="F352" s="38" t="s">
        <v>51</v>
      </c>
      <c r="G352" s="29" t="str">
        <f>HYPERLINK("https://docs.google.com/spreadsheets/d/1bE7sDSVI2TZUQm5b9biAmoktlzxteL5unmA5bIIUDRo/edit#gid=480275940", "https://docs.google.com/spreadsheets/d/1bE7sDSVI2TZUQm5b9biAmoktlzxteL5unmA5bIIUDRo/edit#gid=480275940")</f>
        <v>https://docs.google.com/spreadsheets/d/1bE7sDSVI2TZUQm5b9biAmoktlzxteL5unmA5bIIUDRo/edit#gid=480275940</v>
      </c>
      <c r="H352" s="38" t="s">
        <v>51</v>
      </c>
      <c r="I352" s="9"/>
      <c r="J352" s="9"/>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E353" s="28" t="s">
        <v>172</v>
      </c>
      <c r="F353" s="28" t="s">
        <v>203</v>
      </c>
      <c r="G353" s="29" t="str">
        <f>HYPERLINK("https://docs.google.com/spreadsheets/d/1bE7sDSVI2TZUQm5b9biAmoktlzxteL5unmA5bIIUDRo/edit#gid=809984646", "https://docs.google.com/spreadsheets/d/1bE7sDSVI2TZUQm5b9biAmoktlzxteL5unmA5bIIUDRo/edit#gid=809984646")</f>
        <v>https://docs.google.com/spreadsheets/d/1bE7sDSVI2TZUQm5b9biAmoktlzxteL5unmA5bIIUDRo/edit#gid=809984646</v>
      </c>
      <c r="H353" s="38" t="s">
        <v>203</v>
      </c>
      <c r="I353" s="9"/>
      <c r="J353" s="9"/>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E354" s="8" t="s">
        <v>172</v>
      </c>
      <c r="F354" s="8" t="s">
        <v>204</v>
      </c>
      <c r="G354" s="29" t="str">
        <f>HYPERLINK("https://docs.google.com/spreadsheets/d/1bE7sDSVI2TZUQm5b9biAmoktlzxteL5unmA5bIIUDRo/edit#gid=1331811970", "https://docs.google.com/spreadsheets/d/1bE7sDSVI2TZUQm5b9biAmoktlzxteL5unmA5bIIUDRo/edit#gid=1331811970")</f>
        <v>https://docs.google.com/spreadsheets/d/1bE7sDSVI2TZUQm5b9biAmoktlzxteL5unmA5bIIUDRo/edit#gid=1331811970</v>
      </c>
      <c r="H354" s="8" t="s">
        <v>204</v>
      </c>
      <c r="I354" s="9"/>
      <c r="J354" s="9"/>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E355" s="8" t="s">
        <v>172</v>
      </c>
      <c r="F355" s="8" t="s">
        <v>173</v>
      </c>
      <c r="G355" s="29" t="str">
        <f>HYPERLINK("https://docs.google.com/spreadsheets/d/1bE7sDSVI2TZUQm5b9biAmoktlzxteL5unmA5bIIUDRo/edit#gid=658754869", "https://docs.google.com/spreadsheets/d/1bE7sDSVI2TZUQm5b9biAmoktlzxteL5unmA5bIIUDRo/edit#gid=658754869")</f>
        <v>https://docs.google.com/spreadsheets/d/1bE7sDSVI2TZUQm5b9biAmoktlzxteL5unmA5bIIUDRo/edit#gid=658754869</v>
      </c>
      <c r="H355" s="8" t="s">
        <v>173</v>
      </c>
      <c r="I355" s="9"/>
      <c r="J355" s="9"/>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E356" s="8" t="s">
        <v>172</v>
      </c>
      <c r="F356" s="8" t="s">
        <v>402</v>
      </c>
      <c r="G356" s="29" t="str">
        <f>HYPERLINK("https://docs.google.com/spreadsheets/d/1bE7sDSVI2TZUQm5b9biAmoktlzxteL5unmA5bIIUDRo/edit#gid=216150186", "https://docs.google.com/spreadsheets/d/1bE7sDSVI2TZUQm5b9biAmoktlzxteL5unmA5bIIUDRo/edit#gid=216150186")</f>
        <v>https://docs.google.com/spreadsheets/d/1bE7sDSVI2TZUQm5b9biAmoktlzxteL5unmA5bIIUDRo/edit#gid=216150186</v>
      </c>
      <c r="H356" s="8" t="s">
        <v>402</v>
      </c>
      <c r="I356" s="9"/>
      <c r="J356" s="9"/>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E357" s="8" t="s">
        <v>408</v>
      </c>
      <c r="F357" s="8" t="s">
        <v>408</v>
      </c>
      <c r="G357" s="29" t="str">
        <f>HYPERLINK("https://docs.google.com/spreadsheets/d/1bE7sDSVI2TZUQm5b9biAmoktlzxteL5unmA5bIIUDRo/edit#gid=1809879526", "https://docs.google.com/spreadsheets/d/1bE7sDSVI2TZUQm5b9biAmoktlzxteL5unmA5bIIUDRo/edit#gid=1809879526")</f>
        <v>https://docs.google.com/spreadsheets/d/1bE7sDSVI2TZUQm5b9biAmoktlzxteL5unmA5bIIUDRo/edit#gid=1809879526</v>
      </c>
      <c r="H357" s="8" t="s">
        <v>408</v>
      </c>
      <c r="I357" s="9"/>
      <c r="J357" s="9"/>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E358" s="8" t="s">
        <v>178</v>
      </c>
      <c r="F358" s="8" t="s">
        <v>205</v>
      </c>
      <c r="G358" s="29" t="str">
        <f>HYPERLINK("https://docs.google.com/spreadsheets/d/1bE7sDSVI2TZUQm5b9biAmoktlzxteL5unmA5bIIUDRo/edit#gid=897169138", "https://docs.google.com/spreadsheets/d/1bE7sDSVI2TZUQm5b9biAmoktlzxteL5unmA5bIIUDRo/edit#gid=897169138")</f>
        <v>https://docs.google.com/spreadsheets/d/1bE7sDSVI2TZUQm5b9biAmoktlzxteL5unmA5bIIUDRo/edit#gid=897169138</v>
      </c>
      <c r="H358" s="8" t="s">
        <v>205</v>
      </c>
      <c r="I358" s="9"/>
      <c r="J358" s="9"/>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E359" s="28" t="s">
        <v>178</v>
      </c>
      <c r="F359" s="8" t="s">
        <v>206</v>
      </c>
      <c r="G359" s="29"/>
      <c r="H359" s="36"/>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E360" s="28" t="s">
        <v>104</v>
      </c>
      <c r="F360" s="38" t="s">
        <v>250</v>
      </c>
      <c r="G360" s="29" t="str">
        <f>HYPERLINK("https://docs.google.com/spreadsheets/d/1bE7sDSVI2TZUQm5b9biAmoktlzxteL5unmA5bIIUDRo/edit#gid=1803648510", "https://docs.google.com/spreadsheets/d/1bE7sDSVI2TZUQm5b9biAmoktlzxteL5unmA5bIIUDRo/edit#gid=1803648510")</f>
        <v>https://docs.google.com/spreadsheets/d/1bE7sDSVI2TZUQm5b9biAmoktlzxteL5unmA5bIIUDRo/edit#gid=1803648510</v>
      </c>
      <c r="H360" s="38" t="s">
        <v>250</v>
      </c>
      <c r="I360" s="9"/>
      <c r="J360" s="9"/>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E361" s="28" t="s">
        <v>89</v>
      </c>
      <c r="F361" s="28" t="s">
        <v>291</v>
      </c>
      <c r="G361" s="29"/>
      <c r="H361" s="36"/>
      <c r="I361" s="36"/>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345"/>
      <c r="C362" s="471"/>
      <c r="D362" s="471"/>
      <c r="E362" s="31"/>
      <c r="F362" s="31"/>
      <c r="G362" s="29"/>
      <c r="H362" s="31"/>
      <c r="I362" s="31"/>
      <c r="J362" s="9"/>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344" t="s">
        <v>4201</v>
      </c>
      <c r="C363" s="468" t="s">
        <v>4202</v>
      </c>
      <c r="D363" s="468" t="s">
        <v>20</v>
      </c>
      <c r="E363" s="8" t="s">
        <v>86</v>
      </c>
      <c r="F363" s="8" t="s">
        <v>87</v>
      </c>
      <c r="G363" s="29"/>
      <c r="H363" s="36"/>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E364" s="8" t="s">
        <v>88</v>
      </c>
      <c r="F364" s="8" t="s">
        <v>89</v>
      </c>
      <c r="G364" s="29"/>
      <c r="H364" s="36"/>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E365" s="8" t="s">
        <v>21</v>
      </c>
      <c r="F365" s="8" t="s">
        <v>51</v>
      </c>
      <c r="G365" s="29" t="str">
        <f>HYPERLINK("https://docs.google.com/spreadsheets/d/1YTjSHffIxKBGVpRZwRyUQ6ecF5d-fm0XVqYMuRUiHiE/edit#gid=347007321", "https://docs.google.com/spreadsheets/d/1YTjSHffIxKBGVpRZwRyUQ6ecF5d-fm0XVqYMuRUiHiE/edit#gid=347007321")</f>
        <v>https://docs.google.com/spreadsheets/d/1YTjSHffIxKBGVpRZwRyUQ6ecF5d-fm0XVqYMuRUiHiE/edit#gid=347007321</v>
      </c>
      <c r="H365" s="8" t="s">
        <v>51</v>
      </c>
      <c r="I365" s="9"/>
      <c r="J365" s="9"/>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E366" s="8" t="s">
        <v>172</v>
      </c>
      <c r="F366" s="8" t="s">
        <v>203</v>
      </c>
      <c r="G366" s="29" t="str">
        <f>HYPERLINK("https://docs.google.com/spreadsheets/d/1YTjSHffIxKBGVpRZwRyUQ6ecF5d-fm0XVqYMuRUiHiE/edit#gid=523669523", "https://docs.google.com/spreadsheets/d/1YTjSHffIxKBGVpRZwRyUQ6ecF5d-fm0XVqYMuRUiHiE/edit#gid=523669523")</f>
        <v>https://docs.google.com/spreadsheets/d/1YTjSHffIxKBGVpRZwRyUQ6ecF5d-fm0XVqYMuRUiHiE/edit#gid=523669523</v>
      </c>
      <c r="H366" s="8" t="s">
        <v>203</v>
      </c>
      <c r="I366" s="9"/>
      <c r="J366" s="9"/>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E367" s="8" t="s">
        <v>172</v>
      </c>
      <c r="F367" s="8" t="s">
        <v>204</v>
      </c>
      <c r="G367" s="29" t="str">
        <f>HYPERLINK("https://docs.google.com/spreadsheets/d/1YTjSHffIxKBGVpRZwRyUQ6ecF5d-fm0XVqYMuRUiHiE/edit#gid=1324986601", "https://docs.google.com/spreadsheets/d/1YTjSHffIxKBGVpRZwRyUQ6ecF5d-fm0XVqYMuRUiHiE/edit#gid=1324986601")</f>
        <v>https://docs.google.com/spreadsheets/d/1YTjSHffIxKBGVpRZwRyUQ6ecF5d-fm0XVqYMuRUiHiE/edit#gid=1324986601</v>
      </c>
      <c r="H367" s="8" t="s">
        <v>204</v>
      </c>
      <c r="I367" s="9"/>
      <c r="J367" s="9"/>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E368" s="8" t="s">
        <v>172</v>
      </c>
      <c r="F368" s="8" t="s">
        <v>173</v>
      </c>
      <c r="G368" s="29" t="str">
        <f>HYPERLINK("https://docs.google.com/spreadsheets/d/1YTjSHffIxKBGVpRZwRyUQ6ecF5d-fm0XVqYMuRUiHiE/edit#gid=1914324096", "https://docs.google.com/spreadsheets/d/1YTjSHffIxKBGVpRZwRyUQ6ecF5d-fm0XVqYMuRUiHiE/edit#gid=1914324096")</f>
        <v>https://docs.google.com/spreadsheets/d/1YTjSHffIxKBGVpRZwRyUQ6ecF5d-fm0XVqYMuRUiHiE/edit#gid=1914324096</v>
      </c>
      <c r="H368" s="8" t="s">
        <v>173</v>
      </c>
      <c r="I368" s="9"/>
      <c r="J368" s="9"/>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E369" s="28" t="s">
        <v>172</v>
      </c>
      <c r="F369" s="8" t="s">
        <v>402</v>
      </c>
      <c r="G369" s="29" t="str">
        <f>HYPERLINK("https://docs.google.com/spreadsheets/d/1YTjSHffIxKBGVpRZwRyUQ6ecF5d-fm0XVqYMuRUiHiE/edit#gid=2098421276", "https://docs.google.com/spreadsheets/d/1YTjSHffIxKBGVpRZwRyUQ6ecF5d-fm0XVqYMuRUiHiE/edit#gid=2098421276")</f>
        <v>https://docs.google.com/spreadsheets/d/1YTjSHffIxKBGVpRZwRyUQ6ecF5d-fm0XVqYMuRUiHiE/edit#gid=2098421276</v>
      </c>
      <c r="H369" s="8" t="s">
        <v>402</v>
      </c>
      <c r="I369" s="9"/>
      <c r="J369" s="9"/>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E370" s="28" t="s">
        <v>408</v>
      </c>
      <c r="F370" s="38" t="s">
        <v>408</v>
      </c>
      <c r="G370" s="29" t="str">
        <f>HYPERLINK("https://docs.google.com/spreadsheets/d/1YTjSHffIxKBGVpRZwRyUQ6ecF5d-fm0XVqYMuRUiHiE/edit#gid=1340922467", "https://docs.google.com/spreadsheets/d/1YTjSHffIxKBGVpRZwRyUQ6ecF5d-fm0XVqYMuRUiHiE/edit#gid=1340922467")</f>
        <v>https://docs.google.com/spreadsheets/d/1YTjSHffIxKBGVpRZwRyUQ6ecF5d-fm0XVqYMuRUiHiE/edit#gid=1340922467</v>
      </c>
      <c r="H370" s="38" t="s">
        <v>408</v>
      </c>
      <c r="I370" s="9"/>
      <c r="J370" s="9"/>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E371" s="28" t="s">
        <v>178</v>
      </c>
      <c r="F371" s="28" t="s">
        <v>205</v>
      </c>
      <c r="G371" s="29" t="str">
        <f>HYPERLINK("https://docs.google.com/spreadsheets/d/1YTjSHffIxKBGVpRZwRyUQ6ecF5d-fm0XVqYMuRUiHiE/edit#gid=1621293855", "https://docs.google.com/spreadsheets/d/1YTjSHffIxKBGVpRZwRyUQ6ecF5d-fm0XVqYMuRUiHiE/edit#gid=1621293855")</f>
        <v>https://docs.google.com/spreadsheets/d/1YTjSHffIxKBGVpRZwRyUQ6ecF5d-fm0XVqYMuRUiHiE/edit#gid=1621293855</v>
      </c>
      <c r="H371" s="38" t="s">
        <v>205</v>
      </c>
      <c r="I371" s="31"/>
      <c r="J371" s="9"/>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E372" s="8" t="s">
        <v>178</v>
      </c>
      <c r="F372" s="8" t="s">
        <v>206</v>
      </c>
      <c r="G372" s="29"/>
      <c r="H372" s="36"/>
      <c r="I372" s="36"/>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E373" s="8" t="s">
        <v>21</v>
      </c>
      <c r="F373" s="8" t="s">
        <v>51</v>
      </c>
      <c r="G373" s="29" t="str">
        <f>HYPERLINK("https://docs.google.com/spreadsheets/d/1YTjSHffIxKBGVpRZwRyUQ6ecF5d-fm0XVqYMuRUiHiE/edit#gid=903327027", "https://docs.google.com/spreadsheets/d/1YTjSHffIxKBGVpRZwRyUQ6ecF5d-fm0XVqYMuRUiHiE/edit#gid=903327027")</f>
        <v>https://docs.google.com/spreadsheets/d/1YTjSHffIxKBGVpRZwRyUQ6ecF5d-fm0XVqYMuRUiHiE/edit#gid=903327027</v>
      </c>
      <c r="H373" s="8" t="s">
        <v>1383</v>
      </c>
      <c r="I373" s="9"/>
      <c r="J373" s="9"/>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E374" s="8" t="s">
        <v>104</v>
      </c>
      <c r="F374" s="8" t="s">
        <v>250</v>
      </c>
      <c r="G374" s="29" t="str">
        <f>HYPERLINK("https://docs.google.com/spreadsheets/d/1YTjSHffIxKBGVpRZwRyUQ6ecF5d-fm0XVqYMuRUiHiE/edit#gid=574145068", "https://docs.google.com/spreadsheets/d/1YTjSHffIxKBGVpRZwRyUQ6ecF5d-fm0XVqYMuRUiHiE/edit#gid=574145068")</f>
        <v>https://docs.google.com/spreadsheets/d/1YTjSHffIxKBGVpRZwRyUQ6ecF5d-fm0XVqYMuRUiHiE/edit#gid=574145068</v>
      </c>
      <c r="H374" s="8" t="s">
        <v>250</v>
      </c>
      <c r="I374" s="9"/>
      <c r="J374" s="9"/>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E375" s="8" t="s">
        <v>89</v>
      </c>
      <c r="F375" s="8" t="s">
        <v>291</v>
      </c>
      <c r="G375" s="29"/>
      <c r="H375" s="36"/>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344"/>
      <c r="C376" s="468"/>
      <c r="D376" s="468"/>
      <c r="E376" s="8"/>
      <c r="F376" s="8"/>
      <c r="G376" s="29"/>
      <c r="H376" s="36"/>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344" t="s">
        <v>4203</v>
      </c>
      <c r="C377" s="468" t="s">
        <v>4204</v>
      </c>
      <c r="D377" s="468" t="s">
        <v>20</v>
      </c>
      <c r="E377" s="28" t="s">
        <v>86</v>
      </c>
      <c r="F377" s="8" t="s">
        <v>87</v>
      </c>
      <c r="G377" s="29"/>
      <c r="H377" s="36"/>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E378" s="28" t="s">
        <v>88</v>
      </c>
      <c r="F378" s="8" t="s">
        <v>89</v>
      </c>
      <c r="G378" s="29"/>
      <c r="H378" s="36"/>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E379" s="28" t="s">
        <v>21</v>
      </c>
      <c r="F379" s="8" t="s">
        <v>51</v>
      </c>
      <c r="G379" s="29" t="str">
        <f>HYPERLINK("https://docs.google.com/spreadsheets/d/1RcARip7A_YTfqymNU0uQ83oU9mbtM9gpmMyJ6RwttuI/edit#gid=669571585", "https://docs.google.com/spreadsheets/d/1RcARip7A_YTfqymNU0uQ83oU9mbtM9gpmMyJ6RwttuI/edit#gid=669571585")</f>
        <v>https://docs.google.com/spreadsheets/d/1RcARip7A_YTfqymNU0uQ83oU9mbtM9gpmMyJ6RwttuI/edit#gid=669571585</v>
      </c>
      <c r="H379" s="8" t="s">
        <v>51</v>
      </c>
      <c r="I379" s="9"/>
      <c r="J379" s="9"/>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E380" s="28" t="s">
        <v>172</v>
      </c>
      <c r="F380" s="38" t="s">
        <v>203</v>
      </c>
      <c r="G380" s="29" t="str">
        <f>HYPERLINK("https://docs.google.com/spreadsheets/d/1RcARip7A_YTfqymNU0uQ83oU9mbtM9gpmMyJ6RwttuI/edit#gid=56167952", "https://docs.google.com/spreadsheets/d/1RcARip7A_YTfqymNU0uQ83oU9mbtM9gpmMyJ6RwttuI/edit#gid=56167952")</f>
        <v>https://docs.google.com/spreadsheets/d/1RcARip7A_YTfqymNU0uQ83oU9mbtM9gpmMyJ6RwttuI/edit#gid=56167952</v>
      </c>
      <c r="H380" s="38" t="s">
        <v>203</v>
      </c>
      <c r="I380" s="9"/>
      <c r="J380" s="9"/>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E381" s="28" t="s">
        <v>172</v>
      </c>
      <c r="F381" s="28" t="s">
        <v>204</v>
      </c>
      <c r="G381" s="29" t="str">
        <f>HYPERLINK("https://docs.google.com/spreadsheets/d/1RcARip7A_YTfqymNU0uQ83oU9mbtM9gpmMyJ6RwttuI/edit#gid=1744316710", "https://docs.google.com/spreadsheets/d/1RcARip7A_YTfqymNU0uQ83oU9mbtM9gpmMyJ6RwttuI/edit#gid=1744316710")</f>
        <v>https://docs.google.com/spreadsheets/d/1RcARip7A_YTfqymNU0uQ83oU9mbtM9gpmMyJ6RwttuI/edit#gid=1744316710</v>
      </c>
      <c r="H381" s="38" t="s">
        <v>204</v>
      </c>
      <c r="I381" s="9"/>
      <c r="J381" s="9"/>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E382" s="8" t="s">
        <v>172</v>
      </c>
      <c r="F382" s="8" t="s">
        <v>173</v>
      </c>
      <c r="G382" s="29" t="str">
        <f>HYPERLINK("https://docs.google.com/spreadsheets/d/1RcARip7A_YTfqymNU0uQ83oU9mbtM9gpmMyJ6RwttuI/edit#gid=340020878", "https://docs.google.com/spreadsheets/d/1RcARip7A_YTfqymNU0uQ83oU9mbtM9gpmMyJ6RwttuI/edit#gid=340020878")</f>
        <v>https://docs.google.com/spreadsheets/d/1RcARip7A_YTfqymNU0uQ83oU9mbtM9gpmMyJ6RwttuI/edit#gid=340020878</v>
      </c>
      <c r="H382" s="8" t="s">
        <v>173</v>
      </c>
      <c r="I382" s="31"/>
      <c r="J382" s="9"/>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E383" s="8" t="s">
        <v>172</v>
      </c>
      <c r="F383" s="8" t="s">
        <v>402</v>
      </c>
      <c r="G383" s="29" t="str">
        <f>HYPERLINK("https://docs.google.com/spreadsheets/d/1RcARip7A_YTfqymNU0uQ83oU9mbtM9gpmMyJ6RwttuI/edit#gid=1442147842", "https://docs.google.com/spreadsheets/d/1RcARip7A_YTfqymNU0uQ83oU9mbtM9gpmMyJ6RwttuI/edit#gid=1442147842")</f>
        <v>https://docs.google.com/spreadsheets/d/1RcARip7A_YTfqymNU0uQ83oU9mbtM9gpmMyJ6RwttuI/edit#gid=1442147842</v>
      </c>
      <c r="H383" s="8" t="s">
        <v>402</v>
      </c>
      <c r="I383" s="31"/>
      <c r="J383" s="9"/>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E384" s="8" t="s">
        <v>408</v>
      </c>
      <c r="F384" s="8" t="s">
        <v>408</v>
      </c>
      <c r="G384" s="29" t="str">
        <f>HYPERLINK("https://docs.google.com/spreadsheets/d/1RcARip7A_YTfqymNU0uQ83oU9mbtM9gpmMyJ6RwttuI/edit#gid=946720108", "https://docs.google.com/spreadsheets/d/1RcARip7A_YTfqymNU0uQ83oU9mbtM9gpmMyJ6RwttuI/edit#gid=946720108")</f>
        <v>https://docs.google.com/spreadsheets/d/1RcARip7A_YTfqymNU0uQ83oU9mbtM9gpmMyJ6RwttuI/edit#gid=946720108</v>
      </c>
      <c r="H384" s="8" t="s">
        <v>408</v>
      </c>
      <c r="I384" s="9"/>
      <c r="J384" s="9"/>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E385" s="8" t="s">
        <v>86</v>
      </c>
      <c r="F385" s="8" t="s">
        <v>90</v>
      </c>
      <c r="G385" s="29" t="str">
        <f>HYPERLINK("https://docs.google.com/spreadsheets/d/1RcARip7A_YTfqymNU0uQ83oU9mbtM9gpmMyJ6RwttuI/edit#gid=718992726", "https://docs.google.com/spreadsheets/d/1RcARip7A_YTfqymNU0uQ83oU9mbtM9gpmMyJ6RwttuI/edit#gid=718992726")</f>
        <v>https://docs.google.com/spreadsheets/d/1RcARip7A_YTfqymNU0uQ83oU9mbtM9gpmMyJ6RwttuI/edit#gid=718992726</v>
      </c>
      <c r="H385" s="8" t="s">
        <v>90</v>
      </c>
      <c r="I385" s="9"/>
      <c r="J385" s="9"/>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E386" s="8" t="s">
        <v>86</v>
      </c>
      <c r="F386" s="8" t="s">
        <v>339</v>
      </c>
      <c r="G386" s="29" t="str">
        <f>HYPERLINK("https://docs.google.com/spreadsheets/d/1RcARip7A_YTfqymNU0uQ83oU9mbtM9gpmMyJ6RwttuI/edit#gid=1088842589", "https://docs.google.com/spreadsheets/d/1RcARip7A_YTfqymNU0uQ83oU9mbtM9gpmMyJ6RwttuI/edit#gid=1088842589")</f>
        <v>https://docs.google.com/spreadsheets/d/1RcARip7A_YTfqymNU0uQ83oU9mbtM9gpmMyJ6RwttuI/edit#gid=1088842589</v>
      </c>
      <c r="H386" s="8" t="s">
        <v>339</v>
      </c>
      <c r="I386" s="9"/>
      <c r="J386" s="9"/>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E387" s="28" t="s">
        <v>178</v>
      </c>
      <c r="F387" s="8" t="s">
        <v>205</v>
      </c>
      <c r="G387" s="29" t="str">
        <f>HYPERLINK("https://docs.google.com/spreadsheets/d/1RcARip7A_YTfqymNU0uQ83oU9mbtM9gpmMyJ6RwttuI/edit#gid=83015649", "https://docs.google.com/spreadsheets/d/1RcARip7A_YTfqymNU0uQ83oU9mbtM9gpmMyJ6RwttuI/edit#gid=83015649")</f>
        <v>https://docs.google.com/spreadsheets/d/1RcARip7A_YTfqymNU0uQ83oU9mbtM9gpmMyJ6RwttuI/edit#gid=83015649</v>
      </c>
      <c r="H387" s="8" t="s">
        <v>205</v>
      </c>
      <c r="I387" s="9"/>
      <c r="J387" s="9"/>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E388" s="28" t="s">
        <v>178</v>
      </c>
      <c r="F388" s="38" t="s">
        <v>206</v>
      </c>
      <c r="G388" s="29"/>
      <c r="H388" s="36"/>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E389" s="28" t="s">
        <v>104</v>
      </c>
      <c r="F389" s="28" t="s">
        <v>250</v>
      </c>
      <c r="G389" s="29" t="str">
        <f>HYPERLINK("https://docs.google.com/spreadsheets/d/1RcARip7A_YTfqymNU0uQ83oU9mbtM9gpmMyJ6RwttuI/edit#gid=870785767", "https://docs.google.com/spreadsheets/d/1RcARip7A_YTfqymNU0uQ83oU9mbtM9gpmMyJ6RwttuI/edit#gid=870785767")</f>
        <v>https://docs.google.com/spreadsheets/d/1RcARip7A_YTfqymNU0uQ83oU9mbtM9gpmMyJ6RwttuI/edit#gid=870785767</v>
      </c>
      <c r="H389" s="38" t="s">
        <v>250</v>
      </c>
      <c r="I389" s="9"/>
      <c r="J389" s="9"/>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E390" s="8" t="s">
        <v>89</v>
      </c>
      <c r="F390" s="8" t="s">
        <v>291</v>
      </c>
      <c r="G390" s="29"/>
      <c r="H390" s="36"/>
      <c r="I390" s="36"/>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344"/>
      <c r="C391" s="468"/>
      <c r="D391" s="468"/>
      <c r="E391" s="8"/>
      <c r="F391" s="8"/>
      <c r="G391" s="29"/>
      <c r="H391" s="36"/>
      <c r="I391" s="36"/>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344" t="s">
        <v>4205</v>
      </c>
      <c r="C392" s="468" t="s">
        <v>4206</v>
      </c>
      <c r="D392" s="468" t="s">
        <v>20</v>
      </c>
      <c r="E392" s="8" t="s">
        <v>86</v>
      </c>
      <c r="F392" s="8" t="s">
        <v>87</v>
      </c>
      <c r="G392" s="29"/>
      <c r="H392" s="36"/>
      <c r="I392" s="36"/>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E393" s="8" t="s">
        <v>88</v>
      </c>
      <c r="F393" s="8" t="s">
        <v>89</v>
      </c>
      <c r="G393" s="29"/>
      <c r="H393" s="36"/>
      <c r="I393" s="36"/>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E394" s="8" t="s">
        <v>21</v>
      </c>
      <c r="F394" s="8" t="s">
        <v>51</v>
      </c>
      <c r="G394" s="29" t="str">
        <f>HYPERLINK("https://docs.google.com/spreadsheets/d/1M6qEUmjjRrMIF6kSsJFVHzG5lgi7aJWqHYMbI-GXqoY/edit#gid=108191304", "https://docs.google.com/spreadsheets/d/1M6qEUmjjRrMIF6kSsJFVHzG5lgi7aJWqHYMbI-GXqoY/edit#gid=108191304")</f>
        <v>https://docs.google.com/spreadsheets/d/1M6qEUmjjRrMIF6kSsJFVHzG5lgi7aJWqHYMbI-GXqoY/edit#gid=108191304</v>
      </c>
      <c r="H394" s="8" t="s">
        <v>51</v>
      </c>
      <c r="I394" s="31"/>
      <c r="J394" s="9"/>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E395" s="8" t="s">
        <v>172</v>
      </c>
      <c r="F395" s="8" t="s">
        <v>203</v>
      </c>
      <c r="G395" s="29" t="str">
        <f>HYPERLINK("https://docs.google.com/spreadsheets/d/1M6qEUmjjRrMIF6kSsJFVHzG5lgi7aJWqHYMbI-GXqoY/edit#gid=396375663", "https://docs.google.com/spreadsheets/d/1M6qEUmjjRrMIF6kSsJFVHzG5lgi7aJWqHYMbI-GXqoY/edit#gid=396375663")</f>
        <v>https://docs.google.com/spreadsheets/d/1M6qEUmjjRrMIF6kSsJFVHzG5lgi7aJWqHYMbI-GXqoY/edit#gid=396375663</v>
      </c>
      <c r="H395" s="8" t="s">
        <v>203</v>
      </c>
      <c r="I395" s="9"/>
      <c r="J395" s="9"/>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E396" s="8" t="s">
        <v>172</v>
      </c>
      <c r="F396" s="8" t="s">
        <v>204</v>
      </c>
      <c r="G396" s="29" t="str">
        <f>HYPERLINK("https://docs.google.com/spreadsheets/d/1M6qEUmjjRrMIF6kSsJFVHzG5lgi7aJWqHYMbI-GXqoY/edit#gid=769210363", "https://docs.google.com/spreadsheets/d/1M6qEUmjjRrMIF6kSsJFVHzG5lgi7aJWqHYMbI-GXqoY/edit#gid=769210363")</f>
        <v>https://docs.google.com/spreadsheets/d/1M6qEUmjjRrMIF6kSsJFVHzG5lgi7aJWqHYMbI-GXqoY/edit#gid=769210363</v>
      </c>
      <c r="H396" s="8" t="s">
        <v>204</v>
      </c>
      <c r="I396" s="9"/>
      <c r="J396" s="9"/>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E397" s="8" t="s">
        <v>172</v>
      </c>
      <c r="F397" s="8" t="s">
        <v>173</v>
      </c>
      <c r="G397" s="29" t="str">
        <f>HYPERLINK("https://docs.google.com/spreadsheets/d/1M6qEUmjjRrMIF6kSsJFVHzG5lgi7aJWqHYMbI-GXqoY/edit#gid=517278598", "https://docs.google.com/spreadsheets/d/1M6qEUmjjRrMIF6kSsJFVHzG5lgi7aJWqHYMbI-GXqoY/edit#gid=517278598")</f>
        <v>https://docs.google.com/spreadsheets/d/1M6qEUmjjRrMIF6kSsJFVHzG5lgi7aJWqHYMbI-GXqoY/edit#gid=517278598</v>
      </c>
      <c r="H397" s="8" t="s">
        <v>173</v>
      </c>
      <c r="I397" s="9"/>
      <c r="J397" s="9"/>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E398" s="28" t="s">
        <v>172</v>
      </c>
      <c r="F398" s="8" t="s">
        <v>402</v>
      </c>
      <c r="G398" s="29" t="str">
        <f>HYPERLINK("https://docs.google.com/spreadsheets/d/1M6qEUmjjRrMIF6kSsJFVHzG5lgi7aJWqHYMbI-GXqoY/edit#gid=1715845750", "https://docs.google.com/spreadsheets/d/1M6qEUmjjRrMIF6kSsJFVHzG5lgi7aJWqHYMbI-GXqoY/edit#gid=1715845750")</f>
        <v>https://docs.google.com/spreadsheets/d/1M6qEUmjjRrMIF6kSsJFVHzG5lgi7aJWqHYMbI-GXqoY/edit#gid=1715845750</v>
      </c>
      <c r="H398" s="8" t="s">
        <v>402</v>
      </c>
      <c r="I398" s="9"/>
      <c r="J398" s="9"/>
      <c r="K398" s="11"/>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E399" s="28" t="s">
        <v>408</v>
      </c>
      <c r="F399" s="38" t="s">
        <v>408</v>
      </c>
      <c r="G399" s="29" t="str">
        <f>HYPERLINK("https://docs.google.com/spreadsheets/d/1M6qEUmjjRrMIF6kSsJFVHzG5lgi7aJWqHYMbI-GXqoY/edit#gid=618237021", "https://docs.google.com/spreadsheets/d/1M6qEUmjjRrMIF6kSsJFVHzG5lgi7aJWqHYMbI-GXqoY/edit#gid=618237021")</f>
        <v>https://docs.google.com/spreadsheets/d/1M6qEUmjjRrMIF6kSsJFVHzG5lgi7aJWqHYMbI-GXqoY/edit#gid=618237021</v>
      </c>
      <c r="H399" s="38" t="s">
        <v>408</v>
      </c>
      <c r="I399" s="9"/>
      <c r="J399" s="9"/>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E400" s="28" t="s">
        <v>21</v>
      </c>
      <c r="F400" s="28" t="s">
        <v>51</v>
      </c>
      <c r="G400" s="29" t="str">
        <f>HYPERLINK("https://docs.google.com/spreadsheets/d/1M6qEUmjjRrMIF6kSsJFVHzG5lgi7aJWqHYMbI-GXqoY/edit#gid=1857092358", "https://docs.google.com/spreadsheets/d/1M6qEUmjjRrMIF6kSsJFVHzG5lgi7aJWqHYMbI-GXqoY/edit#gid=1857092358")</f>
        <v>https://docs.google.com/spreadsheets/d/1M6qEUmjjRrMIF6kSsJFVHzG5lgi7aJWqHYMbI-GXqoY/edit#gid=1857092358</v>
      </c>
      <c r="H400" s="38" t="s">
        <v>1383</v>
      </c>
      <c r="I400" s="9"/>
      <c r="J400" s="9"/>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E401" s="8" t="s">
        <v>86</v>
      </c>
      <c r="F401" s="8" t="s">
        <v>90</v>
      </c>
      <c r="G401" s="29" t="str">
        <f>HYPERLINK("https://docs.google.com/spreadsheets/d/1M6qEUmjjRrMIF6kSsJFVHzG5lgi7aJWqHYMbI-GXqoY/edit#gid=1155272524", "https://docs.google.com/spreadsheets/d/1M6qEUmjjRrMIF6kSsJFVHzG5lgi7aJWqHYMbI-GXqoY/edit#gid=1155272524")</f>
        <v>https://docs.google.com/spreadsheets/d/1M6qEUmjjRrMIF6kSsJFVHzG5lgi7aJWqHYMbI-GXqoY/edit#gid=1155272524</v>
      </c>
      <c r="H401" s="8" t="s">
        <v>90</v>
      </c>
      <c r="I401" s="9"/>
      <c r="J401" s="9"/>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E402" s="8" t="s">
        <v>86</v>
      </c>
      <c r="F402" s="8" t="s">
        <v>339</v>
      </c>
      <c r="G402" s="29" t="str">
        <f>HYPERLINK("https://docs.google.com/spreadsheets/d/1M6qEUmjjRrMIF6kSsJFVHzG5lgi7aJWqHYMbI-GXqoY/edit#gid=1003660579", "https://docs.google.com/spreadsheets/d/1M6qEUmjjRrMIF6kSsJFVHzG5lgi7aJWqHYMbI-GXqoY/edit#gid=1003660579")</f>
        <v>https://docs.google.com/spreadsheets/d/1M6qEUmjjRrMIF6kSsJFVHzG5lgi7aJWqHYMbI-GXqoY/edit#gid=1003660579</v>
      </c>
      <c r="H402" s="8" t="s">
        <v>339</v>
      </c>
      <c r="I402" s="9"/>
      <c r="J402" s="9"/>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E403" s="8" t="s">
        <v>178</v>
      </c>
      <c r="F403" s="8" t="s">
        <v>205</v>
      </c>
      <c r="G403" s="29" t="str">
        <f>HYPERLINK("https://docs.google.com/spreadsheets/d/1M6qEUmjjRrMIF6kSsJFVHzG5lgi7aJWqHYMbI-GXqoY/edit#gid=1323849158", "https://docs.google.com/spreadsheets/d/1M6qEUmjjRrMIF6kSsJFVHzG5lgi7aJWqHYMbI-GXqoY/edit#gid=1323849158")</f>
        <v>https://docs.google.com/spreadsheets/d/1M6qEUmjjRrMIF6kSsJFVHzG5lgi7aJWqHYMbI-GXqoY/edit#gid=1323849158</v>
      </c>
      <c r="H403" s="8" t="s">
        <v>205</v>
      </c>
      <c r="I403" s="9"/>
      <c r="J403" s="9"/>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E404" s="8" t="s">
        <v>178</v>
      </c>
      <c r="F404" s="8" t="s">
        <v>206</v>
      </c>
      <c r="G404" s="29"/>
      <c r="H404" s="36"/>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E405" s="8" t="s">
        <v>104</v>
      </c>
      <c r="F405" s="8" t="s">
        <v>250</v>
      </c>
      <c r="G405" s="29" t="str">
        <f>HYPERLINK("https://docs.google.com/spreadsheets/d/1M6qEUmjjRrMIF6kSsJFVHzG5lgi7aJWqHYMbI-GXqoY/edit#gid=1858910527", "https://docs.google.com/spreadsheets/d/1M6qEUmjjRrMIF6kSsJFVHzG5lgi7aJWqHYMbI-GXqoY/edit#gid=1858910527")</f>
        <v>https://docs.google.com/spreadsheets/d/1M6qEUmjjRrMIF6kSsJFVHzG5lgi7aJWqHYMbI-GXqoY/edit#gid=1858910527</v>
      </c>
      <c r="H405" s="8" t="s">
        <v>250</v>
      </c>
      <c r="I405" s="9"/>
      <c r="J405" s="9"/>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E406" s="8" t="s">
        <v>89</v>
      </c>
      <c r="F406" s="8" t="s">
        <v>291</v>
      </c>
      <c r="G406" s="29"/>
      <c r="H406" s="36"/>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344"/>
      <c r="C407" s="468"/>
      <c r="D407" s="468"/>
      <c r="E407" s="8"/>
      <c r="F407" s="8"/>
      <c r="G407" s="29"/>
      <c r="H407" s="36"/>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344" t="s">
        <v>4207</v>
      </c>
      <c r="C408" s="468" t="s">
        <v>4208</v>
      </c>
      <c r="D408" s="468" t="s">
        <v>20</v>
      </c>
      <c r="E408" s="28" t="s">
        <v>86</v>
      </c>
      <c r="F408" s="8" t="s">
        <v>87</v>
      </c>
      <c r="G408" s="29"/>
      <c r="H408" s="36"/>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E409" s="28" t="s">
        <v>88</v>
      </c>
      <c r="F409" s="8" t="s">
        <v>89</v>
      </c>
      <c r="G409" s="29"/>
      <c r="H409" s="36"/>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E410" s="28" t="s">
        <v>21</v>
      </c>
      <c r="F410" s="8" t="s">
        <v>51</v>
      </c>
      <c r="G410" s="29" t="str">
        <f>HYPERLINK("https://docs.google.com/spreadsheets/d/1qVNWx5RNOzcrce4W6R4s6W7vHl7GA16XffET2Je9f3o/edit#gid=267092630", "https://docs.google.com/spreadsheets/d/1qVNWx5RNOzcrce4W6R4s6W7vHl7GA16XffET2Je9f3o/edit#gid=267092630")</f>
        <v>https://docs.google.com/spreadsheets/d/1qVNWx5RNOzcrce4W6R4s6W7vHl7GA16XffET2Je9f3o/edit#gid=267092630</v>
      </c>
      <c r="H410" s="8" t="s">
        <v>51</v>
      </c>
      <c r="I410" s="9"/>
      <c r="J410" s="9"/>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E411" s="28" t="s">
        <v>172</v>
      </c>
      <c r="F411" s="38" t="s">
        <v>203</v>
      </c>
      <c r="G411" s="29" t="str">
        <f>HYPERLINK("https://docs.google.com/spreadsheets/d/1qVNWx5RNOzcrce4W6R4s6W7vHl7GA16XffET2Je9f3o/edit#gid=1930609455", "https://docs.google.com/spreadsheets/d/1qVNWx5RNOzcrce4W6R4s6W7vHl7GA16XffET2Je9f3o/edit#gid=1930609455")</f>
        <v>https://docs.google.com/spreadsheets/d/1qVNWx5RNOzcrce4W6R4s6W7vHl7GA16XffET2Je9f3o/edit#gid=1930609455</v>
      </c>
      <c r="H411" s="38" t="s">
        <v>203</v>
      </c>
      <c r="I411" s="31"/>
      <c r="J411" s="9"/>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E412" s="28" t="s">
        <v>172</v>
      </c>
      <c r="F412" s="28" t="s">
        <v>204</v>
      </c>
      <c r="G412" s="29" t="str">
        <f>HYPERLINK("https://docs.google.com/spreadsheets/d/1qVNWx5RNOzcrce4W6R4s6W7vHl7GA16XffET2Je9f3o/edit#gid=1168603212", "https://docs.google.com/spreadsheets/d/1qVNWx5RNOzcrce4W6R4s6W7vHl7GA16XffET2Je9f3o/edit#gid=1168603212")</f>
        <v>https://docs.google.com/spreadsheets/d/1qVNWx5RNOzcrce4W6R4s6W7vHl7GA16XffET2Je9f3o/edit#gid=1168603212</v>
      </c>
      <c r="H412" s="38" t="s">
        <v>204</v>
      </c>
      <c r="I412" s="31"/>
      <c r="J412" s="9"/>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E413" s="8" t="s">
        <v>172</v>
      </c>
      <c r="F413" s="58" t="s">
        <v>203</v>
      </c>
      <c r="G413" s="29" t="str">
        <f>HYPERLINK("https://docs.google.com/spreadsheets/d/1qVNWx5RNOzcrce4W6R4s6W7vHl7GA16XffET2Je9f3o/edit#gid=1475342540", "https://docs.google.com/spreadsheets/d/1qVNWx5RNOzcrce4W6R4s6W7vHl7GA16XffET2Je9f3o/edit#gid=1475342540")</f>
        <v>https://docs.google.com/spreadsheets/d/1qVNWx5RNOzcrce4W6R4s6W7vHl7GA16XffET2Je9f3o/edit#gid=1475342540</v>
      </c>
      <c r="H413" s="58" t="s">
        <v>1995</v>
      </c>
      <c r="I413" s="9"/>
      <c r="J413" s="9"/>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E414" s="8" t="s">
        <v>172</v>
      </c>
      <c r="F414" s="8" t="s">
        <v>204</v>
      </c>
      <c r="G414" s="29" t="str">
        <f>HYPERLINK("https://docs.google.com/spreadsheets/d/1qVNWx5RNOzcrce4W6R4s6W7vHl7GA16XffET2Je9f3o/edit#gid=1603485919", "https://docs.google.com/spreadsheets/d/1qVNWx5RNOzcrce4W6R4s6W7vHl7GA16XffET2Je9f3o/edit#gid=1603485919")</f>
        <v>https://docs.google.com/spreadsheets/d/1qVNWx5RNOzcrce4W6R4s6W7vHl7GA16XffET2Je9f3o/edit#gid=1603485919</v>
      </c>
      <c r="H414" s="8" t="s">
        <v>1996</v>
      </c>
      <c r="I414" s="9"/>
      <c r="J414" s="9"/>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E415" s="8" t="s">
        <v>172</v>
      </c>
      <c r="F415" s="8" t="s">
        <v>173</v>
      </c>
      <c r="G415" s="29" t="str">
        <f>HYPERLINK("https://docs.google.com/spreadsheets/d/1qVNWx5RNOzcrce4W6R4s6W7vHl7GA16XffET2Je9f3o/edit#gid=744000190", "https://docs.google.com/spreadsheets/d/1qVNWx5RNOzcrce4W6R4s6W7vHl7GA16XffET2Je9f3o/edit#gid=744000190")</f>
        <v>https://docs.google.com/spreadsheets/d/1qVNWx5RNOzcrce4W6R4s6W7vHl7GA16XffET2Je9f3o/edit#gid=744000190</v>
      </c>
      <c r="H415" s="8" t="s">
        <v>173</v>
      </c>
      <c r="I415" s="9"/>
      <c r="J415" s="9"/>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E416" s="8" t="s">
        <v>172</v>
      </c>
      <c r="F416" s="8" t="s">
        <v>402</v>
      </c>
      <c r="G416" s="29" t="str">
        <f>HYPERLINK("https://docs.google.com/spreadsheets/d/1qVNWx5RNOzcrce4W6R4s6W7vHl7GA16XffET2Je9f3o/edit#gid=2078398294", "https://docs.google.com/spreadsheets/d/1qVNWx5RNOzcrce4W6R4s6W7vHl7GA16XffET2Je9f3o/edit#gid=2078398294")</f>
        <v>https://docs.google.com/spreadsheets/d/1qVNWx5RNOzcrce4W6R4s6W7vHl7GA16XffET2Je9f3o/edit#gid=2078398294</v>
      </c>
      <c r="H416" s="8" t="s">
        <v>402</v>
      </c>
      <c r="I416" s="9"/>
      <c r="J416" s="9"/>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E417" s="8" t="s">
        <v>172</v>
      </c>
      <c r="F417" s="8" t="s">
        <v>173</v>
      </c>
      <c r="G417" s="29" t="str">
        <f>HYPERLINK("https://docs.google.com/spreadsheets/d/1qVNWx5RNOzcrce4W6R4s6W7vHl7GA16XffET2Je9f3o/edit#gid=569919279", "https://docs.google.com/spreadsheets/d/1qVNWx5RNOzcrce4W6R4s6W7vHl7GA16XffET2Je9f3o/edit#gid=569919279")</f>
        <v>https://docs.google.com/spreadsheets/d/1qVNWx5RNOzcrce4W6R4s6W7vHl7GA16XffET2Je9f3o/edit#gid=569919279</v>
      </c>
      <c r="H417" s="8" t="s">
        <v>269</v>
      </c>
      <c r="I417" s="9"/>
      <c r="J417" s="9"/>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E418" s="8" t="s">
        <v>172</v>
      </c>
      <c r="F418" s="8" t="s">
        <v>402</v>
      </c>
      <c r="G418" s="29" t="str">
        <f>HYPERLINK("https://docs.google.com/spreadsheets/d/1qVNWx5RNOzcrce4W6R4s6W7vHl7GA16XffET2Je9f3o/edit#gid=1056237920", "https://docs.google.com/spreadsheets/d/1qVNWx5RNOzcrce4W6R4s6W7vHl7GA16XffET2Je9f3o/edit#gid=1056237920")</f>
        <v>https://docs.google.com/spreadsheets/d/1qVNWx5RNOzcrce4W6R4s6W7vHl7GA16XffET2Je9f3o/edit#gid=1056237920</v>
      </c>
      <c r="H418" s="8" t="s">
        <v>2053</v>
      </c>
      <c r="I418" s="31"/>
      <c r="J418" s="9"/>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E419" s="28" t="s">
        <v>86</v>
      </c>
      <c r="F419" s="8" t="s">
        <v>90</v>
      </c>
      <c r="G419" s="29" t="str">
        <f>HYPERLINK("https://docs.google.com/spreadsheets/d/1qVNWx5RNOzcrce4W6R4s6W7vHl7GA16XffET2Je9f3o/edit#gid=1968475389", "https://docs.google.com/spreadsheets/d/1qVNWx5RNOzcrce4W6R4s6W7vHl7GA16XffET2Je9f3o/edit#gid=1968475389")</f>
        <v>https://docs.google.com/spreadsheets/d/1qVNWx5RNOzcrce4W6R4s6W7vHl7GA16XffET2Je9f3o/edit#gid=1968475389</v>
      </c>
      <c r="H419" s="8" t="s">
        <v>90</v>
      </c>
      <c r="I419" s="31"/>
      <c r="J419" s="9"/>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E420" s="28" t="s">
        <v>86</v>
      </c>
      <c r="F420" s="38" t="s">
        <v>339</v>
      </c>
      <c r="G420" s="29" t="str">
        <f>HYPERLINK("https://docs.google.com/spreadsheets/d/1qVNWx5RNOzcrce4W6R4s6W7vHl7GA16XffET2Je9f3o/edit#gid=1761620446", "https://docs.google.com/spreadsheets/d/1qVNWx5RNOzcrce4W6R4s6W7vHl7GA16XffET2Je9f3o/edit#gid=1761620446")</f>
        <v>https://docs.google.com/spreadsheets/d/1qVNWx5RNOzcrce4W6R4s6W7vHl7GA16XffET2Je9f3o/edit#gid=1761620446</v>
      </c>
      <c r="H420" s="38" t="s">
        <v>339</v>
      </c>
      <c r="I420" s="9"/>
      <c r="J420" s="9"/>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E421" s="28" t="s">
        <v>178</v>
      </c>
      <c r="F421" s="28" t="s">
        <v>205</v>
      </c>
      <c r="G421" s="29" t="str">
        <f>HYPERLINK("https://docs.google.com/spreadsheets/d/1qVNWx5RNOzcrce4W6R4s6W7vHl7GA16XffET2Je9f3o/edit#gid=1167750026", "https://docs.google.com/spreadsheets/d/1qVNWx5RNOzcrce4W6R4s6W7vHl7GA16XffET2Je9f3o/edit#gid=1167750026")</f>
        <v>https://docs.google.com/spreadsheets/d/1qVNWx5RNOzcrce4W6R4s6W7vHl7GA16XffET2Je9f3o/edit#gid=1167750026</v>
      </c>
      <c r="H421" s="38" t="s">
        <v>205</v>
      </c>
      <c r="I421" s="9"/>
      <c r="J421" s="9"/>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E422" s="8" t="s">
        <v>178</v>
      </c>
      <c r="F422" s="58" t="s">
        <v>206</v>
      </c>
      <c r="G422" s="29"/>
      <c r="H422" s="36"/>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E423" s="8" t="s">
        <v>104</v>
      </c>
      <c r="F423" s="8" t="s">
        <v>250</v>
      </c>
      <c r="G423" s="29" t="str">
        <f>HYPERLINK("https://docs.google.com/spreadsheets/d/1qVNWx5RNOzcrce4W6R4s6W7vHl7GA16XffET2Je9f3o/edit#gid=1500669817", "https://docs.google.com/spreadsheets/d/1qVNWx5RNOzcrce4W6R4s6W7vHl7GA16XffET2Je9f3o/edit#gid=1500669817")</f>
        <v>https://docs.google.com/spreadsheets/d/1qVNWx5RNOzcrce4W6R4s6W7vHl7GA16XffET2Je9f3o/edit#gid=1500669817</v>
      </c>
      <c r="H423" s="8" t="s">
        <v>250</v>
      </c>
      <c r="I423" s="9"/>
      <c r="J423" s="9"/>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E424" s="8" t="s">
        <v>89</v>
      </c>
      <c r="F424" s="8" t="s">
        <v>291</v>
      </c>
      <c r="G424" s="29"/>
      <c r="H424" s="36"/>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345"/>
      <c r="C425" s="471"/>
      <c r="D425" s="471"/>
      <c r="E425" s="31"/>
      <c r="F425" s="31"/>
      <c r="G425" s="29"/>
      <c r="H425" s="31"/>
      <c r="I425" s="31"/>
      <c r="J425" s="9"/>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344" t="s">
        <v>4209</v>
      </c>
      <c r="C426" s="468" t="s">
        <v>4210</v>
      </c>
      <c r="D426" s="468" t="s">
        <v>20</v>
      </c>
      <c r="E426" s="28" t="s">
        <v>86</v>
      </c>
      <c r="F426" s="28" t="s">
        <v>87</v>
      </c>
      <c r="G426" s="29"/>
      <c r="H426" s="36"/>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E427" s="28" t="s">
        <v>88</v>
      </c>
      <c r="F427" s="28" t="s">
        <v>89</v>
      </c>
      <c r="G427" s="29"/>
      <c r="H427" s="36"/>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E428" s="28" t="s">
        <v>21</v>
      </c>
      <c r="F428" s="28" t="s">
        <v>51</v>
      </c>
      <c r="G428" s="29" t="str">
        <f>HYPERLINK("https://docs.google.com/spreadsheets/d/1bxVYKgxdiZmixx5XQOP_STZOR_xgyNsgnAavor1slZ8/edit#gid=1472625926", "https://docs.google.com/spreadsheets/d/1bxVYKgxdiZmixx5XQOP_STZOR_xgyNsgnAavor1slZ8/edit#gid=1472625926")</f>
        <v>https://docs.google.com/spreadsheets/d/1bxVYKgxdiZmixx5XQOP_STZOR_xgyNsgnAavor1slZ8/edit#gid=1472625926</v>
      </c>
      <c r="H428" s="38" t="s">
        <v>51</v>
      </c>
      <c r="I428" s="9"/>
      <c r="J428" s="9"/>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E429" s="28" t="s">
        <v>88</v>
      </c>
      <c r="F429" s="28" t="s">
        <v>95</v>
      </c>
      <c r="G429" s="29" t="str">
        <f>HYPERLINK("https://docs.google.com/spreadsheets/d/1bxVYKgxdiZmixx5XQOP_STZOR_xgyNsgnAavor1slZ8/edit#gid=104024441", "https://docs.google.com/spreadsheets/d/1bxVYKgxdiZmixx5XQOP_STZOR_xgyNsgnAavor1slZ8/edit#gid=104024441")</f>
        <v>https://docs.google.com/spreadsheets/d/1bxVYKgxdiZmixx5XQOP_STZOR_xgyNsgnAavor1slZ8/edit#gid=104024441</v>
      </c>
      <c r="H429" s="38" t="s">
        <v>95</v>
      </c>
      <c r="I429" s="9"/>
      <c r="J429" s="9"/>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E430" s="8" t="s">
        <v>88</v>
      </c>
      <c r="F430" s="8" t="s">
        <v>125</v>
      </c>
      <c r="G430" s="34" t="str">
        <f>HYPERLINK("https://docs.google.com/spreadsheets/d/1bxVYKgxdiZmixx5XQOP_STZOR_xgyNsgnAavor1slZ8/edit#gid=812201802", "https://docs.google.com/spreadsheets/d/1bxVYKgxdiZmixx5XQOP_STZOR_xgyNsgnAavor1slZ8/edit#gid=812201802")</f>
        <v>https://docs.google.com/spreadsheets/d/1bxVYKgxdiZmixx5XQOP_STZOR_xgyNsgnAavor1slZ8/edit#gid=812201802</v>
      </c>
      <c r="H430" s="8" t="s">
        <v>125</v>
      </c>
      <c r="I430" s="9"/>
      <c r="J430" s="9"/>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E431" s="8" t="s">
        <v>88</v>
      </c>
      <c r="F431" s="8" t="s">
        <v>307</v>
      </c>
      <c r="G431" s="34" t="str">
        <f>HYPERLINK("https://docs.google.com/spreadsheets/d/1bxVYKgxdiZmixx5XQOP_STZOR_xgyNsgnAavor1slZ8/edit#gid=404204070", "https://docs.google.com/spreadsheets/d/1bxVYKgxdiZmixx5XQOP_STZOR_xgyNsgnAavor1slZ8/edit#gid=404204070")</f>
        <v>https://docs.google.com/spreadsheets/d/1bxVYKgxdiZmixx5XQOP_STZOR_xgyNsgnAavor1slZ8/edit#gid=404204070</v>
      </c>
      <c r="H431" s="8" t="s">
        <v>307</v>
      </c>
      <c r="I431" s="9"/>
      <c r="J431" s="9"/>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E432" s="8" t="s">
        <v>88</v>
      </c>
      <c r="F432" s="8" t="s">
        <v>125</v>
      </c>
      <c r="G432" s="34" t="str">
        <f>HYPERLINK("https://docs.google.com/spreadsheets/d/1bxVYKgxdiZmixx5XQOP_STZOR_xgyNsgnAavor1slZ8/edit#gid=668520167", "https://docs.google.com/spreadsheets/d/1bxVYKgxdiZmixx5XQOP_STZOR_xgyNsgnAavor1slZ8/edit#gid=668520167")</f>
        <v>https://docs.google.com/spreadsheets/d/1bxVYKgxdiZmixx5XQOP_STZOR_xgyNsgnAavor1slZ8/edit#gid=668520167</v>
      </c>
      <c r="H432" s="8" t="s">
        <v>1919</v>
      </c>
      <c r="I432" s="9"/>
      <c r="J432" s="9"/>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E433" s="8" t="s">
        <v>88</v>
      </c>
      <c r="F433" s="8" t="s">
        <v>307</v>
      </c>
      <c r="G433" s="34" t="str">
        <f>HYPERLINK("https://docs.google.com/spreadsheets/d/1bxVYKgxdiZmixx5XQOP_STZOR_xgyNsgnAavor1slZ8/edit#gid=1643779357", "https://docs.google.com/spreadsheets/d/1bxVYKgxdiZmixx5XQOP_STZOR_xgyNsgnAavor1slZ8/edit#gid=1643779357")</f>
        <v>https://docs.google.com/spreadsheets/d/1bxVYKgxdiZmixx5XQOP_STZOR_xgyNsgnAavor1slZ8/edit#gid=1643779357</v>
      </c>
      <c r="H433" s="8" t="s">
        <v>3319</v>
      </c>
      <c r="I433" s="9"/>
      <c r="J433" s="9"/>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E434" s="8" t="s">
        <v>88</v>
      </c>
      <c r="F434" s="8" t="s">
        <v>125</v>
      </c>
      <c r="G434" s="34" t="str">
        <f>HYPERLINK("https://docs.google.com/spreadsheets/d/1bxVYKgxdiZmixx5XQOP_STZOR_xgyNsgnAavor1slZ8/edit#gid=766442578", "https://docs.google.com/spreadsheets/d/1bxVYKgxdiZmixx5XQOP_STZOR_xgyNsgnAavor1slZ8/edit#gid=766442578")</f>
        <v>https://docs.google.com/spreadsheets/d/1bxVYKgxdiZmixx5XQOP_STZOR_xgyNsgnAavor1slZ8/edit#gid=766442578</v>
      </c>
      <c r="H434" s="8" t="s">
        <v>1921</v>
      </c>
      <c r="I434" s="9"/>
      <c r="J434" s="9"/>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15"/>
      <c r="E435" s="8" t="s">
        <v>88</v>
      </c>
      <c r="F435" s="8" t="s">
        <v>307</v>
      </c>
      <c r="G435" s="34" t="str">
        <f>HYPERLINK("https://docs.google.com/spreadsheets/d/1bxVYKgxdiZmixx5XQOP_STZOR_xgyNsgnAavor1slZ8/edit#gid=699774852", "https://docs.google.com/spreadsheets/d/1bxVYKgxdiZmixx5XQOP_STZOR_xgyNsgnAavor1slZ8/edit#gid=699774852")</f>
        <v>https://docs.google.com/spreadsheets/d/1bxVYKgxdiZmixx5XQOP_STZOR_xgyNsgnAavor1slZ8/edit#gid=699774852</v>
      </c>
      <c r="H435" s="8" t="s">
        <v>3322</v>
      </c>
      <c r="I435" s="9"/>
      <c r="J435" s="9"/>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E436" s="8" t="s">
        <v>88</v>
      </c>
      <c r="F436" s="8" t="s">
        <v>125</v>
      </c>
      <c r="G436" s="34" t="str">
        <f>HYPERLINK("https://docs.google.com/spreadsheets/d/1bxVYKgxdiZmixx5XQOP_STZOR_xgyNsgnAavor1slZ8/edit#gid=675494975", "https://docs.google.com/spreadsheets/d/1bxVYKgxdiZmixx5XQOP_STZOR_xgyNsgnAavor1slZ8/edit#gid=675494975")</f>
        <v>https://docs.google.com/spreadsheets/d/1bxVYKgxdiZmixx5XQOP_STZOR_xgyNsgnAavor1slZ8/edit#gid=675494975</v>
      </c>
      <c r="H436" s="8" t="s">
        <v>3324</v>
      </c>
      <c r="I436" s="9"/>
      <c r="J436" s="9"/>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E437" s="8" t="s">
        <v>88</v>
      </c>
      <c r="F437" s="8" t="s">
        <v>307</v>
      </c>
      <c r="G437" s="34" t="str">
        <f>HYPERLINK("https://docs.google.com/spreadsheets/d/1bxVYKgxdiZmixx5XQOP_STZOR_xgyNsgnAavor1slZ8/edit#gid=2053039700", "https://docs.google.com/spreadsheets/d/1bxVYKgxdiZmixx5XQOP_STZOR_xgyNsgnAavor1slZ8/edit#gid=2053039700")</f>
        <v>https://docs.google.com/spreadsheets/d/1bxVYKgxdiZmixx5XQOP_STZOR_xgyNsgnAavor1slZ8/edit#gid=2053039700</v>
      </c>
      <c r="H437" s="8" t="s">
        <v>3326</v>
      </c>
      <c r="I437" s="9"/>
      <c r="J437" s="9"/>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E438" s="28" t="s">
        <v>172</v>
      </c>
      <c r="F438" s="8" t="s">
        <v>203</v>
      </c>
      <c r="G438" s="60" t="str">
        <f>HYPERLINK("https://docs.google.com/spreadsheets/d/1bxVYKgxdiZmixx5XQOP_STZOR_xgyNsgnAavor1slZ8/edit#gid=1307597558", "https://docs.google.com/spreadsheets/d/1bxVYKgxdiZmixx5XQOP_STZOR_xgyNsgnAavor1slZ8/edit#gid=1307597558")</f>
        <v>https://docs.google.com/spreadsheets/d/1bxVYKgxdiZmixx5XQOP_STZOR_xgyNsgnAavor1slZ8/edit#gid=1307597558</v>
      </c>
      <c r="H438" s="8" t="s">
        <v>203</v>
      </c>
      <c r="I438" s="9"/>
      <c r="J438" s="9"/>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E439" s="8" t="s">
        <v>172</v>
      </c>
      <c r="F439" s="8" t="s">
        <v>204</v>
      </c>
      <c r="G439" s="34" t="str">
        <f>HYPERLINK("https://docs.google.com/spreadsheets/d/1bxVYKgxdiZmixx5XQOP_STZOR_xgyNsgnAavor1slZ8/edit#gid=109388699", "https://docs.google.com/spreadsheets/d/1bxVYKgxdiZmixx5XQOP_STZOR_xgyNsgnAavor1slZ8/edit#gid=109388699")</f>
        <v>https://docs.google.com/spreadsheets/d/1bxVYKgxdiZmixx5XQOP_STZOR_xgyNsgnAavor1slZ8/edit#gid=109388699</v>
      </c>
      <c r="H439" s="8" t="s">
        <v>204</v>
      </c>
      <c r="I439" s="9"/>
      <c r="J439" s="9"/>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E440" s="8" t="s">
        <v>172</v>
      </c>
      <c r="F440" s="8" t="s">
        <v>173</v>
      </c>
      <c r="G440" s="34" t="str">
        <f>HYPERLINK("https://docs.google.com/spreadsheets/d/1bxVYKgxdiZmixx5XQOP_STZOR_xgyNsgnAavor1slZ8/edit#gid=1048309018", "https://docs.google.com/spreadsheets/d/1bxVYKgxdiZmixx5XQOP_STZOR_xgyNsgnAavor1slZ8/edit#gid=1048309018")</f>
        <v>https://docs.google.com/spreadsheets/d/1bxVYKgxdiZmixx5XQOP_STZOR_xgyNsgnAavor1slZ8/edit#gid=1048309018</v>
      </c>
      <c r="H440" s="8" t="s">
        <v>173</v>
      </c>
      <c r="I440" s="9"/>
      <c r="J440" s="9"/>
      <c r="K440" s="6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E441" s="8" t="s">
        <v>172</v>
      </c>
      <c r="F441" s="8" t="s">
        <v>402</v>
      </c>
      <c r="G441" s="34" t="str">
        <f>HYPERLINK("https://docs.google.com/spreadsheets/d/1bxVYKgxdiZmixx5XQOP_STZOR_xgyNsgnAavor1slZ8/edit#gid=1996241958", "https://docs.google.com/spreadsheets/d/1bxVYKgxdiZmixx5XQOP_STZOR_xgyNsgnAavor1slZ8/edit#gid=1996241958")</f>
        <v>https://docs.google.com/spreadsheets/d/1bxVYKgxdiZmixx5XQOP_STZOR_xgyNsgnAavor1slZ8/edit#gid=1996241958</v>
      </c>
      <c r="H441" s="8" t="s">
        <v>402</v>
      </c>
      <c r="I441" s="31"/>
      <c r="J441" s="9"/>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E442" s="28" t="s">
        <v>408</v>
      </c>
      <c r="F442" s="8" t="s">
        <v>408</v>
      </c>
      <c r="G442" s="34" t="str">
        <f>HYPERLINK("https://docs.google.com/spreadsheets/d/1bxVYKgxdiZmixx5XQOP_STZOR_xgyNsgnAavor1slZ8/edit#gid=1018753525", "https://docs.google.com/spreadsheets/d/1bxVYKgxdiZmixx5XQOP_STZOR_xgyNsgnAavor1slZ8/edit#gid=1018753525")</f>
        <v>https://docs.google.com/spreadsheets/d/1bxVYKgxdiZmixx5XQOP_STZOR_xgyNsgnAavor1slZ8/edit#gid=1018753525</v>
      </c>
      <c r="H442" s="8" t="s">
        <v>408</v>
      </c>
      <c r="I442" s="9"/>
      <c r="J442" s="9"/>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E443" s="28" t="s">
        <v>178</v>
      </c>
      <c r="F443" s="38" t="s">
        <v>205</v>
      </c>
      <c r="G443" s="34" t="str">
        <f>HYPERLINK("https://docs.google.com/spreadsheets/d/1bxVYKgxdiZmixx5XQOP_STZOR_xgyNsgnAavor1slZ8/edit#gid=1075358787", "https://docs.google.com/spreadsheets/d/1bxVYKgxdiZmixx5XQOP_STZOR_xgyNsgnAavor1slZ8/edit#gid=1075358787")</f>
        <v>https://docs.google.com/spreadsheets/d/1bxVYKgxdiZmixx5XQOP_STZOR_xgyNsgnAavor1slZ8/edit#gid=1075358787</v>
      </c>
      <c r="H443" s="38" t="s">
        <v>205</v>
      </c>
      <c r="I443" s="31"/>
      <c r="J443" s="9"/>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E444" s="28" t="s">
        <v>178</v>
      </c>
      <c r="F444" s="28" t="s">
        <v>206</v>
      </c>
      <c r="G444" s="34"/>
      <c r="H444" s="36"/>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E445" s="8" t="s">
        <v>104</v>
      </c>
      <c r="F445" s="8" t="s">
        <v>250</v>
      </c>
      <c r="G445" s="34" t="str">
        <f>HYPERLINK("https://docs.google.com/spreadsheets/d/1bxVYKgxdiZmixx5XQOP_STZOR_xgyNsgnAavor1slZ8/edit#gid=1136286911", "https://docs.google.com/spreadsheets/d/1bxVYKgxdiZmixx5XQOP_STZOR_xgyNsgnAavor1slZ8/edit#gid=1136286911")</f>
        <v>https://docs.google.com/spreadsheets/d/1bxVYKgxdiZmixx5XQOP_STZOR_xgyNsgnAavor1slZ8/edit#gid=1136286911</v>
      </c>
      <c r="H445" s="8" t="s">
        <v>250</v>
      </c>
      <c r="I445" s="9"/>
      <c r="J445" s="9"/>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E446" s="8" t="s">
        <v>89</v>
      </c>
      <c r="F446" s="62" t="s">
        <v>291</v>
      </c>
      <c r="G446" s="34"/>
      <c r="H446" s="36"/>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344"/>
      <c r="C447" s="471"/>
      <c r="D447" s="471"/>
      <c r="E447" s="31"/>
      <c r="F447" s="31"/>
      <c r="G447" s="34"/>
      <c r="H447" s="31"/>
      <c r="I447" s="9"/>
      <c r="J447" s="9"/>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344"/>
      <c r="C448" s="175"/>
      <c r="D448" s="344"/>
      <c r="E448" s="8"/>
      <c r="F448" s="31"/>
      <c r="G448" s="34"/>
      <c r="H448" s="31"/>
      <c r="I448" s="9"/>
      <c r="J448" s="9"/>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344" t="s">
        <v>4211</v>
      </c>
      <c r="C449" s="468" t="s">
        <v>4212</v>
      </c>
      <c r="D449" s="344" t="s">
        <v>20</v>
      </c>
      <c r="E449" s="28" t="s">
        <v>86</v>
      </c>
      <c r="F449" s="38" t="s">
        <v>87</v>
      </c>
      <c r="G449" s="29"/>
      <c r="H449" s="36"/>
      <c r="I449" s="36"/>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E450" s="28" t="s">
        <v>88</v>
      </c>
      <c r="F450" s="38" t="s">
        <v>89</v>
      </c>
      <c r="G450" s="29"/>
      <c r="H450" s="36"/>
      <c r="I450" s="36"/>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E451" s="28" t="s">
        <v>21</v>
      </c>
      <c r="F451" s="38" t="s">
        <v>51</v>
      </c>
      <c r="G451" s="29" t="str">
        <f>HYPERLINK("https://docs.google.com/spreadsheets/d/1mstIRBqYPLUbdu7-A_hQfUZsvmKjKfBICk2_aXc7cuk/edit#gid=573770239", "https://docs.google.com/spreadsheets/d/1mstIRBqYPLUbdu7-A_hQfUZsvmKjKfBICk2_aXc7cuk/edit#gid=573770239")</f>
        <v>https://docs.google.com/spreadsheets/d/1mstIRBqYPLUbdu7-A_hQfUZsvmKjKfBICk2_aXc7cuk/edit#gid=573770239</v>
      </c>
      <c r="H451" s="38" t="s">
        <v>51</v>
      </c>
      <c r="I451" s="31"/>
      <c r="J451" s="9"/>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E452" s="28" t="s">
        <v>88</v>
      </c>
      <c r="F452" s="38" t="s">
        <v>95</v>
      </c>
      <c r="G452" s="29" t="str">
        <f>HYPERLINK("https://docs.google.com/spreadsheets/d/1mstIRBqYPLUbdu7-A_hQfUZsvmKjKfBICk2_aXc7cuk/edit#gid=13232403", "https://docs.google.com/spreadsheets/d/1mstIRBqYPLUbdu7-A_hQfUZsvmKjKfBICk2_aXc7cuk/edit#gid=13232403")</f>
        <v>https://docs.google.com/spreadsheets/d/1mstIRBqYPLUbdu7-A_hQfUZsvmKjKfBICk2_aXc7cuk/edit#gid=13232403</v>
      </c>
      <c r="H452" s="38" t="s">
        <v>95</v>
      </c>
      <c r="I452" s="31"/>
      <c r="J452" s="9"/>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E453" s="28" t="s">
        <v>88</v>
      </c>
      <c r="F453" s="38" t="s">
        <v>125</v>
      </c>
      <c r="G453" s="29" t="str">
        <f>HYPERLINK("https://docs.google.com/spreadsheets/d/1mstIRBqYPLUbdu7-A_hQfUZsvmKjKfBICk2_aXc7cuk/edit#gid=1526582252", "https://docs.google.com/spreadsheets/d/1mstIRBqYPLUbdu7-A_hQfUZsvmKjKfBICk2_aXc7cuk/edit#gid=1526582252")</f>
        <v>https://docs.google.com/spreadsheets/d/1mstIRBqYPLUbdu7-A_hQfUZsvmKjKfBICk2_aXc7cuk/edit#gid=1526582252</v>
      </c>
      <c r="H453" s="38" t="s">
        <v>125</v>
      </c>
      <c r="I453" s="31"/>
      <c r="J453" s="9"/>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E454" s="28" t="s">
        <v>88</v>
      </c>
      <c r="F454" s="38" t="s">
        <v>307</v>
      </c>
      <c r="G454" s="29" t="str">
        <f>HYPERLINK("https://docs.google.com/spreadsheets/d/1mstIRBqYPLUbdu7-A_hQfUZsvmKjKfBICk2_aXc7cuk/edit#gid=1475446781", "https://docs.google.com/spreadsheets/d/1mstIRBqYPLUbdu7-A_hQfUZsvmKjKfBICk2_aXc7cuk/edit#gid=1475446781")</f>
        <v>https://docs.google.com/spreadsheets/d/1mstIRBqYPLUbdu7-A_hQfUZsvmKjKfBICk2_aXc7cuk/edit#gid=1475446781</v>
      </c>
      <c r="H454" s="38" t="s">
        <v>307</v>
      </c>
      <c r="I454" s="31"/>
      <c r="J454" s="9"/>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E455" s="28" t="s">
        <v>88</v>
      </c>
      <c r="F455" s="38" t="s">
        <v>125</v>
      </c>
      <c r="G455" s="29" t="str">
        <f>HYPERLINK("https://docs.google.com/spreadsheets/d/1mstIRBqYPLUbdu7-A_hQfUZsvmKjKfBICk2_aXc7cuk/edit#gid=1574715069", "https://docs.google.com/spreadsheets/d/1mstIRBqYPLUbdu7-A_hQfUZsvmKjKfBICk2_aXc7cuk/edit#gid=1574715069")</f>
        <v>https://docs.google.com/spreadsheets/d/1mstIRBqYPLUbdu7-A_hQfUZsvmKjKfBICk2_aXc7cuk/edit#gid=1574715069</v>
      </c>
      <c r="H455" s="38" t="s">
        <v>1919</v>
      </c>
      <c r="I455" s="31"/>
      <c r="J455" s="9"/>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E456" s="28" t="s">
        <v>88</v>
      </c>
      <c r="F456" s="38" t="s">
        <v>307</v>
      </c>
      <c r="G456" s="29" t="str">
        <f>HYPERLINK("https://docs.google.com/spreadsheets/d/1mstIRBqYPLUbdu7-A_hQfUZsvmKjKfBICk2_aXc7cuk/edit#gid=1169303088", "https://docs.google.com/spreadsheets/d/1mstIRBqYPLUbdu7-A_hQfUZsvmKjKfBICk2_aXc7cuk/edit#gid=1169303088")</f>
        <v>https://docs.google.com/spreadsheets/d/1mstIRBqYPLUbdu7-A_hQfUZsvmKjKfBICk2_aXc7cuk/edit#gid=1169303088</v>
      </c>
      <c r="H456" s="38" t="s">
        <v>3319</v>
      </c>
      <c r="I456" s="31"/>
      <c r="J456" s="9"/>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E457" s="28" t="s">
        <v>88</v>
      </c>
      <c r="F457" s="38" t="s">
        <v>125</v>
      </c>
      <c r="G457" s="29" t="str">
        <f>HYPERLINK("https://docs.google.com/spreadsheets/d/1mstIRBqYPLUbdu7-A_hQfUZsvmKjKfBICk2_aXc7cuk/edit#gid=805366208", "https://docs.google.com/spreadsheets/d/1mstIRBqYPLUbdu7-A_hQfUZsvmKjKfBICk2_aXc7cuk/edit#gid=805366208")</f>
        <v>https://docs.google.com/spreadsheets/d/1mstIRBqYPLUbdu7-A_hQfUZsvmKjKfBICk2_aXc7cuk/edit#gid=805366208</v>
      </c>
      <c r="H457" s="38" t="s">
        <v>1921</v>
      </c>
      <c r="I457" s="31"/>
      <c r="J457" s="9"/>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E458" s="28" t="s">
        <v>88</v>
      </c>
      <c r="F458" s="38" t="s">
        <v>307</v>
      </c>
      <c r="G458" s="29" t="str">
        <f>HYPERLINK("https://docs.google.com/spreadsheets/d/1mstIRBqYPLUbdu7-A_hQfUZsvmKjKfBICk2_aXc7cuk/edit#gid=85768863", "https://docs.google.com/spreadsheets/d/1mstIRBqYPLUbdu7-A_hQfUZsvmKjKfBICk2_aXc7cuk/edit#gid=85768863")</f>
        <v>https://docs.google.com/spreadsheets/d/1mstIRBqYPLUbdu7-A_hQfUZsvmKjKfBICk2_aXc7cuk/edit#gid=85768863</v>
      </c>
      <c r="H458" s="38" t="s">
        <v>3322</v>
      </c>
      <c r="I458" s="31"/>
      <c r="J458" s="9"/>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E459" s="28" t="s">
        <v>88</v>
      </c>
      <c r="F459" s="38" t="s">
        <v>125</v>
      </c>
      <c r="G459" s="29" t="str">
        <f>HYPERLINK("https://docs.google.com/spreadsheets/d/1mstIRBqYPLUbdu7-A_hQfUZsvmKjKfBICk2_aXc7cuk/edit#gid=1337638806", "https://docs.google.com/spreadsheets/d/1mstIRBqYPLUbdu7-A_hQfUZsvmKjKfBICk2_aXc7cuk/edit#gid=1337638806")</f>
        <v>https://docs.google.com/spreadsheets/d/1mstIRBqYPLUbdu7-A_hQfUZsvmKjKfBICk2_aXc7cuk/edit#gid=1337638806</v>
      </c>
      <c r="H459" s="38" t="s">
        <v>3324</v>
      </c>
      <c r="I459" s="31"/>
      <c r="J459" s="9"/>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E460" s="28" t="s">
        <v>88</v>
      </c>
      <c r="F460" s="38" t="s">
        <v>307</v>
      </c>
      <c r="G460" s="29" t="str">
        <f>HYPERLINK("https://docs.google.com/spreadsheets/d/1mstIRBqYPLUbdu7-A_hQfUZsvmKjKfBICk2_aXc7cuk/edit#gid=2007992273", "https://docs.google.com/spreadsheets/d/1mstIRBqYPLUbdu7-A_hQfUZsvmKjKfBICk2_aXc7cuk/edit#gid=2007992273")</f>
        <v>https://docs.google.com/spreadsheets/d/1mstIRBqYPLUbdu7-A_hQfUZsvmKjKfBICk2_aXc7cuk/edit#gid=2007992273</v>
      </c>
      <c r="H460" s="38" t="s">
        <v>3326</v>
      </c>
      <c r="I460" s="31"/>
      <c r="J460" s="9"/>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E461" s="28" t="s">
        <v>172</v>
      </c>
      <c r="F461" s="28" t="s">
        <v>203</v>
      </c>
      <c r="G461" s="29" t="str">
        <f>HYPERLINK("https://docs.google.com/spreadsheets/d/1mstIRBqYPLUbdu7-A_hQfUZsvmKjKfBICk2_aXc7cuk/edit#gid=2095292532", "https://docs.google.com/spreadsheets/d/1mstIRBqYPLUbdu7-A_hQfUZsvmKjKfBICk2_aXc7cuk/edit#gid=2095292532")</f>
        <v>https://docs.google.com/spreadsheets/d/1mstIRBqYPLUbdu7-A_hQfUZsvmKjKfBICk2_aXc7cuk/edit#gid=2095292532</v>
      </c>
      <c r="H461" s="38" t="s">
        <v>203</v>
      </c>
      <c r="I461" s="31"/>
      <c r="J461" s="9"/>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E462" s="8" t="s">
        <v>172</v>
      </c>
      <c r="F462" s="8" t="s">
        <v>204</v>
      </c>
      <c r="G462" s="29" t="str">
        <f>HYPERLINK("https://docs.google.com/spreadsheets/d/1mstIRBqYPLUbdu7-A_hQfUZsvmKjKfBICk2_aXc7cuk/edit#gid=2096845207", "https://docs.google.com/spreadsheets/d/1mstIRBqYPLUbdu7-A_hQfUZsvmKjKfBICk2_aXc7cuk/edit#gid=2096845207")</f>
        <v>https://docs.google.com/spreadsheets/d/1mstIRBqYPLUbdu7-A_hQfUZsvmKjKfBICk2_aXc7cuk/edit#gid=2096845207</v>
      </c>
      <c r="H462" s="8" t="s">
        <v>204</v>
      </c>
      <c r="I462" s="9"/>
      <c r="J462" s="9"/>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E463" s="8" t="s">
        <v>172</v>
      </c>
      <c r="F463" s="8" t="s">
        <v>173</v>
      </c>
      <c r="G463" s="29" t="str">
        <f>HYPERLINK("https://docs.google.com/spreadsheets/d/1mstIRBqYPLUbdu7-A_hQfUZsvmKjKfBICk2_aXc7cuk/edit#gid=262150916", "https://docs.google.com/spreadsheets/d/1mstIRBqYPLUbdu7-A_hQfUZsvmKjKfBICk2_aXc7cuk/edit#gid=262150916")</f>
        <v>https://docs.google.com/spreadsheets/d/1mstIRBqYPLUbdu7-A_hQfUZsvmKjKfBICk2_aXc7cuk/edit#gid=262150916</v>
      </c>
      <c r="H463" s="8" t="s">
        <v>173</v>
      </c>
      <c r="I463" s="9"/>
      <c r="J463" s="9"/>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E464" s="8" t="s">
        <v>172</v>
      </c>
      <c r="F464" s="8" t="s">
        <v>402</v>
      </c>
      <c r="G464" s="29" t="str">
        <f>HYPERLINK("https://docs.google.com/spreadsheets/d/1mstIRBqYPLUbdu7-A_hQfUZsvmKjKfBICk2_aXc7cuk/edit#gid=33133229", "https://docs.google.com/spreadsheets/d/1mstIRBqYPLUbdu7-A_hQfUZsvmKjKfBICk2_aXc7cuk/edit#gid=33133229")</f>
        <v>https://docs.google.com/spreadsheets/d/1mstIRBqYPLUbdu7-A_hQfUZsvmKjKfBICk2_aXc7cuk/edit#gid=33133229</v>
      </c>
      <c r="H464" s="8" t="s">
        <v>402</v>
      </c>
      <c r="I464" s="9"/>
      <c r="J464" s="9"/>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E465" s="8" t="s">
        <v>408</v>
      </c>
      <c r="F465" s="8" t="s">
        <v>408</v>
      </c>
      <c r="G465" s="29" t="str">
        <f>HYPERLINK("https://docs.google.com/spreadsheets/d/1mstIRBqYPLUbdu7-A_hQfUZsvmKjKfBICk2_aXc7cuk/edit#gid=1239261350", "https://docs.google.com/spreadsheets/d/1mstIRBqYPLUbdu7-A_hQfUZsvmKjKfBICk2_aXc7cuk/edit#gid=1239261350")</f>
        <v>https://docs.google.com/spreadsheets/d/1mstIRBqYPLUbdu7-A_hQfUZsvmKjKfBICk2_aXc7cuk/edit#gid=1239261350</v>
      </c>
      <c r="H465" s="8" t="s">
        <v>408</v>
      </c>
      <c r="I465" s="9"/>
      <c r="J465" s="9"/>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E466" s="8" t="s">
        <v>178</v>
      </c>
      <c r="F466" s="8" t="s">
        <v>205</v>
      </c>
      <c r="G466" s="29" t="str">
        <f>HYPERLINK("https://docs.google.com/spreadsheets/d/1mstIRBqYPLUbdu7-A_hQfUZsvmKjKfBICk2_aXc7cuk/edit#gid=398697867", "https://docs.google.com/spreadsheets/d/1mstIRBqYPLUbdu7-A_hQfUZsvmKjKfBICk2_aXc7cuk/edit#gid=398697867")</f>
        <v>https://docs.google.com/spreadsheets/d/1mstIRBqYPLUbdu7-A_hQfUZsvmKjKfBICk2_aXc7cuk/edit#gid=398697867</v>
      </c>
      <c r="H466" s="8" t="s">
        <v>205</v>
      </c>
      <c r="I466" s="9"/>
      <c r="J466" s="9"/>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E467" s="28" t="s">
        <v>178</v>
      </c>
      <c r="F467" s="8" t="s">
        <v>206</v>
      </c>
      <c r="G467" s="29"/>
      <c r="H467" s="36"/>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E468" s="28" t="s">
        <v>21</v>
      </c>
      <c r="F468" s="38" t="s">
        <v>51</v>
      </c>
      <c r="G468" s="29" t="str">
        <f>HYPERLINK("https://docs.google.com/spreadsheets/d/1mstIRBqYPLUbdu7-A_hQfUZsvmKjKfBICk2_aXc7cuk/edit#gid=2003364265", "https://docs.google.com/spreadsheets/d/1mstIRBqYPLUbdu7-A_hQfUZsvmKjKfBICk2_aXc7cuk/edit#gid=2003364265")</f>
        <v>https://docs.google.com/spreadsheets/d/1mstIRBqYPLUbdu7-A_hQfUZsvmKjKfBICk2_aXc7cuk/edit#gid=2003364265</v>
      </c>
      <c r="H468" s="38" t="s">
        <v>1383</v>
      </c>
      <c r="I468" s="31"/>
      <c r="J468" s="9"/>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E469" s="28" t="s">
        <v>88</v>
      </c>
      <c r="F469" s="38" t="s">
        <v>95</v>
      </c>
      <c r="G469" s="29" t="str">
        <f>HYPERLINK("https://docs.google.com/spreadsheets/d/1mstIRBqYPLUbdu7-A_hQfUZsvmKjKfBICk2_aXc7cuk/edit#gid=1860226129", "https://docs.google.com/spreadsheets/d/1mstIRBqYPLUbdu7-A_hQfUZsvmKjKfBICk2_aXc7cuk/edit#gid=1860226129")</f>
        <v>https://docs.google.com/spreadsheets/d/1mstIRBqYPLUbdu7-A_hQfUZsvmKjKfBICk2_aXc7cuk/edit#gid=1860226129</v>
      </c>
      <c r="H469" s="38" t="s">
        <v>176</v>
      </c>
      <c r="I469" s="31"/>
      <c r="J469" s="9"/>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E470" s="28" t="s">
        <v>88</v>
      </c>
      <c r="F470" s="38" t="s">
        <v>125</v>
      </c>
      <c r="G470" s="29" t="str">
        <f>HYPERLINK("https://docs.google.com/spreadsheets/d/1mstIRBqYPLUbdu7-A_hQfUZsvmKjKfBICk2_aXc7cuk/edit#gid=436163281", "https://docs.google.com/spreadsheets/d/1mstIRBqYPLUbdu7-A_hQfUZsvmKjKfBICk2_aXc7cuk/edit#gid=436163281")</f>
        <v>https://docs.google.com/spreadsheets/d/1mstIRBqYPLUbdu7-A_hQfUZsvmKjKfBICk2_aXc7cuk/edit#gid=436163281</v>
      </c>
      <c r="H470" s="38" t="s">
        <v>4213</v>
      </c>
      <c r="I470" s="31"/>
      <c r="J470" s="9"/>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E471" s="28" t="s">
        <v>88</v>
      </c>
      <c r="F471" s="38" t="s">
        <v>307</v>
      </c>
      <c r="G471" s="29" t="str">
        <f>HYPERLINK("https://docs.google.com/spreadsheets/d/1mstIRBqYPLUbdu7-A_hQfUZsvmKjKfBICk2_aXc7cuk/edit#gid=1707879459", "https://docs.google.com/spreadsheets/d/1mstIRBqYPLUbdu7-A_hQfUZsvmKjKfBICk2_aXc7cuk/edit#gid=1707879459")</f>
        <v>https://docs.google.com/spreadsheets/d/1mstIRBqYPLUbdu7-A_hQfUZsvmKjKfBICk2_aXc7cuk/edit#gid=1707879459</v>
      </c>
      <c r="H471" s="38" t="s">
        <v>4214</v>
      </c>
      <c r="I471" s="31"/>
      <c r="J471" s="9"/>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E472" s="28" t="s">
        <v>88</v>
      </c>
      <c r="F472" s="38" t="s">
        <v>125</v>
      </c>
      <c r="G472" s="29" t="str">
        <f>HYPERLINK("https://docs.google.com/spreadsheets/d/1mstIRBqYPLUbdu7-A_hQfUZsvmKjKfBICk2_aXc7cuk/edit#gid=1190649426", "https://docs.google.com/spreadsheets/d/1mstIRBqYPLUbdu7-A_hQfUZsvmKjKfBICk2_aXc7cuk/edit#gid=1190649426")</f>
        <v>https://docs.google.com/spreadsheets/d/1mstIRBqYPLUbdu7-A_hQfUZsvmKjKfBICk2_aXc7cuk/edit#gid=1190649426</v>
      </c>
      <c r="H472" s="38" t="s">
        <v>4215</v>
      </c>
      <c r="I472" s="31"/>
      <c r="J472" s="9"/>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E473" s="28" t="s">
        <v>88</v>
      </c>
      <c r="F473" s="38" t="s">
        <v>307</v>
      </c>
      <c r="G473" s="29" t="str">
        <f>HYPERLINK("https://docs.google.com/spreadsheets/d/1mstIRBqYPLUbdu7-A_hQfUZsvmKjKfBICk2_aXc7cuk/edit#gid=236298927", "https://docs.google.com/spreadsheets/d/1mstIRBqYPLUbdu7-A_hQfUZsvmKjKfBICk2_aXc7cuk/edit#gid=236298927")</f>
        <v>https://docs.google.com/spreadsheets/d/1mstIRBqYPLUbdu7-A_hQfUZsvmKjKfBICk2_aXc7cuk/edit#gid=236298927</v>
      </c>
      <c r="H473" s="38" t="s">
        <v>4216</v>
      </c>
      <c r="I473" s="31"/>
      <c r="J473" s="9"/>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E474" s="28" t="s">
        <v>104</v>
      </c>
      <c r="F474" s="28" t="s">
        <v>250</v>
      </c>
      <c r="G474" s="29" t="str">
        <f>HYPERLINK("https://docs.google.com/spreadsheets/d/1mstIRBqYPLUbdu7-A_hQfUZsvmKjKfBICk2_aXc7cuk/edit#gid=1405793160", "https://docs.google.com/spreadsheets/d/1mstIRBqYPLUbdu7-A_hQfUZsvmKjKfBICk2_aXc7cuk/edit#gid=1405793160")</f>
        <v>https://docs.google.com/spreadsheets/d/1mstIRBqYPLUbdu7-A_hQfUZsvmKjKfBICk2_aXc7cuk/edit#gid=1405793160</v>
      </c>
      <c r="H474" s="38" t="s">
        <v>250</v>
      </c>
      <c r="I474" s="31"/>
      <c r="J474" s="9"/>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E475" s="8" t="s">
        <v>89</v>
      </c>
      <c r="F475" s="8" t="s">
        <v>291</v>
      </c>
      <c r="G475" s="29"/>
      <c r="H475" s="36"/>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344"/>
      <c r="C476" s="467"/>
      <c r="D476" s="345"/>
      <c r="E476" s="37"/>
      <c r="F476" s="31"/>
      <c r="G476" s="34"/>
      <c r="H476" s="31"/>
      <c r="I476" s="9"/>
      <c r="J476" s="9"/>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344" t="s">
        <v>4217</v>
      </c>
      <c r="C477" s="175" t="s">
        <v>4218</v>
      </c>
      <c r="D477" s="344" t="s">
        <v>20</v>
      </c>
      <c r="E477" s="28" t="s">
        <v>86</v>
      </c>
      <c r="F477" s="38" t="s">
        <v>87</v>
      </c>
      <c r="G477" s="34"/>
      <c r="H477" s="36"/>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E478" s="28" t="s">
        <v>88</v>
      </c>
      <c r="F478" s="38" t="s">
        <v>89</v>
      </c>
      <c r="G478" s="34"/>
      <c r="H478" s="36"/>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E479" s="28" t="s">
        <v>21</v>
      </c>
      <c r="F479" s="38" t="s">
        <v>51</v>
      </c>
      <c r="G479" s="34" t="str">
        <f>HYPERLINK("https://docs.google.com/spreadsheets/d/1BehosgEaBjVRUNW0YWOypCfOOnrsOjNYBDDJaHuNq3E/edit#gid=2105358114", "https://docs.google.com/spreadsheets/d/1BehosgEaBjVRUNW0YWOypCfOOnrsOjNYBDDJaHuNq3E/edit#gid=2105358114")</f>
        <v>https://docs.google.com/spreadsheets/d/1BehosgEaBjVRUNW0YWOypCfOOnrsOjNYBDDJaHuNq3E/edit#gid=2105358114</v>
      </c>
      <c r="H479" s="38" t="s">
        <v>51</v>
      </c>
      <c r="I479" s="9"/>
      <c r="J479" s="9"/>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E480" s="28" t="s">
        <v>88</v>
      </c>
      <c r="F480" s="28" t="s">
        <v>95</v>
      </c>
      <c r="G480" s="34" t="str">
        <f>HYPERLINK("https://docs.google.com/spreadsheets/d/1BehosgEaBjVRUNW0YWOypCfOOnrsOjNYBDDJaHuNq3E/edit#gid=1943068768", "https://docs.google.com/spreadsheets/d/1BehosgEaBjVRUNW0YWOypCfOOnrsOjNYBDDJaHuNq3E/edit#gid=1943068768")</f>
        <v>https://docs.google.com/spreadsheets/d/1BehosgEaBjVRUNW0YWOypCfOOnrsOjNYBDDJaHuNq3E/edit#gid=1943068768</v>
      </c>
      <c r="H480" s="38" t="s">
        <v>95</v>
      </c>
      <c r="I480" s="9"/>
      <c r="J480" s="9"/>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E481" s="8" t="s">
        <v>88</v>
      </c>
      <c r="F481" s="8" t="s">
        <v>125</v>
      </c>
      <c r="G481" s="34" t="str">
        <f>HYPERLINK("https://docs.google.com/spreadsheets/d/1BehosgEaBjVRUNW0YWOypCfOOnrsOjNYBDDJaHuNq3E/edit#gid=1174230197", "https://docs.google.com/spreadsheets/d/1BehosgEaBjVRUNW0YWOypCfOOnrsOjNYBDDJaHuNq3E/edit#gid=1174230197")</f>
        <v>https://docs.google.com/spreadsheets/d/1BehosgEaBjVRUNW0YWOypCfOOnrsOjNYBDDJaHuNq3E/edit#gid=1174230197</v>
      </c>
      <c r="H481" s="8" t="s">
        <v>125</v>
      </c>
      <c r="I481" s="9"/>
      <c r="J481" s="9"/>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E482" s="8" t="s">
        <v>88</v>
      </c>
      <c r="F482" s="62" t="s">
        <v>307</v>
      </c>
      <c r="G482" s="34" t="str">
        <f>HYPERLINK("https://docs.google.com/spreadsheets/d/1BehosgEaBjVRUNW0YWOypCfOOnrsOjNYBDDJaHuNq3E/edit#gid=1240076571", "https://docs.google.com/spreadsheets/d/1BehosgEaBjVRUNW0YWOypCfOOnrsOjNYBDDJaHuNq3E/edit#gid=1240076571")</f>
        <v>https://docs.google.com/spreadsheets/d/1BehosgEaBjVRUNW0YWOypCfOOnrsOjNYBDDJaHuNq3E/edit#gid=1240076571</v>
      </c>
      <c r="H482" s="62" t="s">
        <v>307</v>
      </c>
      <c r="I482" s="9"/>
      <c r="J482" s="9"/>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E483" s="8" t="s">
        <v>88</v>
      </c>
      <c r="F483" s="8" t="s">
        <v>125</v>
      </c>
      <c r="G483" s="34" t="str">
        <f>HYPERLINK("https://docs.google.com/spreadsheets/d/1BehosgEaBjVRUNW0YWOypCfOOnrsOjNYBDDJaHuNq3E/edit#gid=348040848", "https://docs.google.com/spreadsheets/d/1BehosgEaBjVRUNW0YWOypCfOOnrsOjNYBDDJaHuNq3E/edit#gid=348040848")</f>
        <v>https://docs.google.com/spreadsheets/d/1BehosgEaBjVRUNW0YWOypCfOOnrsOjNYBDDJaHuNq3E/edit#gid=348040848</v>
      </c>
      <c r="H483" s="8" t="s">
        <v>1919</v>
      </c>
      <c r="I483" s="9"/>
      <c r="J483" s="9"/>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E484" s="8" t="s">
        <v>88</v>
      </c>
      <c r="F484" s="8" t="s">
        <v>307</v>
      </c>
      <c r="G484" s="34" t="str">
        <f>HYPERLINK("https://docs.google.com/spreadsheets/d/1BehosgEaBjVRUNW0YWOypCfOOnrsOjNYBDDJaHuNq3E/edit#gid=1765320668", "https://docs.google.com/spreadsheets/d/1BehosgEaBjVRUNW0YWOypCfOOnrsOjNYBDDJaHuNq3E/edit#gid=1765320668")</f>
        <v>https://docs.google.com/spreadsheets/d/1BehosgEaBjVRUNW0YWOypCfOOnrsOjNYBDDJaHuNq3E/edit#gid=1765320668</v>
      </c>
      <c r="H484" s="8" t="s">
        <v>3319</v>
      </c>
      <c r="I484" s="9"/>
      <c r="J484" s="9"/>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E485" s="8" t="s">
        <v>88</v>
      </c>
      <c r="F485" s="8" t="s">
        <v>125</v>
      </c>
      <c r="G485" s="34" t="str">
        <f>HYPERLINK("https://docs.google.com/spreadsheets/d/1BehosgEaBjVRUNW0YWOypCfOOnrsOjNYBDDJaHuNq3E/edit#gid=584607262", "https://docs.google.com/spreadsheets/d/1BehosgEaBjVRUNW0YWOypCfOOnrsOjNYBDDJaHuNq3E/edit#gid=584607262")</f>
        <v>https://docs.google.com/spreadsheets/d/1BehosgEaBjVRUNW0YWOypCfOOnrsOjNYBDDJaHuNq3E/edit#gid=584607262</v>
      </c>
      <c r="H485" s="8" t="s">
        <v>1921</v>
      </c>
      <c r="I485" s="9"/>
      <c r="J485" s="9"/>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E486" s="8" t="s">
        <v>88</v>
      </c>
      <c r="F486" s="8" t="s">
        <v>307</v>
      </c>
      <c r="G486" s="34" t="str">
        <f>HYPERLINK("https://docs.google.com/spreadsheets/d/1BehosgEaBjVRUNW0YWOypCfOOnrsOjNYBDDJaHuNq3E/edit#gid=1094845409", "https://docs.google.com/spreadsheets/d/1BehosgEaBjVRUNW0YWOypCfOOnrsOjNYBDDJaHuNq3E/edit#gid=1094845409")</f>
        <v>https://docs.google.com/spreadsheets/d/1BehosgEaBjVRUNW0YWOypCfOOnrsOjNYBDDJaHuNq3E/edit#gid=1094845409</v>
      </c>
      <c r="H486" s="8" t="s">
        <v>3322</v>
      </c>
      <c r="J486" s="9"/>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E487" s="28" t="s">
        <v>88</v>
      </c>
      <c r="F487" s="8" t="s">
        <v>125</v>
      </c>
      <c r="G487" s="34" t="str">
        <f>HYPERLINK("https://docs.google.com/spreadsheets/d/1BehosgEaBjVRUNW0YWOypCfOOnrsOjNYBDDJaHuNq3E/edit#gid=1626737049", "https://docs.google.com/spreadsheets/d/1BehosgEaBjVRUNW0YWOypCfOOnrsOjNYBDDJaHuNq3E/edit#gid=1626737049")</f>
        <v>https://docs.google.com/spreadsheets/d/1BehosgEaBjVRUNW0YWOypCfOOnrsOjNYBDDJaHuNq3E/edit#gid=1626737049</v>
      </c>
      <c r="H487" s="8" t="s">
        <v>3324</v>
      </c>
      <c r="I487" s="9"/>
      <c r="J487" s="9"/>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E488" s="28" t="s">
        <v>88</v>
      </c>
      <c r="F488" s="38" t="s">
        <v>307</v>
      </c>
      <c r="G488" s="34" t="str">
        <f>HYPERLINK("https://docs.google.com/spreadsheets/d/1BehosgEaBjVRUNW0YWOypCfOOnrsOjNYBDDJaHuNq3E/edit#gid=1671185163", "https://docs.google.com/spreadsheets/d/1BehosgEaBjVRUNW0YWOypCfOOnrsOjNYBDDJaHuNq3E/edit#gid=1671185163")</f>
        <v>https://docs.google.com/spreadsheets/d/1BehosgEaBjVRUNW0YWOypCfOOnrsOjNYBDDJaHuNq3E/edit#gid=1671185163</v>
      </c>
      <c r="H488" s="38" t="s">
        <v>3326</v>
      </c>
      <c r="I488" s="9"/>
      <c r="J488" s="9"/>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E489" s="28" t="s">
        <v>88</v>
      </c>
      <c r="F489" s="28" t="s">
        <v>125</v>
      </c>
      <c r="G489" s="34" t="str">
        <f>HYPERLINK("https://docs.google.com/spreadsheets/d/1BehosgEaBjVRUNW0YWOypCfOOnrsOjNYBDDJaHuNq3E/edit#gid=699890669", "https://docs.google.com/spreadsheets/d/1BehosgEaBjVRUNW0YWOypCfOOnrsOjNYBDDJaHuNq3E/edit#gid=699890669")</f>
        <v>https://docs.google.com/spreadsheets/d/1BehosgEaBjVRUNW0YWOypCfOOnrsOjNYBDDJaHuNq3E/edit#gid=699890669</v>
      </c>
      <c r="H489" s="38" t="s">
        <v>4213</v>
      </c>
      <c r="I489" s="9"/>
      <c r="J489" s="9"/>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E490" s="8" t="s">
        <v>88</v>
      </c>
      <c r="F490" s="8" t="s">
        <v>307</v>
      </c>
      <c r="G490" s="34" t="str">
        <f>HYPERLINK("https://docs.google.com/spreadsheets/d/1BehosgEaBjVRUNW0YWOypCfOOnrsOjNYBDDJaHuNq3E/edit#gid=1130884111", "https://docs.google.com/spreadsheets/d/1BehosgEaBjVRUNW0YWOypCfOOnrsOjNYBDDJaHuNq3E/edit#gid=1130884111")</f>
        <v>https://docs.google.com/spreadsheets/d/1BehosgEaBjVRUNW0YWOypCfOOnrsOjNYBDDJaHuNq3E/edit#gid=1130884111</v>
      </c>
      <c r="H490" s="8" t="s">
        <v>4214</v>
      </c>
      <c r="I490" s="9"/>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E491" s="8" t="s">
        <v>88</v>
      </c>
      <c r="F491" s="62" t="s">
        <v>125</v>
      </c>
      <c r="G491" s="34" t="str">
        <f>HYPERLINK("https://docs.google.com/spreadsheets/d/1BehosgEaBjVRUNW0YWOypCfOOnrsOjNYBDDJaHuNq3E/edit#gid=1906344423", "https://docs.google.com/spreadsheets/d/1BehosgEaBjVRUNW0YWOypCfOOnrsOjNYBDDJaHuNq3E/edit#gid=1906344423")</f>
        <v>https://docs.google.com/spreadsheets/d/1BehosgEaBjVRUNW0YWOypCfOOnrsOjNYBDDJaHuNq3E/edit#gid=1906344423</v>
      </c>
      <c r="H491" s="62" t="s">
        <v>4215</v>
      </c>
      <c r="I491" s="9"/>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E492" s="28" t="s">
        <v>88</v>
      </c>
      <c r="F492" s="8" t="s">
        <v>307</v>
      </c>
      <c r="G492" s="48" t="str">
        <f>HYPERLINK("https://docs.google.com/spreadsheets/d/1BehosgEaBjVRUNW0YWOypCfOOnrsOjNYBDDJaHuNq3E/edit#gid=621023981", "https://docs.google.com/spreadsheets/d/1BehosgEaBjVRUNW0YWOypCfOOnrsOjNYBDDJaHuNq3E/edit#gid=621023981")</f>
        <v>https://docs.google.com/spreadsheets/d/1BehosgEaBjVRUNW0YWOypCfOOnrsOjNYBDDJaHuNq3E/edit#gid=621023981</v>
      </c>
      <c r="H492" s="8" t="s">
        <v>4216</v>
      </c>
      <c r="I492" s="9"/>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E493" s="35" t="s">
        <v>172</v>
      </c>
      <c r="F493" s="35" t="s">
        <v>203</v>
      </c>
      <c r="G493" s="84" t="str">
        <f>HYPERLINK("https://docs.google.com/spreadsheets/d/1BehosgEaBjVRUNW0YWOypCfOOnrsOjNYBDDJaHuNq3E/edit#gid=1801395044", "https://docs.google.com/spreadsheets/d/1BehosgEaBjVRUNW0YWOypCfOOnrsOjNYBDDJaHuNq3E/edit#gid=1801395044")</f>
        <v>https://docs.google.com/spreadsheets/d/1BehosgEaBjVRUNW0YWOypCfOOnrsOjNYBDDJaHuNq3E/edit#gid=1801395044</v>
      </c>
      <c r="H493" s="35" t="s">
        <v>203</v>
      </c>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E494" s="35" t="s">
        <v>172</v>
      </c>
      <c r="F494" s="35" t="s">
        <v>204</v>
      </c>
      <c r="G494" s="84" t="str">
        <f>HYPERLINK("https://docs.google.com/spreadsheets/d/1BehosgEaBjVRUNW0YWOypCfOOnrsOjNYBDDJaHuNq3E/edit#gid=481143688", "https://docs.google.com/spreadsheets/d/1BehosgEaBjVRUNW0YWOypCfOOnrsOjNYBDDJaHuNq3E/edit#gid=481143688")</f>
        <v>https://docs.google.com/spreadsheets/d/1BehosgEaBjVRUNW0YWOypCfOOnrsOjNYBDDJaHuNq3E/edit#gid=481143688</v>
      </c>
      <c r="H494" s="35" t="s">
        <v>204</v>
      </c>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E495" s="35" t="s">
        <v>172</v>
      </c>
      <c r="F495" s="35" t="s">
        <v>173</v>
      </c>
      <c r="G495" s="84" t="str">
        <f>HYPERLINK("https://docs.google.com/spreadsheets/d/1BehosgEaBjVRUNW0YWOypCfOOnrsOjNYBDDJaHuNq3E/edit#gid=157842507", "https://docs.google.com/spreadsheets/d/1BehosgEaBjVRUNW0YWOypCfOOnrsOjNYBDDJaHuNq3E/edit#gid=157842507")</f>
        <v>https://docs.google.com/spreadsheets/d/1BehosgEaBjVRUNW0YWOypCfOOnrsOjNYBDDJaHuNq3E/edit#gid=157842507</v>
      </c>
      <c r="H495" s="35" t="s">
        <v>173</v>
      </c>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E496" s="35" t="s">
        <v>172</v>
      </c>
      <c r="F496" s="35" t="s">
        <v>402</v>
      </c>
      <c r="G496" s="84" t="str">
        <f>HYPERLINK("https://docs.google.com/spreadsheets/d/1BehosgEaBjVRUNW0YWOypCfOOnrsOjNYBDDJaHuNq3E/edit#gid=611522458", "https://docs.google.com/spreadsheets/d/1BehosgEaBjVRUNW0YWOypCfOOnrsOjNYBDDJaHuNq3E/edit#gid=611522458")</f>
        <v>https://docs.google.com/spreadsheets/d/1BehosgEaBjVRUNW0YWOypCfOOnrsOjNYBDDJaHuNq3E/edit#gid=611522458</v>
      </c>
      <c r="H496" s="35" t="s">
        <v>402</v>
      </c>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E497" s="8" t="s">
        <v>408</v>
      </c>
      <c r="F497" s="8" t="s">
        <v>408</v>
      </c>
      <c r="G497" s="34" t="str">
        <f>HYPERLINK("https://docs.google.com/spreadsheets/d/1BehosgEaBjVRUNW0YWOypCfOOnrsOjNYBDDJaHuNq3E/edit#gid=154736319", "https://docs.google.com/spreadsheets/d/1BehosgEaBjVRUNW0YWOypCfOOnrsOjNYBDDJaHuNq3E/edit#gid=154736319")</f>
        <v>https://docs.google.com/spreadsheets/d/1BehosgEaBjVRUNW0YWOypCfOOnrsOjNYBDDJaHuNq3E/edit#gid=154736319</v>
      </c>
      <c r="H497" s="8" t="s">
        <v>408</v>
      </c>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E498" s="8" t="s">
        <v>86</v>
      </c>
      <c r="F498" s="8" t="s">
        <v>90</v>
      </c>
      <c r="G498" s="34" t="str">
        <f>HYPERLINK("https://docs.google.com/spreadsheets/d/1BehosgEaBjVRUNW0YWOypCfOOnrsOjNYBDDJaHuNq3E/edit#gid=897857333", "https://docs.google.com/spreadsheets/d/1BehosgEaBjVRUNW0YWOypCfOOnrsOjNYBDDJaHuNq3E/edit#gid=897857333")</f>
        <v>https://docs.google.com/spreadsheets/d/1BehosgEaBjVRUNW0YWOypCfOOnrsOjNYBDDJaHuNq3E/edit#gid=897857333</v>
      </c>
      <c r="H498" s="8" t="s">
        <v>90</v>
      </c>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E499" s="8" t="s">
        <v>86</v>
      </c>
      <c r="F499" s="8" t="s">
        <v>339</v>
      </c>
      <c r="G499" s="34" t="str">
        <f>HYPERLINK("https://docs.google.com/spreadsheets/d/1BehosgEaBjVRUNW0YWOypCfOOnrsOjNYBDDJaHuNq3E/edit#gid=1783160209", "https://docs.google.com/spreadsheets/d/1BehosgEaBjVRUNW0YWOypCfOOnrsOjNYBDDJaHuNq3E/edit#gid=1783160209")</f>
        <v>https://docs.google.com/spreadsheets/d/1BehosgEaBjVRUNW0YWOypCfOOnrsOjNYBDDJaHuNq3E/edit#gid=1783160209</v>
      </c>
      <c r="H499" s="8" t="s">
        <v>339</v>
      </c>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E500" s="28" t="s">
        <v>178</v>
      </c>
      <c r="F500" s="8" t="s">
        <v>205</v>
      </c>
      <c r="G500" s="34" t="str">
        <f>HYPERLINK("https://docs.google.com/spreadsheets/d/1BehosgEaBjVRUNW0YWOypCfOOnrsOjNYBDDJaHuNq3E/edit#gid=1376061666", "https://docs.google.com/spreadsheets/d/1BehosgEaBjVRUNW0YWOypCfOOnrsOjNYBDDJaHuNq3E/edit#gid=1376061666")</f>
        <v>https://docs.google.com/spreadsheets/d/1BehosgEaBjVRUNW0YWOypCfOOnrsOjNYBDDJaHuNq3E/edit#gid=1376061666</v>
      </c>
      <c r="H500" s="8" t="s">
        <v>205</v>
      </c>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E501" s="28" t="s">
        <v>178</v>
      </c>
      <c r="F501" s="38" t="s">
        <v>206</v>
      </c>
      <c r="G501" s="34"/>
      <c r="H501" s="36"/>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E502" s="28" t="s">
        <v>104</v>
      </c>
      <c r="F502" s="38" t="s">
        <v>250</v>
      </c>
      <c r="G502" s="34" t="str">
        <f>HYPERLINK("https://docs.google.com/spreadsheets/d/1BehosgEaBjVRUNW0YWOypCfOOnrsOjNYBDDJaHuNq3E/edit#gid=376802295", "https://docs.google.com/spreadsheets/d/1BehosgEaBjVRUNW0YWOypCfOOnrsOjNYBDDJaHuNq3E/edit#gid=376802295")</f>
        <v>https://docs.google.com/spreadsheets/d/1BehosgEaBjVRUNW0YWOypCfOOnrsOjNYBDDJaHuNq3E/edit#gid=376802295</v>
      </c>
      <c r="H502" s="35" t="s">
        <v>250</v>
      </c>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E503" s="8" t="s">
        <v>89</v>
      </c>
      <c r="F503" s="38" t="s">
        <v>291</v>
      </c>
      <c r="G503" s="34"/>
      <c r="H503" s="36"/>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344"/>
      <c r="C504" s="175"/>
      <c r="D504" s="344"/>
      <c r="E504" s="35"/>
      <c r="F504" s="35"/>
      <c r="G504" s="34"/>
      <c r="H504" s="3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344"/>
      <c r="C505" s="175"/>
      <c r="D505" s="344"/>
      <c r="E505" s="32"/>
      <c r="F505" s="35"/>
      <c r="G505" s="34"/>
      <c r="H505" s="62"/>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472" t="s">
        <v>4219</v>
      </c>
      <c r="C506" s="468" t="s">
        <v>4220</v>
      </c>
      <c r="D506" s="472" t="s">
        <v>20</v>
      </c>
      <c r="E506" s="32" t="s">
        <v>86</v>
      </c>
      <c r="F506" s="35" t="s">
        <v>771</v>
      </c>
      <c r="G506" s="35"/>
      <c r="H506" s="36"/>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E507" s="32" t="s">
        <v>88</v>
      </c>
      <c r="F507" s="35" t="s">
        <v>89</v>
      </c>
      <c r="G507" s="35"/>
      <c r="H507" s="36"/>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E508" s="32" t="s">
        <v>21</v>
      </c>
      <c r="F508" s="35" t="s">
        <v>51</v>
      </c>
      <c r="G508" s="165" t="str">
        <f>HYPERLINK("https://docs.google.com/spreadsheets/d/11QNeSTyFs4hBSVjNRxqLS1JGj7gm04p7_9Qet-S9GtQ/edit#gid=177741216", "https://docs.google.com/spreadsheets/d/11QNeSTyFs4hBSVjNRxqLS1JGj7gm04p7_9Qet-S9GtQ/edit#gid=177741216")</f>
        <v>https://docs.google.com/spreadsheets/d/11QNeSTyFs4hBSVjNRxqLS1JGj7gm04p7_9Qet-S9GtQ/edit#gid=177741216</v>
      </c>
      <c r="H508" s="35" t="s">
        <v>51</v>
      </c>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E509" s="65" t="s">
        <v>88</v>
      </c>
      <c r="F509" s="35" t="s">
        <v>95</v>
      </c>
      <c r="G509" s="165" t="str">
        <f>HYPERLINK("https://docs.google.com/spreadsheets/d/11QNeSTyFs4hBSVjNRxqLS1JGj7gm04p7_9Qet-S9GtQ/edit#gid=438580539", "https://docs.google.com/spreadsheets/d/11QNeSTyFs4hBSVjNRxqLS1JGj7gm04p7_9Qet-S9GtQ/edit#gid=438580539")</f>
        <v>https://docs.google.com/spreadsheets/d/11QNeSTyFs4hBSVjNRxqLS1JGj7gm04p7_9Qet-S9GtQ/edit#gid=438580539</v>
      </c>
      <c r="H509" s="35" t="s">
        <v>95</v>
      </c>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E510" s="8" t="s">
        <v>88</v>
      </c>
      <c r="F510" s="8" t="s">
        <v>125</v>
      </c>
      <c r="G510" s="69" t="str">
        <f>HYPERLINK("https://docs.google.com/spreadsheets/d/11QNeSTyFs4hBSVjNRxqLS1JGj7gm04p7_9Qet-S9GtQ/edit#gid=2025446612", "https://docs.google.com/spreadsheets/d/11QNeSTyFs4hBSVjNRxqLS1JGj7gm04p7_9Qet-S9GtQ/edit#gid=2025446612")</f>
        <v>https://docs.google.com/spreadsheets/d/11QNeSTyFs4hBSVjNRxqLS1JGj7gm04p7_9Qet-S9GtQ/edit#gid=2025446612</v>
      </c>
      <c r="H510" s="8" t="s">
        <v>125</v>
      </c>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E511" s="8" t="s">
        <v>88</v>
      </c>
      <c r="F511" s="8" t="s">
        <v>307</v>
      </c>
      <c r="G511" s="60" t="str">
        <f>HYPERLINK("https://docs.google.com/spreadsheets/d/11QNeSTyFs4hBSVjNRxqLS1JGj7gm04p7_9Qet-S9GtQ/edit#gid=975605639", "https://docs.google.com/spreadsheets/d/11QNeSTyFs4hBSVjNRxqLS1JGj7gm04p7_9Qet-S9GtQ/edit#gid=975605639")</f>
        <v>https://docs.google.com/spreadsheets/d/11QNeSTyFs4hBSVjNRxqLS1JGj7gm04p7_9Qet-S9GtQ/edit#gid=975605639</v>
      </c>
      <c r="H511" s="8" t="s">
        <v>307</v>
      </c>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E512" s="8" t="s">
        <v>88</v>
      </c>
      <c r="F512" s="8" t="s">
        <v>125</v>
      </c>
      <c r="G512" s="60" t="str">
        <f>HYPERLINK("https://docs.google.com/spreadsheets/d/11QNeSTyFs4hBSVjNRxqLS1JGj7gm04p7_9Qet-S9GtQ/edit#gid=1895412321", "https://docs.google.com/spreadsheets/d/11QNeSTyFs4hBSVjNRxqLS1JGj7gm04p7_9Qet-S9GtQ/edit#gid=1895412321")</f>
        <v>https://docs.google.com/spreadsheets/d/11QNeSTyFs4hBSVjNRxqLS1JGj7gm04p7_9Qet-S9GtQ/edit#gid=1895412321</v>
      </c>
      <c r="H512" s="8" t="s">
        <v>1919</v>
      </c>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E513" s="32" t="s">
        <v>88</v>
      </c>
      <c r="F513" s="32" t="s">
        <v>307</v>
      </c>
      <c r="G513" s="70" t="str">
        <f>HYPERLINK("https://docs.google.com/spreadsheets/d/11QNeSTyFs4hBSVjNRxqLS1JGj7gm04p7_9Qet-S9GtQ/edit#gid=1415769367", "https://docs.google.com/spreadsheets/d/11QNeSTyFs4hBSVjNRxqLS1JGj7gm04p7_9Qet-S9GtQ/edit#gid=1415769367")</f>
        <v>https://docs.google.com/spreadsheets/d/11QNeSTyFs4hBSVjNRxqLS1JGj7gm04p7_9Qet-S9GtQ/edit#gid=1415769367</v>
      </c>
      <c r="H513" s="32" t="s">
        <v>3319</v>
      </c>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E514" s="32" t="s">
        <v>88</v>
      </c>
      <c r="F514" s="32" t="s">
        <v>125</v>
      </c>
      <c r="G514" s="70" t="str">
        <f>HYPERLINK("https://docs.google.com/spreadsheets/d/11QNeSTyFs4hBSVjNRxqLS1JGj7gm04p7_9Qet-S9GtQ/edit#gid=1183547579", "https://docs.google.com/spreadsheets/d/11QNeSTyFs4hBSVjNRxqLS1JGj7gm04p7_9Qet-S9GtQ/edit#gid=1183547579")</f>
        <v>https://docs.google.com/spreadsheets/d/11QNeSTyFs4hBSVjNRxqLS1JGj7gm04p7_9Qet-S9GtQ/edit#gid=1183547579</v>
      </c>
      <c r="H514" s="32" t="s">
        <v>1921</v>
      </c>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E515" s="32" t="s">
        <v>88</v>
      </c>
      <c r="F515" s="32" t="s">
        <v>307</v>
      </c>
      <c r="G515" s="70" t="str">
        <f>HYPERLINK("https://docs.google.com/spreadsheets/d/11QNeSTyFs4hBSVjNRxqLS1JGj7gm04p7_9Qet-S9GtQ/edit#gid=679629979", "https://docs.google.com/spreadsheets/d/11QNeSTyFs4hBSVjNRxqLS1JGj7gm04p7_9Qet-S9GtQ/edit#gid=679629979")</f>
        <v>https://docs.google.com/spreadsheets/d/11QNeSTyFs4hBSVjNRxqLS1JGj7gm04p7_9Qet-S9GtQ/edit#gid=679629979</v>
      </c>
      <c r="H515" s="32" t="s">
        <v>3322</v>
      </c>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E516" s="32" t="s">
        <v>172</v>
      </c>
      <c r="F516" s="32" t="s">
        <v>203</v>
      </c>
      <c r="G516" s="70" t="str">
        <f>HYPERLINK("https://docs.google.com/spreadsheets/d/11QNeSTyFs4hBSVjNRxqLS1JGj7gm04p7_9Qet-S9GtQ/edit#gid=1641974937", "https://docs.google.com/spreadsheets/d/11QNeSTyFs4hBSVjNRxqLS1JGj7gm04p7_9Qet-S9GtQ/edit#gid=1641974937")</f>
        <v>https://docs.google.com/spreadsheets/d/11QNeSTyFs4hBSVjNRxqLS1JGj7gm04p7_9Qet-S9GtQ/edit#gid=1641974937</v>
      </c>
      <c r="H516" s="32" t="s">
        <v>203</v>
      </c>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E517" s="32" t="s">
        <v>172</v>
      </c>
      <c r="F517" s="32" t="s">
        <v>204</v>
      </c>
      <c r="G517" s="70" t="str">
        <f>HYPERLINK("https://docs.google.com/spreadsheets/d/11QNeSTyFs4hBSVjNRxqLS1JGj7gm04p7_9Qet-S9GtQ/edit#gid=1392183788", "https://docs.google.com/spreadsheets/d/11QNeSTyFs4hBSVjNRxqLS1JGj7gm04p7_9Qet-S9GtQ/edit#gid=1392183788")</f>
        <v>https://docs.google.com/spreadsheets/d/11QNeSTyFs4hBSVjNRxqLS1JGj7gm04p7_9Qet-S9GtQ/edit#gid=1392183788</v>
      </c>
      <c r="H517" s="32" t="s">
        <v>204</v>
      </c>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E518" s="32" t="s">
        <v>172</v>
      </c>
      <c r="F518" s="32" t="s">
        <v>173</v>
      </c>
      <c r="G518" s="70" t="str">
        <f>HYPERLINK("https://docs.google.com/spreadsheets/d/11QNeSTyFs4hBSVjNRxqLS1JGj7gm04p7_9Qet-S9GtQ/edit#gid=705885859", "https://docs.google.com/spreadsheets/d/11QNeSTyFs4hBSVjNRxqLS1JGj7gm04p7_9Qet-S9GtQ/edit#gid=705885859")</f>
        <v>https://docs.google.com/spreadsheets/d/11QNeSTyFs4hBSVjNRxqLS1JGj7gm04p7_9Qet-S9GtQ/edit#gid=705885859</v>
      </c>
      <c r="H518" s="32" t="s">
        <v>173</v>
      </c>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E519" s="32" t="s">
        <v>172</v>
      </c>
      <c r="F519" s="32" t="s">
        <v>402</v>
      </c>
      <c r="G519" s="70" t="str">
        <f>HYPERLINK("https://docs.google.com/spreadsheets/d/11QNeSTyFs4hBSVjNRxqLS1JGj7gm04p7_9Qet-S9GtQ/edit#gid=653999535", "https://docs.google.com/spreadsheets/d/11QNeSTyFs4hBSVjNRxqLS1JGj7gm04p7_9Qet-S9GtQ/edit#gid=653999535")</f>
        <v>https://docs.google.com/spreadsheets/d/11QNeSTyFs4hBSVjNRxqLS1JGj7gm04p7_9Qet-S9GtQ/edit#gid=653999535</v>
      </c>
      <c r="H519" s="32" t="s">
        <v>402</v>
      </c>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E520" s="32" t="s">
        <v>408</v>
      </c>
      <c r="F520" s="32" t="s">
        <v>408</v>
      </c>
      <c r="G520" s="70" t="str">
        <f>HYPERLINK("https://docs.google.com/spreadsheets/d/11QNeSTyFs4hBSVjNRxqLS1JGj7gm04p7_9Qet-S9GtQ/edit#gid=1153778200", "https://docs.google.com/spreadsheets/d/11QNeSTyFs4hBSVjNRxqLS1JGj7gm04p7_9Qet-S9GtQ/edit#gid=1153778200")</f>
        <v>https://docs.google.com/spreadsheets/d/11QNeSTyFs4hBSVjNRxqLS1JGj7gm04p7_9Qet-S9GtQ/edit#gid=1153778200</v>
      </c>
      <c r="H520" s="32" t="s">
        <v>408</v>
      </c>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E521" s="32" t="s">
        <v>21</v>
      </c>
      <c r="F521" s="32" t="s">
        <v>51</v>
      </c>
      <c r="G521" s="70" t="str">
        <f>HYPERLINK("https://docs.google.com/spreadsheets/d/11QNeSTyFs4hBSVjNRxqLS1JGj7gm04p7_9Qet-S9GtQ/edit#gid=976110840", "https://docs.google.com/spreadsheets/d/11QNeSTyFs4hBSVjNRxqLS1JGj7gm04p7_9Qet-S9GtQ/edit#gid=976110840")</f>
        <v>https://docs.google.com/spreadsheets/d/11QNeSTyFs4hBSVjNRxqLS1JGj7gm04p7_9Qet-S9GtQ/edit#gid=976110840</v>
      </c>
      <c r="H521" s="32" t="s">
        <v>1383</v>
      </c>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E522" s="32" t="s">
        <v>88</v>
      </c>
      <c r="F522" s="32" t="s">
        <v>95</v>
      </c>
      <c r="G522" s="70" t="str">
        <f>HYPERLINK("https://docs.google.com/spreadsheets/d/11QNeSTyFs4hBSVjNRxqLS1JGj7gm04p7_9Qet-S9GtQ/edit#gid=2112326106", "https://docs.google.com/spreadsheets/d/11QNeSTyFs4hBSVjNRxqLS1JGj7gm04p7_9Qet-S9GtQ/edit#gid=2112326106")</f>
        <v>https://docs.google.com/spreadsheets/d/11QNeSTyFs4hBSVjNRxqLS1JGj7gm04p7_9Qet-S9GtQ/edit#gid=2112326106</v>
      </c>
      <c r="H522" s="32" t="s">
        <v>176</v>
      </c>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E523" s="32" t="s">
        <v>88</v>
      </c>
      <c r="F523" s="32" t="s">
        <v>125</v>
      </c>
      <c r="G523" s="70" t="str">
        <f>HYPERLINK("https://docs.google.com/spreadsheets/d/11QNeSTyFs4hBSVjNRxqLS1JGj7gm04p7_9Qet-S9GtQ/edit#gid=1131389511", "https://docs.google.com/spreadsheets/d/11QNeSTyFs4hBSVjNRxqLS1JGj7gm04p7_9Qet-S9GtQ/edit#gid=1131389511")</f>
        <v>https://docs.google.com/spreadsheets/d/11QNeSTyFs4hBSVjNRxqLS1JGj7gm04p7_9Qet-S9GtQ/edit#gid=1131389511</v>
      </c>
      <c r="H523" s="32" t="s">
        <v>3324</v>
      </c>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E524" s="32" t="s">
        <v>88</v>
      </c>
      <c r="F524" s="32" t="s">
        <v>307</v>
      </c>
      <c r="G524" s="70" t="str">
        <f>HYPERLINK("https://docs.google.com/spreadsheets/d/11QNeSTyFs4hBSVjNRxqLS1JGj7gm04p7_9Qet-S9GtQ/edit#gid=534302056", "https://docs.google.com/spreadsheets/d/11QNeSTyFs4hBSVjNRxqLS1JGj7gm04p7_9Qet-S9GtQ/edit#gid=534302056")</f>
        <v>https://docs.google.com/spreadsheets/d/11QNeSTyFs4hBSVjNRxqLS1JGj7gm04p7_9Qet-S9GtQ/edit#gid=534302056</v>
      </c>
      <c r="H524" s="32" t="s">
        <v>3326</v>
      </c>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E525" s="32" t="s">
        <v>88</v>
      </c>
      <c r="F525" s="32" t="s">
        <v>125</v>
      </c>
      <c r="G525" s="70" t="str">
        <f>HYPERLINK("https://docs.google.com/spreadsheets/d/11QNeSTyFs4hBSVjNRxqLS1JGj7gm04p7_9Qet-S9GtQ/edit#gid=1756402262", "https://docs.google.com/spreadsheets/d/11QNeSTyFs4hBSVjNRxqLS1JGj7gm04p7_9Qet-S9GtQ/edit#gid=1756402262")</f>
        <v>https://docs.google.com/spreadsheets/d/11QNeSTyFs4hBSVjNRxqLS1JGj7gm04p7_9Qet-S9GtQ/edit#gid=1756402262</v>
      </c>
      <c r="H525" s="32" t="s">
        <v>4213</v>
      </c>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E526" s="32" t="s">
        <v>88</v>
      </c>
      <c r="F526" s="32" t="s">
        <v>307</v>
      </c>
      <c r="G526" s="70" t="str">
        <f>HYPERLINK("https://docs.google.com/spreadsheets/d/11QNeSTyFs4hBSVjNRxqLS1JGj7gm04p7_9Qet-S9GtQ/edit#gid=1410652974", "https://docs.google.com/spreadsheets/d/11QNeSTyFs4hBSVjNRxqLS1JGj7gm04p7_9Qet-S9GtQ/edit#gid=1410652974")</f>
        <v>https://docs.google.com/spreadsheets/d/11QNeSTyFs4hBSVjNRxqLS1JGj7gm04p7_9Qet-S9GtQ/edit#gid=1410652974</v>
      </c>
      <c r="H526" s="32" t="s">
        <v>4214</v>
      </c>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E527" s="32" t="s">
        <v>88</v>
      </c>
      <c r="F527" s="32" t="s">
        <v>125</v>
      </c>
      <c r="G527" s="70" t="str">
        <f>HYPERLINK("https://docs.google.com/spreadsheets/d/11QNeSTyFs4hBSVjNRxqLS1JGj7gm04p7_9Qet-S9GtQ/edit#gid=766326072", "https://docs.google.com/spreadsheets/d/11QNeSTyFs4hBSVjNRxqLS1JGj7gm04p7_9Qet-S9GtQ/edit#gid=766326072")</f>
        <v>https://docs.google.com/spreadsheets/d/11QNeSTyFs4hBSVjNRxqLS1JGj7gm04p7_9Qet-S9GtQ/edit#gid=766326072</v>
      </c>
      <c r="H527" s="32" t="s">
        <v>4215</v>
      </c>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E528" s="32" t="s">
        <v>88</v>
      </c>
      <c r="F528" s="32" t="s">
        <v>307</v>
      </c>
      <c r="G528" s="70" t="str">
        <f>HYPERLINK("https://docs.google.com/spreadsheets/d/11QNeSTyFs4hBSVjNRxqLS1JGj7gm04p7_9Qet-S9GtQ/edit#gid=359370751", "https://docs.google.com/spreadsheets/d/11QNeSTyFs4hBSVjNRxqLS1JGj7gm04p7_9Qet-S9GtQ/edit#gid=359370751")</f>
        <v>https://docs.google.com/spreadsheets/d/11QNeSTyFs4hBSVjNRxqLS1JGj7gm04p7_9Qet-S9GtQ/edit#gid=359370751</v>
      </c>
      <c r="H528" s="32" t="s">
        <v>4216</v>
      </c>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E529" s="32" t="s">
        <v>86</v>
      </c>
      <c r="F529" s="32" t="s">
        <v>90</v>
      </c>
      <c r="G529" s="70" t="str">
        <f>HYPERLINK("https://docs.google.com/spreadsheets/d/11QNeSTyFs4hBSVjNRxqLS1JGj7gm04p7_9Qet-S9GtQ/edit#gid=1181939097", "https://docs.google.com/spreadsheets/d/11QNeSTyFs4hBSVjNRxqLS1JGj7gm04p7_9Qet-S9GtQ/edit#gid=1181939097")</f>
        <v>https://docs.google.com/spreadsheets/d/11QNeSTyFs4hBSVjNRxqLS1JGj7gm04p7_9Qet-S9GtQ/edit#gid=1181939097</v>
      </c>
      <c r="H529" s="32" t="s">
        <v>90</v>
      </c>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E530" s="32" t="s">
        <v>86</v>
      </c>
      <c r="F530" s="32" t="s">
        <v>339</v>
      </c>
      <c r="G530" s="70" t="str">
        <f>HYPERLINK("https://docs.google.com/spreadsheets/d/11QNeSTyFs4hBSVjNRxqLS1JGj7gm04p7_9Qet-S9GtQ/edit#gid=59406363", "https://docs.google.com/spreadsheets/d/11QNeSTyFs4hBSVjNRxqLS1JGj7gm04p7_9Qet-S9GtQ/edit#gid=59406363")</f>
        <v>https://docs.google.com/spreadsheets/d/11QNeSTyFs4hBSVjNRxqLS1JGj7gm04p7_9Qet-S9GtQ/edit#gid=59406363</v>
      </c>
      <c r="H530" s="32" t="s">
        <v>339</v>
      </c>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E531" s="32" t="s">
        <v>178</v>
      </c>
      <c r="F531" s="32" t="s">
        <v>205</v>
      </c>
      <c r="G531" s="70" t="str">
        <f>HYPERLINK("https://docs.google.com/spreadsheets/d/11QNeSTyFs4hBSVjNRxqLS1JGj7gm04p7_9Qet-S9GtQ/edit#gid=855802986", "https://docs.google.com/spreadsheets/d/11QNeSTyFs4hBSVjNRxqLS1JGj7gm04p7_9Qet-S9GtQ/edit#gid=855802986")</f>
        <v>https://docs.google.com/spreadsheets/d/11QNeSTyFs4hBSVjNRxqLS1JGj7gm04p7_9Qet-S9GtQ/edit#gid=855802986</v>
      </c>
      <c r="H531" s="32" t="s">
        <v>205</v>
      </c>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E532" s="32" t="s">
        <v>178</v>
      </c>
      <c r="F532" s="32" t="s">
        <v>206</v>
      </c>
      <c r="G532" s="15"/>
      <c r="H532" s="36"/>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E533" s="32" t="s">
        <v>104</v>
      </c>
      <c r="F533" s="32" t="s">
        <v>250</v>
      </c>
      <c r="G533" s="70" t="str">
        <f>HYPERLINK("https://docs.google.com/spreadsheets/d/11QNeSTyFs4hBSVjNRxqLS1JGj7gm04p7_9Qet-S9GtQ/edit#gid=581499162", "https://docs.google.com/spreadsheets/d/11QNeSTyFs4hBSVjNRxqLS1JGj7gm04p7_9Qet-S9GtQ/edit#gid=581499162")</f>
        <v>https://docs.google.com/spreadsheets/d/11QNeSTyFs4hBSVjNRxqLS1JGj7gm04p7_9Qet-S9GtQ/edit#gid=581499162</v>
      </c>
      <c r="H533" s="32" t="s">
        <v>250</v>
      </c>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E534" s="32" t="s">
        <v>89</v>
      </c>
      <c r="F534" s="32" t="s">
        <v>291</v>
      </c>
      <c r="G534" s="15"/>
      <c r="H534" s="36"/>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473"/>
      <c r="C535" s="474"/>
      <c r="D535" s="473"/>
      <c r="E535" s="15"/>
      <c r="F535" s="15"/>
      <c r="G535" s="15"/>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472" t="s">
        <v>4221</v>
      </c>
      <c r="C536" s="222"/>
      <c r="D536" s="472"/>
      <c r="E536" s="32" t="s">
        <v>86</v>
      </c>
      <c r="F536" s="32" t="s">
        <v>87</v>
      </c>
      <c r="G536" s="15"/>
      <c r="H536" s="36"/>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E537" s="32" t="s">
        <v>88</v>
      </c>
      <c r="F537" s="32" t="s">
        <v>89</v>
      </c>
      <c r="G537" s="15"/>
      <c r="H537" s="36"/>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E538" s="32" t="s">
        <v>21</v>
      </c>
      <c r="F538" s="32" t="s">
        <v>51</v>
      </c>
      <c r="G538" s="70" t="str">
        <f>HYPERLINK("https://docs.google.com/spreadsheets/d/1LwKfAWB_qKJApJpsO-m-VWM2a7Dp24w2tdzRJeYck1A/edit#gid=184001689", "https://docs.google.com/spreadsheets/d/1LwKfAWB_qKJApJpsO-m-VWM2a7Dp24w2tdzRJeYck1A/edit#gid=184001689")</f>
        <v>https://docs.google.com/spreadsheets/d/1LwKfAWB_qKJApJpsO-m-VWM2a7Dp24w2tdzRJeYck1A/edit#gid=184001689</v>
      </c>
      <c r="H538" s="32" t="s">
        <v>51</v>
      </c>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E539" s="32" t="s">
        <v>88</v>
      </c>
      <c r="F539" s="32" t="s">
        <v>95</v>
      </c>
      <c r="G539" s="70" t="str">
        <f>HYPERLINK("https://docs.google.com/spreadsheets/d/1LwKfAWB_qKJApJpsO-m-VWM2a7Dp24w2tdzRJeYck1A/edit#gid=599754257", "https://docs.google.com/spreadsheets/d/1LwKfAWB_qKJApJpsO-m-VWM2a7Dp24w2tdzRJeYck1A/edit#gid=599754257")</f>
        <v>https://docs.google.com/spreadsheets/d/1LwKfAWB_qKJApJpsO-m-VWM2a7Dp24w2tdzRJeYck1A/edit#gid=599754257</v>
      </c>
      <c r="H539" s="32" t="s">
        <v>95</v>
      </c>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E540" s="32" t="s">
        <v>88</v>
      </c>
      <c r="F540" s="32" t="s">
        <v>125</v>
      </c>
      <c r="G540" s="70" t="str">
        <f>HYPERLINK("https://docs.google.com/spreadsheets/d/1LwKfAWB_qKJApJpsO-m-VWM2a7Dp24w2tdzRJeYck1A/edit#gid=1659640753", "https://docs.google.com/spreadsheets/d/1LwKfAWB_qKJApJpsO-m-VWM2a7Dp24w2tdzRJeYck1A/edit#gid=1659640753")</f>
        <v>https://docs.google.com/spreadsheets/d/1LwKfAWB_qKJApJpsO-m-VWM2a7Dp24w2tdzRJeYck1A/edit#gid=1659640753</v>
      </c>
      <c r="H540" s="32" t="s">
        <v>125</v>
      </c>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E541" s="32" t="s">
        <v>88</v>
      </c>
      <c r="F541" s="32" t="s">
        <v>307</v>
      </c>
      <c r="G541" s="70" t="str">
        <f>HYPERLINK("https://docs.google.com/spreadsheets/d/1LwKfAWB_qKJApJpsO-m-VWM2a7Dp24w2tdzRJeYck1A/edit#gid=3768521", "https://docs.google.com/spreadsheets/d/1LwKfAWB_qKJApJpsO-m-VWM2a7Dp24w2tdzRJeYck1A/edit#gid=3768521")</f>
        <v>https://docs.google.com/spreadsheets/d/1LwKfAWB_qKJApJpsO-m-VWM2a7Dp24w2tdzRJeYck1A/edit#gid=3768521</v>
      </c>
      <c r="H541" s="32" t="s">
        <v>307</v>
      </c>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E542" s="32" t="s">
        <v>88</v>
      </c>
      <c r="F542" s="32" t="s">
        <v>125</v>
      </c>
      <c r="G542" s="70" t="str">
        <f>HYPERLINK("https://docs.google.com/spreadsheets/d/1LwKfAWB_qKJApJpsO-m-VWM2a7Dp24w2tdzRJeYck1A/edit#gid=1079503287", "https://docs.google.com/spreadsheets/d/1LwKfAWB_qKJApJpsO-m-VWM2a7Dp24w2tdzRJeYck1A/edit#gid=1079503287")</f>
        <v>https://docs.google.com/spreadsheets/d/1LwKfAWB_qKJApJpsO-m-VWM2a7Dp24w2tdzRJeYck1A/edit#gid=1079503287</v>
      </c>
      <c r="H542" s="32" t="s">
        <v>1919</v>
      </c>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E543" s="32" t="s">
        <v>88</v>
      </c>
      <c r="F543" s="32" t="s">
        <v>307</v>
      </c>
      <c r="G543" s="70" t="str">
        <f>HYPERLINK("https://docs.google.com/spreadsheets/d/1LwKfAWB_qKJApJpsO-m-VWM2a7Dp24w2tdzRJeYck1A/edit#gid=2141026357", "https://docs.google.com/spreadsheets/d/1LwKfAWB_qKJApJpsO-m-VWM2a7Dp24w2tdzRJeYck1A/edit#gid=2141026357")</f>
        <v>https://docs.google.com/spreadsheets/d/1LwKfAWB_qKJApJpsO-m-VWM2a7Dp24w2tdzRJeYck1A/edit#gid=2141026357</v>
      </c>
      <c r="H543" s="32" t="s">
        <v>3319</v>
      </c>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E544" s="32" t="s">
        <v>88</v>
      </c>
      <c r="F544" s="32" t="s">
        <v>125</v>
      </c>
      <c r="G544" s="70" t="str">
        <f>HYPERLINK("https://docs.google.com/spreadsheets/d/1LwKfAWB_qKJApJpsO-m-VWM2a7Dp24w2tdzRJeYck1A/edit#gid=2003010119", "https://docs.google.com/spreadsheets/d/1LwKfAWB_qKJApJpsO-m-VWM2a7Dp24w2tdzRJeYck1A/edit#gid=2003010119")</f>
        <v>https://docs.google.com/spreadsheets/d/1LwKfAWB_qKJApJpsO-m-VWM2a7Dp24w2tdzRJeYck1A/edit#gid=2003010119</v>
      </c>
      <c r="H544" s="32" t="s">
        <v>1921</v>
      </c>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E545" s="32" t="s">
        <v>88</v>
      </c>
      <c r="F545" s="32" t="s">
        <v>307</v>
      </c>
      <c r="G545" s="70" t="str">
        <f>HYPERLINK("https://docs.google.com/spreadsheets/d/1LwKfAWB_qKJApJpsO-m-VWM2a7Dp24w2tdzRJeYck1A/edit#gid=708201974", "https://docs.google.com/spreadsheets/d/1LwKfAWB_qKJApJpsO-m-VWM2a7Dp24w2tdzRJeYck1A/edit#gid=708201974")</f>
        <v>https://docs.google.com/spreadsheets/d/1LwKfAWB_qKJApJpsO-m-VWM2a7Dp24w2tdzRJeYck1A/edit#gid=708201974</v>
      </c>
      <c r="H545" s="32" t="s">
        <v>3322</v>
      </c>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E546" s="32" t="s">
        <v>88</v>
      </c>
      <c r="F546" s="32" t="s">
        <v>125</v>
      </c>
      <c r="G546" s="70" t="str">
        <f>HYPERLINK("https://docs.google.com/spreadsheets/d/1LwKfAWB_qKJApJpsO-m-VWM2a7Dp24w2tdzRJeYck1A/edit#gid=2102825221", "https://docs.google.com/spreadsheets/d/1LwKfAWB_qKJApJpsO-m-VWM2a7Dp24w2tdzRJeYck1A/edit#gid=2102825221")</f>
        <v>https://docs.google.com/spreadsheets/d/1LwKfAWB_qKJApJpsO-m-VWM2a7Dp24w2tdzRJeYck1A/edit#gid=2102825221</v>
      </c>
      <c r="H546" s="32" t="s">
        <v>3324</v>
      </c>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E547" s="32" t="s">
        <v>88</v>
      </c>
      <c r="F547" s="32" t="s">
        <v>307</v>
      </c>
      <c r="G547" s="70" t="str">
        <f>HYPERLINK("https://docs.google.com/spreadsheets/d/1LwKfAWB_qKJApJpsO-m-VWM2a7Dp24w2tdzRJeYck1A/edit#gid=1725151327", "https://docs.google.com/spreadsheets/d/1LwKfAWB_qKJApJpsO-m-VWM2a7Dp24w2tdzRJeYck1A/edit#gid=1725151327")</f>
        <v>https://docs.google.com/spreadsheets/d/1LwKfAWB_qKJApJpsO-m-VWM2a7Dp24w2tdzRJeYck1A/edit#gid=1725151327</v>
      </c>
      <c r="H547" s="32" t="s">
        <v>3326</v>
      </c>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E548" s="32" t="s">
        <v>88</v>
      </c>
      <c r="F548" s="32" t="s">
        <v>125</v>
      </c>
      <c r="G548" s="70" t="str">
        <f>HYPERLINK("https://docs.google.com/spreadsheets/d/1LwKfAWB_qKJApJpsO-m-VWM2a7Dp24w2tdzRJeYck1A/edit#gid=1206318399", "https://docs.google.com/spreadsheets/d/1LwKfAWB_qKJApJpsO-m-VWM2a7Dp24w2tdzRJeYck1A/edit#gid=1206318399")</f>
        <v>https://docs.google.com/spreadsheets/d/1LwKfAWB_qKJApJpsO-m-VWM2a7Dp24w2tdzRJeYck1A/edit#gid=1206318399</v>
      </c>
      <c r="H548" s="32" t="s">
        <v>4213</v>
      </c>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E549" s="32" t="s">
        <v>88</v>
      </c>
      <c r="F549" s="32" t="s">
        <v>307</v>
      </c>
      <c r="G549" s="70" t="str">
        <f>HYPERLINK("https://docs.google.com/spreadsheets/d/1LwKfAWB_qKJApJpsO-m-VWM2a7Dp24w2tdzRJeYck1A/edit#gid=519554913", "https://docs.google.com/spreadsheets/d/1LwKfAWB_qKJApJpsO-m-VWM2a7Dp24w2tdzRJeYck1A/edit#gid=519554913")</f>
        <v>https://docs.google.com/spreadsheets/d/1LwKfAWB_qKJApJpsO-m-VWM2a7Dp24w2tdzRJeYck1A/edit#gid=519554913</v>
      </c>
      <c r="H549" s="32" t="s">
        <v>4214</v>
      </c>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E550" s="32" t="s">
        <v>88</v>
      </c>
      <c r="F550" s="32" t="s">
        <v>125</v>
      </c>
      <c r="G550" s="70" t="str">
        <f>HYPERLINK("https://docs.google.com/spreadsheets/d/1LwKfAWB_qKJApJpsO-m-VWM2a7Dp24w2tdzRJeYck1A/edit#gid=1485326321", "https://docs.google.com/spreadsheets/d/1LwKfAWB_qKJApJpsO-m-VWM2a7Dp24w2tdzRJeYck1A/edit#gid=1485326321")</f>
        <v>https://docs.google.com/spreadsheets/d/1LwKfAWB_qKJApJpsO-m-VWM2a7Dp24w2tdzRJeYck1A/edit#gid=1485326321</v>
      </c>
      <c r="H550" s="32" t="s">
        <v>4215</v>
      </c>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E551" s="32" t="s">
        <v>88</v>
      </c>
      <c r="F551" s="32" t="s">
        <v>307</v>
      </c>
      <c r="G551" s="70" t="str">
        <f>HYPERLINK("https://docs.google.com/spreadsheets/d/1LwKfAWB_qKJApJpsO-m-VWM2a7Dp24w2tdzRJeYck1A/edit#gid=54089625", "https://docs.google.com/spreadsheets/d/1LwKfAWB_qKJApJpsO-m-VWM2a7Dp24w2tdzRJeYck1A/edit#gid=54089625")</f>
        <v>https://docs.google.com/spreadsheets/d/1LwKfAWB_qKJApJpsO-m-VWM2a7Dp24w2tdzRJeYck1A/edit#gid=54089625</v>
      </c>
      <c r="H551" s="32" t="s">
        <v>4216</v>
      </c>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E552" s="32" t="s">
        <v>88</v>
      </c>
      <c r="F552" s="32" t="s">
        <v>125</v>
      </c>
      <c r="G552" s="70" t="str">
        <f>HYPERLINK("https://docs.google.com/spreadsheets/d/1LwKfAWB_qKJApJpsO-m-VWM2a7Dp24w2tdzRJeYck1A/edit#gid=1476589249", "https://docs.google.com/spreadsheets/d/1LwKfAWB_qKJApJpsO-m-VWM2a7Dp24w2tdzRJeYck1A/edit#gid=1476589249")</f>
        <v>https://docs.google.com/spreadsheets/d/1LwKfAWB_qKJApJpsO-m-VWM2a7Dp24w2tdzRJeYck1A/edit#gid=1476589249</v>
      </c>
      <c r="H552" s="32" t="s">
        <v>4222</v>
      </c>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E553" s="32" t="s">
        <v>88</v>
      </c>
      <c r="F553" s="32" t="s">
        <v>307</v>
      </c>
      <c r="G553" s="70" t="str">
        <f>HYPERLINK("https://docs.google.com/spreadsheets/d/1LwKfAWB_qKJApJpsO-m-VWM2a7Dp24w2tdzRJeYck1A/edit#gid=456162397", "https://docs.google.com/spreadsheets/d/1LwKfAWB_qKJApJpsO-m-VWM2a7Dp24w2tdzRJeYck1A/edit#gid=456162397")</f>
        <v>https://docs.google.com/spreadsheets/d/1LwKfAWB_qKJApJpsO-m-VWM2a7Dp24w2tdzRJeYck1A/edit#gid=456162397</v>
      </c>
      <c r="H553" s="32" t="s">
        <v>4223</v>
      </c>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E554" s="32" t="s">
        <v>172</v>
      </c>
      <c r="F554" s="32" t="s">
        <v>203</v>
      </c>
      <c r="G554" s="70" t="str">
        <f>HYPERLINK("https://docs.google.com/spreadsheets/d/1LwKfAWB_qKJApJpsO-m-VWM2a7Dp24w2tdzRJeYck1A/edit#gid=1600571411", "https://docs.google.com/spreadsheets/d/1LwKfAWB_qKJApJpsO-m-VWM2a7Dp24w2tdzRJeYck1A/edit#gid=1600571411")</f>
        <v>https://docs.google.com/spreadsheets/d/1LwKfAWB_qKJApJpsO-m-VWM2a7Dp24w2tdzRJeYck1A/edit#gid=1600571411</v>
      </c>
      <c r="H554" s="32" t="s">
        <v>203</v>
      </c>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E555" s="32" t="s">
        <v>172</v>
      </c>
      <c r="F555" s="32" t="s">
        <v>204</v>
      </c>
      <c r="G555" s="70" t="str">
        <f>HYPERLINK("https://docs.google.com/spreadsheets/d/1LwKfAWB_qKJApJpsO-m-VWM2a7Dp24w2tdzRJeYck1A/edit#gid=1967610641", "https://docs.google.com/spreadsheets/d/1LwKfAWB_qKJApJpsO-m-VWM2a7Dp24w2tdzRJeYck1A/edit#gid=1967610641")</f>
        <v>https://docs.google.com/spreadsheets/d/1LwKfAWB_qKJApJpsO-m-VWM2a7Dp24w2tdzRJeYck1A/edit#gid=1967610641</v>
      </c>
      <c r="H555" s="32" t="s">
        <v>204</v>
      </c>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E556" s="32" t="s">
        <v>172</v>
      </c>
      <c r="F556" s="32" t="s">
        <v>203</v>
      </c>
      <c r="G556" s="70" t="str">
        <f>HYPERLINK("https://docs.google.com/spreadsheets/d/1LwKfAWB_qKJApJpsO-m-VWM2a7Dp24w2tdzRJeYck1A/edit#gid=1874356977", "https://docs.google.com/spreadsheets/d/1LwKfAWB_qKJApJpsO-m-VWM2a7Dp24w2tdzRJeYck1A/edit#gid=1874356977")</f>
        <v>https://docs.google.com/spreadsheets/d/1LwKfAWB_qKJApJpsO-m-VWM2a7Dp24w2tdzRJeYck1A/edit#gid=1874356977</v>
      </c>
      <c r="H556" s="32" t="s">
        <v>1995</v>
      </c>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E557" s="32" t="s">
        <v>172</v>
      </c>
      <c r="F557" s="32" t="s">
        <v>204</v>
      </c>
      <c r="G557" s="70" t="str">
        <f>HYPERLINK("https://docs.google.com/spreadsheets/d/1LwKfAWB_qKJApJpsO-m-VWM2a7Dp24w2tdzRJeYck1A/edit#gid=1570339291", "https://docs.google.com/spreadsheets/d/1LwKfAWB_qKJApJpsO-m-VWM2a7Dp24w2tdzRJeYck1A/edit#gid=1570339291")</f>
        <v>https://docs.google.com/spreadsheets/d/1LwKfAWB_qKJApJpsO-m-VWM2a7Dp24w2tdzRJeYck1A/edit#gid=1570339291</v>
      </c>
      <c r="H557" s="32" t="s">
        <v>1996</v>
      </c>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E558" s="32" t="s">
        <v>172</v>
      </c>
      <c r="F558" s="32" t="s">
        <v>173</v>
      </c>
      <c r="G558" s="70" t="str">
        <f>HYPERLINK("https://docs.google.com/spreadsheets/d/1LwKfAWB_qKJApJpsO-m-VWM2a7Dp24w2tdzRJeYck1A/edit#gid=1080212439", "https://docs.google.com/spreadsheets/d/1LwKfAWB_qKJApJpsO-m-VWM2a7Dp24w2tdzRJeYck1A/edit#gid=1080212439")</f>
        <v>https://docs.google.com/spreadsheets/d/1LwKfAWB_qKJApJpsO-m-VWM2a7Dp24w2tdzRJeYck1A/edit#gid=1080212439</v>
      </c>
      <c r="H558" s="32" t="s">
        <v>173</v>
      </c>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E559" s="32" t="s">
        <v>172</v>
      </c>
      <c r="F559" s="32" t="s">
        <v>402</v>
      </c>
      <c r="G559" s="70" t="str">
        <f>HYPERLINK("https://docs.google.com/spreadsheets/d/1LwKfAWB_qKJApJpsO-m-VWM2a7Dp24w2tdzRJeYck1A/edit#gid=1742158809", "https://docs.google.com/spreadsheets/d/1LwKfAWB_qKJApJpsO-m-VWM2a7Dp24w2tdzRJeYck1A/edit#gid=1742158809")</f>
        <v>https://docs.google.com/spreadsheets/d/1LwKfAWB_qKJApJpsO-m-VWM2a7Dp24w2tdzRJeYck1A/edit#gid=1742158809</v>
      </c>
      <c r="H559" s="32" t="s">
        <v>402</v>
      </c>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E560" s="32" t="s">
        <v>172</v>
      </c>
      <c r="F560" s="32" t="s">
        <v>173</v>
      </c>
      <c r="G560" s="70" t="str">
        <f>HYPERLINK("https://docs.google.com/spreadsheets/d/1LwKfAWB_qKJApJpsO-m-VWM2a7Dp24w2tdzRJeYck1A/edit#gid=408087082", "https://docs.google.com/spreadsheets/d/1LwKfAWB_qKJApJpsO-m-VWM2a7Dp24w2tdzRJeYck1A/edit#gid=408087082")</f>
        <v>https://docs.google.com/spreadsheets/d/1LwKfAWB_qKJApJpsO-m-VWM2a7Dp24w2tdzRJeYck1A/edit#gid=408087082</v>
      </c>
      <c r="H560" s="32" t="s">
        <v>269</v>
      </c>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E561" s="32" t="s">
        <v>172</v>
      </c>
      <c r="F561" s="32" t="s">
        <v>402</v>
      </c>
      <c r="G561" s="70" t="str">
        <f>HYPERLINK("https://docs.google.com/spreadsheets/d/1LwKfAWB_qKJApJpsO-m-VWM2a7Dp24w2tdzRJeYck1A/edit#gid=1373186808", "https://docs.google.com/spreadsheets/d/1LwKfAWB_qKJApJpsO-m-VWM2a7Dp24w2tdzRJeYck1A/edit#gid=1373186808")</f>
        <v>https://docs.google.com/spreadsheets/d/1LwKfAWB_qKJApJpsO-m-VWM2a7Dp24w2tdzRJeYck1A/edit#gid=1373186808</v>
      </c>
      <c r="H561" s="32" t="s">
        <v>2053</v>
      </c>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E562" s="32" t="s">
        <v>408</v>
      </c>
      <c r="F562" s="32" t="s">
        <v>408</v>
      </c>
      <c r="G562" s="70" t="str">
        <f>HYPERLINK("https://docs.google.com/spreadsheets/d/1LwKfAWB_qKJApJpsO-m-VWM2a7Dp24w2tdzRJeYck1A/edit#gid=609334320", "https://docs.google.com/spreadsheets/d/1LwKfAWB_qKJApJpsO-m-VWM2a7Dp24w2tdzRJeYck1A/edit#gid=609334320")</f>
        <v>https://docs.google.com/spreadsheets/d/1LwKfAWB_qKJApJpsO-m-VWM2a7Dp24w2tdzRJeYck1A/edit#gid=609334320</v>
      </c>
      <c r="H562" s="32" t="s">
        <v>408</v>
      </c>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E563" s="32" t="s">
        <v>86</v>
      </c>
      <c r="F563" s="32" t="s">
        <v>90</v>
      </c>
      <c r="G563" s="70" t="str">
        <f>HYPERLINK("https://docs.google.com/spreadsheets/d/1LwKfAWB_qKJApJpsO-m-VWM2a7Dp24w2tdzRJeYck1A/edit#gid=700721518", "https://docs.google.com/spreadsheets/d/1LwKfAWB_qKJApJpsO-m-VWM2a7Dp24w2tdzRJeYck1A/edit#gid=700721518")</f>
        <v>https://docs.google.com/spreadsheets/d/1LwKfAWB_qKJApJpsO-m-VWM2a7Dp24w2tdzRJeYck1A/edit#gid=700721518</v>
      </c>
      <c r="H563" s="32" t="s">
        <v>90</v>
      </c>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E564" s="32" t="s">
        <v>86</v>
      </c>
      <c r="F564" s="32" t="s">
        <v>339</v>
      </c>
      <c r="G564" s="70" t="str">
        <f>HYPERLINK("https://docs.google.com/spreadsheets/d/1LwKfAWB_qKJApJpsO-m-VWM2a7Dp24w2tdzRJeYck1A/edit#gid=806564186", "https://docs.google.com/spreadsheets/d/1LwKfAWB_qKJApJpsO-m-VWM2a7Dp24w2tdzRJeYck1A/edit#gid=806564186")</f>
        <v>https://docs.google.com/spreadsheets/d/1LwKfAWB_qKJApJpsO-m-VWM2a7Dp24w2tdzRJeYck1A/edit#gid=806564186</v>
      </c>
      <c r="H564" s="32" t="s">
        <v>339</v>
      </c>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E565" s="32" t="s">
        <v>178</v>
      </c>
      <c r="F565" s="32" t="s">
        <v>205</v>
      </c>
      <c r="G565" s="70" t="str">
        <f>HYPERLINK("https://docs.google.com/spreadsheets/d/1LwKfAWB_qKJApJpsO-m-VWM2a7Dp24w2tdzRJeYck1A/edit#gid=2074522691", "https://docs.google.com/spreadsheets/d/1LwKfAWB_qKJApJpsO-m-VWM2a7Dp24w2tdzRJeYck1A/edit#gid=2074522691")</f>
        <v>https://docs.google.com/spreadsheets/d/1LwKfAWB_qKJApJpsO-m-VWM2a7Dp24w2tdzRJeYck1A/edit#gid=2074522691</v>
      </c>
      <c r="H565" s="32" t="s">
        <v>205</v>
      </c>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E566" s="32" t="s">
        <v>178</v>
      </c>
      <c r="F566" s="32" t="s">
        <v>206</v>
      </c>
      <c r="G566" s="15"/>
      <c r="H566" s="36"/>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E567" s="32" t="s">
        <v>104</v>
      </c>
      <c r="F567" s="32" t="s">
        <v>250</v>
      </c>
      <c r="G567" s="70" t="str">
        <f>HYPERLINK("https://docs.google.com/spreadsheets/d/1LwKfAWB_qKJApJpsO-m-VWM2a7Dp24w2tdzRJeYck1A/edit#gid=2132435831", "https://docs.google.com/spreadsheets/d/1LwKfAWB_qKJApJpsO-m-VWM2a7Dp24w2tdzRJeYck1A/edit#gid=2132435831")</f>
        <v>https://docs.google.com/spreadsheets/d/1LwKfAWB_qKJApJpsO-m-VWM2a7Dp24w2tdzRJeYck1A/edit#gid=2132435831</v>
      </c>
      <c r="H567" s="32" t="s">
        <v>250</v>
      </c>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E568" s="32" t="s">
        <v>89</v>
      </c>
      <c r="F568" s="32" t="s">
        <v>291</v>
      </c>
      <c r="G568" s="15"/>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473"/>
      <c r="C569" s="474"/>
      <c r="D569" s="473"/>
      <c r="E569" s="15"/>
      <c r="F569" s="15"/>
      <c r="G569" s="15"/>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472" t="s">
        <v>4224</v>
      </c>
      <c r="C570" s="222" t="s">
        <v>4225</v>
      </c>
      <c r="D570" s="472" t="s">
        <v>20</v>
      </c>
      <c r="E570" s="32" t="s">
        <v>86</v>
      </c>
      <c r="F570" s="32" t="s">
        <v>87</v>
      </c>
      <c r="G570" s="15"/>
      <c r="H570" s="36"/>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E571" s="32" t="s">
        <v>88</v>
      </c>
      <c r="F571" s="32" t="s">
        <v>89</v>
      </c>
      <c r="G571" s="15"/>
      <c r="H571" s="36"/>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E572" s="32" t="s">
        <v>21</v>
      </c>
      <c r="F572" s="32" t="s">
        <v>51</v>
      </c>
      <c r="G572" s="70" t="str">
        <f>HYPERLINK("https://docs.google.com/spreadsheets/d/1sOBqu3OrvYEVTh1JTcatCgR1GJFVuCpww7HMMeU0338/edit#gid=1521909846", "https://docs.google.com/spreadsheets/d/1sOBqu3OrvYEVTh1JTcatCgR1GJFVuCpww7HMMeU0338/edit#gid=1521909846")</f>
        <v>https://docs.google.com/spreadsheets/d/1sOBqu3OrvYEVTh1JTcatCgR1GJFVuCpww7HMMeU0338/edit#gid=1521909846</v>
      </c>
      <c r="H572" s="32" t="s">
        <v>51</v>
      </c>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E573" s="32" t="s">
        <v>172</v>
      </c>
      <c r="F573" s="32" t="s">
        <v>203</v>
      </c>
      <c r="G573" s="70" t="str">
        <f>HYPERLINK("https://docs.google.com/spreadsheets/d/1sOBqu3OrvYEVTh1JTcatCgR1GJFVuCpww7HMMeU0338/edit#gid=2094296804", "https://docs.google.com/spreadsheets/d/1sOBqu3OrvYEVTh1JTcatCgR1GJFVuCpww7HMMeU0338/edit#gid=2094296804")</f>
        <v>https://docs.google.com/spreadsheets/d/1sOBqu3OrvYEVTh1JTcatCgR1GJFVuCpww7HMMeU0338/edit#gid=2094296804</v>
      </c>
      <c r="H573" s="32" t="s">
        <v>203</v>
      </c>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E574" s="32" t="s">
        <v>172</v>
      </c>
      <c r="F574" s="32" t="s">
        <v>204</v>
      </c>
      <c r="G574" s="70" t="str">
        <f>HYPERLINK("https://docs.google.com/spreadsheets/d/1sOBqu3OrvYEVTh1JTcatCgR1GJFVuCpww7HMMeU0338/edit#gid=483396873", "https://docs.google.com/spreadsheets/d/1sOBqu3OrvYEVTh1JTcatCgR1GJFVuCpww7HMMeU0338/edit#gid=483396873")</f>
        <v>https://docs.google.com/spreadsheets/d/1sOBqu3OrvYEVTh1JTcatCgR1GJFVuCpww7HMMeU0338/edit#gid=483396873</v>
      </c>
      <c r="H574" s="32" t="s">
        <v>204</v>
      </c>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E575" s="32" t="s">
        <v>408</v>
      </c>
      <c r="F575" s="32" t="s">
        <v>408</v>
      </c>
      <c r="G575" s="70" t="str">
        <f>HYPERLINK("https://docs.google.com/spreadsheets/d/1sOBqu3OrvYEVTh1JTcatCgR1GJFVuCpww7HMMeU0338/edit#gid=1640775125", "https://docs.google.com/spreadsheets/d/1sOBqu3OrvYEVTh1JTcatCgR1GJFVuCpww7HMMeU0338/edit#gid=1640775125")</f>
        <v>https://docs.google.com/spreadsheets/d/1sOBqu3OrvYEVTh1JTcatCgR1GJFVuCpww7HMMeU0338/edit#gid=1640775125</v>
      </c>
      <c r="H575" s="32" t="s">
        <v>408</v>
      </c>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E576" s="32" t="s">
        <v>178</v>
      </c>
      <c r="F576" s="32" t="s">
        <v>205</v>
      </c>
      <c r="G576" s="70" t="str">
        <f>HYPERLINK("https://docs.google.com/spreadsheets/d/1sOBqu3OrvYEVTh1JTcatCgR1GJFVuCpww7HMMeU0338/edit#gid=536099758", "https://docs.google.com/spreadsheets/d/1sOBqu3OrvYEVTh1JTcatCgR1GJFVuCpww7HMMeU0338/edit#gid=536099758")</f>
        <v>https://docs.google.com/spreadsheets/d/1sOBqu3OrvYEVTh1JTcatCgR1GJFVuCpww7HMMeU0338/edit#gid=536099758</v>
      </c>
      <c r="H576" s="32" t="s">
        <v>205</v>
      </c>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E577" s="32" t="s">
        <v>178</v>
      </c>
      <c r="F577" s="32" t="s">
        <v>206</v>
      </c>
      <c r="G577" s="15"/>
      <c r="H577" s="36"/>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E578" s="32" t="s">
        <v>104</v>
      </c>
      <c r="F578" s="32" t="s">
        <v>250</v>
      </c>
      <c r="G578" s="70" t="str">
        <f>HYPERLINK("https://docs.google.com/spreadsheets/d/1sOBqu3OrvYEVTh1JTcatCgR1GJFVuCpww7HMMeU0338/edit#gid=2109726780", "https://docs.google.com/spreadsheets/d/1sOBqu3OrvYEVTh1JTcatCgR1GJFVuCpww7HMMeU0338/edit#gid=2109726780")</f>
        <v>https://docs.google.com/spreadsheets/d/1sOBqu3OrvYEVTh1JTcatCgR1GJFVuCpww7HMMeU0338/edit#gid=2109726780</v>
      </c>
      <c r="H578" s="32" t="s">
        <v>250</v>
      </c>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E579" s="32" t="s">
        <v>89</v>
      </c>
      <c r="F579" s="32" t="s">
        <v>291</v>
      </c>
      <c r="G579" s="15"/>
      <c r="H579" s="36"/>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473"/>
      <c r="C580" s="474"/>
      <c r="D580" s="473"/>
      <c r="E580" s="15"/>
      <c r="F580" s="15"/>
      <c r="G580" s="15"/>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473"/>
      <c r="C581" s="474"/>
      <c r="D581" s="473"/>
      <c r="E581" s="15"/>
      <c r="F581" s="15"/>
      <c r="G581" s="15"/>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472" t="s">
        <v>4226</v>
      </c>
      <c r="C582" s="222" t="s">
        <v>4227</v>
      </c>
      <c r="D582" s="472" t="s">
        <v>20</v>
      </c>
      <c r="E582" s="32" t="s">
        <v>86</v>
      </c>
      <c r="F582" s="32" t="s">
        <v>87</v>
      </c>
      <c r="G582" s="15"/>
      <c r="H582" s="36"/>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E583" s="32" t="s">
        <v>88</v>
      </c>
      <c r="F583" s="32" t="s">
        <v>89</v>
      </c>
      <c r="G583" s="15"/>
      <c r="H583" s="36"/>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E584" s="32" t="s">
        <v>21</v>
      </c>
      <c r="F584" s="32" t="s">
        <v>51</v>
      </c>
      <c r="G584" s="70" t="str">
        <f>HYPERLINK("https://docs.google.com/spreadsheets/d/1Fj1n88aZ7VE8QerSAm3Xw1T9tTnCP5UVGv-S0XHoaRc/edit#gid=1364146613", "https://docs.google.com/spreadsheets/d/1Fj1n88aZ7VE8QerSAm3Xw1T9tTnCP5UVGv-S0XHoaRc/edit#gid=1364146613")</f>
        <v>https://docs.google.com/spreadsheets/d/1Fj1n88aZ7VE8QerSAm3Xw1T9tTnCP5UVGv-S0XHoaRc/edit#gid=1364146613</v>
      </c>
      <c r="H584" s="32" t="s">
        <v>51</v>
      </c>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E585" s="32" t="s">
        <v>172</v>
      </c>
      <c r="F585" s="32" t="s">
        <v>203</v>
      </c>
      <c r="G585" s="70" t="str">
        <f>HYPERLINK("https://docs.google.com/spreadsheets/d/1Fj1n88aZ7VE8QerSAm3Xw1T9tTnCP5UVGv-S0XHoaRc/edit#gid=1340822640", "https://docs.google.com/spreadsheets/d/1Fj1n88aZ7VE8QerSAm3Xw1T9tTnCP5UVGv-S0XHoaRc/edit#gid=1340822640")</f>
        <v>https://docs.google.com/spreadsheets/d/1Fj1n88aZ7VE8QerSAm3Xw1T9tTnCP5UVGv-S0XHoaRc/edit#gid=1340822640</v>
      </c>
      <c r="H585" s="32" t="s">
        <v>203</v>
      </c>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E586" s="32" t="s">
        <v>172</v>
      </c>
      <c r="F586" s="32" t="s">
        <v>204</v>
      </c>
      <c r="G586" s="70" t="str">
        <f>HYPERLINK("https://docs.google.com/spreadsheets/d/1Fj1n88aZ7VE8QerSAm3Xw1T9tTnCP5UVGv-S0XHoaRc/edit#gid=1580355104", "https://docs.google.com/spreadsheets/d/1Fj1n88aZ7VE8QerSAm3Xw1T9tTnCP5UVGv-S0XHoaRc/edit#gid=1580355104")</f>
        <v>https://docs.google.com/spreadsheets/d/1Fj1n88aZ7VE8QerSAm3Xw1T9tTnCP5UVGv-S0XHoaRc/edit#gid=1580355104</v>
      </c>
      <c r="H586" s="32" t="s">
        <v>204</v>
      </c>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E587" s="32" t="s">
        <v>408</v>
      </c>
      <c r="F587" s="32" t="s">
        <v>408</v>
      </c>
      <c r="G587" s="70" t="str">
        <f>HYPERLINK("https://docs.google.com/spreadsheets/d/1Fj1n88aZ7VE8QerSAm3Xw1T9tTnCP5UVGv-S0XHoaRc/edit#gid=1346948926", "https://docs.google.com/spreadsheets/d/1Fj1n88aZ7VE8QerSAm3Xw1T9tTnCP5UVGv-S0XHoaRc/edit#gid=1346948926")</f>
        <v>https://docs.google.com/spreadsheets/d/1Fj1n88aZ7VE8QerSAm3Xw1T9tTnCP5UVGv-S0XHoaRc/edit#gid=1346948926</v>
      </c>
      <c r="H587" s="32" t="s">
        <v>408</v>
      </c>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E588" s="32" t="s">
        <v>178</v>
      </c>
      <c r="F588" s="32" t="s">
        <v>205</v>
      </c>
      <c r="G588" s="70" t="str">
        <f>HYPERLINK("https://docs.google.com/spreadsheets/d/1Fj1n88aZ7VE8QerSAm3Xw1T9tTnCP5UVGv-S0XHoaRc/edit#gid=1925811232", "https://docs.google.com/spreadsheets/d/1Fj1n88aZ7VE8QerSAm3Xw1T9tTnCP5UVGv-S0XHoaRc/edit#gid=1925811232")</f>
        <v>https://docs.google.com/spreadsheets/d/1Fj1n88aZ7VE8QerSAm3Xw1T9tTnCP5UVGv-S0XHoaRc/edit#gid=1925811232</v>
      </c>
      <c r="H588" s="32" t="s">
        <v>205</v>
      </c>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E589" s="32" t="s">
        <v>178</v>
      </c>
      <c r="F589" s="32" t="s">
        <v>206</v>
      </c>
      <c r="G589" s="15"/>
      <c r="H589" s="36"/>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E590" s="32" t="s">
        <v>21</v>
      </c>
      <c r="F590" s="32" t="s">
        <v>51</v>
      </c>
      <c r="G590" s="70" t="str">
        <f>HYPERLINK("https://docs.google.com/spreadsheets/d/1Fj1n88aZ7VE8QerSAm3Xw1T9tTnCP5UVGv-S0XHoaRc/edit#gid=949163368", "https://docs.google.com/spreadsheets/d/1Fj1n88aZ7VE8QerSAm3Xw1T9tTnCP5UVGv-S0XHoaRc/edit#gid=949163368")</f>
        <v>https://docs.google.com/spreadsheets/d/1Fj1n88aZ7VE8QerSAm3Xw1T9tTnCP5UVGv-S0XHoaRc/edit#gid=949163368</v>
      </c>
      <c r="H590" s="32" t="s">
        <v>1383</v>
      </c>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E591" s="32" t="s">
        <v>104</v>
      </c>
      <c r="F591" s="32" t="s">
        <v>250</v>
      </c>
      <c r="G591" s="70" t="str">
        <f>HYPERLINK("https://docs.google.com/spreadsheets/d/1Fj1n88aZ7VE8QerSAm3Xw1T9tTnCP5UVGv-S0XHoaRc/edit#gid=840859897", "https://docs.google.com/spreadsheets/d/1Fj1n88aZ7VE8QerSAm3Xw1T9tTnCP5UVGv-S0XHoaRc/edit#gid=840859897")</f>
        <v>https://docs.google.com/spreadsheets/d/1Fj1n88aZ7VE8QerSAm3Xw1T9tTnCP5UVGv-S0XHoaRc/edit#gid=840859897</v>
      </c>
      <c r="H591" s="32" t="s">
        <v>250</v>
      </c>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E592" s="32" t="s">
        <v>89</v>
      </c>
      <c r="F592" s="32" t="s">
        <v>291</v>
      </c>
      <c r="G592" s="15"/>
      <c r="H592" s="36"/>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473"/>
      <c r="C593" s="474"/>
      <c r="D593" s="473"/>
      <c r="E593" s="15"/>
      <c r="F593" s="15"/>
      <c r="G593" s="15"/>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472" t="s">
        <v>4228</v>
      </c>
      <c r="C594" s="222" t="s">
        <v>4229</v>
      </c>
      <c r="D594" s="472" t="s">
        <v>20</v>
      </c>
      <c r="E594" s="32" t="s">
        <v>86</v>
      </c>
      <c r="F594" s="32" t="s">
        <v>87</v>
      </c>
      <c r="G594" s="15"/>
      <c r="H594" s="36"/>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E595" s="32" t="s">
        <v>88</v>
      </c>
      <c r="F595" s="32" t="s">
        <v>89</v>
      </c>
      <c r="G595" s="15"/>
      <c r="H595" s="36"/>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E596" s="32" t="s">
        <v>21</v>
      </c>
      <c r="F596" s="32" t="s">
        <v>51</v>
      </c>
      <c r="G596" s="70" t="str">
        <f>HYPERLINK("https://docs.google.com/spreadsheets/d/1iY5mXT41799y3g2zR9u7nreOadHavlHMsgjK_1SCZzY/edit#gid=121904238", "https://docs.google.com/spreadsheets/d/1iY5mXT41799y3g2zR9u7nreOadHavlHMsgjK_1SCZzY/edit#gid=121904238")</f>
        <v>https://docs.google.com/spreadsheets/d/1iY5mXT41799y3g2zR9u7nreOadHavlHMsgjK_1SCZzY/edit#gid=121904238</v>
      </c>
      <c r="H596" s="32" t="s">
        <v>51</v>
      </c>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E597" s="32" t="s">
        <v>172</v>
      </c>
      <c r="F597" s="32" t="s">
        <v>203</v>
      </c>
      <c r="G597" s="70" t="str">
        <f>HYPERLINK("https://docs.google.com/spreadsheets/d/1iY5mXT41799y3g2zR9u7nreOadHavlHMsgjK_1SCZzY/edit#gid=56109629", "https://docs.google.com/spreadsheets/d/1iY5mXT41799y3g2zR9u7nreOadHavlHMsgjK_1SCZzY/edit#gid=56109629")</f>
        <v>https://docs.google.com/spreadsheets/d/1iY5mXT41799y3g2zR9u7nreOadHavlHMsgjK_1SCZzY/edit#gid=56109629</v>
      </c>
      <c r="H597" s="32" t="s">
        <v>203</v>
      </c>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E598" s="32" t="s">
        <v>172</v>
      </c>
      <c r="F598" s="32" t="s">
        <v>204</v>
      </c>
      <c r="G598" s="70" t="str">
        <f>HYPERLINK("https://docs.google.com/spreadsheets/d/1iY5mXT41799y3g2zR9u7nreOadHavlHMsgjK_1SCZzY/edit#gid=1140994121", "https://docs.google.com/spreadsheets/d/1iY5mXT41799y3g2zR9u7nreOadHavlHMsgjK_1SCZzY/edit#gid=1140994121")</f>
        <v>https://docs.google.com/spreadsheets/d/1iY5mXT41799y3g2zR9u7nreOadHavlHMsgjK_1SCZzY/edit#gid=1140994121</v>
      </c>
      <c r="H598" s="32" t="s">
        <v>204</v>
      </c>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E599" s="32" t="s">
        <v>408</v>
      </c>
      <c r="F599" s="32" t="s">
        <v>408</v>
      </c>
      <c r="G599" s="70" t="str">
        <f>HYPERLINK("https://docs.google.com/spreadsheets/d/1iY5mXT41799y3g2zR9u7nreOadHavlHMsgjK_1SCZzY/edit#gid=32152315", "https://docs.google.com/spreadsheets/d/1iY5mXT41799y3g2zR9u7nreOadHavlHMsgjK_1SCZzY/edit#gid=32152315")</f>
        <v>https://docs.google.com/spreadsheets/d/1iY5mXT41799y3g2zR9u7nreOadHavlHMsgjK_1SCZzY/edit#gid=32152315</v>
      </c>
      <c r="H599" s="32" t="s">
        <v>408</v>
      </c>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E600" s="32" t="s">
        <v>86</v>
      </c>
      <c r="F600" s="32" t="s">
        <v>90</v>
      </c>
      <c r="G600" s="70" t="str">
        <f>HYPERLINK("https://docs.google.com/spreadsheets/d/1iY5mXT41799y3g2zR9u7nreOadHavlHMsgjK_1SCZzY/edit#gid=376674826", "https://docs.google.com/spreadsheets/d/1iY5mXT41799y3g2zR9u7nreOadHavlHMsgjK_1SCZzY/edit#gid=376674826")</f>
        <v>https://docs.google.com/spreadsheets/d/1iY5mXT41799y3g2zR9u7nreOadHavlHMsgjK_1SCZzY/edit#gid=376674826</v>
      </c>
      <c r="H600" s="32" t="s">
        <v>90</v>
      </c>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E601" s="32" t="s">
        <v>86</v>
      </c>
      <c r="F601" s="32" t="s">
        <v>339</v>
      </c>
      <c r="G601" s="70" t="str">
        <f>HYPERLINK("https://docs.google.com/spreadsheets/d/1iY5mXT41799y3g2zR9u7nreOadHavlHMsgjK_1SCZzY/edit#gid=1279320105", "https://docs.google.com/spreadsheets/d/1iY5mXT41799y3g2zR9u7nreOadHavlHMsgjK_1SCZzY/edit#gid=1279320105")</f>
        <v>https://docs.google.com/spreadsheets/d/1iY5mXT41799y3g2zR9u7nreOadHavlHMsgjK_1SCZzY/edit#gid=1279320105</v>
      </c>
      <c r="H601" s="32" t="s">
        <v>339</v>
      </c>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E602" s="32" t="s">
        <v>178</v>
      </c>
      <c r="F602" s="32" t="s">
        <v>205</v>
      </c>
      <c r="G602" s="70" t="str">
        <f>HYPERLINK("https://docs.google.com/spreadsheets/d/1iY5mXT41799y3g2zR9u7nreOadHavlHMsgjK_1SCZzY/edit#gid=212611081", "https://docs.google.com/spreadsheets/d/1iY5mXT41799y3g2zR9u7nreOadHavlHMsgjK_1SCZzY/edit#gid=212611081")</f>
        <v>https://docs.google.com/spreadsheets/d/1iY5mXT41799y3g2zR9u7nreOadHavlHMsgjK_1SCZzY/edit#gid=212611081</v>
      </c>
      <c r="H602" s="32" t="s">
        <v>205</v>
      </c>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E603" s="32" t="s">
        <v>178</v>
      </c>
      <c r="F603" s="32" t="s">
        <v>206</v>
      </c>
      <c r="G603" s="15"/>
      <c r="H603" s="36"/>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E604" s="32" t="s">
        <v>104</v>
      </c>
      <c r="F604" s="32" t="s">
        <v>250</v>
      </c>
      <c r="G604" s="70" t="str">
        <f>HYPERLINK("https://docs.google.com/spreadsheets/d/1iY5mXT41799y3g2zR9u7nreOadHavlHMsgjK_1SCZzY/edit#gid=988534175", "https://docs.google.com/spreadsheets/d/1iY5mXT41799y3g2zR9u7nreOadHavlHMsgjK_1SCZzY/edit#gid=988534175")</f>
        <v>https://docs.google.com/spreadsheets/d/1iY5mXT41799y3g2zR9u7nreOadHavlHMsgjK_1SCZzY/edit#gid=988534175</v>
      </c>
      <c r="H604" s="32" t="s">
        <v>250</v>
      </c>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E605" s="32" t="s">
        <v>89</v>
      </c>
      <c r="F605" s="32" t="s">
        <v>291</v>
      </c>
      <c r="G605" s="15"/>
      <c r="H605" s="36"/>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473"/>
      <c r="C606" s="474"/>
      <c r="D606" s="473"/>
      <c r="E606" s="15"/>
      <c r="F606" s="15"/>
      <c r="G606" s="15"/>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472" t="s">
        <v>4230</v>
      </c>
      <c r="C607" s="222" t="s">
        <v>4231</v>
      </c>
      <c r="D607" s="472" t="s">
        <v>20</v>
      </c>
      <c r="E607" s="32" t="s">
        <v>86</v>
      </c>
      <c r="F607" s="32" t="s">
        <v>87</v>
      </c>
      <c r="G607" s="15"/>
      <c r="H607" s="36"/>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E608" s="32" t="s">
        <v>88</v>
      </c>
      <c r="F608" s="32" t="s">
        <v>89</v>
      </c>
      <c r="G608" s="15"/>
      <c r="H608" s="36"/>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E609" s="32" t="s">
        <v>21</v>
      </c>
      <c r="F609" s="32" t="s">
        <v>51</v>
      </c>
      <c r="G609" s="70" t="str">
        <f>HYPERLINK("https://docs.google.com/spreadsheets/d/1gsZ5IJ7yM2n56VN6IS3wgeVn63mDzBUi-QIuRNPewaQ/edit#gid=614408558", "https://docs.google.com/spreadsheets/d/1gsZ5IJ7yM2n56VN6IS3wgeVn63mDzBUi-QIuRNPewaQ/edit#gid=614408558")</f>
        <v>https://docs.google.com/spreadsheets/d/1gsZ5IJ7yM2n56VN6IS3wgeVn63mDzBUi-QIuRNPewaQ/edit#gid=614408558</v>
      </c>
      <c r="H609" s="32" t="s">
        <v>51</v>
      </c>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E610" s="32" t="s">
        <v>172</v>
      </c>
      <c r="F610" s="32" t="s">
        <v>203</v>
      </c>
      <c r="G610" s="70" t="str">
        <f>HYPERLINK("https://docs.google.com/spreadsheets/d/1gsZ5IJ7yM2n56VN6IS3wgeVn63mDzBUi-QIuRNPewaQ/edit#gid=1153049368", "https://docs.google.com/spreadsheets/d/1gsZ5IJ7yM2n56VN6IS3wgeVn63mDzBUi-QIuRNPewaQ/edit#gid=1153049368")</f>
        <v>https://docs.google.com/spreadsheets/d/1gsZ5IJ7yM2n56VN6IS3wgeVn63mDzBUi-QIuRNPewaQ/edit#gid=1153049368</v>
      </c>
      <c r="H610" s="32" t="s">
        <v>203</v>
      </c>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E611" s="32" t="s">
        <v>172</v>
      </c>
      <c r="F611" s="32" t="s">
        <v>204</v>
      </c>
      <c r="G611" s="70" t="str">
        <f>HYPERLINK("https://docs.google.com/spreadsheets/d/1gsZ5IJ7yM2n56VN6IS3wgeVn63mDzBUi-QIuRNPewaQ/edit#gid=586363447", "https://docs.google.com/spreadsheets/d/1gsZ5IJ7yM2n56VN6IS3wgeVn63mDzBUi-QIuRNPewaQ/edit#gid=586363447")</f>
        <v>https://docs.google.com/spreadsheets/d/1gsZ5IJ7yM2n56VN6IS3wgeVn63mDzBUi-QIuRNPewaQ/edit#gid=586363447</v>
      </c>
      <c r="H611" s="32" t="s">
        <v>204</v>
      </c>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E612" s="32" t="s">
        <v>408</v>
      </c>
      <c r="F612" s="32" t="s">
        <v>408</v>
      </c>
      <c r="G612" s="70" t="str">
        <f>HYPERLINK("https://docs.google.com/spreadsheets/d/1gsZ5IJ7yM2n56VN6IS3wgeVn63mDzBUi-QIuRNPewaQ/edit#gid=1919642145", "https://docs.google.com/spreadsheets/d/1gsZ5IJ7yM2n56VN6IS3wgeVn63mDzBUi-QIuRNPewaQ/edit#gid=1919642145")</f>
        <v>https://docs.google.com/spreadsheets/d/1gsZ5IJ7yM2n56VN6IS3wgeVn63mDzBUi-QIuRNPewaQ/edit#gid=1919642145</v>
      </c>
      <c r="H612" s="32" t="s">
        <v>408</v>
      </c>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E613" s="32" t="s">
        <v>21</v>
      </c>
      <c r="F613" s="32" t="s">
        <v>51</v>
      </c>
      <c r="G613" s="70" t="str">
        <f>HYPERLINK("https://docs.google.com/spreadsheets/d/1gsZ5IJ7yM2n56VN6IS3wgeVn63mDzBUi-QIuRNPewaQ/edit#gid=656869010", "https://docs.google.com/spreadsheets/d/1gsZ5IJ7yM2n56VN6IS3wgeVn63mDzBUi-QIuRNPewaQ/edit#gid=656869010")</f>
        <v>https://docs.google.com/spreadsheets/d/1gsZ5IJ7yM2n56VN6IS3wgeVn63mDzBUi-QIuRNPewaQ/edit#gid=656869010</v>
      </c>
      <c r="H613" s="32" t="s">
        <v>1383</v>
      </c>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E614" s="32" t="s">
        <v>86</v>
      </c>
      <c r="F614" s="32" t="s">
        <v>90</v>
      </c>
      <c r="G614" s="70" t="str">
        <f>HYPERLINK("https://docs.google.com/spreadsheets/d/1gsZ5IJ7yM2n56VN6IS3wgeVn63mDzBUi-QIuRNPewaQ/edit#gid=1647490035", "https://docs.google.com/spreadsheets/d/1gsZ5IJ7yM2n56VN6IS3wgeVn63mDzBUi-QIuRNPewaQ/edit#gid=1647490035")</f>
        <v>https://docs.google.com/spreadsheets/d/1gsZ5IJ7yM2n56VN6IS3wgeVn63mDzBUi-QIuRNPewaQ/edit#gid=1647490035</v>
      </c>
      <c r="H614" s="32" t="s">
        <v>90</v>
      </c>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E615" s="32" t="s">
        <v>86</v>
      </c>
      <c r="F615" s="32" t="s">
        <v>339</v>
      </c>
      <c r="G615" s="70" t="str">
        <f>HYPERLINK("https://docs.google.com/spreadsheets/d/1gsZ5IJ7yM2n56VN6IS3wgeVn63mDzBUi-QIuRNPewaQ/edit#gid=269013405", "https://docs.google.com/spreadsheets/d/1gsZ5IJ7yM2n56VN6IS3wgeVn63mDzBUi-QIuRNPewaQ/edit#gid=269013405")</f>
        <v>https://docs.google.com/spreadsheets/d/1gsZ5IJ7yM2n56VN6IS3wgeVn63mDzBUi-QIuRNPewaQ/edit#gid=269013405</v>
      </c>
      <c r="H615" s="32" t="s">
        <v>339</v>
      </c>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E616" s="32" t="s">
        <v>178</v>
      </c>
      <c r="F616" s="32" t="s">
        <v>205</v>
      </c>
      <c r="G616" s="70" t="str">
        <f>HYPERLINK("https://docs.google.com/spreadsheets/d/1gsZ5IJ7yM2n56VN6IS3wgeVn63mDzBUi-QIuRNPewaQ/edit#gid=620899082", "https://docs.google.com/spreadsheets/d/1gsZ5IJ7yM2n56VN6IS3wgeVn63mDzBUi-QIuRNPewaQ/edit#gid=620899082")</f>
        <v>https://docs.google.com/spreadsheets/d/1gsZ5IJ7yM2n56VN6IS3wgeVn63mDzBUi-QIuRNPewaQ/edit#gid=620899082</v>
      </c>
      <c r="H616" s="32" t="s">
        <v>205</v>
      </c>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E617" s="32" t="s">
        <v>178</v>
      </c>
      <c r="F617" s="32" t="s">
        <v>206</v>
      </c>
      <c r="G617" s="15"/>
      <c r="H617" s="36"/>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E618" s="32" t="s">
        <v>104</v>
      </c>
      <c r="F618" s="32" t="s">
        <v>250</v>
      </c>
      <c r="G618" s="70" t="str">
        <f>HYPERLINK("https://docs.google.com/spreadsheets/d/1gsZ5IJ7yM2n56VN6IS3wgeVn63mDzBUi-QIuRNPewaQ/edit#gid=39105928", "https://docs.google.com/spreadsheets/d/1gsZ5IJ7yM2n56VN6IS3wgeVn63mDzBUi-QIuRNPewaQ/edit#gid=39105928")</f>
        <v>https://docs.google.com/spreadsheets/d/1gsZ5IJ7yM2n56VN6IS3wgeVn63mDzBUi-QIuRNPewaQ/edit#gid=39105928</v>
      </c>
      <c r="H618" s="32" t="s">
        <v>250</v>
      </c>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E619" s="32" t="s">
        <v>89</v>
      </c>
      <c r="F619" s="32" t="s">
        <v>291</v>
      </c>
      <c r="G619" s="15"/>
      <c r="H619" s="36"/>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473"/>
      <c r="C620" s="474"/>
      <c r="D620" s="473"/>
      <c r="E620" s="15"/>
      <c r="F620" s="15"/>
      <c r="G620" s="15"/>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473"/>
      <c r="C621" s="474"/>
      <c r="D621" s="473"/>
      <c r="E621" s="15"/>
      <c r="F621" s="15"/>
      <c r="G621" s="15"/>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472" t="s">
        <v>4232</v>
      </c>
      <c r="C622" s="222" t="s">
        <v>4233</v>
      </c>
      <c r="D622" s="472" t="s">
        <v>20</v>
      </c>
      <c r="E622" s="32" t="s">
        <v>86</v>
      </c>
      <c r="F622" s="32" t="s">
        <v>87</v>
      </c>
      <c r="G622" s="15"/>
      <c r="H622" s="36"/>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E623" s="32" t="s">
        <v>88</v>
      </c>
      <c r="F623" s="32" t="s">
        <v>89</v>
      </c>
      <c r="G623" s="15"/>
      <c r="H623" s="36"/>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E624" s="32" t="s">
        <v>21</v>
      </c>
      <c r="F624" s="32" t="s">
        <v>51</v>
      </c>
      <c r="G624" s="70" t="str">
        <f>HYPERLINK("https://docs.google.com/spreadsheets/d/1mPnWQVCa-u_w0p5Jo_aVc_rBnCFwcr8jfOWoUb50OnQ/edit#gid=978180609", "https://docs.google.com/spreadsheets/d/1mPnWQVCa-u_w0p5Jo_aVc_rBnCFwcr8jfOWoUb50OnQ/edit#gid=978180609")</f>
        <v>https://docs.google.com/spreadsheets/d/1mPnWQVCa-u_w0p5Jo_aVc_rBnCFwcr8jfOWoUb50OnQ/edit#gid=978180609</v>
      </c>
      <c r="H624" s="32" t="s">
        <v>51</v>
      </c>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E625" s="32" t="s">
        <v>172</v>
      </c>
      <c r="F625" s="32" t="s">
        <v>203</v>
      </c>
      <c r="G625" s="70" t="str">
        <f>HYPERLINK("https://docs.google.com/spreadsheets/d/1mPnWQVCa-u_w0p5Jo_aVc_rBnCFwcr8jfOWoUb50OnQ/edit#gid=1254241065", "https://docs.google.com/spreadsheets/d/1mPnWQVCa-u_w0p5Jo_aVc_rBnCFwcr8jfOWoUb50OnQ/edit#gid=1254241065")</f>
        <v>https://docs.google.com/spreadsheets/d/1mPnWQVCa-u_w0p5Jo_aVc_rBnCFwcr8jfOWoUb50OnQ/edit#gid=1254241065</v>
      </c>
      <c r="H625" s="32" t="s">
        <v>203</v>
      </c>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E626" s="32" t="s">
        <v>172</v>
      </c>
      <c r="F626" s="32" t="s">
        <v>204</v>
      </c>
      <c r="G626" s="70" t="str">
        <f>HYPERLINK("https://docs.google.com/spreadsheets/d/1mPnWQVCa-u_w0p5Jo_aVc_rBnCFwcr8jfOWoUb50OnQ/edit#gid=789757122", "https://docs.google.com/spreadsheets/d/1mPnWQVCa-u_w0p5Jo_aVc_rBnCFwcr8jfOWoUb50OnQ/edit#gid=789757122")</f>
        <v>https://docs.google.com/spreadsheets/d/1mPnWQVCa-u_w0p5Jo_aVc_rBnCFwcr8jfOWoUb50OnQ/edit#gid=789757122</v>
      </c>
      <c r="H626" s="32" t="s">
        <v>204</v>
      </c>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E627" s="32" t="s">
        <v>172</v>
      </c>
      <c r="F627" s="32" t="s">
        <v>203</v>
      </c>
      <c r="G627" s="70" t="str">
        <f>HYPERLINK("https://docs.google.com/spreadsheets/d/1mPnWQVCa-u_w0p5Jo_aVc_rBnCFwcr8jfOWoUb50OnQ/edit#gid=1148916114", "https://docs.google.com/spreadsheets/d/1mPnWQVCa-u_w0p5Jo_aVc_rBnCFwcr8jfOWoUb50OnQ/edit#gid=1148916114")</f>
        <v>https://docs.google.com/spreadsheets/d/1mPnWQVCa-u_w0p5Jo_aVc_rBnCFwcr8jfOWoUb50OnQ/edit#gid=1148916114</v>
      </c>
      <c r="H627" s="32" t="s">
        <v>1995</v>
      </c>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E628" s="32" t="s">
        <v>172</v>
      </c>
      <c r="F628" s="32" t="s">
        <v>204</v>
      </c>
      <c r="G628" s="70" t="str">
        <f>HYPERLINK("https://docs.google.com/spreadsheets/d/1mPnWQVCa-u_w0p5Jo_aVc_rBnCFwcr8jfOWoUb50OnQ/edit#gid=503284126", "https://docs.google.com/spreadsheets/d/1mPnWQVCa-u_w0p5Jo_aVc_rBnCFwcr8jfOWoUb50OnQ/edit#gid=503284126")</f>
        <v>https://docs.google.com/spreadsheets/d/1mPnWQVCa-u_w0p5Jo_aVc_rBnCFwcr8jfOWoUb50OnQ/edit#gid=503284126</v>
      </c>
      <c r="H628" s="32" t="s">
        <v>1996</v>
      </c>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E629" s="32" t="s">
        <v>408</v>
      </c>
      <c r="F629" s="32" t="s">
        <v>408</v>
      </c>
      <c r="G629" s="70" t="str">
        <f>HYPERLINK("https://docs.google.com/spreadsheets/d/1mPnWQVCa-u_w0p5Jo_aVc_rBnCFwcr8jfOWoUb50OnQ/edit#gid=493011644", "https://docs.google.com/spreadsheets/d/1mPnWQVCa-u_w0p5Jo_aVc_rBnCFwcr8jfOWoUb50OnQ/edit#gid=493011644")</f>
        <v>https://docs.google.com/spreadsheets/d/1mPnWQVCa-u_w0p5Jo_aVc_rBnCFwcr8jfOWoUb50OnQ/edit#gid=493011644</v>
      </c>
      <c r="H629" s="32" t="s">
        <v>408</v>
      </c>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E630" s="32" t="s">
        <v>86</v>
      </c>
      <c r="F630" s="32" t="s">
        <v>90</v>
      </c>
      <c r="G630" s="70" t="str">
        <f>HYPERLINK("https://docs.google.com/spreadsheets/d/1mPnWQVCa-u_w0p5Jo_aVc_rBnCFwcr8jfOWoUb50OnQ/edit#gid=590682215", "https://docs.google.com/spreadsheets/d/1mPnWQVCa-u_w0p5Jo_aVc_rBnCFwcr8jfOWoUb50OnQ/edit#gid=590682215")</f>
        <v>https://docs.google.com/spreadsheets/d/1mPnWQVCa-u_w0p5Jo_aVc_rBnCFwcr8jfOWoUb50OnQ/edit#gid=590682215</v>
      </c>
      <c r="H630" s="32" t="s">
        <v>90</v>
      </c>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E631" s="32" t="s">
        <v>86</v>
      </c>
      <c r="F631" s="32" t="s">
        <v>339</v>
      </c>
      <c r="G631" s="70" t="str">
        <f>HYPERLINK("https://docs.google.com/spreadsheets/d/1mPnWQVCa-u_w0p5Jo_aVc_rBnCFwcr8jfOWoUb50OnQ/edit#gid=1102461798", "https://docs.google.com/spreadsheets/d/1mPnWQVCa-u_w0p5Jo_aVc_rBnCFwcr8jfOWoUb50OnQ/edit#gid=1102461798")</f>
        <v>https://docs.google.com/spreadsheets/d/1mPnWQVCa-u_w0p5Jo_aVc_rBnCFwcr8jfOWoUb50OnQ/edit#gid=1102461798</v>
      </c>
      <c r="H631" s="32" t="s">
        <v>339</v>
      </c>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E632" s="32" t="s">
        <v>178</v>
      </c>
      <c r="F632" s="32" t="s">
        <v>205</v>
      </c>
      <c r="G632" s="70" t="str">
        <f>HYPERLINK("https://docs.google.com/spreadsheets/d/1mPnWQVCa-u_w0p5Jo_aVc_rBnCFwcr8jfOWoUb50OnQ/edit#gid=701100401", "https://docs.google.com/spreadsheets/d/1mPnWQVCa-u_w0p5Jo_aVc_rBnCFwcr8jfOWoUb50OnQ/edit#gid=701100401")</f>
        <v>https://docs.google.com/spreadsheets/d/1mPnWQVCa-u_w0p5Jo_aVc_rBnCFwcr8jfOWoUb50OnQ/edit#gid=701100401</v>
      </c>
      <c r="H632" s="32" t="s">
        <v>205</v>
      </c>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E633" s="32" t="s">
        <v>178</v>
      </c>
      <c r="F633" s="32" t="s">
        <v>206</v>
      </c>
      <c r="G633" s="15"/>
      <c r="H633" s="36"/>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E634" s="32" t="s">
        <v>104</v>
      </c>
      <c r="F634" s="32" t="s">
        <v>250</v>
      </c>
      <c r="G634" s="70" t="str">
        <f>HYPERLINK("https://docs.google.com/spreadsheets/d/1mPnWQVCa-u_w0p5Jo_aVc_rBnCFwcr8jfOWoUb50OnQ/edit#gid=920733523", "https://docs.google.com/spreadsheets/d/1mPnWQVCa-u_w0p5Jo_aVc_rBnCFwcr8jfOWoUb50OnQ/edit#gid=920733523")</f>
        <v>https://docs.google.com/spreadsheets/d/1mPnWQVCa-u_w0p5Jo_aVc_rBnCFwcr8jfOWoUb50OnQ/edit#gid=920733523</v>
      </c>
      <c r="H634" s="32" t="s">
        <v>250</v>
      </c>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E635" s="32" t="s">
        <v>89</v>
      </c>
      <c r="F635" s="32" t="s">
        <v>291</v>
      </c>
      <c r="G635" s="15"/>
      <c r="H635" s="36"/>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473"/>
      <c r="C636" s="474"/>
      <c r="D636" s="473"/>
      <c r="E636" s="15"/>
      <c r="F636" s="15"/>
      <c r="G636" s="15"/>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472" t="s">
        <v>4234</v>
      </c>
      <c r="C637" s="222" t="s">
        <v>4235</v>
      </c>
      <c r="D637" s="472" t="s">
        <v>20</v>
      </c>
      <c r="E637" s="32" t="s">
        <v>86</v>
      </c>
      <c r="F637" s="32" t="s">
        <v>87</v>
      </c>
      <c r="G637" s="15"/>
      <c r="H637" s="36"/>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E638" s="32" t="s">
        <v>88</v>
      </c>
      <c r="F638" s="32" t="s">
        <v>89</v>
      </c>
      <c r="G638" s="15"/>
      <c r="H638" s="36"/>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E639" s="32" t="s">
        <v>104</v>
      </c>
      <c r="F639" s="32" t="s">
        <v>905</v>
      </c>
      <c r="G639" s="15"/>
      <c r="H639" s="36"/>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E640" s="32" t="s">
        <v>104</v>
      </c>
      <c r="F640" s="32" t="s">
        <v>903</v>
      </c>
      <c r="G640" s="15"/>
      <c r="H640" s="36"/>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E641" s="32" t="s">
        <v>104</v>
      </c>
      <c r="F641" s="32" t="s">
        <v>904</v>
      </c>
      <c r="G641" s="15"/>
      <c r="H641" s="36"/>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E642" s="32" t="s">
        <v>104</v>
      </c>
      <c r="F642" s="32" t="s">
        <v>906</v>
      </c>
      <c r="G642" s="15"/>
      <c r="H642" s="36"/>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E643" s="32" t="s">
        <v>89</v>
      </c>
      <c r="F643" s="32" t="s">
        <v>291</v>
      </c>
      <c r="G643" s="15"/>
      <c r="H643" s="36"/>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15"/>
      <c r="C644" s="21"/>
      <c r="D644" s="15"/>
      <c r="E644" s="15"/>
      <c r="F644" s="15"/>
      <c r="G644" s="15"/>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15"/>
      <c r="C645" s="21"/>
      <c r="D645" s="15"/>
      <c r="E645" s="15"/>
      <c r="F645" s="15"/>
      <c r="G645" s="15"/>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32" t="s">
        <v>4236</v>
      </c>
      <c r="C646" s="66" t="s">
        <v>2688</v>
      </c>
      <c r="D646" s="15"/>
      <c r="E646" s="32" t="s">
        <v>89</v>
      </c>
      <c r="F646" s="32" t="s">
        <v>291</v>
      </c>
      <c r="G646" s="15"/>
      <c r="H646" s="36"/>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15"/>
      <c r="C647" s="21"/>
      <c r="D647" s="15"/>
      <c r="E647" s="15"/>
      <c r="F647" s="15"/>
      <c r="G647" s="15"/>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15"/>
      <c r="C648" s="21"/>
      <c r="D648" s="15"/>
      <c r="E648" s="15"/>
      <c r="F648" s="15"/>
      <c r="G648" s="15"/>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32" t="s">
        <v>4237</v>
      </c>
      <c r="C649" s="66" t="s">
        <v>4238</v>
      </c>
      <c r="D649" s="15"/>
      <c r="E649" s="32" t="s">
        <v>89</v>
      </c>
      <c r="F649" s="32" t="s">
        <v>291</v>
      </c>
      <c r="G649" s="15"/>
      <c r="H649" s="36"/>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15"/>
      <c r="C650" s="21"/>
      <c r="D650" s="15"/>
      <c r="E650" s="15"/>
      <c r="F650" s="15"/>
      <c r="G650" s="15"/>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15"/>
      <c r="C651" s="21"/>
      <c r="D651" s="15"/>
      <c r="E651" s="15"/>
      <c r="F651" s="15"/>
      <c r="G651" s="15"/>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15"/>
      <c r="C652" s="21"/>
      <c r="D652" s="15"/>
      <c r="E652" s="15"/>
      <c r="F652" s="15"/>
      <c r="G652" s="15"/>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15"/>
      <c r="C653" s="21"/>
      <c r="D653" s="15"/>
      <c r="E653" s="15"/>
      <c r="F653" s="15"/>
      <c r="G653" s="15"/>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15"/>
      <c r="C654" s="21"/>
      <c r="D654" s="15"/>
      <c r="E654" s="15"/>
      <c r="F654" s="15"/>
      <c r="G654" s="15"/>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15"/>
      <c r="C655" s="21"/>
      <c r="D655" s="15"/>
      <c r="E655" s="15"/>
      <c r="F655" s="15"/>
      <c r="G655" s="15"/>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15"/>
      <c r="C656" s="21"/>
      <c r="D656" s="15"/>
      <c r="E656" s="15"/>
      <c r="F656" s="15"/>
      <c r="G656" s="15"/>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15"/>
      <c r="C657" s="21"/>
      <c r="D657" s="15"/>
      <c r="E657" s="15"/>
      <c r="F657" s="15"/>
      <c r="G657" s="15"/>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15"/>
      <c r="C658" s="21"/>
      <c r="D658" s="15"/>
      <c r="E658" s="15"/>
      <c r="F658" s="15"/>
      <c r="G658" s="15"/>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15"/>
      <c r="C659" s="21"/>
      <c r="D659" s="15"/>
      <c r="E659" s="15"/>
      <c r="F659" s="15"/>
      <c r="G659" s="15"/>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15"/>
      <c r="C660" s="21"/>
      <c r="D660" s="15"/>
      <c r="E660" s="15"/>
      <c r="F660" s="15"/>
      <c r="G660" s="15"/>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15"/>
      <c r="C661" s="21"/>
      <c r="D661" s="15"/>
      <c r="E661" s="15"/>
      <c r="F661" s="15"/>
      <c r="G661" s="15"/>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15"/>
      <c r="C662" s="21"/>
      <c r="D662" s="15"/>
      <c r="E662" s="15"/>
      <c r="F662" s="15"/>
      <c r="G662" s="15"/>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15"/>
      <c r="C663" s="21"/>
      <c r="D663" s="15"/>
      <c r="E663" s="15"/>
      <c r="F663" s="15"/>
      <c r="G663" s="15"/>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15"/>
      <c r="C664" s="21"/>
      <c r="D664" s="15"/>
      <c r="E664" s="15"/>
      <c r="F664" s="15"/>
      <c r="G664" s="15"/>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15"/>
      <c r="C665" s="21"/>
      <c r="D665" s="15"/>
      <c r="E665" s="15"/>
      <c r="F665" s="15"/>
      <c r="G665" s="15"/>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15"/>
      <c r="C666" s="21"/>
      <c r="D666" s="15"/>
      <c r="E666" s="15"/>
      <c r="F666" s="15"/>
      <c r="G666" s="15"/>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15"/>
      <c r="C667" s="21"/>
      <c r="D667" s="15"/>
      <c r="E667" s="15"/>
      <c r="F667" s="15"/>
      <c r="G667" s="15"/>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15"/>
      <c r="C668" s="21"/>
      <c r="D668" s="15"/>
      <c r="E668" s="15"/>
      <c r="F668" s="15"/>
      <c r="G668" s="15"/>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15"/>
      <c r="C669" s="21"/>
      <c r="D669" s="15"/>
      <c r="E669" s="15"/>
      <c r="F669" s="15"/>
      <c r="G669" s="15"/>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15"/>
      <c r="C670" s="21"/>
      <c r="D670" s="15"/>
      <c r="E670" s="15"/>
      <c r="F670" s="15"/>
      <c r="G670" s="15"/>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15"/>
      <c r="C671" s="21"/>
      <c r="D671" s="15"/>
      <c r="E671" s="15"/>
      <c r="F671" s="15"/>
      <c r="G671" s="15"/>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15"/>
      <c r="C672" s="21"/>
      <c r="D672" s="15"/>
      <c r="E672" s="15"/>
      <c r="F672" s="15"/>
      <c r="G672" s="15"/>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15"/>
      <c r="C673" s="21"/>
      <c r="D673" s="15"/>
      <c r="E673" s="15"/>
      <c r="F673" s="15"/>
      <c r="G673" s="15"/>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15"/>
      <c r="C674" s="21"/>
      <c r="D674" s="15"/>
      <c r="E674" s="15"/>
      <c r="F674" s="15"/>
      <c r="G674" s="15"/>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15"/>
      <c r="C675" s="21"/>
      <c r="D675" s="15"/>
      <c r="E675" s="15"/>
      <c r="F675" s="15"/>
      <c r="G675" s="15"/>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15"/>
      <c r="C676" s="21"/>
      <c r="D676" s="15"/>
      <c r="E676" s="15"/>
      <c r="F676" s="15"/>
      <c r="G676" s="15"/>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15"/>
      <c r="C677" s="21"/>
      <c r="D677" s="15"/>
      <c r="E677" s="15"/>
      <c r="F677" s="15"/>
      <c r="G677" s="15"/>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15"/>
      <c r="C678" s="21"/>
      <c r="D678" s="15"/>
      <c r="E678" s="15"/>
      <c r="F678" s="15"/>
      <c r="G678" s="15"/>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15"/>
      <c r="C679" s="21"/>
      <c r="D679" s="15"/>
      <c r="E679" s="15"/>
      <c r="F679" s="15"/>
      <c r="G679" s="15"/>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15"/>
      <c r="C680" s="21"/>
      <c r="D680" s="15"/>
      <c r="E680" s="15"/>
      <c r="F680" s="15"/>
      <c r="G680" s="15"/>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15"/>
      <c r="C681" s="21"/>
      <c r="D681" s="15"/>
      <c r="E681" s="15"/>
      <c r="F681" s="15"/>
      <c r="G681" s="15"/>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15"/>
      <c r="C682" s="21"/>
      <c r="D682" s="15"/>
      <c r="E682" s="15"/>
      <c r="F682" s="15"/>
      <c r="G682" s="15"/>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15"/>
      <c r="C683" s="21"/>
      <c r="D683" s="15"/>
      <c r="E683" s="15"/>
      <c r="F683" s="15"/>
      <c r="G683" s="15"/>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15"/>
      <c r="C684" s="21"/>
      <c r="D684" s="15"/>
      <c r="E684" s="15"/>
      <c r="F684" s="15"/>
      <c r="G684" s="15"/>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15"/>
      <c r="C685" s="21"/>
      <c r="D685" s="15"/>
      <c r="E685" s="15"/>
      <c r="F685" s="15"/>
      <c r="G685" s="15"/>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15"/>
      <c r="C686" s="21"/>
      <c r="D686" s="15"/>
      <c r="E686" s="15"/>
      <c r="F686" s="15"/>
      <c r="G686" s="15"/>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15"/>
      <c r="C687" s="21"/>
      <c r="D687" s="15"/>
      <c r="E687" s="15"/>
      <c r="F687" s="15"/>
      <c r="G687" s="15"/>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15"/>
      <c r="C688" s="21"/>
      <c r="D688" s="15"/>
      <c r="E688" s="15"/>
      <c r="F688" s="15"/>
      <c r="G688" s="15"/>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15"/>
      <c r="C689" s="21"/>
      <c r="D689" s="15"/>
      <c r="E689" s="15"/>
      <c r="F689" s="15"/>
      <c r="G689" s="15"/>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15"/>
      <c r="C690" s="21"/>
      <c r="D690" s="15"/>
      <c r="E690" s="15"/>
      <c r="F690" s="15"/>
      <c r="G690" s="15"/>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15"/>
      <c r="C691" s="21"/>
      <c r="D691" s="15"/>
      <c r="E691" s="15"/>
      <c r="F691" s="15"/>
      <c r="G691" s="15"/>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15"/>
      <c r="C692" s="21"/>
      <c r="D692" s="15"/>
      <c r="E692" s="15"/>
      <c r="F692" s="15"/>
      <c r="G692" s="15"/>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15"/>
      <c r="C693" s="21"/>
      <c r="D693" s="15"/>
      <c r="E693" s="15"/>
      <c r="F693" s="15"/>
      <c r="G693" s="15"/>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15"/>
      <c r="C694" s="21"/>
      <c r="D694" s="15"/>
      <c r="E694" s="15"/>
      <c r="F694" s="15"/>
      <c r="G694" s="15"/>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15"/>
      <c r="C695" s="21"/>
      <c r="D695" s="15"/>
      <c r="E695" s="15"/>
      <c r="F695" s="15"/>
      <c r="G695" s="15"/>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15"/>
      <c r="C696" s="21"/>
      <c r="D696" s="15"/>
      <c r="E696" s="15"/>
      <c r="F696" s="15"/>
      <c r="G696" s="15"/>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15"/>
      <c r="C697" s="21"/>
      <c r="D697" s="15"/>
      <c r="E697" s="15"/>
      <c r="F697" s="15"/>
      <c r="G697" s="15"/>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15"/>
      <c r="C698" s="21"/>
      <c r="D698" s="15"/>
      <c r="E698" s="15"/>
      <c r="F698" s="15"/>
      <c r="G698" s="15"/>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15"/>
      <c r="C699" s="21"/>
      <c r="D699" s="15"/>
      <c r="E699" s="15"/>
      <c r="F699" s="15"/>
      <c r="G699" s="15"/>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15"/>
      <c r="C700" s="21"/>
      <c r="D700" s="15"/>
      <c r="E700" s="15"/>
      <c r="F700" s="15"/>
      <c r="G700" s="15"/>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15"/>
      <c r="C701" s="21"/>
      <c r="D701" s="15"/>
      <c r="E701" s="15"/>
      <c r="F701" s="15"/>
      <c r="G701" s="15"/>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15"/>
      <c r="C702" s="21"/>
      <c r="D702" s="15"/>
      <c r="E702" s="15"/>
      <c r="F702" s="15"/>
      <c r="G702" s="15"/>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15"/>
      <c r="C703" s="21"/>
      <c r="D703" s="15"/>
      <c r="E703" s="15"/>
      <c r="F703" s="15"/>
      <c r="G703" s="15"/>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15"/>
      <c r="C704" s="21"/>
      <c r="D704" s="15"/>
      <c r="E704" s="15"/>
      <c r="F704" s="15"/>
      <c r="G704" s="15"/>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15"/>
      <c r="C705" s="21"/>
      <c r="D705" s="15"/>
      <c r="E705" s="15"/>
      <c r="F705" s="15"/>
      <c r="G705" s="15"/>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15"/>
      <c r="C706" s="21"/>
      <c r="D706" s="15"/>
      <c r="E706" s="15"/>
      <c r="F706" s="15"/>
      <c r="G706" s="15"/>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15"/>
      <c r="C707" s="21"/>
      <c r="D707" s="15"/>
      <c r="E707" s="15"/>
      <c r="F707" s="15"/>
      <c r="G707" s="15"/>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15"/>
      <c r="C708" s="21"/>
      <c r="D708" s="15"/>
      <c r="E708" s="15"/>
      <c r="F708" s="15"/>
      <c r="G708" s="15"/>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15"/>
      <c r="C709" s="21"/>
      <c r="D709" s="15"/>
      <c r="E709" s="15"/>
      <c r="F709" s="15"/>
      <c r="G709" s="15"/>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15"/>
      <c r="C710" s="21"/>
      <c r="D710" s="15"/>
      <c r="E710" s="15"/>
      <c r="F710" s="15"/>
      <c r="G710" s="15"/>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15"/>
      <c r="C711" s="21"/>
      <c r="D711" s="15"/>
      <c r="E711" s="15"/>
      <c r="F711" s="15"/>
      <c r="G711" s="15"/>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15"/>
      <c r="C712" s="21"/>
      <c r="D712" s="15"/>
      <c r="E712" s="15"/>
      <c r="F712" s="15"/>
      <c r="G712" s="15"/>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15"/>
      <c r="C713" s="21"/>
      <c r="D713" s="15"/>
      <c r="E713" s="15"/>
      <c r="F713" s="15"/>
      <c r="G713" s="15"/>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15"/>
      <c r="C714" s="21"/>
      <c r="D714" s="15"/>
      <c r="E714" s="15"/>
      <c r="F714" s="15"/>
      <c r="G714" s="15"/>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15"/>
      <c r="C715" s="21"/>
      <c r="D715" s="15"/>
      <c r="E715" s="15"/>
      <c r="F715" s="15"/>
      <c r="G715" s="15"/>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15"/>
      <c r="C716" s="21"/>
      <c r="D716" s="15"/>
      <c r="E716" s="15"/>
      <c r="F716" s="15"/>
      <c r="G716" s="15"/>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15"/>
      <c r="C717" s="21"/>
      <c r="D717" s="15"/>
      <c r="E717" s="15"/>
      <c r="F717" s="15"/>
      <c r="G717" s="15"/>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15"/>
      <c r="C718" s="21"/>
      <c r="D718" s="15"/>
      <c r="E718" s="15"/>
      <c r="F718" s="15"/>
      <c r="G718" s="15"/>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15"/>
      <c r="C719" s="21"/>
      <c r="D719" s="15"/>
      <c r="E719" s="15"/>
      <c r="F719" s="15"/>
      <c r="G719" s="15"/>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15"/>
      <c r="C720" s="21"/>
      <c r="D720" s="15"/>
      <c r="E720" s="15"/>
      <c r="F720" s="15"/>
      <c r="G720" s="15"/>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15"/>
      <c r="C721" s="21"/>
      <c r="D721" s="15"/>
      <c r="E721" s="15"/>
      <c r="F721" s="15"/>
      <c r="G721" s="15"/>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15"/>
      <c r="C722" s="21"/>
      <c r="D722" s="15"/>
      <c r="E722" s="15"/>
      <c r="F722" s="15"/>
      <c r="G722" s="15"/>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15"/>
      <c r="C723" s="21"/>
      <c r="D723" s="15"/>
      <c r="E723" s="15"/>
      <c r="F723" s="15"/>
      <c r="G723" s="15"/>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15"/>
      <c r="C724" s="21"/>
      <c r="D724" s="15"/>
      <c r="E724" s="15"/>
      <c r="F724" s="15"/>
      <c r="G724" s="15"/>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15"/>
      <c r="C725" s="21"/>
      <c r="D725" s="15"/>
      <c r="E725" s="15"/>
      <c r="F725" s="15"/>
      <c r="G725" s="15"/>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15"/>
      <c r="C726" s="21"/>
      <c r="D726" s="15"/>
      <c r="E726" s="15"/>
      <c r="F726" s="15"/>
      <c r="G726" s="15"/>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15"/>
      <c r="C727" s="21"/>
      <c r="D727" s="15"/>
      <c r="E727" s="15"/>
      <c r="F727" s="15"/>
      <c r="G727" s="15"/>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15"/>
      <c r="C728" s="21"/>
      <c r="D728" s="15"/>
      <c r="E728" s="15"/>
      <c r="F728" s="15"/>
      <c r="G728" s="15"/>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15"/>
      <c r="C729" s="21"/>
      <c r="D729" s="15"/>
      <c r="E729" s="15"/>
      <c r="F729" s="15"/>
      <c r="G729" s="15"/>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15"/>
      <c r="C730" s="21"/>
      <c r="D730" s="15"/>
      <c r="E730" s="15"/>
      <c r="F730" s="15"/>
      <c r="G730" s="15"/>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15"/>
      <c r="C731" s="21"/>
      <c r="D731" s="15"/>
      <c r="E731" s="15"/>
      <c r="F731" s="15"/>
      <c r="G731" s="15"/>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15"/>
      <c r="C732" s="21"/>
      <c r="D732" s="15"/>
      <c r="E732" s="15"/>
      <c r="F732" s="15"/>
      <c r="G732" s="15"/>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15"/>
      <c r="C733" s="21"/>
      <c r="D733" s="15"/>
      <c r="E733" s="15"/>
      <c r="F733" s="15"/>
      <c r="G733" s="15"/>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15"/>
      <c r="C734" s="21"/>
      <c r="D734" s="15"/>
      <c r="E734" s="15"/>
      <c r="F734" s="15"/>
      <c r="G734" s="15"/>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15"/>
      <c r="C735" s="21"/>
      <c r="D735" s="15"/>
      <c r="E735" s="15"/>
      <c r="F735" s="15"/>
      <c r="G735" s="15"/>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15"/>
      <c r="C736" s="21"/>
      <c r="D736" s="15"/>
      <c r="E736" s="15"/>
      <c r="F736" s="15"/>
      <c r="G736" s="15"/>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15"/>
      <c r="C737" s="21"/>
      <c r="D737" s="15"/>
      <c r="E737" s="15"/>
      <c r="F737" s="15"/>
      <c r="G737" s="15"/>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15"/>
      <c r="C738" s="21"/>
      <c r="D738" s="15"/>
      <c r="E738" s="15"/>
      <c r="F738" s="15"/>
      <c r="G738" s="15"/>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15"/>
      <c r="C739" s="21"/>
      <c r="D739" s="15"/>
      <c r="E739" s="15"/>
      <c r="F739" s="15"/>
      <c r="G739" s="15"/>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15"/>
      <c r="C740" s="21"/>
      <c r="D740" s="15"/>
      <c r="E740" s="15"/>
      <c r="F740" s="15"/>
      <c r="G740" s="15"/>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15"/>
      <c r="C741" s="21"/>
      <c r="D741" s="15"/>
      <c r="E741" s="15"/>
      <c r="F741" s="15"/>
      <c r="G741" s="15"/>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15"/>
      <c r="C742" s="21"/>
      <c r="D742" s="15"/>
      <c r="E742" s="15"/>
      <c r="F742" s="15"/>
      <c r="G742" s="15"/>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15"/>
      <c r="C743" s="21"/>
      <c r="D743" s="15"/>
      <c r="E743" s="15"/>
      <c r="F743" s="15"/>
      <c r="G743" s="15"/>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15"/>
      <c r="C744" s="21"/>
      <c r="D744" s="15"/>
      <c r="E744" s="15"/>
      <c r="F744" s="15"/>
      <c r="G744" s="15"/>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15"/>
      <c r="C745" s="21"/>
      <c r="D745" s="15"/>
      <c r="E745" s="15"/>
      <c r="F745" s="15"/>
      <c r="G745" s="15"/>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15"/>
      <c r="C746" s="21"/>
      <c r="D746" s="15"/>
      <c r="E746" s="15"/>
      <c r="F746" s="15"/>
      <c r="G746" s="15"/>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15"/>
      <c r="C747" s="21"/>
      <c r="D747" s="15"/>
      <c r="E747" s="15"/>
      <c r="F747" s="15"/>
      <c r="G747" s="15"/>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15"/>
      <c r="C748" s="21"/>
      <c r="D748" s="15"/>
      <c r="E748" s="15"/>
      <c r="F748" s="15"/>
      <c r="G748" s="15"/>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15"/>
      <c r="C749" s="21"/>
      <c r="D749" s="15"/>
      <c r="E749" s="15"/>
      <c r="F749" s="15"/>
      <c r="G749" s="15"/>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15"/>
      <c r="C750" s="21"/>
      <c r="D750" s="15"/>
      <c r="E750" s="15"/>
      <c r="F750" s="15"/>
      <c r="G750" s="15"/>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15"/>
      <c r="C751" s="21"/>
      <c r="D751" s="15"/>
      <c r="E751" s="15"/>
      <c r="F751" s="15"/>
      <c r="G751" s="15"/>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15"/>
      <c r="C752" s="21"/>
      <c r="D752" s="15"/>
      <c r="E752" s="15"/>
      <c r="F752" s="15"/>
      <c r="G752" s="15"/>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15"/>
      <c r="C753" s="21"/>
      <c r="D753" s="15"/>
      <c r="E753" s="15"/>
      <c r="F753" s="15"/>
      <c r="G753" s="15"/>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15"/>
      <c r="C754" s="21"/>
      <c r="D754" s="15"/>
      <c r="E754" s="15"/>
      <c r="F754" s="15"/>
      <c r="G754" s="15"/>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15"/>
      <c r="C755" s="21"/>
      <c r="D755" s="15"/>
      <c r="E755" s="15"/>
      <c r="F755" s="15"/>
      <c r="G755" s="15"/>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15"/>
      <c r="C756" s="21"/>
      <c r="D756" s="15"/>
      <c r="E756" s="15"/>
      <c r="F756" s="15"/>
      <c r="G756" s="15"/>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15"/>
      <c r="C757" s="21"/>
      <c r="D757" s="15"/>
      <c r="E757" s="15"/>
      <c r="F757" s="15"/>
      <c r="G757" s="15"/>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15"/>
      <c r="C758" s="21"/>
      <c r="D758" s="15"/>
      <c r="E758" s="15"/>
      <c r="F758" s="15"/>
      <c r="G758" s="15"/>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15"/>
      <c r="C759" s="21"/>
      <c r="D759" s="15"/>
      <c r="E759" s="15"/>
      <c r="F759" s="15"/>
      <c r="G759" s="15"/>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15"/>
      <c r="C760" s="21"/>
      <c r="D760" s="15"/>
      <c r="E760" s="15"/>
      <c r="F760" s="15"/>
      <c r="G760" s="15"/>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15"/>
      <c r="C761" s="21"/>
      <c r="D761" s="15"/>
      <c r="E761" s="15"/>
      <c r="F761" s="15"/>
      <c r="G761" s="15"/>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15"/>
      <c r="C762" s="21"/>
      <c r="D762" s="15"/>
      <c r="E762" s="15"/>
      <c r="F762" s="15"/>
      <c r="G762" s="15"/>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15"/>
      <c r="C763" s="21"/>
      <c r="D763" s="15"/>
      <c r="E763" s="15"/>
      <c r="F763" s="15"/>
      <c r="G763" s="15"/>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15"/>
      <c r="C764" s="21"/>
      <c r="D764" s="15"/>
      <c r="E764" s="15"/>
      <c r="F764" s="15"/>
      <c r="G764" s="15"/>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15"/>
      <c r="C765" s="21"/>
      <c r="D765" s="15"/>
      <c r="E765" s="15"/>
      <c r="F765" s="15"/>
      <c r="G765" s="15"/>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15"/>
      <c r="C766" s="21"/>
      <c r="D766" s="15"/>
      <c r="E766" s="15"/>
      <c r="F766" s="15"/>
      <c r="G766" s="15"/>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15"/>
      <c r="C767" s="21"/>
      <c r="D767" s="15"/>
      <c r="E767" s="15"/>
      <c r="F767" s="15"/>
      <c r="G767" s="15"/>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15"/>
      <c r="C768" s="21"/>
      <c r="D768" s="15"/>
      <c r="E768" s="15"/>
      <c r="F768" s="15"/>
      <c r="G768" s="15"/>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15"/>
      <c r="C769" s="21"/>
      <c r="D769" s="15"/>
      <c r="E769" s="15"/>
      <c r="F769" s="15"/>
      <c r="G769" s="15"/>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15"/>
      <c r="C770" s="21"/>
      <c r="D770" s="15"/>
      <c r="E770" s="15"/>
      <c r="F770" s="15"/>
      <c r="G770" s="15"/>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15"/>
      <c r="C771" s="21"/>
      <c r="D771" s="15"/>
      <c r="E771" s="15"/>
      <c r="F771" s="15"/>
      <c r="G771" s="15"/>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15"/>
      <c r="C772" s="21"/>
      <c r="D772" s="15"/>
      <c r="E772" s="15"/>
      <c r="F772" s="15"/>
      <c r="G772" s="15"/>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15"/>
      <c r="C773" s="21"/>
      <c r="D773" s="15"/>
      <c r="E773" s="15"/>
      <c r="F773" s="15"/>
      <c r="G773" s="15"/>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15"/>
      <c r="C774" s="21"/>
      <c r="D774" s="15"/>
      <c r="E774" s="15"/>
      <c r="F774" s="15"/>
      <c r="G774" s="15"/>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15"/>
      <c r="C775" s="21"/>
      <c r="D775" s="15"/>
      <c r="E775" s="15"/>
      <c r="F775" s="15"/>
      <c r="G775" s="15"/>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15"/>
      <c r="C776" s="21"/>
      <c r="D776" s="15"/>
      <c r="E776" s="15"/>
      <c r="F776" s="15"/>
      <c r="G776" s="15"/>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15"/>
      <c r="C777" s="21"/>
      <c r="D777" s="15"/>
      <c r="E777" s="15"/>
      <c r="F777" s="15"/>
      <c r="G777" s="15"/>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15"/>
      <c r="C778" s="21"/>
      <c r="D778" s="15"/>
      <c r="E778" s="15"/>
      <c r="F778" s="15"/>
      <c r="G778" s="15"/>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15"/>
      <c r="C779" s="21"/>
      <c r="D779" s="15"/>
      <c r="E779" s="15"/>
      <c r="F779" s="15"/>
      <c r="G779" s="15"/>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15"/>
      <c r="C780" s="21"/>
      <c r="D780" s="15"/>
      <c r="E780" s="15"/>
      <c r="F780" s="15"/>
      <c r="G780" s="15"/>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15"/>
      <c r="C781" s="21"/>
      <c r="D781" s="15"/>
      <c r="E781" s="15"/>
      <c r="F781" s="15"/>
      <c r="G781" s="15"/>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15"/>
      <c r="C782" s="21"/>
      <c r="D782" s="15"/>
      <c r="E782" s="15"/>
      <c r="F782" s="15"/>
      <c r="G782" s="15"/>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15"/>
      <c r="C783" s="21"/>
      <c r="D783" s="15"/>
      <c r="E783" s="15"/>
      <c r="F783" s="15"/>
      <c r="G783" s="15"/>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15"/>
      <c r="C784" s="21"/>
      <c r="D784" s="15"/>
      <c r="E784" s="15"/>
      <c r="F784" s="15"/>
      <c r="G784" s="15"/>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15"/>
      <c r="C785" s="21"/>
      <c r="D785" s="15"/>
      <c r="E785" s="15"/>
      <c r="F785" s="15"/>
      <c r="G785" s="15"/>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15"/>
      <c r="C786" s="21"/>
      <c r="D786" s="15"/>
      <c r="E786" s="15"/>
      <c r="F786" s="15"/>
      <c r="G786" s="15"/>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15"/>
      <c r="C787" s="21"/>
      <c r="D787" s="15"/>
      <c r="E787" s="15"/>
      <c r="F787" s="15"/>
      <c r="G787" s="15"/>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15"/>
      <c r="C788" s="21"/>
      <c r="D788" s="15"/>
      <c r="E788" s="15"/>
      <c r="F788" s="15"/>
      <c r="G788" s="15"/>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15"/>
      <c r="C789" s="21"/>
      <c r="D789" s="15"/>
      <c r="E789" s="15"/>
      <c r="F789" s="15"/>
      <c r="G789" s="15"/>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15"/>
      <c r="C790" s="21"/>
      <c r="D790" s="15"/>
      <c r="E790" s="15"/>
      <c r="F790" s="15"/>
      <c r="G790" s="15"/>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15"/>
      <c r="C791" s="21"/>
      <c r="D791" s="15"/>
      <c r="E791" s="15"/>
      <c r="F791" s="15"/>
      <c r="G791" s="15"/>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15"/>
      <c r="C792" s="21"/>
      <c r="D792" s="15"/>
      <c r="E792" s="15"/>
      <c r="F792" s="15"/>
      <c r="G792" s="15"/>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15"/>
      <c r="C793" s="21"/>
      <c r="D793" s="15"/>
      <c r="E793" s="15"/>
      <c r="F793" s="15"/>
      <c r="G793" s="15"/>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15"/>
      <c r="C794" s="21"/>
      <c r="D794" s="15"/>
      <c r="E794" s="15"/>
      <c r="F794" s="15"/>
      <c r="G794" s="15"/>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15"/>
      <c r="C795" s="21"/>
      <c r="D795" s="15"/>
      <c r="E795" s="15"/>
      <c r="F795" s="15"/>
      <c r="G795" s="15"/>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15"/>
      <c r="C796" s="21"/>
      <c r="D796" s="15"/>
      <c r="E796" s="15"/>
      <c r="F796" s="15"/>
      <c r="G796" s="15"/>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15"/>
      <c r="C797" s="21"/>
      <c r="D797" s="15"/>
      <c r="E797" s="15"/>
      <c r="F797" s="15"/>
      <c r="G797" s="15"/>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15"/>
      <c r="C798" s="21"/>
      <c r="D798" s="15"/>
      <c r="E798" s="15"/>
      <c r="F798" s="15"/>
      <c r="G798" s="15"/>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15"/>
      <c r="C799" s="21"/>
      <c r="D799" s="15"/>
      <c r="E799" s="15"/>
      <c r="F799" s="15"/>
      <c r="G799" s="15"/>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15"/>
      <c r="C800" s="21"/>
      <c r="D800" s="15"/>
      <c r="E800" s="15"/>
      <c r="F800" s="15"/>
      <c r="G800" s="15"/>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15"/>
      <c r="C801" s="21"/>
      <c r="D801" s="15"/>
      <c r="E801" s="15"/>
      <c r="F801" s="15"/>
      <c r="G801" s="15"/>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15"/>
      <c r="C802" s="21"/>
      <c r="D802" s="15"/>
      <c r="E802" s="15"/>
      <c r="F802" s="15"/>
      <c r="G802" s="15"/>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15"/>
      <c r="C803" s="21"/>
      <c r="D803" s="15"/>
      <c r="E803" s="15"/>
      <c r="F803" s="15"/>
      <c r="G803" s="15"/>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15"/>
      <c r="C804" s="21"/>
      <c r="D804" s="15"/>
      <c r="E804" s="15"/>
      <c r="F804" s="15"/>
      <c r="G804" s="15"/>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15"/>
      <c r="C805" s="21"/>
      <c r="D805" s="15"/>
      <c r="E805" s="15"/>
      <c r="F805" s="15"/>
      <c r="G805" s="15"/>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15"/>
      <c r="C806" s="21"/>
      <c r="D806" s="15"/>
      <c r="E806" s="15"/>
      <c r="F806" s="15"/>
      <c r="G806" s="15"/>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15"/>
      <c r="C807" s="21"/>
      <c r="D807" s="15"/>
      <c r="E807" s="15"/>
      <c r="F807" s="15"/>
      <c r="G807" s="15"/>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15"/>
      <c r="C808" s="21"/>
      <c r="D808" s="15"/>
      <c r="E808" s="15"/>
      <c r="F808" s="15"/>
      <c r="G808" s="15"/>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15"/>
      <c r="C809" s="21"/>
      <c r="D809" s="15"/>
      <c r="E809" s="15"/>
      <c r="F809" s="15"/>
      <c r="G809" s="15"/>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15"/>
      <c r="C810" s="21"/>
      <c r="D810" s="15"/>
      <c r="E810" s="15"/>
      <c r="F810" s="15"/>
      <c r="G810" s="15"/>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15"/>
      <c r="C811" s="21"/>
      <c r="D811" s="15"/>
      <c r="E811" s="15"/>
      <c r="F811" s="15"/>
      <c r="G811" s="15"/>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15"/>
      <c r="C812" s="21"/>
      <c r="D812" s="15"/>
      <c r="E812" s="15"/>
      <c r="F812" s="15"/>
      <c r="G812" s="15"/>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15"/>
      <c r="C813" s="21"/>
      <c r="D813" s="15"/>
      <c r="E813" s="15"/>
      <c r="F813" s="15"/>
      <c r="G813" s="15"/>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15"/>
      <c r="C814" s="21"/>
      <c r="D814" s="15"/>
      <c r="E814" s="15"/>
      <c r="F814" s="15"/>
      <c r="G814" s="15"/>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15"/>
      <c r="C815" s="21"/>
      <c r="D815" s="15"/>
      <c r="E815" s="15"/>
      <c r="F815" s="15"/>
      <c r="G815" s="15"/>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15"/>
      <c r="C816" s="21"/>
      <c r="D816" s="15"/>
      <c r="E816" s="15"/>
      <c r="F816" s="15"/>
      <c r="G816" s="15"/>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15"/>
      <c r="C817" s="21"/>
      <c r="D817" s="15"/>
      <c r="E817" s="15"/>
      <c r="F817" s="15"/>
      <c r="G817" s="15"/>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15"/>
      <c r="C818" s="21"/>
      <c r="D818" s="15"/>
      <c r="E818" s="15"/>
      <c r="F818" s="15"/>
      <c r="G818" s="15"/>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15"/>
      <c r="C819" s="21"/>
      <c r="D819" s="15"/>
      <c r="E819" s="15"/>
      <c r="F819" s="15"/>
      <c r="G819" s="15"/>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15"/>
      <c r="C820" s="21"/>
      <c r="D820" s="15"/>
      <c r="E820" s="15"/>
      <c r="F820" s="15"/>
      <c r="G820" s="15"/>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15"/>
      <c r="C821" s="21"/>
      <c r="D821" s="15"/>
      <c r="E821" s="15"/>
      <c r="F821" s="15"/>
      <c r="G821" s="15"/>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15"/>
      <c r="C822" s="21"/>
      <c r="D822" s="15"/>
      <c r="E822" s="15"/>
      <c r="F822" s="15"/>
      <c r="G822" s="15"/>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15"/>
      <c r="C823" s="21"/>
      <c r="D823" s="15"/>
      <c r="E823" s="15"/>
      <c r="F823" s="15"/>
      <c r="G823" s="15"/>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15"/>
      <c r="C824" s="21"/>
      <c r="D824" s="15"/>
      <c r="E824" s="15"/>
      <c r="F824" s="15"/>
      <c r="G824" s="15"/>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15"/>
      <c r="C825" s="21"/>
      <c r="D825" s="15"/>
      <c r="E825" s="15"/>
      <c r="F825" s="15"/>
      <c r="G825" s="15"/>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15"/>
      <c r="C826" s="21"/>
      <c r="D826" s="15"/>
      <c r="E826" s="15"/>
      <c r="F826" s="15"/>
      <c r="G826" s="15"/>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15"/>
      <c r="C827" s="21"/>
      <c r="D827" s="15"/>
      <c r="E827" s="15"/>
      <c r="F827" s="15"/>
      <c r="G827" s="15"/>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15"/>
      <c r="C828" s="21"/>
      <c r="D828" s="15"/>
      <c r="E828" s="15"/>
      <c r="F828" s="15"/>
      <c r="G828" s="15"/>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15"/>
      <c r="C829" s="21"/>
      <c r="D829" s="15"/>
      <c r="E829" s="15"/>
      <c r="F829" s="15"/>
      <c r="G829" s="15"/>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15"/>
      <c r="C830" s="21"/>
      <c r="D830" s="15"/>
      <c r="E830" s="15"/>
      <c r="F830" s="15"/>
      <c r="G830" s="15"/>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15"/>
      <c r="C831" s="21"/>
      <c r="D831" s="15"/>
      <c r="E831" s="15"/>
      <c r="F831" s="15"/>
      <c r="G831" s="15"/>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15"/>
      <c r="C832" s="21"/>
      <c r="D832" s="15"/>
      <c r="E832" s="15"/>
      <c r="F832" s="15"/>
      <c r="G832" s="15"/>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15"/>
      <c r="C833" s="21"/>
      <c r="D833" s="15"/>
      <c r="E833" s="15"/>
      <c r="F833" s="15"/>
      <c r="G833" s="15"/>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15"/>
      <c r="C834" s="21"/>
      <c r="D834" s="15"/>
      <c r="E834" s="15"/>
      <c r="F834" s="15"/>
      <c r="G834" s="15"/>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15"/>
      <c r="C835" s="21"/>
      <c r="D835" s="15"/>
      <c r="E835" s="15"/>
      <c r="F835" s="15"/>
      <c r="G835" s="15"/>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15"/>
      <c r="C836" s="21"/>
      <c r="D836" s="15"/>
      <c r="E836" s="15"/>
      <c r="F836" s="15"/>
      <c r="G836" s="15"/>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15"/>
      <c r="C837" s="21"/>
      <c r="D837" s="15"/>
      <c r="E837" s="15"/>
      <c r="F837" s="15"/>
      <c r="G837" s="15"/>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15"/>
      <c r="C838" s="21"/>
      <c r="D838" s="15"/>
      <c r="E838" s="15"/>
      <c r="F838" s="15"/>
      <c r="G838" s="15"/>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15"/>
      <c r="C839" s="21"/>
      <c r="D839" s="15"/>
      <c r="E839" s="15"/>
      <c r="F839" s="15"/>
      <c r="G839" s="15"/>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15"/>
      <c r="C840" s="21"/>
      <c r="D840" s="15"/>
      <c r="E840" s="15"/>
      <c r="F840" s="15"/>
      <c r="G840" s="15"/>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15"/>
      <c r="C841" s="21"/>
      <c r="D841" s="15"/>
      <c r="E841" s="15"/>
      <c r="F841" s="15"/>
      <c r="G841" s="15"/>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15"/>
      <c r="C842" s="21"/>
      <c r="D842" s="15"/>
      <c r="E842" s="15"/>
      <c r="F842" s="15"/>
      <c r="G842" s="15"/>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15"/>
      <c r="C843" s="21"/>
      <c r="D843" s="15"/>
      <c r="E843" s="15"/>
      <c r="F843" s="15"/>
      <c r="G843" s="15"/>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15"/>
      <c r="C844" s="21"/>
      <c r="D844" s="15"/>
      <c r="E844" s="15"/>
      <c r="F844" s="15"/>
      <c r="G844" s="15"/>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15"/>
      <c r="C845" s="21"/>
      <c r="D845" s="15"/>
      <c r="E845" s="15"/>
      <c r="F845" s="15"/>
      <c r="G845" s="15"/>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15"/>
      <c r="C846" s="21"/>
      <c r="D846" s="15"/>
      <c r="E846" s="15"/>
      <c r="F846" s="15"/>
      <c r="G846" s="15"/>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15"/>
      <c r="C847" s="21"/>
      <c r="D847" s="15"/>
      <c r="E847" s="15"/>
      <c r="F847" s="15"/>
      <c r="G847" s="15"/>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15"/>
      <c r="C848" s="21"/>
      <c r="D848" s="15"/>
      <c r="E848" s="15"/>
      <c r="F848" s="15"/>
      <c r="G848" s="15"/>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15"/>
      <c r="C849" s="21"/>
      <c r="D849" s="15"/>
      <c r="E849" s="15"/>
      <c r="F849" s="15"/>
      <c r="G849" s="15"/>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15"/>
      <c r="C850" s="21"/>
      <c r="D850" s="15"/>
      <c r="E850" s="15"/>
      <c r="F850" s="15"/>
      <c r="G850" s="15"/>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15"/>
      <c r="C851" s="21"/>
      <c r="D851" s="15"/>
      <c r="E851" s="15"/>
      <c r="F851" s="15"/>
      <c r="G851" s="15"/>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15"/>
      <c r="C852" s="21"/>
      <c r="D852" s="15"/>
      <c r="E852" s="15"/>
      <c r="F852" s="15"/>
      <c r="G852" s="15"/>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15"/>
      <c r="C853" s="21"/>
      <c r="D853" s="15"/>
      <c r="E853" s="15"/>
      <c r="F853" s="15"/>
      <c r="G853" s="15"/>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15"/>
      <c r="C854" s="21"/>
      <c r="D854" s="15"/>
      <c r="E854" s="15"/>
      <c r="F854" s="15"/>
      <c r="G854" s="15"/>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15"/>
      <c r="C855" s="21"/>
      <c r="D855" s="15"/>
      <c r="E855" s="15"/>
      <c r="F855" s="15"/>
      <c r="G855" s="15"/>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15"/>
      <c r="C856" s="21"/>
      <c r="D856" s="15"/>
      <c r="E856" s="15"/>
      <c r="F856" s="15"/>
      <c r="G856" s="15"/>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15"/>
      <c r="C857" s="21"/>
      <c r="D857" s="15"/>
      <c r="E857" s="15"/>
      <c r="F857" s="15"/>
      <c r="G857" s="15"/>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15"/>
      <c r="C858" s="21"/>
      <c r="D858" s="15"/>
      <c r="E858" s="15"/>
      <c r="F858" s="15"/>
      <c r="G858" s="15"/>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15"/>
      <c r="C859" s="21"/>
      <c r="D859" s="15"/>
      <c r="E859" s="15"/>
      <c r="F859" s="15"/>
      <c r="G859" s="15"/>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15"/>
      <c r="C860" s="21"/>
      <c r="D860" s="15"/>
      <c r="E860" s="15"/>
      <c r="F860" s="15"/>
      <c r="G860" s="15"/>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15"/>
      <c r="C861" s="21"/>
      <c r="D861" s="15"/>
      <c r="E861" s="15"/>
      <c r="F861" s="15"/>
      <c r="G861" s="15"/>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5.75" customHeight="1">
      <c r="A862" s="15"/>
      <c r="B862" s="15"/>
      <c r="C862" s="21"/>
      <c r="D862" s="15"/>
      <c r="E862" s="15"/>
      <c r="F862" s="15"/>
      <c r="G862" s="15"/>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5.75" customHeight="1">
      <c r="A863" s="15"/>
      <c r="B863" s="15"/>
      <c r="C863" s="21"/>
      <c r="D863" s="15"/>
      <c r="E863" s="15"/>
      <c r="F863" s="15"/>
      <c r="G863" s="15"/>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5.75" customHeight="1">
      <c r="A864" s="15"/>
      <c r="B864" s="15"/>
      <c r="C864" s="21"/>
      <c r="D864" s="15"/>
      <c r="E864" s="15"/>
      <c r="F864" s="15"/>
      <c r="G864" s="15"/>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5.75" customHeight="1">
      <c r="A865" s="15"/>
      <c r="B865" s="15"/>
      <c r="C865" s="21"/>
      <c r="D865" s="15"/>
      <c r="E865" s="15"/>
      <c r="F865" s="15"/>
      <c r="G865" s="15"/>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row r="866" ht="15.75" customHeight="1">
      <c r="A866" s="15"/>
      <c r="B866" s="15"/>
      <c r="C866" s="21"/>
      <c r="D866" s="15"/>
      <c r="E866" s="15"/>
      <c r="F866" s="15"/>
      <c r="G866" s="15"/>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row>
    <row r="867" ht="15.75" customHeight="1">
      <c r="A867" s="15"/>
      <c r="B867" s="15"/>
      <c r="C867" s="21"/>
      <c r="D867" s="15"/>
      <c r="E867" s="15"/>
      <c r="F867" s="15"/>
      <c r="G867" s="15"/>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row>
    <row r="868" ht="15.75" customHeight="1">
      <c r="A868" s="15"/>
      <c r="B868" s="15"/>
      <c r="C868" s="21"/>
      <c r="D868" s="15"/>
      <c r="E868" s="15"/>
      <c r="F868" s="15"/>
      <c r="G868" s="15"/>
      <c r="H868" s="15"/>
      <c r="I868" s="11"/>
      <c r="J868" s="11"/>
      <c r="K868" s="11"/>
      <c r="L868" s="11"/>
      <c r="M868" s="15"/>
      <c r="N868" s="15"/>
      <c r="O868" s="15"/>
      <c r="P868" s="15"/>
      <c r="Q868" s="15"/>
      <c r="R868" s="15"/>
      <c r="S868" s="15"/>
      <c r="T868" s="15"/>
      <c r="U868" s="15"/>
      <c r="V868" s="15"/>
      <c r="W868" s="15"/>
      <c r="X868" s="15"/>
      <c r="Y868" s="15"/>
      <c r="Z868" s="15"/>
      <c r="AA868" s="15"/>
      <c r="AB868" s="15"/>
      <c r="AC868" s="15"/>
      <c r="AD868" s="15"/>
      <c r="AE868" s="15"/>
      <c r="AF868" s="15"/>
    </row>
    <row r="869" ht="15.75" customHeight="1">
      <c r="A869" s="15"/>
      <c r="B869" s="15"/>
      <c r="C869" s="21"/>
      <c r="D869" s="15"/>
      <c r="E869" s="15"/>
      <c r="F869" s="15"/>
      <c r="G869" s="15"/>
      <c r="H869" s="15"/>
      <c r="I869" s="11"/>
      <c r="J869" s="11"/>
      <c r="K869" s="11"/>
      <c r="L869" s="11"/>
      <c r="M869" s="15"/>
      <c r="N869" s="15"/>
      <c r="O869" s="15"/>
      <c r="P869" s="15"/>
      <c r="Q869" s="15"/>
      <c r="R869" s="15"/>
      <c r="S869" s="15"/>
      <c r="T869" s="15"/>
      <c r="U869" s="15"/>
      <c r="V869" s="15"/>
      <c r="W869" s="15"/>
      <c r="X869" s="15"/>
      <c r="Y869" s="15"/>
      <c r="Z869" s="15"/>
      <c r="AA869" s="15"/>
      <c r="AB869" s="15"/>
      <c r="AC869" s="15"/>
      <c r="AD869" s="15"/>
      <c r="AE869" s="15"/>
      <c r="AF869" s="15"/>
    </row>
    <row r="870" ht="15.75" customHeight="1">
      <c r="A870" s="15"/>
      <c r="B870" s="15"/>
      <c r="C870" s="21"/>
      <c r="D870" s="15"/>
      <c r="E870" s="15"/>
      <c r="F870" s="15"/>
      <c r="G870" s="15"/>
      <c r="H870" s="15"/>
      <c r="I870" s="11"/>
      <c r="J870" s="11"/>
      <c r="K870" s="11"/>
      <c r="L870" s="11"/>
      <c r="M870" s="15"/>
      <c r="N870" s="15"/>
      <c r="O870" s="15"/>
      <c r="P870" s="15"/>
      <c r="Q870" s="15"/>
      <c r="R870" s="15"/>
      <c r="S870" s="15"/>
      <c r="T870" s="15"/>
      <c r="U870" s="15"/>
      <c r="V870" s="15"/>
      <c r="W870" s="15"/>
      <c r="X870" s="15"/>
      <c r="Y870" s="15"/>
      <c r="Z870" s="15"/>
      <c r="AA870" s="15"/>
      <c r="AB870" s="15"/>
      <c r="AC870" s="15"/>
      <c r="AD870" s="15"/>
      <c r="AE870" s="15"/>
      <c r="AF870" s="15"/>
    </row>
    <row r="871" ht="15.75" customHeight="1">
      <c r="A871" s="15"/>
      <c r="B871" s="15"/>
      <c r="C871" s="21"/>
      <c r="D871" s="15"/>
      <c r="E871" s="15"/>
      <c r="F871" s="15"/>
      <c r="G871" s="15"/>
      <c r="H871" s="15"/>
      <c r="I871" s="11"/>
      <c r="J871" s="11"/>
      <c r="K871" s="11"/>
      <c r="L871" s="11"/>
      <c r="M871" s="15"/>
      <c r="N871" s="15"/>
      <c r="O871" s="15"/>
      <c r="P871" s="15"/>
      <c r="Q871" s="15"/>
      <c r="R871" s="15"/>
      <c r="S871" s="15"/>
      <c r="T871" s="15"/>
      <c r="U871" s="15"/>
      <c r="V871" s="15"/>
      <c r="W871" s="15"/>
      <c r="X871" s="15"/>
      <c r="Y871" s="15"/>
      <c r="Z871" s="15"/>
      <c r="AA871" s="15"/>
      <c r="AB871" s="15"/>
      <c r="AC871" s="15"/>
      <c r="AD871" s="15"/>
      <c r="AE871" s="15"/>
      <c r="AF871" s="15"/>
    </row>
    <row r="872" ht="15.75" customHeight="1">
      <c r="A872" s="15"/>
      <c r="B872" s="15"/>
      <c r="C872" s="21"/>
      <c r="D872" s="15"/>
      <c r="E872" s="15"/>
      <c r="F872" s="15"/>
      <c r="G872" s="15"/>
      <c r="H872" s="15"/>
      <c r="I872" s="11"/>
      <c r="J872" s="11"/>
      <c r="K872" s="11"/>
      <c r="L872" s="11"/>
      <c r="M872" s="15"/>
      <c r="N872" s="15"/>
      <c r="O872" s="15"/>
      <c r="P872" s="15"/>
      <c r="Q872" s="15"/>
      <c r="R872" s="15"/>
      <c r="S872" s="15"/>
      <c r="T872" s="15"/>
      <c r="U872" s="15"/>
      <c r="V872" s="15"/>
      <c r="W872" s="15"/>
      <c r="X872" s="15"/>
      <c r="Y872" s="15"/>
      <c r="Z872" s="15"/>
      <c r="AA872" s="15"/>
      <c r="AB872" s="15"/>
      <c r="AC872" s="15"/>
      <c r="AD872" s="15"/>
      <c r="AE872" s="15"/>
      <c r="AF872" s="15"/>
    </row>
    <row r="873" ht="15.75" customHeight="1">
      <c r="A873" s="15"/>
      <c r="B873" s="15"/>
      <c r="C873" s="21"/>
      <c r="D873" s="15"/>
      <c r="E873" s="15"/>
      <c r="F873" s="15"/>
      <c r="G873" s="15"/>
      <c r="H873" s="15"/>
      <c r="I873" s="11"/>
      <c r="J873" s="11"/>
      <c r="K873" s="11"/>
      <c r="L873" s="11"/>
      <c r="M873" s="15"/>
      <c r="N873" s="15"/>
      <c r="O873" s="15"/>
      <c r="P873" s="15"/>
      <c r="Q873" s="15"/>
      <c r="R873" s="15"/>
      <c r="S873" s="15"/>
      <c r="T873" s="15"/>
      <c r="U873" s="15"/>
      <c r="V873" s="15"/>
      <c r="W873" s="15"/>
      <c r="X873" s="15"/>
      <c r="Y873" s="15"/>
      <c r="Z873" s="15"/>
      <c r="AA873" s="15"/>
      <c r="AB873" s="15"/>
      <c r="AC873" s="15"/>
      <c r="AD873" s="15"/>
      <c r="AE873" s="15"/>
      <c r="AF873" s="15"/>
    </row>
    <row r="874" ht="15.75" customHeight="1">
      <c r="A874" s="15"/>
      <c r="B874" s="15"/>
      <c r="C874" s="21"/>
      <c r="D874" s="15"/>
      <c r="E874" s="15"/>
      <c r="F874" s="15"/>
      <c r="G874" s="15"/>
      <c r="H874" s="15"/>
      <c r="I874" s="11"/>
      <c r="J874" s="11"/>
      <c r="K874" s="11"/>
      <c r="L874" s="11"/>
      <c r="M874" s="15"/>
      <c r="N874" s="15"/>
      <c r="O874" s="15"/>
      <c r="P874" s="15"/>
      <c r="Q874" s="15"/>
      <c r="R874" s="15"/>
      <c r="S874" s="15"/>
      <c r="T874" s="15"/>
      <c r="U874" s="15"/>
      <c r="V874" s="15"/>
      <c r="W874" s="15"/>
      <c r="X874" s="15"/>
      <c r="Y874" s="15"/>
      <c r="Z874" s="15"/>
      <c r="AA874" s="15"/>
      <c r="AB874" s="15"/>
      <c r="AC874" s="15"/>
      <c r="AD874" s="15"/>
      <c r="AE874" s="15"/>
      <c r="AF874" s="15"/>
    </row>
    <row r="875" ht="15.75" customHeight="1">
      <c r="A875" s="15"/>
      <c r="B875" s="15"/>
      <c r="C875" s="21"/>
      <c r="D875" s="15"/>
      <c r="E875" s="15"/>
      <c r="F875" s="15"/>
      <c r="G875" s="15"/>
      <c r="H875" s="15"/>
      <c r="I875" s="11"/>
      <c r="J875" s="11"/>
      <c r="K875" s="11"/>
      <c r="L875" s="11"/>
      <c r="M875" s="15"/>
      <c r="N875" s="15"/>
      <c r="O875" s="15"/>
      <c r="P875" s="15"/>
      <c r="Q875" s="15"/>
      <c r="R875" s="15"/>
      <c r="S875" s="15"/>
      <c r="T875" s="15"/>
      <c r="U875" s="15"/>
      <c r="V875" s="15"/>
      <c r="W875" s="15"/>
      <c r="X875" s="15"/>
      <c r="Y875" s="15"/>
      <c r="Z875" s="15"/>
      <c r="AA875" s="15"/>
      <c r="AB875" s="15"/>
      <c r="AC875" s="15"/>
      <c r="AD875" s="15"/>
      <c r="AE875" s="15"/>
      <c r="AF875" s="15"/>
    </row>
    <row r="876" ht="15.75" customHeight="1">
      <c r="A876" s="15"/>
      <c r="B876" s="15"/>
      <c r="C876" s="21"/>
      <c r="D876" s="15"/>
      <c r="E876" s="15"/>
      <c r="F876" s="15"/>
      <c r="G876" s="15"/>
      <c r="H876" s="15"/>
      <c r="I876" s="11"/>
      <c r="J876" s="11"/>
      <c r="K876" s="11"/>
      <c r="L876" s="11"/>
      <c r="M876" s="15"/>
      <c r="N876" s="15"/>
      <c r="O876" s="15"/>
      <c r="P876" s="15"/>
      <c r="Q876" s="15"/>
      <c r="R876" s="15"/>
      <c r="S876" s="15"/>
      <c r="T876" s="15"/>
      <c r="U876" s="15"/>
      <c r="V876" s="15"/>
      <c r="W876" s="15"/>
      <c r="X876" s="15"/>
      <c r="Y876" s="15"/>
      <c r="Z876" s="15"/>
      <c r="AA876" s="15"/>
      <c r="AB876" s="15"/>
      <c r="AC876" s="15"/>
      <c r="AD876" s="15"/>
      <c r="AE876" s="15"/>
      <c r="AF876" s="15"/>
    </row>
    <row r="877" ht="15.75" customHeight="1">
      <c r="A877" s="15"/>
      <c r="B877" s="15"/>
      <c r="C877" s="21"/>
      <c r="D877" s="15"/>
      <c r="E877" s="15"/>
      <c r="F877" s="15"/>
      <c r="G877" s="15"/>
      <c r="H877" s="15"/>
      <c r="I877" s="11"/>
      <c r="J877" s="11"/>
      <c r="K877" s="11"/>
      <c r="L877" s="11"/>
      <c r="M877" s="15"/>
      <c r="N877" s="15"/>
      <c r="O877" s="15"/>
      <c r="P877" s="15"/>
      <c r="Q877" s="15"/>
      <c r="R877" s="15"/>
      <c r="S877" s="15"/>
      <c r="T877" s="15"/>
      <c r="U877" s="15"/>
      <c r="V877" s="15"/>
      <c r="W877" s="15"/>
      <c r="X877" s="15"/>
      <c r="Y877" s="15"/>
      <c r="Z877" s="15"/>
      <c r="AA877" s="15"/>
      <c r="AB877" s="15"/>
      <c r="AC877" s="15"/>
      <c r="AD877" s="15"/>
      <c r="AE877" s="15"/>
      <c r="AF877" s="15"/>
    </row>
    <row r="878" ht="15.75" customHeight="1">
      <c r="A878" s="15"/>
      <c r="B878" s="15"/>
      <c r="C878" s="21"/>
      <c r="D878" s="15"/>
      <c r="E878" s="15"/>
      <c r="F878" s="15"/>
      <c r="G878" s="15"/>
      <c r="H878" s="15"/>
      <c r="I878" s="11"/>
      <c r="J878" s="11"/>
      <c r="K878" s="11"/>
      <c r="L878" s="11"/>
      <c r="M878" s="15"/>
      <c r="N878" s="15"/>
      <c r="O878" s="15"/>
      <c r="P878" s="15"/>
      <c r="Q878" s="15"/>
      <c r="R878" s="15"/>
      <c r="S878" s="15"/>
      <c r="T878" s="15"/>
      <c r="U878" s="15"/>
      <c r="V878" s="15"/>
      <c r="W878" s="15"/>
      <c r="X878" s="15"/>
      <c r="Y878" s="15"/>
      <c r="Z878" s="15"/>
      <c r="AA878" s="15"/>
      <c r="AB878" s="15"/>
      <c r="AC878" s="15"/>
      <c r="AD878" s="15"/>
      <c r="AE878" s="15"/>
      <c r="AF878" s="15"/>
    </row>
    <row r="879" ht="15.75" customHeight="1">
      <c r="A879" s="15"/>
      <c r="B879" s="15"/>
      <c r="C879" s="21"/>
      <c r="D879" s="15"/>
      <c r="E879" s="15"/>
      <c r="F879" s="15"/>
      <c r="G879" s="15"/>
      <c r="H879" s="15"/>
      <c r="I879" s="11"/>
      <c r="J879" s="11"/>
      <c r="K879" s="11"/>
      <c r="L879" s="11"/>
      <c r="M879" s="15"/>
      <c r="N879" s="15"/>
      <c r="O879" s="15"/>
      <c r="P879" s="15"/>
      <c r="Q879" s="15"/>
      <c r="R879" s="15"/>
      <c r="S879" s="15"/>
      <c r="T879" s="15"/>
      <c r="U879" s="15"/>
      <c r="V879" s="15"/>
      <c r="W879" s="15"/>
      <c r="X879" s="15"/>
      <c r="Y879" s="15"/>
      <c r="Z879" s="15"/>
      <c r="AA879" s="15"/>
      <c r="AB879" s="15"/>
      <c r="AC879" s="15"/>
      <c r="AD879" s="15"/>
      <c r="AE879" s="15"/>
      <c r="AF879" s="15"/>
    </row>
    <row r="880" ht="15.75" customHeight="1">
      <c r="A880" s="15"/>
      <c r="B880" s="15"/>
      <c r="C880" s="21"/>
      <c r="D880" s="15"/>
      <c r="E880" s="15"/>
      <c r="F880" s="15"/>
      <c r="G880" s="15"/>
      <c r="H880" s="15"/>
      <c r="I880" s="11"/>
      <c r="J880" s="11"/>
      <c r="K880" s="11"/>
      <c r="L880" s="11"/>
      <c r="M880" s="15"/>
      <c r="N880" s="15"/>
      <c r="O880" s="15"/>
      <c r="P880" s="15"/>
      <c r="Q880" s="15"/>
      <c r="R880" s="15"/>
      <c r="S880" s="15"/>
      <c r="T880" s="15"/>
      <c r="U880" s="15"/>
      <c r="V880" s="15"/>
      <c r="W880" s="15"/>
      <c r="X880" s="15"/>
      <c r="Y880" s="15"/>
      <c r="Z880" s="15"/>
      <c r="AA880" s="15"/>
      <c r="AB880" s="15"/>
      <c r="AC880" s="15"/>
      <c r="AD880" s="15"/>
      <c r="AE880" s="15"/>
      <c r="AF880" s="15"/>
    </row>
    <row r="881" ht="15.75" customHeight="1">
      <c r="A881" s="15"/>
      <c r="B881" s="15"/>
      <c r="C881" s="21"/>
      <c r="D881" s="15"/>
      <c r="E881" s="15"/>
      <c r="F881" s="15"/>
      <c r="G881" s="15"/>
      <c r="H881" s="15"/>
      <c r="I881" s="11"/>
      <c r="J881" s="11"/>
      <c r="K881" s="11"/>
      <c r="L881" s="11"/>
      <c r="M881" s="15"/>
      <c r="N881" s="15"/>
      <c r="O881" s="15"/>
      <c r="P881" s="15"/>
      <c r="Q881" s="15"/>
      <c r="R881" s="15"/>
      <c r="S881" s="15"/>
      <c r="T881" s="15"/>
      <c r="U881" s="15"/>
      <c r="V881" s="15"/>
      <c r="W881" s="15"/>
      <c r="X881" s="15"/>
      <c r="Y881" s="15"/>
      <c r="Z881" s="15"/>
      <c r="AA881" s="15"/>
      <c r="AB881" s="15"/>
      <c r="AC881" s="15"/>
      <c r="AD881" s="15"/>
      <c r="AE881" s="15"/>
      <c r="AF881" s="15"/>
    </row>
    <row r="882" ht="15.75" customHeight="1">
      <c r="A882" s="15"/>
      <c r="B882" s="15"/>
      <c r="C882" s="21"/>
      <c r="D882" s="15"/>
      <c r="E882" s="15"/>
      <c r="F882" s="15"/>
      <c r="G882" s="15"/>
      <c r="H882" s="15"/>
      <c r="I882" s="11"/>
      <c r="J882" s="11"/>
      <c r="K882" s="11"/>
      <c r="L882" s="11"/>
      <c r="M882" s="15"/>
      <c r="N882" s="15"/>
      <c r="O882" s="15"/>
      <c r="P882" s="15"/>
      <c r="Q882" s="15"/>
      <c r="R882" s="15"/>
      <c r="S882" s="15"/>
      <c r="T882" s="15"/>
      <c r="U882" s="15"/>
      <c r="V882" s="15"/>
      <c r="W882" s="15"/>
      <c r="X882" s="15"/>
      <c r="Y882" s="15"/>
      <c r="Z882" s="15"/>
      <c r="AA882" s="15"/>
      <c r="AB882" s="15"/>
      <c r="AC882" s="15"/>
      <c r="AD882" s="15"/>
      <c r="AE882" s="15"/>
      <c r="AF882" s="15"/>
    </row>
    <row r="883" ht="15.75" customHeight="1">
      <c r="A883" s="15"/>
      <c r="B883" s="15"/>
      <c r="C883" s="21"/>
      <c r="D883" s="15"/>
      <c r="E883" s="15"/>
      <c r="F883" s="15"/>
      <c r="G883" s="15"/>
      <c r="H883" s="15"/>
      <c r="I883" s="11"/>
      <c r="J883" s="11"/>
      <c r="K883" s="11"/>
      <c r="L883" s="11"/>
      <c r="M883" s="15"/>
      <c r="N883" s="15"/>
      <c r="O883" s="15"/>
      <c r="P883" s="15"/>
      <c r="Q883" s="15"/>
      <c r="R883" s="15"/>
      <c r="S883" s="15"/>
      <c r="T883" s="15"/>
      <c r="U883" s="15"/>
      <c r="V883" s="15"/>
      <c r="W883" s="15"/>
      <c r="X883" s="15"/>
      <c r="Y883" s="15"/>
      <c r="Z883" s="15"/>
      <c r="AA883" s="15"/>
      <c r="AB883" s="15"/>
      <c r="AC883" s="15"/>
      <c r="AD883" s="15"/>
      <c r="AE883" s="15"/>
      <c r="AF883" s="15"/>
    </row>
    <row r="884" ht="15.75" customHeight="1">
      <c r="A884" s="15"/>
      <c r="B884" s="15"/>
      <c r="C884" s="21"/>
      <c r="D884" s="15"/>
      <c r="E884" s="15"/>
      <c r="F884" s="15"/>
      <c r="G884" s="15"/>
      <c r="H884" s="15"/>
      <c r="I884" s="11"/>
      <c r="J884" s="11"/>
      <c r="K884" s="11"/>
      <c r="L884" s="11"/>
      <c r="M884" s="15"/>
      <c r="N884" s="15"/>
      <c r="O884" s="15"/>
      <c r="P884" s="15"/>
      <c r="Q884" s="15"/>
      <c r="R884" s="15"/>
      <c r="S884" s="15"/>
      <c r="T884" s="15"/>
      <c r="U884" s="15"/>
      <c r="V884" s="15"/>
      <c r="W884" s="15"/>
      <c r="X884" s="15"/>
      <c r="Y884" s="15"/>
      <c r="Z884" s="15"/>
      <c r="AA884" s="15"/>
      <c r="AB884" s="15"/>
      <c r="AC884" s="15"/>
      <c r="AD884" s="15"/>
      <c r="AE884" s="15"/>
      <c r="AF884" s="15"/>
    </row>
    <row r="885" ht="15.75" customHeight="1">
      <c r="A885" s="15"/>
      <c r="B885" s="15"/>
      <c r="C885" s="21"/>
      <c r="D885" s="15"/>
      <c r="E885" s="15"/>
      <c r="F885" s="15"/>
      <c r="G885" s="15"/>
      <c r="H885" s="15"/>
      <c r="I885" s="11"/>
      <c r="J885" s="11"/>
      <c r="K885" s="11"/>
      <c r="L885" s="11"/>
      <c r="M885" s="15"/>
      <c r="N885" s="15"/>
      <c r="O885" s="15"/>
      <c r="P885" s="15"/>
      <c r="Q885" s="15"/>
      <c r="R885" s="15"/>
      <c r="S885" s="15"/>
      <c r="T885" s="15"/>
      <c r="U885" s="15"/>
      <c r="V885" s="15"/>
      <c r="W885" s="15"/>
      <c r="X885" s="15"/>
      <c r="Y885" s="15"/>
      <c r="Z885" s="15"/>
      <c r="AA885" s="15"/>
      <c r="AB885" s="15"/>
      <c r="AC885" s="15"/>
      <c r="AD885" s="15"/>
      <c r="AE885" s="15"/>
      <c r="AF885" s="15"/>
    </row>
    <row r="886" ht="15.75" customHeight="1">
      <c r="A886" s="15"/>
      <c r="B886" s="15"/>
      <c r="C886" s="21"/>
      <c r="D886" s="15"/>
      <c r="E886" s="15"/>
      <c r="F886" s="15"/>
      <c r="G886" s="15"/>
      <c r="H886" s="15"/>
      <c r="I886" s="11"/>
      <c r="J886" s="11"/>
      <c r="K886" s="11"/>
      <c r="L886" s="11"/>
      <c r="M886" s="15"/>
      <c r="N886" s="15"/>
      <c r="O886" s="15"/>
      <c r="P886" s="15"/>
      <c r="Q886" s="15"/>
      <c r="R886" s="15"/>
      <c r="S886" s="15"/>
      <c r="T886" s="15"/>
      <c r="U886" s="15"/>
      <c r="V886" s="15"/>
      <c r="W886" s="15"/>
      <c r="X886" s="15"/>
      <c r="Y886" s="15"/>
      <c r="Z886" s="15"/>
      <c r="AA886" s="15"/>
      <c r="AB886" s="15"/>
      <c r="AC886" s="15"/>
      <c r="AD886" s="15"/>
      <c r="AE886" s="15"/>
      <c r="AF886" s="15"/>
    </row>
    <row r="887" ht="15.75" customHeight="1">
      <c r="A887" s="15"/>
      <c r="B887" s="15"/>
      <c r="C887" s="21"/>
      <c r="D887" s="15"/>
      <c r="E887" s="15"/>
      <c r="F887" s="15"/>
      <c r="G887" s="15"/>
      <c r="H887" s="15"/>
      <c r="I887" s="11"/>
      <c r="J887" s="11"/>
      <c r="K887" s="11"/>
      <c r="L887" s="11"/>
      <c r="M887" s="15"/>
      <c r="N887" s="15"/>
      <c r="O887" s="15"/>
      <c r="P887" s="15"/>
      <c r="Q887" s="15"/>
      <c r="R887" s="15"/>
      <c r="S887" s="15"/>
      <c r="T887" s="15"/>
      <c r="U887" s="15"/>
      <c r="V887" s="15"/>
      <c r="W887" s="15"/>
      <c r="X887" s="15"/>
      <c r="Y887" s="15"/>
      <c r="Z887" s="15"/>
      <c r="AA887" s="15"/>
      <c r="AB887" s="15"/>
      <c r="AC887" s="15"/>
      <c r="AD887" s="15"/>
      <c r="AE887" s="15"/>
      <c r="AF887" s="15"/>
    </row>
    <row r="888" ht="15.75" customHeight="1">
      <c r="A888" s="15"/>
      <c r="B888" s="15"/>
      <c r="C888" s="21"/>
      <c r="D888" s="15"/>
      <c r="E888" s="15"/>
      <c r="F888" s="15"/>
      <c r="G888" s="15"/>
      <c r="H888" s="15"/>
      <c r="I888" s="11"/>
      <c r="J888" s="11"/>
      <c r="K888" s="11"/>
      <c r="L888" s="11"/>
      <c r="M888" s="15"/>
      <c r="N888" s="15"/>
      <c r="O888" s="15"/>
      <c r="P888" s="15"/>
      <c r="Q888" s="15"/>
      <c r="R888" s="15"/>
      <c r="S888" s="15"/>
      <c r="T888" s="15"/>
      <c r="U888" s="15"/>
      <c r="V888" s="15"/>
      <c r="W888" s="15"/>
      <c r="X888" s="15"/>
      <c r="Y888" s="15"/>
      <c r="Z888" s="15"/>
      <c r="AA888" s="15"/>
      <c r="AB888" s="15"/>
      <c r="AC888" s="15"/>
      <c r="AD888" s="15"/>
      <c r="AE888" s="15"/>
      <c r="AF888" s="15"/>
    </row>
    <row r="889" ht="15.75" customHeight="1">
      <c r="A889" s="15"/>
      <c r="B889" s="15"/>
      <c r="C889" s="21"/>
      <c r="D889" s="15"/>
      <c r="E889" s="15"/>
      <c r="F889" s="15"/>
      <c r="G889" s="15"/>
      <c r="H889" s="15"/>
      <c r="I889" s="11"/>
      <c r="J889" s="11"/>
      <c r="K889" s="11"/>
      <c r="L889" s="11"/>
      <c r="M889" s="15"/>
      <c r="N889" s="15"/>
      <c r="O889" s="15"/>
      <c r="P889" s="15"/>
      <c r="Q889" s="15"/>
      <c r="R889" s="15"/>
      <c r="S889" s="15"/>
      <c r="T889" s="15"/>
      <c r="U889" s="15"/>
      <c r="V889" s="15"/>
      <c r="W889" s="15"/>
      <c r="X889" s="15"/>
      <c r="Y889" s="15"/>
      <c r="Z889" s="15"/>
      <c r="AA889" s="15"/>
      <c r="AB889" s="15"/>
      <c r="AC889" s="15"/>
      <c r="AD889" s="15"/>
      <c r="AE889" s="15"/>
      <c r="AF889" s="15"/>
    </row>
    <row r="890" ht="15.75" customHeight="1">
      <c r="A890" s="15"/>
      <c r="B890" s="15"/>
      <c r="C890" s="21"/>
      <c r="D890" s="15"/>
      <c r="E890" s="15"/>
      <c r="F890" s="15"/>
      <c r="G890" s="15"/>
      <c r="H890" s="15"/>
      <c r="I890" s="11"/>
      <c r="J890" s="11"/>
      <c r="K890" s="11"/>
      <c r="L890" s="11"/>
      <c r="M890" s="15"/>
      <c r="N890" s="15"/>
      <c r="O890" s="15"/>
      <c r="P890" s="15"/>
      <c r="Q890" s="15"/>
      <c r="R890" s="15"/>
      <c r="S890" s="15"/>
      <c r="T890" s="15"/>
      <c r="U890" s="15"/>
      <c r="V890" s="15"/>
      <c r="W890" s="15"/>
      <c r="X890" s="15"/>
      <c r="Y890" s="15"/>
      <c r="Z890" s="15"/>
      <c r="AA890" s="15"/>
      <c r="AB890" s="15"/>
      <c r="AC890" s="15"/>
      <c r="AD890" s="15"/>
      <c r="AE890" s="15"/>
      <c r="AF890" s="15"/>
    </row>
    <row r="891" ht="15.75" customHeight="1">
      <c r="A891" s="15"/>
      <c r="B891" s="15"/>
      <c r="C891" s="21"/>
      <c r="D891" s="15"/>
      <c r="E891" s="15"/>
      <c r="F891" s="15"/>
      <c r="G891" s="15"/>
      <c r="H891" s="15"/>
      <c r="I891" s="11"/>
      <c r="J891" s="11"/>
      <c r="K891" s="11"/>
      <c r="L891" s="11"/>
      <c r="M891" s="15"/>
      <c r="N891" s="15"/>
      <c r="O891" s="15"/>
      <c r="P891" s="15"/>
      <c r="Q891" s="15"/>
      <c r="R891" s="15"/>
      <c r="S891" s="15"/>
      <c r="T891" s="15"/>
      <c r="U891" s="15"/>
      <c r="V891" s="15"/>
      <c r="W891" s="15"/>
      <c r="X891" s="15"/>
      <c r="Y891" s="15"/>
      <c r="Z891" s="15"/>
      <c r="AA891" s="15"/>
      <c r="AB891" s="15"/>
      <c r="AC891" s="15"/>
      <c r="AD891" s="15"/>
      <c r="AE891" s="15"/>
      <c r="AF891" s="15"/>
    </row>
    <row r="892" ht="15.75" customHeight="1">
      <c r="A892" s="15"/>
      <c r="B892" s="15"/>
      <c r="C892" s="21"/>
      <c r="D892" s="15"/>
      <c r="E892" s="15"/>
      <c r="F892" s="15"/>
      <c r="G892" s="15"/>
      <c r="H892" s="15"/>
      <c r="I892" s="11"/>
      <c r="J892" s="11"/>
      <c r="K892" s="11"/>
      <c r="L892" s="11"/>
      <c r="M892" s="15"/>
      <c r="N892" s="15"/>
      <c r="O892" s="15"/>
      <c r="P892" s="15"/>
      <c r="Q892" s="15"/>
      <c r="R892" s="15"/>
      <c r="S892" s="15"/>
      <c r="T892" s="15"/>
      <c r="U892" s="15"/>
      <c r="V892" s="15"/>
      <c r="W892" s="15"/>
      <c r="X892" s="15"/>
      <c r="Y892" s="15"/>
      <c r="Z892" s="15"/>
      <c r="AA892" s="15"/>
      <c r="AB892" s="15"/>
      <c r="AC892" s="15"/>
      <c r="AD892" s="15"/>
      <c r="AE892" s="15"/>
      <c r="AF892" s="15"/>
    </row>
    <row r="893" ht="15.75" customHeight="1">
      <c r="A893" s="15"/>
      <c r="B893" s="15"/>
      <c r="C893" s="21"/>
      <c r="D893" s="15"/>
      <c r="E893" s="15"/>
      <c r="F893" s="15"/>
      <c r="G893" s="15"/>
      <c r="H893" s="15"/>
      <c r="I893" s="11"/>
      <c r="J893" s="11"/>
      <c r="K893" s="11"/>
      <c r="L893" s="11"/>
      <c r="M893" s="15"/>
      <c r="N893" s="15"/>
      <c r="O893" s="15"/>
      <c r="P893" s="15"/>
      <c r="Q893" s="15"/>
      <c r="R893" s="15"/>
      <c r="S893" s="15"/>
      <c r="T893" s="15"/>
      <c r="U893" s="15"/>
      <c r="V893" s="15"/>
      <c r="W893" s="15"/>
      <c r="X893" s="15"/>
      <c r="Y893" s="15"/>
      <c r="Z893" s="15"/>
      <c r="AA893" s="15"/>
      <c r="AB893" s="15"/>
      <c r="AC893" s="15"/>
      <c r="AD893" s="15"/>
      <c r="AE893" s="15"/>
      <c r="AF893" s="15"/>
    </row>
    <row r="894" ht="15.75" customHeight="1">
      <c r="A894" s="15"/>
      <c r="B894" s="15"/>
      <c r="C894" s="21"/>
      <c r="D894" s="15"/>
      <c r="E894" s="15"/>
      <c r="F894" s="15"/>
      <c r="G894" s="15"/>
      <c r="H894" s="15"/>
      <c r="I894" s="11"/>
      <c r="J894" s="11"/>
      <c r="K894" s="11"/>
      <c r="L894" s="11"/>
      <c r="M894" s="15"/>
      <c r="N894" s="15"/>
      <c r="O894" s="15"/>
      <c r="P894" s="15"/>
      <c r="Q894" s="15"/>
      <c r="R894" s="15"/>
      <c r="S894" s="15"/>
      <c r="T894" s="15"/>
      <c r="U894" s="15"/>
      <c r="V894" s="15"/>
      <c r="W894" s="15"/>
      <c r="X894" s="15"/>
      <c r="Y894" s="15"/>
      <c r="Z894" s="15"/>
      <c r="AA894" s="15"/>
      <c r="AB894" s="15"/>
      <c r="AC894" s="15"/>
      <c r="AD894" s="15"/>
      <c r="AE894" s="15"/>
      <c r="AF894" s="15"/>
    </row>
    <row r="895" ht="15.75" customHeight="1">
      <c r="A895" s="15"/>
      <c r="B895" s="15"/>
      <c r="C895" s="21"/>
      <c r="D895" s="15"/>
      <c r="E895" s="15"/>
      <c r="F895" s="15"/>
      <c r="G895" s="15"/>
      <c r="H895" s="15"/>
      <c r="I895" s="11"/>
      <c r="J895" s="11"/>
      <c r="K895" s="11"/>
      <c r="L895" s="11"/>
      <c r="M895" s="15"/>
      <c r="N895" s="15"/>
      <c r="O895" s="15"/>
      <c r="P895" s="15"/>
      <c r="Q895" s="15"/>
      <c r="R895" s="15"/>
      <c r="S895" s="15"/>
      <c r="T895" s="15"/>
      <c r="U895" s="15"/>
      <c r="V895" s="15"/>
      <c r="W895" s="15"/>
      <c r="X895" s="15"/>
      <c r="Y895" s="15"/>
      <c r="Z895" s="15"/>
      <c r="AA895" s="15"/>
      <c r="AB895" s="15"/>
      <c r="AC895" s="15"/>
      <c r="AD895" s="15"/>
      <c r="AE895" s="15"/>
      <c r="AF895" s="15"/>
    </row>
    <row r="896" ht="15.75" customHeight="1">
      <c r="A896" s="15"/>
      <c r="B896" s="15"/>
      <c r="C896" s="21"/>
      <c r="D896" s="15"/>
      <c r="E896" s="15"/>
      <c r="F896" s="15"/>
      <c r="G896" s="15"/>
      <c r="H896" s="15"/>
      <c r="I896" s="11"/>
      <c r="J896" s="11"/>
      <c r="K896" s="11"/>
      <c r="L896" s="11"/>
      <c r="M896" s="15"/>
      <c r="N896" s="15"/>
      <c r="O896" s="15"/>
      <c r="P896" s="15"/>
      <c r="Q896" s="15"/>
      <c r="R896" s="15"/>
      <c r="S896" s="15"/>
      <c r="T896" s="15"/>
      <c r="U896" s="15"/>
      <c r="V896" s="15"/>
      <c r="W896" s="15"/>
      <c r="X896" s="15"/>
      <c r="Y896" s="15"/>
      <c r="Z896" s="15"/>
      <c r="AA896" s="15"/>
      <c r="AB896" s="15"/>
      <c r="AC896" s="15"/>
      <c r="AD896" s="15"/>
      <c r="AE896" s="15"/>
      <c r="AF896" s="15"/>
    </row>
    <row r="897" ht="15.75" customHeight="1">
      <c r="A897" s="15"/>
      <c r="B897" s="15"/>
      <c r="C897" s="21"/>
      <c r="D897" s="15"/>
      <c r="E897" s="15"/>
      <c r="F897" s="15"/>
      <c r="G897" s="15"/>
      <c r="H897" s="15"/>
      <c r="I897" s="11"/>
      <c r="J897" s="11"/>
      <c r="K897" s="11"/>
      <c r="L897" s="11"/>
      <c r="M897" s="15"/>
      <c r="N897" s="15"/>
      <c r="O897" s="15"/>
      <c r="P897" s="15"/>
      <c r="Q897" s="15"/>
      <c r="R897" s="15"/>
      <c r="S897" s="15"/>
      <c r="T897" s="15"/>
      <c r="U897" s="15"/>
      <c r="V897" s="15"/>
      <c r="W897" s="15"/>
      <c r="X897" s="15"/>
      <c r="Y897" s="15"/>
      <c r="Z897" s="15"/>
      <c r="AA897" s="15"/>
      <c r="AB897" s="15"/>
      <c r="AC897" s="15"/>
      <c r="AD897" s="15"/>
      <c r="AE897" s="15"/>
      <c r="AF897" s="15"/>
    </row>
    <row r="898" ht="15.75" customHeight="1">
      <c r="A898" s="15"/>
      <c r="B898" s="15"/>
      <c r="C898" s="21"/>
      <c r="D898" s="15"/>
      <c r="E898" s="15"/>
      <c r="F898" s="15"/>
      <c r="G898" s="15"/>
      <c r="H898" s="15"/>
      <c r="I898" s="11"/>
      <c r="J898" s="11"/>
      <c r="K898" s="11"/>
      <c r="L898" s="11"/>
      <c r="M898" s="15"/>
      <c r="N898" s="15"/>
      <c r="O898" s="15"/>
      <c r="P898" s="15"/>
      <c r="Q898" s="15"/>
      <c r="R898" s="15"/>
      <c r="S898" s="15"/>
      <c r="T898" s="15"/>
      <c r="U898" s="15"/>
      <c r="V898" s="15"/>
      <c r="W898" s="15"/>
      <c r="X898" s="15"/>
      <c r="Y898" s="15"/>
      <c r="Z898" s="15"/>
      <c r="AA898" s="15"/>
      <c r="AB898" s="15"/>
      <c r="AC898" s="15"/>
      <c r="AD898" s="15"/>
      <c r="AE898" s="15"/>
      <c r="AF898" s="15"/>
    </row>
    <row r="899" ht="15.75" customHeight="1">
      <c r="A899" s="15"/>
      <c r="B899" s="15"/>
      <c r="C899" s="21"/>
      <c r="D899" s="15"/>
      <c r="E899" s="15"/>
      <c r="F899" s="15"/>
      <c r="G899" s="15"/>
      <c r="H899" s="15"/>
      <c r="I899" s="11"/>
      <c r="J899" s="11"/>
      <c r="K899" s="11"/>
      <c r="L899" s="11"/>
      <c r="M899" s="15"/>
      <c r="N899" s="15"/>
      <c r="O899" s="15"/>
      <c r="P899" s="15"/>
      <c r="Q899" s="15"/>
      <c r="R899" s="15"/>
      <c r="S899" s="15"/>
      <c r="T899" s="15"/>
      <c r="U899" s="15"/>
      <c r="V899" s="15"/>
      <c r="W899" s="15"/>
      <c r="X899" s="15"/>
      <c r="Y899" s="15"/>
      <c r="Z899" s="15"/>
      <c r="AA899" s="15"/>
      <c r="AB899" s="15"/>
      <c r="AC899" s="15"/>
      <c r="AD899" s="15"/>
      <c r="AE899" s="15"/>
      <c r="AF899" s="15"/>
    </row>
    <row r="900" ht="15.75" customHeight="1">
      <c r="A900" s="15"/>
      <c r="B900" s="15"/>
      <c r="C900" s="21"/>
      <c r="D900" s="15"/>
      <c r="E900" s="15"/>
      <c r="F900" s="15"/>
      <c r="G900" s="15"/>
      <c r="H900" s="15"/>
      <c r="I900" s="11"/>
      <c r="J900" s="11"/>
      <c r="K900" s="11"/>
      <c r="L900" s="11"/>
      <c r="M900" s="15"/>
      <c r="N900" s="15"/>
      <c r="O900" s="15"/>
      <c r="P900" s="15"/>
      <c r="Q900" s="15"/>
      <c r="R900" s="15"/>
      <c r="S900" s="15"/>
      <c r="T900" s="15"/>
      <c r="U900" s="15"/>
      <c r="V900" s="15"/>
      <c r="W900" s="15"/>
      <c r="X900" s="15"/>
      <c r="Y900" s="15"/>
      <c r="Z900" s="15"/>
      <c r="AA900" s="15"/>
      <c r="AB900" s="15"/>
      <c r="AC900" s="15"/>
      <c r="AD900" s="15"/>
      <c r="AE900" s="15"/>
      <c r="AF900" s="15"/>
    </row>
    <row r="901" ht="15.75" customHeight="1">
      <c r="A901" s="15"/>
      <c r="B901" s="15"/>
      <c r="C901" s="21"/>
      <c r="D901" s="15"/>
      <c r="E901" s="15"/>
      <c r="F901" s="15"/>
      <c r="G901" s="15"/>
      <c r="H901" s="15"/>
      <c r="I901" s="11"/>
      <c r="J901" s="11"/>
      <c r="K901" s="11"/>
      <c r="L901" s="11"/>
      <c r="M901" s="15"/>
      <c r="N901" s="15"/>
      <c r="O901" s="15"/>
      <c r="P901" s="15"/>
      <c r="Q901" s="15"/>
      <c r="R901" s="15"/>
      <c r="S901" s="15"/>
      <c r="T901" s="15"/>
      <c r="U901" s="15"/>
      <c r="V901" s="15"/>
      <c r="W901" s="15"/>
      <c r="X901" s="15"/>
      <c r="Y901" s="15"/>
      <c r="Z901" s="15"/>
      <c r="AA901" s="15"/>
      <c r="AB901" s="15"/>
      <c r="AC901" s="15"/>
      <c r="AD901" s="15"/>
      <c r="AE901" s="15"/>
      <c r="AF901" s="15"/>
    </row>
    <row r="902" ht="15.75" customHeight="1">
      <c r="A902" s="15"/>
      <c r="B902" s="15"/>
      <c r="C902" s="21"/>
      <c r="D902" s="15"/>
      <c r="E902" s="15"/>
      <c r="F902" s="15"/>
      <c r="G902" s="15"/>
      <c r="H902" s="15"/>
      <c r="I902" s="11"/>
      <c r="J902" s="11"/>
      <c r="K902" s="11"/>
      <c r="L902" s="11"/>
      <c r="M902" s="15"/>
      <c r="N902" s="15"/>
      <c r="O902" s="15"/>
      <c r="P902" s="15"/>
      <c r="Q902" s="15"/>
      <c r="R902" s="15"/>
      <c r="S902" s="15"/>
      <c r="T902" s="15"/>
      <c r="U902" s="15"/>
      <c r="V902" s="15"/>
      <c r="W902" s="15"/>
      <c r="X902" s="15"/>
      <c r="Y902" s="15"/>
      <c r="Z902" s="15"/>
      <c r="AA902" s="15"/>
      <c r="AB902" s="15"/>
      <c r="AC902" s="15"/>
      <c r="AD902" s="15"/>
      <c r="AE902" s="15"/>
      <c r="AF902" s="15"/>
    </row>
    <row r="903" ht="15.75" customHeight="1">
      <c r="A903" s="15"/>
      <c r="B903" s="15"/>
      <c r="C903" s="21"/>
      <c r="D903" s="15"/>
      <c r="E903" s="15"/>
      <c r="F903" s="15"/>
      <c r="G903" s="15"/>
      <c r="H903" s="15"/>
      <c r="I903" s="11"/>
      <c r="J903" s="11"/>
      <c r="K903" s="11"/>
      <c r="L903" s="11"/>
      <c r="M903" s="15"/>
      <c r="N903" s="15"/>
      <c r="O903" s="15"/>
      <c r="P903" s="15"/>
      <c r="Q903" s="15"/>
      <c r="R903" s="15"/>
      <c r="S903" s="15"/>
      <c r="T903" s="15"/>
      <c r="U903" s="15"/>
      <c r="V903" s="15"/>
      <c r="W903" s="15"/>
      <c r="X903" s="15"/>
      <c r="Y903" s="15"/>
      <c r="Z903" s="15"/>
      <c r="AA903" s="15"/>
      <c r="AB903" s="15"/>
      <c r="AC903" s="15"/>
      <c r="AD903" s="15"/>
      <c r="AE903" s="15"/>
      <c r="AF903" s="15"/>
    </row>
    <row r="904" ht="15.75" customHeight="1">
      <c r="A904" s="15"/>
      <c r="B904" s="15"/>
      <c r="C904" s="21"/>
      <c r="D904" s="15"/>
      <c r="E904" s="15"/>
      <c r="F904" s="15"/>
      <c r="G904" s="15"/>
      <c r="H904" s="15"/>
      <c r="I904" s="11"/>
      <c r="J904" s="11"/>
      <c r="K904" s="11"/>
      <c r="L904" s="11"/>
      <c r="M904" s="15"/>
      <c r="N904" s="15"/>
      <c r="O904" s="15"/>
      <c r="P904" s="15"/>
      <c r="Q904" s="15"/>
      <c r="R904" s="15"/>
      <c r="S904" s="15"/>
      <c r="T904" s="15"/>
      <c r="U904" s="15"/>
      <c r="V904" s="15"/>
      <c r="W904" s="15"/>
      <c r="X904" s="15"/>
      <c r="Y904" s="15"/>
      <c r="Z904" s="15"/>
      <c r="AA904" s="15"/>
      <c r="AB904" s="15"/>
      <c r="AC904" s="15"/>
      <c r="AD904" s="15"/>
      <c r="AE904" s="15"/>
      <c r="AF904" s="15"/>
    </row>
    <row r="905" ht="15.75" customHeight="1">
      <c r="A905" s="15"/>
      <c r="B905" s="15"/>
      <c r="C905" s="21"/>
      <c r="D905" s="15"/>
      <c r="E905" s="15"/>
      <c r="F905" s="15"/>
      <c r="G905" s="15"/>
      <c r="H905" s="15"/>
      <c r="I905" s="11"/>
      <c r="J905" s="11"/>
      <c r="K905" s="11"/>
      <c r="L905" s="11"/>
      <c r="M905" s="15"/>
      <c r="N905" s="15"/>
      <c r="O905" s="15"/>
      <c r="P905" s="15"/>
      <c r="Q905" s="15"/>
      <c r="R905" s="15"/>
      <c r="S905" s="15"/>
      <c r="T905" s="15"/>
      <c r="U905" s="15"/>
      <c r="V905" s="15"/>
      <c r="W905" s="15"/>
      <c r="X905" s="15"/>
      <c r="Y905" s="15"/>
      <c r="Z905" s="15"/>
      <c r="AA905" s="15"/>
      <c r="AB905" s="15"/>
      <c r="AC905" s="15"/>
      <c r="AD905" s="15"/>
      <c r="AE905" s="15"/>
      <c r="AF905" s="15"/>
    </row>
    <row r="906" ht="15.75" customHeight="1">
      <c r="A906" s="15"/>
      <c r="B906" s="15"/>
      <c r="C906" s="21"/>
      <c r="D906" s="15"/>
      <c r="E906" s="15"/>
      <c r="F906" s="15"/>
      <c r="G906" s="15"/>
      <c r="H906" s="15"/>
      <c r="I906" s="11"/>
      <c r="J906" s="11"/>
      <c r="K906" s="11"/>
      <c r="L906" s="11"/>
      <c r="M906" s="15"/>
      <c r="N906" s="15"/>
      <c r="O906" s="15"/>
      <c r="P906" s="15"/>
      <c r="Q906" s="15"/>
      <c r="R906" s="15"/>
      <c r="S906" s="15"/>
      <c r="T906" s="15"/>
      <c r="U906" s="15"/>
      <c r="V906" s="15"/>
      <c r="W906" s="15"/>
      <c r="X906" s="15"/>
      <c r="Y906" s="15"/>
      <c r="Z906" s="15"/>
      <c r="AA906" s="15"/>
      <c r="AB906" s="15"/>
      <c r="AC906" s="15"/>
      <c r="AD906" s="15"/>
      <c r="AE906" s="15"/>
      <c r="AF906" s="15"/>
    </row>
    <row r="907" ht="15.75" customHeight="1">
      <c r="A907" s="15"/>
      <c r="B907" s="15"/>
      <c r="C907" s="21"/>
      <c r="D907" s="15"/>
      <c r="E907" s="15"/>
      <c r="F907" s="15"/>
      <c r="G907" s="15"/>
      <c r="H907" s="15"/>
      <c r="I907" s="11"/>
      <c r="J907" s="11"/>
      <c r="K907" s="11"/>
      <c r="L907" s="11"/>
      <c r="M907" s="15"/>
      <c r="N907" s="15"/>
      <c r="O907" s="15"/>
      <c r="P907" s="15"/>
      <c r="Q907" s="15"/>
      <c r="R907" s="15"/>
      <c r="S907" s="15"/>
      <c r="T907" s="15"/>
      <c r="U907" s="15"/>
      <c r="V907" s="15"/>
      <c r="W907" s="15"/>
      <c r="X907" s="15"/>
      <c r="Y907" s="15"/>
      <c r="Z907" s="15"/>
      <c r="AA907" s="15"/>
      <c r="AB907" s="15"/>
      <c r="AC907" s="15"/>
      <c r="AD907" s="15"/>
      <c r="AE907" s="15"/>
      <c r="AF907" s="15"/>
    </row>
    <row r="908" ht="15.75" customHeight="1">
      <c r="A908" s="15"/>
      <c r="B908" s="15"/>
      <c r="C908" s="21"/>
      <c r="D908" s="15"/>
      <c r="E908" s="15"/>
      <c r="F908" s="15"/>
      <c r="G908" s="15"/>
      <c r="H908" s="15"/>
      <c r="I908" s="11"/>
      <c r="J908" s="11"/>
      <c r="K908" s="11"/>
      <c r="L908" s="11"/>
      <c r="M908" s="15"/>
      <c r="N908" s="15"/>
      <c r="O908" s="15"/>
      <c r="P908" s="15"/>
      <c r="Q908" s="15"/>
      <c r="R908" s="15"/>
      <c r="S908" s="15"/>
      <c r="T908" s="15"/>
      <c r="U908" s="15"/>
      <c r="V908" s="15"/>
      <c r="W908" s="15"/>
      <c r="X908" s="15"/>
      <c r="Y908" s="15"/>
      <c r="Z908" s="15"/>
      <c r="AA908" s="15"/>
      <c r="AB908" s="15"/>
      <c r="AC908" s="15"/>
      <c r="AD908" s="15"/>
      <c r="AE908" s="15"/>
      <c r="AF908" s="15"/>
    </row>
    <row r="909" ht="15.75" customHeight="1">
      <c r="A909" s="15"/>
      <c r="B909" s="15"/>
      <c r="C909" s="21"/>
      <c r="D909" s="15"/>
      <c r="E909" s="15"/>
      <c r="F909" s="15"/>
      <c r="G909" s="15"/>
      <c r="H909" s="15"/>
      <c r="I909" s="11"/>
      <c r="J909" s="11"/>
      <c r="K909" s="11"/>
      <c r="L909" s="11"/>
      <c r="M909" s="15"/>
      <c r="N909" s="15"/>
      <c r="O909" s="15"/>
      <c r="P909" s="15"/>
      <c r="Q909" s="15"/>
      <c r="R909" s="15"/>
      <c r="S909" s="15"/>
      <c r="T909" s="15"/>
      <c r="U909" s="15"/>
      <c r="V909" s="15"/>
      <c r="W909" s="15"/>
      <c r="X909" s="15"/>
      <c r="Y909" s="15"/>
      <c r="Z909" s="15"/>
      <c r="AA909" s="15"/>
      <c r="AB909" s="15"/>
      <c r="AC909" s="15"/>
      <c r="AD909" s="15"/>
      <c r="AE909" s="15"/>
      <c r="AF909" s="15"/>
    </row>
    <row r="910" ht="15.75" customHeight="1">
      <c r="A910" s="15"/>
      <c r="B910" s="15"/>
      <c r="C910" s="21"/>
      <c r="D910" s="15"/>
      <c r="E910" s="15"/>
      <c r="F910" s="15"/>
      <c r="G910" s="15"/>
      <c r="H910" s="15"/>
      <c r="I910" s="11"/>
      <c r="J910" s="11"/>
      <c r="K910" s="11"/>
      <c r="L910" s="11"/>
      <c r="M910" s="15"/>
      <c r="N910" s="15"/>
      <c r="O910" s="15"/>
      <c r="P910" s="15"/>
      <c r="Q910" s="15"/>
      <c r="R910" s="15"/>
      <c r="S910" s="15"/>
      <c r="T910" s="15"/>
      <c r="U910" s="15"/>
      <c r="V910" s="15"/>
      <c r="W910" s="15"/>
      <c r="X910" s="15"/>
      <c r="Y910" s="15"/>
      <c r="Z910" s="15"/>
      <c r="AA910" s="15"/>
      <c r="AB910" s="15"/>
      <c r="AC910" s="15"/>
      <c r="AD910" s="15"/>
      <c r="AE910" s="15"/>
      <c r="AF910" s="15"/>
    </row>
    <row r="911" ht="15.75" customHeight="1">
      <c r="A911" s="15"/>
      <c r="B911" s="15"/>
      <c r="C911" s="21"/>
      <c r="D911" s="15"/>
      <c r="E911" s="15"/>
      <c r="F911" s="15"/>
      <c r="G911" s="15"/>
      <c r="H911" s="15"/>
      <c r="I911" s="11"/>
      <c r="J911" s="11"/>
      <c r="K911" s="11"/>
      <c r="L911" s="11"/>
      <c r="M911" s="15"/>
      <c r="N911" s="15"/>
      <c r="O911" s="15"/>
      <c r="P911" s="15"/>
      <c r="Q911" s="15"/>
      <c r="R911" s="15"/>
      <c r="S911" s="15"/>
      <c r="T911" s="15"/>
      <c r="U911" s="15"/>
      <c r="V911" s="15"/>
      <c r="W911" s="15"/>
      <c r="X911" s="15"/>
      <c r="Y911" s="15"/>
      <c r="Z911" s="15"/>
      <c r="AA911" s="15"/>
      <c r="AB911" s="15"/>
      <c r="AC911" s="15"/>
      <c r="AD911" s="15"/>
      <c r="AE911" s="15"/>
      <c r="AF911" s="15"/>
    </row>
    <row r="912" ht="15.75" customHeight="1">
      <c r="A912" s="15"/>
      <c r="B912" s="15"/>
      <c r="C912" s="21"/>
      <c r="D912" s="15"/>
      <c r="E912" s="15"/>
      <c r="F912" s="15"/>
      <c r="G912" s="15"/>
      <c r="H912" s="15"/>
      <c r="I912" s="11"/>
      <c r="J912" s="11"/>
      <c r="K912" s="11"/>
      <c r="L912" s="11"/>
      <c r="M912" s="15"/>
      <c r="N912" s="15"/>
      <c r="O912" s="15"/>
      <c r="P912" s="15"/>
      <c r="Q912" s="15"/>
      <c r="R912" s="15"/>
      <c r="S912" s="15"/>
      <c r="T912" s="15"/>
      <c r="U912" s="15"/>
      <c r="V912" s="15"/>
      <c r="W912" s="15"/>
      <c r="X912" s="15"/>
      <c r="Y912" s="15"/>
      <c r="Z912" s="15"/>
      <c r="AA912" s="15"/>
      <c r="AB912" s="15"/>
      <c r="AC912" s="15"/>
      <c r="AD912" s="15"/>
      <c r="AE912" s="15"/>
      <c r="AF912" s="15"/>
    </row>
    <row r="913" ht="15.75" customHeight="1">
      <c r="A913" s="15"/>
      <c r="B913" s="15"/>
      <c r="C913" s="21"/>
      <c r="D913" s="15"/>
      <c r="E913" s="15"/>
      <c r="F913" s="15"/>
      <c r="G913" s="15"/>
      <c r="H913" s="15"/>
      <c r="I913" s="11"/>
      <c r="J913" s="11"/>
      <c r="K913" s="11"/>
      <c r="L913" s="11"/>
      <c r="M913" s="15"/>
      <c r="N913" s="15"/>
      <c r="O913" s="15"/>
      <c r="P913" s="15"/>
      <c r="Q913" s="15"/>
      <c r="R913" s="15"/>
      <c r="S913" s="15"/>
      <c r="T913" s="15"/>
      <c r="U913" s="15"/>
      <c r="V913" s="15"/>
      <c r="W913" s="15"/>
      <c r="X913" s="15"/>
      <c r="Y913" s="15"/>
      <c r="Z913" s="15"/>
      <c r="AA913" s="15"/>
      <c r="AB913" s="15"/>
      <c r="AC913" s="15"/>
      <c r="AD913" s="15"/>
      <c r="AE913" s="15"/>
      <c r="AF913" s="15"/>
    </row>
    <row r="914" ht="15.75" customHeight="1">
      <c r="A914" s="15"/>
      <c r="B914" s="15"/>
      <c r="C914" s="21"/>
      <c r="D914" s="15"/>
      <c r="E914" s="15"/>
      <c r="F914" s="15"/>
      <c r="G914" s="15"/>
      <c r="H914" s="15"/>
      <c r="I914" s="11"/>
      <c r="J914" s="11"/>
      <c r="K914" s="11"/>
      <c r="L914" s="11"/>
      <c r="M914" s="15"/>
      <c r="N914" s="15"/>
      <c r="O914" s="15"/>
      <c r="P914" s="15"/>
      <c r="Q914" s="15"/>
      <c r="R914" s="15"/>
      <c r="S914" s="15"/>
      <c r="T914" s="15"/>
      <c r="U914" s="15"/>
      <c r="V914" s="15"/>
      <c r="W914" s="15"/>
      <c r="X914" s="15"/>
      <c r="Y914" s="15"/>
      <c r="Z914" s="15"/>
      <c r="AA914" s="15"/>
      <c r="AB914" s="15"/>
      <c r="AC914" s="15"/>
      <c r="AD914" s="15"/>
      <c r="AE914" s="15"/>
      <c r="AF914" s="15"/>
    </row>
    <row r="915" ht="15.75" customHeight="1">
      <c r="A915" s="15"/>
      <c r="B915" s="15"/>
      <c r="C915" s="21"/>
      <c r="D915" s="15"/>
      <c r="E915" s="15"/>
      <c r="F915" s="15"/>
      <c r="G915" s="15"/>
      <c r="H915" s="15"/>
      <c r="I915" s="11"/>
      <c r="J915" s="11"/>
      <c r="K915" s="11"/>
      <c r="L915" s="11"/>
      <c r="M915" s="15"/>
      <c r="N915" s="15"/>
      <c r="O915" s="15"/>
      <c r="P915" s="15"/>
      <c r="Q915" s="15"/>
      <c r="R915" s="15"/>
      <c r="S915" s="15"/>
      <c r="T915" s="15"/>
      <c r="U915" s="15"/>
      <c r="V915" s="15"/>
      <c r="W915" s="15"/>
      <c r="X915" s="15"/>
      <c r="Y915" s="15"/>
      <c r="Z915" s="15"/>
      <c r="AA915" s="15"/>
      <c r="AB915" s="15"/>
      <c r="AC915" s="15"/>
      <c r="AD915" s="15"/>
      <c r="AE915" s="15"/>
      <c r="AF915" s="15"/>
    </row>
    <row r="916" ht="15.75" customHeight="1">
      <c r="A916" s="15"/>
      <c r="B916" s="15"/>
      <c r="C916" s="21"/>
      <c r="D916" s="15"/>
      <c r="E916" s="15"/>
      <c r="F916" s="15"/>
      <c r="G916" s="15"/>
      <c r="H916" s="15"/>
      <c r="I916" s="11"/>
      <c r="J916" s="11"/>
      <c r="K916" s="11"/>
      <c r="L916" s="11"/>
      <c r="M916" s="15"/>
      <c r="N916" s="15"/>
      <c r="O916" s="15"/>
      <c r="P916" s="15"/>
      <c r="Q916" s="15"/>
      <c r="R916" s="15"/>
      <c r="S916" s="15"/>
      <c r="T916" s="15"/>
      <c r="U916" s="15"/>
      <c r="V916" s="15"/>
      <c r="W916" s="15"/>
      <c r="X916" s="15"/>
      <c r="Y916" s="15"/>
      <c r="Z916" s="15"/>
      <c r="AA916" s="15"/>
      <c r="AB916" s="15"/>
      <c r="AC916" s="15"/>
      <c r="AD916" s="15"/>
      <c r="AE916" s="15"/>
      <c r="AF916" s="15"/>
    </row>
    <row r="917" ht="15.75" customHeight="1">
      <c r="A917" s="15"/>
      <c r="B917" s="15"/>
      <c r="C917" s="21"/>
      <c r="D917" s="15"/>
      <c r="E917" s="15"/>
      <c r="F917" s="15"/>
      <c r="G917" s="15"/>
      <c r="H917" s="15"/>
      <c r="I917" s="11"/>
      <c r="J917" s="11"/>
      <c r="K917" s="11"/>
      <c r="L917" s="11"/>
      <c r="M917" s="15"/>
      <c r="N917" s="15"/>
      <c r="O917" s="15"/>
      <c r="P917" s="15"/>
      <c r="Q917" s="15"/>
      <c r="R917" s="15"/>
      <c r="S917" s="15"/>
      <c r="T917" s="15"/>
      <c r="U917" s="15"/>
      <c r="V917" s="15"/>
      <c r="W917" s="15"/>
      <c r="X917" s="15"/>
      <c r="Y917" s="15"/>
      <c r="Z917" s="15"/>
      <c r="AA917" s="15"/>
      <c r="AB917" s="15"/>
      <c r="AC917" s="15"/>
      <c r="AD917" s="15"/>
      <c r="AE917" s="15"/>
      <c r="AF917" s="15"/>
    </row>
    <row r="918" ht="15.75" customHeight="1">
      <c r="A918" s="15"/>
      <c r="B918" s="15"/>
      <c r="C918" s="21"/>
      <c r="D918" s="15"/>
      <c r="E918" s="15"/>
      <c r="F918" s="15"/>
      <c r="G918" s="15"/>
      <c r="H918" s="15"/>
      <c r="I918" s="11"/>
      <c r="J918" s="11"/>
      <c r="K918" s="11"/>
      <c r="L918" s="11"/>
      <c r="M918" s="15"/>
      <c r="N918" s="15"/>
      <c r="O918" s="15"/>
      <c r="P918" s="15"/>
      <c r="Q918" s="15"/>
      <c r="R918" s="15"/>
      <c r="S918" s="15"/>
      <c r="T918" s="15"/>
      <c r="U918" s="15"/>
      <c r="V918" s="15"/>
      <c r="W918" s="15"/>
      <c r="X918" s="15"/>
      <c r="Y918" s="15"/>
      <c r="Z918" s="15"/>
      <c r="AA918" s="15"/>
      <c r="AB918" s="15"/>
      <c r="AC918" s="15"/>
      <c r="AD918" s="15"/>
      <c r="AE918" s="15"/>
      <c r="AF918" s="15"/>
    </row>
    <row r="919" ht="15.75" customHeight="1">
      <c r="A919" s="15"/>
      <c r="B919" s="15"/>
      <c r="C919" s="21"/>
      <c r="D919" s="15"/>
      <c r="E919" s="15"/>
      <c r="F919" s="15"/>
      <c r="G919" s="15"/>
      <c r="H919" s="15"/>
      <c r="I919" s="11"/>
      <c r="J919" s="11"/>
      <c r="K919" s="11"/>
      <c r="L919" s="11"/>
      <c r="M919" s="15"/>
      <c r="N919" s="15"/>
      <c r="O919" s="15"/>
      <c r="P919" s="15"/>
      <c r="Q919" s="15"/>
      <c r="R919" s="15"/>
      <c r="S919" s="15"/>
      <c r="T919" s="15"/>
      <c r="U919" s="15"/>
      <c r="V919" s="15"/>
      <c r="W919" s="15"/>
      <c r="X919" s="15"/>
      <c r="Y919" s="15"/>
      <c r="Z919" s="15"/>
      <c r="AA919" s="15"/>
      <c r="AB919" s="15"/>
      <c r="AC919" s="15"/>
      <c r="AD919" s="15"/>
      <c r="AE919" s="15"/>
      <c r="AF919" s="15"/>
    </row>
    <row r="920" ht="15.75" customHeight="1">
      <c r="A920" s="15"/>
      <c r="B920" s="15"/>
      <c r="C920" s="21"/>
      <c r="D920" s="15"/>
      <c r="E920" s="15"/>
      <c r="F920" s="15"/>
      <c r="G920" s="15"/>
      <c r="H920" s="15"/>
      <c r="I920" s="11"/>
      <c r="J920" s="11"/>
      <c r="K920" s="11"/>
      <c r="L920" s="11"/>
      <c r="M920" s="15"/>
      <c r="N920" s="15"/>
      <c r="O920" s="15"/>
      <c r="P920" s="15"/>
      <c r="Q920" s="15"/>
      <c r="R920" s="15"/>
      <c r="S920" s="15"/>
      <c r="T920" s="15"/>
      <c r="U920" s="15"/>
      <c r="V920" s="15"/>
      <c r="W920" s="15"/>
      <c r="X920" s="15"/>
      <c r="Y920" s="15"/>
      <c r="Z920" s="15"/>
      <c r="AA920" s="15"/>
      <c r="AB920" s="15"/>
      <c r="AC920" s="15"/>
      <c r="AD920" s="15"/>
      <c r="AE920" s="15"/>
      <c r="AF920" s="15"/>
    </row>
    <row r="921" ht="15.75" customHeight="1">
      <c r="A921" s="15"/>
      <c r="B921" s="15"/>
      <c r="C921" s="21"/>
      <c r="D921" s="15"/>
      <c r="E921" s="15"/>
      <c r="F921" s="15"/>
      <c r="G921" s="15"/>
      <c r="H921" s="15"/>
      <c r="I921" s="11"/>
      <c r="J921" s="11"/>
      <c r="K921" s="11"/>
      <c r="L921" s="11"/>
      <c r="M921" s="15"/>
      <c r="N921" s="15"/>
      <c r="O921" s="15"/>
      <c r="P921" s="15"/>
      <c r="Q921" s="15"/>
      <c r="R921" s="15"/>
      <c r="S921" s="15"/>
      <c r="T921" s="15"/>
      <c r="U921" s="15"/>
      <c r="V921" s="15"/>
      <c r="W921" s="15"/>
      <c r="X921" s="15"/>
      <c r="Y921" s="15"/>
      <c r="Z921" s="15"/>
      <c r="AA921" s="15"/>
      <c r="AB921" s="15"/>
      <c r="AC921" s="15"/>
      <c r="AD921" s="15"/>
      <c r="AE921" s="15"/>
      <c r="AF921" s="15"/>
    </row>
    <row r="922" ht="15.75" customHeight="1">
      <c r="A922" s="15"/>
      <c r="B922" s="15"/>
      <c r="C922" s="21"/>
      <c r="D922" s="15"/>
      <c r="E922" s="15"/>
      <c r="F922" s="15"/>
      <c r="G922" s="15"/>
      <c r="H922" s="15"/>
      <c r="I922" s="11"/>
      <c r="J922" s="11"/>
      <c r="K922" s="11"/>
      <c r="L922" s="11"/>
      <c r="M922" s="15"/>
      <c r="N922" s="15"/>
      <c r="O922" s="15"/>
      <c r="P922" s="15"/>
      <c r="Q922" s="15"/>
      <c r="R922" s="15"/>
      <c r="S922" s="15"/>
      <c r="T922" s="15"/>
      <c r="U922" s="15"/>
      <c r="V922" s="15"/>
      <c r="W922" s="15"/>
      <c r="X922" s="15"/>
      <c r="Y922" s="15"/>
      <c r="Z922" s="15"/>
      <c r="AA922" s="15"/>
      <c r="AB922" s="15"/>
      <c r="AC922" s="15"/>
      <c r="AD922" s="15"/>
      <c r="AE922" s="15"/>
      <c r="AF922" s="15"/>
    </row>
    <row r="923" ht="15.75" customHeight="1">
      <c r="A923" s="15"/>
      <c r="B923" s="15"/>
      <c r="C923" s="21"/>
      <c r="D923" s="15"/>
      <c r="E923" s="15"/>
      <c r="F923" s="15"/>
      <c r="G923" s="15"/>
      <c r="H923" s="15"/>
      <c r="I923" s="11"/>
      <c r="J923" s="11"/>
      <c r="K923" s="11"/>
      <c r="L923" s="11"/>
      <c r="M923" s="15"/>
      <c r="N923" s="15"/>
      <c r="O923" s="15"/>
      <c r="P923" s="15"/>
      <c r="Q923" s="15"/>
      <c r="R923" s="15"/>
      <c r="S923" s="15"/>
      <c r="T923" s="15"/>
      <c r="U923" s="15"/>
      <c r="V923" s="15"/>
      <c r="W923" s="15"/>
      <c r="X923" s="15"/>
      <c r="Y923" s="15"/>
      <c r="Z923" s="15"/>
      <c r="AA923" s="15"/>
      <c r="AB923" s="15"/>
      <c r="AC923" s="15"/>
      <c r="AD923" s="15"/>
      <c r="AE923" s="15"/>
      <c r="AF923" s="15"/>
    </row>
    <row r="924" ht="15.75" customHeight="1">
      <c r="A924" s="15"/>
      <c r="B924" s="15"/>
      <c r="C924" s="21"/>
      <c r="D924" s="15"/>
      <c r="E924" s="15"/>
      <c r="F924" s="15"/>
      <c r="G924" s="15"/>
      <c r="H924" s="15"/>
      <c r="I924" s="11"/>
      <c r="J924" s="11"/>
      <c r="K924" s="11"/>
      <c r="L924" s="11"/>
      <c r="M924" s="15"/>
      <c r="N924" s="15"/>
      <c r="O924" s="15"/>
      <c r="P924" s="15"/>
      <c r="Q924" s="15"/>
      <c r="R924" s="15"/>
      <c r="S924" s="15"/>
      <c r="T924" s="15"/>
      <c r="U924" s="15"/>
      <c r="V924" s="15"/>
      <c r="W924" s="15"/>
      <c r="X924" s="15"/>
      <c r="Y924" s="15"/>
      <c r="Z924" s="15"/>
      <c r="AA924" s="15"/>
      <c r="AB924" s="15"/>
      <c r="AC924" s="15"/>
      <c r="AD924" s="15"/>
      <c r="AE924" s="15"/>
      <c r="AF924" s="15"/>
    </row>
    <row r="925" ht="15.75" customHeight="1">
      <c r="A925" s="15"/>
      <c r="B925" s="15"/>
      <c r="C925" s="21"/>
      <c r="D925" s="15"/>
      <c r="E925" s="15"/>
      <c r="F925" s="15"/>
      <c r="G925" s="15"/>
      <c r="H925" s="15"/>
      <c r="I925" s="11"/>
      <c r="J925" s="11"/>
      <c r="K925" s="11"/>
      <c r="L925" s="11"/>
      <c r="M925" s="15"/>
      <c r="N925" s="15"/>
      <c r="O925" s="15"/>
      <c r="P925" s="15"/>
      <c r="Q925" s="15"/>
      <c r="R925" s="15"/>
      <c r="S925" s="15"/>
      <c r="T925" s="15"/>
      <c r="U925" s="15"/>
      <c r="V925" s="15"/>
      <c r="W925" s="15"/>
      <c r="X925" s="15"/>
      <c r="Y925" s="15"/>
      <c r="Z925" s="15"/>
      <c r="AA925" s="15"/>
      <c r="AB925" s="15"/>
      <c r="AC925" s="15"/>
      <c r="AD925" s="15"/>
      <c r="AE925" s="15"/>
      <c r="AF925" s="15"/>
    </row>
    <row r="926" ht="15.75" customHeight="1">
      <c r="A926" s="15"/>
      <c r="B926" s="15"/>
      <c r="C926" s="21"/>
      <c r="D926" s="15"/>
      <c r="E926" s="15"/>
      <c r="F926" s="15"/>
      <c r="G926" s="15"/>
      <c r="H926" s="15"/>
      <c r="I926" s="11"/>
      <c r="J926" s="11"/>
      <c r="K926" s="11"/>
      <c r="L926" s="11"/>
      <c r="M926" s="15"/>
      <c r="N926" s="15"/>
      <c r="O926" s="15"/>
      <c r="P926" s="15"/>
      <c r="Q926" s="15"/>
      <c r="R926" s="15"/>
      <c r="S926" s="15"/>
      <c r="T926" s="15"/>
      <c r="U926" s="15"/>
      <c r="V926" s="15"/>
      <c r="W926" s="15"/>
      <c r="X926" s="15"/>
      <c r="Y926" s="15"/>
      <c r="Z926" s="15"/>
      <c r="AA926" s="15"/>
      <c r="AB926" s="15"/>
      <c r="AC926" s="15"/>
      <c r="AD926" s="15"/>
      <c r="AE926" s="15"/>
      <c r="AF926" s="15"/>
    </row>
    <row r="927" ht="15.75" customHeight="1">
      <c r="A927" s="15"/>
      <c r="B927" s="15"/>
      <c r="C927" s="21"/>
      <c r="D927" s="15"/>
      <c r="E927" s="15"/>
      <c r="F927" s="15"/>
      <c r="G927" s="15"/>
      <c r="H927" s="15"/>
      <c r="I927" s="11"/>
      <c r="J927" s="11"/>
      <c r="K927" s="11"/>
      <c r="L927" s="11"/>
      <c r="M927" s="15"/>
      <c r="N927" s="15"/>
      <c r="O927" s="15"/>
      <c r="P927" s="15"/>
      <c r="Q927" s="15"/>
      <c r="R927" s="15"/>
      <c r="S927" s="15"/>
      <c r="T927" s="15"/>
      <c r="U927" s="15"/>
      <c r="V927" s="15"/>
      <c r="W927" s="15"/>
      <c r="X927" s="15"/>
      <c r="Y927" s="15"/>
      <c r="Z927" s="15"/>
      <c r="AA927" s="15"/>
      <c r="AB927" s="15"/>
      <c r="AC927" s="15"/>
      <c r="AD927" s="15"/>
      <c r="AE927" s="15"/>
      <c r="AF927" s="15"/>
    </row>
    <row r="928" ht="15.75" customHeight="1">
      <c r="A928" s="15"/>
      <c r="B928" s="15"/>
      <c r="C928" s="21"/>
      <c r="D928" s="15"/>
      <c r="E928" s="15"/>
      <c r="F928" s="15"/>
      <c r="G928" s="15"/>
      <c r="H928" s="15"/>
      <c r="I928" s="11"/>
      <c r="J928" s="11"/>
      <c r="K928" s="11"/>
      <c r="L928" s="11"/>
      <c r="M928" s="15"/>
      <c r="N928" s="15"/>
      <c r="O928" s="15"/>
      <c r="P928" s="15"/>
      <c r="Q928" s="15"/>
      <c r="R928" s="15"/>
      <c r="S928" s="15"/>
      <c r="T928" s="15"/>
      <c r="U928" s="15"/>
      <c r="V928" s="15"/>
      <c r="W928" s="15"/>
      <c r="X928" s="15"/>
      <c r="Y928" s="15"/>
      <c r="Z928" s="15"/>
      <c r="AA928" s="15"/>
      <c r="AB928" s="15"/>
      <c r="AC928" s="15"/>
      <c r="AD928" s="15"/>
      <c r="AE928" s="15"/>
      <c r="AF928" s="15"/>
    </row>
    <row r="929" ht="15.75" customHeight="1">
      <c r="A929" s="15"/>
      <c r="B929" s="15"/>
      <c r="C929" s="21"/>
      <c r="D929" s="15"/>
      <c r="E929" s="15"/>
      <c r="F929" s="15"/>
      <c r="G929" s="15"/>
      <c r="H929" s="15"/>
      <c r="I929" s="11"/>
      <c r="J929" s="11"/>
      <c r="K929" s="11"/>
      <c r="L929" s="11"/>
      <c r="M929" s="15"/>
      <c r="N929" s="15"/>
      <c r="O929" s="15"/>
      <c r="P929" s="15"/>
      <c r="Q929" s="15"/>
      <c r="R929" s="15"/>
      <c r="S929" s="15"/>
      <c r="T929" s="15"/>
      <c r="U929" s="15"/>
      <c r="V929" s="15"/>
      <c r="W929" s="15"/>
      <c r="X929" s="15"/>
      <c r="Y929" s="15"/>
      <c r="Z929" s="15"/>
      <c r="AA929" s="15"/>
      <c r="AB929" s="15"/>
      <c r="AC929" s="15"/>
      <c r="AD929" s="15"/>
      <c r="AE929" s="15"/>
      <c r="AF929" s="15"/>
    </row>
    <row r="930" ht="15.75" customHeight="1">
      <c r="A930" s="15"/>
      <c r="B930" s="15"/>
      <c r="C930" s="21"/>
      <c r="D930" s="15"/>
      <c r="E930" s="15"/>
      <c r="F930" s="15"/>
      <c r="G930" s="15"/>
      <c r="H930" s="15"/>
      <c r="I930" s="11"/>
      <c r="J930" s="11"/>
      <c r="K930" s="11"/>
      <c r="L930" s="11"/>
      <c r="M930" s="15"/>
      <c r="N930" s="15"/>
      <c r="O930" s="15"/>
      <c r="P930" s="15"/>
      <c r="Q930" s="15"/>
      <c r="R930" s="15"/>
      <c r="S930" s="15"/>
      <c r="T930" s="15"/>
      <c r="U930" s="15"/>
      <c r="V930" s="15"/>
      <c r="W930" s="15"/>
      <c r="X930" s="15"/>
      <c r="Y930" s="15"/>
      <c r="Z930" s="15"/>
      <c r="AA930" s="15"/>
      <c r="AB930" s="15"/>
      <c r="AC930" s="15"/>
      <c r="AD930" s="15"/>
      <c r="AE930" s="15"/>
      <c r="AF930" s="15"/>
    </row>
    <row r="931" ht="15.75" customHeight="1">
      <c r="A931" s="15"/>
      <c r="B931" s="15"/>
      <c r="C931" s="21"/>
      <c r="D931" s="15"/>
      <c r="E931" s="15"/>
      <c r="F931" s="15"/>
      <c r="G931" s="15"/>
      <c r="H931" s="15"/>
      <c r="I931" s="11"/>
      <c r="J931" s="11"/>
      <c r="K931" s="11"/>
      <c r="L931" s="11"/>
      <c r="M931" s="15"/>
      <c r="N931" s="15"/>
      <c r="O931" s="15"/>
      <c r="P931" s="15"/>
      <c r="Q931" s="15"/>
      <c r="R931" s="15"/>
      <c r="S931" s="15"/>
      <c r="T931" s="15"/>
      <c r="U931" s="15"/>
      <c r="V931" s="15"/>
      <c r="W931" s="15"/>
      <c r="X931" s="15"/>
      <c r="Y931" s="15"/>
      <c r="Z931" s="15"/>
      <c r="AA931" s="15"/>
      <c r="AB931" s="15"/>
      <c r="AC931" s="15"/>
      <c r="AD931" s="15"/>
      <c r="AE931" s="15"/>
      <c r="AF931" s="15"/>
    </row>
    <row r="932" ht="15.75" customHeight="1">
      <c r="A932" s="15"/>
      <c r="B932" s="15"/>
      <c r="C932" s="21"/>
      <c r="D932" s="15"/>
      <c r="E932" s="15"/>
      <c r="F932" s="15"/>
      <c r="G932" s="15"/>
      <c r="H932" s="15"/>
      <c r="I932" s="11"/>
      <c r="J932" s="11"/>
      <c r="K932" s="11"/>
      <c r="L932" s="11"/>
      <c r="M932" s="15"/>
      <c r="N932" s="15"/>
      <c r="O932" s="15"/>
      <c r="P932" s="15"/>
      <c r="Q932" s="15"/>
      <c r="R932" s="15"/>
      <c r="S932" s="15"/>
      <c r="T932" s="15"/>
      <c r="U932" s="15"/>
      <c r="V932" s="15"/>
      <c r="W932" s="15"/>
      <c r="X932" s="15"/>
      <c r="Y932" s="15"/>
      <c r="Z932" s="15"/>
      <c r="AA932" s="15"/>
      <c r="AB932" s="15"/>
      <c r="AC932" s="15"/>
      <c r="AD932" s="15"/>
      <c r="AE932" s="15"/>
      <c r="AF932" s="15"/>
    </row>
    <row r="933" ht="15.75" customHeight="1">
      <c r="A933" s="15"/>
      <c r="B933" s="15"/>
      <c r="C933" s="21"/>
      <c r="D933" s="15"/>
      <c r="E933" s="15"/>
      <c r="F933" s="15"/>
      <c r="G933" s="15"/>
      <c r="H933" s="15"/>
      <c r="I933" s="11"/>
      <c r="J933" s="11"/>
      <c r="K933" s="11"/>
      <c r="L933" s="11"/>
      <c r="M933" s="15"/>
      <c r="N933" s="15"/>
      <c r="O933" s="15"/>
      <c r="P933" s="15"/>
      <c r="Q933" s="15"/>
      <c r="R933" s="15"/>
      <c r="S933" s="15"/>
      <c r="T933" s="15"/>
      <c r="U933" s="15"/>
      <c r="V933" s="15"/>
      <c r="W933" s="15"/>
      <c r="X933" s="15"/>
      <c r="Y933" s="15"/>
      <c r="Z933" s="15"/>
      <c r="AA933" s="15"/>
      <c r="AB933" s="15"/>
      <c r="AC933" s="15"/>
      <c r="AD933" s="15"/>
      <c r="AE933" s="15"/>
      <c r="AF933" s="15"/>
    </row>
    <row r="934" ht="15.75" customHeight="1">
      <c r="A934" s="15"/>
      <c r="B934" s="15"/>
      <c r="C934" s="21"/>
      <c r="D934" s="15"/>
      <c r="E934" s="15"/>
      <c r="F934" s="15"/>
      <c r="G934" s="15"/>
      <c r="H934" s="15"/>
      <c r="I934" s="11"/>
      <c r="J934" s="11"/>
      <c r="K934" s="11"/>
      <c r="L934" s="11"/>
      <c r="M934" s="15"/>
      <c r="N934" s="15"/>
      <c r="O934" s="15"/>
      <c r="P934" s="15"/>
      <c r="Q934" s="15"/>
      <c r="R934" s="15"/>
      <c r="S934" s="15"/>
      <c r="T934" s="15"/>
      <c r="U934" s="15"/>
      <c r="V934" s="15"/>
      <c r="W934" s="15"/>
      <c r="X934" s="15"/>
      <c r="Y934" s="15"/>
      <c r="Z934" s="15"/>
      <c r="AA934" s="15"/>
      <c r="AB934" s="15"/>
      <c r="AC934" s="15"/>
      <c r="AD934" s="15"/>
      <c r="AE934" s="15"/>
      <c r="AF934" s="15"/>
    </row>
    <row r="935" ht="15.75" customHeight="1">
      <c r="A935" s="15"/>
      <c r="B935" s="15"/>
      <c r="C935" s="21"/>
      <c r="D935" s="15"/>
      <c r="E935" s="15"/>
      <c r="F935" s="15"/>
      <c r="G935" s="15"/>
      <c r="H935" s="15"/>
      <c r="I935" s="11"/>
      <c r="J935" s="11"/>
      <c r="K935" s="11"/>
      <c r="L935" s="11"/>
      <c r="M935" s="15"/>
      <c r="N935" s="15"/>
      <c r="O935" s="15"/>
      <c r="P935" s="15"/>
      <c r="Q935" s="15"/>
      <c r="R935" s="15"/>
      <c r="S935" s="15"/>
      <c r="T935" s="15"/>
      <c r="U935" s="15"/>
      <c r="V935" s="15"/>
      <c r="W935" s="15"/>
      <c r="X935" s="15"/>
      <c r="Y935" s="15"/>
      <c r="Z935" s="15"/>
      <c r="AA935" s="15"/>
      <c r="AB935" s="15"/>
      <c r="AC935" s="15"/>
      <c r="AD935" s="15"/>
      <c r="AE935" s="15"/>
      <c r="AF935" s="15"/>
    </row>
    <row r="936" ht="15.75" customHeight="1">
      <c r="A936" s="15"/>
      <c r="B936" s="15"/>
      <c r="C936" s="21"/>
      <c r="D936" s="15"/>
      <c r="E936" s="15"/>
      <c r="F936" s="15"/>
      <c r="G936" s="15"/>
      <c r="H936" s="15"/>
      <c r="I936" s="11"/>
      <c r="J936" s="11"/>
      <c r="K936" s="11"/>
      <c r="L936" s="11"/>
      <c r="M936" s="15"/>
      <c r="N936" s="15"/>
      <c r="O936" s="15"/>
      <c r="P936" s="15"/>
      <c r="Q936" s="15"/>
      <c r="R936" s="15"/>
      <c r="S936" s="15"/>
      <c r="T936" s="15"/>
      <c r="U936" s="15"/>
      <c r="V936" s="15"/>
      <c r="W936" s="15"/>
      <c r="X936" s="15"/>
      <c r="Y936" s="15"/>
      <c r="Z936" s="15"/>
      <c r="AA936" s="15"/>
      <c r="AB936" s="15"/>
      <c r="AC936" s="15"/>
      <c r="AD936" s="15"/>
      <c r="AE936" s="15"/>
      <c r="AF936" s="15"/>
    </row>
    <row r="937" ht="15.75" customHeight="1">
      <c r="A937" s="15"/>
      <c r="B937" s="15"/>
      <c r="C937" s="21"/>
      <c r="D937" s="15"/>
      <c r="E937" s="15"/>
      <c r="F937" s="15"/>
      <c r="G937" s="15"/>
      <c r="H937" s="15"/>
      <c r="I937" s="11"/>
      <c r="J937" s="11"/>
      <c r="K937" s="11"/>
      <c r="L937" s="11"/>
      <c r="M937" s="15"/>
      <c r="N937" s="15"/>
      <c r="O937" s="15"/>
      <c r="P937" s="15"/>
      <c r="Q937" s="15"/>
      <c r="R937" s="15"/>
      <c r="S937" s="15"/>
      <c r="T937" s="15"/>
      <c r="U937" s="15"/>
      <c r="V937" s="15"/>
      <c r="W937" s="15"/>
      <c r="X937" s="15"/>
      <c r="Y937" s="15"/>
      <c r="Z937" s="15"/>
      <c r="AA937" s="15"/>
      <c r="AB937" s="15"/>
      <c r="AC937" s="15"/>
      <c r="AD937" s="15"/>
      <c r="AE937" s="15"/>
      <c r="AF937" s="15"/>
    </row>
    <row r="938" ht="15.75" customHeight="1">
      <c r="A938" s="15"/>
      <c r="B938" s="15"/>
      <c r="C938" s="21"/>
      <c r="D938" s="15"/>
      <c r="E938" s="15"/>
      <c r="F938" s="15"/>
      <c r="G938" s="15"/>
      <c r="H938" s="15"/>
      <c r="I938" s="11"/>
      <c r="J938" s="11"/>
      <c r="K938" s="11"/>
      <c r="L938" s="11"/>
      <c r="M938" s="15"/>
      <c r="N938" s="15"/>
      <c r="O938" s="15"/>
      <c r="P938" s="15"/>
      <c r="Q938" s="15"/>
      <c r="R938" s="15"/>
      <c r="S938" s="15"/>
      <c r="T938" s="15"/>
      <c r="U938" s="15"/>
      <c r="V938" s="15"/>
      <c r="W938" s="15"/>
      <c r="X938" s="15"/>
      <c r="Y938" s="15"/>
      <c r="Z938" s="15"/>
      <c r="AA938" s="15"/>
      <c r="AB938" s="15"/>
      <c r="AC938" s="15"/>
      <c r="AD938" s="15"/>
      <c r="AE938" s="15"/>
      <c r="AF938" s="15"/>
    </row>
    <row r="939" ht="15.75" customHeight="1">
      <c r="A939" s="15"/>
      <c r="B939" s="15"/>
      <c r="C939" s="21"/>
      <c r="D939" s="15"/>
      <c r="E939" s="15"/>
      <c r="F939" s="15"/>
      <c r="G939" s="15"/>
      <c r="H939" s="15"/>
      <c r="I939" s="11"/>
      <c r="J939" s="11"/>
      <c r="K939" s="11"/>
      <c r="L939" s="11"/>
      <c r="M939" s="15"/>
      <c r="N939" s="15"/>
      <c r="O939" s="15"/>
      <c r="P939" s="15"/>
      <c r="Q939" s="15"/>
      <c r="R939" s="15"/>
      <c r="S939" s="15"/>
      <c r="T939" s="15"/>
      <c r="U939" s="15"/>
      <c r="V939" s="15"/>
      <c r="W939" s="15"/>
      <c r="X939" s="15"/>
      <c r="Y939" s="15"/>
      <c r="Z939" s="15"/>
      <c r="AA939" s="15"/>
      <c r="AB939" s="15"/>
      <c r="AC939" s="15"/>
      <c r="AD939" s="15"/>
      <c r="AE939" s="15"/>
      <c r="AF939" s="15"/>
    </row>
    <row r="940" ht="15.75" customHeight="1">
      <c r="A940" s="15"/>
      <c r="B940" s="15"/>
      <c r="C940" s="21"/>
      <c r="D940" s="15"/>
      <c r="E940" s="15"/>
      <c r="F940" s="15"/>
      <c r="G940" s="15"/>
      <c r="H940" s="15"/>
      <c r="I940" s="11"/>
      <c r="J940" s="11"/>
      <c r="K940" s="11"/>
      <c r="L940" s="11"/>
      <c r="M940" s="15"/>
      <c r="N940" s="15"/>
      <c r="O940" s="15"/>
      <c r="P940" s="15"/>
      <c r="Q940" s="15"/>
      <c r="R940" s="15"/>
      <c r="S940" s="15"/>
      <c r="T940" s="15"/>
      <c r="U940" s="15"/>
      <c r="V940" s="15"/>
      <c r="W940" s="15"/>
      <c r="X940" s="15"/>
      <c r="Y940" s="15"/>
      <c r="Z940" s="15"/>
      <c r="AA940" s="15"/>
      <c r="AB940" s="15"/>
      <c r="AC940" s="15"/>
      <c r="AD940" s="15"/>
      <c r="AE940" s="15"/>
      <c r="AF940" s="15"/>
    </row>
    <row r="941" ht="15.75" customHeight="1">
      <c r="A941" s="15"/>
      <c r="B941" s="15"/>
      <c r="C941" s="21"/>
      <c r="D941" s="15"/>
      <c r="E941" s="15"/>
      <c r="F941" s="15"/>
      <c r="G941" s="15"/>
      <c r="H941" s="15"/>
      <c r="I941" s="11"/>
      <c r="J941" s="11"/>
      <c r="K941" s="11"/>
      <c r="L941" s="11"/>
      <c r="M941" s="15"/>
      <c r="N941" s="15"/>
      <c r="O941" s="15"/>
      <c r="P941" s="15"/>
      <c r="Q941" s="15"/>
      <c r="R941" s="15"/>
      <c r="S941" s="15"/>
      <c r="T941" s="15"/>
      <c r="U941" s="15"/>
      <c r="V941" s="15"/>
      <c r="W941" s="15"/>
      <c r="X941" s="15"/>
      <c r="Y941" s="15"/>
      <c r="Z941" s="15"/>
      <c r="AA941" s="15"/>
      <c r="AB941" s="15"/>
      <c r="AC941" s="15"/>
      <c r="AD941" s="15"/>
      <c r="AE941" s="15"/>
      <c r="AF941" s="15"/>
    </row>
    <row r="942" ht="15.75" customHeight="1">
      <c r="A942" s="15"/>
      <c r="B942" s="15"/>
      <c r="C942" s="21"/>
      <c r="D942" s="15"/>
      <c r="E942" s="15"/>
      <c r="F942" s="15"/>
      <c r="G942" s="15"/>
      <c r="H942" s="15"/>
      <c r="I942" s="11"/>
      <c r="J942" s="11"/>
      <c r="K942" s="11"/>
      <c r="L942" s="11"/>
      <c r="M942" s="15"/>
      <c r="N942" s="15"/>
      <c r="O942" s="15"/>
      <c r="P942" s="15"/>
      <c r="Q942" s="15"/>
      <c r="R942" s="15"/>
      <c r="S942" s="15"/>
      <c r="T942" s="15"/>
      <c r="U942" s="15"/>
      <c r="V942" s="15"/>
      <c r="W942" s="15"/>
      <c r="X942" s="15"/>
      <c r="Y942" s="15"/>
      <c r="Z942" s="15"/>
      <c r="AA942" s="15"/>
      <c r="AB942" s="15"/>
      <c r="AC942" s="15"/>
      <c r="AD942" s="15"/>
      <c r="AE942" s="15"/>
      <c r="AF942" s="15"/>
    </row>
    <row r="943" ht="15.75" customHeight="1">
      <c r="A943" s="15"/>
      <c r="B943" s="15"/>
      <c r="C943" s="21"/>
      <c r="D943" s="15"/>
      <c r="E943" s="15"/>
      <c r="F943" s="15"/>
      <c r="G943" s="15"/>
      <c r="H943" s="15"/>
      <c r="I943" s="11"/>
      <c r="J943" s="11"/>
      <c r="K943" s="11"/>
      <c r="L943" s="11"/>
      <c r="M943" s="15"/>
      <c r="N943" s="15"/>
      <c r="O943" s="15"/>
      <c r="P943" s="15"/>
      <c r="Q943" s="15"/>
      <c r="R943" s="15"/>
      <c r="S943" s="15"/>
      <c r="T943" s="15"/>
      <c r="U943" s="15"/>
      <c r="V943" s="15"/>
      <c r="W943" s="15"/>
      <c r="X943" s="15"/>
      <c r="Y943" s="15"/>
      <c r="Z943" s="15"/>
      <c r="AA943" s="15"/>
      <c r="AB943" s="15"/>
      <c r="AC943" s="15"/>
      <c r="AD943" s="15"/>
      <c r="AE943" s="15"/>
      <c r="AF943" s="15"/>
    </row>
    <row r="944" ht="15.75" customHeight="1">
      <c r="A944" s="15"/>
      <c r="B944" s="15"/>
      <c r="C944" s="21"/>
      <c r="D944" s="15"/>
      <c r="E944" s="15"/>
      <c r="F944" s="15"/>
      <c r="G944" s="15"/>
      <c r="H944" s="15"/>
      <c r="I944" s="11"/>
      <c r="J944" s="11"/>
      <c r="K944" s="11"/>
      <c r="L944" s="11"/>
      <c r="M944" s="15"/>
      <c r="N944" s="15"/>
      <c r="O944" s="15"/>
      <c r="P944" s="15"/>
      <c r="Q944" s="15"/>
      <c r="R944" s="15"/>
      <c r="S944" s="15"/>
      <c r="T944" s="15"/>
      <c r="U944" s="15"/>
      <c r="V944" s="15"/>
      <c r="W944" s="15"/>
      <c r="X944" s="15"/>
      <c r="Y944" s="15"/>
      <c r="Z944" s="15"/>
      <c r="AA944" s="15"/>
      <c r="AB944" s="15"/>
      <c r="AC944" s="15"/>
      <c r="AD944" s="15"/>
      <c r="AE944" s="15"/>
      <c r="AF944" s="15"/>
    </row>
    <row r="945" ht="15.75" customHeight="1">
      <c r="A945" s="15"/>
      <c r="B945" s="15"/>
      <c r="C945" s="21"/>
      <c r="D945" s="15"/>
      <c r="E945" s="15"/>
      <c r="F945" s="15"/>
      <c r="G945" s="15"/>
      <c r="H945" s="15"/>
      <c r="I945" s="11"/>
      <c r="J945" s="11"/>
      <c r="K945" s="11"/>
      <c r="L945" s="11"/>
      <c r="M945" s="15"/>
      <c r="N945" s="15"/>
      <c r="O945" s="15"/>
      <c r="P945" s="15"/>
      <c r="Q945" s="15"/>
      <c r="R945" s="15"/>
      <c r="S945" s="15"/>
      <c r="T945" s="15"/>
      <c r="U945" s="15"/>
      <c r="V945" s="15"/>
      <c r="W945" s="15"/>
      <c r="X945" s="15"/>
      <c r="Y945" s="15"/>
      <c r="Z945" s="15"/>
      <c r="AA945" s="15"/>
      <c r="AB945" s="15"/>
      <c r="AC945" s="15"/>
      <c r="AD945" s="15"/>
      <c r="AE945" s="15"/>
      <c r="AF945" s="15"/>
    </row>
    <row r="946" ht="15.75" customHeight="1">
      <c r="A946" s="15"/>
      <c r="B946" s="15"/>
      <c r="C946" s="21"/>
      <c r="D946" s="15"/>
      <c r="E946" s="15"/>
      <c r="F946" s="15"/>
      <c r="G946" s="15"/>
      <c r="H946" s="15"/>
      <c r="I946" s="11"/>
      <c r="J946" s="11"/>
      <c r="K946" s="11"/>
      <c r="L946" s="11"/>
      <c r="M946" s="15"/>
      <c r="N946" s="15"/>
      <c r="O946" s="15"/>
      <c r="P946" s="15"/>
      <c r="Q946" s="15"/>
      <c r="R946" s="15"/>
      <c r="S946" s="15"/>
      <c r="T946" s="15"/>
      <c r="U946" s="15"/>
      <c r="V946" s="15"/>
      <c r="W946" s="15"/>
      <c r="X946" s="15"/>
      <c r="Y946" s="15"/>
      <c r="Z946" s="15"/>
      <c r="AA946" s="15"/>
      <c r="AB946" s="15"/>
      <c r="AC946" s="15"/>
      <c r="AD946" s="15"/>
      <c r="AE946" s="15"/>
      <c r="AF946" s="15"/>
    </row>
    <row r="947" ht="15.75" customHeight="1">
      <c r="A947" s="15"/>
      <c r="B947" s="15"/>
      <c r="C947" s="21"/>
      <c r="D947" s="15"/>
      <c r="E947" s="15"/>
      <c r="F947" s="15"/>
      <c r="G947" s="15"/>
      <c r="H947" s="15"/>
      <c r="I947" s="11"/>
      <c r="J947" s="11"/>
      <c r="K947" s="11"/>
      <c r="L947" s="11"/>
      <c r="M947" s="15"/>
      <c r="N947" s="15"/>
      <c r="O947" s="15"/>
      <c r="P947" s="15"/>
      <c r="Q947" s="15"/>
      <c r="R947" s="15"/>
      <c r="S947" s="15"/>
      <c r="T947" s="15"/>
      <c r="U947" s="15"/>
      <c r="V947" s="15"/>
      <c r="W947" s="15"/>
      <c r="X947" s="15"/>
      <c r="Y947" s="15"/>
      <c r="Z947" s="15"/>
      <c r="AA947" s="15"/>
      <c r="AB947" s="15"/>
      <c r="AC947" s="15"/>
      <c r="AD947" s="15"/>
      <c r="AE947" s="15"/>
      <c r="AF947" s="15"/>
    </row>
    <row r="948" ht="15.75" customHeight="1">
      <c r="A948" s="15"/>
      <c r="B948" s="15"/>
      <c r="C948" s="21"/>
      <c r="D948" s="15"/>
      <c r="E948" s="15"/>
      <c r="F948" s="15"/>
      <c r="G948" s="15"/>
      <c r="H948" s="15"/>
      <c r="I948" s="11"/>
      <c r="J948" s="11"/>
      <c r="K948" s="11"/>
      <c r="L948" s="11"/>
      <c r="M948" s="15"/>
      <c r="N948" s="15"/>
      <c r="O948" s="15"/>
      <c r="P948" s="15"/>
      <c r="Q948" s="15"/>
      <c r="R948" s="15"/>
      <c r="S948" s="15"/>
      <c r="T948" s="15"/>
      <c r="U948" s="15"/>
      <c r="V948" s="15"/>
      <c r="W948" s="15"/>
      <c r="X948" s="15"/>
      <c r="Y948" s="15"/>
      <c r="Z948" s="15"/>
      <c r="AA948" s="15"/>
      <c r="AB948" s="15"/>
      <c r="AC948" s="15"/>
      <c r="AD948" s="15"/>
      <c r="AE948" s="15"/>
      <c r="AF948" s="15"/>
    </row>
    <row r="949" ht="15.75" customHeight="1">
      <c r="A949" s="15"/>
      <c r="B949" s="15"/>
      <c r="C949" s="21"/>
      <c r="D949" s="15"/>
      <c r="E949" s="15"/>
      <c r="F949" s="15"/>
      <c r="G949" s="15"/>
      <c r="H949" s="15"/>
      <c r="I949" s="11"/>
      <c r="J949" s="11"/>
      <c r="K949" s="11"/>
      <c r="L949" s="11"/>
      <c r="M949" s="15"/>
      <c r="N949" s="15"/>
      <c r="O949" s="15"/>
      <c r="P949" s="15"/>
      <c r="Q949" s="15"/>
      <c r="R949" s="15"/>
      <c r="S949" s="15"/>
      <c r="T949" s="15"/>
      <c r="U949" s="15"/>
      <c r="V949" s="15"/>
      <c r="W949" s="15"/>
      <c r="X949" s="15"/>
      <c r="Y949" s="15"/>
      <c r="Z949" s="15"/>
      <c r="AA949" s="15"/>
      <c r="AB949" s="15"/>
      <c r="AC949" s="15"/>
      <c r="AD949" s="15"/>
      <c r="AE949" s="15"/>
      <c r="AF949" s="15"/>
    </row>
    <row r="950" ht="15.75" customHeight="1">
      <c r="A950" s="15"/>
      <c r="B950" s="15"/>
      <c r="C950" s="21"/>
      <c r="D950" s="15"/>
      <c r="E950" s="15"/>
      <c r="F950" s="15"/>
      <c r="G950" s="15"/>
      <c r="H950" s="15"/>
      <c r="I950" s="11"/>
      <c r="J950" s="11"/>
      <c r="K950" s="11"/>
      <c r="L950" s="11"/>
      <c r="M950" s="15"/>
      <c r="N950" s="15"/>
      <c r="O950" s="15"/>
      <c r="P950" s="15"/>
      <c r="Q950" s="15"/>
      <c r="R950" s="15"/>
      <c r="S950" s="15"/>
      <c r="T950" s="15"/>
      <c r="U950" s="15"/>
      <c r="V950" s="15"/>
      <c r="W950" s="15"/>
      <c r="X950" s="15"/>
      <c r="Y950" s="15"/>
      <c r="Z950" s="15"/>
      <c r="AA950" s="15"/>
      <c r="AB950" s="15"/>
      <c r="AC950" s="15"/>
      <c r="AD950" s="15"/>
      <c r="AE950" s="15"/>
      <c r="AF950" s="15"/>
    </row>
    <row r="951" ht="15.75" customHeight="1">
      <c r="A951" s="15"/>
      <c r="B951" s="15"/>
      <c r="C951" s="21"/>
      <c r="D951" s="15"/>
      <c r="E951" s="15"/>
      <c r="F951" s="15"/>
      <c r="G951" s="15"/>
      <c r="H951" s="15"/>
      <c r="I951" s="11"/>
      <c r="J951" s="11"/>
      <c r="K951" s="11"/>
      <c r="L951" s="11"/>
      <c r="M951" s="15"/>
      <c r="N951" s="15"/>
      <c r="O951" s="15"/>
      <c r="P951" s="15"/>
      <c r="Q951" s="15"/>
      <c r="R951" s="15"/>
      <c r="S951" s="15"/>
      <c r="T951" s="15"/>
      <c r="U951" s="15"/>
      <c r="V951" s="15"/>
      <c r="W951" s="15"/>
      <c r="X951" s="15"/>
      <c r="Y951" s="15"/>
      <c r="Z951" s="15"/>
      <c r="AA951" s="15"/>
      <c r="AB951" s="15"/>
      <c r="AC951" s="15"/>
      <c r="AD951" s="15"/>
      <c r="AE951" s="15"/>
      <c r="AF951" s="15"/>
    </row>
    <row r="952" ht="15.75" customHeight="1">
      <c r="A952" s="15"/>
      <c r="B952" s="15"/>
      <c r="C952" s="21"/>
      <c r="D952" s="15"/>
      <c r="E952" s="15"/>
      <c r="F952" s="15"/>
      <c r="G952" s="15"/>
      <c r="H952" s="15"/>
      <c r="I952" s="11"/>
      <c r="J952" s="11"/>
      <c r="K952" s="11"/>
      <c r="L952" s="11"/>
      <c r="M952" s="15"/>
      <c r="N952" s="15"/>
      <c r="O952" s="15"/>
      <c r="P952" s="15"/>
      <c r="Q952" s="15"/>
      <c r="R952" s="15"/>
      <c r="S952" s="15"/>
      <c r="T952" s="15"/>
      <c r="U952" s="15"/>
      <c r="V952" s="15"/>
      <c r="W952" s="15"/>
      <c r="X952" s="15"/>
      <c r="Y952" s="15"/>
      <c r="Z952" s="15"/>
      <c r="AA952" s="15"/>
      <c r="AB952" s="15"/>
      <c r="AC952" s="15"/>
      <c r="AD952" s="15"/>
      <c r="AE952" s="15"/>
      <c r="AF952" s="15"/>
    </row>
    <row r="953" ht="15.75" customHeight="1">
      <c r="A953" s="15"/>
      <c r="B953" s="15"/>
      <c r="C953" s="21"/>
      <c r="D953" s="15"/>
      <c r="E953" s="15"/>
      <c r="F953" s="15"/>
      <c r="G953" s="15"/>
      <c r="H953" s="15"/>
      <c r="I953" s="11"/>
      <c r="J953" s="11"/>
      <c r="K953" s="11"/>
      <c r="L953" s="11"/>
      <c r="M953" s="15"/>
      <c r="N953" s="15"/>
      <c r="O953" s="15"/>
      <c r="P953" s="15"/>
      <c r="Q953" s="15"/>
      <c r="R953" s="15"/>
      <c r="S953" s="15"/>
      <c r="T953" s="15"/>
      <c r="U953" s="15"/>
      <c r="V953" s="15"/>
      <c r="W953" s="15"/>
      <c r="X953" s="15"/>
      <c r="Y953" s="15"/>
      <c r="Z953" s="15"/>
      <c r="AA953" s="15"/>
      <c r="AB953" s="15"/>
      <c r="AC953" s="15"/>
      <c r="AD953" s="15"/>
      <c r="AE953" s="15"/>
      <c r="AF953" s="15"/>
    </row>
    <row r="954" ht="15.75" customHeight="1">
      <c r="A954" s="15"/>
      <c r="B954" s="15"/>
      <c r="C954" s="21"/>
      <c r="D954" s="15"/>
      <c r="E954" s="15"/>
      <c r="F954" s="15"/>
      <c r="G954" s="15"/>
      <c r="H954" s="15"/>
      <c r="I954" s="11"/>
      <c r="J954" s="11"/>
      <c r="K954" s="11"/>
      <c r="L954" s="11"/>
      <c r="M954" s="15"/>
      <c r="N954" s="15"/>
      <c r="O954" s="15"/>
      <c r="P954" s="15"/>
      <c r="Q954" s="15"/>
      <c r="R954" s="15"/>
      <c r="S954" s="15"/>
      <c r="T954" s="15"/>
      <c r="U954" s="15"/>
      <c r="V954" s="15"/>
      <c r="W954" s="15"/>
      <c r="X954" s="15"/>
      <c r="Y954" s="15"/>
      <c r="Z954" s="15"/>
      <c r="AA954" s="15"/>
      <c r="AB954" s="15"/>
      <c r="AC954" s="15"/>
      <c r="AD954" s="15"/>
      <c r="AE954" s="15"/>
      <c r="AF954" s="15"/>
    </row>
    <row r="955" ht="15.75" customHeight="1">
      <c r="A955" s="15"/>
      <c r="B955" s="15"/>
      <c r="C955" s="21"/>
      <c r="D955" s="15"/>
      <c r="E955" s="15"/>
      <c r="F955" s="15"/>
      <c r="G955" s="15"/>
      <c r="H955" s="15"/>
      <c r="I955" s="11"/>
      <c r="J955" s="11"/>
      <c r="K955" s="11"/>
      <c r="L955" s="11"/>
      <c r="M955" s="15"/>
      <c r="N955" s="15"/>
      <c r="O955" s="15"/>
      <c r="P955" s="15"/>
      <c r="Q955" s="15"/>
      <c r="R955" s="15"/>
      <c r="S955" s="15"/>
      <c r="T955" s="15"/>
      <c r="U955" s="15"/>
      <c r="V955" s="15"/>
      <c r="W955" s="15"/>
      <c r="X955" s="15"/>
      <c r="Y955" s="15"/>
      <c r="Z955" s="15"/>
      <c r="AA955" s="15"/>
      <c r="AB955" s="15"/>
      <c r="AC955" s="15"/>
      <c r="AD955" s="15"/>
      <c r="AE955" s="15"/>
      <c r="AF955" s="15"/>
    </row>
    <row r="956" ht="15.75" customHeight="1">
      <c r="A956" s="15"/>
      <c r="B956" s="15"/>
      <c r="C956" s="21"/>
      <c r="D956" s="15"/>
      <c r="E956" s="15"/>
      <c r="F956" s="15"/>
      <c r="G956" s="15"/>
      <c r="H956" s="15"/>
      <c r="I956" s="11"/>
      <c r="J956" s="11"/>
      <c r="K956" s="11"/>
      <c r="L956" s="11"/>
      <c r="M956" s="15"/>
      <c r="N956" s="15"/>
      <c r="O956" s="15"/>
      <c r="P956" s="15"/>
      <c r="Q956" s="15"/>
      <c r="R956" s="15"/>
      <c r="S956" s="15"/>
      <c r="T956" s="15"/>
      <c r="U956" s="15"/>
      <c r="V956" s="15"/>
      <c r="W956" s="15"/>
      <c r="X956" s="15"/>
      <c r="Y956" s="15"/>
      <c r="Z956" s="15"/>
      <c r="AA956" s="15"/>
      <c r="AB956" s="15"/>
      <c r="AC956" s="15"/>
      <c r="AD956" s="15"/>
      <c r="AE956" s="15"/>
      <c r="AF956" s="15"/>
    </row>
    <row r="957" ht="15.75" customHeight="1">
      <c r="A957" s="15"/>
      <c r="B957" s="15"/>
      <c r="C957" s="21"/>
      <c r="D957" s="15"/>
      <c r="E957" s="15"/>
      <c r="F957" s="15"/>
      <c r="G957" s="15"/>
      <c r="H957" s="15"/>
      <c r="I957" s="11"/>
      <c r="J957" s="11"/>
      <c r="K957" s="11"/>
      <c r="L957" s="11"/>
      <c r="M957" s="15"/>
      <c r="N957" s="15"/>
      <c r="O957" s="15"/>
      <c r="P957" s="15"/>
      <c r="Q957" s="15"/>
      <c r="R957" s="15"/>
      <c r="S957" s="15"/>
      <c r="T957" s="15"/>
      <c r="U957" s="15"/>
      <c r="V957" s="15"/>
      <c r="W957" s="15"/>
      <c r="X957" s="15"/>
      <c r="Y957" s="15"/>
      <c r="Z957" s="15"/>
      <c r="AA957" s="15"/>
      <c r="AB957" s="15"/>
      <c r="AC957" s="15"/>
      <c r="AD957" s="15"/>
      <c r="AE957" s="15"/>
      <c r="AF957" s="15"/>
    </row>
    <row r="958" ht="15.75" customHeight="1">
      <c r="A958" s="15"/>
      <c r="B958" s="15"/>
      <c r="C958" s="21"/>
      <c r="D958" s="15"/>
      <c r="E958" s="15"/>
      <c r="F958" s="15"/>
      <c r="G958" s="15"/>
      <c r="H958" s="15"/>
      <c r="I958" s="11"/>
      <c r="J958" s="11"/>
      <c r="K958" s="11"/>
      <c r="L958" s="11"/>
      <c r="M958" s="15"/>
      <c r="N958" s="15"/>
      <c r="O958" s="15"/>
      <c r="P958" s="15"/>
      <c r="Q958" s="15"/>
      <c r="R958" s="15"/>
      <c r="S958" s="15"/>
      <c r="T958" s="15"/>
      <c r="U958" s="15"/>
      <c r="V958" s="15"/>
      <c r="W958" s="15"/>
      <c r="X958" s="15"/>
      <c r="Y958" s="15"/>
      <c r="Z958" s="15"/>
      <c r="AA958" s="15"/>
      <c r="AB958" s="15"/>
      <c r="AC958" s="15"/>
      <c r="AD958" s="15"/>
      <c r="AE958" s="15"/>
      <c r="AF958" s="15"/>
    </row>
    <row r="959" ht="15.75" customHeight="1">
      <c r="A959" s="15"/>
      <c r="B959" s="15"/>
      <c r="C959" s="21"/>
      <c r="D959" s="15"/>
      <c r="E959" s="15"/>
      <c r="F959" s="15"/>
      <c r="G959" s="15"/>
      <c r="H959" s="15"/>
      <c r="I959" s="11"/>
      <c r="J959" s="11"/>
      <c r="K959" s="11"/>
      <c r="L959" s="11"/>
      <c r="M959" s="15"/>
      <c r="N959" s="15"/>
      <c r="O959" s="15"/>
      <c r="P959" s="15"/>
      <c r="Q959" s="15"/>
      <c r="R959" s="15"/>
      <c r="S959" s="15"/>
      <c r="T959" s="15"/>
      <c r="U959" s="15"/>
      <c r="V959" s="15"/>
      <c r="W959" s="15"/>
      <c r="X959" s="15"/>
      <c r="Y959" s="15"/>
      <c r="Z959" s="15"/>
      <c r="AA959" s="15"/>
      <c r="AB959" s="15"/>
      <c r="AC959" s="15"/>
      <c r="AD959" s="15"/>
      <c r="AE959" s="15"/>
      <c r="AF959" s="15"/>
    </row>
    <row r="960" ht="15.75" customHeight="1">
      <c r="A960" s="15"/>
      <c r="B960" s="15"/>
      <c r="C960" s="21"/>
      <c r="D960" s="15"/>
      <c r="E960" s="15"/>
      <c r="F960" s="15"/>
      <c r="G960" s="15"/>
      <c r="H960" s="15"/>
      <c r="I960" s="11"/>
      <c r="J960" s="11"/>
      <c r="K960" s="11"/>
      <c r="L960" s="11"/>
      <c r="M960" s="15"/>
      <c r="N960" s="15"/>
      <c r="O960" s="15"/>
      <c r="P960" s="15"/>
      <c r="Q960" s="15"/>
      <c r="R960" s="15"/>
      <c r="S960" s="15"/>
      <c r="T960" s="15"/>
      <c r="U960" s="15"/>
      <c r="V960" s="15"/>
      <c r="W960" s="15"/>
      <c r="X960" s="15"/>
      <c r="Y960" s="15"/>
      <c r="Z960" s="15"/>
      <c r="AA960" s="15"/>
      <c r="AB960" s="15"/>
      <c r="AC960" s="15"/>
      <c r="AD960" s="15"/>
      <c r="AE960" s="15"/>
      <c r="AF960" s="15"/>
    </row>
    <row r="961" ht="15.75" customHeight="1">
      <c r="A961" s="15"/>
      <c r="B961" s="15"/>
      <c r="C961" s="21"/>
      <c r="D961" s="15"/>
      <c r="E961" s="15"/>
      <c r="F961" s="15"/>
      <c r="G961" s="15"/>
      <c r="H961" s="15"/>
      <c r="I961" s="11"/>
      <c r="J961" s="11"/>
      <c r="K961" s="11"/>
      <c r="L961" s="11"/>
      <c r="M961" s="15"/>
      <c r="N961" s="15"/>
      <c r="O961" s="15"/>
      <c r="P961" s="15"/>
      <c r="Q961" s="15"/>
      <c r="R961" s="15"/>
      <c r="S961" s="15"/>
      <c r="T961" s="15"/>
      <c r="U961" s="15"/>
      <c r="V961" s="15"/>
      <c r="W961" s="15"/>
      <c r="X961" s="15"/>
      <c r="Y961" s="15"/>
      <c r="Z961" s="15"/>
      <c r="AA961" s="15"/>
      <c r="AB961" s="15"/>
      <c r="AC961" s="15"/>
      <c r="AD961" s="15"/>
      <c r="AE961" s="15"/>
      <c r="AF961" s="15"/>
    </row>
    <row r="962" ht="15.75" customHeight="1">
      <c r="A962" s="15"/>
      <c r="B962" s="15"/>
      <c r="C962" s="21"/>
      <c r="D962" s="15"/>
      <c r="E962" s="15"/>
      <c r="F962" s="15"/>
      <c r="G962" s="15"/>
      <c r="H962" s="15"/>
      <c r="I962" s="11"/>
      <c r="J962" s="11"/>
      <c r="K962" s="11"/>
      <c r="L962" s="11"/>
      <c r="M962" s="15"/>
      <c r="N962" s="15"/>
      <c r="O962" s="15"/>
      <c r="P962" s="15"/>
      <c r="Q962" s="15"/>
      <c r="R962" s="15"/>
      <c r="S962" s="15"/>
      <c r="T962" s="15"/>
      <c r="U962" s="15"/>
      <c r="V962" s="15"/>
      <c r="W962" s="15"/>
      <c r="X962" s="15"/>
      <c r="Y962" s="15"/>
      <c r="Z962" s="15"/>
      <c r="AA962" s="15"/>
      <c r="AB962" s="15"/>
      <c r="AC962" s="15"/>
      <c r="AD962" s="15"/>
      <c r="AE962" s="15"/>
      <c r="AF962" s="15"/>
    </row>
    <row r="963" ht="15.75" customHeight="1">
      <c r="A963" s="15"/>
      <c r="B963" s="15"/>
      <c r="C963" s="21"/>
      <c r="D963" s="15"/>
      <c r="E963" s="15"/>
      <c r="F963" s="15"/>
      <c r="G963" s="15"/>
      <c r="H963" s="15"/>
      <c r="I963" s="11"/>
      <c r="J963" s="11"/>
      <c r="K963" s="11"/>
      <c r="L963" s="11"/>
      <c r="M963" s="15"/>
      <c r="N963" s="15"/>
      <c r="O963" s="15"/>
      <c r="P963" s="15"/>
      <c r="Q963" s="15"/>
      <c r="R963" s="15"/>
      <c r="S963" s="15"/>
      <c r="T963" s="15"/>
      <c r="U963" s="15"/>
      <c r="V963" s="15"/>
      <c r="W963" s="15"/>
      <c r="X963" s="15"/>
      <c r="Y963" s="15"/>
      <c r="Z963" s="15"/>
      <c r="AA963" s="15"/>
      <c r="AB963" s="15"/>
      <c r="AC963" s="15"/>
      <c r="AD963" s="15"/>
      <c r="AE963" s="15"/>
      <c r="AF963" s="15"/>
    </row>
    <row r="964" ht="15.75" customHeight="1">
      <c r="A964" s="15"/>
      <c r="B964" s="15"/>
      <c r="C964" s="21"/>
      <c r="D964" s="15"/>
      <c r="E964" s="15"/>
      <c r="F964" s="15"/>
      <c r="G964" s="15"/>
      <c r="H964" s="15"/>
      <c r="I964" s="11"/>
      <c r="J964" s="11"/>
      <c r="K964" s="11"/>
      <c r="L964" s="11"/>
      <c r="M964" s="15"/>
      <c r="N964" s="15"/>
      <c r="O964" s="15"/>
      <c r="P964" s="15"/>
      <c r="Q964" s="15"/>
      <c r="R964" s="15"/>
      <c r="S964" s="15"/>
      <c r="T964" s="15"/>
      <c r="U964" s="15"/>
      <c r="V964" s="15"/>
      <c r="W964" s="15"/>
      <c r="X964" s="15"/>
      <c r="Y964" s="15"/>
      <c r="Z964" s="15"/>
      <c r="AA964" s="15"/>
      <c r="AB964" s="15"/>
      <c r="AC964" s="15"/>
      <c r="AD964" s="15"/>
      <c r="AE964" s="15"/>
      <c r="AF964" s="15"/>
    </row>
    <row r="965" ht="15.75" customHeight="1">
      <c r="A965" s="15"/>
      <c r="B965" s="15"/>
      <c r="C965" s="21"/>
      <c r="D965" s="15"/>
      <c r="E965" s="15"/>
      <c r="F965" s="15"/>
      <c r="G965" s="15"/>
      <c r="H965" s="15"/>
      <c r="I965" s="11"/>
      <c r="J965" s="11"/>
      <c r="K965" s="11"/>
      <c r="L965" s="11"/>
      <c r="M965" s="15"/>
      <c r="N965" s="15"/>
      <c r="O965" s="15"/>
      <c r="P965" s="15"/>
      <c r="Q965" s="15"/>
      <c r="R965" s="15"/>
      <c r="S965" s="15"/>
      <c r="T965" s="15"/>
      <c r="U965" s="15"/>
      <c r="V965" s="15"/>
      <c r="W965" s="15"/>
      <c r="X965" s="15"/>
      <c r="Y965" s="15"/>
      <c r="Z965" s="15"/>
      <c r="AA965" s="15"/>
      <c r="AB965" s="15"/>
      <c r="AC965" s="15"/>
      <c r="AD965" s="15"/>
      <c r="AE965" s="15"/>
      <c r="AF965" s="15"/>
    </row>
    <row r="966" ht="15.75" customHeight="1">
      <c r="A966" s="15"/>
      <c r="B966" s="15"/>
      <c r="C966" s="21"/>
      <c r="D966" s="15"/>
      <c r="E966" s="15"/>
      <c r="F966" s="15"/>
      <c r="G966" s="15"/>
      <c r="H966" s="15"/>
      <c r="I966" s="11"/>
      <c r="J966" s="11"/>
      <c r="K966" s="11"/>
      <c r="L966" s="11"/>
      <c r="M966" s="15"/>
      <c r="N966" s="15"/>
      <c r="O966" s="15"/>
      <c r="P966" s="15"/>
      <c r="Q966" s="15"/>
      <c r="R966" s="15"/>
      <c r="S966" s="15"/>
      <c r="T966" s="15"/>
      <c r="U966" s="15"/>
      <c r="V966" s="15"/>
      <c r="W966" s="15"/>
      <c r="X966" s="15"/>
      <c r="Y966" s="15"/>
      <c r="Z966" s="15"/>
      <c r="AA966" s="15"/>
      <c r="AB966" s="15"/>
      <c r="AC966" s="15"/>
      <c r="AD966" s="15"/>
      <c r="AE966" s="15"/>
      <c r="AF966" s="15"/>
    </row>
    <row r="967" ht="15.75" customHeight="1">
      <c r="A967" s="15"/>
      <c r="B967" s="15"/>
      <c r="C967" s="21"/>
      <c r="D967" s="15"/>
      <c r="E967" s="15"/>
      <c r="F967" s="15"/>
      <c r="G967" s="15"/>
      <c r="H967" s="15"/>
      <c r="I967" s="11"/>
      <c r="J967" s="11"/>
      <c r="K967" s="11"/>
      <c r="L967" s="11"/>
      <c r="M967" s="15"/>
      <c r="N967" s="15"/>
      <c r="O967" s="15"/>
      <c r="P967" s="15"/>
      <c r="Q967" s="15"/>
      <c r="R967" s="15"/>
      <c r="S967" s="15"/>
      <c r="T967" s="15"/>
      <c r="U967" s="15"/>
      <c r="V967" s="15"/>
      <c r="W967" s="15"/>
      <c r="X967" s="15"/>
      <c r="Y967" s="15"/>
      <c r="Z967" s="15"/>
      <c r="AA967" s="15"/>
      <c r="AB967" s="15"/>
      <c r="AC967" s="15"/>
      <c r="AD967" s="15"/>
      <c r="AE967" s="15"/>
      <c r="AF967" s="15"/>
    </row>
    <row r="968" ht="15.75" customHeight="1">
      <c r="A968" s="15"/>
      <c r="B968" s="15"/>
      <c r="C968" s="21"/>
      <c r="D968" s="15"/>
      <c r="E968" s="15"/>
      <c r="F968" s="15"/>
      <c r="G968" s="15"/>
      <c r="H968" s="15"/>
      <c r="I968" s="11"/>
      <c r="J968" s="11"/>
      <c r="K968" s="11"/>
      <c r="L968" s="11"/>
      <c r="M968" s="15"/>
      <c r="N968" s="15"/>
      <c r="O968" s="15"/>
      <c r="P968" s="15"/>
      <c r="Q968" s="15"/>
      <c r="R968" s="15"/>
      <c r="S968" s="15"/>
      <c r="T968" s="15"/>
      <c r="U968" s="15"/>
      <c r="V968" s="15"/>
      <c r="W968" s="15"/>
      <c r="X968" s="15"/>
      <c r="Y968" s="15"/>
      <c r="Z968" s="15"/>
      <c r="AA968" s="15"/>
      <c r="AB968" s="15"/>
      <c r="AC968" s="15"/>
      <c r="AD968" s="15"/>
      <c r="AE968" s="15"/>
      <c r="AF968" s="15"/>
    </row>
    <row r="969" ht="15.75" customHeight="1">
      <c r="A969" s="15"/>
      <c r="B969" s="15"/>
      <c r="C969" s="21"/>
      <c r="D969" s="15"/>
      <c r="E969" s="15"/>
      <c r="F969" s="15"/>
      <c r="G969" s="15"/>
      <c r="H969" s="15"/>
      <c r="I969" s="11"/>
      <c r="J969" s="11"/>
      <c r="K969" s="11"/>
      <c r="L969" s="11"/>
      <c r="M969" s="15"/>
      <c r="N969" s="15"/>
      <c r="O969" s="15"/>
      <c r="P969" s="15"/>
      <c r="Q969" s="15"/>
      <c r="R969" s="15"/>
      <c r="S969" s="15"/>
      <c r="T969" s="15"/>
      <c r="U969" s="15"/>
      <c r="V969" s="15"/>
      <c r="W969" s="15"/>
      <c r="X969" s="15"/>
      <c r="Y969" s="15"/>
      <c r="Z969" s="15"/>
      <c r="AA969" s="15"/>
      <c r="AB969" s="15"/>
      <c r="AC969" s="15"/>
      <c r="AD969" s="15"/>
      <c r="AE969" s="15"/>
      <c r="AF969" s="15"/>
    </row>
    <row r="970" ht="15.75" customHeight="1">
      <c r="A970" s="15"/>
      <c r="B970" s="15"/>
      <c r="C970" s="21"/>
      <c r="D970" s="15"/>
      <c r="E970" s="15"/>
      <c r="F970" s="15"/>
      <c r="G970" s="15"/>
      <c r="H970" s="15"/>
      <c r="I970" s="11"/>
      <c r="J970" s="11"/>
      <c r="K970" s="11"/>
      <c r="L970" s="11"/>
      <c r="M970" s="15"/>
      <c r="N970" s="15"/>
      <c r="O970" s="15"/>
      <c r="P970" s="15"/>
      <c r="Q970" s="15"/>
      <c r="R970" s="15"/>
      <c r="S970" s="15"/>
      <c r="T970" s="15"/>
      <c r="U970" s="15"/>
      <c r="V970" s="15"/>
      <c r="W970" s="15"/>
      <c r="X970" s="15"/>
      <c r="Y970" s="15"/>
      <c r="Z970" s="15"/>
      <c r="AA970" s="15"/>
      <c r="AB970" s="15"/>
      <c r="AC970" s="15"/>
      <c r="AD970" s="15"/>
      <c r="AE970" s="15"/>
      <c r="AF970" s="15"/>
    </row>
    <row r="971" ht="15.75" customHeight="1">
      <c r="A971" s="15"/>
      <c r="B971" s="15"/>
      <c r="C971" s="21"/>
      <c r="D971" s="15"/>
      <c r="E971" s="15"/>
      <c r="F971" s="15"/>
      <c r="G971" s="15"/>
      <c r="H971" s="15"/>
      <c r="I971" s="11"/>
      <c r="J971" s="11"/>
      <c r="K971" s="11"/>
      <c r="L971" s="11"/>
      <c r="M971" s="15"/>
      <c r="N971" s="15"/>
      <c r="O971" s="15"/>
      <c r="P971" s="15"/>
      <c r="Q971" s="15"/>
      <c r="R971" s="15"/>
      <c r="S971" s="15"/>
      <c r="T971" s="15"/>
      <c r="U971" s="15"/>
      <c r="V971" s="15"/>
      <c r="W971" s="15"/>
      <c r="X971" s="15"/>
      <c r="Y971" s="15"/>
      <c r="Z971" s="15"/>
      <c r="AA971" s="15"/>
      <c r="AB971" s="15"/>
      <c r="AC971" s="15"/>
      <c r="AD971" s="15"/>
      <c r="AE971" s="15"/>
      <c r="AF971" s="15"/>
    </row>
    <row r="972" ht="15.75" customHeight="1">
      <c r="A972" s="15"/>
      <c r="B972" s="15"/>
      <c r="C972" s="21"/>
      <c r="D972" s="15"/>
      <c r="E972" s="15"/>
      <c r="F972" s="15"/>
      <c r="G972" s="15"/>
      <c r="H972" s="15"/>
      <c r="I972" s="11"/>
      <c r="J972" s="11"/>
      <c r="K972" s="11"/>
      <c r="L972" s="11"/>
      <c r="M972" s="15"/>
      <c r="N972" s="15"/>
      <c r="O972" s="15"/>
      <c r="P972" s="15"/>
      <c r="Q972" s="15"/>
      <c r="R972" s="15"/>
      <c r="S972" s="15"/>
      <c r="T972" s="15"/>
      <c r="U972" s="15"/>
      <c r="V972" s="15"/>
      <c r="W972" s="15"/>
      <c r="X972" s="15"/>
      <c r="Y972" s="15"/>
      <c r="Z972" s="15"/>
      <c r="AA972" s="15"/>
      <c r="AB972" s="15"/>
      <c r="AC972" s="15"/>
      <c r="AD972" s="15"/>
      <c r="AE972" s="15"/>
      <c r="AF972" s="15"/>
    </row>
    <row r="973" ht="15.75" customHeight="1">
      <c r="A973" s="15"/>
      <c r="B973" s="15"/>
      <c r="C973" s="21"/>
      <c r="D973" s="15"/>
      <c r="E973" s="15"/>
      <c r="F973" s="15"/>
      <c r="G973" s="15"/>
      <c r="H973" s="15"/>
      <c r="I973" s="11"/>
      <c r="J973" s="11"/>
      <c r="K973" s="11"/>
      <c r="L973" s="11"/>
      <c r="M973" s="15"/>
      <c r="N973" s="15"/>
      <c r="O973" s="15"/>
      <c r="P973" s="15"/>
      <c r="Q973" s="15"/>
      <c r="R973" s="15"/>
      <c r="S973" s="15"/>
      <c r="T973" s="15"/>
      <c r="U973" s="15"/>
      <c r="V973" s="15"/>
      <c r="W973" s="15"/>
      <c r="X973" s="15"/>
      <c r="Y973" s="15"/>
      <c r="Z973" s="15"/>
      <c r="AA973" s="15"/>
      <c r="AB973" s="15"/>
      <c r="AC973" s="15"/>
      <c r="AD973" s="15"/>
      <c r="AE973" s="15"/>
      <c r="AF973" s="15"/>
    </row>
    <row r="974" ht="15.75" customHeight="1">
      <c r="A974" s="15"/>
      <c r="B974" s="15"/>
      <c r="C974" s="21"/>
      <c r="D974" s="15"/>
      <c r="E974" s="15"/>
      <c r="F974" s="15"/>
      <c r="G974" s="15"/>
      <c r="H974" s="15"/>
      <c r="I974" s="11"/>
      <c r="J974" s="11"/>
      <c r="K974" s="11"/>
      <c r="L974" s="11"/>
      <c r="M974" s="15"/>
      <c r="N974" s="15"/>
      <c r="O974" s="15"/>
      <c r="P974" s="15"/>
      <c r="Q974" s="15"/>
      <c r="R974" s="15"/>
      <c r="S974" s="15"/>
      <c r="T974" s="15"/>
      <c r="U974" s="15"/>
      <c r="V974" s="15"/>
      <c r="W974" s="15"/>
      <c r="X974" s="15"/>
      <c r="Y974" s="15"/>
      <c r="Z974" s="15"/>
      <c r="AA974" s="15"/>
      <c r="AB974" s="15"/>
      <c r="AC974" s="15"/>
      <c r="AD974" s="15"/>
      <c r="AE974" s="15"/>
      <c r="AF974" s="15"/>
    </row>
    <row r="975" ht="15.75" customHeight="1">
      <c r="A975" s="15"/>
      <c r="B975" s="15"/>
      <c r="C975" s="21"/>
      <c r="D975" s="15"/>
      <c r="E975" s="15"/>
      <c r="F975" s="15"/>
      <c r="G975" s="15"/>
      <c r="H975" s="15"/>
      <c r="I975" s="11"/>
      <c r="J975" s="11"/>
      <c r="K975" s="11"/>
      <c r="L975" s="11"/>
      <c r="M975" s="15"/>
      <c r="N975" s="15"/>
      <c r="O975" s="15"/>
      <c r="P975" s="15"/>
      <c r="Q975" s="15"/>
      <c r="R975" s="15"/>
      <c r="S975" s="15"/>
      <c r="T975" s="15"/>
      <c r="U975" s="15"/>
      <c r="V975" s="15"/>
      <c r="W975" s="15"/>
      <c r="X975" s="15"/>
      <c r="Y975" s="15"/>
      <c r="Z975" s="15"/>
      <c r="AA975" s="15"/>
      <c r="AB975" s="15"/>
      <c r="AC975" s="15"/>
      <c r="AD975" s="15"/>
      <c r="AE975" s="15"/>
      <c r="AF975" s="15"/>
    </row>
    <row r="976" ht="15.75" customHeight="1">
      <c r="A976" s="15"/>
      <c r="B976" s="15"/>
      <c r="C976" s="21"/>
      <c r="D976" s="15"/>
      <c r="E976" s="15"/>
      <c r="F976" s="15"/>
      <c r="G976" s="15"/>
      <c r="H976" s="15"/>
      <c r="I976" s="11"/>
      <c r="J976" s="11"/>
      <c r="K976" s="11"/>
      <c r="L976" s="11"/>
      <c r="M976" s="15"/>
      <c r="N976" s="15"/>
      <c r="O976" s="15"/>
      <c r="P976" s="15"/>
      <c r="Q976" s="15"/>
      <c r="R976" s="15"/>
      <c r="S976" s="15"/>
      <c r="T976" s="15"/>
      <c r="U976" s="15"/>
      <c r="V976" s="15"/>
      <c r="W976" s="15"/>
      <c r="X976" s="15"/>
      <c r="Y976" s="15"/>
      <c r="Z976" s="15"/>
      <c r="AA976" s="15"/>
      <c r="AB976" s="15"/>
      <c r="AC976" s="15"/>
      <c r="AD976" s="15"/>
      <c r="AE976" s="15"/>
      <c r="AF976" s="15"/>
    </row>
    <row r="977" ht="15.75" customHeight="1">
      <c r="A977" s="15"/>
      <c r="B977" s="15"/>
      <c r="C977" s="21"/>
      <c r="D977" s="15"/>
      <c r="E977" s="15"/>
      <c r="F977" s="15"/>
      <c r="G977" s="15"/>
      <c r="H977" s="15"/>
      <c r="I977" s="11"/>
      <c r="J977" s="11"/>
      <c r="K977" s="11"/>
      <c r="L977" s="11"/>
      <c r="M977" s="15"/>
      <c r="N977" s="15"/>
      <c r="O977" s="15"/>
      <c r="P977" s="15"/>
      <c r="Q977" s="15"/>
      <c r="R977" s="15"/>
      <c r="S977" s="15"/>
      <c r="T977" s="15"/>
      <c r="U977" s="15"/>
      <c r="V977" s="15"/>
      <c r="W977" s="15"/>
      <c r="X977" s="15"/>
      <c r="Y977" s="15"/>
      <c r="Z977" s="15"/>
      <c r="AA977" s="15"/>
      <c r="AB977" s="15"/>
      <c r="AC977" s="15"/>
      <c r="AD977" s="15"/>
      <c r="AE977" s="15"/>
      <c r="AF977" s="15"/>
    </row>
    <row r="978" ht="15.75" customHeight="1">
      <c r="A978" s="15"/>
      <c r="B978" s="15"/>
      <c r="C978" s="21"/>
      <c r="D978" s="15"/>
      <c r="E978" s="15"/>
      <c r="F978" s="15"/>
      <c r="G978" s="15"/>
      <c r="H978" s="15"/>
      <c r="I978" s="11"/>
      <c r="J978" s="11"/>
      <c r="K978" s="11"/>
      <c r="L978" s="11"/>
      <c r="M978" s="15"/>
      <c r="N978" s="15"/>
      <c r="O978" s="15"/>
      <c r="P978" s="15"/>
      <c r="Q978" s="15"/>
      <c r="R978" s="15"/>
      <c r="S978" s="15"/>
      <c r="T978" s="15"/>
      <c r="U978" s="15"/>
      <c r="V978" s="15"/>
      <c r="W978" s="15"/>
      <c r="X978" s="15"/>
      <c r="Y978" s="15"/>
      <c r="Z978" s="15"/>
      <c r="AA978" s="15"/>
      <c r="AB978" s="15"/>
      <c r="AC978" s="15"/>
      <c r="AD978" s="15"/>
      <c r="AE978" s="15"/>
      <c r="AF978" s="15"/>
    </row>
    <row r="979" ht="15.75" customHeight="1">
      <c r="A979" s="15"/>
      <c r="B979" s="15"/>
      <c r="C979" s="21"/>
      <c r="D979" s="15"/>
      <c r="E979" s="15"/>
      <c r="F979" s="15"/>
      <c r="G979" s="15"/>
      <c r="H979" s="15"/>
      <c r="I979" s="11"/>
      <c r="J979" s="11"/>
      <c r="K979" s="11"/>
      <c r="L979" s="11"/>
      <c r="M979" s="15"/>
      <c r="N979" s="15"/>
      <c r="O979" s="15"/>
      <c r="P979" s="15"/>
      <c r="Q979" s="15"/>
      <c r="R979" s="15"/>
      <c r="S979" s="15"/>
      <c r="T979" s="15"/>
      <c r="U979" s="15"/>
      <c r="V979" s="15"/>
      <c r="W979" s="15"/>
      <c r="X979" s="15"/>
      <c r="Y979" s="15"/>
      <c r="Z979" s="15"/>
      <c r="AA979" s="15"/>
      <c r="AB979" s="15"/>
      <c r="AC979" s="15"/>
      <c r="AD979" s="15"/>
      <c r="AE979" s="15"/>
      <c r="AF979" s="15"/>
    </row>
    <row r="980" ht="15.75" customHeight="1">
      <c r="A980" s="15"/>
      <c r="B980" s="15"/>
      <c r="C980" s="21"/>
      <c r="D980" s="15"/>
      <c r="E980" s="15"/>
      <c r="F980" s="15"/>
      <c r="G980" s="15"/>
      <c r="H980" s="15"/>
      <c r="I980" s="11"/>
      <c r="J980" s="11"/>
      <c r="K980" s="11"/>
      <c r="L980" s="11"/>
      <c r="M980" s="15"/>
      <c r="N980" s="15"/>
      <c r="O980" s="15"/>
      <c r="P980" s="15"/>
      <c r="Q980" s="15"/>
      <c r="R980" s="15"/>
      <c r="S980" s="15"/>
      <c r="T980" s="15"/>
      <c r="U980" s="15"/>
      <c r="V980" s="15"/>
      <c r="W980" s="15"/>
      <c r="X980" s="15"/>
      <c r="Y980" s="15"/>
      <c r="Z980" s="15"/>
      <c r="AA980" s="15"/>
      <c r="AB980" s="15"/>
      <c r="AC980" s="15"/>
      <c r="AD980" s="15"/>
      <c r="AE980" s="15"/>
      <c r="AF980" s="15"/>
    </row>
    <row r="981" ht="15.75" customHeight="1">
      <c r="A981" s="15"/>
      <c r="B981" s="15"/>
      <c r="C981" s="21"/>
      <c r="D981" s="15"/>
      <c r="E981" s="15"/>
      <c r="F981" s="15"/>
      <c r="G981" s="15"/>
      <c r="H981" s="15"/>
      <c r="I981" s="11"/>
      <c r="J981" s="11"/>
      <c r="K981" s="11"/>
      <c r="L981" s="11"/>
      <c r="M981" s="15"/>
      <c r="N981" s="15"/>
      <c r="O981" s="15"/>
      <c r="P981" s="15"/>
      <c r="Q981" s="15"/>
      <c r="R981" s="15"/>
      <c r="S981" s="15"/>
      <c r="T981" s="15"/>
      <c r="U981" s="15"/>
      <c r="V981" s="15"/>
      <c r="W981" s="15"/>
      <c r="X981" s="15"/>
      <c r="Y981" s="15"/>
      <c r="Z981" s="15"/>
      <c r="AA981" s="15"/>
      <c r="AB981" s="15"/>
      <c r="AC981" s="15"/>
      <c r="AD981" s="15"/>
      <c r="AE981" s="15"/>
      <c r="AF981" s="15"/>
    </row>
    <row r="982" ht="15.75" customHeight="1">
      <c r="A982" s="15"/>
      <c r="B982" s="15"/>
      <c r="C982" s="21"/>
      <c r="D982" s="15"/>
      <c r="E982" s="15"/>
      <c r="F982" s="15"/>
      <c r="G982" s="15"/>
      <c r="H982" s="15"/>
      <c r="I982" s="11"/>
      <c r="J982" s="11"/>
      <c r="K982" s="11"/>
      <c r="L982" s="11"/>
      <c r="M982" s="15"/>
      <c r="N982" s="15"/>
      <c r="O982" s="15"/>
      <c r="P982" s="15"/>
      <c r="Q982" s="15"/>
      <c r="R982" s="15"/>
      <c r="S982" s="15"/>
      <c r="T982" s="15"/>
      <c r="U982" s="15"/>
      <c r="V982" s="15"/>
      <c r="W982" s="15"/>
      <c r="X982" s="15"/>
      <c r="Y982" s="15"/>
      <c r="Z982" s="15"/>
      <c r="AA982" s="15"/>
      <c r="AB982" s="15"/>
      <c r="AC982" s="15"/>
      <c r="AD982" s="15"/>
      <c r="AE982" s="15"/>
      <c r="AF982" s="15"/>
    </row>
    <row r="983" ht="15.75" customHeight="1">
      <c r="A983" s="15"/>
      <c r="B983" s="15"/>
      <c r="C983" s="21"/>
      <c r="D983" s="15"/>
      <c r="E983" s="15"/>
      <c r="F983" s="15"/>
      <c r="G983" s="15"/>
      <c r="H983" s="15"/>
      <c r="I983" s="11"/>
      <c r="J983" s="11"/>
      <c r="K983" s="11"/>
      <c r="L983" s="11"/>
      <c r="M983" s="15"/>
      <c r="N983" s="15"/>
      <c r="O983" s="15"/>
      <c r="P983" s="15"/>
      <c r="Q983" s="15"/>
      <c r="R983" s="15"/>
      <c r="S983" s="15"/>
      <c r="T983" s="15"/>
      <c r="U983" s="15"/>
      <c r="V983" s="15"/>
      <c r="W983" s="15"/>
      <c r="X983" s="15"/>
      <c r="Y983" s="15"/>
      <c r="Z983" s="15"/>
      <c r="AA983" s="15"/>
      <c r="AB983" s="15"/>
      <c r="AC983" s="15"/>
      <c r="AD983" s="15"/>
      <c r="AE983" s="15"/>
      <c r="AF983" s="15"/>
    </row>
    <row r="984" ht="15.75" customHeight="1">
      <c r="A984" s="15"/>
      <c r="B984" s="15"/>
      <c r="C984" s="21"/>
      <c r="D984" s="15"/>
      <c r="E984" s="15"/>
      <c r="F984" s="15"/>
      <c r="G984" s="15"/>
      <c r="H984" s="15"/>
      <c r="I984" s="11"/>
      <c r="J984" s="11"/>
      <c r="K984" s="11"/>
      <c r="L984" s="11"/>
      <c r="M984" s="15"/>
      <c r="N984" s="15"/>
      <c r="O984" s="15"/>
      <c r="P984" s="15"/>
      <c r="Q984" s="15"/>
      <c r="R984" s="15"/>
      <c r="S984" s="15"/>
      <c r="T984" s="15"/>
      <c r="U984" s="15"/>
      <c r="V984" s="15"/>
      <c r="W984" s="15"/>
      <c r="X984" s="15"/>
      <c r="Y984" s="15"/>
      <c r="Z984" s="15"/>
      <c r="AA984" s="15"/>
      <c r="AB984" s="15"/>
      <c r="AC984" s="15"/>
      <c r="AD984" s="15"/>
      <c r="AE984" s="15"/>
      <c r="AF984" s="15"/>
    </row>
    <row r="985" ht="15.75" customHeight="1">
      <c r="A985" s="15"/>
      <c r="B985" s="15"/>
      <c r="C985" s="21"/>
      <c r="D985" s="15"/>
      <c r="E985" s="15"/>
      <c r="F985" s="15"/>
      <c r="G985" s="15"/>
      <c r="H985" s="15"/>
      <c r="I985" s="11"/>
      <c r="J985" s="11"/>
      <c r="K985" s="11"/>
      <c r="L985" s="11"/>
      <c r="M985" s="15"/>
      <c r="N985" s="15"/>
      <c r="O985" s="15"/>
      <c r="P985" s="15"/>
      <c r="Q985" s="15"/>
      <c r="R985" s="15"/>
      <c r="S985" s="15"/>
      <c r="T985" s="15"/>
      <c r="U985" s="15"/>
      <c r="V985" s="15"/>
      <c r="W985" s="15"/>
      <c r="X985" s="15"/>
      <c r="Y985" s="15"/>
      <c r="Z985" s="15"/>
      <c r="AA985" s="15"/>
      <c r="AB985" s="15"/>
      <c r="AC985" s="15"/>
      <c r="AD985" s="15"/>
      <c r="AE985" s="15"/>
      <c r="AF985" s="15"/>
    </row>
    <row r="986" ht="15.75" customHeight="1">
      <c r="A986" s="15"/>
      <c r="B986" s="15"/>
      <c r="C986" s="21"/>
      <c r="D986" s="15"/>
      <c r="E986" s="15"/>
      <c r="F986" s="15"/>
      <c r="G986" s="15"/>
      <c r="H986" s="15"/>
      <c r="I986" s="11"/>
      <c r="J986" s="11"/>
      <c r="K986" s="11"/>
      <c r="L986" s="11"/>
      <c r="M986" s="15"/>
      <c r="N986" s="15"/>
      <c r="O986" s="15"/>
      <c r="P986" s="15"/>
      <c r="Q986" s="15"/>
      <c r="R986" s="15"/>
      <c r="S986" s="15"/>
      <c r="T986" s="15"/>
      <c r="U986" s="15"/>
      <c r="V986" s="15"/>
      <c r="W986" s="15"/>
      <c r="X986" s="15"/>
      <c r="Y986" s="15"/>
      <c r="Z986" s="15"/>
      <c r="AA986" s="15"/>
      <c r="AB986" s="15"/>
      <c r="AC986" s="15"/>
      <c r="AD986" s="15"/>
      <c r="AE986" s="15"/>
      <c r="AF986" s="15"/>
    </row>
    <row r="987" ht="15.75" customHeight="1">
      <c r="A987" s="15"/>
      <c r="B987" s="15"/>
      <c r="C987" s="21"/>
      <c r="D987" s="15"/>
      <c r="E987" s="15"/>
      <c r="F987" s="15"/>
      <c r="G987" s="15"/>
      <c r="H987" s="15"/>
      <c r="I987" s="11"/>
      <c r="J987" s="11"/>
      <c r="K987" s="11"/>
      <c r="L987" s="11"/>
      <c r="M987" s="15"/>
      <c r="N987" s="15"/>
      <c r="O987" s="15"/>
      <c r="P987" s="15"/>
      <c r="Q987" s="15"/>
      <c r="R987" s="15"/>
      <c r="S987" s="15"/>
      <c r="T987" s="15"/>
      <c r="U987" s="15"/>
      <c r="V987" s="15"/>
      <c r="W987" s="15"/>
      <c r="X987" s="15"/>
      <c r="Y987" s="15"/>
      <c r="Z987" s="15"/>
      <c r="AA987" s="15"/>
      <c r="AB987" s="15"/>
      <c r="AC987" s="15"/>
      <c r="AD987" s="15"/>
      <c r="AE987" s="15"/>
      <c r="AF987" s="15"/>
    </row>
    <row r="988" ht="15.75" customHeight="1">
      <c r="A988" s="15"/>
      <c r="B988" s="15"/>
      <c r="C988" s="21"/>
      <c r="D988" s="15"/>
      <c r="E988" s="15"/>
      <c r="F988" s="15"/>
      <c r="G988" s="15"/>
      <c r="H988" s="15"/>
      <c r="I988" s="11"/>
      <c r="J988" s="11"/>
      <c r="K988" s="11"/>
      <c r="L988" s="11"/>
      <c r="M988" s="15"/>
      <c r="N988" s="15"/>
      <c r="O988" s="15"/>
      <c r="P988" s="15"/>
      <c r="Q988" s="15"/>
      <c r="R988" s="15"/>
      <c r="S988" s="15"/>
      <c r="T988" s="15"/>
      <c r="U988" s="15"/>
      <c r="V988" s="15"/>
      <c r="W988" s="15"/>
      <c r="X988" s="15"/>
      <c r="Y988" s="15"/>
      <c r="Z988" s="15"/>
      <c r="AA988" s="15"/>
      <c r="AB988" s="15"/>
      <c r="AC988" s="15"/>
      <c r="AD988" s="15"/>
      <c r="AE988" s="15"/>
      <c r="AF988" s="15"/>
    </row>
    <row r="989" ht="15.75" customHeight="1">
      <c r="A989" s="15"/>
      <c r="B989" s="15"/>
      <c r="C989" s="21"/>
      <c r="D989" s="15"/>
      <c r="E989" s="15"/>
      <c r="F989" s="15"/>
      <c r="G989" s="15"/>
      <c r="H989" s="15"/>
      <c r="I989" s="11"/>
      <c r="J989" s="11"/>
      <c r="K989" s="11"/>
      <c r="L989" s="11"/>
      <c r="M989" s="15"/>
      <c r="N989" s="15"/>
      <c r="O989" s="15"/>
      <c r="P989" s="15"/>
      <c r="Q989" s="15"/>
      <c r="R989" s="15"/>
      <c r="S989" s="15"/>
      <c r="T989" s="15"/>
      <c r="U989" s="15"/>
      <c r="V989" s="15"/>
      <c r="W989" s="15"/>
      <c r="X989" s="15"/>
      <c r="Y989" s="15"/>
      <c r="Z989" s="15"/>
      <c r="AA989" s="15"/>
      <c r="AB989" s="15"/>
      <c r="AC989" s="15"/>
      <c r="AD989" s="15"/>
      <c r="AE989" s="15"/>
      <c r="AF989" s="15"/>
    </row>
    <row r="990" ht="15.75" customHeight="1">
      <c r="A990" s="15"/>
      <c r="B990" s="15"/>
      <c r="C990" s="21"/>
      <c r="D990" s="15"/>
      <c r="E990" s="15"/>
      <c r="F990" s="15"/>
      <c r="G990" s="15"/>
      <c r="H990" s="15"/>
      <c r="I990" s="11"/>
      <c r="J990" s="11"/>
      <c r="K990" s="11"/>
      <c r="L990" s="11"/>
      <c r="M990" s="15"/>
      <c r="N990" s="15"/>
      <c r="O990" s="15"/>
      <c r="P990" s="15"/>
      <c r="Q990" s="15"/>
      <c r="R990" s="15"/>
      <c r="S990" s="15"/>
      <c r="T990" s="15"/>
      <c r="U990" s="15"/>
      <c r="V990" s="15"/>
      <c r="W990" s="15"/>
      <c r="X990" s="15"/>
      <c r="Y990" s="15"/>
      <c r="Z990" s="15"/>
      <c r="AA990" s="15"/>
      <c r="AB990" s="15"/>
      <c r="AC990" s="15"/>
      <c r="AD990" s="15"/>
      <c r="AE990" s="15"/>
      <c r="AF990" s="15"/>
    </row>
    <row r="991" ht="15.75" customHeight="1">
      <c r="A991" s="15"/>
      <c r="B991" s="15"/>
      <c r="C991" s="21"/>
      <c r="D991" s="15"/>
      <c r="E991" s="15"/>
      <c r="F991" s="15"/>
      <c r="G991" s="15"/>
      <c r="H991" s="15"/>
      <c r="I991" s="11"/>
      <c r="J991" s="11"/>
      <c r="K991" s="11"/>
      <c r="L991" s="11"/>
      <c r="M991" s="15"/>
      <c r="N991" s="15"/>
      <c r="O991" s="15"/>
      <c r="P991" s="15"/>
      <c r="Q991" s="15"/>
      <c r="R991" s="15"/>
      <c r="S991" s="15"/>
      <c r="T991" s="15"/>
      <c r="U991" s="15"/>
      <c r="V991" s="15"/>
      <c r="W991" s="15"/>
      <c r="X991" s="15"/>
      <c r="Y991" s="15"/>
      <c r="Z991" s="15"/>
      <c r="AA991" s="15"/>
      <c r="AB991" s="15"/>
      <c r="AC991" s="15"/>
      <c r="AD991" s="15"/>
      <c r="AE991" s="15"/>
      <c r="AF991" s="15"/>
    </row>
    <row r="992" ht="15.75" customHeight="1">
      <c r="A992" s="15"/>
      <c r="B992" s="15"/>
      <c r="C992" s="21"/>
      <c r="D992" s="15"/>
      <c r="E992" s="15"/>
      <c r="F992" s="15"/>
      <c r="G992" s="15"/>
      <c r="H992" s="15"/>
      <c r="I992" s="11"/>
      <c r="J992" s="11"/>
      <c r="K992" s="11"/>
      <c r="L992" s="11"/>
      <c r="M992" s="15"/>
      <c r="N992" s="15"/>
      <c r="O992" s="15"/>
      <c r="P992" s="15"/>
      <c r="Q992" s="15"/>
      <c r="R992" s="15"/>
      <c r="S992" s="15"/>
      <c r="T992" s="15"/>
      <c r="U992" s="15"/>
      <c r="V992" s="15"/>
      <c r="W992" s="15"/>
      <c r="X992" s="15"/>
      <c r="Y992" s="15"/>
      <c r="Z992" s="15"/>
      <c r="AA992" s="15"/>
      <c r="AB992" s="15"/>
      <c r="AC992" s="15"/>
      <c r="AD992" s="15"/>
      <c r="AE992" s="15"/>
      <c r="AF992" s="15"/>
    </row>
    <row r="993" ht="15.75" customHeight="1">
      <c r="A993" s="15"/>
      <c r="B993" s="15"/>
      <c r="C993" s="21"/>
      <c r="D993" s="15"/>
      <c r="E993" s="15"/>
      <c r="F993" s="15"/>
      <c r="G993" s="15"/>
      <c r="H993" s="15"/>
      <c r="I993" s="11"/>
      <c r="J993" s="11"/>
      <c r="K993" s="11"/>
      <c r="L993" s="11"/>
      <c r="M993" s="15"/>
      <c r="N993" s="15"/>
      <c r="O993" s="15"/>
      <c r="P993" s="15"/>
      <c r="Q993" s="15"/>
      <c r="R993" s="15"/>
      <c r="S993" s="15"/>
      <c r="T993" s="15"/>
      <c r="U993" s="15"/>
      <c r="V993" s="15"/>
      <c r="W993" s="15"/>
      <c r="X993" s="15"/>
      <c r="Y993" s="15"/>
      <c r="Z993" s="15"/>
      <c r="AA993" s="15"/>
      <c r="AB993" s="15"/>
      <c r="AC993" s="15"/>
      <c r="AD993" s="15"/>
      <c r="AE993" s="15"/>
      <c r="AF993" s="15"/>
    </row>
    <row r="994" ht="15.75" customHeight="1">
      <c r="A994" s="15"/>
      <c r="B994" s="15"/>
      <c r="C994" s="21"/>
      <c r="D994" s="15"/>
      <c r="E994" s="15"/>
      <c r="F994" s="15"/>
      <c r="G994" s="15"/>
      <c r="H994" s="15"/>
      <c r="I994" s="11"/>
      <c r="J994" s="11"/>
      <c r="K994" s="11"/>
      <c r="L994" s="11"/>
      <c r="M994" s="15"/>
      <c r="N994" s="15"/>
      <c r="O994" s="15"/>
      <c r="P994" s="15"/>
      <c r="Q994" s="15"/>
      <c r="R994" s="15"/>
      <c r="S994" s="15"/>
      <c r="T994" s="15"/>
      <c r="U994" s="15"/>
      <c r="V994" s="15"/>
      <c r="W994" s="15"/>
      <c r="X994" s="15"/>
      <c r="Y994" s="15"/>
      <c r="Z994" s="15"/>
      <c r="AA994" s="15"/>
      <c r="AB994" s="15"/>
      <c r="AC994" s="15"/>
      <c r="AD994" s="15"/>
      <c r="AE994" s="15"/>
      <c r="AF994" s="15"/>
    </row>
    <row r="995" ht="15.75" customHeight="1">
      <c r="A995" s="15"/>
      <c r="B995" s="15"/>
      <c r="C995" s="21"/>
      <c r="D995" s="15"/>
      <c r="E995" s="15"/>
      <c r="F995" s="15"/>
      <c r="G995" s="15"/>
      <c r="H995" s="15"/>
      <c r="I995" s="11"/>
      <c r="J995" s="11"/>
      <c r="K995" s="11"/>
      <c r="L995" s="11"/>
      <c r="M995" s="15"/>
      <c r="N995" s="15"/>
      <c r="O995" s="15"/>
      <c r="P995" s="15"/>
      <c r="Q995" s="15"/>
      <c r="R995" s="15"/>
      <c r="S995" s="15"/>
      <c r="T995" s="15"/>
      <c r="U995" s="15"/>
      <c r="V995" s="15"/>
      <c r="W995" s="15"/>
      <c r="X995" s="15"/>
      <c r="Y995" s="15"/>
      <c r="Z995" s="15"/>
      <c r="AA995" s="15"/>
      <c r="AB995" s="15"/>
      <c r="AC995" s="15"/>
      <c r="AD995" s="15"/>
      <c r="AE995" s="15"/>
      <c r="AF995" s="15"/>
    </row>
    <row r="996" ht="15.75" customHeight="1">
      <c r="A996" s="15"/>
      <c r="B996" s="15"/>
      <c r="C996" s="21"/>
      <c r="D996" s="15"/>
      <c r="E996" s="15"/>
      <c r="F996" s="15"/>
      <c r="G996" s="15"/>
      <c r="H996" s="15"/>
      <c r="I996" s="11"/>
      <c r="J996" s="11"/>
      <c r="K996" s="11"/>
      <c r="L996" s="11"/>
      <c r="M996" s="15"/>
      <c r="N996" s="15"/>
      <c r="O996" s="15"/>
      <c r="P996" s="15"/>
      <c r="Q996" s="15"/>
      <c r="R996" s="15"/>
      <c r="S996" s="15"/>
      <c r="T996" s="15"/>
      <c r="U996" s="15"/>
      <c r="V996" s="15"/>
      <c r="W996" s="15"/>
      <c r="X996" s="15"/>
      <c r="Y996" s="15"/>
      <c r="Z996" s="15"/>
      <c r="AA996" s="15"/>
      <c r="AB996" s="15"/>
      <c r="AC996" s="15"/>
      <c r="AD996" s="15"/>
      <c r="AE996" s="15"/>
      <c r="AF996" s="15"/>
    </row>
    <row r="997" ht="15.75" customHeight="1">
      <c r="A997" s="15"/>
      <c r="B997" s="15"/>
      <c r="C997" s="21"/>
      <c r="D997" s="15"/>
      <c r="E997" s="15"/>
      <c r="F997" s="15"/>
      <c r="G997" s="15"/>
      <c r="H997" s="15"/>
      <c r="I997" s="11"/>
      <c r="J997" s="11"/>
      <c r="K997" s="11"/>
      <c r="L997" s="11"/>
      <c r="M997" s="15"/>
      <c r="N997" s="15"/>
      <c r="O997" s="15"/>
      <c r="P997" s="15"/>
      <c r="Q997" s="15"/>
      <c r="R997" s="15"/>
      <c r="S997" s="15"/>
      <c r="T997" s="15"/>
      <c r="U997" s="15"/>
      <c r="V997" s="15"/>
      <c r="W997" s="15"/>
      <c r="X997" s="15"/>
      <c r="Y997" s="15"/>
      <c r="Z997" s="15"/>
      <c r="AA997" s="15"/>
      <c r="AB997" s="15"/>
      <c r="AC997" s="15"/>
      <c r="AD997" s="15"/>
      <c r="AE997" s="15"/>
      <c r="AF997" s="15"/>
    </row>
    <row r="998" ht="15.75" customHeight="1">
      <c r="A998" s="15"/>
      <c r="B998" s="15"/>
      <c r="C998" s="21"/>
      <c r="D998" s="15"/>
      <c r="E998" s="15"/>
      <c r="F998" s="15"/>
      <c r="G998" s="15"/>
      <c r="H998" s="15"/>
      <c r="I998" s="11"/>
      <c r="J998" s="11"/>
      <c r="K998" s="11"/>
      <c r="L998" s="11"/>
      <c r="M998" s="15"/>
      <c r="N998" s="15"/>
      <c r="O998" s="15"/>
      <c r="P998" s="15"/>
      <c r="Q998" s="15"/>
      <c r="R998" s="15"/>
      <c r="S998" s="15"/>
      <c r="T998" s="15"/>
      <c r="U998" s="15"/>
      <c r="V998" s="15"/>
      <c r="W998" s="15"/>
      <c r="X998" s="15"/>
      <c r="Y998" s="15"/>
      <c r="Z998" s="15"/>
      <c r="AA998" s="15"/>
      <c r="AB998" s="15"/>
      <c r="AC998" s="15"/>
      <c r="AD998" s="15"/>
      <c r="AE998" s="15"/>
      <c r="AF998" s="15"/>
    </row>
    <row r="999" ht="15.75" customHeight="1">
      <c r="A999" s="15"/>
      <c r="B999" s="15"/>
      <c r="C999" s="21"/>
      <c r="D999" s="15"/>
      <c r="E999" s="15"/>
      <c r="F999" s="15"/>
      <c r="G999" s="15"/>
      <c r="H999" s="15"/>
      <c r="I999" s="11"/>
      <c r="J999" s="11"/>
      <c r="K999" s="11"/>
      <c r="L999" s="11"/>
      <c r="M999" s="15"/>
      <c r="N999" s="15"/>
      <c r="O999" s="15"/>
      <c r="P999" s="15"/>
      <c r="Q999" s="15"/>
      <c r="R999" s="15"/>
      <c r="S999" s="15"/>
      <c r="T999" s="15"/>
      <c r="U999" s="15"/>
      <c r="V999" s="15"/>
      <c r="W999" s="15"/>
      <c r="X999" s="15"/>
      <c r="Y999" s="15"/>
      <c r="Z999" s="15"/>
      <c r="AA999" s="15"/>
      <c r="AB999" s="15"/>
      <c r="AC999" s="15"/>
      <c r="AD999" s="15"/>
      <c r="AE999" s="15"/>
      <c r="AF999" s="15"/>
    </row>
    <row r="1000" ht="15.75" customHeight="1">
      <c r="A1000" s="15"/>
      <c r="B1000" s="15"/>
      <c r="C1000" s="21"/>
      <c r="D1000" s="15"/>
      <c r="E1000" s="15"/>
      <c r="F1000" s="15"/>
      <c r="G1000" s="15"/>
      <c r="H1000" s="15"/>
      <c r="I1000" s="11"/>
      <c r="J1000" s="11"/>
      <c r="K1000" s="11"/>
      <c r="L1000" s="11"/>
      <c r="M1000" s="15"/>
      <c r="N1000" s="15"/>
      <c r="O1000" s="15"/>
      <c r="P1000" s="15"/>
      <c r="Q1000" s="15"/>
      <c r="R1000" s="15"/>
      <c r="S1000" s="15"/>
      <c r="T1000" s="15"/>
      <c r="U1000" s="15"/>
      <c r="V1000" s="15"/>
      <c r="W1000" s="15"/>
      <c r="X1000" s="15"/>
      <c r="Y1000" s="15"/>
      <c r="Z1000" s="15"/>
      <c r="AA1000" s="15"/>
      <c r="AB1000" s="15"/>
      <c r="AC1000" s="15"/>
      <c r="AD1000" s="15"/>
      <c r="AE1000" s="15"/>
      <c r="AF1000" s="15"/>
    </row>
    <row r="1001" ht="15.75" customHeight="1">
      <c r="A1001" s="15"/>
      <c r="B1001" s="15"/>
      <c r="C1001" s="21"/>
      <c r="D1001" s="15"/>
      <c r="E1001" s="15"/>
      <c r="F1001" s="15"/>
      <c r="G1001" s="15"/>
      <c r="H1001" s="15"/>
      <c r="I1001" s="11"/>
      <c r="J1001" s="11"/>
      <c r="K1001" s="11"/>
      <c r="L1001" s="11"/>
      <c r="M1001" s="15"/>
      <c r="N1001" s="15"/>
      <c r="O1001" s="15"/>
      <c r="P1001" s="15"/>
      <c r="Q1001" s="15"/>
      <c r="R1001" s="15"/>
      <c r="S1001" s="15"/>
      <c r="T1001" s="15"/>
      <c r="U1001" s="15"/>
      <c r="V1001" s="15"/>
      <c r="W1001" s="15"/>
      <c r="X1001" s="15"/>
      <c r="Y1001" s="15"/>
      <c r="Z1001" s="15"/>
      <c r="AA1001" s="15"/>
      <c r="AB1001" s="15"/>
      <c r="AC1001" s="15"/>
      <c r="AD1001" s="15"/>
      <c r="AE1001" s="15"/>
      <c r="AF1001" s="15"/>
    </row>
    <row r="1002" ht="15.75" customHeight="1">
      <c r="A1002" s="15"/>
      <c r="B1002" s="15"/>
      <c r="C1002" s="21"/>
      <c r="D1002" s="15"/>
      <c r="E1002" s="15"/>
      <c r="F1002" s="15"/>
      <c r="G1002" s="15"/>
      <c r="H1002" s="15"/>
      <c r="I1002" s="11"/>
      <c r="J1002" s="11"/>
      <c r="K1002" s="11"/>
      <c r="L1002" s="11"/>
      <c r="M1002" s="15"/>
      <c r="N1002" s="15"/>
      <c r="O1002" s="15"/>
      <c r="P1002" s="15"/>
      <c r="Q1002" s="15"/>
      <c r="R1002" s="15"/>
      <c r="S1002" s="15"/>
      <c r="T1002" s="15"/>
      <c r="U1002" s="15"/>
      <c r="V1002" s="15"/>
      <c r="W1002" s="15"/>
      <c r="X1002" s="15"/>
      <c r="Y1002" s="15"/>
      <c r="Z1002" s="15"/>
      <c r="AA1002" s="15"/>
      <c r="AB1002" s="15"/>
      <c r="AC1002" s="15"/>
      <c r="AD1002" s="15"/>
      <c r="AE1002" s="15"/>
      <c r="AF1002" s="15"/>
    </row>
    <row r="1003" ht="15.75" customHeight="1">
      <c r="A1003" s="15"/>
      <c r="B1003" s="15"/>
      <c r="C1003" s="21"/>
      <c r="D1003" s="15"/>
      <c r="E1003" s="15"/>
      <c r="F1003" s="15"/>
      <c r="G1003" s="15"/>
      <c r="H1003" s="15"/>
      <c r="I1003" s="11"/>
      <c r="J1003" s="11"/>
      <c r="K1003" s="11"/>
      <c r="L1003" s="11"/>
      <c r="M1003" s="15"/>
      <c r="N1003" s="15"/>
      <c r="O1003" s="15"/>
      <c r="P1003" s="15"/>
      <c r="Q1003" s="15"/>
      <c r="R1003" s="15"/>
      <c r="S1003" s="15"/>
      <c r="T1003" s="15"/>
      <c r="U1003" s="15"/>
      <c r="V1003" s="15"/>
      <c r="W1003" s="15"/>
      <c r="X1003" s="15"/>
      <c r="Y1003" s="15"/>
      <c r="Z1003" s="15"/>
      <c r="AA1003" s="15"/>
      <c r="AB1003" s="15"/>
      <c r="AC1003" s="15"/>
      <c r="AD1003" s="15"/>
      <c r="AE1003" s="15"/>
      <c r="AF1003" s="15"/>
    </row>
    <row r="1004" ht="15.75" customHeight="1">
      <c r="A1004" s="15"/>
      <c r="B1004" s="15"/>
      <c r="C1004" s="21"/>
      <c r="D1004" s="15"/>
      <c r="E1004" s="15"/>
      <c r="F1004" s="15"/>
      <c r="G1004" s="15"/>
      <c r="H1004" s="15"/>
      <c r="I1004" s="11"/>
      <c r="J1004" s="11"/>
      <c r="K1004" s="11"/>
      <c r="L1004" s="11"/>
      <c r="M1004" s="15"/>
      <c r="N1004" s="15"/>
      <c r="O1004" s="15"/>
      <c r="P1004" s="15"/>
      <c r="Q1004" s="15"/>
      <c r="R1004" s="15"/>
      <c r="S1004" s="15"/>
      <c r="T1004" s="15"/>
      <c r="U1004" s="15"/>
      <c r="V1004" s="15"/>
      <c r="W1004" s="15"/>
      <c r="X1004" s="15"/>
      <c r="Y1004" s="15"/>
      <c r="Z1004" s="15"/>
      <c r="AA1004" s="15"/>
      <c r="AB1004" s="15"/>
      <c r="AC1004" s="15"/>
      <c r="AD1004" s="15"/>
      <c r="AE1004" s="15"/>
      <c r="AF1004" s="15"/>
    </row>
    <row r="1005" ht="15.75" customHeight="1">
      <c r="A1005" s="15"/>
      <c r="B1005" s="15"/>
      <c r="C1005" s="21"/>
      <c r="D1005" s="15"/>
      <c r="E1005" s="15"/>
      <c r="F1005" s="15"/>
      <c r="G1005" s="15"/>
      <c r="H1005" s="15"/>
      <c r="I1005" s="11"/>
      <c r="J1005" s="11"/>
      <c r="K1005" s="11"/>
      <c r="L1005" s="11"/>
      <c r="M1005" s="15"/>
      <c r="N1005" s="15"/>
      <c r="O1005" s="15"/>
      <c r="P1005" s="15"/>
      <c r="Q1005" s="15"/>
      <c r="R1005" s="15"/>
      <c r="S1005" s="15"/>
      <c r="T1005" s="15"/>
      <c r="U1005" s="15"/>
      <c r="V1005" s="15"/>
      <c r="W1005" s="15"/>
      <c r="X1005" s="15"/>
      <c r="Y1005" s="15"/>
      <c r="Z1005" s="15"/>
      <c r="AA1005" s="15"/>
      <c r="AB1005" s="15"/>
      <c r="AC1005" s="15"/>
      <c r="AD1005" s="15"/>
      <c r="AE1005" s="15"/>
      <c r="AF1005" s="15"/>
    </row>
    <row r="1006" ht="15.75" customHeight="1">
      <c r="A1006" s="15"/>
      <c r="B1006" s="15"/>
      <c r="C1006" s="21"/>
      <c r="D1006" s="15"/>
      <c r="E1006" s="15"/>
      <c r="F1006" s="15"/>
      <c r="G1006" s="15"/>
      <c r="H1006" s="15"/>
      <c r="I1006" s="11"/>
      <c r="J1006" s="11"/>
      <c r="K1006" s="11"/>
      <c r="L1006" s="11"/>
      <c r="M1006" s="15"/>
      <c r="N1006" s="15"/>
      <c r="O1006" s="15"/>
      <c r="P1006" s="15"/>
      <c r="Q1006" s="15"/>
      <c r="R1006" s="15"/>
      <c r="S1006" s="15"/>
      <c r="T1006" s="15"/>
      <c r="U1006" s="15"/>
      <c r="V1006" s="15"/>
      <c r="W1006" s="15"/>
      <c r="X1006" s="15"/>
      <c r="Y1006" s="15"/>
      <c r="Z1006" s="15"/>
      <c r="AA1006" s="15"/>
      <c r="AB1006" s="15"/>
      <c r="AC1006" s="15"/>
      <c r="AD1006" s="15"/>
      <c r="AE1006" s="15"/>
      <c r="AF1006" s="15"/>
    </row>
    <row r="1007" ht="15.75" customHeight="1">
      <c r="A1007" s="15"/>
      <c r="B1007" s="15"/>
      <c r="C1007" s="21"/>
      <c r="D1007" s="15"/>
      <c r="E1007" s="15"/>
      <c r="F1007" s="15"/>
      <c r="G1007" s="15"/>
      <c r="H1007" s="15"/>
      <c r="I1007" s="11"/>
      <c r="J1007" s="11"/>
      <c r="K1007" s="11"/>
      <c r="L1007" s="11"/>
      <c r="M1007" s="15"/>
      <c r="N1007" s="15"/>
      <c r="O1007" s="15"/>
      <c r="P1007" s="15"/>
      <c r="Q1007" s="15"/>
      <c r="R1007" s="15"/>
      <c r="S1007" s="15"/>
      <c r="T1007" s="15"/>
      <c r="U1007" s="15"/>
      <c r="V1007" s="15"/>
      <c r="W1007" s="15"/>
      <c r="X1007" s="15"/>
      <c r="Y1007" s="15"/>
      <c r="Z1007" s="15"/>
      <c r="AA1007" s="15"/>
      <c r="AB1007" s="15"/>
      <c r="AC1007" s="15"/>
      <c r="AD1007" s="15"/>
      <c r="AE1007" s="15"/>
      <c r="AF1007" s="15"/>
    </row>
    <row r="1008" ht="15.75" customHeight="1">
      <c r="A1008" s="15"/>
      <c r="B1008" s="15"/>
      <c r="C1008" s="21"/>
      <c r="D1008" s="15"/>
      <c r="E1008" s="15"/>
      <c r="F1008" s="15"/>
      <c r="G1008" s="15"/>
      <c r="H1008" s="15"/>
      <c r="I1008" s="11"/>
      <c r="J1008" s="11"/>
      <c r="K1008" s="11"/>
      <c r="L1008" s="11"/>
      <c r="M1008" s="15"/>
      <c r="N1008" s="15"/>
      <c r="O1008" s="15"/>
      <c r="P1008" s="15"/>
      <c r="Q1008" s="15"/>
      <c r="R1008" s="15"/>
      <c r="S1008" s="15"/>
      <c r="T1008" s="15"/>
      <c r="U1008" s="15"/>
      <c r="V1008" s="15"/>
      <c r="W1008" s="15"/>
      <c r="X1008" s="15"/>
      <c r="Y1008" s="15"/>
      <c r="Z1008" s="15"/>
      <c r="AA1008" s="15"/>
      <c r="AB1008" s="15"/>
      <c r="AC1008" s="15"/>
      <c r="AD1008" s="15"/>
      <c r="AE1008" s="15"/>
      <c r="AF1008" s="15"/>
    </row>
    <row r="1009" ht="15.75" customHeight="1">
      <c r="A1009" s="15"/>
      <c r="B1009" s="15"/>
      <c r="C1009" s="21"/>
      <c r="D1009" s="15"/>
      <c r="E1009" s="15"/>
      <c r="F1009" s="15"/>
      <c r="G1009" s="15"/>
      <c r="H1009" s="15"/>
      <c r="I1009" s="11"/>
      <c r="J1009" s="11"/>
      <c r="K1009" s="11"/>
      <c r="L1009" s="11"/>
      <c r="M1009" s="15"/>
      <c r="N1009" s="15"/>
      <c r="O1009" s="15"/>
      <c r="P1009" s="15"/>
      <c r="Q1009" s="15"/>
      <c r="R1009" s="15"/>
      <c r="S1009" s="15"/>
      <c r="T1009" s="15"/>
      <c r="U1009" s="15"/>
      <c r="V1009" s="15"/>
      <c r="W1009" s="15"/>
      <c r="X1009" s="15"/>
      <c r="Y1009" s="15"/>
      <c r="Z1009" s="15"/>
      <c r="AA1009" s="15"/>
      <c r="AB1009" s="15"/>
      <c r="AC1009" s="15"/>
      <c r="AD1009" s="15"/>
      <c r="AE1009" s="15"/>
      <c r="AF1009" s="15"/>
    </row>
    <row r="1010" ht="15.75" customHeight="1">
      <c r="A1010" s="15"/>
      <c r="B1010" s="15"/>
      <c r="C1010" s="21"/>
      <c r="D1010" s="15"/>
      <c r="E1010" s="15"/>
      <c r="F1010" s="15"/>
      <c r="G1010" s="15"/>
      <c r="H1010" s="15"/>
      <c r="I1010" s="11"/>
      <c r="J1010" s="11"/>
      <c r="K1010" s="11"/>
      <c r="L1010" s="11"/>
      <c r="M1010" s="15"/>
      <c r="N1010" s="15"/>
      <c r="O1010" s="15"/>
      <c r="P1010" s="15"/>
      <c r="Q1010" s="15"/>
      <c r="R1010" s="15"/>
      <c r="S1010" s="15"/>
      <c r="T1010" s="15"/>
      <c r="U1010" s="15"/>
      <c r="V1010" s="15"/>
      <c r="W1010" s="15"/>
      <c r="X1010" s="15"/>
      <c r="Y1010" s="15"/>
      <c r="Z1010" s="15"/>
      <c r="AA1010" s="15"/>
      <c r="AB1010" s="15"/>
      <c r="AC1010" s="15"/>
      <c r="AD1010" s="15"/>
      <c r="AE1010" s="15"/>
      <c r="AF1010" s="15"/>
    </row>
    <row r="1011" ht="15.75" customHeight="1">
      <c r="A1011" s="15"/>
      <c r="B1011" s="15"/>
      <c r="C1011" s="21"/>
      <c r="D1011" s="15"/>
      <c r="E1011" s="15"/>
      <c r="F1011" s="15"/>
      <c r="G1011" s="15"/>
      <c r="H1011" s="15"/>
      <c r="I1011" s="11"/>
      <c r="J1011" s="11"/>
      <c r="K1011" s="11"/>
      <c r="L1011" s="11"/>
      <c r="M1011" s="15"/>
      <c r="N1011" s="15"/>
      <c r="O1011" s="15"/>
      <c r="P1011" s="15"/>
      <c r="Q1011" s="15"/>
      <c r="R1011" s="15"/>
      <c r="S1011" s="15"/>
      <c r="T1011" s="15"/>
      <c r="U1011" s="15"/>
      <c r="V1011" s="15"/>
      <c r="W1011" s="15"/>
      <c r="X1011" s="15"/>
      <c r="Y1011" s="15"/>
      <c r="Z1011" s="15"/>
      <c r="AA1011" s="15"/>
      <c r="AB1011" s="15"/>
      <c r="AC1011" s="15"/>
      <c r="AD1011" s="15"/>
      <c r="AE1011" s="15"/>
      <c r="AF1011" s="15"/>
    </row>
    <row r="1012" ht="15.75" customHeight="1">
      <c r="A1012" s="15"/>
      <c r="B1012" s="15"/>
      <c r="C1012" s="21"/>
      <c r="D1012" s="15"/>
      <c r="E1012" s="15"/>
      <c r="F1012" s="15"/>
      <c r="G1012" s="15"/>
      <c r="H1012" s="15"/>
      <c r="I1012" s="11"/>
      <c r="J1012" s="11"/>
      <c r="K1012" s="11"/>
      <c r="L1012" s="11"/>
      <c r="M1012" s="15"/>
      <c r="N1012" s="15"/>
      <c r="O1012" s="15"/>
      <c r="P1012" s="15"/>
      <c r="Q1012" s="15"/>
      <c r="R1012" s="15"/>
      <c r="S1012" s="15"/>
      <c r="T1012" s="15"/>
      <c r="U1012" s="15"/>
      <c r="V1012" s="15"/>
      <c r="W1012" s="15"/>
      <c r="X1012" s="15"/>
      <c r="Y1012" s="15"/>
      <c r="Z1012" s="15"/>
      <c r="AA1012" s="15"/>
      <c r="AB1012" s="15"/>
      <c r="AC1012" s="15"/>
      <c r="AD1012" s="15"/>
      <c r="AE1012" s="15"/>
      <c r="AF1012" s="15"/>
    </row>
    <row r="1013" ht="15.75" customHeight="1">
      <c r="A1013" s="15"/>
      <c r="B1013" s="15"/>
      <c r="C1013" s="21"/>
      <c r="D1013" s="15"/>
      <c r="E1013" s="15"/>
      <c r="F1013" s="15"/>
      <c r="G1013" s="15"/>
      <c r="H1013" s="15"/>
      <c r="I1013" s="11"/>
      <c r="J1013" s="11"/>
      <c r="K1013" s="11"/>
      <c r="L1013" s="11"/>
      <c r="M1013" s="15"/>
      <c r="N1013" s="15"/>
      <c r="O1013" s="15"/>
      <c r="P1013" s="15"/>
      <c r="Q1013" s="15"/>
      <c r="R1013" s="15"/>
      <c r="S1013" s="15"/>
      <c r="T1013" s="15"/>
      <c r="U1013" s="15"/>
      <c r="V1013" s="15"/>
      <c r="W1013" s="15"/>
      <c r="X1013" s="15"/>
      <c r="Y1013" s="15"/>
      <c r="Z1013" s="15"/>
      <c r="AA1013" s="15"/>
      <c r="AB1013" s="15"/>
      <c r="AC1013" s="15"/>
      <c r="AD1013" s="15"/>
      <c r="AE1013" s="15"/>
      <c r="AF1013" s="15"/>
    </row>
    <row r="1014" ht="15.75" customHeight="1">
      <c r="A1014" s="15"/>
      <c r="B1014" s="15"/>
      <c r="C1014" s="21"/>
      <c r="D1014" s="15"/>
      <c r="E1014" s="15"/>
      <c r="F1014" s="15"/>
      <c r="G1014" s="15"/>
      <c r="H1014" s="15"/>
      <c r="I1014" s="11"/>
      <c r="J1014" s="11"/>
      <c r="K1014" s="11"/>
      <c r="L1014" s="11"/>
      <c r="M1014" s="15"/>
      <c r="N1014" s="15"/>
      <c r="O1014" s="15"/>
      <c r="P1014" s="15"/>
      <c r="Q1014" s="15"/>
      <c r="R1014" s="15"/>
      <c r="S1014" s="15"/>
      <c r="T1014" s="15"/>
      <c r="U1014" s="15"/>
      <c r="V1014" s="15"/>
      <c r="W1014" s="15"/>
      <c r="X1014" s="15"/>
      <c r="Y1014" s="15"/>
      <c r="Z1014" s="15"/>
      <c r="AA1014" s="15"/>
      <c r="AB1014" s="15"/>
      <c r="AC1014" s="15"/>
      <c r="AD1014" s="15"/>
      <c r="AE1014" s="15"/>
      <c r="AF1014" s="15"/>
    </row>
    <row r="1015" ht="15.75" customHeight="1">
      <c r="A1015" s="15"/>
      <c r="B1015" s="15"/>
      <c r="C1015" s="21"/>
      <c r="D1015" s="15"/>
      <c r="E1015" s="15"/>
      <c r="F1015" s="15"/>
      <c r="G1015" s="15"/>
      <c r="H1015" s="15"/>
      <c r="I1015" s="11"/>
      <c r="J1015" s="11"/>
      <c r="K1015" s="11"/>
      <c r="L1015" s="11"/>
      <c r="M1015" s="15"/>
      <c r="N1015" s="15"/>
      <c r="O1015" s="15"/>
      <c r="P1015" s="15"/>
      <c r="Q1015" s="15"/>
      <c r="R1015" s="15"/>
      <c r="S1015" s="15"/>
      <c r="T1015" s="15"/>
      <c r="U1015" s="15"/>
      <c r="V1015" s="15"/>
      <c r="W1015" s="15"/>
      <c r="X1015" s="15"/>
      <c r="Y1015" s="15"/>
      <c r="Z1015" s="15"/>
      <c r="AA1015" s="15"/>
      <c r="AB1015" s="15"/>
      <c r="AC1015" s="15"/>
      <c r="AD1015" s="15"/>
      <c r="AE1015" s="15"/>
      <c r="AF1015" s="15"/>
    </row>
    <row r="1016" ht="15.75" customHeight="1">
      <c r="A1016" s="15"/>
      <c r="B1016" s="15"/>
      <c r="C1016" s="21"/>
      <c r="D1016" s="15"/>
      <c r="E1016" s="15"/>
      <c r="F1016" s="15"/>
      <c r="G1016" s="15"/>
      <c r="H1016" s="15"/>
      <c r="I1016" s="11"/>
      <c r="J1016" s="11"/>
      <c r="K1016" s="11"/>
      <c r="L1016" s="11"/>
      <c r="M1016" s="15"/>
      <c r="N1016" s="15"/>
      <c r="O1016" s="15"/>
      <c r="P1016" s="15"/>
      <c r="Q1016" s="15"/>
      <c r="R1016" s="15"/>
      <c r="S1016" s="15"/>
      <c r="T1016" s="15"/>
      <c r="U1016" s="15"/>
      <c r="V1016" s="15"/>
      <c r="W1016" s="15"/>
      <c r="X1016" s="15"/>
      <c r="Y1016" s="15"/>
      <c r="Z1016" s="15"/>
      <c r="AA1016" s="15"/>
      <c r="AB1016" s="15"/>
      <c r="AC1016" s="15"/>
      <c r="AD1016" s="15"/>
      <c r="AE1016" s="15"/>
      <c r="AF1016" s="15"/>
    </row>
    <row r="1017" ht="15.75" customHeight="1">
      <c r="A1017" s="15"/>
      <c r="B1017" s="15"/>
      <c r="C1017" s="21"/>
      <c r="D1017" s="15"/>
      <c r="E1017" s="15"/>
      <c r="F1017" s="15"/>
      <c r="G1017" s="15"/>
      <c r="H1017" s="15"/>
      <c r="I1017" s="11"/>
      <c r="J1017" s="11"/>
      <c r="K1017" s="11"/>
      <c r="L1017" s="11"/>
      <c r="M1017" s="15"/>
      <c r="N1017" s="15"/>
      <c r="O1017" s="15"/>
      <c r="P1017" s="15"/>
      <c r="Q1017" s="15"/>
      <c r="R1017" s="15"/>
      <c r="S1017" s="15"/>
      <c r="T1017" s="15"/>
      <c r="U1017" s="15"/>
      <c r="V1017" s="15"/>
      <c r="W1017" s="15"/>
      <c r="X1017" s="15"/>
      <c r="Y1017" s="15"/>
      <c r="Z1017" s="15"/>
      <c r="AA1017" s="15"/>
      <c r="AB1017" s="15"/>
      <c r="AC1017" s="15"/>
      <c r="AD1017" s="15"/>
      <c r="AE1017" s="15"/>
      <c r="AF1017" s="15"/>
    </row>
    <row r="1018" ht="15.75" customHeight="1">
      <c r="A1018" s="15"/>
      <c r="B1018" s="15"/>
      <c r="C1018" s="21"/>
      <c r="D1018" s="15"/>
      <c r="E1018" s="15"/>
      <c r="F1018" s="15"/>
      <c r="G1018" s="15"/>
      <c r="H1018" s="15"/>
      <c r="I1018" s="11"/>
      <c r="J1018" s="11"/>
      <c r="K1018" s="11"/>
      <c r="L1018" s="11"/>
      <c r="M1018" s="15"/>
      <c r="N1018" s="15"/>
      <c r="O1018" s="15"/>
      <c r="P1018" s="15"/>
      <c r="Q1018" s="15"/>
      <c r="R1018" s="15"/>
      <c r="S1018" s="15"/>
      <c r="T1018" s="15"/>
      <c r="U1018" s="15"/>
      <c r="V1018" s="15"/>
      <c r="W1018" s="15"/>
      <c r="X1018" s="15"/>
      <c r="Y1018" s="15"/>
      <c r="Z1018" s="15"/>
      <c r="AA1018" s="15"/>
      <c r="AB1018" s="15"/>
      <c r="AC1018" s="15"/>
      <c r="AD1018" s="15"/>
      <c r="AE1018" s="15"/>
      <c r="AF1018" s="15"/>
    </row>
    <row r="1019" ht="15.75" customHeight="1">
      <c r="A1019" s="15"/>
      <c r="B1019" s="15"/>
      <c r="C1019" s="21"/>
      <c r="D1019" s="15"/>
      <c r="E1019" s="15"/>
      <c r="F1019" s="15"/>
      <c r="G1019" s="15"/>
      <c r="H1019" s="15"/>
      <c r="I1019" s="11"/>
      <c r="J1019" s="11"/>
      <c r="K1019" s="11"/>
      <c r="L1019" s="11"/>
      <c r="M1019" s="15"/>
      <c r="N1019" s="15"/>
      <c r="O1019" s="15"/>
      <c r="P1019" s="15"/>
      <c r="Q1019" s="15"/>
      <c r="R1019" s="15"/>
      <c r="S1019" s="15"/>
      <c r="T1019" s="15"/>
      <c r="U1019" s="15"/>
      <c r="V1019" s="15"/>
      <c r="W1019" s="15"/>
      <c r="X1019" s="15"/>
      <c r="Y1019" s="15"/>
      <c r="Z1019" s="15"/>
      <c r="AA1019" s="15"/>
      <c r="AB1019" s="15"/>
      <c r="AC1019" s="15"/>
      <c r="AD1019" s="15"/>
      <c r="AE1019" s="15"/>
      <c r="AF1019" s="15"/>
    </row>
    <row r="1020" ht="15.75" customHeight="1">
      <c r="A1020" s="15"/>
      <c r="B1020" s="15"/>
      <c r="C1020" s="21"/>
      <c r="D1020" s="15"/>
      <c r="E1020" s="15"/>
      <c r="F1020" s="15"/>
      <c r="G1020" s="15"/>
      <c r="H1020" s="15"/>
      <c r="I1020" s="11"/>
      <c r="J1020" s="11"/>
      <c r="K1020" s="11"/>
      <c r="L1020" s="11"/>
      <c r="M1020" s="15"/>
      <c r="N1020" s="15"/>
      <c r="O1020" s="15"/>
      <c r="P1020" s="15"/>
      <c r="Q1020" s="15"/>
      <c r="R1020" s="15"/>
      <c r="S1020" s="15"/>
      <c r="T1020" s="15"/>
      <c r="U1020" s="15"/>
      <c r="V1020" s="15"/>
      <c r="W1020" s="15"/>
      <c r="X1020" s="15"/>
      <c r="Y1020" s="15"/>
      <c r="Z1020" s="15"/>
      <c r="AA1020" s="15"/>
      <c r="AB1020" s="15"/>
      <c r="AC1020" s="15"/>
      <c r="AD1020" s="15"/>
      <c r="AE1020" s="15"/>
      <c r="AF1020" s="15"/>
    </row>
    <row r="1021" ht="15.75" customHeight="1">
      <c r="A1021" s="15"/>
      <c r="B1021" s="15"/>
      <c r="C1021" s="21"/>
      <c r="D1021" s="15"/>
      <c r="E1021" s="15"/>
      <c r="F1021" s="15"/>
      <c r="G1021" s="15"/>
      <c r="H1021" s="15"/>
      <c r="I1021" s="11"/>
      <c r="J1021" s="11"/>
      <c r="K1021" s="11"/>
      <c r="L1021" s="11"/>
      <c r="M1021" s="15"/>
      <c r="N1021" s="15"/>
      <c r="O1021" s="15"/>
      <c r="P1021" s="15"/>
      <c r="Q1021" s="15"/>
      <c r="R1021" s="15"/>
      <c r="S1021" s="15"/>
      <c r="T1021" s="15"/>
      <c r="U1021" s="15"/>
      <c r="V1021" s="15"/>
      <c r="W1021" s="15"/>
      <c r="X1021" s="15"/>
      <c r="Y1021" s="15"/>
      <c r="Z1021" s="15"/>
      <c r="AA1021" s="15"/>
      <c r="AB1021" s="15"/>
      <c r="AC1021" s="15"/>
      <c r="AD1021" s="15"/>
      <c r="AE1021" s="15"/>
      <c r="AF1021" s="15"/>
    </row>
    <row r="1022" ht="15.75" customHeight="1">
      <c r="A1022" s="15"/>
      <c r="B1022" s="15"/>
      <c r="C1022" s="21"/>
      <c r="D1022" s="15"/>
      <c r="E1022" s="15"/>
      <c r="F1022" s="15"/>
      <c r="G1022" s="15"/>
      <c r="H1022" s="15"/>
      <c r="I1022" s="11"/>
      <c r="J1022" s="11"/>
      <c r="K1022" s="11"/>
      <c r="L1022" s="11"/>
      <c r="M1022" s="15"/>
      <c r="N1022" s="15"/>
      <c r="O1022" s="15"/>
      <c r="P1022" s="15"/>
      <c r="Q1022" s="15"/>
      <c r="R1022" s="15"/>
      <c r="S1022" s="15"/>
      <c r="T1022" s="15"/>
      <c r="U1022" s="15"/>
      <c r="V1022" s="15"/>
      <c r="W1022" s="15"/>
      <c r="X1022" s="15"/>
      <c r="Y1022" s="15"/>
      <c r="Z1022" s="15"/>
      <c r="AA1022" s="15"/>
      <c r="AB1022" s="15"/>
      <c r="AC1022" s="15"/>
      <c r="AD1022" s="15"/>
      <c r="AE1022" s="15"/>
      <c r="AF1022" s="15"/>
    </row>
    <row r="1023" ht="15.75" customHeight="1">
      <c r="A1023" s="15"/>
      <c r="B1023" s="15"/>
      <c r="C1023" s="21"/>
      <c r="D1023" s="15"/>
      <c r="E1023" s="15"/>
      <c r="F1023" s="15"/>
      <c r="G1023" s="15"/>
      <c r="H1023" s="15"/>
      <c r="I1023" s="11"/>
      <c r="J1023" s="11"/>
      <c r="K1023" s="11"/>
      <c r="L1023" s="11"/>
      <c r="M1023" s="15"/>
      <c r="N1023" s="15"/>
      <c r="O1023" s="15"/>
      <c r="P1023" s="15"/>
      <c r="Q1023" s="15"/>
      <c r="R1023" s="15"/>
      <c r="S1023" s="15"/>
      <c r="T1023" s="15"/>
      <c r="U1023" s="15"/>
      <c r="V1023" s="15"/>
      <c r="W1023" s="15"/>
      <c r="X1023" s="15"/>
      <c r="Y1023" s="15"/>
      <c r="Z1023" s="15"/>
      <c r="AA1023" s="15"/>
      <c r="AB1023" s="15"/>
      <c r="AC1023" s="15"/>
      <c r="AD1023" s="15"/>
      <c r="AE1023" s="15"/>
      <c r="AF1023" s="15"/>
    </row>
    <row r="1024" ht="15.75" customHeight="1">
      <c r="A1024" s="15"/>
      <c r="B1024" s="15"/>
      <c r="C1024" s="21"/>
      <c r="D1024" s="15"/>
      <c r="E1024" s="15"/>
      <c r="F1024" s="15"/>
      <c r="G1024" s="15"/>
      <c r="H1024" s="15"/>
      <c r="I1024" s="11"/>
      <c r="J1024" s="11"/>
      <c r="K1024" s="11"/>
      <c r="L1024" s="11"/>
      <c r="M1024" s="15"/>
      <c r="N1024" s="15"/>
      <c r="O1024" s="15"/>
      <c r="P1024" s="15"/>
      <c r="Q1024" s="15"/>
      <c r="R1024" s="15"/>
      <c r="S1024" s="15"/>
      <c r="T1024" s="15"/>
      <c r="U1024" s="15"/>
      <c r="V1024" s="15"/>
      <c r="W1024" s="15"/>
      <c r="X1024" s="15"/>
      <c r="Y1024" s="15"/>
      <c r="Z1024" s="15"/>
      <c r="AA1024" s="15"/>
      <c r="AB1024" s="15"/>
      <c r="AC1024" s="15"/>
      <c r="AD1024" s="15"/>
      <c r="AE1024" s="15"/>
      <c r="AF1024" s="15"/>
    </row>
    <row r="1025" ht="15.75" customHeight="1">
      <c r="A1025" s="15"/>
      <c r="B1025" s="15"/>
      <c r="C1025" s="21"/>
      <c r="D1025" s="15"/>
      <c r="E1025" s="15"/>
      <c r="F1025" s="15"/>
      <c r="G1025" s="15"/>
      <c r="H1025" s="15"/>
      <c r="I1025" s="11"/>
      <c r="J1025" s="11"/>
      <c r="K1025" s="11"/>
      <c r="L1025" s="11"/>
      <c r="M1025" s="15"/>
      <c r="N1025" s="15"/>
      <c r="O1025" s="15"/>
      <c r="P1025" s="15"/>
      <c r="Q1025" s="15"/>
      <c r="R1025" s="15"/>
      <c r="S1025" s="15"/>
      <c r="T1025" s="15"/>
      <c r="U1025" s="15"/>
      <c r="V1025" s="15"/>
      <c r="W1025" s="15"/>
      <c r="X1025" s="15"/>
      <c r="Y1025" s="15"/>
      <c r="Z1025" s="15"/>
      <c r="AA1025" s="15"/>
      <c r="AB1025" s="15"/>
      <c r="AC1025" s="15"/>
      <c r="AD1025" s="15"/>
      <c r="AE1025" s="15"/>
      <c r="AF1025" s="15"/>
    </row>
    <row r="1026" ht="15.75" customHeight="1">
      <c r="A1026" s="15"/>
      <c r="B1026" s="15"/>
      <c r="C1026" s="21"/>
      <c r="D1026" s="15"/>
      <c r="E1026" s="15"/>
      <c r="F1026" s="15"/>
      <c r="G1026" s="15"/>
      <c r="H1026" s="15"/>
      <c r="I1026" s="11"/>
      <c r="J1026" s="11"/>
      <c r="K1026" s="11"/>
      <c r="L1026" s="11"/>
      <c r="M1026" s="15"/>
      <c r="N1026" s="15"/>
      <c r="O1026" s="15"/>
      <c r="P1026" s="15"/>
      <c r="Q1026" s="15"/>
      <c r="R1026" s="15"/>
      <c r="S1026" s="15"/>
      <c r="T1026" s="15"/>
      <c r="U1026" s="15"/>
      <c r="V1026" s="15"/>
      <c r="W1026" s="15"/>
      <c r="X1026" s="15"/>
      <c r="Y1026" s="15"/>
      <c r="Z1026" s="15"/>
      <c r="AA1026" s="15"/>
      <c r="AB1026" s="15"/>
      <c r="AC1026" s="15"/>
      <c r="AD1026" s="15"/>
      <c r="AE1026" s="15"/>
      <c r="AF1026" s="15"/>
    </row>
    <row r="1027" ht="15.75" customHeight="1">
      <c r="A1027" s="15"/>
      <c r="B1027" s="15"/>
      <c r="C1027" s="21"/>
      <c r="D1027" s="15"/>
      <c r="E1027" s="15"/>
      <c r="F1027" s="15"/>
      <c r="G1027" s="15"/>
      <c r="H1027" s="15"/>
      <c r="I1027" s="11"/>
      <c r="J1027" s="11"/>
      <c r="K1027" s="11"/>
      <c r="L1027" s="11"/>
      <c r="M1027" s="15"/>
      <c r="N1027" s="15"/>
      <c r="O1027" s="15"/>
      <c r="P1027" s="15"/>
      <c r="Q1027" s="15"/>
      <c r="R1027" s="15"/>
      <c r="S1027" s="15"/>
      <c r="T1027" s="15"/>
      <c r="U1027" s="15"/>
      <c r="V1027" s="15"/>
      <c r="W1027" s="15"/>
      <c r="X1027" s="15"/>
      <c r="Y1027" s="15"/>
      <c r="Z1027" s="15"/>
      <c r="AA1027" s="15"/>
      <c r="AB1027" s="15"/>
      <c r="AC1027" s="15"/>
      <c r="AD1027" s="15"/>
      <c r="AE1027" s="15"/>
      <c r="AF1027" s="15"/>
    </row>
    <row r="1028" ht="15.75" customHeight="1">
      <c r="A1028" s="15"/>
      <c r="B1028" s="15"/>
      <c r="C1028" s="21"/>
      <c r="D1028" s="15"/>
      <c r="E1028" s="15"/>
      <c r="F1028" s="15"/>
      <c r="G1028" s="15"/>
      <c r="H1028" s="15"/>
      <c r="I1028" s="11"/>
      <c r="J1028" s="11"/>
      <c r="K1028" s="11"/>
      <c r="L1028" s="11"/>
      <c r="M1028" s="15"/>
      <c r="N1028" s="15"/>
      <c r="O1028" s="15"/>
      <c r="P1028" s="15"/>
      <c r="Q1028" s="15"/>
      <c r="R1028" s="15"/>
      <c r="S1028" s="15"/>
      <c r="T1028" s="15"/>
      <c r="U1028" s="15"/>
      <c r="V1028" s="15"/>
      <c r="W1028" s="15"/>
      <c r="X1028" s="15"/>
      <c r="Y1028" s="15"/>
      <c r="Z1028" s="15"/>
      <c r="AA1028" s="15"/>
      <c r="AB1028" s="15"/>
      <c r="AC1028" s="15"/>
      <c r="AD1028" s="15"/>
      <c r="AE1028" s="15"/>
      <c r="AF1028" s="15"/>
    </row>
    <row r="1029" ht="15.75" customHeight="1">
      <c r="A1029" s="15"/>
      <c r="B1029" s="15"/>
      <c r="C1029" s="21"/>
      <c r="D1029" s="15"/>
      <c r="E1029" s="15"/>
      <c r="F1029" s="15"/>
      <c r="G1029" s="15"/>
      <c r="H1029" s="15"/>
      <c r="I1029" s="11"/>
      <c r="J1029" s="11"/>
      <c r="K1029" s="11"/>
      <c r="L1029" s="11"/>
      <c r="M1029" s="15"/>
      <c r="N1029" s="15"/>
      <c r="O1029" s="15"/>
      <c r="P1029" s="15"/>
      <c r="Q1029" s="15"/>
      <c r="R1029" s="15"/>
      <c r="S1029" s="15"/>
      <c r="T1029" s="15"/>
      <c r="U1029" s="15"/>
      <c r="V1029" s="15"/>
      <c r="W1029" s="15"/>
      <c r="X1029" s="15"/>
      <c r="Y1029" s="15"/>
      <c r="Z1029" s="15"/>
      <c r="AA1029" s="15"/>
      <c r="AB1029" s="15"/>
      <c r="AC1029" s="15"/>
      <c r="AD1029" s="15"/>
      <c r="AE1029" s="15"/>
      <c r="AF1029" s="15"/>
    </row>
    <row r="1030" ht="15.75" customHeight="1">
      <c r="A1030" s="15"/>
      <c r="B1030" s="15"/>
      <c r="C1030" s="21"/>
      <c r="D1030" s="15"/>
      <c r="E1030" s="15"/>
      <c r="F1030" s="15"/>
      <c r="G1030" s="15"/>
      <c r="H1030" s="15"/>
      <c r="I1030" s="11"/>
      <c r="J1030" s="11"/>
      <c r="K1030" s="11"/>
      <c r="L1030" s="11"/>
      <c r="M1030" s="15"/>
      <c r="N1030" s="15"/>
      <c r="O1030" s="15"/>
      <c r="P1030" s="15"/>
      <c r="Q1030" s="15"/>
      <c r="R1030" s="15"/>
      <c r="S1030" s="15"/>
      <c r="T1030" s="15"/>
      <c r="U1030" s="15"/>
      <c r="V1030" s="15"/>
      <c r="W1030" s="15"/>
      <c r="X1030" s="15"/>
      <c r="Y1030" s="15"/>
      <c r="Z1030" s="15"/>
      <c r="AA1030" s="15"/>
      <c r="AB1030" s="15"/>
      <c r="AC1030" s="15"/>
      <c r="AD1030" s="15"/>
      <c r="AE1030" s="15"/>
      <c r="AF1030" s="15"/>
    </row>
    <row r="1031" ht="15.75" customHeight="1">
      <c r="A1031" s="15"/>
      <c r="B1031" s="15"/>
      <c r="C1031" s="21"/>
      <c r="D1031" s="15"/>
      <c r="E1031" s="15"/>
      <c r="F1031" s="15"/>
      <c r="G1031" s="15"/>
      <c r="H1031" s="15"/>
      <c r="I1031" s="11"/>
      <c r="J1031" s="11"/>
      <c r="K1031" s="11"/>
      <c r="L1031" s="11"/>
      <c r="M1031" s="15"/>
      <c r="N1031" s="15"/>
      <c r="O1031" s="15"/>
      <c r="P1031" s="15"/>
      <c r="Q1031" s="15"/>
      <c r="R1031" s="15"/>
      <c r="S1031" s="15"/>
      <c r="T1031" s="15"/>
      <c r="U1031" s="15"/>
      <c r="V1031" s="15"/>
      <c r="W1031" s="15"/>
      <c r="X1031" s="15"/>
      <c r="Y1031" s="15"/>
      <c r="Z1031" s="15"/>
      <c r="AA1031" s="15"/>
      <c r="AB1031" s="15"/>
      <c r="AC1031" s="15"/>
      <c r="AD1031" s="15"/>
      <c r="AE1031" s="15"/>
      <c r="AF1031" s="15"/>
    </row>
    <row r="1032" ht="15.75" customHeight="1">
      <c r="A1032" s="15"/>
      <c r="B1032" s="15"/>
      <c r="C1032" s="21"/>
      <c r="D1032" s="15"/>
      <c r="E1032" s="15"/>
      <c r="F1032" s="15"/>
      <c r="G1032" s="15"/>
      <c r="H1032" s="15"/>
      <c r="I1032" s="11"/>
      <c r="J1032" s="11"/>
      <c r="K1032" s="11"/>
      <c r="L1032" s="11"/>
      <c r="M1032" s="15"/>
      <c r="N1032" s="15"/>
      <c r="O1032" s="15"/>
      <c r="P1032" s="15"/>
      <c r="Q1032" s="15"/>
      <c r="R1032" s="15"/>
      <c r="S1032" s="15"/>
      <c r="T1032" s="15"/>
      <c r="U1032" s="15"/>
      <c r="V1032" s="15"/>
      <c r="W1032" s="15"/>
      <c r="X1032" s="15"/>
      <c r="Y1032" s="15"/>
      <c r="Z1032" s="15"/>
      <c r="AA1032" s="15"/>
      <c r="AB1032" s="15"/>
      <c r="AC1032" s="15"/>
      <c r="AD1032" s="15"/>
      <c r="AE1032" s="15"/>
      <c r="AF1032" s="15"/>
    </row>
    <row r="1033" ht="15.75" customHeight="1">
      <c r="A1033" s="15"/>
      <c r="B1033" s="15"/>
      <c r="C1033" s="21"/>
      <c r="D1033" s="15"/>
      <c r="E1033" s="15"/>
      <c r="F1033" s="15"/>
      <c r="G1033" s="15"/>
      <c r="H1033" s="15"/>
      <c r="I1033" s="11"/>
      <c r="J1033" s="11"/>
      <c r="K1033" s="11"/>
      <c r="L1033" s="11"/>
      <c r="M1033" s="15"/>
      <c r="N1033" s="15"/>
      <c r="O1033" s="15"/>
      <c r="P1033" s="15"/>
      <c r="Q1033" s="15"/>
      <c r="R1033" s="15"/>
      <c r="S1033" s="15"/>
      <c r="T1033" s="15"/>
      <c r="U1033" s="15"/>
      <c r="V1033" s="15"/>
      <c r="W1033" s="15"/>
      <c r="X1033" s="15"/>
      <c r="Y1033" s="15"/>
      <c r="Z1033" s="15"/>
      <c r="AA1033" s="15"/>
      <c r="AB1033" s="15"/>
      <c r="AC1033" s="15"/>
      <c r="AD1033" s="15"/>
      <c r="AE1033" s="15"/>
      <c r="AF1033" s="15"/>
    </row>
    <row r="1034" ht="15.75" customHeight="1">
      <c r="A1034" s="15"/>
      <c r="B1034" s="15"/>
      <c r="C1034" s="21"/>
      <c r="D1034" s="15"/>
      <c r="E1034" s="15"/>
      <c r="F1034" s="15"/>
      <c r="G1034" s="15"/>
      <c r="H1034" s="15"/>
      <c r="I1034" s="11"/>
      <c r="J1034" s="11"/>
      <c r="K1034" s="11"/>
      <c r="L1034" s="11"/>
      <c r="M1034" s="15"/>
      <c r="N1034" s="15"/>
      <c r="O1034" s="15"/>
      <c r="P1034" s="15"/>
      <c r="Q1034" s="15"/>
      <c r="R1034" s="15"/>
      <c r="S1034" s="15"/>
      <c r="T1034" s="15"/>
      <c r="U1034" s="15"/>
      <c r="V1034" s="15"/>
      <c r="W1034" s="15"/>
      <c r="X1034" s="15"/>
      <c r="Y1034" s="15"/>
      <c r="Z1034" s="15"/>
      <c r="AA1034" s="15"/>
      <c r="AB1034" s="15"/>
      <c r="AC1034" s="15"/>
      <c r="AD1034" s="15"/>
      <c r="AE1034" s="15"/>
      <c r="AF1034" s="15"/>
    </row>
    <row r="1035" ht="15.75" customHeight="1">
      <c r="A1035" s="15"/>
      <c r="B1035" s="15"/>
      <c r="C1035" s="21"/>
      <c r="D1035" s="15"/>
      <c r="E1035" s="15"/>
      <c r="F1035" s="15"/>
      <c r="G1035" s="15"/>
      <c r="H1035" s="15"/>
      <c r="I1035" s="11"/>
      <c r="J1035" s="11"/>
      <c r="K1035" s="11"/>
      <c r="L1035" s="11"/>
      <c r="M1035" s="15"/>
      <c r="N1035" s="15"/>
      <c r="O1035" s="15"/>
      <c r="P1035" s="15"/>
      <c r="Q1035" s="15"/>
      <c r="R1035" s="15"/>
      <c r="S1035" s="15"/>
      <c r="T1035" s="15"/>
      <c r="U1035" s="15"/>
      <c r="V1035" s="15"/>
      <c r="W1035" s="15"/>
      <c r="X1035" s="15"/>
      <c r="Y1035" s="15"/>
      <c r="Z1035" s="15"/>
      <c r="AA1035" s="15"/>
      <c r="AB1035" s="15"/>
      <c r="AC1035" s="15"/>
      <c r="AD1035" s="15"/>
      <c r="AE1035" s="15"/>
      <c r="AF1035" s="15"/>
    </row>
    <row r="1036" ht="15.75" customHeight="1">
      <c r="A1036" s="15"/>
      <c r="B1036" s="15"/>
      <c r="C1036" s="21"/>
      <c r="D1036" s="15"/>
      <c r="E1036" s="15"/>
      <c r="F1036" s="15"/>
      <c r="G1036" s="15"/>
      <c r="H1036" s="15"/>
      <c r="I1036" s="11"/>
      <c r="J1036" s="11"/>
      <c r="K1036" s="11"/>
      <c r="L1036" s="11"/>
      <c r="M1036" s="15"/>
      <c r="N1036" s="15"/>
      <c r="O1036" s="15"/>
      <c r="P1036" s="15"/>
      <c r="Q1036" s="15"/>
      <c r="R1036" s="15"/>
      <c r="S1036" s="15"/>
      <c r="T1036" s="15"/>
      <c r="U1036" s="15"/>
      <c r="V1036" s="15"/>
      <c r="W1036" s="15"/>
      <c r="X1036" s="15"/>
      <c r="Y1036" s="15"/>
      <c r="Z1036" s="15"/>
      <c r="AA1036" s="15"/>
      <c r="AB1036" s="15"/>
      <c r="AC1036" s="15"/>
      <c r="AD1036" s="15"/>
      <c r="AE1036" s="15"/>
      <c r="AF1036" s="15"/>
    </row>
    <row r="1037" ht="15.75" customHeight="1">
      <c r="A1037" s="15"/>
      <c r="B1037" s="15"/>
      <c r="C1037" s="21"/>
      <c r="D1037" s="15"/>
      <c r="E1037" s="15"/>
      <c r="F1037" s="15"/>
      <c r="G1037" s="15"/>
      <c r="H1037" s="15"/>
      <c r="I1037" s="11"/>
      <c r="J1037" s="11"/>
      <c r="K1037" s="11"/>
      <c r="L1037" s="11"/>
      <c r="M1037" s="15"/>
      <c r="N1037" s="15"/>
      <c r="O1037" s="15"/>
      <c r="P1037" s="15"/>
      <c r="Q1037" s="15"/>
      <c r="R1037" s="15"/>
      <c r="S1037" s="15"/>
      <c r="T1037" s="15"/>
      <c r="U1037" s="15"/>
      <c r="V1037" s="15"/>
      <c r="W1037" s="15"/>
      <c r="X1037" s="15"/>
      <c r="Y1037" s="15"/>
      <c r="Z1037" s="15"/>
      <c r="AA1037" s="15"/>
      <c r="AB1037" s="15"/>
      <c r="AC1037" s="15"/>
      <c r="AD1037" s="15"/>
      <c r="AE1037" s="15"/>
      <c r="AF1037" s="15"/>
    </row>
    <row r="1038" ht="15.75" customHeight="1">
      <c r="A1038" s="15"/>
      <c r="B1038" s="15"/>
      <c r="C1038" s="21"/>
      <c r="D1038" s="15"/>
      <c r="E1038" s="15"/>
      <c r="F1038" s="15"/>
      <c r="G1038" s="15"/>
      <c r="H1038" s="15"/>
      <c r="I1038" s="11"/>
      <c r="J1038" s="11"/>
      <c r="K1038" s="11"/>
      <c r="L1038" s="11"/>
      <c r="M1038" s="15"/>
      <c r="N1038" s="15"/>
      <c r="O1038" s="15"/>
      <c r="P1038" s="15"/>
      <c r="Q1038" s="15"/>
      <c r="R1038" s="15"/>
      <c r="S1038" s="15"/>
      <c r="T1038" s="15"/>
      <c r="U1038" s="15"/>
      <c r="V1038" s="15"/>
      <c r="W1038" s="15"/>
      <c r="X1038" s="15"/>
      <c r="Y1038" s="15"/>
      <c r="Z1038" s="15"/>
      <c r="AA1038" s="15"/>
      <c r="AB1038" s="15"/>
      <c r="AC1038" s="15"/>
      <c r="AD1038" s="15"/>
      <c r="AE1038" s="15"/>
      <c r="AF1038" s="15"/>
    </row>
    <row r="1039" ht="15.75" customHeight="1">
      <c r="A1039" s="15"/>
      <c r="B1039" s="15"/>
      <c r="C1039" s="21"/>
      <c r="D1039" s="15"/>
      <c r="E1039" s="15"/>
      <c r="F1039" s="15"/>
      <c r="G1039" s="15"/>
      <c r="H1039" s="15"/>
      <c r="I1039" s="11"/>
      <c r="J1039" s="11"/>
      <c r="K1039" s="11"/>
      <c r="L1039" s="11"/>
      <c r="M1039" s="15"/>
      <c r="N1039" s="15"/>
      <c r="O1039" s="15"/>
      <c r="P1039" s="15"/>
      <c r="Q1039" s="15"/>
      <c r="R1039" s="15"/>
      <c r="S1039" s="15"/>
      <c r="T1039" s="15"/>
      <c r="U1039" s="15"/>
      <c r="V1039" s="15"/>
      <c r="W1039" s="15"/>
      <c r="X1039" s="15"/>
      <c r="Y1039" s="15"/>
      <c r="Z1039" s="15"/>
      <c r="AA1039" s="15"/>
      <c r="AB1039" s="15"/>
      <c r="AC1039" s="15"/>
      <c r="AD1039" s="15"/>
      <c r="AE1039" s="15"/>
      <c r="AF1039" s="15"/>
    </row>
    <row r="1040" ht="15.75" customHeight="1">
      <c r="A1040" s="15"/>
      <c r="B1040" s="15"/>
      <c r="C1040" s="21"/>
      <c r="D1040" s="15"/>
      <c r="E1040" s="15"/>
      <c r="F1040" s="15"/>
      <c r="G1040" s="15"/>
      <c r="H1040" s="15"/>
      <c r="I1040" s="11"/>
      <c r="J1040" s="11"/>
      <c r="K1040" s="11"/>
      <c r="L1040" s="11"/>
      <c r="M1040" s="15"/>
      <c r="N1040" s="15"/>
      <c r="O1040" s="15"/>
      <c r="P1040" s="15"/>
      <c r="Q1040" s="15"/>
      <c r="R1040" s="15"/>
      <c r="S1040" s="15"/>
      <c r="T1040" s="15"/>
      <c r="U1040" s="15"/>
      <c r="V1040" s="15"/>
      <c r="W1040" s="15"/>
      <c r="X1040" s="15"/>
      <c r="Y1040" s="15"/>
      <c r="Z1040" s="15"/>
      <c r="AA1040" s="15"/>
      <c r="AB1040" s="15"/>
      <c r="AC1040" s="15"/>
      <c r="AD1040" s="15"/>
      <c r="AE1040" s="15"/>
      <c r="AF1040" s="15"/>
    </row>
    <row r="1041" ht="15.75" customHeight="1">
      <c r="A1041" s="15"/>
      <c r="B1041" s="15"/>
      <c r="C1041" s="21"/>
      <c r="D1041" s="15"/>
      <c r="E1041" s="15"/>
      <c r="F1041" s="15"/>
      <c r="G1041" s="15"/>
      <c r="H1041" s="15"/>
      <c r="I1041" s="11"/>
      <c r="J1041" s="11"/>
      <c r="K1041" s="11"/>
      <c r="L1041" s="11"/>
      <c r="M1041" s="15"/>
      <c r="N1041" s="15"/>
      <c r="O1041" s="15"/>
      <c r="P1041" s="15"/>
      <c r="Q1041" s="15"/>
      <c r="R1041" s="15"/>
      <c r="S1041" s="15"/>
      <c r="T1041" s="15"/>
      <c r="U1041" s="15"/>
      <c r="V1041" s="15"/>
      <c r="W1041" s="15"/>
      <c r="X1041" s="15"/>
      <c r="Y1041" s="15"/>
      <c r="Z1041" s="15"/>
      <c r="AA1041" s="15"/>
      <c r="AB1041" s="15"/>
      <c r="AC1041" s="15"/>
      <c r="AD1041" s="15"/>
      <c r="AE1041" s="15"/>
      <c r="AF1041" s="15"/>
    </row>
    <row r="1042" ht="15.75" customHeight="1">
      <c r="A1042" s="15"/>
      <c r="B1042" s="15"/>
      <c r="C1042" s="21"/>
      <c r="D1042" s="15"/>
      <c r="E1042" s="15"/>
      <c r="F1042" s="15"/>
      <c r="G1042" s="15"/>
      <c r="H1042" s="15"/>
      <c r="I1042" s="11"/>
      <c r="J1042" s="11"/>
      <c r="K1042" s="11"/>
      <c r="L1042" s="11"/>
      <c r="M1042" s="15"/>
      <c r="N1042" s="15"/>
      <c r="O1042" s="15"/>
      <c r="P1042" s="15"/>
      <c r="Q1042" s="15"/>
      <c r="R1042" s="15"/>
      <c r="S1042" s="15"/>
      <c r="T1042" s="15"/>
      <c r="U1042" s="15"/>
      <c r="V1042" s="15"/>
      <c r="W1042" s="15"/>
      <c r="X1042" s="15"/>
      <c r="Y1042" s="15"/>
      <c r="Z1042" s="15"/>
      <c r="AA1042" s="15"/>
      <c r="AB1042" s="15"/>
      <c r="AC1042" s="15"/>
      <c r="AD1042" s="15"/>
      <c r="AE1042" s="15"/>
      <c r="AF1042" s="15"/>
    </row>
    <row r="1043" ht="15.75" customHeight="1">
      <c r="A1043" s="15"/>
      <c r="B1043" s="15"/>
      <c r="C1043" s="21"/>
      <c r="D1043" s="15"/>
      <c r="E1043" s="15"/>
      <c r="F1043" s="15"/>
      <c r="G1043" s="15"/>
      <c r="H1043" s="15"/>
      <c r="I1043" s="11"/>
      <c r="J1043" s="11"/>
      <c r="K1043" s="11"/>
      <c r="L1043" s="11"/>
      <c r="M1043" s="15"/>
      <c r="N1043" s="15"/>
      <c r="O1043" s="15"/>
      <c r="P1043" s="15"/>
      <c r="Q1043" s="15"/>
      <c r="R1043" s="15"/>
      <c r="S1043" s="15"/>
      <c r="T1043" s="15"/>
      <c r="U1043" s="15"/>
      <c r="V1043" s="15"/>
      <c r="W1043" s="15"/>
      <c r="X1043" s="15"/>
      <c r="Y1043" s="15"/>
      <c r="Z1043" s="15"/>
      <c r="AA1043" s="15"/>
      <c r="AB1043" s="15"/>
      <c r="AC1043" s="15"/>
      <c r="AD1043" s="15"/>
      <c r="AE1043" s="15"/>
      <c r="AF1043" s="15"/>
    </row>
    <row r="1044" ht="15.75" customHeight="1">
      <c r="A1044" s="15"/>
      <c r="B1044" s="15"/>
      <c r="C1044" s="21"/>
      <c r="D1044" s="15"/>
      <c r="E1044" s="15"/>
      <c r="F1044" s="15"/>
      <c r="G1044" s="15"/>
      <c r="H1044" s="15"/>
      <c r="I1044" s="11"/>
      <c r="J1044" s="11"/>
      <c r="K1044" s="11"/>
      <c r="L1044" s="11"/>
      <c r="M1044" s="15"/>
      <c r="N1044" s="15"/>
      <c r="O1044" s="15"/>
      <c r="P1044" s="15"/>
      <c r="Q1044" s="15"/>
      <c r="R1044" s="15"/>
      <c r="S1044" s="15"/>
      <c r="T1044" s="15"/>
      <c r="U1044" s="15"/>
      <c r="V1044" s="15"/>
      <c r="W1044" s="15"/>
      <c r="X1044" s="15"/>
      <c r="Y1044" s="15"/>
      <c r="Z1044" s="15"/>
      <c r="AA1044" s="15"/>
      <c r="AB1044" s="15"/>
      <c r="AC1044" s="15"/>
      <c r="AD1044" s="15"/>
      <c r="AE1044" s="15"/>
      <c r="AF1044" s="15"/>
    </row>
    <row r="1045" ht="15.75" customHeight="1">
      <c r="A1045" s="15"/>
      <c r="B1045" s="15"/>
      <c r="C1045" s="21"/>
      <c r="D1045" s="15"/>
      <c r="E1045" s="15"/>
      <c r="F1045" s="15"/>
      <c r="G1045" s="15"/>
      <c r="H1045" s="15"/>
      <c r="I1045" s="11"/>
      <c r="J1045" s="11"/>
      <c r="K1045" s="11"/>
      <c r="L1045" s="11"/>
      <c r="M1045" s="15"/>
      <c r="N1045" s="15"/>
      <c r="O1045" s="15"/>
      <c r="P1045" s="15"/>
      <c r="Q1045" s="15"/>
      <c r="R1045" s="15"/>
      <c r="S1045" s="15"/>
      <c r="T1045" s="15"/>
      <c r="U1045" s="15"/>
      <c r="V1045" s="15"/>
      <c r="W1045" s="15"/>
      <c r="X1045" s="15"/>
      <c r="Y1045" s="15"/>
      <c r="Z1045" s="15"/>
      <c r="AA1045" s="15"/>
      <c r="AB1045" s="15"/>
      <c r="AC1045" s="15"/>
      <c r="AD1045" s="15"/>
      <c r="AE1045" s="15"/>
      <c r="AF1045" s="15"/>
    </row>
    <row r="1046" ht="15.75" customHeight="1">
      <c r="A1046" s="15"/>
      <c r="B1046" s="15"/>
      <c r="C1046" s="21"/>
      <c r="D1046" s="15"/>
      <c r="E1046" s="15"/>
      <c r="F1046" s="15"/>
      <c r="G1046" s="15"/>
      <c r="H1046" s="15"/>
      <c r="I1046" s="11"/>
      <c r="J1046" s="11"/>
      <c r="K1046" s="11"/>
      <c r="L1046" s="11"/>
      <c r="M1046" s="15"/>
      <c r="N1046" s="15"/>
      <c r="O1046" s="15"/>
      <c r="P1046" s="15"/>
      <c r="Q1046" s="15"/>
      <c r="R1046" s="15"/>
      <c r="S1046" s="15"/>
      <c r="T1046" s="15"/>
      <c r="U1046" s="15"/>
      <c r="V1046" s="15"/>
      <c r="W1046" s="15"/>
      <c r="X1046" s="15"/>
      <c r="Y1046" s="15"/>
      <c r="Z1046" s="15"/>
      <c r="AA1046" s="15"/>
      <c r="AB1046" s="15"/>
      <c r="AC1046" s="15"/>
      <c r="AD1046" s="15"/>
      <c r="AE1046" s="15"/>
      <c r="AF1046" s="15"/>
    </row>
    <row r="1047" ht="15.75" customHeight="1">
      <c r="A1047" s="15"/>
      <c r="B1047" s="15"/>
      <c r="C1047" s="21"/>
      <c r="D1047" s="15"/>
      <c r="E1047" s="15"/>
      <c r="F1047" s="15"/>
      <c r="G1047" s="15"/>
      <c r="H1047" s="15"/>
      <c r="I1047" s="11"/>
      <c r="J1047" s="11"/>
      <c r="K1047" s="11"/>
      <c r="L1047" s="11"/>
      <c r="M1047" s="15"/>
      <c r="N1047" s="15"/>
      <c r="O1047" s="15"/>
      <c r="P1047" s="15"/>
      <c r="Q1047" s="15"/>
      <c r="R1047" s="15"/>
      <c r="S1047" s="15"/>
      <c r="T1047" s="15"/>
      <c r="U1047" s="15"/>
      <c r="V1047" s="15"/>
      <c r="W1047" s="15"/>
      <c r="X1047" s="15"/>
      <c r="Y1047" s="15"/>
      <c r="Z1047" s="15"/>
      <c r="AA1047" s="15"/>
      <c r="AB1047" s="15"/>
      <c r="AC1047" s="15"/>
      <c r="AD1047" s="15"/>
      <c r="AE1047" s="15"/>
      <c r="AF1047" s="15"/>
    </row>
    <row r="1048" ht="15.75" customHeight="1">
      <c r="A1048" s="15"/>
      <c r="B1048" s="15"/>
      <c r="C1048" s="21"/>
      <c r="D1048" s="15"/>
      <c r="E1048" s="15"/>
      <c r="F1048" s="15"/>
      <c r="G1048" s="15"/>
      <c r="H1048" s="15"/>
      <c r="I1048" s="11"/>
      <c r="J1048" s="11"/>
      <c r="K1048" s="11"/>
      <c r="L1048" s="11"/>
      <c r="M1048" s="15"/>
      <c r="N1048" s="15"/>
      <c r="O1048" s="15"/>
      <c r="P1048" s="15"/>
      <c r="Q1048" s="15"/>
      <c r="R1048" s="15"/>
      <c r="S1048" s="15"/>
      <c r="T1048" s="15"/>
      <c r="U1048" s="15"/>
      <c r="V1048" s="15"/>
      <c r="W1048" s="15"/>
      <c r="X1048" s="15"/>
      <c r="Y1048" s="15"/>
      <c r="Z1048" s="15"/>
      <c r="AA1048" s="15"/>
      <c r="AB1048" s="15"/>
      <c r="AC1048" s="15"/>
      <c r="AD1048" s="15"/>
      <c r="AE1048" s="15"/>
      <c r="AF1048" s="15"/>
    </row>
    <row r="1049" ht="15.75" customHeight="1">
      <c r="A1049" s="15"/>
      <c r="B1049" s="15"/>
      <c r="C1049" s="21"/>
      <c r="D1049" s="15"/>
      <c r="E1049" s="15"/>
      <c r="F1049" s="15"/>
      <c r="G1049" s="15"/>
      <c r="H1049" s="15"/>
      <c r="I1049" s="11"/>
      <c r="J1049" s="11"/>
      <c r="K1049" s="11"/>
      <c r="L1049" s="11"/>
      <c r="M1049" s="15"/>
      <c r="N1049" s="15"/>
      <c r="O1049" s="15"/>
      <c r="P1049" s="15"/>
      <c r="Q1049" s="15"/>
      <c r="R1049" s="15"/>
      <c r="S1049" s="15"/>
      <c r="T1049" s="15"/>
      <c r="U1049" s="15"/>
      <c r="V1049" s="15"/>
      <c r="W1049" s="15"/>
      <c r="X1049" s="15"/>
      <c r="Y1049" s="15"/>
      <c r="Z1049" s="15"/>
      <c r="AA1049" s="15"/>
      <c r="AB1049" s="15"/>
      <c r="AC1049" s="15"/>
      <c r="AD1049" s="15"/>
      <c r="AE1049" s="15"/>
      <c r="AF1049" s="15"/>
    </row>
    <row r="1050" ht="15.75" customHeight="1">
      <c r="A1050" s="15"/>
      <c r="B1050" s="15"/>
      <c r="C1050" s="21"/>
      <c r="D1050" s="15"/>
      <c r="E1050" s="15"/>
      <c r="F1050" s="15"/>
      <c r="G1050" s="15"/>
      <c r="H1050" s="15"/>
      <c r="I1050" s="11"/>
      <c r="J1050" s="11"/>
      <c r="K1050" s="11"/>
      <c r="L1050" s="11"/>
      <c r="M1050" s="15"/>
      <c r="N1050" s="15"/>
      <c r="O1050" s="15"/>
      <c r="P1050" s="15"/>
      <c r="Q1050" s="15"/>
      <c r="R1050" s="15"/>
      <c r="S1050" s="15"/>
      <c r="T1050" s="15"/>
      <c r="U1050" s="15"/>
      <c r="V1050" s="15"/>
      <c r="W1050" s="15"/>
      <c r="X1050" s="15"/>
      <c r="Y1050" s="15"/>
      <c r="Z1050" s="15"/>
      <c r="AA1050" s="15"/>
      <c r="AB1050" s="15"/>
      <c r="AC1050" s="15"/>
      <c r="AD1050" s="15"/>
      <c r="AE1050" s="15"/>
      <c r="AF1050" s="15"/>
    </row>
    <row r="1051" ht="15.75" customHeight="1">
      <c r="A1051" s="15"/>
      <c r="B1051" s="15"/>
      <c r="C1051" s="21"/>
      <c r="D1051" s="15"/>
      <c r="E1051" s="15"/>
      <c r="F1051" s="15"/>
      <c r="G1051" s="15"/>
      <c r="H1051" s="15"/>
      <c r="I1051" s="11"/>
      <c r="J1051" s="11"/>
      <c r="K1051" s="11"/>
      <c r="L1051" s="11"/>
      <c r="M1051" s="15"/>
      <c r="N1051" s="15"/>
      <c r="O1051" s="15"/>
      <c r="P1051" s="15"/>
      <c r="Q1051" s="15"/>
      <c r="R1051" s="15"/>
      <c r="S1051" s="15"/>
      <c r="T1051" s="15"/>
      <c r="U1051" s="15"/>
      <c r="V1051" s="15"/>
      <c r="W1051" s="15"/>
      <c r="X1051" s="15"/>
      <c r="Y1051" s="15"/>
      <c r="Z1051" s="15"/>
      <c r="AA1051" s="15"/>
      <c r="AB1051" s="15"/>
      <c r="AC1051" s="15"/>
      <c r="AD1051" s="15"/>
      <c r="AE1051" s="15"/>
      <c r="AF1051" s="15"/>
    </row>
    <row r="1052" ht="15.75" customHeight="1">
      <c r="A1052" s="15"/>
      <c r="B1052" s="15"/>
      <c r="C1052" s="21"/>
      <c r="D1052" s="15"/>
      <c r="E1052" s="15"/>
      <c r="F1052" s="15"/>
      <c r="G1052" s="15"/>
      <c r="H1052" s="15"/>
      <c r="I1052" s="11"/>
      <c r="J1052" s="11"/>
      <c r="K1052" s="11"/>
      <c r="L1052" s="11"/>
      <c r="M1052" s="15"/>
      <c r="N1052" s="15"/>
      <c r="O1052" s="15"/>
      <c r="P1052" s="15"/>
      <c r="Q1052" s="15"/>
      <c r="R1052" s="15"/>
      <c r="S1052" s="15"/>
      <c r="T1052" s="15"/>
      <c r="U1052" s="15"/>
      <c r="V1052" s="15"/>
      <c r="W1052" s="15"/>
      <c r="X1052" s="15"/>
      <c r="Y1052" s="15"/>
      <c r="Z1052" s="15"/>
      <c r="AA1052" s="15"/>
      <c r="AB1052" s="15"/>
      <c r="AC1052" s="15"/>
      <c r="AD1052" s="15"/>
      <c r="AE1052" s="15"/>
      <c r="AF1052" s="15"/>
    </row>
    <row r="1053" ht="15.75" customHeight="1">
      <c r="A1053" s="15"/>
      <c r="B1053" s="15"/>
      <c r="C1053" s="21"/>
      <c r="D1053" s="15"/>
      <c r="E1053" s="15"/>
      <c r="F1053" s="15"/>
      <c r="G1053" s="15"/>
      <c r="H1053" s="15"/>
      <c r="I1053" s="11"/>
      <c r="J1053" s="11"/>
      <c r="K1053" s="11"/>
      <c r="L1053" s="11"/>
      <c r="M1053" s="15"/>
      <c r="N1053" s="15"/>
      <c r="O1053" s="15"/>
      <c r="P1053" s="15"/>
      <c r="Q1053" s="15"/>
      <c r="R1053" s="15"/>
      <c r="S1053" s="15"/>
      <c r="T1053" s="15"/>
      <c r="U1053" s="15"/>
      <c r="V1053" s="15"/>
      <c r="W1053" s="15"/>
      <c r="X1053" s="15"/>
      <c r="Y1053" s="15"/>
      <c r="Z1053" s="15"/>
      <c r="AA1053" s="15"/>
      <c r="AB1053" s="15"/>
      <c r="AC1053" s="15"/>
      <c r="AD1053" s="15"/>
      <c r="AE1053" s="15"/>
      <c r="AF1053" s="15"/>
    </row>
    <row r="1054" ht="15.75" customHeight="1">
      <c r="A1054" s="15"/>
      <c r="B1054" s="15"/>
      <c r="C1054" s="21"/>
      <c r="D1054" s="15"/>
      <c r="E1054" s="15"/>
      <c r="F1054" s="15"/>
      <c r="G1054" s="15"/>
      <c r="H1054" s="15"/>
      <c r="I1054" s="11"/>
      <c r="J1054" s="11"/>
      <c r="K1054" s="11"/>
      <c r="L1054" s="11"/>
      <c r="M1054" s="15"/>
      <c r="N1054" s="15"/>
      <c r="O1054" s="15"/>
      <c r="P1054" s="15"/>
      <c r="Q1054" s="15"/>
      <c r="R1054" s="15"/>
      <c r="S1054" s="15"/>
      <c r="T1054" s="15"/>
      <c r="U1054" s="15"/>
      <c r="V1054" s="15"/>
      <c r="W1054" s="15"/>
      <c r="X1054" s="15"/>
      <c r="Y1054" s="15"/>
      <c r="Z1054" s="15"/>
      <c r="AA1054" s="15"/>
      <c r="AB1054" s="15"/>
      <c r="AC1054" s="15"/>
      <c r="AD1054" s="15"/>
      <c r="AE1054" s="15"/>
      <c r="AF1054" s="15"/>
    </row>
    <row r="1055" ht="15.75" customHeight="1">
      <c r="A1055" s="15"/>
      <c r="B1055" s="15"/>
      <c r="C1055" s="21"/>
      <c r="D1055" s="15"/>
      <c r="E1055" s="15"/>
      <c r="F1055" s="15"/>
      <c r="G1055" s="15"/>
      <c r="H1055" s="15"/>
      <c r="I1055" s="11"/>
      <c r="J1055" s="11"/>
      <c r="K1055" s="11"/>
      <c r="L1055" s="11"/>
      <c r="M1055" s="15"/>
      <c r="N1055" s="15"/>
      <c r="O1055" s="15"/>
      <c r="P1055" s="15"/>
      <c r="Q1055" s="15"/>
      <c r="R1055" s="15"/>
      <c r="S1055" s="15"/>
      <c r="T1055" s="15"/>
      <c r="U1055" s="15"/>
      <c r="V1055" s="15"/>
      <c r="W1055" s="15"/>
      <c r="X1055" s="15"/>
      <c r="Y1055" s="15"/>
      <c r="Z1055" s="15"/>
      <c r="AA1055" s="15"/>
      <c r="AB1055" s="15"/>
      <c r="AC1055" s="15"/>
      <c r="AD1055" s="15"/>
      <c r="AE1055" s="15"/>
      <c r="AF1055" s="15"/>
    </row>
    <row r="1056" ht="15.75" customHeight="1">
      <c r="A1056" s="15"/>
      <c r="B1056" s="15"/>
      <c r="C1056" s="21"/>
      <c r="D1056" s="15"/>
      <c r="E1056" s="15"/>
      <c r="F1056" s="15"/>
      <c r="G1056" s="15"/>
      <c r="H1056" s="15"/>
      <c r="I1056" s="11"/>
      <c r="J1056" s="11"/>
      <c r="K1056" s="11"/>
      <c r="L1056" s="11"/>
      <c r="M1056" s="15"/>
      <c r="N1056" s="15"/>
      <c r="O1056" s="15"/>
      <c r="P1056" s="15"/>
      <c r="Q1056" s="15"/>
      <c r="R1056" s="15"/>
      <c r="S1056" s="15"/>
      <c r="T1056" s="15"/>
      <c r="U1056" s="15"/>
      <c r="V1056" s="15"/>
      <c r="W1056" s="15"/>
      <c r="X1056" s="15"/>
      <c r="Y1056" s="15"/>
      <c r="Z1056" s="15"/>
      <c r="AA1056" s="15"/>
      <c r="AB1056" s="15"/>
      <c r="AC1056" s="15"/>
      <c r="AD1056" s="15"/>
      <c r="AE1056" s="15"/>
      <c r="AF1056" s="15"/>
    </row>
    <row r="1057" ht="15.75" customHeight="1">
      <c r="A1057" s="15"/>
      <c r="B1057" s="15"/>
      <c r="C1057" s="21"/>
      <c r="D1057" s="15"/>
      <c r="E1057" s="15"/>
      <c r="F1057" s="15"/>
      <c r="G1057" s="15"/>
      <c r="H1057" s="15"/>
      <c r="I1057" s="11"/>
      <c r="J1057" s="11"/>
      <c r="K1057" s="11"/>
      <c r="L1057" s="11"/>
      <c r="M1057" s="15"/>
      <c r="N1057" s="15"/>
      <c r="O1057" s="15"/>
      <c r="P1057" s="15"/>
      <c r="Q1057" s="15"/>
      <c r="R1057" s="15"/>
      <c r="S1057" s="15"/>
      <c r="T1057" s="15"/>
      <c r="U1057" s="15"/>
      <c r="V1057" s="15"/>
      <c r="W1057" s="15"/>
      <c r="X1057" s="15"/>
      <c r="Y1057" s="15"/>
      <c r="Z1057" s="15"/>
      <c r="AA1057" s="15"/>
      <c r="AB1057" s="15"/>
      <c r="AC1057" s="15"/>
      <c r="AD1057" s="15"/>
      <c r="AE1057" s="15"/>
      <c r="AF1057" s="15"/>
    </row>
    <row r="1058" ht="15.75" customHeight="1">
      <c r="A1058" s="15"/>
      <c r="B1058" s="15"/>
      <c r="C1058" s="21"/>
      <c r="D1058" s="15"/>
      <c r="E1058" s="15"/>
      <c r="F1058" s="15"/>
      <c r="G1058" s="15"/>
      <c r="H1058" s="15"/>
      <c r="I1058" s="11"/>
      <c r="J1058" s="11"/>
      <c r="K1058" s="11"/>
      <c r="L1058" s="11"/>
      <c r="M1058" s="15"/>
      <c r="N1058" s="15"/>
      <c r="O1058" s="15"/>
      <c r="P1058" s="15"/>
      <c r="Q1058" s="15"/>
      <c r="R1058" s="15"/>
      <c r="S1058" s="15"/>
      <c r="T1058" s="15"/>
      <c r="U1058" s="15"/>
      <c r="V1058" s="15"/>
      <c r="W1058" s="15"/>
      <c r="X1058" s="15"/>
      <c r="Y1058" s="15"/>
      <c r="Z1058" s="15"/>
      <c r="AA1058" s="15"/>
      <c r="AB1058" s="15"/>
      <c r="AC1058" s="15"/>
      <c r="AD1058" s="15"/>
      <c r="AE1058" s="15"/>
      <c r="AF1058" s="15"/>
    </row>
    <row r="1059" ht="15.75" customHeight="1">
      <c r="A1059" s="15"/>
      <c r="B1059" s="15"/>
      <c r="C1059" s="21"/>
      <c r="D1059" s="15"/>
      <c r="E1059" s="15"/>
      <c r="F1059" s="15"/>
      <c r="G1059" s="15"/>
      <c r="H1059" s="15"/>
      <c r="I1059" s="11"/>
      <c r="J1059" s="11"/>
      <c r="K1059" s="11"/>
      <c r="L1059" s="11"/>
      <c r="M1059" s="15"/>
      <c r="N1059" s="15"/>
      <c r="O1059" s="15"/>
      <c r="P1059" s="15"/>
      <c r="Q1059" s="15"/>
      <c r="R1059" s="15"/>
      <c r="S1059" s="15"/>
      <c r="T1059" s="15"/>
      <c r="U1059" s="15"/>
      <c r="V1059" s="15"/>
      <c r="W1059" s="15"/>
      <c r="X1059" s="15"/>
      <c r="Y1059" s="15"/>
      <c r="Z1059" s="15"/>
      <c r="AA1059" s="15"/>
      <c r="AB1059" s="15"/>
      <c r="AC1059" s="15"/>
      <c r="AD1059" s="15"/>
      <c r="AE1059" s="15"/>
      <c r="AF1059" s="15"/>
    </row>
    <row r="1060" ht="15.75" customHeight="1">
      <c r="A1060" s="15"/>
      <c r="B1060" s="15"/>
      <c r="C1060" s="21"/>
      <c r="D1060" s="15"/>
      <c r="E1060" s="15"/>
      <c r="F1060" s="15"/>
      <c r="G1060" s="15"/>
      <c r="H1060" s="15"/>
      <c r="I1060" s="11"/>
      <c r="J1060" s="11"/>
      <c r="K1060" s="11"/>
      <c r="L1060" s="11"/>
      <c r="M1060" s="15"/>
      <c r="N1060" s="15"/>
      <c r="O1060" s="15"/>
      <c r="P1060" s="15"/>
      <c r="Q1060" s="15"/>
      <c r="R1060" s="15"/>
      <c r="S1060" s="15"/>
      <c r="T1060" s="15"/>
      <c r="U1060" s="15"/>
      <c r="V1060" s="15"/>
      <c r="W1060" s="15"/>
      <c r="X1060" s="15"/>
      <c r="Y1060" s="15"/>
      <c r="Z1060" s="15"/>
      <c r="AA1060" s="15"/>
      <c r="AB1060" s="15"/>
      <c r="AC1060" s="15"/>
      <c r="AD1060" s="15"/>
      <c r="AE1060" s="15"/>
      <c r="AF1060" s="15"/>
    </row>
    <row r="1061" ht="15.75" customHeight="1">
      <c r="A1061" s="15"/>
      <c r="B1061" s="15"/>
      <c r="C1061" s="21"/>
      <c r="D1061" s="15"/>
      <c r="E1061" s="15"/>
      <c r="F1061" s="15"/>
      <c r="G1061" s="15"/>
      <c r="H1061" s="15"/>
      <c r="I1061" s="11"/>
      <c r="J1061" s="11"/>
      <c r="K1061" s="11"/>
      <c r="L1061" s="11"/>
      <c r="M1061" s="15"/>
      <c r="N1061" s="15"/>
      <c r="O1061" s="15"/>
      <c r="P1061" s="15"/>
      <c r="Q1061" s="15"/>
      <c r="R1061" s="15"/>
      <c r="S1061" s="15"/>
      <c r="T1061" s="15"/>
      <c r="U1061" s="15"/>
      <c r="V1061" s="15"/>
      <c r="W1061" s="15"/>
      <c r="X1061" s="15"/>
      <c r="Y1061" s="15"/>
      <c r="Z1061" s="15"/>
      <c r="AA1061" s="15"/>
      <c r="AB1061" s="15"/>
      <c r="AC1061" s="15"/>
      <c r="AD1061" s="15"/>
      <c r="AE1061" s="15"/>
      <c r="AF1061" s="15"/>
    </row>
    <row r="1062" ht="15.75" customHeight="1">
      <c r="A1062" s="15"/>
      <c r="B1062" s="15"/>
      <c r="C1062" s="21"/>
      <c r="D1062" s="15"/>
      <c r="E1062" s="15"/>
      <c r="F1062" s="15"/>
      <c r="G1062" s="15"/>
      <c r="H1062" s="15"/>
      <c r="I1062" s="11"/>
      <c r="J1062" s="11"/>
      <c r="K1062" s="11"/>
      <c r="L1062" s="11"/>
      <c r="M1062" s="15"/>
      <c r="N1062" s="15"/>
      <c r="O1062" s="15"/>
      <c r="P1062" s="15"/>
      <c r="Q1062" s="15"/>
      <c r="R1062" s="15"/>
      <c r="S1062" s="15"/>
      <c r="T1062" s="15"/>
      <c r="U1062" s="15"/>
      <c r="V1062" s="15"/>
      <c r="W1062" s="15"/>
      <c r="X1062" s="15"/>
      <c r="Y1062" s="15"/>
      <c r="Z1062" s="15"/>
      <c r="AA1062" s="15"/>
      <c r="AB1062" s="15"/>
      <c r="AC1062" s="15"/>
      <c r="AD1062" s="15"/>
      <c r="AE1062" s="15"/>
      <c r="AF1062" s="15"/>
    </row>
    <row r="1063" ht="15.75" customHeight="1">
      <c r="A1063" s="15"/>
      <c r="B1063" s="15"/>
      <c r="C1063" s="21"/>
      <c r="D1063" s="15"/>
      <c r="E1063" s="15"/>
      <c r="F1063" s="15"/>
      <c r="G1063" s="15"/>
      <c r="H1063" s="15"/>
      <c r="I1063" s="11"/>
      <c r="J1063" s="11"/>
      <c r="K1063" s="11"/>
      <c r="L1063" s="11"/>
      <c r="M1063" s="15"/>
      <c r="N1063" s="15"/>
      <c r="O1063" s="15"/>
      <c r="P1063" s="15"/>
      <c r="Q1063" s="15"/>
      <c r="R1063" s="15"/>
      <c r="S1063" s="15"/>
      <c r="T1063" s="15"/>
      <c r="U1063" s="15"/>
      <c r="V1063" s="15"/>
      <c r="W1063" s="15"/>
      <c r="X1063" s="15"/>
      <c r="Y1063" s="15"/>
      <c r="Z1063" s="15"/>
      <c r="AA1063" s="15"/>
      <c r="AB1063" s="15"/>
      <c r="AC1063" s="15"/>
      <c r="AD1063" s="15"/>
      <c r="AE1063" s="15"/>
      <c r="AF1063" s="15"/>
    </row>
    <row r="1064" ht="15.75" customHeight="1">
      <c r="A1064" s="15"/>
      <c r="B1064" s="15"/>
      <c r="C1064" s="21"/>
      <c r="D1064" s="15"/>
      <c r="E1064" s="15"/>
      <c r="F1064" s="15"/>
      <c r="G1064" s="15"/>
      <c r="H1064" s="15"/>
      <c r="I1064" s="11"/>
      <c r="J1064" s="11"/>
      <c r="K1064" s="11"/>
      <c r="L1064" s="11"/>
      <c r="M1064" s="15"/>
      <c r="N1064" s="15"/>
      <c r="O1064" s="15"/>
      <c r="P1064" s="15"/>
      <c r="Q1064" s="15"/>
      <c r="R1064" s="15"/>
      <c r="S1064" s="15"/>
      <c r="T1064" s="15"/>
      <c r="U1064" s="15"/>
      <c r="V1064" s="15"/>
      <c r="W1064" s="15"/>
      <c r="X1064" s="15"/>
      <c r="Y1064" s="15"/>
      <c r="Z1064" s="15"/>
      <c r="AA1064" s="15"/>
      <c r="AB1064" s="15"/>
      <c r="AC1064" s="15"/>
      <c r="AD1064" s="15"/>
      <c r="AE1064" s="15"/>
      <c r="AF1064" s="15"/>
    </row>
    <row r="1065" ht="15.75" customHeight="1">
      <c r="A1065" s="15"/>
      <c r="B1065" s="15"/>
      <c r="C1065" s="21"/>
      <c r="D1065" s="15"/>
      <c r="E1065" s="15"/>
      <c r="F1065" s="15"/>
      <c r="G1065" s="15"/>
      <c r="H1065" s="15"/>
      <c r="I1065" s="11"/>
      <c r="J1065" s="11"/>
      <c r="K1065" s="11"/>
      <c r="L1065" s="11"/>
      <c r="M1065" s="15"/>
      <c r="N1065" s="15"/>
      <c r="O1065" s="15"/>
      <c r="P1065" s="15"/>
      <c r="Q1065" s="15"/>
      <c r="R1065" s="15"/>
      <c r="S1065" s="15"/>
      <c r="T1065" s="15"/>
      <c r="U1065" s="15"/>
      <c r="V1065" s="15"/>
      <c r="W1065" s="15"/>
      <c r="X1065" s="15"/>
      <c r="Y1065" s="15"/>
      <c r="Z1065" s="15"/>
      <c r="AA1065" s="15"/>
      <c r="AB1065" s="15"/>
      <c r="AC1065" s="15"/>
      <c r="AD1065" s="15"/>
      <c r="AE1065" s="15"/>
      <c r="AF1065" s="15"/>
    </row>
    <row r="1066" ht="15.75" customHeight="1">
      <c r="A1066" s="15"/>
      <c r="B1066" s="15"/>
      <c r="C1066" s="21"/>
      <c r="D1066" s="15"/>
      <c r="E1066" s="15"/>
      <c r="F1066" s="15"/>
      <c r="G1066" s="15"/>
      <c r="H1066" s="15"/>
      <c r="I1066" s="11"/>
      <c r="J1066" s="11"/>
      <c r="K1066" s="11"/>
      <c r="L1066" s="11"/>
      <c r="M1066" s="15"/>
      <c r="N1066" s="15"/>
      <c r="O1066" s="15"/>
      <c r="P1066" s="15"/>
      <c r="Q1066" s="15"/>
      <c r="R1066" s="15"/>
      <c r="S1066" s="15"/>
      <c r="T1066" s="15"/>
      <c r="U1066" s="15"/>
      <c r="V1066" s="15"/>
      <c r="W1066" s="15"/>
      <c r="X1066" s="15"/>
      <c r="Y1066" s="15"/>
      <c r="Z1066" s="15"/>
      <c r="AA1066" s="15"/>
      <c r="AB1066" s="15"/>
      <c r="AC1066" s="15"/>
      <c r="AD1066" s="15"/>
      <c r="AE1066" s="15"/>
      <c r="AF1066" s="15"/>
    </row>
    <row r="1067" ht="15.75" customHeight="1">
      <c r="A1067" s="15"/>
      <c r="B1067" s="15"/>
      <c r="C1067" s="21"/>
      <c r="D1067" s="15"/>
      <c r="E1067" s="15"/>
      <c r="F1067" s="15"/>
      <c r="G1067" s="15"/>
      <c r="H1067" s="15"/>
      <c r="I1067" s="11"/>
      <c r="J1067" s="11"/>
      <c r="K1067" s="11"/>
      <c r="L1067" s="11"/>
      <c r="M1067" s="15"/>
      <c r="N1067" s="15"/>
      <c r="O1067" s="15"/>
      <c r="P1067" s="15"/>
      <c r="Q1067" s="15"/>
      <c r="R1067" s="15"/>
      <c r="S1067" s="15"/>
      <c r="T1067" s="15"/>
      <c r="U1067" s="15"/>
      <c r="V1067" s="15"/>
      <c r="W1067" s="15"/>
      <c r="X1067" s="15"/>
      <c r="Y1067" s="15"/>
      <c r="Z1067" s="15"/>
      <c r="AA1067" s="15"/>
      <c r="AB1067" s="15"/>
      <c r="AC1067" s="15"/>
      <c r="AD1067" s="15"/>
      <c r="AE1067" s="15"/>
      <c r="AF1067" s="15"/>
    </row>
    <row r="1068" ht="15.75" customHeight="1">
      <c r="A1068" s="15"/>
      <c r="B1068" s="15"/>
      <c r="C1068" s="21"/>
      <c r="D1068" s="15"/>
      <c r="E1068" s="15"/>
      <c r="F1068" s="15"/>
      <c r="G1068" s="15"/>
      <c r="H1068" s="15"/>
      <c r="I1068" s="11"/>
      <c r="J1068" s="11"/>
      <c r="K1068" s="11"/>
      <c r="L1068" s="11"/>
      <c r="M1068" s="15"/>
      <c r="N1068" s="15"/>
      <c r="O1068" s="15"/>
      <c r="P1068" s="15"/>
      <c r="Q1068" s="15"/>
      <c r="R1068" s="15"/>
      <c r="S1068" s="15"/>
      <c r="T1068" s="15"/>
      <c r="U1068" s="15"/>
      <c r="V1068" s="15"/>
      <c r="W1068" s="15"/>
      <c r="X1068" s="15"/>
      <c r="Y1068" s="15"/>
      <c r="Z1068" s="15"/>
      <c r="AA1068" s="15"/>
      <c r="AB1068" s="15"/>
      <c r="AC1068" s="15"/>
      <c r="AD1068" s="15"/>
      <c r="AE1068" s="15"/>
      <c r="AF1068" s="15"/>
    </row>
    <row r="1069" ht="15.75" customHeight="1">
      <c r="A1069" s="15"/>
      <c r="B1069" s="15"/>
      <c r="C1069" s="21"/>
      <c r="D1069" s="15"/>
      <c r="E1069" s="15"/>
      <c r="F1069" s="15"/>
      <c r="G1069" s="15"/>
      <c r="H1069" s="15"/>
      <c r="I1069" s="11"/>
      <c r="J1069" s="11"/>
      <c r="K1069" s="11"/>
      <c r="L1069" s="11"/>
      <c r="M1069" s="15"/>
      <c r="N1069" s="15"/>
      <c r="O1069" s="15"/>
      <c r="P1069" s="15"/>
      <c r="Q1069" s="15"/>
      <c r="R1069" s="15"/>
      <c r="S1069" s="15"/>
      <c r="T1069" s="15"/>
      <c r="U1069" s="15"/>
      <c r="V1069" s="15"/>
      <c r="W1069" s="15"/>
      <c r="X1069" s="15"/>
      <c r="Y1069" s="15"/>
      <c r="Z1069" s="15"/>
      <c r="AA1069" s="15"/>
      <c r="AB1069" s="15"/>
      <c r="AC1069" s="15"/>
      <c r="AD1069" s="15"/>
      <c r="AE1069" s="15"/>
      <c r="AF1069" s="15"/>
    </row>
    <row r="1070" ht="15.75" customHeight="1">
      <c r="A1070" s="15"/>
      <c r="B1070" s="15"/>
      <c r="C1070" s="21"/>
      <c r="D1070" s="15"/>
      <c r="E1070" s="15"/>
      <c r="F1070" s="15"/>
      <c r="G1070" s="15"/>
      <c r="H1070" s="15"/>
      <c r="I1070" s="11"/>
      <c r="J1070" s="11"/>
      <c r="K1070" s="11"/>
      <c r="L1070" s="11"/>
      <c r="M1070" s="15"/>
      <c r="N1070" s="15"/>
      <c r="O1070" s="15"/>
      <c r="P1070" s="15"/>
      <c r="Q1070" s="15"/>
      <c r="R1070" s="15"/>
      <c r="S1070" s="15"/>
      <c r="T1070" s="15"/>
      <c r="U1070" s="15"/>
      <c r="V1070" s="15"/>
      <c r="W1070" s="15"/>
      <c r="X1070" s="15"/>
      <c r="Y1070" s="15"/>
      <c r="Z1070" s="15"/>
      <c r="AA1070" s="15"/>
      <c r="AB1070" s="15"/>
      <c r="AC1070" s="15"/>
      <c r="AD1070" s="15"/>
      <c r="AE1070" s="15"/>
      <c r="AF1070" s="15"/>
    </row>
    <row r="1071" ht="15.75" customHeight="1">
      <c r="A1071" s="15"/>
      <c r="B1071" s="15"/>
      <c r="C1071" s="21"/>
      <c r="D1071" s="15"/>
      <c r="E1071" s="15"/>
      <c r="F1071" s="15"/>
      <c r="G1071" s="15"/>
      <c r="H1071" s="15"/>
      <c r="I1071" s="11"/>
      <c r="J1071" s="11"/>
      <c r="K1071" s="11"/>
      <c r="L1071" s="11"/>
      <c r="M1071" s="15"/>
      <c r="N1071" s="15"/>
      <c r="O1071" s="15"/>
      <c r="P1071" s="15"/>
      <c r="Q1071" s="15"/>
      <c r="R1071" s="15"/>
      <c r="S1071" s="15"/>
      <c r="T1071" s="15"/>
      <c r="U1071" s="15"/>
      <c r="V1071" s="15"/>
      <c r="W1071" s="15"/>
      <c r="X1071" s="15"/>
      <c r="Y1071" s="15"/>
      <c r="Z1071" s="15"/>
      <c r="AA1071" s="15"/>
      <c r="AB1071" s="15"/>
      <c r="AC1071" s="15"/>
      <c r="AD1071" s="15"/>
      <c r="AE1071" s="15"/>
      <c r="AF1071" s="15"/>
    </row>
    <row r="1072" ht="15.75" customHeight="1">
      <c r="A1072" s="15"/>
      <c r="B1072" s="15"/>
      <c r="C1072" s="21"/>
      <c r="D1072" s="15"/>
      <c r="E1072" s="15"/>
      <c r="F1072" s="15"/>
      <c r="G1072" s="15"/>
      <c r="H1072" s="15"/>
      <c r="I1072" s="11"/>
      <c r="J1072" s="11"/>
      <c r="K1072" s="11"/>
      <c r="L1072" s="11"/>
      <c r="M1072" s="15"/>
      <c r="N1072" s="15"/>
      <c r="O1072" s="15"/>
      <c r="P1072" s="15"/>
      <c r="Q1072" s="15"/>
      <c r="R1072" s="15"/>
      <c r="S1072" s="15"/>
      <c r="T1072" s="15"/>
      <c r="U1072" s="15"/>
      <c r="V1072" s="15"/>
      <c r="W1072" s="15"/>
      <c r="X1072" s="15"/>
      <c r="Y1072" s="15"/>
      <c r="Z1072" s="15"/>
      <c r="AA1072" s="15"/>
      <c r="AB1072" s="15"/>
      <c r="AC1072" s="15"/>
      <c r="AD1072" s="15"/>
      <c r="AE1072" s="15"/>
      <c r="AF1072" s="15"/>
    </row>
    <row r="1073" ht="15.75" customHeight="1">
      <c r="A1073" s="15"/>
      <c r="B1073" s="15"/>
      <c r="C1073" s="21"/>
      <c r="D1073" s="15"/>
      <c r="E1073" s="15"/>
      <c r="F1073" s="15"/>
      <c r="G1073" s="15"/>
      <c r="H1073" s="15"/>
      <c r="I1073" s="11"/>
      <c r="J1073" s="11"/>
      <c r="K1073" s="11"/>
      <c r="L1073" s="11"/>
      <c r="M1073" s="15"/>
      <c r="N1073" s="15"/>
      <c r="O1073" s="15"/>
      <c r="P1073" s="15"/>
      <c r="Q1073" s="15"/>
      <c r="R1073" s="15"/>
      <c r="S1073" s="15"/>
      <c r="T1073" s="15"/>
      <c r="U1073" s="15"/>
      <c r="V1073" s="15"/>
      <c r="W1073" s="15"/>
      <c r="X1073" s="15"/>
      <c r="Y1073" s="15"/>
      <c r="Z1073" s="15"/>
      <c r="AA1073" s="15"/>
      <c r="AB1073" s="15"/>
      <c r="AC1073" s="15"/>
      <c r="AD1073" s="15"/>
      <c r="AE1073" s="15"/>
      <c r="AF1073" s="15"/>
    </row>
    <row r="1074" ht="15.75" customHeight="1">
      <c r="A1074" s="15"/>
      <c r="B1074" s="15"/>
      <c r="C1074" s="21"/>
      <c r="D1074" s="15"/>
      <c r="E1074" s="15"/>
      <c r="F1074" s="15"/>
      <c r="G1074" s="15"/>
      <c r="H1074" s="15"/>
      <c r="I1074" s="11"/>
      <c r="J1074" s="11"/>
      <c r="K1074" s="11"/>
      <c r="L1074" s="11"/>
      <c r="M1074" s="15"/>
      <c r="N1074" s="15"/>
      <c r="O1074" s="15"/>
      <c r="P1074" s="15"/>
      <c r="Q1074" s="15"/>
      <c r="R1074" s="15"/>
      <c r="S1074" s="15"/>
      <c r="T1074" s="15"/>
      <c r="U1074" s="15"/>
      <c r="V1074" s="15"/>
      <c r="W1074" s="15"/>
      <c r="X1074" s="15"/>
      <c r="Y1074" s="15"/>
      <c r="Z1074" s="15"/>
      <c r="AA1074" s="15"/>
      <c r="AB1074" s="15"/>
      <c r="AC1074" s="15"/>
      <c r="AD1074" s="15"/>
      <c r="AE1074" s="15"/>
      <c r="AF1074" s="15"/>
    </row>
    <row r="1075" ht="15.75" customHeight="1">
      <c r="A1075" s="15"/>
      <c r="B1075" s="15"/>
      <c r="C1075" s="21"/>
      <c r="D1075" s="15"/>
      <c r="E1075" s="15"/>
      <c r="F1075" s="15"/>
      <c r="G1075" s="15"/>
      <c r="H1075" s="15"/>
      <c r="I1075" s="11"/>
      <c r="J1075" s="11"/>
      <c r="K1075" s="11"/>
      <c r="L1075" s="11"/>
      <c r="M1075" s="15"/>
      <c r="N1075" s="15"/>
      <c r="O1075" s="15"/>
      <c r="P1075" s="15"/>
      <c r="Q1075" s="15"/>
      <c r="R1075" s="15"/>
      <c r="S1075" s="15"/>
      <c r="T1075" s="15"/>
      <c r="U1075" s="15"/>
      <c r="V1075" s="15"/>
      <c r="W1075" s="15"/>
      <c r="X1075" s="15"/>
      <c r="Y1075" s="15"/>
      <c r="Z1075" s="15"/>
      <c r="AA1075" s="15"/>
      <c r="AB1075" s="15"/>
      <c r="AC1075" s="15"/>
      <c r="AD1075" s="15"/>
      <c r="AE1075" s="15"/>
      <c r="AF1075" s="15"/>
    </row>
    <row r="1076" ht="15.75" customHeight="1">
      <c r="A1076" s="15"/>
      <c r="B1076" s="15"/>
      <c r="C1076" s="21"/>
      <c r="D1076" s="15"/>
      <c r="E1076" s="15"/>
      <c r="F1076" s="15"/>
      <c r="G1076" s="15"/>
      <c r="H1076" s="15"/>
      <c r="I1076" s="11"/>
      <c r="J1076" s="11"/>
      <c r="K1076" s="11"/>
      <c r="L1076" s="11"/>
      <c r="M1076" s="15"/>
      <c r="N1076" s="15"/>
      <c r="O1076" s="15"/>
      <c r="P1076" s="15"/>
      <c r="Q1076" s="15"/>
      <c r="R1076" s="15"/>
      <c r="S1076" s="15"/>
      <c r="T1076" s="15"/>
      <c r="U1076" s="15"/>
      <c r="V1076" s="15"/>
      <c r="W1076" s="15"/>
      <c r="X1076" s="15"/>
      <c r="Y1076" s="15"/>
      <c r="Z1076" s="15"/>
      <c r="AA1076" s="15"/>
      <c r="AB1076" s="15"/>
      <c r="AC1076" s="15"/>
      <c r="AD1076" s="15"/>
      <c r="AE1076" s="15"/>
      <c r="AF1076" s="15"/>
    </row>
    <row r="1077" ht="15.75" customHeight="1">
      <c r="A1077" s="15"/>
      <c r="B1077" s="15"/>
      <c r="C1077" s="21"/>
      <c r="D1077" s="15"/>
      <c r="E1077" s="15"/>
      <c r="F1077" s="15"/>
      <c r="G1077" s="15"/>
      <c r="H1077" s="15"/>
      <c r="I1077" s="11"/>
      <c r="J1077" s="11"/>
      <c r="K1077" s="11"/>
      <c r="L1077" s="11"/>
      <c r="M1077" s="15"/>
      <c r="N1077" s="15"/>
      <c r="O1077" s="15"/>
      <c r="P1077" s="15"/>
      <c r="Q1077" s="15"/>
      <c r="R1077" s="15"/>
      <c r="S1077" s="15"/>
      <c r="T1077" s="15"/>
      <c r="U1077" s="15"/>
      <c r="V1077" s="15"/>
      <c r="W1077" s="15"/>
      <c r="X1077" s="15"/>
      <c r="Y1077" s="15"/>
      <c r="Z1077" s="15"/>
      <c r="AA1077" s="15"/>
      <c r="AB1077" s="15"/>
      <c r="AC1077" s="15"/>
      <c r="AD1077" s="15"/>
      <c r="AE1077" s="15"/>
      <c r="AF1077" s="15"/>
    </row>
    <row r="1078" ht="15.75" customHeight="1">
      <c r="A1078" s="15"/>
      <c r="B1078" s="15"/>
      <c r="C1078" s="21"/>
      <c r="D1078" s="15"/>
      <c r="E1078" s="15"/>
      <c r="F1078" s="15"/>
      <c r="G1078" s="15"/>
      <c r="H1078" s="15"/>
      <c r="I1078" s="11"/>
      <c r="J1078" s="11"/>
      <c r="K1078" s="11"/>
      <c r="L1078" s="11"/>
      <c r="M1078" s="15"/>
      <c r="N1078" s="15"/>
      <c r="O1078" s="15"/>
      <c r="P1078" s="15"/>
      <c r="Q1078" s="15"/>
      <c r="R1078" s="15"/>
      <c r="S1078" s="15"/>
      <c r="T1078" s="15"/>
      <c r="U1078" s="15"/>
      <c r="V1078" s="15"/>
      <c r="W1078" s="15"/>
      <c r="X1078" s="15"/>
      <c r="Y1078" s="15"/>
      <c r="Z1078" s="15"/>
      <c r="AA1078" s="15"/>
      <c r="AB1078" s="15"/>
      <c r="AC1078" s="15"/>
      <c r="AD1078" s="15"/>
      <c r="AE1078" s="15"/>
      <c r="AF1078" s="15"/>
    </row>
    <row r="1079" ht="15.75" customHeight="1">
      <c r="A1079" s="15"/>
      <c r="B1079" s="15"/>
      <c r="C1079" s="21"/>
      <c r="D1079" s="15"/>
      <c r="E1079" s="15"/>
      <c r="F1079" s="15"/>
      <c r="G1079" s="15"/>
      <c r="H1079" s="15"/>
      <c r="I1079" s="11"/>
      <c r="J1079" s="11"/>
      <c r="K1079" s="11"/>
      <c r="L1079" s="11"/>
      <c r="M1079" s="15"/>
      <c r="N1079" s="15"/>
      <c r="O1079" s="15"/>
      <c r="P1079" s="15"/>
      <c r="Q1079" s="15"/>
      <c r="R1079" s="15"/>
      <c r="S1079" s="15"/>
      <c r="T1079" s="15"/>
      <c r="U1079" s="15"/>
      <c r="V1079" s="15"/>
      <c r="W1079" s="15"/>
      <c r="X1079" s="15"/>
      <c r="Y1079" s="15"/>
      <c r="Z1079" s="15"/>
      <c r="AA1079" s="15"/>
      <c r="AB1079" s="15"/>
      <c r="AC1079" s="15"/>
      <c r="AD1079" s="15"/>
      <c r="AE1079" s="15"/>
      <c r="AF1079" s="15"/>
    </row>
    <row r="1080" ht="15.75" customHeight="1">
      <c r="A1080" s="15"/>
      <c r="B1080" s="15"/>
      <c r="C1080" s="21"/>
      <c r="D1080" s="15"/>
      <c r="E1080" s="15"/>
      <c r="F1080" s="15"/>
      <c r="G1080" s="15"/>
      <c r="H1080" s="15"/>
      <c r="I1080" s="11"/>
      <c r="J1080" s="11"/>
      <c r="K1080" s="11"/>
      <c r="L1080" s="11"/>
      <c r="M1080" s="15"/>
      <c r="N1080" s="15"/>
      <c r="O1080" s="15"/>
      <c r="P1080" s="15"/>
      <c r="Q1080" s="15"/>
      <c r="R1080" s="15"/>
      <c r="S1080" s="15"/>
      <c r="T1080" s="15"/>
      <c r="U1080" s="15"/>
      <c r="V1080" s="15"/>
      <c r="W1080" s="15"/>
      <c r="X1080" s="15"/>
      <c r="Y1080" s="15"/>
      <c r="Z1080" s="15"/>
      <c r="AA1080" s="15"/>
      <c r="AB1080" s="15"/>
      <c r="AC1080" s="15"/>
      <c r="AD1080" s="15"/>
      <c r="AE1080" s="15"/>
      <c r="AF1080" s="15"/>
    </row>
  </sheetData>
  <mergeCells count="149">
    <mergeCell ref="C477:C503"/>
    <mergeCell ref="D477:D503"/>
    <mergeCell ref="B426:B446"/>
    <mergeCell ref="C426:C446"/>
    <mergeCell ref="D426:D446"/>
    <mergeCell ref="B449:B475"/>
    <mergeCell ref="C449:C475"/>
    <mergeCell ref="D449:D475"/>
    <mergeCell ref="B477:B503"/>
    <mergeCell ref="C607:C619"/>
    <mergeCell ref="D607:D619"/>
    <mergeCell ref="B582:B592"/>
    <mergeCell ref="C582:C592"/>
    <mergeCell ref="D582:D592"/>
    <mergeCell ref="B594:B605"/>
    <mergeCell ref="C594:C605"/>
    <mergeCell ref="D594:D605"/>
    <mergeCell ref="B607:B619"/>
    <mergeCell ref="C82:C90"/>
    <mergeCell ref="D82:D90"/>
    <mergeCell ref="B64:B72"/>
    <mergeCell ref="C64:C72"/>
    <mergeCell ref="D64:D72"/>
    <mergeCell ref="B73:B81"/>
    <mergeCell ref="C73:C81"/>
    <mergeCell ref="D73:D81"/>
    <mergeCell ref="B82:B90"/>
    <mergeCell ref="B91:B99"/>
    <mergeCell ref="C91:C99"/>
    <mergeCell ref="D91:D99"/>
    <mergeCell ref="A94:A97"/>
    <mergeCell ref="B100:B108"/>
    <mergeCell ref="C100:C108"/>
    <mergeCell ref="D100:D108"/>
    <mergeCell ref="B109:B117"/>
    <mergeCell ref="C109:C117"/>
    <mergeCell ref="D109:D117"/>
    <mergeCell ref="B118:B121"/>
    <mergeCell ref="C118:C121"/>
    <mergeCell ref="D118:D121"/>
    <mergeCell ref="D123:D140"/>
    <mergeCell ref="C123:C140"/>
    <mergeCell ref="B125:B140"/>
    <mergeCell ref="B141:B155"/>
    <mergeCell ref="C141:C155"/>
    <mergeCell ref="D141:D155"/>
    <mergeCell ref="C157:C171"/>
    <mergeCell ref="D157:D171"/>
    <mergeCell ref="B157:B171"/>
    <mergeCell ref="B172:B186"/>
    <mergeCell ref="C172:C186"/>
    <mergeCell ref="D172:D186"/>
    <mergeCell ref="B188:B205"/>
    <mergeCell ref="C188:C205"/>
    <mergeCell ref="D188:D205"/>
    <mergeCell ref="B622:B635"/>
    <mergeCell ref="C622:C635"/>
    <mergeCell ref="D622:D635"/>
    <mergeCell ref="B637:B643"/>
    <mergeCell ref="C637:C643"/>
    <mergeCell ref="D637:D643"/>
    <mergeCell ref="C3:I3"/>
    <mergeCell ref="B6:B7"/>
    <mergeCell ref="C6:C7"/>
    <mergeCell ref="D6:D7"/>
    <mergeCell ref="B8:B10"/>
    <mergeCell ref="C8:C10"/>
    <mergeCell ref="D8:D10"/>
    <mergeCell ref="C15:C16"/>
    <mergeCell ref="D15:D16"/>
    <mergeCell ref="B11:B12"/>
    <mergeCell ref="C11:C12"/>
    <mergeCell ref="D11:D12"/>
    <mergeCell ref="B13:B14"/>
    <mergeCell ref="C13:C14"/>
    <mergeCell ref="D13:D14"/>
    <mergeCell ref="B15:B16"/>
    <mergeCell ref="C28:C36"/>
    <mergeCell ref="D28:D36"/>
    <mergeCell ref="B17:B18"/>
    <mergeCell ref="C17:C18"/>
    <mergeCell ref="D17:D18"/>
    <mergeCell ref="B19:B27"/>
    <mergeCell ref="C19:C27"/>
    <mergeCell ref="D19:D27"/>
    <mergeCell ref="B28:B36"/>
    <mergeCell ref="C55:C63"/>
    <mergeCell ref="D55:D63"/>
    <mergeCell ref="B37:B45"/>
    <mergeCell ref="C37:C45"/>
    <mergeCell ref="D37:D45"/>
    <mergeCell ref="B46:B54"/>
    <mergeCell ref="C46:C54"/>
    <mergeCell ref="D46:D54"/>
    <mergeCell ref="B55:B63"/>
    <mergeCell ref="C231:C242"/>
    <mergeCell ref="D231:D242"/>
    <mergeCell ref="B207:B216"/>
    <mergeCell ref="C207:C216"/>
    <mergeCell ref="D207:D216"/>
    <mergeCell ref="B219:B229"/>
    <mergeCell ref="C219:C229"/>
    <mergeCell ref="D219:D229"/>
    <mergeCell ref="B231:B242"/>
    <mergeCell ref="C273:C284"/>
    <mergeCell ref="D273:D284"/>
    <mergeCell ref="B244:B256"/>
    <mergeCell ref="C244:C256"/>
    <mergeCell ref="D244:D256"/>
    <mergeCell ref="B258:B271"/>
    <mergeCell ref="C258:C271"/>
    <mergeCell ref="D258:D271"/>
    <mergeCell ref="B273:B284"/>
    <mergeCell ref="C315:C329"/>
    <mergeCell ref="D315:D329"/>
    <mergeCell ref="B286:B298"/>
    <mergeCell ref="C286:C298"/>
    <mergeCell ref="D286:D298"/>
    <mergeCell ref="B300:B313"/>
    <mergeCell ref="C300:C313"/>
    <mergeCell ref="D300:D313"/>
    <mergeCell ref="B315:B329"/>
    <mergeCell ref="C363:C375"/>
    <mergeCell ref="D363:D375"/>
    <mergeCell ref="B331:B348"/>
    <mergeCell ref="C331:C348"/>
    <mergeCell ref="D331:D348"/>
    <mergeCell ref="B350:B361"/>
    <mergeCell ref="C350:C361"/>
    <mergeCell ref="D350:D361"/>
    <mergeCell ref="B363:B375"/>
    <mergeCell ref="C408:C424"/>
    <mergeCell ref="D408:D424"/>
    <mergeCell ref="B377:B390"/>
    <mergeCell ref="C377:C390"/>
    <mergeCell ref="D377:D390"/>
    <mergeCell ref="B392:B406"/>
    <mergeCell ref="C392:C406"/>
    <mergeCell ref="D392:D406"/>
    <mergeCell ref="B408:B424"/>
    <mergeCell ref="C570:C579"/>
    <mergeCell ref="D570:D579"/>
    <mergeCell ref="B506:B534"/>
    <mergeCell ref="C506:C534"/>
    <mergeCell ref="D506:D534"/>
    <mergeCell ref="B536:B568"/>
    <mergeCell ref="C536:C568"/>
    <mergeCell ref="D536:D568"/>
    <mergeCell ref="B570:B579"/>
  </mergeCells>
  <dataValidations>
    <dataValidation type="list" allowBlank="1" sqref="H185:K185">
      <formula1>"CreateDoneAwayOrder,GetMarkPriceData,UpdateMarkPrice,GetForexConversion,UpdateForexConversion,PricingInput,CreateDoneAwayOrder1,GetDataClosing,AutomaticClosing,GetDayEndCash,CalculateDayEndCash,CheckPortfolioManagement"</formula1>
    </dataValidation>
    <dataValidation type="list" allowBlank="1" sqref="H567:K567">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GetForexConversion1,UpdateForexConversion1,PricingInput,GetDataClosing,AutomaticClosi"&amp;"ng,GetDayEndCash,CheckPortfolioManagement"</formula1>
    </dataValidation>
    <dataValidation type="list" allowBlank="1" sqref="H76:K76">
      <formula1>"CreateDoneAwayOrder,PricingInput,CheckPortfolioManagement,GetForexConversion,UpdateForexConversion,UpdateForwardPoints,GetForwardPoints,UpdateForexConversionOnTrade,GetForexConversionOnTrade,Copy of Data,Copy of Data_conflict1765194363,Copy of Data 1,Copy"&amp;" of Data 2,Copy of Data 3"</formula1>
    </dataValidation>
    <dataValidation type="list" allowBlank="1" sqref="H204:K204 H347:K347">
      <formula1>"CreateDoneAwayOrder,GetMarkPriceData,UpdateMarkPrice,GetMarkPriceData1,UpdateMarkPrice1,GetForexConversion,UpdateForexConversion,GetForexConversion1,UpdateForexConversion1,PricingInput,GetDataClosing,AutomaticClosing,GetDayEndCash,CheckPortfolioManagement"</formula1>
    </dataValidation>
    <dataValidation type="list" allowBlank="1" sqref="H464:K464">
      <formula1>"CreateDoneAwayOrder,GetDataAllocation,SelectAllocatedGroup,BookOrUpdateSwap,SelectAllocatedGroup1,BookOrUpdateSwap1,SelectAllocatedGroup2,BookOrUpdateSwap2,SelectAllocatedGroup3,BookOrUpdateSwap3,GetMarkPriceData,UpdateMarkPrice,GetForexConversion,UpdateF"&amp;"orexConversion"</formula1>
    </dataValidation>
    <dataValidation type="list" allowBlank="1" sqref="H202:K202 H345:K345">
      <formula1>"CreateDoneAwayOrder,GetMarkPriceData,UpdateMarkPrice,GetMarkPriceData1,UpdateMarkPrice1,GetForexConversion,UpdateForexConversion,GetForexConversion1,UpdateForexConversion1,PricingInput,GetDataClosing,AutomaticClosing,GetDayEndCash"</formula1>
    </dataValidation>
    <dataValidation type="list" allowBlank="1" sqref="H433:K433">
      <formula1>"CreateDoneAwayOrder,GetDataAllocation,SelectAllocatedGroup,BookOrUpdateSwap,GetMarkPriceData,UpdateMarkPrice,GetForexConversion,UpdateForexConversion,PricingInput,GetDayEndCash,CheckPortfolioManagement,SelectAllocatedGroup1"</formula1>
    </dataValidation>
    <dataValidation type="list" allowBlank="1" sqref="H529:K529">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SelectAllocatedGroup4,BookOrUpdateSwap4,SelectAllocatedGroup5,BookOrUpdateSwap5,GetDataClosing"</formula1>
    </dataValidation>
    <dataValidation type="list" allowBlank="1" sqref="H127:K127 H145:K145 H161:K161 H176:K176 H211:K211 H235:K235 H248:K248 H262:K263 H277:K277 H290:K290 H304:K304 H319:K319 H335:K336 H354:K354 H367:K367 H381:K381 H396:K396 H412:K413 H439:K439 H574:K574 H586:K586 H598:K598 H611:K611 H626:K627">
      <formula1>"CreateDoneAwayOrder,GetMarkPriceData,UpdateMarkPrice"</formula1>
    </dataValidation>
    <dataValidation type="list" allowBlank="1" sqref="F79:F80 F86:F87 F89">
      <formula1>"UpdateBeta,UpdateDailyCash,UpdateForexConversion,UpdateDailyMarkPrice,DailyValuationSelectDate,CleanUp,GetMarkPriceData,EditmarkPriceDate,GetForwardPoints,GetForexConversion,AddForexConversion,GetNAV,AddNAV,DeleteNAV,GetDailyCash,AddDailyCash,GetDailyBeta"&amp;",GetDailyVolatility,GetDailyDividendYield,GetDailyTradingVolume,GetDailyOutstandings,GetDailyDelta,UpdateDailyVolatility,UpdateDividendYield,DataManagement.Click(MouseButtons.Left);,UpdateTradingVolume,UpdateDailyDelta,UpdateDailyOutstandings,AddForexConv"&amp;"ersion,UpdateDailyMarkPrice,UpdateBeta,UpdateNAV,UpdateDailyCash,UpdateCreditLimt,UpdateDailyCreditLimt,AddDailyCreditLimit,RemoveDailyCreditLimt,RemoveDailyCreditLimit,RemoveDailyCash,RemoveNAV,UpdateMarkPrice,UpdateForwardPoints,,,,,,,,,,,,,,,,,,,,,,,,,"&amp;",,,,,,,,,,,,,,,,,,,,,,,,,,,,,,,,,,,,,,,,,,,,,,,,,,,,,,,,,,,,,,,,,,,,,,,,,,,,,,,,,,,,,,,,,,,,,,,,,,,,,,,,,,,,,,,,,,,,,,,,,,,,,,,,,,,,,,,,,,,,,,,,,,,,,,,,,,,,,,,,,,,,,,,,,,,,,,,,,,,,,,,,,,,,,,,,,,,,,,,,,,,,,,,,,,,,,,,,,,,,,,,,,,,,,,,,,,,,,,,,,,,,,,,,,,,,,,,"&amp;",,,,,,,,,,,,,,,,,,,,,,,,,,,,,,,,,,,,,,,,,,,,,,,,,,,,,,,,,,,,,,,,,,,,,,,,,,,,,,,,,,,,,,,,,,,,,,,,,,,,,,,,,,,,,,,,,,,,,,,,,,,,,,,,,,,,,,,,,,,,,,,,,,,,,,,,,,,,,,,,,,,,,,,,,,,,,,,"</formula1>
    </dataValidation>
    <dataValidation type="list" allowBlank="1" sqref="H495:K495">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formula1>
    </dataValidation>
    <dataValidation type="list" allowBlank="1" sqref="H114:K114 H116:K116">
      <formula1>"Copy of Data,CreateDoneAwayOrder,CheckPortfolioManagement,Copy of Data 1,GroupRowPM,ClosePM,FilterPM"</formula1>
    </dataValidation>
    <dataValidation type="list" allowBlank="1" sqref="H516:K516">
      <formula1>"CreateDoneAwayOrder,GetDataAllocation,SelectAllocatedGroup,BookOrUpdateSwap,SelectAllocatedGroup1,BookOrUpdateSwap1,SelectAllocatedGroup2,BookOrUpdateSwap2,GetMarkPriceData"</formula1>
    </dataValidation>
    <dataValidation type="list" allowBlank="1" sqref="H61:K61">
      <formula1>"CreateDoneAwayOrder,PricingInput,UpdateMarkPrice,GetMarkPriceData,GetForexConversion,UpdateForexConversion,CheckPortfolioManagement,GetForexConversionOnTrade,UpdateForexConversionOnTrade,Copy of Data,Copy of Data_conflict310505269,Copy of Data 1,Copy of D"&amp;"ata 2,Copy of Data 3"</formula1>
    </dataValidation>
    <dataValidation type="list" allowBlank="1" sqref="H120:K120">
      <formula1>"CreateDoneAwayOrder,CheckPortfolioManagement,CheckAllocatedGroups,GetDataAllocation,Copy of Data,Copy of Data 1"</formula1>
    </dataValidation>
    <dataValidation type="list" allowBlank="1" sqref="H195:K195 H338:K338 H415:K415">
      <formula1>"CreateDoneAwayOrder,GetMarkPriceData,UpdateMarkPrice,GetMarkPriceData1,UpdateMarkPrice1,GetForexConversion"</formula1>
    </dataValidation>
    <dataValidation type="list" allowBlank="1" sqref="H460:K460 H488:K488">
      <formula1>"CreateDoneAwayOrder,GetDataAllocation,SelectAllocatedGroup,BookOrUpdateSwap,SelectAllocatedGroup1,BookOrUpdateSwap1,SelectAllocatedGroup2,BookOrUpdateSwap2,SelectAllocatedGroup3"</formula1>
    </dataValidation>
    <dataValidation type="list" allowBlank="1" sqref="H95:K95">
      <formula1>"GetForexConversion,UpdateForexConversion,CreateDoneAwayOrder,PricingInput,GetMarkPriceData,UpdateMarkPrice,CheckPortfolioManagement,Copy of Data,Copy of Data 1,Copy of Data 2"</formula1>
    </dataValidation>
    <dataValidation type="list" allowBlank="1" sqref="H192:K193">
      <formula1>"CreateDoneAwayOrder,GetMarkPriceData,update,UpdateMarkPrice"</formula1>
    </dataValidation>
    <dataValidation type="list" allowBlank="1" sqref="H421:K421">
      <formula1>"CreateDoneAwayOrder,GetMarkPriceData,UpdateMarkPrice,GetMarkPriceData1,UpdateMarkPrice1,GetForexConversion,UpdateForexConversion,GetForexConversion1,UpdateForexConversion1,GetDataClosing,AutomaticClosing,GetDayEndCash"</formula1>
    </dataValidation>
    <dataValidation type="list" allowBlank="1" sqref="H512:K512">
      <formula1>"CreateDoneAwayOrder,GetDataAllocation,SelectAllocatedGroup,BookOrUpdateSwap,SelectUnallocatedGroup"</formula1>
    </dataValidation>
    <dataValidation type="list" allowBlank="1" sqref="H44:K45">
      <formula1>"CreateDoneAwayOrder,GetMarkPriceData,UpdateMarkPrice,PricingInput,GetForexConversion,UpdateForexConversion,CheckPortfolioManagement,GetForexConversionOnTrade,UpdateForexConversionOnTrade,Copy of Data,Copy of Data 1,Copy of Data 2,Copy of Data 3,Copy of Da"&amp;"ta 4,Copy of Data 5"</formula1>
    </dataValidation>
    <dataValidation type="list" allowBlank="1" sqref="H31:K32">
      <formula1>"CreateDoneAwayOrder,PricingInput,GetForexConversion,UpdateForexConversion,GetMarkPriceData,UpdateMarkPrice,CheckPortfolioManagement,GetForexConversionOnTrade,UpdateForexConversionOnTrade,Copy of Data,Copy of Data_conflict1692259720,Copy of Data 1,Copy of "&amp;"Data 2,Copy of Data 3"</formula1>
    </dataValidation>
    <dataValidation type="list" allowBlank="1" sqref="H275:K275 H283:K283 H360:K360">
      <formula1>"CreateDoneAwayOrder,GetMarkPriceData,UpdateMarkPrice,GetForexConversion,UpdateForexConversion,PricingInput,GetDayEndCash,CheckPortfolioManagement"</formula1>
    </dataValidation>
    <dataValidation type="list" allowBlank="1" sqref="H215:K215">
      <formula1>"CreateDoneAwayOrder,GetMarkPriceData,UpdateMarkPrice,PricingInput,GetDayEndCash,CalculateDayEndCash,CheckPortfolioManagement"</formula1>
    </dataValidation>
    <dataValidation type="list" allowBlank="1" sqref="H126:K126 H144:K144 H160:K160 H175:K175 H191:K191 H210:K210 H234:K234 H247:K247 H261:K261 H276:K276 H289:K289 H303:K303 H318:K318 H334:K334 H353:K353 H366:K366 H380:K380 H395:K395 H411:K411 H438:K438 H573:K573 H585:K585 H597:K597 H610:K610 H625:K625">
      <formula1>"CreateDoneAwayOrder,GetMarkPriceData"</formula1>
    </dataValidation>
    <dataValidation type="list" allowBlank="1" sqref="H578:K578">
      <formula1>"CreateDoneAwayOrder,GetMarkPriceData,UpdateMarkPrice,PricingInput,GetDayEndCash,CheckPortfolioManagement"</formula1>
    </dataValidation>
    <dataValidation type="list" allowBlank="1" sqref="H11:K11">
      <formula1>"FilterPM,Copy of Data"</formula1>
    </dataValidation>
    <dataValidation type="list" allowBlank="1" sqref="H40:K41">
      <formula1>"CreateDoneAwayOrder,GetMarkPriceData,UpdateMarkPrice,PricingInput,GetForexConversion,UpdateForexConversion,CheckPortfolioManagement,GetForexConversionOnTrade,UpdateForexConversionOnTrade,Copy of Data,Copy of Data 1,Copy of Data 2,Copy of Data 3"</formula1>
    </dataValidation>
    <dataValidation type="list" allowBlank="1" sqref="H33:K33">
      <formula1>"CreateDoneAwayOrder,PricingInput,GetForexConversion,UpdateForexConversion,GetMarkPriceData,UpdateMarkPrice,CheckPortfolioManagement,GetForexConversionOnTrade,UpdateForexConversionOnTrade,Copy of Data,Copy of Data_conflict1692259720,Copy of Data 1,Copy of "&amp;"Data 2,Copy of Data 3,Copy of Data 4"</formula1>
    </dataValidation>
    <dataValidation type="list" allowBlank="1" sqref="H268:K268 H632:K632">
      <formula1>"CreateDoneAwayOrder,GetMarkPriceData,UpdateMarkPrice,GetMarkPriceData1,UpdateMarkPrice1,GetDataClosing,AutomaticClosing,GetDayEndCash"</formula1>
    </dataValidation>
    <dataValidation type="list" allowBlank="1" sqref="H559:K560">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formula1>
    </dataValidation>
    <dataValidation type="list" allowBlank="1" sqref="E7:E1080">
      <formula1>'_Modules'!$A$4:$A1080</formula1>
    </dataValidation>
    <dataValidation type="list" allowBlank="1" sqref="H86:K86">
      <formula1>"CreateDoneAwayOrder,PricingInput,GetForexConversion,UpdateForexConversion,UpdateForwardPoints,CheckPortfolioManagement,GetForwardPoints,GetForexConversionOnTrade,UpdateForexConversionOnTrade,Copy of Data,Copy of Data 1,Copy of Data 2,Copy of Data 3"</formula1>
    </dataValidation>
    <dataValidation type="list" allowBlank="1" sqref="H57:K59">
      <formula1>"CreateDoneAwayOrder,PricingInput,UpdateMarkPrice,GetMarkPriceData,GetForexConversion,UpdateForexConversion,CheckPortfolioManagement,GetForexConversionOnTrade,UpdateForexConversionOnTrade,Copy of Data,Copy of Data_conflict310505269,Copy of Data 1"</formula1>
    </dataValidation>
    <dataValidation type="list" allowBlank="1" sqref="H91:K91">
      <formula1>"GetForexConversion,UpdateForexConversion,CreateDoneAwayOrder,PricingInput,GetMarkPriceData,UpdateMarkPrice,CheckPortfolioManagement"</formula1>
    </dataValidation>
    <dataValidation type="list" allowBlank="1" sqref="H419:K419">
      <formula1>"CreateDoneAwayOrder,GetMarkPriceData,UpdateMarkPrice,GetMarkPriceData1,UpdateMarkPrice1,GetForexConversion,UpdateForexConversion,GetForexConversion1,UpdateForexConversion1,GetDataClosing"</formula1>
    </dataValidation>
    <dataValidation type="list" allowBlank="1" sqref="H466:K466 H468:K468">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formula1>
    </dataValidation>
    <dataValidation type="list" allowBlank="1" sqref="H523:K523">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formula1>
    </dataValidation>
    <dataValidation type="list" allowBlank="1" sqref="H266:K266">
      <formula1>"CreateDoneAwayOrder,GetMarkPriceData,UpdateMarkPrice,GetMarkPriceData1,UpdateMarkPrice1,getdtaa,GetDataClosing"</formula1>
    </dataValidation>
    <dataValidation type="list" allowBlank="1" sqref="H267:K267 H631:K631">
      <formula1>"CreateDoneAwayOrder,GetMarkPriceData,UpdateMarkPrice,GetMarkPriceData1,UpdateMarkPrice1,GetDataClosing,AutomaticClosing"</formula1>
    </dataValidation>
    <dataValidation type="list" allowBlank="1" sqref="H93:K94">
      <formula1>"GetForexConversion,UpdateForexConversion,CreateDoneAwayOrder,PricingInput,GetMarkPriceData,UpdateMarkPrice,CheckPortfolioManagement,Copy of Data,Copy of Data 1"</formula1>
    </dataValidation>
    <dataValidation type="list" allowBlank="1" sqref="H165:K165 H308:K308 H324:K324">
      <formula1>"CreateDoneAwayOrder,GetMarkPriceData,UpdateMarkPrice,GetForexConversion,UpdateForexConversion,PricingInput,GetDataClosing"</formula1>
    </dataValidation>
    <dataValidation type="list" allowBlank="1" sqref="H524:K524">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formula1>
    </dataValidation>
    <dataValidation type="list" allowBlank="1" sqref="F21 F30 F39 H39 F48 F57 F66 F75 F84 F93 F102 F109">
      <formula1>"TradeUsingTT,OpenTTFromPST,EnterDetailsOnTT,ValidateSymbolTT,VerifyDataTT,SetUIPreferencesTT,SetBrokerWisePreferencesTT,TradeNewSub,CreateStageOrder,CreateReplaceOrder,CreateReplaceOrder,EditOrder,SetGeneralPreference,CreateDoneAwayOrder,,,,,,,,,,,,,,,,,,"&amp;",,,,,,,,,,,,,,,,,,,,,,,,,,,,,,,,,,,,,,,,,,,,,,,,,,,,,,,,,,,,,,,,,,,,,,,,,,,,,,,,,,,,,,,,,,,,,,,,,,,,,,,,,,,,,,,,,,,,,,,,,,,,,,,,,,,,,,,,,,,,,,,,,,,,,,,,,,,,,,,,,,,,,,,,,,,,,,,,,,,,,,,,,,,,,,,,,,,,,,,,,,,,,,,,,,,,,,,,,,,,,,,,,,,,,,,,,,,,,,,,,,,,,,,,,,,,,,,"&amp;",,,,,,,,,,,,,,,,,,,,,,,,,,,,,,,,,,,,,,,,,,,,,,,,,,,,,,,,,,,,,,,,,,,,,,,,,,,,,,,,,,,,,,,,,,,,,,,,,,,,,,,,,,,,,,,,,,,,,,,,,,,,,,,,,,,,,,,,,,,,,,,,,,,,,,,,,,,,,,,,,,,,,,,,,,,,,,,,,,,,,,,,,,,,,,,,,,,,,,,,,,,,,,,,,,"</formula1>
    </dataValidation>
    <dataValidation type="list" allowBlank="1" sqref="H131:K131 H149:K149 H281:K281 H294:K294 H296:K296 H358:K358 H371:K371 H373:K373 H443:K443">
      <formula1>"CreateDoneAwayOrder,GetMarkPriceData,UpdateMarkPrice,GetForexConversion,UpdateForexConversion,PricingInput,GetDayEndCash"</formula1>
    </dataValidation>
    <dataValidation type="list" allowBlank="1" sqref="H196:K197 H339:K340 H416:K417">
      <formula1>"CreateDoneAwayOrder,GetMarkPriceData,UpdateMarkPrice,GetMarkPriceData1,UpdateMarkPrice1,GetForexConversion,UpdateForexConversion"</formula1>
    </dataValidation>
    <dataValidation type="list" allowBlank="1" sqref="H423:K423">
      <formula1>"CreateDoneAwayOrder,GetMarkPriceData,UpdateMarkPrice,GetMarkPriceData1,UpdateMarkPrice1,GetForexConversion,UpdateForexConversion,GetForexConversion1,UpdateForexConversion1,GetDataClosing,AutomaticClosing,GetDayEndCash,CalculateDayEndCash,CheckPortfolioMan"&amp;"agement"</formula1>
    </dataValidation>
    <dataValidation type="list" allowBlank="1" sqref="H51:K54 H69:K72">
      <formula1>"CreateDoneAwayOrder,PricingInput,GetMarkPriceData,UpdateMarkPrice,GetForexConversion,UpdateForexConversion,CheckPortfolioManagement,GetForexConversionOnTrade,UpdateForexConversionOnTrade,Copy of Data,Copy of Data 1,Copy of Data 2,Copy of Data 3,Copy of Da"&amp;"ta 4,Copy of Data 5"</formula1>
    </dataValidation>
    <dataValidation type="list" allowBlank="1" sqref="H60:K60">
      <formula1>"CreateDoneAwayOrder,PricingInput,UpdateMarkPrice,GetMarkPriceData,GetForexConversion,UpdateForexConversion,CheckPortfolioManagement,GetForexConversionOnTrade,UpdateForexConversionOnTrade,Copy of Data,Copy of Data_conflict310505269,Copy of Data 1,Copy of D"&amp;"ata 2"</formula1>
    </dataValidation>
    <dataValidation type="list" allowBlank="1" sqref="F119:F120">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55:K55">
      <formula1>"CreateDoneAwayOrder,PricingInput,UpdateMarkPrice,GetMarkPriceData,GetForexConversion,UpdateForexConversion,CheckPortfolioManagement,GetForexConversionOnTrade,UpdateForexConversionOnTrade"</formula1>
    </dataValidation>
    <dataValidation type="list" allowBlank="1" sqref="H457:K457 H485:K485 H514:K514 H544:K544">
      <formula1>"CreateDoneAwayOrder,GetDataAllocation,SelectAllocatedGroup,BookOrUpdateSwap,SelectAllocatedGroup1,BookOrUpdateSwap1"</formula1>
    </dataValidation>
    <dataValidation type="list" allowBlank="1" sqref="H92:K92">
      <formula1>"GetForexConversion,UpdateForexConversion,CreateDoneAwayOrder,PricingInput,GetMarkPriceData,UpdateMarkPrice,CheckPortfolioManagement,Copy of Data"</formula1>
    </dataValidation>
    <dataValidation type="list" allowBlank="1" sqref="H634:K634">
      <formula1>"CreateDoneAwayOrder,GetMarkPriceData,UpdateMarkPrice,GetMarkPriceData1,UpdateMarkPrice1,GetDataClosing,AutomaticClosing,GetDayEndCash,CheckPortfolioManagement"</formula1>
    </dataValidation>
    <dataValidation type="list" allowBlank="1" sqref="H222:K222">
      <formula1>"CreateDoneAwayOrder,PricingInput,GetDayEndCash,CreateDoneAwayOrder1,GetMarkPriceData"</formula1>
    </dataValidation>
    <dataValidation type="list" allowBlank="1" sqref="H46:K46 H64:K64">
      <formula1>"CreateDoneAwayOrder,PricingInput,GetMarkPriceData,UpdateMarkPrice,GetForexConversion,UpdateForexConversion,CheckPortfolioManagement,GetForexConversionOnTrade,UpdateForexConversionOnTrade,Copy of Data"</formula1>
    </dataValidation>
    <dataValidation type="list" allowBlank="1" sqref="H30:K30">
      <formula1>"CreateDoneAwayOrder,PricingInput,GetForexConversion,UpdateForexConversion,GetMarkPriceData,UpdateMarkPrice,CheckPortfolioManagement,GetForexConversionOnTrade,UpdateForexConversionOnTrade,Copy of Data,Copy of Data_conflict1692259720,Copy of Data 1,Copy of "&amp;"Data 2"</formula1>
    </dataValidation>
    <dataValidation type="list" allowBlank="1" sqref="I38:K38">
      <formula1>"CreateDoneAwayOrder,GetMarkPriceData,UpdateMarkPrice,PricingInput,GetForexConversion,UpdateForexConversion,CheckPortfolioManagement,GetForexConversionOnTrade,UpdateForexConversionOnTrade,Copy of Data,Copy of Data 1"</formula1>
    </dataValidation>
    <dataValidation type="list" allowBlank="1" sqref="F13:F14">
      <formula1>"CheckDashboardPM,CheckPortfolioManagement,OpenPSTFromPM,ClosePM,FilterPM,GroupRowPM,CheckDashboardWithPM,RemoveFilterPM,,,,,,,,,,,,,,,,,,,,,,,,,,,,,,,,,,,,,,,,,,,,,,,,,,,,,,,,,,,,,,,,,,,,,,,,,,,,,,,,,,,,,,,,,,,,,,,,,,,,,,,,,,,,,,,,,,,,,,,,,,,,,,,,,,,,,,,,"&amp;",,,,,,,,,,,,,,,,,,,,,,,,,,,,,,,,,,,,,,,,,,,,,,,,,,,,,,,,,,,,,,,,,,,,,,,,,,,,,,,,,,,,,,,,,,,,,,,,,,,,,,,,,,,,,,,,,,,,,,,,,,,,,,,,,,,,,,,,,,,,,,,,,,,,,,,,,,,,,,,,,,,,,,,,,,,,,,,,,,,,,,,,,,,,,,,,,,,,,,,,,,,,,,,,,,,,,,,,,,,,,,,,,,,,,,,,,,,,,,,,,,,,,,,,,,,,,,,"&amp;",,,,,,,,,,,,,,,,,,,,,,,,,,,,,,,,,,,,,,,,,,,,,,,,,,,,,,,,,,,,,,,,,,,,,,,,,,,,,,,,,,,,,,,,,,,,,,,,,,"</formula1>
    </dataValidation>
    <dataValidation type="list" allowBlank="1" sqref="H458:K458 H486:K486 H515:K515 H545:K545">
      <formula1>"CreateDoneAwayOrder,GetDataAllocation,SelectAllocatedGroup,BookOrUpdateSwap,SelectAllocatedGroup1,BookOrUpdateSwap1,SelectAllocatedGroup2"</formula1>
    </dataValidation>
    <dataValidation type="list" allowBlank="1" sqref="H451:K451">
      <formula1>"SelectAllocatedGroup,BookOrUpdateSwap,BookOrUpdateSwap1,SelectAllocatedGroup1,SelectAllocatedGroup2,BookOrUpdateSwap2,SelectAllocatedGroup3,BookOrUpdateSwap3,GetDataAllocation1,SelectAllocatedGroup4,BookOrUpdateSwap4,SelectAllocatedGroup5,BookOrUpdateSwap"&amp;"5,CreateDoneAwayOrder"</formula1>
    </dataValidation>
    <dataValidation type="list" allowBlank="1" sqref="H591:K591">
      <formula1>"CreateDoneAwayOrder,GetMarkPriceData,UpdateMarkPrice,PricingInput,GetDayEndCash,CreateDoneAwayOrder1,CheckPortfolioManagement"</formula1>
    </dataValidation>
    <dataValidation type="list" allowBlank="1" sqref="H615:K615">
      <formula1>"CreateDoneAwayOrder,GetMarkPriceData,UpdateMarkPrice,PricingInput,CreateDoneAwayOrder1,GetDataClosing,AutomaticClosing"</formula1>
    </dataValidation>
    <dataValidation type="list" allowBlank="1" sqref="H200:K200 H343:K343">
      <formula1>"CreateDoneAwayOrder,GetMarkPriceData,UpdateMarkPrice,GetMarkPriceData1,UpdateMarkPrice1,GetForexConversion,UpdateForexConversion,GetForexConversion1,UpdateForexConversion1,PricingInput,GetDataClosing"</formula1>
    </dataValidation>
    <dataValidation type="list" allowBlank="1" sqref="H533:K533">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SelectAllocatedGroup4,BookOrUpdateSwap4,SelectAllocatedGroup5,BookOrUpdateSwap5,GetDataClosing,AutomaticClosing,GetDayEndCash,CheckPortfolioManagement"</formula1>
    </dataValidation>
    <dataValidation type="list" allowBlank="1" sqref="H101:K108">
      <formula1>"CheckPortfolioManagement,GetForexConversion,UpdateForexConversion,CreateDoneAwayOrder,PricingInput,GetMarkPriceData,UpdateMarkPrice"</formula1>
    </dataValidation>
    <dataValidation type="list" allowBlank="1" sqref="H138:K138">
      <formula1>"CreateDoneAwayOrder,GetMarkPriceData,UpdateMarkPrice,GetForexConversion,UpdateForexConversion,PricingInput,GetDayEndCash,FilterPM,CheckPortfolioManagement,RemoveFilterPM"</formula1>
    </dataValidation>
    <dataValidation type="list" allowBlank="1" sqref="H47:K47 H65:K65">
      <formula1>"CreateDoneAwayOrder,PricingInput,GetMarkPriceData,UpdateMarkPrice,GetForexConversion,UpdateForexConversion,CheckPortfolioManagement,GetForexConversionOnTrade,UpdateForexConversionOnTrade,Copy of Data,Copy of Data 1"</formula1>
    </dataValidation>
    <dataValidation type="list" allowBlank="1" sqref="F19:F20 F23:F26 F28:F29 F32:F35 F37:F38 F41:F44 F46:F47 F50:F53 F55:F56 F59:F62 F64:F65 F68:F71 F73:F74 F77:F78 F82:F83 F88 F91:F92 F95:F98 F100:F101 F104:F107">
      <formula1>"UpdateBeta,UpdateDailyCash,UpdateForexConversion,UpdateDailyMarkPrice,DailyValuationSelectDate,CleanUp,GetMarkPriceData,EditmarkPriceDate,GetForwardPoints,GetForexConversion,AddForexConversion,GetNAV,AddNAV,DeleteNAV,GetDailyCash,AddDailyCash,GetDailyBeta"&amp;",GetDailyVolatility,GetDailyDividendYield,GetDailyTradingVolume,GetDailyOutstandings,GetDailyDelta,UpdateDailyVolatility,UpdateDividendYield,DataManagement.Click(MouseButtons.Left);,UpdateTradingVolume,UpdateDailyDelta,UpdateDailyOutstandings,AddForexConv"&amp;"ersion,UpdateDailyMarkPrice,UpdateBeta,UpdateNAV,UpdateDailyCash,UpdateCreditLimt,UpdateDailyCreditLimt,AddDailyCreditLimit,RemoveDailyCreditLimt,RemoveDailyCreditLimit,RemoveDailyCash,RemoveNAV,UpdateMarkPrice,,,,,,,,,,,,,,,,,,,,,,,,,,,,,,,,,,,,,,,,,,,,,"&amp;",,,,,,,,,,,,,,,,,,,,,,,,,,,,,,,,,,,,,,,,,,,,,,,,,,,,,,,,,,,,,,,,,,,,,,,,,,,,,,,,,,,,,,,,,,,,,,,,,,,,,,,,,,,,,,,,,,,,,,,,,,,,,,,,,,,,,,,,,,,,,,,,,,,,,,,,,,,,,,,,,,,,,,,,,,,,,,,,,,,,,,,,,,,,,,,,,,,,,,,,,,,,,,,,,,,,,,,,,,,,,,,,,,,,,,,,,,,,,,,,,,,,,,,,,,,,,,,"&amp;",,,,,,,,,,,,,,,,,,,,,,,,,,,,,,,,,,,,,,,,,,,,,,,,,,,,,,,,,,,,,,,,,,,,,,,,,,,,,,,,,,,,,,,,,,,,,,,,,,,,,,,,,,,,,,,,,,,,,,,,,,,,,,,,,,,,,,,,,,,,,,,,,,,,,,,,,,,,"</formula1>
    </dataValidation>
    <dataValidation type="list" allowBlank="1" sqref="H492:K492 H551:K551">
      <formula1>"CreateDoneAwayOrder,GetDataAllocation,SelectAllocatedGroup,BookOrUpdateSwap,SelectAllocatedGroup1,BookOrUpdateSwap1,SelectAllocatedGroup2,BookOrUpdateSwap2,SelectAllocatedGroup3,BookOrUpdateSwap3,SelectAllocatedGroup4,BookOrUpdateSwap4,SelectAllocatedGrou"&amp;"p5"</formula1>
    </dataValidation>
    <dataValidation type="list" allowBlank="1" sqref="F15:F16 F27 F36 F45 F54 F63 F72 F81 F90 F99 F108 F110:F117">
      <formula1>"CheckDashboardPM,CheckPortfolioManagement,OpenPSTFromPM,ClosePM,FilterPM,GroupRowPM,CheckDashboardWithPM,RemoveFilterPM,CheckSummaryRowsPM,,,,,,,,,,,,,,,,,,,,,,,,,,,,,,,,,,,,,,,,,,,,,,,,,,,,,,,,,,,,,,,,,,,,,,,,,,,,,,,,,,,,,,,,,,,,,,,,,,,,,,,,,,,,,,,,,,,,,"&amp;",,,,,,,,,,,,,,,,,,,,,,,,,,,,,,,,,,,,,,,,,,,,,,,,,,,,,,,,,,,,,,,,,,,,,,,,,,,,,,,,,,,,,,,,,,,,,,,,,,,,,,,,,,,,,,,,,,,,,,,,,,,,,,,,,,,,,,,,,,,,,,,,,,,,,,,,,,,,,,,,,,,,,,,,,,,,,,,,,,,,,,,,,,,,,,,,,,,,,,,,,,,,,,,,,,,,,,,,,,,,,,,,,,,,,,,,,,,,,,,,,,,,,,,,,,,,,,,"&amp;",,,,,,,,,,,,,,,,,,,,,,,,,,,,,,,,,,,,,,,,,,,,,,,,,,,,,,,,,,,,,,,,,,,,,,,,,,,,,,,,,,,,,,,,,,,,,,,,,,,,,,,,,,,,,,,,,,,,"</formula1>
    </dataValidation>
    <dataValidation type="list" allowBlank="1" sqref="H472:K472">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CreateDoneAwayOrder1,GetDataAllocation1,SelectAllocatedGroup4,BookOrUpdateSwap4"</formula1>
    </dataValidation>
    <dataValidation type="list" allowBlank="1" sqref="H125:K125 H143:K143 H159:K159 H174:K174 H187:K187 H190:K190 H209:K209 H221:K221 H233:K233 H246:K246 H260:K260 H288:K288 H302:K302 H317:K317 H333:K333 H352:K352 H365:K365 H379:K379 H394:K394 H428:K428 H479:K479 H508:K508 H538:K538 H572:K572 H584:K584 H596:K596 H609:K609 H624:K624">
      <formula1>"CreateDoneAwayOrder"</formula1>
    </dataValidation>
    <dataValidation type="list" allowBlank="1" sqref="H453:K453 H481:K481 H510:K510 H540:K540">
      <formula1>"CreateDoneAwayOrder,GetDataAllocation,SelectAllocatedGroup"</formula1>
    </dataValidation>
    <dataValidation type="list" allowBlank="1" sqref="H420:K420">
      <formula1>"CreateDoneAwayOrder,GetMarkPriceData,UpdateMarkPrice,GetMarkPriceData1,UpdateMarkPrice1,GetForexConversion,UpdateForexConversion,GetForexConversion1,UpdateForexConversion1,GetDataClosing,AutomaticClosing"</formula1>
    </dataValidation>
    <dataValidation type="list" allowBlank="1" sqref="F131:F132 F149:F150 F167:F168 F183:F184 F202:F203 F213:F214 F225:F226 F239:F240 F253:F254 F268:F269 F281:F282 F294:F295 F310:F311 F326:F327 F345:F346 F358:F359 F371:F372 F387:F388 F403:F404 F421:F422 F443:F444 F466:F467 F500:F501 F531:F532 F565:F566 F576:F577 F588:F589 F602:F603 F616:F617 F632:F633">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amp;",,,,,,,,,,,,,,,,,,,,,,,,,,,,,,,,,,,,,,,,,,,,,,,,,,,,,,,,,,,,,,,,,,,,,,,,,,,,,,,,,,,,,,,,,,,,,,,,,,,,,,,,,,,,,,,,,,,,,,,,,,,,,,,,,,,,,,,,,,,,,,,,,,,,,,,,,,,,,,,,,,,,,,,,,,,,,,,,,,,,,,,,,,,,,,,,,,,,,,,,,,,,,,,,,,,,,,,,,,,,,,,,,,,,,,,,,,,,,,,,,,,,,,,,,,,,,,,"&amp;",,,,,,,,,,,"</formula1>
    </dataValidation>
    <dataValidation type="list" allowBlank="1" sqref="H434:K434">
      <formula1>"CreateDoneAwayOrder,GetDataAllocation,SelectAllocatedGroup,BookOrUpdateSwap,GetMarkPriceData,UpdateMarkPrice,GetForexConversion,UpdateForexConversion,PricingInput,GetDayEndCash,CheckPortfolioManagement,SelectAllocatedGroup1,BookOrUpdateSwap1"</formula1>
    </dataValidation>
    <dataValidation type="list" allowBlank="1" sqref="H20:K20">
      <formula1>"CreateDoneAwayOrder,GetForexConversion,UpdateForexConversion,PricingInput,UpdateForexConversionOnTrade,GetForexConversionOnTrade,GetMarkPriceData,UpdateMarkPrice,CheckPortfolioManagement,Copy of Data,Copy of Data_conflict1938907610,Copy of Data 1"</formula1>
    </dataValidation>
    <dataValidation type="list" allowBlank="1" sqref="F126:F129 F144:F147 F160:F163 F175:F178 F191:F198 F210:F211 F222:F223 F234:F235 F247:F248 F261:F264 F276:F279 F289:F292 F303:F306 F318:F321 F334:F341 F353:F356 F366:F369 F380:F383 F395:F398 F411:F418 F438:F441 F461:F464 F493:F496 F516:F519 F554:F561 F573:F574 F585:F586 F597:F598 F610:F611 F625:F628">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518:K518">
      <formula1>"CreateDoneAwayOrder,GetDataAllocation,SelectAllocatedGroup,BookOrUpdateSwap,SelectAllocatedGroup1,BookOrUpdateSwap1,SelectAllocatedGroup2,BookOrUpdateSwap2,GetMarkPriceData,UpdateMarkPrice,GetForexConversion"</formula1>
    </dataValidation>
    <dataValidation type="list" allowBlank="1" sqref="H82:K82">
      <formula1>"CreateDoneAwayOrder,PricingInput,GetForexConversion,UpdateForexConversion,UpdateForwardPoints,CheckPortfolioManagement,GetForwardPoints,GetForexConversionOnTrade,UpdateForexConversionOnTrade,Copy of Data"</formula1>
    </dataValidation>
    <dataValidation type="list" allowBlank="1" sqref="H456:K456 H484:K484 H513:K513 H543:K543">
      <formula1>"CreateDoneAwayOrder,GetDataAllocation,SelectAllocatedGroup,BookOrUpdateSwap,SelectAllocatedGroup1"</formula1>
    </dataValidation>
    <dataValidation type="list" allowBlank="1" sqref="H167:K167 H310:K310 H326:K326 H387:K387">
      <formula1>"CreateDoneAwayOrder,GetMarkPriceData,UpdateMarkPrice,GetForexConversion,UpdateForexConversion,PricingInput,GetDataClosing,AutomaticClosing,GetDayEndCash"</formula1>
    </dataValidation>
    <dataValidation type="list" allowBlank="1" sqref="H80:K81">
      <formula1>"CreateDoneAwayOrder,PricingInput,CheckPortfolioManagement,GetForexConversion,UpdateForexConversion,UpdateForwardPoints,GetForwardPoints,UpdateForexConversionOnTrade,GetForexConversionOnTrade,Copy of Data,Copy of Data_conflict1765194363,Copy of Data 1,Copy"&amp;" of Data 2,Copy of Data 3,Copy of Data 4,Copy of Data 5,Copy of Data 6"</formula1>
    </dataValidation>
    <dataValidation type="list" allowBlank="1" sqref="H87:K88">
      <formula1>"CreateDoneAwayOrder,PricingInput,GetForexConversion,UpdateForexConversion,UpdateForwardPoints,CheckPortfolioManagement,GetForwardPoints,GetForexConversionOnTrade,UpdateForexConversionOnTrade,Copy of Data,Copy of Data 1,Copy of Data 2,Copy of Data 3,Copy o"&amp;"f Data 3_conflict2022509757,Copy of Data 4"</formula1>
    </dataValidation>
    <dataValidation type="list" allowBlank="1" sqref="H37:K37">
      <formula1>"CreateDoneAwayOrder,GetMarkPriceData,UpdateMarkPrice,PricingInput,GetForexConversion,UpdateForexConversion,CheckPortfolioManagement,GetForexConversionOnTrade,UpdateForexConversionOnTrade,Copy of Data"</formula1>
    </dataValidation>
    <dataValidation type="list" allowBlank="1" sqref="H616:K616">
      <formula1>"CreateDoneAwayOrder,GetMarkPriceData,UpdateMarkPrice,PricingInput,CreateDoneAwayOrder1,GetDataClosing,AutomaticClosing,GetDayEndCash"</formula1>
    </dataValidation>
    <dataValidation type="list" allowBlank="1" sqref="H435:K435">
      <formula1>"CreateDoneAwayOrder,GetDataAllocation,SelectAllocatedGroup,BookOrUpdateSwap,GetMarkPriceData,UpdateMarkPrice,GetForexConversion,UpdateForexConversion,PricingInput,GetDayEndCash,CheckPortfolioManagement,SelectAllocatedGroup1,BookOrUpdateSwap1,SelectAllocat"&amp;"edGroup2"</formula1>
    </dataValidation>
    <dataValidation type="list" allowBlank="1" sqref="H494:K494">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formula1>
    </dataValidation>
    <dataValidation type="list" allowBlank="1" sqref="H241:K241 H250:K250 H255:K255">
      <formula1>"CreateDoneAwayOrder,GetMarkPriceData,UpdateMarkPrice,PricingInput,GetDataClosing,AutomaticClosing,GetDayEndCash,CheckPortfolioManagement"</formula1>
    </dataValidation>
    <dataValidation type="list" allowBlank="1" sqref="H517:K517">
      <formula1>"CreateDoneAwayOrder,GetDataAllocation,SelectAllocatedGroup,BookOrUpdateSwap,SelectAllocatedGroup1,BookOrUpdateSwap1,SelectAllocatedGroup2,BookOrUpdateSwap2,GetMarkPriceData,UpdateMarkPrice"</formula1>
    </dataValidation>
    <dataValidation type="list" allowBlank="1" sqref="H199:K199 H342:K342">
      <formula1>"CreateDoneAwayOrder,GetMarkPriceData,UpdateMarkPrice,GetMarkPriceData1,UpdateMarkPrice1,GetForexConversion,UpdateForexConversion,GetForexConversion1,UpdateForexConversion1,PricingInput"</formula1>
    </dataValidation>
    <dataValidation type="list" allowBlank="1" sqref="H133:K133">
      <formula1>"CreateDoneAwayOrder,GetMarkPriceData,UpdateMarkPrice,GetForexConversion,UpdateForexConversion,PricingInput,GetDayEndCash,CheckPortfolioManagement,FilterPM,CheckPortfolioManagement1"</formula1>
    </dataValidation>
    <dataValidation type="list" allowBlank="1" sqref="F118">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462:K462">
      <formula1>"CreateDoneAwayOrder,GetDataAllocation,SelectAllocatedGroup,BookOrUpdateSwap,SelectAllocatedGroup1,BookOrUpdateSwap1,SelectAllocatedGroup2,BookOrUpdateSwap2,SelectAllocatedGroup3,BookOrUpdateSwap3,GetMarkPriceData,UpdateMarkPrice"</formula1>
    </dataValidation>
    <dataValidation type="list" allowBlank="1" sqref="H530:K530">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SelectAllocatedGroup4,BookOrUpdateSwap4,SelectAllocatedGroup5,BookOrUpdateSwap5,GetDataClosing,AutomaticClosing"</formula1>
    </dataValidation>
    <dataValidation type="list" allowBlank="1" sqref="H430:K430">
      <formula1>"CreateDoneAwayOrder,GetMarkPriceData,UpdateMarkPrice,GetForexConversion,UpdateForexConversion,PricingInput,GetDayEndCash,CheckPortfolioManagement,CheckAllocatedGroups,BookOrUpdateSwap,SelectAllocatedGroup"</formula1>
    </dataValidation>
    <dataValidation type="list" allowBlank="1" sqref="H614:K614">
      <formula1>"CreateDoneAwayOrder,GetMarkPriceData,UpdateMarkPrice,PricingInput,CreateDoneAwayOrder1,GetDataClosing"</formula1>
    </dataValidation>
    <dataValidation type="list" allowBlank="1" sqref="H194:K194 H264:K264 H337:K337 H414:K414 H628:K628">
      <formula1>"CreateDoneAwayOrder,GetMarkPriceData,UpdateMarkPrice,GetMarkPriceData1"</formula1>
    </dataValidation>
    <dataValidation type="list" allowBlank="1" sqref="H237:K237 H251:K251 H600:K600">
      <formula1>"CreateDoneAwayOrder,GetMarkPriceData,UpdateMarkPrice,PricingInput,GetDataClosing"</formula1>
    </dataValidation>
    <dataValidation type="list" allowBlank="1" sqref="H445:K445">
      <formula1>"CreateDoneAwayOrder,GetMarkPriceData,UpdateMarkPrice,GetForexConversion,UpdateForexConversion,PricingInput,GetDayEndCash,CalculateDayEndCash,CheckPortfolioManagement"</formula1>
    </dataValidation>
    <dataValidation type="list" allowBlank="1" sqref="H89:K90">
      <formula1>"CreateDoneAwayOrder,PricingInput,GetForexConversion,UpdateForexConversion,UpdateForwardPoints,CheckPortfolioManagement,GetForwardPoints,GetForexConversionOnTrade,UpdateForexConversionOnTrade,Copy of Data,Copy of Data 1,Copy of Data 2,Copy of Data 3,Copy o"&amp;"f Data 3_conflict2022509757,Copy of Data 4,Copy of Data 5,Copy of Data 6"</formula1>
    </dataValidation>
    <dataValidation type="list" allowBlank="1" sqref="H77:K78">
      <formula1>"CreateDoneAwayOrder,PricingInput,CheckPortfolioManagement,GetForexConversion,UpdateForexConversion,UpdateForwardPoints,GetForwardPoints,UpdateForexConversionOnTrade,GetForexConversionOnTrade,Copy of Data,Copy of Data_conflict1765194363,Copy of Data 1,Copy"&amp;" of Data 2,Copy of Data 3,Copy of Data 4"</formula1>
    </dataValidation>
    <dataValidation type="list" allowBlank="1" sqref="H522:K522">
      <formula1>"CreateDoneAwayOrder,GetDataAllocation,SelectAllocatedGroup,BookOrUpdateSwap,SelectAllocatedGroup1,BookOrUpdateSwap1,SelectAllocatedGroup2,BookOrUpdateSwap2,GetMarkPriceData,UpdateMarkPrice,GetForexConversion,UpdateForexConversion,PricingInput,CreateDoneAw"&amp;"ayOrder1"</formula1>
    </dataValidation>
    <dataValidation type="list" allowBlank="1" sqref="H21:K23">
      <formula1>"CreateDoneAwayOrder,GetForexConversion,UpdateForexConversion,PricingInput,UpdateForexConversionOnTrade,GetForexConversionOnTrade,GetMarkPriceData,UpdateMarkPrice,CheckPortfolioManagement,Copy of Data,Copy of Data_conflict1938907610,Copy of Data 1,Copy of "&amp;"Data 2"</formula1>
    </dataValidation>
    <dataValidation type="list" allowBlank="1" sqref="H96:K96">
      <formula1>"GetForexConversion,UpdateForexConversion,CreateDoneAwayOrder,PricingInput,GetMarkPriceData,UpdateMarkPrice,CheckPortfolioManagement,Copy of Data,Copy of Data 1,Copy of Data 2,Copy of Data 3,Copy of Data 4"</formula1>
    </dataValidation>
    <dataValidation type="list" allowBlank="1" sqref="H502:K502">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UpdateForexConversion,PricingInput,GetDataClosing,AutomaticClosing,GetDayEndCash,CheckPortfolioManagement"</formula1>
    </dataValidation>
    <dataValidation type="list" allowBlank="1" sqref="H73:K73">
      <formula1>"CreateDoneAwayOrder,PricingInput,CheckPortfolioManagement,GetForexConversion,UpdateForexConversion,UpdateForwardPoints,GetForwardPoints,UpdateForexConversionOnTrade,GetForexConversionOnTrade,Copy of Data,Copy of Data_conflict1765194363"</formula1>
    </dataValidation>
    <dataValidation type="list" allowBlank="1" sqref="H201:K201 H344:K344">
      <formula1>"CreateDoneAwayOrder,GetMarkPriceData,UpdateMarkPrice,GetMarkPriceData1,UpdateMarkPrice1,GetForexConversion,UpdateForexConversion,GetForexConversion1,UpdateForexConversion1,PricingInput,GetDataClosing,AutomaticClosing"</formula1>
    </dataValidation>
    <dataValidation type="list" allowBlank="1" sqref="H500:K500">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UpdateForexConversion,PricingInput,GetDataClosing,AutomaticClosing,GetDayEndCash"</formula1>
    </dataValidation>
    <dataValidation type="list" allowBlank="1" sqref="H429:K429">
      <formula1>"CreateDoneAwayOrder,SelectAllocatedGroup,BookOrUpdateSwap,GetMarkPriceData,UpdateMarkPrice,GetForexConversion,UpdateForexConversion,PricingInput,GetDayEndCash,CheckPortfolioManagement,GetDataAllocation"</formula1>
    </dataValidation>
    <dataValidation type="list" allowBlank="1" sqref="H630:K630">
      <formula1>"CreateDoneAwayOrder,GetMarkPriceData,UpdateMarkPrice,GetMarkPriceData1,UpdateMarkPrice1,GetDataClosing"</formula1>
    </dataValidation>
    <dataValidation type="list" allowBlank="1" sqref="H385:K385">
      <formula1>"CreateDoneAwayOrder,GetMarkPriceData,UpdateMarkPrice,GetForexConversion,UpdateForexConversion,PricingInput,getda,Copy of Data,GetDataClosing"</formula1>
    </dataValidation>
    <dataValidation type="list" allowBlank="1" sqref="H558:K558">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formula1>
    </dataValidation>
    <dataValidation type="list" allowBlank="1" sqref="F139 F154 F170 F186 F205 F216 F229 F242 F256:F257 F271:F272 F284 F298:F299 F313:F314 F329:F330 F348:F349 F361 F375:F376 F390:F391 F406:F407 F424 F446 F475 F503 F534 F568 F579 F592 F605 F619 F635 F643 F646 F649">
      <formula1>"DeleteClientData,,,,,,,,,,,,,,,,,,,,,,,,,,,,,,,,,,,,,,,,,,,,,,,,,,,,,,,,,,,,,,,,,,,,,,,,,,,,,,,,,,,,,,,,,,,,,,,,,,,,,,,,,,,,,,,,,,,,,,,,,,,,,,,,,,,,,,,,,,,,,,,,,,,,,,,,,,,,,,,,,,,,,,,,,,,,,,,,,,,,,,,,,,,,,,,,,,,,,,,,,,,,,,,,,,,,,,,,,,,,,,,,,,,,,,,,,,,,,,,"&amp;",,,,,,,,,,,,,,,,,,,,,,,,,,,,,,,,,,,,,,,,,,,,,,,,,,,,,,,,,,,,,,,,,,,,,,,,,,,,,,,,,,,,,,,,,,,,,,,,,,,,,,,,,,,,,,,,,,,,,,,,,,,,,,,,,,,,,,,,,,,,,,,,,,,,,,,,,,,,,,,,,,,,,,,,,,,,,,,,,,,,,,,,,,,,,,,,,,,,,,,,,,,,,,,,,,,,,,,,,,,,,,,,,,,,,,,,,,,,,,,,,,,,,,,,,,,,,,,"&amp;",,"</formula1>
    </dataValidation>
    <dataValidation type="list" allowBlank="1" sqref="H97:K97">
      <formula1>"GetForexConversion,UpdateForexConversion,CreateDoneAwayOrder,PricingInput,GetMarkPriceData,UpdateMarkPrice,CheckPortfolioManagement,Copy of Data,Copy of Data 1,Copy of Data 2,Copy of Data 3,Copy of Data 4,Copy of Data 5"</formula1>
    </dataValidation>
    <dataValidation type="list" allowBlank="1" sqref="H461:K461">
      <formula1>"CreateDoneAwayOrder,GetDataAllocation,SelectAllocatedGroup,BookOrUpdateSwap,SelectAllocatedGroup1,BookOrUpdateSwap1,SelectAllocatedGroup2,BookOrUpdateSwap2,SelectAllocatedGroup3,BookOrUpdateSwap3,GetMarkPriceData"</formula1>
    </dataValidation>
    <dataValidation type="list" allowBlank="1" sqref="H436:K436">
      <formula1>"CreateDoneAwayOrder,GetDataAllocation,SelectAllocatedGroup,BookOrUpdateSwap,GetMarkPriceData,UpdateMarkPrice,GetForexConversion,UpdateForexConversion,PricingInput,GetDayEndCash,CheckPortfolioManagement,SelectAllocatedGroup1,BookOrUpdateSwap1,SelectAllocat"&amp;"edGroup2,BookOrUpdateSwap2"</formula1>
    </dataValidation>
    <dataValidation type="list" allowBlank="1" sqref="F133:F138 F152:F153 F169 F185 F204 F215 F228 F241 F255 F270 F283 F297 F312 F328 F347 F360 F374 F389 F405 F423 F445 F474 F502 F533 F567 F578 F591 F604 F618 F634 F639:F642">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519:K519">
      <formula1>"CreateDoneAwayOrder,GetDataAllocation,SelectAllocatedGroup,BookOrUpdateSwap,SelectAllocatedGroup1,BookOrUpdateSwap1,SelectAllocatedGroup2,BookOrUpdateSwap2,GetMarkPriceData,UpdateMarkPrice,GetForexConversion,UpdateForexConversion"</formula1>
    </dataValidation>
    <dataValidation type="list" allowBlank="1" sqref="H554:K554">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formula1>
    </dataValidation>
    <dataValidation type="list" allowBlank="1" sqref="H563:K563">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GetForexConversion1,UpdateForexConversion1,PricingInput,GetDataClosing"</formula1>
    </dataValidation>
    <dataValidation type="list" allowBlank="1" sqref="H100:K100">
      <formula1>"CheckPortfolioManagement,GetForexConversion,UpdateForexConversion,CreateDoneAwayOrder,PricingInput,GetMarkPriceData,UpdateMarkPrice,Copy of Data"</formula1>
    </dataValidation>
    <dataValidation type="list" allowBlank="1" sqref="H410:K410">
      <formula1>"CreateReplaceOrder,CreateDoneAwayOrder"</formula1>
    </dataValidation>
    <dataValidation type="list" allowBlank="1" sqref="H166:K166 H309:K309 H325:K325 H386:K386">
      <formula1>"CreateDoneAwayOrder,GetMarkPriceData,UpdateMarkPrice,GetForexConversion,UpdateForexConversion,PricingInput,GetDataClosing,AutomaticClosing"</formula1>
    </dataValidation>
    <dataValidation type="list" allowBlank="1" sqref="H489:K489 H548:K549">
      <formula1>"CreateDoneAwayOrder,GetDataAllocation,SelectAllocatedGroup,BookOrUpdateSwap,SelectAllocatedGroup1,BookOrUpdateSwap1,SelectAllocatedGroup2,BookOrUpdateSwap2,SelectAllocatedGroup3,BookOrUpdateSwap3"</formula1>
    </dataValidation>
    <dataValidation type="list" allowBlank="1" sqref="H312:K312 H328:K328 H389:K389">
      <formula1>"CreateDoneAwayOrder,GetMarkPriceData,UpdateMarkPrice,GetForexConversion,UpdateForexConversion,PricingInput,GetDataClosing,AutomaticClosing,GetDayEndCash,CalculateDayEndCash,CheckPortfolioManagement"</formula1>
    </dataValidation>
    <dataValidation type="list" allowBlank="1" sqref="H121:K121">
      <formula1>"CreateDoneAwayOrder,CheckPortfolioManagement,CheckAllocatedGroups,GetDataAllocation,Copy of Data,Copy of Data 1,Copy of Data 2"</formula1>
    </dataValidation>
    <dataValidation type="list" allowBlank="1" sqref="H469:K469">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CreateDoneAwayOrder1"</formula1>
    </dataValidation>
    <dataValidation type="list" allowBlank="1" sqref="H16:K16">
      <formula1>"GroupRowPM,CheckSummaryRowsPM,Copy of Data,Copy of Data_conflict1763958290"</formula1>
    </dataValidation>
    <dataValidation type="list" allowBlank="1" sqref="G101:G105 G107:G108">
      <formula1>"Copy of Data,GetForexConversion"</formula1>
    </dataValidation>
    <dataValidation type="list" allowBlank="1" sqref="H128:K128 H146:K146 H162:K162 H177:K177 H278:K278 H291:K291 H305:K305 H320:K320 H355:K355 H368:K368 H382:K382 H397:K397 H440:K440">
      <formula1>"CreateDoneAwayOrder,GetMarkPriceData,UpdateMarkPrice,GetForexConversion"</formula1>
    </dataValidation>
    <dataValidation type="list" allowBlank="1" sqref="H471:K471">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CreateDoneAwayOrder1,GetDataAllocation1,SelectAllocatedGroup4"</formula1>
    </dataValidation>
    <dataValidation type="list" allowBlank="1" sqref="H531:K531">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SelectAllocatedGroup4,BookOrUpdateSwap4,SelectAllocatedGroup5,BookOrUpdateSwap5,GetDataClosing,AutomaticClosing,GetDayEndCash"</formula1>
    </dataValidation>
    <dataValidation type="list" allowBlank="1" sqref="H112:K112 H117:K117">
      <formula1>"CreateDoneAwayOrder,CheckPortfolioManagement1,GroupRowPM,ClosePM,FilterPM,CheckPortfolioManagement,CheckPortfolioManagement2,Copy of Data"</formula1>
    </dataValidation>
    <dataValidation type="list" allowBlank="1" sqref="H79:K79">
      <formula1>"CreateDoneAwayOrder,PricingInput,CheckPortfolioManagement,GetForexConversion,UpdateForexConversion,UpdateForwardPoints,GetForwardPoints,UpdateForexConversionOnTrade,GetForexConversionOnTrade,Copy of Data,Copy of Data_conflict1765194363,Copy of Data 1,Copy"&amp;" of Data 2,Copy of Data 3,Copy of Data 4,Copy of Data 5"</formula1>
    </dataValidation>
    <dataValidation type="list" allowBlank="1" sqref="H228:K228">
      <formula1>"CreateDoneAwayOrder,PricingInput,GetDayEndCash,CreateDoneAwayOrder1,GetMarkPriceData,UpdateMarkPrice,CheckPortfolioManagement"</formula1>
    </dataValidation>
    <dataValidation type="list" allowBlank="1" sqref="H470:K470">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CreateDoneAwayOrder1,GetDataAllocation1"</formula1>
    </dataValidation>
    <dataValidation type="list" allowBlank="1" sqref="F22 F31 F40 F49 F58 F67 F76 F85 F94 F103 F130 F148 F164 F179 F199 F212 F224 F236 F249 F265 F280 F293 F307 F322 F342 F357 F370 F384 F399 F442 F465 F497 F520 F562 F575 F587 F599 F612 F629">
      <formula1>"PricingInput,UpdateSharesOutstanding,EODTPreferences,LiveData,,,,,,,,,,,,,,,,,,,,,,,,,,,,,,,,,,,,,,,,,,,,,,,,,,,,,,,,,,,,,,,,,,,,,,,,,,,,,,,,,,,,,,,,,,,,,,,,,,,,,,,,,,,,,,,,,,,,,,,,,,,,,,,,,,,,,,,,,,,,,,,,,,,,,,,,,,,,,,,,,,,,,,,,,,,,,,,,,,,,,,,,,,,,,,,,,,"&amp;",,,,,,,,,,,,,,,,,,,,,,,,,,,,,,,,,,,,,,,,,,,,,,,,,,,,,,,,,,,,,,,,,,,,,,,,,,,,,,,,,,,,,,,,,,,,,,,,,,,,,,,,,,,,,,,,,,,,,,,,,,,,,,,,,,,,,,,,,,,,,,,,,,,,,,,,,,,,,,,,,,,,,,,,,,,,,,,,,,,,,,,,,,,,,,,,,,,,,,,,,,,,,,,,,,,,,,,,,,,,,,,,,,,,,,,,,,,,,,,,,,,,,,,,,,,,,,,"&amp;",,,,,,,,,,,,,,,,,,,,,,,,,,,,,,,,,,,,,,,,,,,,"</formula1>
    </dataValidation>
    <dataValidation type="list" allowBlank="1" sqref="H75:K75">
      <formula1>"CreateDoneAwayOrder,PricingInput,CheckPortfolioManagement,GetForexConversion,UpdateForexConversion,UpdateForwardPoints,GetForwardPoints,UpdateForexConversionOnTrade,GetForexConversionOnTrade,Copy of Data,Copy of Data_conflict1765194363,Copy of Data 1,Copy"&amp;" of Data 2"</formula1>
    </dataValidation>
    <dataValidation type="list" allowBlank="1" sqref="H239:K239 H253:K253 H602:K602">
      <formula1>"CreateDoneAwayOrder,GetMarkPriceData,UpdateMarkPrice,PricingInput,GetDataClosing,AutomaticClosing,GetDayEndCash"</formula1>
    </dataValidation>
    <dataValidation type="list" allowBlank="1" sqref="H50:K50 H68:K68">
      <formula1>"CreateDoneAwayOrder,PricingInput,GetMarkPriceData,UpdateMarkPrice,GetForexConversion,UpdateForexConversion,CheckPortfolioManagement,GetForexConversionOnTrade,UpdateForexConversionOnTrade,Copy of Data,Copy of Data 1,Copy of Data 2,Copy of Data 3,Copy of Da"&amp;"ta 4"</formula1>
    </dataValidation>
    <dataValidation type="list" allowBlank="1" sqref="H130:K130 H148:K148 H164:K164 H179:K180 H280:K280 H293:K293 H307:K307 H322:K322 H357:K357 H370:K370 H384:K384 H399:K400 H442:K442">
      <formula1>"CreateDoneAwayOrder,GetMarkPriceData,UpdateMarkPrice,GetForexConversion,UpdateForexConversion,PricingInput"</formula1>
    </dataValidation>
    <dataValidation type="list" allowBlank="1" sqref="H526:K526">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SelectAllocatedGroup4"</formula1>
    </dataValidation>
    <dataValidation type="list" allowBlank="1" sqref="H249:K249">
      <formula1>"CreateDoneAwayOrder,GetMarkPriceData,UpdateMarkPrice,update,PricingInput"</formula1>
    </dataValidation>
    <dataValidation type="list" allowBlank="1" sqref="H465:K465">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formula1>
    </dataValidation>
    <dataValidation type="list" allowBlank="1" sqref="H474:K474">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CreateDoneAwayOrder1,GetDataAllocation1,SelectAllocatedGroup4,BookOrUpdateSwap4,SelectAllocatedGroup5,BookOrUpdateSwap5,CheckPortfolioManagement"</formula1>
    </dataValidation>
    <dataValidation type="list" allowBlank="1" sqref="H152:K152 H297:K297 H374:K374">
      <formula1>"CreateDoneAwayOrder,GetMarkPriceData,UpdateMarkPrice,GetForexConversion,UpdateForexConversion,PricingInput,GetDayEndCash,CreateDoneAwayOrder1,CheckPortfolioManagement"</formula1>
    </dataValidation>
    <dataValidation type="list" allowBlank="1" sqref="H225:K225 H227:K227">
      <formula1>"CreateDoneAwayOrder,PricingInput,GetDayEndCash"</formula1>
    </dataValidation>
    <dataValidation type="list" allowBlank="1" sqref="H38 I39:K39">
      <formula1>"CreateDoneAwayOrder,GetMarkPriceData,UpdateMarkPrice,PricingInput,GetForexConversion,UpdateForexConversion,CheckPortfolioManagement,GetForexConversionOnTrade,UpdateForexConversionOnTrade,Copy of Data,Copy of Data 1,Copy of Data 2"</formula1>
    </dataValidation>
    <dataValidation type="list" allowBlank="1" sqref="H496:K496">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UpdateForexConversion"</formula1>
    </dataValidation>
    <dataValidation type="list" allowBlank="1" sqref="H115:K115">
      <formula1>"Copy of Data,CreateDoneAwayOrder,CheckPortfolioManagement,Copy of Data 1"</formula1>
    </dataValidation>
    <dataValidation type="list" allowBlank="1" sqref="H490:K490">
      <formula1>"CreateDoneAwayOrder,GetDataAllocation,SelectAllocatedGroup,BookOrUpdateSwap,SelectAllocatedGroup1,BookOrUpdateSwap1,SelectAllocatedGroup2,BookOrUpdateSwap2,SelectAllocatedGroup3,BookOrUpdateSwap3,SelectAllocatedGroup4"</formula1>
    </dataValidation>
    <dataValidation type="list" allowBlank="1" sqref="H557:K557">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formula1>
    </dataValidation>
    <dataValidation type="list" allowBlank="1" sqref="H169:K169">
      <formula1>"CreateDoneAwayOrder,GetMarkPriceData,UpdateMarkPrice,GetForexConversion,UpdateForexConversion,PricingInput,GetDataClosing,AutomaticClosing,GetDayEndCash,c,Ch,CheckPortfolioManagement"</formula1>
    </dataValidation>
    <dataValidation type="list" allowBlank="1" sqref="H604:K604">
      <formula1>"CreateDoneAwayOrder,GetMarkPriceData,UpdateMarkPrice,PricingInput,GetDataClosing,AutomaticClosing,GetDayEndCash,GroupRowPM,CheckPortfolioManagement"</formula1>
    </dataValidation>
    <dataValidation type="list" allowBlank="1" sqref="H9:K9">
      <formula1>"FilterPM,CreateDoneAwayOrder,Copy of Data"</formula1>
    </dataValidation>
    <dataValidation type="list" allowBlank="1" sqref="H98:K99">
      <formula1>"GetForexConversion,UpdateForexConversion,CreateDoneAwayOrder,PricingInput,GetMarkPriceData,UpdateMarkPrice,CheckPortfolioManagement,Copy of Data,Copy of Data 1,Copy of Data 2,Copy of Data 3,Copy of Data 4,Copy of Data 5,Copy of Data 6"</formula1>
    </dataValidation>
    <dataValidation type="list" allowBlank="1" sqref="H473:K473">
      <formula1>"CreateDoneAwayOrder,GetDataAllocation,SelectAllocatedGroup,BookOrUpdateSwap,SelectAllocatedGroup1,BookOrUpdateSwap1,SelectAllocatedGroup2,BookOrUpdateSwap2,SelectAllocatedGroup3,BookOrUpdateSwap3,GetMarkPriceData,UpdateMarkPrice,GetForexConversion,UpdateF"&amp;"orexConversion,PricingInput,GetDayEndCash,CreateDoneAwayOrder1,GetDataAllocation1,SelectAllocatedGroup4,BookOrUpdateSwap4,SelectAllocatedGroup5"</formula1>
    </dataValidation>
    <dataValidation type="list" allowBlank="1" sqref="H432:K432">
      <formula1>"CreateDoneAwayOrder,GetDataAllocation,SelectAllocatedGroup,BookOrUpdateSwap,GetMarkPriceData,UpdateMarkPrice,GetForexConversion,UpdateForexConversion,PricingInput,GetDayEndCash,CheckPortfolioManagement"</formula1>
    </dataValidation>
    <dataValidation type="list" allowBlank="1" sqref="H437:K437">
      <formula1>"CreateDoneAwayOrder,GetDataAllocation,SelectAllocatedGroup,BookOrUpdateSwap,GetMarkPriceData,UpdateMarkPrice,GetForexConversion,UpdateForexConversion,PricingInput,GetDayEndCash,CheckPortfolioManagement,SelectAllocatedGroup1,BookOrUpdateSwap1,SelectAllocat"&amp;"edGroup2,BookOrUpdateSwap2,SelectAllocatedGroup3"</formula1>
    </dataValidation>
    <dataValidation type="list" allowBlank="1" sqref="H134:K134">
      <formula1>"CreateDoneAwayOrder,GetMarkPriceData,UpdateMarkPrice,GetForexConversion,UpdateForexConversion,PricingInput,GetDayEndCash,FilterPM,CheckPortfolioManagement"</formula1>
    </dataValidation>
    <dataValidation type="list" allowBlank="1" sqref="H111:K111">
      <formula1>"Copy of Data,CreateDoneAwayOrder,CheckPortfolioManagement,Copy of Data 1,GroupRowPM"</formula1>
    </dataValidation>
    <dataValidation type="list" allowBlank="1" sqref="H181:K181 H401:K401">
      <formula1>"CreateDoneAwayOrder,GetMarkPriceData,UpdateMarkPrice,GetForexConversion,UpdateForexConversion,PricingInput,CreateDoneAwayOrder1,GetDataClosing"</formula1>
    </dataValidation>
    <dataValidation type="list" allowBlank="1" sqref="H84:K85">
      <formula1>"CreateDoneAwayOrder,PricingInput,GetForexConversion,UpdateForexConversion,UpdateForwardPoints,CheckPortfolioManagement,GetForwardPoints,GetForexConversionOnTrade,UpdateForexConversionOnTrade,Copy of Data,Copy of Data 1,Copy of Data 2"</formula1>
    </dataValidation>
    <dataValidation type="list" allowBlank="1" sqref="H183:K183 H403:K403">
      <formula1>"CreateDoneAwayOrder,GetMarkPriceData,UpdateMarkPrice,GetForexConversion,UpdateForexConversion,PricingInput,CreateDoneAwayOrder1,GetDataClosing,AutomaticClosing,GetDayEndCash"</formula1>
    </dataValidation>
    <dataValidation type="list" allowBlank="1" sqref="F124 F142 F158 F173 F189 F208 F220 F232 F245 F259 F274 F287 F301 F316 F332 F351 F364 F378 F393 F409 F427 F429:F437 F450 F452:F460 F469:F473 F478 F480:F492 F507 F509:F515 F522:F528 F537 F539:F553 F571 F583 F595 F608 F623 F638">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182:K182 H402:K402">
      <formula1>"CreateDoneAwayOrder,GetMarkPriceData,UpdateMarkPrice,GetForexConversion,UpdateForexConversion,PricingInput,CreateDoneAwayOrder1,GetDataClosing,AutomaticClosing"</formula1>
    </dataValidation>
    <dataValidation type="list" allowBlank="1" sqref="D8 D11 D13 D46 D55 D64 D73 D82 D109 D118 D122:D123 D141 D156:D157 D172 D187:D188 D206:D207 D217:D219 D230:D231 D243:D244 D257:D258 D272:D273 D285:D286 D299:D300 D314:D315 D330:D331 D349:D350 D362:D363 D376:D377 D391:D392 D407:D408 D425:D426 D447:D449 D476:D477 D504:D506 D535 D569:D570 D580:D582 D593:D594 D606:D607 D620:D622 D636:D637 D644:D1080">
      <formula1>'_Categories'!$A$4:$A1080</formula1>
    </dataValidation>
    <dataValidation type="list" allowBlank="1" sqref="H129:K129 H147:K147 H163:K163 H178:K178 H279:K279 H292:K292 H306:K306 H321:K321 H356:K356 H369:K369 H383:K383 H398:K398 H441:K441">
      <formula1>"CreateDoneAwayOrder,GetMarkPriceData,UpdateMarkPrice,GetForexConversion,UpdateForexConversion"</formula1>
    </dataValidation>
    <dataValidation type="list" allowBlank="1" sqref="H74:K74">
      <formula1>"CreateDoneAwayOrder,PricingInput,CheckPortfolioManagement,GetForexConversion,UpdateForexConversion,UpdateForwardPoints,GetForwardPoints,UpdateForexConversionOnTrade,GetForexConversionOnTrade,Copy of Data,Copy of Data_conflict1765194363,Copy of Data 1"</formula1>
    </dataValidation>
    <dataValidation type="list" allowBlank="1" sqref="H459:K459 H487:K487 H546:K547">
      <formula1>"CreateDoneAwayOrder,GetDataAllocation,SelectAllocatedGroup,BookOrUpdateSwap,SelectAllocatedGroup1,BookOrUpdateSwap1,SelectAllocatedGroup2,BookOrUpdateSwap2"</formula1>
    </dataValidation>
    <dataValidation type="list" allowBlank="1" sqref="H405:K405">
      <formula1>"CreateDoneAwayOrder,GetMarkPriceData,UpdateMarkPrice,GetForexConversion,UpdateForexConversion,PricingInput,CreateDoneAwayOrder1,GetDataClosing,AutomaticClosing,GetDayEndCash,CheckPortfolioManagement"</formula1>
    </dataValidation>
    <dataValidation type="list" allowBlank="1" sqref="H491:K491 H550:K550">
      <formula1>"CreateDoneAwayOrder,GetDataAllocation,SelectAllocatedGroup,BookOrUpdateSwap,SelectAllocatedGroup1,BookOrUpdateSwap1,SelectAllocatedGroup2,BookOrUpdateSwap2,SelectAllocatedGroup3,BookOrUpdateSwap3,SelectAllocatedGroup4,BookOrUpdateSwap4"</formula1>
    </dataValidation>
    <dataValidation type="list" allowBlank="1" sqref="H83:K83">
      <formula1>"CreateDoneAwayOrder,PricingInput,GetForexConversion,UpdateForexConversion,UpdateForwardPoints,CheckPortfolioManagement,GetForwardPoints,GetForexConversionOnTrade,UpdateForexConversionOnTrade,Copy of Data,Copy of Data 1"</formula1>
    </dataValidation>
    <dataValidation type="list" allowBlank="1" sqref="H223:K223">
      <formula1>"CreateDoneAwayOrder,PricingInput,GetDayEndCash,CreateDoneAwayOrder1,GetMarkPriceData,UpdateMarkPrice"</formula1>
    </dataValidation>
    <dataValidation type="list" allowBlank="1" sqref="H34:K34">
      <formula1>"CreateDoneAwayOrder,PricingInput,GetForexConversion,UpdateForexConversion,GetMarkPriceData,UpdateMarkPrice,CheckPortfolioManagement,GetForexConversionOnTrade,UpdateForexConversionOnTrade,Copy of Data,Copy of Data_conflict1692259720,Copy of Data 1,Copy of "&amp;"Data 2,Copy of Data 3,Copy of Data 4,Copy of Data 5"</formula1>
    </dataValidation>
    <dataValidation type="list" allowBlank="1" sqref="H42:K43">
      <formula1>"CreateDoneAwayOrder,GetMarkPriceData,UpdateMarkPrice,PricingInput,GetForexConversion,UpdateForexConversion,CheckPortfolioManagement,GetForexConversionOnTrade,UpdateForexConversionOnTrade,Copy of Data,Copy of Data 1,Copy of Data 2,Copy of Data 3,Copy of Da"&amp;"ta 4"</formula1>
    </dataValidation>
    <dataValidation type="list" allowBlank="1" sqref="H552:K553">
      <formula1>"CreateDoneAwayOrder,GetDataAllocation,SelectAllocatedGroup,BookOrUpdateSwap,SelectAllocatedGroup1,BookOrUpdateSwap1,SelectAllocatedGroup2,BookOrUpdateSwap2,SelectAllocatedGroup3,BookOrUpdateSwap3,SelectAllocatedGroup4,BookOrUpdateSwap4,SelectAllocatedGrou"&amp;"p5,BookOrUpdateSwap5"</formula1>
    </dataValidation>
    <dataValidation type="list" allowBlank="1" sqref="H452:K452 H480:K480 H509:K509 H539:K539">
      <formula1>"CreateDoneAwayOrder,GetDataAllocation"</formula1>
    </dataValidation>
    <dataValidation type="list" allowBlank="1" sqref="H109:K109">
      <formula1>"Copy of Data,CreateDoneAwayOrder"</formula1>
    </dataValidation>
    <dataValidation type="list" allowBlank="1" sqref="H110:K110">
      <formula1>"Copy of Data,CreateDoneAwayOrder,CheckPortfolioManagement"</formula1>
    </dataValidation>
    <dataValidation type="list" allowBlank="1" sqref="H49:K49 H67:K67">
      <formula1>"CreateDoneAwayOrder,PricingInput,GetMarkPriceData,UpdateMarkPrice,GetForexConversion,UpdateForexConversion,CheckPortfolioManagement,GetForexConversionOnTrade,UpdateForexConversionOnTrade,Copy of Data,Copy of Data 1,Copy of Data 2,Copy of Data 3"</formula1>
    </dataValidation>
    <dataValidation type="list" allowBlank="1" sqref="H224:K224">
      <formula1>"CreateDoneAwayOrder,PricingInput"</formula1>
    </dataValidation>
    <dataValidation type="list" allowBlank="1" sqref="H463:K463">
      <formula1>"CreateDoneAwayOrder,GetDataAllocation,SelectAllocatedGroup,BookOrUpdateSwap,SelectAllocatedGroup1,BookOrUpdateSwap1,SelectAllocatedGroup2,BookOrUpdateSwap2,SelectAllocatedGroup3,BookOrUpdateSwap3,GetMarkPriceData,UpdateMarkPrice,GetForexConversion"</formula1>
    </dataValidation>
    <dataValidation type="list" allowBlank="1" sqref="H213:K213 H576:K576 H588:K588 H590:K590">
      <formula1>"CreateDoneAwayOrder,GetMarkPriceData,UpdateMarkPrice,PricingInput,GetDayEndCash"</formula1>
    </dataValidation>
    <dataValidation type="list" allowBlank="1" sqref="H562:K562">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GetForexConversion1,UpdateForexConversion1,PricingInput"</formula1>
    </dataValidation>
    <dataValidation type="list" allowBlank="1" sqref="H19:K19">
      <formula1>"CreateDoneAwayOrder,GetForexConversion,UpdateForexConversion,PricingInput,UpdateForexConversionOnTrade,GetForexConversionOnTrade,GetMarkPriceData,UpdateMarkPrice,CheckPortfolioManagement,Copy of Data,Copy of Data_conflict1938907610"</formula1>
    </dataValidation>
    <dataValidation type="list" allowBlank="1" sqref="H555:K556">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formula1>
    </dataValidation>
    <dataValidation type="list" allowBlank="1" sqref="H212:K212 H236:K236 H575:K575 H587:K587 H599:K599 H612:K613">
      <formula1>"CreateDoneAwayOrder,GetMarkPriceData,UpdateMarkPrice,PricingInput"</formula1>
    </dataValidation>
    <dataValidation type="list" allowBlank="1" sqref="H265:K265 H629:K629">
      <formula1>"CreateDoneAwayOrder,GetMarkPriceData,UpdateMarkPrice,GetMarkPriceData1,UpdateMarkPrice1,GetDataClosing,AutomaticClosing,GetDayEndCash,CheckPortfolioManagement,PricingInput"</formula1>
    </dataValidation>
    <dataValidation type="list" allowBlank="1" sqref="H493:K493">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formula1>
    </dataValidation>
    <dataValidation type="list" allowBlank="1" sqref="F6 F17">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28:K28">
      <formula1>"CreateDoneAwayOrder,PricingInput,GetForexConversion,UpdateForexConversion,GetMarkPriceData,UpdateMarkPrice,CheckPortfolioManagement,GetForexConversionOnTrade,UpdateForexConversionOnTrade,Copy of Data,Copy of Data_conflict1692259720"</formula1>
    </dataValidation>
    <dataValidation type="list" allowBlank="1" sqref="F121">
      <formula1>"CheckDashboardPM,CheckPortfolioManagement,OpenPSTFromPM,ClosePM,OpenPTTFromPM,FilterPM,GroupRowPM,CheckDashboardWithPM,RemoveFilterPM,CheckSummaryRows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323:K323">
      <formula1>"CreateDoneAwayOrder,GetMarkPriceData,UpdateMarkPrice,GetForexConversion,UpdateForexConversion,PricingInput,GetDataClosing,AutomaticClosing,GetDayEndCash,CheckPortfolioManagement"</formula1>
    </dataValidation>
    <dataValidation type="list" allowBlank="1" sqref="H35:K36">
      <formula1>"CreateDoneAwayOrder,PricingInput,GetForexConversion,UpdateForexConversion,GetMarkPriceData,UpdateMarkPrice,CheckPortfolioManagement,GetForexConversionOnTrade,UpdateForexConversionOnTrade,Copy of Data,Copy of Data_conflict1692259720,Copy of Data 1,Copy of "&amp;"Data 2,Copy of Data 3,Copy of Data 4,Copy of Data 5,Copy of Data 6"</formula1>
    </dataValidation>
    <dataValidation type="list" allowBlank="1" sqref="F8">
      <formula1>"TradeUsingTT,OpenTTFromPST,EnterDetailsOnTT,ValidateSymbolTT,VerifyDataTT,SetUIPreferencesTT,SetBrokerWisePreferencesTT,TradeNewSub,CreateStageOrder,CreateReplaceOrder,CreateReplaceOrder,EditOrder,SetGeneralPreference,CreateDoneAwayOrder,CreateNewSubOrder"&amp;",TradeBloomberg,ClickSymbolLookup,,,,,,,,,,,,,,,,,,,,,,,,,,,,,,,,,,,,,,,,,,,,,,,,,,,,,,,,,,,,,,,,,,,,,,,,,,,,,,,,,,,,,,,,,,,,,,,,,,,,,,,,,,,,,,,,,,,,,,,,,,,,,,,,,,,,,,,,,,,,,,,,,,,,,,,,,,,,,,,,,,,,,,,,,,,,,,,,,,,,,,,,,,,,,,,,,,,,,,,,,,,,,,,,,,,,,,,,,,,,,,"&amp;",,,,,,,,,,,,,,,,,,,,,,,,,,,,,,,,,,,,,,,,,,,,,,,,,,,,,,,,,,,,,,,,,,,,,,,,,,,,,,,,,,,,,,,,,,,,,,,,,,,,,,,,,,,,,,,,,,,,,,,,,,,,,,,,,,,,,,,,,,,,,,,,,,,,,,,,,,,,,,,,,,,,,,,,,,,,,,,,,,,,,,,,,,,,,,,,,,,,,,,,,,,,,,,,,,,,,,,,,,,,,,,,,,,,,,,,,,,,,,,,,,,,,,,,,,,,,,,"&amp;",,,"</formula1>
    </dataValidation>
    <dataValidation type="list" allowBlank="1" sqref="H8:K8">
      <formula1>"FilterPM,CreateDoneAwayOrder,Copy of Data,Copy of Data 1"</formula1>
    </dataValidation>
    <dataValidation type="list" allowBlank="1" sqref="F9:F12">
      <formula1>"CheckDashboardPM,CheckPortfolioManagement,OpenPSTFromPM,ClosePM,MarkPrice,ForwardPoints,ForexConversion,NAV,DailyBeta,DailyCash,DailyVolatility,DailyDividendYield,DailyDelta,MarkPrice,https://jira.nirvanasolutions.com:8443/secure/Dashboard.jspa,ForwardPoi"&amp;"nts,DailyTradingVolume,MarkPrice,DailyOutstandings,DailyCreditLimit,ForwardPointsData,FilterPM,GroupRowPM,CheckDashboardWithPM,,,,,,,,,,,,,,,,,,,,,,,,,,,,,,,,,,,,,,,,,,,,,,,,,,,,,,,,,,,,,,,,,,,,,,,,,,,,,,,,,,,,,,,,,,,,,,,,,,,,,,,,,,,,,,,,,,,,,,,,,,,,,,,,,"&amp;",,,,,,,,,,,,,,,,,,,,,,,,,,,,,,,,,,,,,,,,,,,,,,,,,,,,,,,,,,,,,,,,,,,,,,,,,,,,,,,,,,,,,,,,,,,,,,,,,,,,,,,,,,,,,,,,,,,,,,,,,,,,,,,,,,,,,,,,,,,,,,,,,,,,,,,,,,,,,,,,,,,,,,,,,,,,,,,,,,,,,,,,,,,,,,,,,,,,,,,,,,,,,,,,,,,,,,,,,,,,,,,,,,,,,,,,,,,,,,,,,,,,,,,,,,,,,,,"&amp;",,,,,,,,,,,,,,,,,,,,,,,,,,,,,,,,,,,,,,,,,,,,,,,,,,,,,,,,,,,,,,,,,,,,,,,,,,,,,,,,,,,,,,,,,"</formula1>
    </dataValidation>
    <dataValidation type="list" allowBlank="1" sqref="H198:K198 H341:K341 H418:K418">
      <formula1>"CreateDoneAwayOrder,GetMarkPriceData,UpdateMarkPrice,GetMarkPriceData1,UpdateMarkPrice1,GetForexConversion,UpdateForexConversion,GetForexConversion1"</formula1>
    </dataValidation>
    <dataValidation type="list" allowBlank="1" sqref="H153:K153">
      <formula1>"CreateDoneAwayOrder,GetMarkPriceData,UpdateMarkPrice,GetForexConversion,UpdateForexConversion,PricingInput,GetDayEndCash,CreateDoneAwayOrder1,CheckPortfolioManagement,CheckDashboardPM,Copy of Data"</formula1>
    </dataValidation>
    <dataValidation type="list" allowBlank="1" sqref="H56:K56">
      <formula1>"CreateDoneAwayOrder,PricingInput,UpdateMarkPrice,GetMarkPriceData,GetForexConversion,UpdateForexConversion,CheckPortfolioManagement,GetForexConversionOnTrade,UpdateForexConversionOnTrade,Copy of Data,Copy of Data_conflict310505269"</formula1>
    </dataValidation>
    <dataValidation type="list" allowBlank="1" sqref="H520:K521">
      <formula1>"CreateDoneAwayOrder,GetDataAllocation,SelectAllocatedGroup,BookOrUpdateSwap,SelectAllocatedGroup1,BookOrUpdateSwap1,SelectAllocatedGroup2,BookOrUpdateSwap2,GetMarkPriceData,UpdateMarkPrice,GetForexConversion,UpdateForexConversion,PricingInput"</formula1>
    </dataValidation>
    <dataValidation type="list" allowBlank="1" sqref="H498:K498">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UpdateForexConversion,PricingInput,GetDataClosing"</formula1>
    </dataValidation>
    <dataValidation type="list" allowBlank="1" sqref="H151:K151">
      <formula1>"CreateDoneAwayOrder,GetMarkPriceData,UpdateMarkPrice,GetForexConversion,UpdateForexConversion,PricingInput,GetDayEndCash,Copy of Data,CalculateDayEndCash"</formula1>
    </dataValidation>
    <dataValidation type="list" allowBlank="1" sqref="H565:K565">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GetForexConversion1,UpdateForexConversion1,PricingInput,GetDataClosing,AutomaticClosi"&amp;"ng,GetDayEndCash"</formula1>
    </dataValidation>
    <dataValidation type="list" allowBlank="1" sqref="F125 F143 F151 F159 F174 F180 F187 F190 F209 F221 F227 F233 F246 F250 F260 F275 F288 F296 F302 F317 F323 F333 F352 F365 F373 F379 F394 F400 F410 F428 F448 F451 F468 F479 F508 F521 F538 F572 F584 F590 F596 F609 F613 F624">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499:K499">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UpdateForexConversion,PricingInput,GetDataClosing,AutomaticClosing"</formula1>
    </dataValidation>
    <dataValidation type="list" allowBlank="1" sqref="H564:K564">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GetForexConversion1,UpdateForexConversion1,PricingInput,GetDataClosing,AutomaticClosi"&amp;"ng"</formula1>
    </dataValidation>
    <dataValidation type="list" allowBlank="1" sqref="F7 F18">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497:K497">
      <formula1>"CreateDoneAwayOrder,GetDataAllocation,SelectAllocatedGroup,BookOrUpdateSwap,SelectAllocatedGroup1,BookOrUpdateSwap1,SelectAllocatedGroup2,BookOrUpdateSwap2,SelectAllocatedGroup3,BookOrUpdateSwap3,SelectAllocatedGroup4,BookOrUpdateSwap4,SelectAllocatedGrou"&amp;"p5,BookOrUpdateSwap5,GetMarkPriceData,UpdateMarkPrice,GetForexConversion,UpdateForexConversion,PricingInput"</formula1>
    </dataValidation>
    <dataValidation type="list" allowBlank="1" sqref="H618:K618">
      <formula1>"CreateDoneAwayOrder,GetMarkPriceData,UpdateMarkPrice,PricingInput,CreateDoneAwayOrder1,GetDataClosing,AutomaticClosing,GetDayEndCash,CheckPortfolioManagement"</formula1>
    </dataValidation>
    <dataValidation type="list" allowBlank="1" sqref="F123 F141 F157 F165:F166 F172 F181:F182 F188 F200:F201 F207 F219 F231 F237:F238 F244 F251:F252 F258 F266:F267 F273 F286 F300 F308:F309 F315 F324:F325 F331 F343:F344 F350 F363 F377 F385:F386 F392 F401:F402 F408 F419:F420 F426 F449 F477 F498:F499 F506 F529:F530 F536 F563:F564 F570 F582 F594 F600:F601 F607 F614:F615 F622 F630:F631 F637">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H135:K136">
      <formula1>"CreateDoneAwayOrder,GetMarkPriceData,UpdateMarkPrice,GetForexConversion,UpdateForexConversion,PricingInput,GetDayEndCash,FilterPM,CheckPortfolioManagement,CheckPortfolioManagement1,CheckDashboardPM"</formula1>
    </dataValidation>
    <dataValidation type="list" allowBlank="1" sqref="H26:K27">
      <formula1>"CreateDoneAwayOrder,GetForexConversion,UpdateForexConversion,PricingInput,UpdateForexConversionOnTrade,GetForexConversionOnTrade,GetMarkPriceData,UpdateMarkPrice,CheckPortfolioManagement,Copy of Data,Copy of Data_conflict1938907610,Copy of Data 1,Copy of "&amp;"Data 2,Copy of Data 3,Copy of Data 4"</formula1>
    </dataValidation>
    <dataValidation type="list" allowBlank="1" sqref="H454:K455 H482:K483 H511:K511 H541:K542">
      <formula1>"CreateDoneAwayOrder,GetDataAllocation,SelectAllocatedGroup,BookOrUpdateSwap"</formula1>
    </dataValidation>
    <dataValidation type="list" allowBlank="1" sqref="H24:K25">
      <formula1>"CreateDoneAwayOrder,GetForexConversion,UpdateForexConversion,PricingInput,UpdateForexConversionOnTrade,GetForexConversionOnTrade,GetMarkPriceData,UpdateMarkPrice,CheckPortfolioManagement,Copy of Data,Copy of Data_conflict1938907610,Copy of Data 1,Copy of "&amp;"Data 2,Copy of Data 3"</formula1>
    </dataValidation>
    <dataValidation type="list" allowBlank="1" sqref="H62:K63">
      <formula1>"CreateDoneAwayOrder,PricingInput,UpdateMarkPrice,GetMarkPriceData,GetForexConversion,UpdateForexConversion,CheckPortfolioManagement,GetForexConversionOnTrade,UpdateForexConversionOnTrade,Copy of Data,Copy of Data_conflict310505269,Copy of Data 1,Copy of D"&amp;"ata 2,Copy of Data 3,Copy of Data 4"</formula1>
    </dataValidation>
    <dataValidation type="list" allowBlank="1" sqref="H431:K431">
      <formula1>"CreateDoneAwayOrder,GetMarkPriceData,UpdateMarkPrice,GetForexConversion,UpdateForexConversion,PricingInput,GetDayEndCash,CheckPortfolioManagement,CheckAllocatedGroups,BookOrUpdateSwap"</formula1>
    </dataValidation>
    <dataValidation type="list" allowBlank="1" sqref="H29:K29">
      <formula1>"CreateDoneAwayOrder,PricingInput,GetForexConversion,UpdateForexConversion,GetMarkPriceData,UpdateMarkPrice,CheckPortfolioManagement,GetForexConversionOnTrade,UpdateForexConversionOnTrade,Copy of Data,Copy of Data_conflict1692259720,Copy of Data 1"</formula1>
    </dataValidation>
    <dataValidation type="list" allowBlank="1" sqref="H527:K528">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SelectAllocatedGroup4,BookOrUpdateSwap4"</formula1>
    </dataValidation>
    <dataValidation type="list" allowBlank="1" sqref="H238:K238 H252:K252 H601:K601">
      <formula1>"CreateDoneAwayOrder,GetMarkPriceData,UpdateMarkPrice,PricingInput,GetDataClosing,AutomaticClosing"</formula1>
    </dataValidation>
    <dataValidation type="list" allowBlank="1" sqref="H118:K119">
      <formula1>"CreateDoneAwayOrder,CheckPortfolioManagement,CheckAllocatedGroups,GetDataAllocation,Copy of Data"</formula1>
    </dataValidation>
    <dataValidation type="list" allowBlank="1" sqref="H270:K270">
      <formula1>"CreateDoneAwayOrder,GetMarkPriceData,UpdateMarkPrice,GetMarkPriceData1,UpdateMarkPrice1,GetDataClosing,AutomaticClosing,GetDayEndCash,CalculateDayEndCash,checkportfoli,CheckPortfolioManagement"</formula1>
    </dataValidation>
    <dataValidation type="list" allowBlank="1" sqref="H525:K525">
      <formula1>"CreateDoneAwayOrder,GetDataAllocation,SelectAllocatedGroup,BookOrUpdateSwap,SelectAllocatedGroup1,BookOrUpdateSwap1,SelectAllocatedGroup2,BookOrUpdateSwap2,GetMarkPriceData,UpdateMarkPrice,GetForexConversion,UpdateForexConversion,PricingInput,CreateDoneAw"&amp;"ayOrder1,GetDataAllocation1,SelectAllocatedGroup3,BookOrUpdateSwap3"</formula1>
    </dataValidation>
    <dataValidation type="list" allowBlank="1" sqref="H48:K48 H66:K66">
      <formula1>"CreateDoneAwayOrder,PricingInput,GetMarkPriceData,UpdateMarkPrice,GetForexConversion,UpdateForexConversion,CheckPortfolioManagement,GetForexConversionOnTrade,UpdateForexConversionOnTrade,Copy of Data,Copy of Data 1,Copy of Data 2"</formula1>
    </dataValidation>
    <dataValidation type="list" allowBlank="1" sqref="H561:K561">
      <formula1>"CreateDoneAwayOrder,GetDataAllocation,SelectAllocatedGroup,BookOrUpdateSwap,SelectAllocatedGroup1,BookOrUpdateSwap1,SelectAllocatedGroup2,BookOrUpdateSwap2,SelectAllocatedGroup3,BookOrUpdateSwap3,SelectAllocatedGroup4,BookOrUpdateSwap4,SelectAllocatedGrou"&amp;"p5,BookOrUpdateSwap5,BookOrUpdateSwap6,SelectAllocatedGroup6,GetMarkPriceData,UpdateMarkPrice,GetMarkPriceData1,UpdateMarkPrice1,GetForexConversion,UpdateForexConversion,GetForexConversion1"</formula1>
    </dataValidation>
    <dataValidation type="list" allowBlank="1" sqref="H15:K15">
      <formula1>"GroupRowPM,CheckSummaryRowsPM,Copy of Data"</formula1>
    </dataValidation>
  </dataValidations>
  <hyperlinks>
    <hyperlink r:id="rId1" location="gid=2113534766" ref="G8"/>
    <hyperlink r:id="rId2" location="gid=1914933162" ref="G9"/>
    <hyperlink r:id="rId3" location="gid=891282638" ref="G11"/>
    <hyperlink r:id="rId4" location="gid=1092343538" ref="G15"/>
    <hyperlink r:id="rId5" location="gid=1367649552" ref="G16"/>
    <hyperlink r:id="rId6" location="gid=138523450" ref="G19"/>
    <hyperlink r:id="rId7" location="gid=505301963" ref="G20"/>
    <hyperlink r:id="rId8" location="gid=553138858" ref="G21"/>
    <hyperlink r:id="rId9" location="gid=718918507" ref="G22"/>
    <hyperlink r:id="rId10" location="gid=1179984713" ref="G23"/>
    <hyperlink r:id="rId11" location="gid=907172260" ref="G24"/>
    <hyperlink r:id="rId12" location="gid=1045913259" ref="G25"/>
    <hyperlink r:id="rId13" location="gid=1126171116" ref="G26"/>
    <hyperlink r:id="rId14" location="gid=1995742468" ref="G27"/>
    <hyperlink r:id="rId15" location="gid=1802516500" ref="G28"/>
    <hyperlink r:id="rId16" location="gid=1550944221" ref="G29"/>
    <hyperlink r:id="rId17" location="gid=270530574" ref="G30"/>
    <hyperlink r:id="rId18" location="gid=754193078" ref="G31"/>
    <hyperlink r:id="rId19" location="gid=305942235" ref="G32"/>
    <hyperlink r:id="rId20" location="gid=25468264" ref="G33"/>
    <hyperlink r:id="rId21" location="gid=2067787380" ref="G34"/>
    <hyperlink r:id="rId22" location="gid=1558765753" ref="G35"/>
    <hyperlink r:id="rId23" location="gid=869715600" ref="G36"/>
    <hyperlink r:id="rId24" location="gid=425305090" ref="G37"/>
    <hyperlink r:id="rId25" location="gid=1092054578" ref="G38"/>
    <hyperlink r:id="rId26" location="gid=1268940667" ref="G39"/>
    <hyperlink r:id="rId27" location="gid=1407493011" ref="G40"/>
    <hyperlink r:id="rId28" location="gid=1202004058" ref="G41"/>
    <hyperlink r:id="rId29" location="gid=1241299001" ref="G42"/>
    <hyperlink r:id="rId30" location="gid=26580834" ref="G43"/>
    <hyperlink r:id="rId31" location="gid=671980870" ref="G44"/>
    <hyperlink r:id="rId32" location="gid=1176096477" ref="G45"/>
    <hyperlink r:id="rId33" location="gid=1713442004" ref="G46"/>
    <hyperlink r:id="rId34" location="gid=2011141224" ref="G47"/>
    <hyperlink r:id="rId35" location="gid=90437408" ref="G48"/>
    <hyperlink r:id="rId36" location="gid=1693917301" ref="G49"/>
    <hyperlink r:id="rId37" location="gid=10049720" ref="G50"/>
    <hyperlink r:id="rId38" location="gid=74665550" ref="G51"/>
    <hyperlink r:id="rId39" location="gid=1680734269" ref="G52"/>
    <hyperlink r:id="rId40" location="gid=514499039" ref="G53"/>
    <hyperlink r:id="rId41" location="gid=417021674" ref="G54"/>
    <hyperlink r:id="rId42" location="gid=2063606015" ref="G55"/>
    <hyperlink r:id="rId43" location="gid=1550828937" ref="G56"/>
    <hyperlink r:id="rId44" location="gid=631576732" ref="G57"/>
    <hyperlink r:id="rId45" location="gid=1298295977" ref="G58"/>
    <hyperlink r:id="rId46" location="gid=710759844" ref="G59"/>
    <hyperlink r:id="rId47" location="gid=1932307424" ref="G60"/>
    <hyperlink r:id="rId48" location="gid=1294969778" ref="G61"/>
    <hyperlink r:id="rId49" location="gid=898260886" ref="G62"/>
    <hyperlink r:id="rId50" location="gid=1595791370" ref="G63"/>
    <hyperlink r:id="rId51" location="gid=16016774" ref="G64"/>
    <hyperlink r:id="rId52" location="gid=1676151457" ref="G65"/>
    <hyperlink r:id="rId53" location="gid=326710711" ref="G66"/>
    <hyperlink r:id="rId54" location="gid=1184344241" ref="G67"/>
    <hyperlink r:id="rId55" location="gid=1387764629" ref="G68"/>
    <hyperlink r:id="rId56" location="gid=587845412" ref="G69"/>
    <hyperlink r:id="rId57" location="gid=628418207" ref="G70"/>
    <hyperlink r:id="rId58" location="gid=1302164731" ref="G71"/>
    <hyperlink r:id="rId59" location="gid=855615169" ref="G72"/>
    <hyperlink r:id="rId60" location="gid=1347778287" ref="G73"/>
    <hyperlink r:id="rId61" location="gid=444581327" ref="G74"/>
    <hyperlink r:id="rId62" location="gid=488284842" ref="G75"/>
    <hyperlink r:id="rId63" location="gid=995612120" ref="G76"/>
    <hyperlink r:id="rId64" location="gid=1408882041" ref="G77"/>
    <hyperlink r:id="rId65" location="gid=533082436" ref="G78"/>
    <hyperlink r:id="rId66" location="gid=288124749" ref="G79"/>
    <hyperlink r:id="rId67" location="gid=993423418" ref="G80"/>
    <hyperlink r:id="rId68" location="gid=1049662071" ref="G81"/>
    <hyperlink r:id="rId69" location="gid=2038609818" ref="G82"/>
    <hyperlink r:id="rId70" location="gid=1853035857" ref="G83"/>
    <hyperlink r:id="rId71" location="gid=1995539182" ref="G84"/>
    <hyperlink r:id="rId72" location="gid=1034519918" ref="G85"/>
    <hyperlink r:id="rId73" location="gid=454544932" ref="G86"/>
    <hyperlink r:id="rId74" location="gid=1921608083" ref="G87"/>
    <hyperlink r:id="rId75" location="gid=454544932" ref="G88"/>
    <hyperlink r:id="rId76" location="gid=1921608083" ref="G89"/>
    <hyperlink r:id="rId77" location="gid=1711877262" ref="G90"/>
    <hyperlink r:id="rId78" location="gid=1004761547" ref="G91"/>
    <hyperlink r:id="rId79" location="gid=1601573327" ref="G92"/>
    <hyperlink r:id="rId80" location="gid=684452181" ref="G93"/>
    <hyperlink r:id="rId81" location="gid=1735106551" ref="G94"/>
    <hyperlink r:id="rId82" location="gid=1459290616" ref="G95"/>
    <hyperlink r:id="rId83" location="gid=237870959" ref="G96"/>
    <hyperlink r:id="rId84" location="gid=1004761547" ref="G97"/>
    <hyperlink r:id="rId85" location="gid=1601573327" ref="G98"/>
    <hyperlink r:id="rId86" location="gid=1443380488" ref="G99"/>
    <hyperlink r:id="rId87" location="gid=1213292199" ref="G100"/>
    <hyperlink r:id="rId88" location="gid=905205976" ref="G101"/>
    <hyperlink r:id="rId89" location="gid=2089703079" ref="G102"/>
    <hyperlink r:id="rId90" location="gid=285029418" ref="G103"/>
    <hyperlink r:id="rId91" location="gid=1952310803" ref="G104"/>
    <hyperlink r:id="rId92" location="gid=905205976" ref="G105"/>
    <hyperlink r:id="rId93" location="gid=1213292199" ref="G106"/>
    <hyperlink r:id="rId94" location="gid=905205976" ref="G107"/>
    <hyperlink r:id="rId95" location="gid=1672511188" ref="G108"/>
    <hyperlink r:id="rId96" location="gid=1147398808" ref="G109"/>
    <hyperlink r:id="rId97" location="gid=647632756" ref="G110"/>
    <hyperlink r:id="rId98" location="gid=1697741403" ref="G111"/>
    <hyperlink r:id="rId99" location="gid=647632756" ref="G112"/>
    <hyperlink r:id="rId100" location="gid=713616791" ref="G114"/>
    <hyperlink r:id="rId101" location="gid=647632756" ref="G115"/>
    <hyperlink r:id="rId102" location="gid=1697741403" ref="G116"/>
    <hyperlink r:id="rId103" location="gid=1034793645" ref="G117"/>
    <hyperlink r:id="rId104" location="gid=851829417" ref="G118"/>
    <hyperlink r:id="rId105" location="gid=304994337" ref="G119"/>
    <hyperlink r:id="rId106" location="gid=1358354781" ref="G120"/>
    <hyperlink r:id="rId107" location="gid=1916160603" ref="G121"/>
  </hyperlinks>
  <drawing r:id="rId10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sheetData>
    <row r="1">
      <c r="A1" s="1" t="s">
        <v>0</v>
      </c>
      <c r="B1" s="2"/>
      <c r="C1" s="2"/>
      <c r="D1" s="2"/>
      <c r="E1" s="2"/>
      <c r="F1" s="3"/>
    </row>
    <row r="2">
      <c r="A2" s="4"/>
      <c r="B2" s="4"/>
      <c r="C2" s="4"/>
      <c r="D2" s="4"/>
      <c r="E2" s="4"/>
      <c r="F2" s="4"/>
    </row>
    <row r="3">
      <c r="A3" s="475" t="s">
        <v>4239</v>
      </c>
      <c r="B3" s="4"/>
      <c r="C3" s="4"/>
      <c r="D3" s="4"/>
      <c r="E3" s="4"/>
      <c r="F3" s="4"/>
    </row>
    <row r="4">
      <c r="A4" s="35" t="s">
        <v>42</v>
      </c>
    </row>
    <row r="5">
      <c r="A5" s="35" t="s">
        <v>20</v>
      </c>
    </row>
  </sheetData>
  <mergeCells count="1">
    <mergeCell ref="A1:F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4.57"/>
    <col customWidth="1" min="3" max="3" width="21.14"/>
    <col customWidth="1" min="4" max="4" width="13.0"/>
    <col customWidth="1" min="5" max="5" width="20.57"/>
    <col customWidth="1" min="6" max="6" width="31.71"/>
    <col customWidth="1" min="7" max="7" width="47.0"/>
    <col customWidth="1" min="8" max="8" width="26.29"/>
    <col customWidth="1" min="9" max="12" width="18.0"/>
    <col customWidth="1" min="13" max="32" width="14.43"/>
  </cols>
  <sheetData>
    <row r="1" ht="1.5" customHeight="1">
      <c r="A1" s="12"/>
      <c r="B1" s="12"/>
      <c r="C1" s="13"/>
      <c r="D1" s="14"/>
      <c r="E1" s="14"/>
      <c r="F1" s="14"/>
      <c r="G1" s="386"/>
      <c r="H1" s="14"/>
      <c r="I1" s="14"/>
      <c r="J1" s="12"/>
      <c r="K1" s="12"/>
      <c r="L1" s="12"/>
      <c r="M1" s="15"/>
      <c r="N1" s="15"/>
      <c r="O1" s="15"/>
      <c r="P1" s="15"/>
      <c r="Q1" s="15"/>
      <c r="R1" s="15"/>
      <c r="S1" s="15"/>
      <c r="T1" s="15"/>
      <c r="U1" s="15"/>
      <c r="V1" s="15"/>
      <c r="W1" s="15"/>
      <c r="X1" s="15"/>
      <c r="Y1" s="15"/>
      <c r="Z1" s="15"/>
      <c r="AA1" s="15"/>
      <c r="AB1" s="15"/>
      <c r="AC1" s="15"/>
      <c r="AD1" s="15"/>
      <c r="AE1" s="15"/>
      <c r="AF1" s="15"/>
    </row>
    <row r="2" ht="1.5" customHeight="1">
      <c r="A2" s="12"/>
      <c r="B2" s="12"/>
      <c r="C2" s="13"/>
      <c r="D2" s="14"/>
      <c r="E2" s="14"/>
      <c r="F2" s="14"/>
      <c r="G2" s="386"/>
      <c r="H2" s="14"/>
      <c r="I2" s="14"/>
      <c r="J2" s="12"/>
      <c r="K2" s="12"/>
      <c r="L2" s="12"/>
      <c r="M2" s="15"/>
      <c r="N2" s="15"/>
      <c r="O2" s="15"/>
      <c r="P2" s="15"/>
      <c r="Q2" s="15"/>
      <c r="R2" s="15"/>
      <c r="S2" s="15"/>
      <c r="T2" s="15"/>
      <c r="U2" s="15"/>
      <c r="V2" s="15"/>
      <c r="W2" s="15"/>
      <c r="X2" s="15"/>
      <c r="Y2" s="15"/>
      <c r="Z2" s="15"/>
      <c r="AA2" s="15"/>
      <c r="AB2" s="15"/>
      <c r="AC2" s="15"/>
      <c r="AD2" s="15"/>
      <c r="AE2" s="15"/>
      <c r="AF2" s="15"/>
    </row>
    <row r="3" ht="1.5" customHeight="1">
      <c r="A3" s="14" t="s">
        <v>5</v>
      </c>
      <c r="B3" s="14" t="s">
        <v>5</v>
      </c>
      <c r="C3" s="13" t="s">
        <v>6</v>
      </c>
      <c r="J3" s="12"/>
      <c r="K3" s="12"/>
      <c r="L3" s="12"/>
      <c r="M3" s="15"/>
      <c r="N3" s="15"/>
      <c r="O3" s="15"/>
      <c r="P3" s="15"/>
      <c r="Q3" s="15"/>
      <c r="R3" s="15"/>
      <c r="S3" s="15"/>
      <c r="T3" s="15"/>
      <c r="U3" s="15"/>
      <c r="V3" s="15"/>
      <c r="W3" s="15"/>
      <c r="X3" s="15"/>
      <c r="Y3" s="15"/>
      <c r="Z3" s="15"/>
      <c r="AA3" s="15"/>
      <c r="AB3" s="15"/>
      <c r="AC3" s="15"/>
      <c r="AD3" s="15"/>
      <c r="AE3" s="15"/>
      <c r="AF3" s="15"/>
    </row>
    <row r="4" ht="17.25" customHeight="1">
      <c r="A4" s="20"/>
      <c r="B4" s="20"/>
      <c r="C4" s="21"/>
      <c r="D4" s="20"/>
      <c r="E4" s="20"/>
      <c r="F4" s="20"/>
      <c r="G4" s="387"/>
      <c r="H4" s="20"/>
      <c r="I4" s="20"/>
      <c r="J4" s="20"/>
      <c r="K4" s="20"/>
      <c r="L4" s="20"/>
      <c r="M4" s="15"/>
      <c r="N4" s="15"/>
      <c r="O4" s="15"/>
      <c r="P4" s="15"/>
      <c r="Q4" s="15"/>
      <c r="R4" s="15"/>
      <c r="S4" s="15"/>
      <c r="T4" s="15"/>
      <c r="U4" s="15"/>
      <c r="V4" s="15"/>
      <c r="W4" s="15"/>
      <c r="X4" s="15"/>
      <c r="Y4" s="15"/>
      <c r="Z4" s="15"/>
      <c r="AA4" s="15"/>
      <c r="AB4" s="15"/>
      <c r="AC4" s="15"/>
      <c r="AD4" s="15"/>
      <c r="AE4" s="15"/>
      <c r="AF4" s="15"/>
    </row>
    <row r="5" ht="16.5" customHeight="1">
      <c r="A5" s="22" t="s">
        <v>5</v>
      </c>
      <c r="B5" s="22" t="s">
        <v>7</v>
      </c>
      <c r="C5" s="228" t="s">
        <v>8</v>
      </c>
      <c r="D5" s="22" t="s">
        <v>9</v>
      </c>
      <c r="E5" s="22" t="s">
        <v>10</v>
      </c>
      <c r="F5" s="22" t="s">
        <v>11</v>
      </c>
      <c r="G5" s="388" t="s">
        <v>12</v>
      </c>
      <c r="H5" s="229" t="s">
        <v>13</v>
      </c>
      <c r="I5" s="22" t="s">
        <v>14</v>
      </c>
      <c r="J5" s="22" t="s">
        <v>15</v>
      </c>
      <c r="K5" s="22" t="s">
        <v>16</v>
      </c>
      <c r="L5" s="22" t="s">
        <v>17</v>
      </c>
      <c r="M5" s="15"/>
      <c r="N5" s="15"/>
      <c r="O5" s="15"/>
      <c r="P5" s="15"/>
      <c r="Q5" s="15"/>
      <c r="R5" s="15"/>
      <c r="S5" s="15"/>
      <c r="T5" s="15"/>
      <c r="U5" s="15"/>
      <c r="V5" s="15"/>
      <c r="W5" s="15"/>
      <c r="X5" s="15"/>
      <c r="Y5" s="15"/>
      <c r="Z5" s="15"/>
      <c r="AA5" s="15"/>
      <c r="AB5" s="15"/>
      <c r="AC5" s="15"/>
      <c r="AD5" s="15"/>
      <c r="AE5" s="15"/>
      <c r="AF5" s="15"/>
    </row>
    <row r="6" ht="16.5" customHeight="1">
      <c r="A6" s="32" t="s">
        <v>5</v>
      </c>
      <c r="B6" s="62" t="s">
        <v>4240</v>
      </c>
      <c r="C6" s="66" t="s">
        <v>4241</v>
      </c>
      <c r="D6" s="32" t="s">
        <v>42</v>
      </c>
      <c r="E6" s="32" t="s">
        <v>88</v>
      </c>
      <c r="F6" s="35" t="s">
        <v>89</v>
      </c>
      <c r="G6" s="439"/>
      <c r="H6" s="36"/>
      <c r="L6" s="11"/>
      <c r="M6" s="15"/>
      <c r="N6" s="15"/>
      <c r="O6" s="15"/>
      <c r="P6" s="15"/>
      <c r="Q6" s="15"/>
      <c r="R6" s="15"/>
      <c r="S6" s="15"/>
      <c r="T6" s="15"/>
      <c r="U6" s="15"/>
      <c r="V6" s="15"/>
      <c r="W6" s="15"/>
      <c r="X6" s="15"/>
      <c r="Y6" s="15"/>
      <c r="Z6" s="15"/>
      <c r="AA6" s="15"/>
      <c r="AB6" s="15"/>
      <c r="AC6" s="15"/>
      <c r="AD6" s="15"/>
      <c r="AE6" s="15"/>
      <c r="AF6" s="15"/>
    </row>
    <row r="7" ht="16.5" customHeight="1">
      <c r="A7" s="32" t="s">
        <v>5</v>
      </c>
      <c r="E7" s="32" t="s">
        <v>21</v>
      </c>
      <c r="F7" s="35" t="s">
        <v>22</v>
      </c>
      <c r="G7" s="159" t="s">
        <v>4242</v>
      </c>
      <c r="H7" s="35" t="s">
        <v>22</v>
      </c>
      <c r="L7" s="11"/>
      <c r="M7" s="15"/>
      <c r="N7" s="15"/>
      <c r="O7" s="15"/>
      <c r="P7" s="15"/>
      <c r="Q7" s="15"/>
      <c r="R7" s="15"/>
      <c r="S7" s="15"/>
      <c r="T7" s="15"/>
      <c r="U7" s="15"/>
      <c r="V7" s="15"/>
      <c r="W7" s="15"/>
      <c r="X7" s="15"/>
      <c r="Y7" s="15"/>
      <c r="Z7" s="15"/>
      <c r="AA7" s="15"/>
      <c r="AB7" s="15"/>
      <c r="AC7" s="15"/>
      <c r="AD7" s="15"/>
      <c r="AE7" s="15"/>
      <c r="AF7" s="15"/>
    </row>
    <row r="8" ht="16.5" customHeight="1">
      <c r="A8" s="32" t="s">
        <v>5</v>
      </c>
      <c r="E8" s="32" t="s">
        <v>43</v>
      </c>
      <c r="F8" s="35" t="s">
        <v>855</v>
      </c>
      <c r="G8" s="159" t="s">
        <v>4243</v>
      </c>
      <c r="H8" s="35" t="s">
        <v>855</v>
      </c>
      <c r="L8" s="11"/>
      <c r="M8" s="15"/>
      <c r="N8" s="15"/>
      <c r="O8" s="15"/>
      <c r="P8" s="15"/>
      <c r="Q8" s="15"/>
      <c r="R8" s="15"/>
      <c r="S8" s="15"/>
      <c r="T8" s="15"/>
      <c r="U8" s="15"/>
      <c r="V8" s="15"/>
      <c r="W8" s="15"/>
      <c r="X8" s="15"/>
      <c r="Y8" s="15"/>
      <c r="Z8" s="15"/>
      <c r="AA8" s="15"/>
      <c r="AB8" s="15"/>
      <c r="AC8" s="15"/>
      <c r="AD8" s="15"/>
      <c r="AE8" s="15"/>
      <c r="AF8" s="15"/>
    </row>
    <row r="9" ht="16.5" customHeight="1">
      <c r="A9" s="32" t="s">
        <v>5</v>
      </c>
      <c r="E9" s="35" t="s">
        <v>610</v>
      </c>
      <c r="F9" s="35" t="s">
        <v>838</v>
      </c>
      <c r="G9" s="159" t="s">
        <v>4244</v>
      </c>
      <c r="H9" s="35" t="s">
        <v>4245</v>
      </c>
      <c r="L9" s="11"/>
      <c r="M9" s="15"/>
      <c r="N9" s="15"/>
      <c r="O9" s="15"/>
      <c r="P9" s="15"/>
      <c r="Q9" s="15"/>
      <c r="R9" s="15"/>
      <c r="S9" s="15"/>
      <c r="T9" s="15"/>
      <c r="U9" s="15"/>
      <c r="V9" s="15"/>
      <c r="W9" s="15"/>
      <c r="X9" s="15"/>
      <c r="Y9" s="15"/>
      <c r="Z9" s="15"/>
      <c r="AA9" s="15"/>
      <c r="AB9" s="15"/>
      <c r="AC9" s="15"/>
      <c r="AD9" s="15"/>
      <c r="AE9" s="15"/>
      <c r="AF9" s="15"/>
    </row>
    <row r="10" ht="16.5" customHeight="1">
      <c r="A10" s="32" t="s">
        <v>5</v>
      </c>
      <c r="E10" s="32" t="s">
        <v>610</v>
      </c>
      <c r="F10" s="35" t="s">
        <v>836</v>
      </c>
      <c r="G10" s="159" t="s">
        <v>4246</v>
      </c>
      <c r="H10" s="35" t="s">
        <v>4247</v>
      </c>
      <c r="L10" s="11"/>
      <c r="M10" s="15"/>
      <c r="N10" s="15"/>
      <c r="O10" s="15"/>
      <c r="P10" s="15"/>
      <c r="Q10" s="15"/>
      <c r="R10" s="15"/>
      <c r="S10" s="15"/>
      <c r="T10" s="15"/>
      <c r="U10" s="15"/>
      <c r="V10" s="15"/>
      <c r="W10" s="15"/>
      <c r="X10" s="15"/>
      <c r="Y10" s="15"/>
      <c r="Z10" s="15"/>
      <c r="AA10" s="15"/>
      <c r="AB10" s="15"/>
      <c r="AC10" s="15"/>
      <c r="AD10" s="15"/>
      <c r="AE10" s="15"/>
      <c r="AF10" s="15"/>
    </row>
    <row r="11" ht="16.5" customHeight="1">
      <c r="A11" s="32" t="s">
        <v>5</v>
      </c>
      <c r="E11" s="32" t="s">
        <v>610</v>
      </c>
      <c r="F11" s="35" t="s">
        <v>838</v>
      </c>
      <c r="G11" s="159" t="s">
        <v>4248</v>
      </c>
      <c r="H11" s="35" t="s">
        <v>4249</v>
      </c>
      <c r="L11" s="11"/>
      <c r="M11" s="15"/>
      <c r="N11" s="15"/>
      <c r="O11" s="15"/>
      <c r="P11" s="15"/>
      <c r="Q11" s="15"/>
      <c r="R11" s="15"/>
      <c r="S11" s="15"/>
      <c r="T11" s="15"/>
      <c r="U11" s="15"/>
      <c r="V11" s="15"/>
      <c r="W11" s="15"/>
      <c r="X11" s="15"/>
      <c r="Y11" s="15"/>
      <c r="Z11" s="15"/>
      <c r="AA11" s="15"/>
      <c r="AB11" s="15"/>
      <c r="AC11" s="15"/>
      <c r="AD11" s="15"/>
      <c r="AE11" s="15"/>
      <c r="AF11" s="15"/>
    </row>
    <row r="12" ht="16.5" customHeight="1">
      <c r="A12" s="32" t="s">
        <v>5</v>
      </c>
      <c r="E12" s="32" t="s">
        <v>610</v>
      </c>
      <c r="F12" s="35" t="s">
        <v>836</v>
      </c>
      <c r="G12" s="159" t="s">
        <v>4250</v>
      </c>
      <c r="H12" s="35" t="s">
        <v>4251</v>
      </c>
      <c r="L12" s="11"/>
      <c r="M12" s="15"/>
      <c r="N12" s="15"/>
      <c r="O12" s="15"/>
      <c r="P12" s="15"/>
      <c r="Q12" s="15"/>
      <c r="R12" s="15"/>
      <c r="S12" s="15"/>
      <c r="T12" s="15"/>
      <c r="U12" s="15"/>
      <c r="V12" s="15"/>
      <c r="W12" s="15"/>
      <c r="X12" s="15"/>
      <c r="Y12" s="15"/>
      <c r="Z12" s="15"/>
      <c r="AA12" s="15"/>
      <c r="AB12" s="15"/>
      <c r="AC12" s="15"/>
      <c r="AD12" s="15"/>
      <c r="AE12" s="15"/>
      <c r="AF12" s="15"/>
    </row>
    <row r="13" ht="16.5" customHeight="1">
      <c r="A13" s="32" t="s">
        <v>5</v>
      </c>
      <c r="E13" s="32" t="s">
        <v>610</v>
      </c>
      <c r="F13" s="35" t="s">
        <v>838</v>
      </c>
      <c r="G13" s="159" t="s">
        <v>4252</v>
      </c>
      <c r="H13" s="35" t="s">
        <v>4253</v>
      </c>
      <c r="L13" s="11"/>
      <c r="M13" s="15"/>
      <c r="N13" s="15"/>
      <c r="O13" s="15"/>
      <c r="P13" s="15"/>
      <c r="Q13" s="15"/>
      <c r="R13" s="15"/>
      <c r="S13" s="15"/>
      <c r="T13" s="15"/>
      <c r="U13" s="15"/>
      <c r="V13" s="15"/>
      <c r="W13" s="15"/>
      <c r="X13" s="15"/>
      <c r="Y13" s="15"/>
      <c r="Z13" s="15"/>
      <c r="AA13" s="15"/>
      <c r="AB13" s="15"/>
      <c r="AC13" s="15"/>
      <c r="AD13" s="15"/>
      <c r="AE13" s="15"/>
      <c r="AF13" s="15"/>
    </row>
    <row r="14" ht="16.5" customHeight="1">
      <c r="A14" s="32" t="s">
        <v>5</v>
      </c>
      <c r="E14" s="28" t="s">
        <v>610</v>
      </c>
      <c r="F14" s="8" t="s">
        <v>836</v>
      </c>
      <c r="G14" s="435" t="s">
        <v>4254</v>
      </c>
      <c r="H14" s="35" t="s">
        <v>4255</v>
      </c>
      <c r="L14" s="11"/>
      <c r="M14" s="15"/>
      <c r="N14" s="15"/>
      <c r="O14" s="15"/>
      <c r="P14" s="15"/>
      <c r="Q14" s="15"/>
      <c r="R14" s="15"/>
      <c r="S14" s="15"/>
      <c r="T14" s="15"/>
      <c r="U14" s="15"/>
      <c r="V14" s="15"/>
      <c r="W14" s="15"/>
      <c r="X14" s="15"/>
      <c r="Y14" s="15"/>
      <c r="Z14" s="15"/>
      <c r="AA14" s="15"/>
      <c r="AB14" s="15"/>
      <c r="AC14" s="15"/>
      <c r="AD14" s="15"/>
      <c r="AE14" s="15"/>
      <c r="AF14" s="15"/>
    </row>
    <row r="15" ht="16.5" customHeight="1">
      <c r="A15" s="32" t="s">
        <v>5</v>
      </c>
      <c r="E15" s="8" t="s">
        <v>610</v>
      </c>
      <c r="F15" s="8" t="s">
        <v>842</v>
      </c>
      <c r="G15" s="149" t="s">
        <v>4256</v>
      </c>
      <c r="H15" s="35" t="s">
        <v>842</v>
      </c>
      <c r="L15" s="11"/>
      <c r="M15" s="15"/>
      <c r="N15" s="15"/>
      <c r="O15" s="15"/>
      <c r="P15" s="15"/>
      <c r="Q15" s="15"/>
      <c r="R15" s="15"/>
      <c r="S15" s="15"/>
      <c r="T15" s="15"/>
      <c r="U15" s="15"/>
      <c r="V15" s="15"/>
      <c r="W15" s="15"/>
      <c r="X15" s="15"/>
      <c r="Y15" s="15"/>
      <c r="Z15" s="15"/>
      <c r="AA15" s="15"/>
      <c r="AB15" s="15"/>
      <c r="AC15" s="15"/>
      <c r="AD15" s="15"/>
      <c r="AE15" s="15"/>
      <c r="AF15" s="15"/>
    </row>
    <row r="16" ht="16.5" customHeight="1">
      <c r="A16" s="32" t="s">
        <v>5</v>
      </c>
      <c r="E16" s="8" t="s">
        <v>43</v>
      </c>
      <c r="F16" s="8" t="s">
        <v>79</v>
      </c>
      <c r="G16" s="149" t="s">
        <v>4257</v>
      </c>
      <c r="H16" s="35" t="s">
        <v>79</v>
      </c>
      <c r="J16" s="36"/>
      <c r="L16" s="11"/>
      <c r="M16" s="15"/>
      <c r="N16" s="15"/>
      <c r="O16" s="15"/>
      <c r="P16" s="15"/>
      <c r="Q16" s="15"/>
      <c r="R16" s="15"/>
      <c r="S16" s="15"/>
      <c r="T16" s="15"/>
      <c r="U16" s="15"/>
      <c r="V16" s="15"/>
      <c r="W16" s="15"/>
      <c r="X16" s="15"/>
      <c r="Y16" s="15"/>
      <c r="Z16" s="15"/>
      <c r="AA16" s="15"/>
      <c r="AB16" s="15"/>
      <c r="AC16" s="15"/>
      <c r="AD16" s="15"/>
      <c r="AE16" s="15"/>
      <c r="AF16" s="15"/>
    </row>
    <row r="17" ht="16.5" customHeight="1">
      <c r="A17" s="32" t="s">
        <v>5</v>
      </c>
      <c r="E17" s="8" t="s">
        <v>43</v>
      </c>
      <c r="F17" s="8" t="s">
        <v>53</v>
      </c>
      <c r="G17" s="149" t="s">
        <v>4258</v>
      </c>
      <c r="H17" s="35" t="s">
        <v>53</v>
      </c>
      <c r="J17" s="36"/>
      <c r="L17" s="11"/>
      <c r="M17" s="15"/>
      <c r="N17" s="15"/>
      <c r="O17" s="15"/>
      <c r="P17" s="15"/>
      <c r="Q17" s="15"/>
      <c r="R17" s="15"/>
      <c r="S17" s="15"/>
      <c r="T17" s="15"/>
      <c r="U17" s="15"/>
      <c r="V17" s="15"/>
      <c r="W17" s="15"/>
      <c r="X17" s="15"/>
      <c r="Y17" s="15"/>
      <c r="Z17" s="15"/>
      <c r="AA17" s="15"/>
      <c r="AB17" s="15"/>
      <c r="AC17" s="15"/>
      <c r="AD17" s="15"/>
      <c r="AE17" s="15"/>
      <c r="AF17" s="15"/>
    </row>
    <row r="18" ht="16.5" customHeight="1">
      <c r="A18" s="32" t="s">
        <v>5</v>
      </c>
      <c r="E18" s="8" t="s">
        <v>88</v>
      </c>
      <c r="F18" s="8" t="s">
        <v>95</v>
      </c>
      <c r="G18" s="149" t="s">
        <v>4259</v>
      </c>
      <c r="H18" s="35" t="s">
        <v>95</v>
      </c>
      <c r="J18" s="36"/>
      <c r="L18" s="11"/>
      <c r="M18" s="15"/>
      <c r="N18" s="15"/>
      <c r="O18" s="15"/>
      <c r="P18" s="15"/>
      <c r="Q18" s="15"/>
      <c r="R18" s="15"/>
      <c r="S18" s="15"/>
      <c r="T18" s="15"/>
      <c r="U18" s="15"/>
      <c r="V18" s="15"/>
      <c r="W18" s="15"/>
      <c r="X18" s="15"/>
      <c r="Y18" s="15"/>
      <c r="Z18" s="15"/>
      <c r="AA18" s="15"/>
      <c r="AB18" s="15"/>
      <c r="AC18" s="15"/>
      <c r="AD18" s="15"/>
      <c r="AE18" s="15"/>
      <c r="AF18" s="15"/>
    </row>
    <row r="19" ht="16.5" customHeight="1">
      <c r="A19" s="32" t="s">
        <v>5</v>
      </c>
      <c r="E19" s="8" t="s">
        <v>88</v>
      </c>
      <c r="F19" s="8" t="s">
        <v>96</v>
      </c>
      <c r="G19" s="149" t="s">
        <v>4260</v>
      </c>
      <c r="H19" s="35" t="s">
        <v>96</v>
      </c>
      <c r="J19" s="36"/>
      <c r="L19" s="11"/>
      <c r="M19" s="15"/>
      <c r="N19" s="15"/>
      <c r="O19" s="15"/>
      <c r="P19" s="15"/>
      <c r="Q19" s="15"/>
      <c r="R19" s="15"/>
      <c r="S19" s="15"/>
      <c r="T19" s="15"/>
      <c r="U19" s="15"/>
      <c r="V19" s="15"/>
      <c r="W19" s="15"/>
      <c r="X19" s="15"/>
      <c r="Y19" s="15"/>
      <c r="Z19" s="15"/>
      <c r="AA19" s="15"/>
      <c r="AB19" s="15"/>
      <c r="AC19" s="15"/>
      <c r="AD19" s="15"/>
      <c r="AE19" s="15"/>
      <c r="AF19" s="15"/>
    </row>
    <row r="20" ht="16.5" customHeight="1">
      <c r="A20" s="32" t="s">
        <v>5</v>
      </c>
      <c r="E20" s="8" t="s">
        <v>104</v>
      </c>
      <c r="F20" s="8" t="s">
        <v>250</v>
      </c>
      <c r="G20" s="149" t="s">
        <v>4261</v>
      </c>
      <c r="H20" s="35" t="s">
        <v>250</v>
      </c>
      <c r="J20" s="36"/>
      <c r="L20" s="11"/>
      <c r="M20" s="15"/>
      <c r="N20" s="15"/>
      <c r="O20" s="15"/>
      <c r="P20" s="15"/>
      <c r="Q20" s="15"/>
      <c r="R20" s="15"/>
      <c r="S20" s="15"/>
      <c r="T20" s="15"/>
      <c r="U20" s="15"/>
      <c r="V20" s="15"/>
      <c r="W20" s="15"/>
      <c r="X20" s="15"/>
      <c r="Y20" s="15"/>
      <c r="Z20" s="15"/>
      <c r="AA20" s="15"/>
      <c r="AB20" s="15"/>
      <c r="AC20" s="15"/>
      <c r="AD20" s="15"/>
      <c r="AE20" s="15"/>
      <c r="AF20" s="15"/>
    </row>
    <row r="21" ht="16.5" customHeight="1">
      <c r="A21" s="32" t="s">
        <v>5</v>
      </c>
      <c r="B21" s="62" t="s">
        <v>4262</v>
      </c>
      <c r="C21" s="87" t="s">
        <v>4263</v>
      </c>
      <c r="D21" s="8" t="s">
        <v>42</v>
      </c>
      <c r="E21" s="8" t="s">
        <v>88</v>
      </c>
      <c r="F21" s="8" t="s">
        <v>89</v>
      </c>
      <c r="G21" s="69"/>
      <c r="H21" s="36"/>
      <c r="J21" s="36"/>
      <c r="L21" s="11"/>
      <c r="M21" s="15"/>
      <c r="N21" s="15"/>
      <c r="O21" s="15"/>
      <c r="P21" s="15"/>
      <c r="Q21" s="15"/>
      <c r="R21" s="15"/>
      <c r="S21" s="15"/>
      <c r="T21" s="15"/>
      <c r="U21" s="15"/>
      <c r="V21" s="15"/>
      <c r="W21" s="15"/>
      <c r="X21" s="15"/>
      <c r="Y21" s="15"/>
      <c r="Z21" s="15"/>
      <c r="AA21" s="15"/>
      <c r="AB21" s="15"/>
      <c r="AC21" s="15"/>
      <c r="AD21" s="15"/>
      <c r="AE21" s="15"/>
      <c r="AF21" s="15"/>
    </row>
    <row r="22" ht="16.5" customHeight="1">
      <c r="A22" s="32" t="s">
        <v>5</v>
      </c>
      <c r="E22" s="8" t="s">
        <v>21</v>
      </c>
      <c r="F22" s="8" t="s">
        <v>22</v>
      </c>
      <c r="G22" s="149" t="s">
        <v>4264</v>
      </c>
      <c r="H22" s="35" t="s">
        <v>22</v>
      </c>
      <c r="J22" s="36"/>
      <c r="L22" s="11"/>
      <c r="M22" s="15"/>
      <c r="N22" s="15"/>
      <c r="O22" s="15"/>
      <c r="P22" s="15"/>
      <c r="Q22" s="15"/>
      <c r="R22" s="15"/>
      <c r="S22" s="15"/>
      <c r="T22" s="15"/>
      <c r="U22" s="15"/>
      <c r="V22" s="15"/>
      <c r="W22" s="15"/>
      <c r="X22" s="15"/>
      <c r="Y22" s="15"/>
      <c r="Z22" s="15"/>
      <c r="AA22" s="15"/>
      <c r="AB22" s="15"/>
      <c r="AC22" s="15"/>
      <c r="AD22" s="15"/>
      <c r="AE22" s="15"/>
      <c r="AF22" s="15"/>
    </row>
    <row r="23" ht="16.5" customHeight="1">
      <c r="A23" s="32" t="s">
        <v>5</v>
      </c>
      <c r="E23" s="8" t="s">
        <v>43</v>
      </c>
      <c r="F23" s="8" t="s">
        <v>855</v>
      </c>
      <c r="G23" s="149" t="s">
        <v>4265</v>
      </c>
      <c r="H23" s="35" t="s">
        <v>855</v>
      </c>
      <c r="I23" s="36"/>
      <c r="J23" s="36"/>
      <c r="L23" s="11"/>
      <c r="M23" s="15"/>
      <c r="N23" s="15"/>
      <c r="O23" s="15"/>
      <c r="P23" s="15"/>
      <c r="Q23" s="15"/>
      <c r="R23" s="15"/>
      <c r="S23" s="15"/>
      <c r="T23" s="15"/>
      <c r="U23" s="15"/>
      <c r="V23" s="15"/>
      <c r="W23" s="15"/>
      <c r="X23" s="15"/>
      <c r="Y23" s="15"/>
      <c r="Z23" s="15"/>
      <c r="AA23" s="15"/>
      <c r="AB23" s="15"/>
      <c r="AC23" s="15"/>
      <c r="AD23" s="15"/>
      <c r="AE23" s="15"/>
      <c r="AF23" s="15"/>
    </row>
    <row r="24" ht="16.5" customHeight="1">
      <c r="A24" s="32" t="s">
        <v>5</v>
      </c>
      <c r="E24" s="28" t="s">
        <v>610</v>
      </c>
      <c r="F24" s="8" t="s">
        <v>848</v>
      </c>
      <c r="G24" s="149" t="s">
        <v>4266</v>
      </c>
      <c r="H24" s="35" t="s">
        <v>848</v>
      </c>
      <c r="I24" s="36"/>
      <c r="J24" s="36"/>
      <c r="L24" s="11"/>
      <c r="M24" s="15"/>
      <c r="N24" s="15"/>
      <c r="O24" s="15"/>
      <c r="P24" s="15"/>
      <c r="Q24" s="15"/>
      <c r="R24" s="15"/>
      <c r="S24" s="15"/>
      <c r="T24" s="15"/>
      <c r="U24" s="15"/>
      <c r="V24" s="15"/>
      <c r="W24" s="15"/>
      <c r="X24" s="15"/>
      <c r="Y24" s="15"/>
      <c r="Z24" s="15"/>
      <c r="AA24" s="15"/>
      <c r="AB24" s="15"/>
      <c r="AC24" s="15"/>
      <c r="AD24" s="15"/>
      <c r="AE24" s="15"/>
      <c r="AF24" s="15"/>
    </row>
    <row r="25" ht="16.5" customHeight="1">
      <c r="A25" s="32" t="s">
        <v>5</v>
      </c>
      <c r="E25" s="28" t="s">
        <v>43</v>
      </c>
      <c r="F25" s="38" t="s">
        <v>79</v>
      </c>
      <c r="G25" s="149" t="s">
        <v>4267</v>
      </c>
      <c r="H25" s="35" t="s">
        <v>79</v>
      </c>
      <c r="I25" s="36"/>
      <c r="J25" s="36"/>
      <c r="L25" s="11"/>
      <c r="M25" s="15"/>
      <c r="N25" s="15"/>
      <c r="O25" s="15"/>
      <c r="P25" s="15"/>
      <c r="Q25" s="15"/>
      <c r="R25" s="15"/>
      <c r="S25" s="15"/>
      <c r="T25" s="15"/>
      <c r="U25" s="15"/>
      <c r="V25" s="15"/>
      <c r="W25" s="15"/>
      <c r="X25" s="15"/>
      <c r="Y25" s="15"/>
      <c r="Z25" s="15"/>
      <c r="AA25" s="15"/>
      <c r="AB25" s="15"/>
      <c r="AC25" s="15"/>
      <c r="AD25" s="15"/>
      <c r="AE25" s="15"/>
      <c r="AF25" s="15"/>
    </row>
    <row r="26" ht="16.5" customHeight="1">
      <c r="A26" s="32" t="s">
        <v>5</v>
      </c>
      <c r="E26" s="28" t="s">
        <v>43</v>
      </c>
      <c r="F26" s="28" t="s">
        <v>53</v>
      </c>
      <c r="G26" s="149" t="s">
        <v>4268</v>
      </c>
      <c r="H26" s="35" t="s">
        <v>53</v>
      </c>
      <c r="I26" s="36"/>
      <c r="J26" s="36"/>
      <c r="L26" s="11"/>
      <c r="M26" s="15"/>
      <c r="N26" s="15"/>
      <c r="O26" s="15"/>
      <c r="P26" s="15"/>
      <c r="Q26" s="15"/>
      <c r="R26" s="15"/>
      <c r="S26" s="15"/>
      <c r="T26" s="15"/>
      <c r="U26" s="15"/>
      <c r="V26" s="15"/>
      <c r="W26" s="15"/>
      <c r="X26" s="15"/>
      <c r="Y26" s="15"/>
      <c r="Z26" s="15"/>
      <c r="AA26" s="15"/>
      <c r="AB26" s="15"/>
      <c r="AC26" s="15"/>
      <c r="AD26" s="15"/>
      <c r="AE26" s="15"/>
      <c r="AF26" s="15"/>
    </row>
    <row r="27" ht="16.5" customHeight="1">
      <c r="A27" s="32" t="s">
        <v>5</v>
      </c>
      <c r="E27" s="28" t="s">
        <v>88</v>
      </c>
      <c r="F27" s="38" t="s">
        <v>95</v>
      </c>
      <c r="G27" s="149" t="s">
        <v>4269</v>
      </c>
      <c r="H27" s="35" t="s">
        <v>95</v>
      </c>
      <c r="I27" s="36"/>
      <c r="J27" s="36"/>
      <c r="L27" s="11"/>
      <c r="M27" s="15"/>
      <c r="N27" s="15"/>
      <c r="O27" s="15"/>
      <c r="P27" s="15"/>
      <c r="Q27" s="15"/>
      <c r="R27" s="15"/>
      <c r="S27" s="15"/>
      <c r="T27" s="15"/>
      <c r="U27" s="15"/>
      <c r="V27" s="15"/>
      <c r="W27" s="15"/>
      <c r="X27" s="15"/>
      <c r="Y27" s="15"/>
      <c r="Z27" s="15"/>
      <c r="AA27" s="15"/>
      <c r="AB27" s="15"/>
      <c r="AC27" s="15"/>
      <c r="AD27" s="15"/>
      <c r="AE27" s="15"/>
      <c r="AF27" s="15"/>
    </row>
    <row r="28" ht="16.5" customHeight="1">
      <c r="A28" s="32" t="s">
        <v>5</v>
      </c>
      <c r="E28" s="28" t="s">
        <v>88</v>
      </c>
      <c r="F28" s="38" t="s">
        <v>96</v>
      </c>
      <c r="G28" s="149" t="s">
        <v>4270</v>
      </c>
      <c r="H28" s="35" t="s">
        <v>96</v>
      </c>
      <c r="I28" s="36"/>
      <c r="J28" s="36"/>
      <c r="L28" s="11"/>
      <c r="M28" s="15"/>
      <c r="N28" s="15"/>
      <c r="O28" s="15"/>
      <c r="P28" s="15"/>
      <c r="Q28" s="15"/>
      <c r="R28" s="15"/>
      <c r="S28" s="15"/>
      <c r="T28" s="15"/>
      <c r="U28" s="15"/>
      <c r="V28" s="15"/>
      <c r="W28" s="15"/>
      <c r="X28" s="15"/>
      <c r="Y28" s="15"/>
      <c r="Z28" s="15"/>
      <c r="AA28" s="15"/>
      <c r="AB28" s="15"/>
      <c r="AC28" s="15"/>
      <c r="AD28" s="15"/>
      <c r="AE28" s="15"/>
      <c r="AF28" s="15"/>
    </row>
    <row r="29" ht="16.5" customHeight="1">
      <c r="A29" s="32" t="s">
        <v>5</v>
      </c>
      <c r="E29" s="28" t="s">
        <v>104</v>
      </c>
      <c r="F29" s="28" t="s">
        <v>250</v>
      </c>
      <c r="G29" s="149" t="s">
        <v>4271</v>
      </c>
      <c r="H29" s="35" t="s">
        <v>250</v>
      </c>
      <c r="I29" s="36"/>
      <c r="J29" s="36"/>
      <c r="L29" s="11"/>
      <c r="M29" s="15"/>
      <c r="N29" s="15"/>
      <c r="O29" s="15"/>
      <c r="P29" s="15"/>
      <c r="Q29" s="15"/>
      <c r="R29" s="15"/>
      <c r="S29" s="15"/>
      <c r="T29" s="15"/>
      <c r="U29" s="15"/>
      <c r="V29" s="15"/>
      <c r="W29" s="15"/>
      <c r="X29" s="15"/>
      <c r="Y29" s="15"/>
      <c r="Z29" s="15"/>
      <c r="AA29" s="15"/>
      <c r="AB29" s="15"/>
      <c r="AC29" s="15"/>
      <c r="AD29" s="15"/>
      <c r="AE29" s="15"/>
      <c r="AF29" s="15"/>
    </row>
    <row r="30" ht="16.5" customHeight="1">
      <c r="A30" s="32" t="s">
        <v>5</v>
      </c>
      <c r="B30" s="476" t="s">
        <v>4272</v>
      </c>
      <c r="C30" s="477" t="s">
        <v>4273</v>
      </c>
      <c r="D30" s="476" t="s">
        <v>20</v>
      </c>
      <c r="E30" s="478" t="s">
        <v>21</v>
      </c>
      <c r="F30" s="478" t="s">
        <v>22</v>
      </c>
      <c r="G30" s="465" t="s">
        <v>4274</v>
      </c>
      <c r="H30" s="35" t="s">
        <v>22</v>
      </c>
      <c r="I30" s="31"/>
      <c r="J30" s="31"/>
      <c r="K30" s="11"/>
      <c r="L30" s="11"/>
      <c r="M30" s="15"/>
      <c r="N30" s="15"/>
      <c r="O30" s="15"/>
      <c r="P30" s="15"/>
      <c r="Q30" s="15"/>
      <c r="R30" s="15"/>
      <c r="S30" s="15"/>
      <c r="T30" s="15"/>
      <c r="U30" s="15"/>
      <c r="V30" s="15"/>
      <c r="W30" s="15"/>
      <c r="X30" s="15"/>
      <c r="Y30" s="15"/>
      <c r="Z30" s="15"/>
      <c r="AA30" s="15"/>
      <c r="AB30" s="15"/>
      <c r="AC30" s="15"/>
      <c r="AD30" s="15"/>
      <c r="AE30" s="15"/>
      <c r="AF30" s="15"/>
    </row>
    <row r="31" ht="16.5" customHeight="1">
      <c r="A31" s="32" t="s">
        <v>5</v>
      </c>
      <c r="B31" s="479"/>
      <c r="C31" s="479"/>
      <c r="D31" s="479"/>
      <c r="E31" s="8" t="s">
        <v>43</v>
      </c>
      <c r="F31" s="8" t="s">
        <v>855</v>
      </c>
      <c r="G31" s="34" t="s">
        <v>4275</v>
      </c>
      <c r="H31" s="35" t="s">
        <v>855</v>
      </c>
      <c r="I31" s="31"/>
      <c r="J31" s="31"/>
      <c r="K31" s="11"/>
      <c r="L31" s="11"/>
      <c r="M31" s="15"/>
      <c r="N31" s="15"/>
      <c r="O31" s="15"/>
      <c r="P31" s="15"/>
      <c r="Q31" s="15"/>
      <c r="R31" s="15"/>
      <c r="S31" s="15"/>
      <c r="T31" s="15"/>
      <c r="U31" s="15"/>
      <c r="V31" s="15"/>
      <c r="W31" s="15"/>
      <c r="X31" s="15"/>
      <c r="Y31" s="15"/>
      <c r="Z31" s="15"/>
      <c r="AA31" s="15"/>
      <c r="AB31" s="15"/>
      <c r="AC31" s="15"/>
      <c r="AD31" s="15"/>
      <c r="AE31" s="15"/>
      <c r="AF31" s="15"/>
    </row>
    <row r="32" ht="16.5" customHeight="1">
      <c r="A32" s="32" t="s">
        <v>5</v>
      </c>
      <c r="B32" s="479"/>
      <c r="C32" s="479"/>
      <c r="D32" s="479"/>
      <c r="E32" s="8" t="s">
        <v>610</v>
      </c>
      <c r="F32" s="8" t="s">
        <v>838</v>
      </c>
      <c r="G32" s="34" t="s">
        <v>4276</v>
      </c>
      <c r="H32" s="8" t="s">
        <v>838</v>
      </c>
      <c r="I32" s="31"/>
      <c r="J32" s="31"/>
      <c r="K32" s="11"/>
      <c r="L32" s="11"/>
      <c r="M32" s="15"/>
      <c r="N32" s="15"/>
      <c r="O32" s="15"/>
      <c r="P32" s="15"/>
      <c r="Q32" s="15"/>
      <c r="R32" s="15"/>
      <c r="S32" s="15"/>
      <c r="T32" s="15"/>
      <c r="U32" s="15"/>
      <c r="V32" s="15"/>
      <c r="W32" s="15"/>
      <c r="X32" s="15"/>
      <c r="Y32" s="15"/>
      <c r="Z32" s="15"/>
      <c r="AA32" s="15"/>
      <c r="AB32" s="15"/>
      <c r="AC32" s="15"/>
      <c r="AD32" s="15"/>
      <c r="AE32" s="15"/>
      <c r="AF32" s="15"/>
    </row>
    <row r="33" ht="16.5" customHeight="1">
      <c r="A33" s="32" t="s">
        <v>5</v>
      </c>
      <c r="B33" s="479"/>
      <c r="C33" s="479"/>
      <c r="D33" s="479"/>
      <c r="E33" s="8" t="s">
        <v>610</v>
      </c>
      <c r="F33" s="8" t="s">
        <v>836</v>
      </c>
      <c r="G33" s="34" t="s">
        <v>4277</v>
      </c>
      <c r="H33" s="8" t="s">
        <v>836</v>
      </c>
      <c r="I33" s="31"/>
      <c r="J33" s="9"/>
      <c r="K33" s="11"/>
      <c r="L33" s="11"/>
      <c r="M33" s="15"/>
      <c r="N33" s="15"/>
      <c r="O33" s="15"/>
      <c r="P33" s="15"/>
      <c r="Q33" s="15"/>
      <c r="R33" s="15"/>
      <c r="S33" s="15"/>
      <c r="T33" s="15"/>
      <c r="U33" s="15"/>
      <c r="V33" s="15"/>
      <c r="W33" s="15"/>
      <c r="X33" s="15"/>
      <c r="Y33" s="15"/>
      <c r="Z33" s="15"/>
      <c r="AA33" s="15"/>
      <c r="AB33" s="15"/>
      <c r="AC33" s="15"/>
      <c r="AD33" s="15"/>
      <c r="AE33" s="15"/>
      <c r="AF33" s="15"/>
    </row>
    <row r="34" ht="16.5" customHeight="1">
      <c r="A34" s="32" t="s">
        <v>5</v>
      </c>
      <c r="B34" s="479"/>
      <c r="C34" s="479"/>
      <c r="D34" s="479"/>
      <c r="E34" s="8" t="s">
        <v>610</v>
      </c>
      <c r="F34" s="8" t="s">
        <v>842</v>
      </c>
      <c r="G34" s="34" t="s">
        <v>4278</v>
      </c>
      <c r="H34" s="8" t="s">
        <v>842</v>
      </c>
      <c r="I34" s="9"/>
      <c r="J34" s="9"/>
      <c r="K34" s="11"/>
      <c r="L34" s="11"/>
      <c r="M34" s="15"/>
      <c r="N34" s="15"/>
      <c r="O34" s="15"/>
      <c r="P34" s="15"/>
      <c r="Q34" s="15"/>
      <c r="R34" s="15"/>
      <c r="S34" s="15"/>
      <c r="T34" s="15"/>
      <c r="U34" s="15"/>
      <c r="V34" s="15"/>
      <c r="W34" s="15"/>
      <c r="X34" s="15"/>
      <c r="Y34" s="15"/>
      <c r="Z34" s="15"/>
      <c r="AA34" s="15"/>
      <c r="AB34" s="15"/>
      <c r="AC34" s="15"/>
      <c r="AD34" s="15"/>
      <c r="AE34" s="15"/>
      <c r="AF34" s="15"/>
    </row>
    <row r="35" ht="16.5" customHeight="1">
      <c r="A35" s="32" t="s">
        <v>5</v>
      </c>
      <c r="B35" s="479"/>
      <c r="C35" s="479"/>
      <c r="D35" s="479"/>
      <c r="E35" s="8" t="s">
        <v>43</v>
      </c>
      <c r="F35" s="8" t="s">
        <v>53</v>
      </c>
      <c r="G35" s="34" t="s">
        <v>4279</v>
      </c>
      <c r="H35" s="8" t="s">
        <v>53</v>
      </c>
      <c r="I35" s="9"/>
      <c r="J35" s="9"/>
      <c r="K35" s="11"/>
      <c r="L35" s="11"/>
      <c r="M35" s="15"/>
      <c r="N35" s="15"/>
      <c r="O35" s="15"/>
      <c r="P35" s="15"/>
      <c r="Q35" s="15"/>
      <c r="R35" s="15"/>
      <c r="S35" s="15"/>
      <c r="T35" s="15"/>
      <c r="U35" s="15"/>
      <c r="V35" s="15"/>
      <c r="W35" s="15"/>
      <c r="X35" s="15"/>
      <c r="Y35" s="15"/>
      <c r="Z35" s="15"/>
      <c r="AA35" s="15"/>
      <c r="AB35" s="15"/>
      <c r="AC35" s="15"/>
      <c r="AD35" s="15"/>
      <c r="AE35" s="15"/>
      <c r="AF35" s="15"/>
    </row>
    <row r="36" ht="16.5" customHeight="1">
      <c r="A36" s="32" t="s">
        <v>5</v>
      </c>
      <c r="B36" s="479"/>
      <c r="C36" s="479"/>
      <c r="D36" s="479"/>
      <c r="E36" s="8" t="s">
        <v>88</v>
      </c>
      <c r="F36" s="8" t="s">
        <v>95</v>
      </c>
      <c r="G36" s="34" t="s">
        <v>4280</v>
      </c>
      <c r="H36" s="8" t="s">
        <v>95</v>
      </c>
      <c r="I36" s="9"/>
      <c r="J36" s="9"/>
      <c r="K36" s="11"/>
      <c r="L36" s="11"/>
      <c r="M36" s="15"/>
      <c r="N36" s="15"/>
      <c r="O36" s="15"/>
      <c r="P36" s="15"/>
      <c r="Q36" s="15"/>
      <c r="R36" s="15"/>
      <c r="S36" s="15"/>
      <c r="T36" s="15"/>
      <c r="U36" s="15"/>
      <c r="V36" s="15"/>
      <c r="W36" s="15"/>
      <c r="X36" s="15"/>
      <c r="Y36" s="15"/>
      <c r="Z36" s="15"/>
      <c r="AA36" s="15"/>
      <c r="AB36" s="15"/>
      <c r="AC36" s="15"/>
      <c r="AD36" s="15"/>
      <c r="AE36" s="15"/>
      <c r="AF36" s="15"/>
    </row>
    <row r="37" ht="16.5" customHeight="1">
      <c r="A37" s="32" t="s">
        <v>5</v>
      </c>
      <c r="B37" s="479"/>
      <c r="C37" s="479"/>
      <c r="D37" s="479"/>
      <c r="E37" s="8" t="s">
        <v>88</v>
      </c>
      <c r="F37" s="8" t="s">
        <v>96</v>
      </c>
      <c r="G37" s="34" t="s">
        <v>4281</v>
      </c>
      <c r="H37" s="8" t="s">
        <v>96</v>
      </c>
      <c r="I37" s="9"/>
      <c r="J37" s="9"/>
      <c r="K37" s="11"/>
      <c r="L37" s="11"/>
      <c r="M37" s="15"/>
      <c r="N37" s="15"/>
      <c r="O37" s="15"/>
      <c r="P37" s="15"/>
      <c r="Q37" s="15"/>
      <c r="R37" s="15"/>
      <c r="S37" s="15"/>
      <c r="T37" s="15"/>
      <c r="U37" s="15"/>
      <c r="V37" s="15"/>
      <c r="W37" s="15"/>
      <c r="X37" s="15"/>
      <c r="Y37" s="15"/>
      <c r="Z37" s="15"/>
      <c r="AA37" s="15"/>
      <c r="AB37" s="15"/>
      <c r="AC37" s="15"/>
      <c r="AD37" s="15"/>
      <c r="AE37" s="15"/>
      <c r="AF37" s="15"/>
    </row>
    <row r="38" ht="16.5" customHeight="1">
      <c r="A38" s="32" t="s">
        <v>5</v>
      </c>
      <c r="B38" s="480"/>
      <c r="C38" s="480"/>
      <c r="D38" s="480"/>
      <c r="E38" s="8" t="s">
        <v>104</v>
      </c>
      <c r="F38" s="8" t="s">
        <v>250</v>
      </c>
      <c r="G38" s="34" t="s">
        <v>4282</v>
      </c>
      <c r="H38" s="8" t="s">
        <v>250</v>
      </c>
      <c r="I38" s="9"/>
      <c r="J38" s="9"/>
      <c r="K38" s="11"/>
      <c r="L38" s="11"/>
      <c r="M38" s="15"/>
      <c r="N38" s="15"/>
      <c r="O38" s="15"/>
      <c r="P38" s="15"/>
      <c r="Q38" s="15"/>
      <c r="R38" s="15"/>
      <c r="S38" s="15"/>
      <c r="T38" s="15"/>
      <c r="U38" s="15"/>
      <c r="V38" s="15"/>
      <c r="W38" s="15"/>
      <c r="X38" s="15"/>
      <c r="Y38" s="15"/>
      <c r="Z38" s="15"/>
      <c r="AA38" s="15"/>
      <c r="AB38" s="15"/>
      <c r="AC38" s="15"/>
      <c r="AD38" s="15"/>
      <c r="AE38" s="15"/>
      <c r="AF38" s="15"/>
    </row>
    <row r="39" ht="16.5" customHeight="1">
      <c r="A39" s="32" t="s">
        <v>5</v>
      </c>
      <c r="B39" s="8" t="s">
        <v>4283</v>
      </c>
      <c r="C39" s="436" t="s">
        <v>4284</v>
      </c>
      <c r="D39" s="8" t="s">
        <v>20</v>
      </c>
      <c r="E39" s="8" t="s">
        <v>21</v>
      </c>
      <c r="F39" s="8" t="s">
        <v>22</v>
      </c>
      <c r="G39" s="34" t="s">
        <v>4285</v>
      </c>
      <c r="H39" s="35" t="s">
        <v>22</v>
      </c>
      <c r="I39" s="9"/>
      <c r="J39" s="9"/>
      <c r="K39" s="11"/>
      <c r="L39" s="11"/>
      <c r="M39" s="15"/>
      <c r="N39" s="15"/>
      <c r="O39" s="15"/>
      <c r="P39" s="15"/>
      <c r="Q39" s="15"/>
      <c r="R39" s="15"/>
      <c r="S39" s="15"/>
      <c r="T39" s="15"/>
      <c r="U39" s="15"/>
      <c r="V39" s="15"/>
      <c r="W39" s="15"/>
      <c r="X39" s="15"/>
      <c r="Y39" s="15"/>
      <c r="Z39" s="15"/>
      <c r="AA39" s="15"/>
      <c r="AB39" s="15"/>
      <c r="AC39" s="15"/>
      <c r="AD39" s="15"/>
      <c r="AE39" s="15"/>
      <c r="AF39" s="15"/>
    </row>
    <row r="40" ht="16.5" customHeight="1">
      <c r="A40" s="32" t="s">
        <v>5</v>
      </c>
      <c r="E40" s="8" t="s">
        <v>43</v>
      </c>
      <c r="F40" s="8" t="s">
        <v>855</v>
      </c>
      <c r="G40" s="34" t="s">
        <v>4286</v>
      </c>
      <c r="H40" s="35" t="s">
        <v>855</v>
      </c>
      <c r="I40" s="9"/>
      <c r="J40" s="9"/>
      <c r="K40" s="11"/>
      <c r="L40" s="11"/>
      <c r="M40" s="15"/>
      <c r="N40" s="15"/>
      <c r="O40" s="15"/>
      <c r="P40" s="15"/>
      <c r="Q40" s="15"/>
      <c r="R40" s="15"/>
      <c r="S40" s="15"/>
      <c r="T40" s="15"/>
      <c r="U40" s="15"/>
      <c r="V40" s="15"/>
      <c r="W40" s="15"/>
      <c r="X40" s="15"/>
      <c r="Y40" s="15"/>
      <c r="Z40" s="15"/>
      <c r="AA40" s="15"/>
      <c r="AB40" s="15"/>
      <c r="AC40" s="15"/>
      <c r="AD40" s="15"/>
      <c r="AE40" s="15"/>
      <c r="AF40" s="15"/>
    </row>
    <row r="41" ht="16.5" customHeight="1">
      <c r="A41" s="32" t="s">
        <v>5</v>
      </c>
      <c r="E41" s="8" t="s">
        <v>610</v>
      </c>
      <c r="F41" s="8" t="s">
        <v>838</v>
      </c>
      <c r="G41" s="34" t="s">
        <v>4287</v>
      </c>
      <c r="H41" s="35" t="s">
        <v>838</v>
      </c>
      <c r="I41" s="9"/>
      <c r="J41" s="9"/>
      <c r="K41" s="11"/>
      <c r="L41" s="11"/>
      <c r="M41" s="15"/>
      <c r="N41" s="15"/>
      <c r="O41" s="15"/>
      <c r="P41" s="15"/>
      <c r="Q41" s="15"/>
      <c r="R41" s="15"/>
      <c r="S41" s="15"/>
      <c r="T41" s="15"/>
      <c r="U41" s="15"/>
      <c r="V41" s="15"/>
      <c r="W41" s="15"/>
      <c r="X41" s="15"/>
      <c r="Y41" s="15"/>
      <c r="Z41" s="15"/>
      <c r="AA41" s="15"/>
      <c r="AB41" s="15"/>
      <c r="AC41" s="15"/>
      <c r="AD41" s="15"/>
      <c r="AE41" s="15"/>
      <c r="AF41" s="15"/>
    </row>
    <row r="42" ht="16.5" customHeight="1">
      <c r="A42" s="32" t="s">
        <v>5</v>
      </c>
      <c r="E42" s="8" t="s">
        <v>610</v>
      </c>
      <c r="F42" s="8" t="s">
        <v>836</v>
      </c>
      <c r="G42" s="34" t="s">
        <v>4288</v>
      </c>
      <c r="H42" s="35" t="s">
        <v>836</v>
      </c>
      <c r="I42" s="9"/>
      <c r="J42" s="9"/>
      <c r="K42" s="11"/>
      <c r="L42" s="11"/>
      <c r="M42" s="15"/>
      <c r="N42" s="15"/>
      <c r="O42" s="15"/>
      <c r="P42" s="15"/>
      <c r="Q42" s="15"/>
      <c r="R42" s="15"/>
      <c r="S42" s="15"/>
      <c r="T42" s="15"/>
      <c r="U42" s="15"/>
      <c r="V42" s="15"/>
      <c r="W42" s="15"/>
      <c r="X42" s="15"/>
      <c r="Y42" s="15"/>
      <c r="Z42" s="15"/>
      <c r="AA42" s="15"/>
      <c r="AB42" s="15"/>
      <c r="AC42" s="15"/>
      <c r="AD42" s="15"/>
      <c r="AE42" s="15"/>
      <c r="AF42" s="15"/>
    </row>
    <row r="43" ht="16.5" customHeight="1">
      <c r="A43" s="32" t="s">
        <v>5</v>
      </c>
      <c r="E43" s="8" t="s">
        <v>610</v>
      </c>
      <c r="F43" s="8" t="s">
        <v>842</v>
      </c>
      <c r="G43" s="34" t="s">
        <v>4289</v>
      </c>
      <c r="H43" s="35" t="s">
        <v>842</v>
      </c>
      <c r="I43" s="9"/>
      <c r="J43" s="9"/>
      <c r="K43" s="11"/>
      <c r="L43" s="11"/>
      <c r="M43" s="15"/>
      <c r="N43" s="15"/>
      <c r="O43" s="15"/>
      <c r="P43" s="15"/>
      <c r="Q43" s="15"/>
      <c r="R43" s="15"/>
      <c r="S43" s="15"/>
      <c r="T43" s="15"/>
      <c r="U43" s="15"/>
      <c r="V43" s="15"/>
      <c r="W43" s="15"/>
      <c r="X43" s="15"/>
      <c r="Y43" s="15"/>
      <c r="Z43" s="15"/>
      <c r="AA43" s="15"/>
      <c r="AB43" s="15"/>
      <c r="AC43" s="15"/>
      <c r="AD43" s="15"/>
      <c r="AE43" s="15"/>
      <c r="AF43" s="15"/>
    </row>
    <row r="44" ht="16.5" customHeight="1">
      <c r="A44" s="32" t="s">
        <v>5</v>
      </c>
      <c r="E44" s="8" t="s">
        <v>43</v>
      </c>
      <c r="F44" s="8" t="s">
        <v>53</v>
      </c>
      <c r="G44" s="34" t="s">
        <v>4290</v>
      </c>
      <c r="H44" s="35" t="s">
        <v>53</v>
      </c>
      <c r="I44" s="9"/>
      <c r="J44" s="9"/>
      <c r="K44" s="11"/>
      <c r="L44" s="11"/>
      <c r="M44" s="15"/>
      <c r="N44" s="15"/>
      <c r="O44" s="15"/>
      <c r="P44" s="15"/>
      <c r="Q44" s="15"/>
      <c r="R44" s="15"/>
      <c r="S44" s="15"/>
      <c r="T44" s="15"/>
      <c r="U44" s="15"/>
      <c r="V44" s="15"/>
      <c r="W44" s="15"/>
      <c r="X44" s="15"/>
      <c r="Y44" s="15"/>
      <c r="Z44" s="15"/>
      <c r="AA44" s="15"/>
      <c r="AB44" s="15"/>
      <c r="AC44" s="15"/>
      <c r="AD44" s="15"/>
      <c r="AE44" s="15"/>
      <c r="AF44" s="15"/>
    </row>
    <row r="45" ht="16.5" customHeight="1">
      <c r="A45" s="32" t="s">
        <v>5</v>
      </c>
      <c r="E45" s="8" t="s">
        <v>88</v>
      </c>
      <c r="F45" s="8" t="s">
        <v>95</v>
      </c>
      <c r="G45" s="34" t="s">
        <v>4291</v>
      </c>
      <c r="H45" s="35" t="s">
        <v>95</v>
      </c>
      <c r="I45" s="9"/>
      <c r="J45" s="9"/>
      <c r="K45" s="11"/>
      <c r="L45" s="11"/>
      <c r="M45" s="15"/>
      <c r="N45" s="15"/>
      <c r="O45" s="15"/>
      <c r="P45" s="15"/>
      <c r="Q45" s="15"/>
      <c r="R45" s="15"/>
      <c r="S45" s="15"/>
      <c r="T45" s="15"/>
      <c r="U45" s="15"/>
      <c r="V45" s="15"/>
      <c r="W45" s="15"/>
      <c r="X45" s="15"/>
      <c r="Y45" s="15"/>
      <c r="Z45" s="15"/>
      <c r="AA45" s="15"/>
      <c r="AB45" s="15"/>
      <c r="AC45" s="15"/>
      <c r="AD45" s="15"/>
      <c r="AE45" s="15"/>
      <c r="AF45" s="15"/>
    </row>
    <row r="46" ht="16.5" customHeight="1">
      <c r="A46" s="32" t="s">
        <v>5</v>
      </c>
      <c r="E46" s="8" t="s">
        <v>88</v>
      </c>
      <c r="F46" s="8" t="s">
        <v>96</v>
      </c>
      <c r="G46" s="34" t="s">
        <v>4292</v>
      </c>
      <c r="H46" s="35" t="s">
        <v>96</v>
      </c>
      <c r="I46" s="9"/>
      <c r="J46" s="9"/>
      <c r="K46" s="11"/>
      <c r="L46" s="11"/>
      <c r="M46" s="15"/>
      <c r="N46" s="15"/>
      <c r="O46" s="15"/>
      <c r="P46" s="15"/>
      <c r="Q46" s="15"/>
      <c r="R46" s="15"/>
      <c r="S46" s="15"/>
      <c r="T46" s="15"/>
      <c r="U46" s="15"/>
      <c r="V46" s="15"/>
      <c r="W46" s="15"/>
      <c r="X46" s="15"/>
      <c r="Y46" s="15"/>
      <c r="Z46" s="15"/>
      <c r="AA46" s="15"/>
      <c r="AB46" s="15"/>
      <c r="AC46" s="15"/>
      <c r="AD46" s="15"/>
      <c r="AE46" s="15"/>
      <c r="AF46" s="15"/>
    </row>
    <row r="47" ht="16.5" customHeight="1">
      <c r="A47" s="32" t="s">
        <v>5</v>
      </c>
      <c r="E47" s="8" t="s">
        <v>104</v>
      </c>
      <c r="F47" s="8" t="s">
        <v>250</v>
      </c>
      <c r="G47" s="34" t="s">
        <v>4293</v>
      </c>
      <c r="H47" s="35" t="s">
        <v>250</v>
      </c>
      <c r="I47" s="31"/>
      <c r="J47" s="9"/>
      <c r="K47" s="11"/>
      <c r="L47" s="11"/>
      <c r="M47" s="15"/>
      <c r="N47" s="15"/>
      <c r="O47" s="15"/>
      <c r="P47" s="15"/>
      <c r="Q47" s="15"/>
      <c r="R47" s="15"/>
      <c r="S47" s="15"/>
      <c r="T47" s="15"/>
      <c r="U47" s="15"/>
      <c r="V47" s="15"/>
      <c r="W47" s="15"/>
      <c r="X47" s="15"/>
      <c r="Y47" s="15"/>
      <c r="Z47" s="15"/>
      <c r="AA47" s="15"/>
      <c r="AB47" s="15"/>
      <c r="AC47" s="15"/>
      <c r="AD47" s="15"/>
      <c r="AE47" s="15"/>
      <c r="AF47" s="15"/>
    </row>
    <row r="48" ht="16.5" customHeight="1">
      <c r="A48" s="32" t="s">
        <v>5</v>
      </c>
      <c r="B48" s="8" t="s">
        <v>4294</v>
      </c>
      <c r="C48" s="436" t="s">
        <v>4295</v>
      </c>
      <c r="D48" s="8" t="s">
        <v>20</v>
      </c>
      <c r="E48" s="8" t="s">
        <v>21</v>
      </c>
      <c r="F48" s="8" t="s">
        <v>22</v>
      </c>
      <c r="G48" s="34" t="s">
        <v>4296</v>
      </c>
      <c r="H48" s="35" t="s">
        <v>22</v>
      </c>
      <c r="I48" s="31"/>
      <c r="J48" s="9"/>
      <c r="K48" s="11"/>
      <c r="L48" s="11"/>
      <c r="M48" s="15"/>
      <c r="N48" s="15"/>
      <c r="O48" s="15"/>
      <c r="P48" s="15"/>
      <c r="Q48" s="15"/>
      <c r="R48" s="15"/>
      <c r="S48" s="15"/>
      <c r="T48" s="15"/>
      <c r="U48" s="15"/>
      <c r="V48" s="15"/>
      <c r="W48" s="15"/>
      <c r="X48" s="15"/>
      <c r="Y48" s="15"/>
      <c r="Z48" s="15"/>
      <c r="AA48" s="15"/>
      <c r="AB48" s="15"/>
      <c r="AC48" s="15"/>
      <c r="AD48" s="15"/>
      <c r="AE48" s="15"/>
      <c r="AF48" s="15"/>
    </row>
    <row r="49" ht="16.5" customHeight="1">
      <c r="A49" s="32" t="s">
        <v>5</v>
      </c>
      <c r="E49" s="8" t="s">
        <v>43</v>
      </c>
      <c r="F49" s="8" t="s">
        <v>855</v>
      </c>
      <c r="G49" s="34" t="s">
        <v>4297</v>
      </c>
      <c r="H49" s="35" t="s">
        <v>855</v>
      </c>
      <c r="I49" s="9"/>
      <c r="J49" s="9"/>
      <c r="K49" s="11"/>
      <c r="L49" s="11"/>
      <c r="M49" s="15"/>
      <c r="N49" s="15"/>
      <c r="O49" s="15"/>
      <c r="P49" s="15"/>
      <c r="Q49" s="15"/>
      <c r="R49" s="15"/>
      <c r="S49" s="15"/>
      <c r="T49" s="15"/>
      <c r="U49" s="15"/>
      <c r="V49" s="15"/>
      <c r="W49" s="15"/>
      <c r="X49" s="15"/>
      <c r="Y49" s="15"/>
      <c r="Z49" s="15"/>
      <c r="AA49" s="15"/>
      <c r="AB49" s="15"/>
      <c r="AC49" s="15"/>
      <c r="AD49" s="15"/>
      <c r="AE49" s="15"/>
      <c r="AF49" s="15"/>
    </row>
    <row r="50" ht="16.5" customHeight="1">
      <c r="A50" s="32" t="s">
        <v>5</v>
      </c>
      <c r="E50" s="8" t="s">
        <v>610</v>
      </c>
      <c r="F50" s="8" t="s">
        <v>836</v>
      </c>
      <c r="G50" s="34" t="s">
        <v>4298</v>
      </c>
      <c r="H50" s="35" t="s">
        <v>836</v>
      </c>
      <c r="I50" s="9"/>
      <c r="J50" s="9"/>
      <c r="K50" s="11"/>
      <c r="L50" s="11"/>
      <c r="M50" s="15"/>
      <c r="N50" s="15"/>
      <c r="O50" s="15"/>
      <c r="P50" s="15"/>
      <c r="Q50" s="15"/>
      <c r="R50" s="15"/>
      <c r="S50" s="15"/>
      <c r="T50" s="15"/>
      <c r="U50" s="15"/>
      <c r="V50" s="15"/>
      <c r="W50" s="15"/>
      <c r="X50" s="15"/>
      <c r="Y50" s="15"/>
      <c r="Z50" s="15"/>
      <c r="AA50" s="15"/>
      <c r="AB50" s="15"/>
      <c r="AC50" s="15"/>
      <c r="AD50" s="15"/>
      <c r="AE50" s="15"/>
      <c r="AF50" s="15"/>
    </row>
    <row r="51" ht="16.5" customHeight="1">
      <c r="A51" s="32" t="s">
        <v>5</v>
      </c>
      <c r="E51" s="8" t="s">
        <v>610</v>
      </c>
      <c r="F51" s="8" t="s">
        <v>842</v>
      </c>
      <c r="G51" s="34" t="s">
        <v>4299</v>
      </c>
      <c r="H51" s="35" t="s">
        <v>842</v>
      </c>
      <c r="I51" s="9"/>
      <c r="J51" s="9"/>
      <c r="K51" s="11"/>
      <c r="L51" s="11"/>
      <c r="M51" s="15"/>
      <c r="N51" s="15"/>
      <c r="O51" s="15"/>
      <c r="P51" s="15"/>
      <c r="Q51" s="15"/>
      <c r="R51" s="15"/>
      <c r="S51" s="15"/>
      <c r="T51" s="15"/>
      <c r="U51" s="15"/>
      <c r="V51" s="15"/>
      <c r="W51" s="15"/>
      <c r="X51" s="15"/>
      <c r="Y51" s="15"/>
      <c r="Z51" s="15"/>
      <c r="AA51" s="15"/>
      <c r="AB51" s="15"/>
      <c r="AC51" s="15"/>
      <c r="AD51" s="15"/>
      <c r="AE51" s="15"/>
      <c r="AF51" s="15"/>
    </row>
    <row r="52" ht="16.5" customHeight="1">
      <c r="A52" s="32" t="s">
        <v>5</v>
      </c>
      <c r="E52" s="8" t="s">
        <v>88</v>
      </c>
      <c r="F52" s="8" t="s">
        <v>95</v>
      </c>
      <c r="G52" s="34" t="s">
        <v>4300</v>
      </c>
      <c r="H52" s="35" t="s">
        <v>95</v>
      </c>
      <c r="I52" s="9"/>
      <c r="J52" s="9"/>
      <c r="K52" s="11"/>
      <c r="L52" s="11"/>
      <c r="M52" s="15"/>
      <c r="N52" s="15"/>
      <c r="O52" s="15"/>
      <c r="P52" s="15"/>
      <c r="Q52" s="15"/>
      <c r="R52" s="15"/>
      <c r="S52" s="15"/>
      <c r="T52" s="15"/>
      <c r="U52" s="15"/>
      <c r="V52" s="15"/>
      <c r="W52" s="15"/>
      <c r="X52" s="15"/>
      <c r="Y52" s="15"/>
      <c r="Z52" s="15"/>
      <c r="AA52" s="15"/>
      <c r="AB52" s="15"/>
      <c r="AC52" s="15"/>
      <c r="AD52" s="15"/>
      <c r="AE52" s="15"/>
      <c r="AF52" s="15"/>
    </row>
    <row r="53" ht="16.5" customHeight="1">
      <c r="A53" s="32" t="s">
        <v>5</v>
      </c>
      <c r="E53" s="8" t="s">
        <v>88</v>
      </c>
      <c r="F53" s="8" t="s">
        <v>96</v>
      </c>
      <c r="G53" s="34" t="s">
        <v>4301</v>
      </c>
      <c r="H53" s="35" t="s">
        <v>96</v>
      </c>
      <c r="I53" s="9"/>
      <c r="J53" s="9"/>
      <c r="K53" s="11"/>
      <c r="L53" s="11"/>
      <c r="M53" s="15"/>
      <c r="N53" s="15"/>
      <c r="O53" s="15"/>
      <c r="P53" s="15"/>
      <c r="Q53" s="15"/>
      <c r="R53" s="15"/>
      <c r="S53" s="15"/>
      <c r="T53" s="15"/>
      <c r="U53" s="15"/>
      <c r="V53" s="15"/>
      <c r="W53" s="15"/>
      <c r="X53" s="15"/>
      <c r="Y53" s="15"/>
      <c r="Z53" s="15"/>
      <c r="AA53" s="15"/>
      <c r="AB53" s="15"/>
      <c r="AC53" s="15"/>
      <c r="AD53" s="15"/>
      <c r="AE53" s="15"/>
      <c r="AF53" s="15"/>
    </row>
    <row r="54" ht="16.5" customHeight="1">
      <c r="A54" s="32" t="s">
        <v>5</v>
      </c>
      <c r="E54" s="8" t="s">
        <v>104</v>
      </c>
      <c r="F54" s="8" t="s">
        <v>250</v>
      </c>
      <c r="G54" s="34" t="s">
        <v>4302</v>
      </c>
      <c r="H54" s="35" t="s">
        <v>250</v>
      </c>
      <c r="I54" s="31"/>
      <c r="J54" s="9"/>
      <c r="K54" s="11"/>
      <c r="L54" s="11"/>
      <c r="M54" s="15"/>
      <c r="N54" s="15"/>
      <c r="O54" s="15"/>
      <c r="P54" s="15"/>
      <c r="Q54" s="15"/>
      <c r="R54" s="15"/>
      <c r="S54" s="15"/>
      <c r="T54" s="15"/>
      <c r="U54" s="15"/>
      <c r="V54" s="15"/>
      <c r="W54" s="15"/>
      <c r="X54" s="15"/>
      <c r="Y54" s="15"/>
      <c r="Z54" s="15"/>
      <c r="AA54" s="15"/>
      <c r="AB54" s="15"/>
      <c r="AC54" s="15"/>
      <c r="AD54" s="15"/>
      <c r="AE54" s="15"/>
      <c r="AF54" s="15"/>
    </row>
    <row r="55" ht="16.5" customHeight="1">
      <c r="A55" s="32" t="s">
        <v>5</v>
      </c>
      <c r="B55" s="8" t="s">
        <v>4303</v>
      </c>
      <c r="C55" s="436" t="s">
        <v>4304</v>
      </c>
      <c r="D55" s="8" t="s">
        <v>20</v>
      </c>
      <c r="E55" s="8" t="s">
        <v>21</v>
      </c>
      <c r="F55" s="8" t="s">
        <v>22</v>
      </c>
      <c r="G55" s="34" t="s">
        <v>4305</v>
      </c>
      <c r="H55" s="35" t="s">
        <v>22</v>
      </c>
      <c r="I55" s="31"/>
      <c r="J55" s="9"/>
      <c r="K55" s="11"/>
      <c r="L55" s="11"/>
      <c r="M55" s="15"/>
      <c r="N55" s="15"/>
      <c r="O55" s="15"/>
      <c r="P55" s="15"/>
      <c r="Q55" s="15"/>
      <c r="R55" s="15"/>
      <c r="S55" s="15"/>
      <c r="T55" s="15"/>
      <c r="U55" s="15"/>
      <c r="V55" s="15"/>
      <c r="W55" s="15"/>
      <c r="X55" s="15"/>
      <c r="Y55" s="15"/>
      <c r="Z55" s="15"/>
      <c r="AA55" s="15"/>
      <c r="AB55" s="15"/>
      <c r="AC55" s="15"/>
      <c r="AD55" s="15"/>
      <c r="AE55" s="15"/>
      <c r="AF55" s="15"/>
    </row>
    <row r="56" ht="16.5" customHeight="1">
      <c r="A56" s="32" t="s">
        <v>5</v>
      </c>
      <c r="E56" s="8" t="s">
        <v>43</v>
      </c>
      <c r="F56" s="8" t="s">
        <v>855</v>
      </c>
      <c r="G56" s="34" t="s">
        <v>4306</v>
      </c>
      <c r="H56" s="35" t="s">
        <v>855</v>
      </c>
      <c r="I56" s="9"/>
      <c r="J56" s="9"/>
      <c r="K56" s="11"/>
      <c r="L56" s="11"/>
      <c r="M56" s="15"/>
      <c r="N56" s="15"/>
      <c r="O56" s="15"/>
      <c r="P56" s="15"/>
      <c r="Q56" s="15"/>
      <c r="R56" s="15"/>
      <c r="S56" s="15"/>
      <c r="T56" s="15"/>
      <c r="U56" s="15"/>
      <c r="V56" s="15"/>
      <c r="W56" s="15"/>
      <c r="X56" s="15"/>
      <c r="Y56" s="15"/>
      <c r="Z56" s="15"/>
      <c r="AA56" s="15"/>
      <c r="AB56" s="15"/>
      <c r="AC56" s="15"/>
      <c r="AD56" s="15"/>
      <c r="AE56" s="15"/>
      <c r="AF56" s="15"/>
    </row>
    <row r="57" ht="16.5" customHeight="1">
      <c r="A57" s="32" t="s">
        <v>5</v>
      </c>
      <c r="E57" s="8" t="s">
        <v>610</v>
      </c>
      <c r="F57" s="8" t="s">
        <v>838</v>
      </c>
      <c r="G57" s="34" t="s">
        <v>4307</v>
      </c>
      <c r="H57" s="35" t="s">
        <v>838</v>
      </c>
      <c r="I57" s="9"/>
      <c r="J57" s="9"/>
      <c r="K57" s="11"/>
      <c r="L57" s="11"/>
      <c r="M57" s="15"/>
      <c r="N57" s="15"/>
      <c r="O57" s="15"/>
      <c r="P57" s="15"/>
      <c r="Q57" s="15"/>
      <c r="R57" s="15"/>
      <c r="S57" s="15"/>
      <c r="T57" s="15"/>
      <c r="U57" s="15"/>
      <c r="V57" s="15"/>
      <c r="W57" s="15"/>
      <c r="X57" s="15"/>
      <c r="Y57" s="15"/>
      <c r="Z57" s="15"/>
      <c r="AA57" s="15"/>
      <c r="AB57" s="15"/>
      <c r="AC57" s="15"/>
      <c r="AD57" s="15"/>
      <c r="AE57" s="15"/>
      <c r="AF57" s="15"/>
    </row>
    <row r="58" ht="16.5" customHeight="1">
      <c r="A58" s="32" t="s">
        <v>5</v>
      </c>
      <c r="E58" s="8" t="s">
        <v>610</v>
      </c>
      <c r="F58" s="8" t="s">
        <v>836</v>
      </c>
      <c r="G58" s="34" t="s">
        <v>4308</v>
      </c>
      <c r="H58" s="35" t="s">
        <v>836</v>
      </c>
      <c r="I58" s="9"/>
      <c r="J58" s="9"/>
      <c r="K58" s="11"/>
      <c r="L58" s="11"/>
      <c r="M58" s="15"/>
      <c r="N58" s="15"/>
      <c r="O58" s="15"/>
      <c r="P58" s="15"/>
      <c r="Q58" s="15"/>
      <c r="R58" s="15"/>
      <c r="S58" s="15"/>
      <c r="T58" s="15"/>
      <c r="U58" s="15"/>
      <c r="V58" s="15"/>
      <c r="W58" s="15"/>
      <c r="X58" s="15"/>
      <c r="Y58" s="15"/>
      <c r="Z58" s="15"/>
      <c r="AA58" s="15"/>
      <c r="AB58" s="15"/>
      <c r="AC58" s="15"/>
      <c r="AD58" s="15"/>
      <c r="AE58" s="15"/>
      <c r="AF58" s="15"/>
    </row>
    <row r="59" ht="16.5" customHeight="1">
      <c r="A59" s="32" t="s">
        <v>5</v>
      </c>
      <c r="E59" s="8" t="s">
        <v>610</v>
      </c>
      <c r="F59" s="8" t="s">
        <v>842</v>
      </c>
      <c r="G59" s="34" t="s">
        <v>4309</v>
      </c>
      <c r="H59" s="35" t="s">
        <v>842</v>
      </c>
      <c r="I59" s="9"/>
      <c r="J59" s="9"/>
      <c r="K59" s="11"/>
      <c r="L59" s="11"/>
      <c r="M59" s="15"/>
      <c r="N59" s="15"/>
      <c r="O59" s="15"/>
      <c r="P59" s="15"/>
      <c r="Q59" s="15"/>
      <c r="R59" s="15"/>
      <c r="S59" s="15"/>
      <c r="T59" s="15"/>
      <c r="U59" s="15"/>
      <c r="V59" s="15"/>
      <c r="W59" s="15"/>
      <c r="X59" s="15"/>
      <c r="Y59" s="15"/>
      <c r="Z59" s="15"/>
      <c r="AA59" s="15"/>
      <c r="AB59" s="15"/>
      <c r="AC59" s="15"/>
      <c r="AD59" s="15"/>
      <c r="AE59" s="15"/>
      <c r="AF59" s="15"/>
    </row>
    <row r="60" ht="16.5" customHeight="1">
      <c r="A60" s="32" t="s">
        <v>5</v>
      </c>
      <c r="E60" s="8" t="s">
        <v>43</v>
      </c>
      <c r="F60" s="8" t="s">
        <v>53</v>
      </c>
      <c r="G60" s="34" t="s">
        <v>4310</v>
      </c>
      <c r="H60" s="35" t="s">
        <v>53</v>
      </c>
      <c r="I60" s="9"/>
      <c r="J60" s="9"/>
      <c r="K60" s="11"/>
      <c r="L60" s="11"/>
      <c r="M60" s="15"/>
      <c r="N60" s="15"/>
      <c r="O60" s="15"/>
      <c r="P60" s="15"/>
      <c r="Q60" s="15"/>
      <c r="R60" s="15"/>
      <c r="S60" s="15"/>
      <c r="T60" s="15"/>
      <c r="U60" s="15"/>
      <c r="V60" s="15"/>
      <c r="W60" s="15"/>
      <c r="X60" s="15"/>
      <c r="Y60" s="15"/>
      <c r="Z60" s="15"/>
      <c r="AA60" s="15"/>
      <c r="AB60" s="15"/>
      <c r="AC60" s="15"/>
      <c r="AD60" s="15"/>
      <c r="AE60" s="15"/>
      <c r="AF60" s="15"/>
    </row>
    <row r="61" ht="16.5" customHeight="1">
      <c r="A61" s="32" t="s">
        <v>5</v>
      </c>
      <c r="E61" s="8" t="s">
        <v>88</v>
      </c>
      <c r="F61" s="8" t="s">
        <v>95</v>
      </c>
      <c r="G61" s="34" t="s">
        <v>4311</v>
      </c>
      <c r="H61" s="35" t="s">
        <v>95</v>
      </c>
      <c r="I61" s="9"/>
      <c r="J61" s="9"/>
      <c r="K61" s="11"/>
      <c r="L61" s="11"/>
      <c r="M61" s="15"/>
      <c r="N61" s="15"/>
      <c r="O61" s="15"/>
      <c r="P61" s="15"/>
      <c r="Q61" s="15"/>
      <c r="R61" s="15"/>
      <c r="S61" s="15"/>
      <c r="T61" s="15"/>
      <c r="U61" s="15"/>
      <c r="V61" s="15"/>
      <c r="W61" s="15"/>
      <c r="X61" s="15"/>
      <c r="Y61" s="15"/>
      <c r="Z61" s="15"/>
      <c r="AA61" s="15"/>
      <c r="AB61" s="15"/>
      <c r="AC61" s="15"/>
      <c r="AD61" s="15"/>
      <c r="AE61" s="15"/>
      <c r="AF61" s="15"/>
    </row>
    <row r="62" ht="16.5" customHeight="1">
      <c r="A62" s="32" t="s">
        <v>5</v>
      </c>
      <c r="E62" s="8" t="s">
        <v>88</v>
      </c>
      <c r="F62" s="8" t="s">
        <v>96</v>
      </c>
      <c r="G62" s="34" t="s">
        <v>4312</v>
      </c>
      <c r="H62" s="35" t="s">
        <v>96</v>
      </c>
      <c r="I62" s="31"/>
      <c r="J62" s="9"/>
      <c r="K62" s="11"/>
      <c r="L62" s="11"/>
      <c r="M62" s="15"/>
      <c r="N62" s="15"/>
      <c r="O62" s="15"/>
      <c r="P62" s="15"/>
      <c r="Q62" s="15"/>
      <c r="R62" s="15"/>
      <c r="S62" s="15"/>
      <c r="T62" s="15"/>
      <c r="U62" s="15"/>
      <c r="V62" s="15"/>
      <c r="W62" s="15"/>
      <c r="X62" s="15"/>
      <c r="Y62" s="15"/>
      <c r="Z62" s="15"/>
      <c r="AA62" s="15"/>
      <c r="AB62" s="15"/>
      <c r="AC62" s="15"/>
      <c r="AD62" s="15"/>
      <c r="AE62" s="15"/>
      <c r="AF62" s="15"/>
    </row>
    <row r="63" ht="16.5" customHeight="1">
      <c r="A63" s="32" t="s">
        <v>5</v>
      </c>
      <c r="E63" s="8" t="s">
        <v>104</v>
      </c>
      <c r="F63" s="8" t="s">
        <v>250</v>
      </c>
      <c r="G63" s="34" t="s">
        <v>4313</v>
      </c>
      <c r="H63" s="35" t="s">
        <v>250</v>
      </c>
      <c r="I63" s="31"/>
      <c r="J63" s="9"/>
      <c r="K63" s="11"/>
      <c r="L63" s="11"/>
      <c r="M63" s="15"/>
      <c r="N63" s="15"/>
      <c r="O63" s="15"/>
      <c r="P63" s="15"/>
      <c r="Q63" s="15"/>
      <c r="R63" s="15"/>
      <c r="S63" s="15"/>
      <c r="T63" s="15"/>
      <c r="U63" s="15"/>
      <c r="V63" s="15"/>
      <c r="W63" s="15"/>
      <c r="X63" s="15"/>
      <c r="Y63" s="15"/>
      <c r="Z63" s="15"/>
      <c r="AA63" s="15"/>
      <c r="AB63" s="15"/>
      <c r="AC63" s="15"/>
      <c r="AD63" s="15"/>
      <c r="AE63" s="15"/>
      <c r="AF63" s="15"/>
    </row>
    <row r="64" ht="16.5" customHeight="1">
      <c r="A64" s="15"/>
      <c r="B64" s="449"/>
      <c r="C64" s="450"/>
      <c r="D64" s="31"/>
      <c r="E64" s="37"/>
      <c r="F64" s="37"/>
      <c r="G64" s="69"/>
      <c r="H64" s="30"/>
      <c r="I64" s="9"/>
      <c r="J64" s="9"/>
      <c r="K64" s="11"/>
      <c r="L64" s="11"/>
      <c r="M64" s="15"/>
      <c r="N64" s="15"/>
      <c r="O64" s="15"/>
      <c r="P64" s="15"/>
      <c r="Q64" s="15"/>
      <c r="R64" s="15"/>
      <c r="S64" s="15"/>
      <c r="T64" s="15"/>
      <c r="U64" s="15"/>
      <c r="V64" s="15"/>
      <c r="W64" s="15"/>
      <c r="X64" s="15"/>
      <c r="Y64" s="15"/>
      <c r="Z64" s="15"/>
      <c r="AA64" s="15"/>
      <c r="AB64" s="15"/>
      <c r="AC64" s="15"/>
      <c r="AD64" s="15"/>
      <c r="AE64" s="15"/>
      <c r="AF64" s="15"/>
    </row>
    <row r="65" ht="16.5" customHeight="1">
      <c r="A65" s="15"/>
      <c r="B65" s="219" t="s">
        <v>4314</v>
      </c>
      <c r="C65" s="450"/>
      <c r="D65" s="8" t="s">
        <v>20</v>
      </c>
      <c r="E65" s="8" t="s">
        <v>88</v>
      </c>
      <c r="F65" s="8" t="s">
        <v>89</v>
      </c>
      <c r="G65" s="69"/>
      <c r="H65" s="36"/>
      <c r="L65" s="11"/>
      <c r="M65" s="15"/>
      <c r="N65" s="15"/>
      <c r="O65" s="15"/>
      <c r="P65" s="15"/>
      <c r="Q65" s="15"/>
      <c r="R65" s="15"/>
      <c r="S65" s="15"/>
      <c r="T65" s="15"/>
      <c r="U65" s="15"/>
      <c r="V65" s="15"/>
      <c r="W65" s="15"/>
      <c r="X65" s="15"/>
      <c r="Y65" s="15"/>
      <c r="Z65" s="15"/>
      <c r="AA65" s="15"/>
      <c r="AB65" s="15"/>
      <c r="AC65" s="15"/>
      <c r="AD65" s="15"/>
      <c r="AE65" s="15"/>
      <c r="AF65" s="15"/>
    </row>
    <row r="66" ht="16.5" customHeight="1">
      <c r="A66" s="15"/>
      <c r="B66" s="449"/>
      <c r="C66" s="450"/>
      <c r="D66" s="31"/>
      <c r="E66" s="8" t="s">
        <v>21</v>
      </c>
      <c r="F66" s="8" t="s">
        <v>22</v>
      </c>
      <c r="G66" s="69" t="str">
        <f>HYPERLINK("https://docs.google.com/spreadsheets/d/1N11_Jjy_RfwMoCtq0L5aiujMQ1yoGCW2JFHt_cqnL7E/edit#gid=385234231", "https://docs.google.com/spreadsheets/d/1N11_Jjy_RfwMoCtq0L5aiujMQ1yoGCW2JFHt_cqnL7E/edit#gid=385234231")</f>
        <v>https://docs.google.com/spreadsheets/d/1N11_Jjy_RfwMoCtq0L5aiujMQ1yoGCW2JFHt_cqnL7E/edit#gid=385234231</v>
      </c>
      <c r="H66" s="8" t="s">
        <v>22</v>
      </c>
      <c r="I66" s="9"/>
      <c r="J66" s="9"/>
      <c r="K66" s="11"/>
      <c r="L66" s="11"/>
      <c r="M66" s="15"/>
      <c r="N66" s="15"/>
      <c r="O66" s="15"/>
      <c r="P66" s="15"/>
      <c r="Q66" s="15"/>
      <c r="R66" s="15"/>
      <c r="S66" s="15"/>
      <c r="T66" s="15"/>
      <c r="U66" s="15"/>
      <c r="V66" s="15"/>
      <c r="W66" s="15"/>
      <c r="X66" s="15"/>
      <c r="Y66" s="15"/>
      <c r="Z66" s="15"/>
      <c r="AA66" s="15"/>
      <c r="AB66" s="15"/>
      <c r="AC66" s="15"/>
      <c r="AD66" s="15"/>
      <c r="AE66" s="15"/>
      <c r="AF66" s="15"/>
    </row>
    <row r="67" ht="16.5" customHeight="1">
      <c r="A67" s="15"/>
      <c r="B67" s="449"/>
      <c r="C67" s="450"/>
      <c r="D67" s="31"/>
      <c r="E67" s="8" t="s">
        <v>43</v>
      </c>
      <c r="F67" s="8" t="s">
        <v>855</v>
      </c>
      <c r="G67" s="69" t="str">
        <f>HYPERLINK("https://docs.google.com/spreadsheets/d/1N11_Jjy_RfwMoCtq0L5aiujMQ1yoGCW2JFHt_cqnL7E/edit#gid=1500221161", "https://docs.google.com/spreadsheets/d/1N11_Jjy_RfwMoCtq0L5aiujMQ1yoGCW2JFHt_cqnL7E/edit#gid=1500221161")</f>
        <v>https://docs.google.com/spreadsheets/d/1N11_Jjy_RfwMoCtq0L5aiujMQ1yoGCW2JFHt_cqnL7E/edit#gid=1500221161</v>
      </c>
      <c r="H67" s="8" t="s">
        <v>855</v>
      </c>
      <c r="I67" s="9"/>
      <c r="J67" s="9"/>
      <c r="K67" s="11"/>
      <c r="L67" s="11"/>
      <c r="M67" s="15"/>
      <c r="N67" s="15"/>
      <c r="O67" s="15"/>
      <c r="P67" s="15"/>
      <c r="Q67" s="15"/>
      <c r="R67" s="15"/>
      <c r="S67" s="15"/>
      <c r="T67" s="15"/>
      <c r="U67" s="15"/>
      <c r="V67" s="15"/>
      <c r="W67" s="15"/>
      <c r="X67" s="15"/>
      <c r="Y67" s="15"/>
      <c r="Z67" s="15"/>
      <c r="AA67" s="15"/>
      <c r="AB67" s="15"/>
      <c r="AC67" s="15"/>
      <c r="AD67" s="15"/>
      <c r="AE67" s="15"/>
      <c r="AF67" s="15"/>
    </row>
    <row r="68" ht="16.5" customHeight="1">
      <c r="A68" s="15"/>
      <c r="B68" s="449"/>
      <c r="C68" s="450"/>
      <c r="D68" s="31"/>
      <c r="E68" s="28" t="s">
        <v>610</v>
      </c>
      <c r="F68" s="38" t="s">
        <v>844</v>
      </c>
      <c r="G68" s="69" t="str">
        <f>HYPERLINK("https://docs.google.com/spreadsheets/d/1N11_Jjy_RfwMoCtq0L5aiujMQ1yoGCW2JFHt_cqnL7E/edit#gid=809039625", "https://docs.google.com/spreadsheets/d/1N11_Jjy_RfwMoCtq0L5aiujMQ1yoGCW2JFHt_cqnL7E/edit#gid=809039625")</f>
        <v>https://docs.google.com/spreadsheets/d/1N11_Jjy_RfwMoCtq0L5aiujMQ1yoGCW2JFHt_cqnL7E/edit#gid=809039625</v>
      </c>
      <c r="H68" s="38" t="s">
        <v>844</v>
      </c>
      <c r="I68" s="31"/>
      <c r="J68" s="9"/>
      <c r="K68" s="11"/>
      <c r="L68" s="11"/>
      <c r="M68" s="15"/>
      <c r="N68" s="15"/>
      <c r="O68" s="15"/>
      <c r="P68" s="15"/>
      <c r="Q68" s="15"/>
      <c r="R68" s="15"/>
      <c r="S68" s="15"/>
      <c r="T68" s="15"/>
      <c r="U68" s="15"/>
      <c r="V68" s="15"/>
      <c r="W68" s="15"/>
      <c r="X68" s="15"/>
      <c r="Y68" s="15"/>
      <c r="Z68" s="15"/>
      <c r="AA68" s="15"/>
      <c r="AB68" s="15"/>
      <c r="AC68" s="15"/>
      <c r="AD68" s="15"/>
      <c r="AE68" s="15"/>
      <c r="AF68" s="15"/>
    </row>
    <row r="69" ht="16.5" customHeight="1">
      <c r="A69" s="15"/>
      <c r="B69" s="449"/>
      <c r="C69" s="450"/>
      <c r="D69" s="31"/>
      <c r="E69" s="8" t="s">
        <v>43</v>
      </c>
      <c r="F69" s="8" t="s">
        <v>855</v>
      </c>
      <c r="G69" s="69" t="str">
        <f>HYPERLINK("https://docs.google.com/spreadsheets/d/1N11_Jjy_RfwMoCtq0L5aiujMQ1yoGCW2JFHt_cqnL7E/edit#gid=769350398", "https://docs.google.com/spreadsheets/d/1N11_Jjy_RfwMoCtq0L5aiujMQ1yoGCW2JFHt_cqnL7E/edit#gid=769350398")</f>
        <v>https://docs.google.com/spreadsheets/d/1N11_Jjy_RfwMoCtq0L5aiujMQ1yoGCW2JFHt_cqnL7E/edit#gid=769350398</v>
      </c>
      <c r="H69" s="8" t="s">
        <v>4315</v>
      </c>
      <c r="I69" s="9"/>
      <c r="J69" s="9"/>
      <c r="K69" s="11"/>
      <c r="L69" s="11"/>
      <c r="M69" s="15"/>
      <c r="N69" s="15"/>
      <c r="O69" s="15"/>
      <c r="P69" s="15"/>
      <c r="Q69" s="15"/>
      <c r="R69" s="15"/>
      <c r="S69" s="15"/>
      <c r="T69" s="15"/>
      <c r="U69" s="15"/>
      <c r="V69" s="15"/>
      <c r="W69" s="15"/>
      <c r="X69" s="15"/>
      <c r="Y69" s="15"/>
      <c r="Z69" s="15"/>
      <c r="AA69" s="15"/>
      <c r="AB69" s="15"/>
      <c r="AC69" s="15"/>
      <c r="AD69" s="15"/>
      <c r="AE69" s="15"/>
      <c r="AF69" s="15"/>
    </row>
    <row r="70" ht="16.5" customHeight="1">
      <c r="A70" s="15"/>
      <c r="B70" s="449"/>
      <c r="C70" s="450"/>
      <c r="D70" s="31"/>
      <c r="E70" s="8" t="s">
        <v>610</v>
      </c>
      <c r="F70" s="8" t="s">
        <v>836</v>
      </c>
      <c r="G70" s="69" t="str">
        <f>HYPERLINK("https://docs.google.com/spreadsheets/d/1N11_Jjy_RfwMoCtq0L5aiujMQ1yoGCW2JFHt_cqnL7E/edit#gid=305609778", "https://docs.google.com/spreadsheets/d/1N11_Jjy_RfwMoCtq0L5aiujMQ1yoGCW2JFHt_cqnL7E/edit#gid=305609778")</f>
        <v>https://docs.google.com/spreadsheets/d/1N11_Jjy_RfwMoCtq0L5aiujMQ1yoGCW2JFHt_cqnL7E/edit#gid=305609778</v>
      </c>
      <c r="H70" s="8" t="s">
        <v>836</v>
      </c>
      <c r="I70" s="9"/>
      <c r="J70" s="9"/>
      <c r="K70" s="11"/>
      <c r="L70" s="11"/>
      <c r="M70" s="15"/>
      <c r="N70" s="15"/>
      <c r="O70" s="15"/>
      <c r="P70" s="15"/>
      <c r="Q70" s="15"/>
      <c r="R70" s="15"/>
      <c r="S70" s="15"/>
      <c r="T70" s="15"/>
      <c r="U70" s="15"/>
      <c r="V70" s="15"/>
      <c r="W70" s="15"/>
      <c r="X70" s="15"/>
      <c r="Y70" s="15"/>
      <c r="Z70" s="15"/>
      <c r="AA70" s="15"/>
      <c r="AB70" s="15"/>
      <c r="AC70" s="15"/>
      <c r="AD70" s="15"/>
      <c r="AE70" s="15"/>
      <c r="AF70" s="15"/>
    </row>
    <row r="71" ht="16.5" customHeight="1">
      <c r="A71" s="15"/>
      <c r="B71" s="449"/>
      <c r="C71" s="450"/>
      <c r="D71" s="31"/>
      <c r="E71" s="8" t="s">
        <v>610</v>
      </c>
      <c r="F71" s="8" t="s">
        <v>844</v>
      </c>
      <c r="G71" s="69" t="str">
        <f>HYPERLINK("https://docs.google.com/spreadsheets/d/1N11_Jjy_RfwMoCtq0L5aiujMQ1yoGCW2JFHt_cqnL7E/edit#gid=1214994912", "https://docs.google.com/spreadsheets/d/1N11_Jjy_RfwMoCtq0L5aiujMQ1yoGCW2JFHt_cqnL7E/edit#gid=1214994912")</f>
        <v>https://docs.google.com/spreadsheets/d/1N11_Jjy_RfwMoCtq0L5aiujMQ1yoGCW2JFHt_cqnL7E/edit#gid=1214994912</v>
      </c>
      <c r="H71" s="8" t="s">
        <v>4316</v>
      </c>
      <c r="I71" s="9"/>
      <c r="J71" s="9"/>
      <c r="K71" s="11"/>
      <c r="L71" s="11"/>
      <c r="M71" s="15"/>
      <c r="N71" s="15"/>
      <c r="O71" s="15"/>
      <c r="P71" s="15"/>
      <c r="Q71" s="15"/>
      <c r="R71" s="15"/>
      <c r="S71" s="15"/>
      <c r="T71" s="15"/>
      <c r="U71" s="15"/>
      <c r="V71" s="15"/>
      <c r="W71" s="15"/>
      <c r="X71" s="15"/>
      <c r="Y71" s="15"/>
      <c r="Z71" s="15"/>
      <c r="AA71" s="15"/>
      <c r="AB71" s="15"/>
      <c r="AC71" s="15"/>
      <c r="AD71" s="15"/>
      <c r="AE71" s="15"/>
      <c r="AF71" s="15"/>
    </row>
    <row r="72" ht="16.5" customHeight="1">
      <c r="A72" s="15"/>
      <c r="B72" s="449"/>
      <c r="C72" s="450"/>
      <c r="D72" s="31"/>
      <c r="E72" s="8" t="s">
        <v>72</v>
      </c>
      <c r="F72" s="8" t="s">
        <v>76</v>
      </c>
      <c r="G72" s="69" t="str">
        <f>HYPERLINK("https://docs.google.com/spreadsheets/d/1N11_Jjy_RfwMoCtq0L5aiujMQ1yoGCW2JFHt_cqnL7E/edit#gid=1592133429", "https://docs.google.com/spreadsheets/d/1N11_Jjy_RfwMoCtq0L5aiujMQ1yoGCW2JFHt_cqnL7E/edit#gid=1592133429")</f>
        <v>https://docs.google.com/spreadsheets/d/1N11_Jjy_RfwMoCtq0L5aiujMQ1yoGCW2JFHt_cqnL7E/edit#gid=1592133429</v>
      </c>
      <c r="H72" s="8" t="s">
        <v>76</v>
      </c>
      <c r="I72" s="9"/>
      <c r="J72" s="9"/>
      <c r="K72" s="11"/>
      <c r="L72" s="11"/>
      <c r="M72" s="15"/>
      <c r="N72" s="15"/>
      <c r="O72" s="15"/>
      <c r="P72" s="15"/>
      <c r="Q72" s="15"/>
      <c r="R72" s="15"/>
      <c r="S72" s="15"/>
      <c r="T72" s="15"/>
      <c r="U72" s="15"/>
      <c r="V72" s="15"/>
      <c r="W72" s="15"/>
      <c r="X72" s="15"/>
      <c r="Y72" s="15"/>
      <c r="Z72" s="15"/>
      <c r="AA72" s="15"/>
      <c r="AB72" s="15"/>
      <c r="AC72" s="15"/>
      <c r="AD72" s="15"/>
      <c r="AE72" s="15"/>
      <c r="AF72" s="15"/>
    </row>
    <row r="73" ht="16.5" customHeight="1">
      <c r="A73" s="15"/>
      <c r="B73" s="449"/>
      <c r="C73" s="450"/>
      <c r="D73" s="31"/>
      <c r="E73" s="8" t="s">
        <v>43</v>
      </c>
      <c r="F73" s="8" t="s">
        <v>79</v>
      </c>
      <c r="G73" s="69" t="str">
        <f>HYPERLINK("https://docs.google.com/spreadsheets/d/1N11_Jjy_RfwMoCtq0L5aiujMQ1yoGCW2JFHt_cqnL7E/edit#gid=1120972041", "https://docs.google.com/spreadsheets/d/1N11_Jjy_RfwMoCtq0L5aiujMQ1yoGCW2JFHt_cqnL7E/edit#gid=1120972041")</f>
        <v>https://docs.google.com/spreadsheets/d/1N11_Jjy_RfwMoCtq0L5aiujMQ1yoGCW2JFHt_cqnL7E/edit#gid=1120972041</v>
      </c>
      <c r="H73" s="8" t="s">
        <v>79</v>
      </c>
      <c r="I73" s="9"/>
      <c r="J73" s="9"/>
      <c r="K73" s="11"/>
      <c r="L73" s="11"/>
      <c r="M73" s="15"/>
      <c r="N73" s="15"/>
      <c r="O73" s="15"/>
      <c r="P73" s="15"/>
      <c r="Q73" s="15"/>
      <c r="R73" s="15"/>
      <c r="S73" s="15"/>
      <c r="T73" s="15"/>
      <c r="U73" s="15"/>
      <c r="V73" s="15"/>
      <c r="W73" s="15"/>
      <c r="X73" s="15"/>
      <c r="Y73" s="15"/>
      <c r="Z73" s="15"/>
      <c r="AA73" s="15"/>
      <c r="AB73" s="15"/>
      <c r="AC73" s="15"/>
      <c r="AD73" s="15"/>
      <c r="AE73" s="15"/>
      <c r="AF73" s="15"/>
    </row>
    <row r="74" ht="16.5" customHeight="1">
      <c r="A74" s="15"/>
      <c r="B74" s="449"/>
      <c r="C74" s="450"/>
      <c r="D74" s="31"/>
      <c r="E74" s="31"/>
      <c r="F74" s="31"/>
      <c r="G74" s="69"/>
      <c r="H74" s="31"/>
      <c r="I74" s="9"/>
      <c r="J74" s="9"/>
      <c r="K74" s="11"/>
      <c r="L74" s="11"/>
      <c r="M74" s="15"/>
      <c r="N74" s="15"/>
      <c r="O74" s="15"/>
      <c r="P74" s="15"/>
      <c r="Q74" s="15"/>
      <c r="R74" s="15"/>
      <c r="S74" s="15"/>
      <c r="T74" s="15"/>
      <c r="U74" s="15"/>
      <c r="V74" s="15"/>
      <c r="W74" s="15"/>
      <c r="X74" s="15"/>
      <c r="Y74" s="15"/>
      <c r="Z74" s="15"/>
      <c r="AA74" s="15"/>
      <c r="AB74" s="15"/>
      <c r="AC74" s="15"/>
      <c r="AD74" s="15"/>
      <c r="AE74" s="15"/>
      <c r="AF74" s="15"/>
    </row>
    <row r="75" ht="16.5" customHeight="1">
      <c r="A75" s="15"/>
      <c r="B75" s="449"/>
      <c r="C75" s="450"/>
      <c r="D75" s="31"/>
      <c r="E75" s="31"/>
      <c r="F75" s="31"/>
      <c r="G75" s="69"/>
      <c r="H75" s="31"/>
      <c r="I75" s="9"/>
      <c r="J75" s="9"/>
      <c r="K75" s="11"/>
      <c r="L75" s="11"/>
      <c r="M75" s="15"/>
      <c r="N75" s="15"/>
      <c r="O75" s="15"/>
      <c r="P75" s="15"/>
      <c r="Q75" s="15"/>
      <c r="R75" s="15"/>
      <c r="S75" s="15"/>
      <c r="T75" s="15"/>
      <c r="U75" s="15"/>
      <c r="V75" s="15"/>
      <c r="W75" s="15"/>
      <c r="X75" s="15"/>
      <c r="Y75" s="15"/>
      <c r="Z75" s="15"/>
      <c r="AA75" s="15"/>
      <c r="AB75" s="15"/>
      <c r="AC75" s="15"/>
      <c r="AD75" s="15"/>
      <c r="AE75" s="15"/>
      <c r="AF75" s="15"/>
    </row>
    <row r="76" ht="16.5" customHeight="1">
      <c r="A76" s="15"/>
      <c r="B76" s="449"/>
      <c r="C76" s="450"/>
      <c r="D76" s="31"/>
      <c r="E76" s="31"/>
      <c r="F76" s="31"/>
      <c r="G76" s="69"/>
      <c r="H76" s="31"/>
      <c r="I76" s="9"/>
      <c r="J76" s="9"/>
      <c r="K76" s="11"/>
      <c r="L76" s="11"/>
      <c r="M76" s="15"/>
      <c r="N76" s="15"/>
      <c r="O76" s="15"/>
      <c r="P76" s="15"/>
      <c r="Q76" s="15"/>
      <c r="R76" s="15"/>
      <c r="S76" s="15"/>
      <c r="T76" s="15"/>
      <c r="U76" s="15"/>
      <c r="V76" s="15"/>
      <c r="W76" s="15"/>
      <c r="X76" s="15"/>
      <c r="Y76" s="15"/>
      <c r="Z76" s="15"/>
      <c r="AA76" s="15"/>
      <c r="AB76" s="15"/>
      <c r="AC76" s="15"/>
      <c r="AD76" s="15"/>
      <c r="AE76" s="15"/>
      <c r="AF76" s="15"/>
    </row>
    <row r="77" ht="16.5" customHeight="1">
      <c r="A77" s="15"/>
      <c r="B77" s="449"/>
      <c r="C77" s="450"/>
      <c r="D77" s="31"/>
      <c r="E77" s="37"/>
      <c r="F77" s="31"/>
      <c r="G77" s="69"/>
      <c r="H77" s="31"/>
      <c r="I77" s="31"/>
      <c r="J77" s="9"/>
      <c r="K77" s="11"/>
      <c r="L77" s="11"/>
      <c r="M77" s="15"/>
      <c r="N77" s="15"/>
      <c r="O77" s="15"/>
      <c r="P77" s="15"/>
      <c r="Q77" s="15"/>
      <c r="R77" s="15"/>
      <c r="S77" s="15"/>
      <c r="T77" s="15"/>
      <c r="U77" s="15"/>
      <c r="V77" s="15"/>
      <c r="W77" s="15"/>
      <c r="X77" s="15"/>
      <c r="Y77" s="15"/>
      <c r="Z77" s="15"/>
      <c r="AA77" s="15"/>
      <c r="AB77" s="15"/>
      <c r="AC77" s="15"/>
      <c r="AD77" s="15"/>
      <c r="AE77" s="15"/>
      <c r="AF77" s="15"/>
    </row>
    <row r="78" ht="16.5" customHeight="1">
      <c r="A78" s="15"/>
      <c r="B78" s="449"/>
      <c r="C78" s="450"/>
      <c r="D78" s="31"/>
      <c r="E78" s="37"/>
      <c r="F78" s="30"/>
      <c r="G78" s="69"/>
      <c r="H78" s="30"/>
      <c r="I78" s="9"/>
      <c r="J78" s="9"/>
      <c r="K78" s="11"/>
      <c r="L78" s="11"/>
      <c r="M78" s="15"/>
      <c r="N78" s="15"/>
      <c r="O78" s="15"/>
      <c r="P78" s="15"/>
      <c r="Q78" s="15"/>
      <c r="R78" s="15"/>
      <c r="S78" s="15"/>
      <c r="T78" s="15"/>
      <c r="U78" s="15"/>
      <c r="V78" s="15"/>
      <c r="W78" s="15"/>
      <c r="X78" s="15"/>
      <c r="Y78" s="15"/>
      <c r="Z78" s="15"/>
      <c r="AA78" s="15"/>
      <c r="AB78" s="15"/>
      <c r="AC78" s="15"/>
      <c r="AD78" s="15"/>
      <c r="AE78" s="15"/>
      <c r="AF78" s="15"/>
    </row>
    <row r="79" ht="16.5" customHeight="1">
      <c r="A79" s="15"/>
      <c r="B79" s="449"/>
      <c r="C79" s="450"/>
      <c r="D79" s="31"/>
      <c r="E79" s="37"/>
      <c r="F79" s="37"/>
      <c r="G79" s="69"/>
      <c r="H79" s="30"/>
      <c r="I79" s="9"/>
      <c r="J79" s="9"/>
      <c r="K79" s="11"/>
      <c r="L79" s="11"/>
      <c r="M79" s="15"/>
      <c r="N79" s="15"/>
      <c r="O79" s="15"/>
      <c r="P79" s="15"/>
      <c r="Q79" s="15"/>
      <c r="R79" s="15"/>
      <c r="S79" s="15"/>
      <c r="T79" s="15"/>
      <c r="U79" s="15"/>
      <c r="V79" s="15"/>
      <c r="W79" s="15"/>
      <c r="X79" s="15"/>
      <c r="Y79" s="15"/>
      <c r="Z79" s="15"/>
      <c r="AA79" s="15"/>
      <c r="AB79" s="15"/>
      <c r="AC79" s="15"/>
      <c r="AD79" s="15"/>
      <c r="AE79" s="15"/>
      <c r="AF79" s="15"/>
    </row>
    <row r="80" ht="16.5" customHeight="1">
      <c r="A80" s="15"/>
      <c r="B80" s="449"/>
      <c r="C80" s="450"/>
      <c r="D80" s="31"/>
      <c r="E80" s="31"/>
      <c r="F80" s="31"/>
      <c r="G80" s="69"/>
      <c r="H80" s="31"/>
      <c r="I80" s="9"/>
      <c r="J80" s="9"/>
      <c r="K80" s="11"/>
      <c r="L80" s="11"/>
      <c r="M80" s="15"/>
      <c r="N80" s="15"/>
      <c r="O80" s="15"/>
      <c r="P80" s="15"/>
      <c r="Q80" s="15"/>
      <c r="R80" s="15"/>
      <c r="S80" s="15"/>
      <c r="T80" s="15"/>
      <c r="U80" s="15"/>
      <c r="V80" s="15"/>
      <c r="W80" s="15"/>
      <c r="X80" s="15"/>
      <c r="Y80" s="15"/>
      <c r="Z80" s="15"/>
      <c r="AA80" s="15"/>
      <c r="AB80" s="15"/>
      <c r="AC80" s="15"/>
      <c r="AD80" s="15"/>
      <c r="AE80" s="15"/>
      <c r="AF80" s="15"/>
    </row>
    <row r="81" ht="16.5" customHeight="1">
      <c r="A81" s="15"/>
      <c r="B81" s="449"/>
      <c r="C81" s="450"/>
      <c r="D81" s="31"/>
      <c r="E81" s="31"/>
      <c r="F81" s="31"/>
      <c r="G81" s="69"/>
      <c r="H81" s="31"/>
      <c r="I81" s="9"/>
      <c r="J81" s="9"/>
      <c r="K81" s="11"/>
      <c r="L81" s="11"/>
      <c r="M81" s="15"/>
      <c r="N81" s="15"/>
      <c r="O81" s="15"/>
      <c r="P81" s="15"/>
      <c r="Q81" s="15"/>
      <c r="R81" s="15"/>
      <c r="S81" s="15"/>
      <c r="T81" s="15"/>
      <c r="U81" s="15"/>
      <c r="V81" s="15"/>
      <c r="W81" s="15"/>
      <c r="X81" s="15"/>
      <c r="Y81" s="15"/>
      <c r="Z81" s="15"/>
      <c r="AA81" s="15"/>
      <c r="AB81" s="15"/>
      <c r="AC81" s="15"/>
      <c r="AD81" s="15"/>
      <c r="AE81" s="15"/>
      <c r="AF81" s="15"/>
    </row>
    <row r="82" ht="16.5" customHeight="1">
      <c r="A82" s="15"/>
      <c r="B82" s="449"/>
      <c r="C82" s="450"/>
      <c r="D82" s="31"/>
      <c r="E82" s="31"/>
      <c r="F82" s="31"/>
      <c r="G82" s="69"/>
      <c r="H82" s="31"/>
      <c r="I82" s="9"/>
      <c r="J82" s="9"/>
      <c r="K82" s="11"/>
      <c r="L82" s="11"/>
      <c r="M82" s="15"/>
      <c r="N82" s="15"/>
      <c r="O82" s="15"/>
      <c r="P82" s="15"/>
      <c r="Q82" s="15"/>
      <c r="R82" s="15"/>
      <c r="S82" s="15"/>
      <c r="T82" s="15"/>
      <c r="U82" s="15"/>
      <c r="V82" s="15"/>
      <c r="W82" s="15"/>
      <c r="X82" s="15"/>
      <c r="Y82" s="15"/>
      <c r="Z82" s="15"/>
      <c r="AA82" s="15"/>
      <c r="AB82" s="15"/>
      <c r="AC82" s="15"/>
      <c r="AD82" s="15"/>
      <c r="AE82" s="15"/>
      <c r="AF82" s="15"/>
    </row>
    <row r="83" ht="16.5" customHeight="1">
      <c r="A83" s="15"/>
      <c r="B83" s="449"/>
      <c r="C83" s="450"/>
      <c r="D83" s="31"/>
      <c r="E83" s="31"/>
      <c r="F83" s="31"/>
      <c r="G83" s="69"/>
      <c r="H83" s="31"/>
      <c r="I83" s="9"/>
      <c r="J83" s="9"/>
      <c r="K83" s="11"/>
      <c r="L83" s="11"/>
      <c r="M83" s="15"/>
      <c r="N83" s="15"/>
      <c r="O83" s="15"/>
      <c r="P83" s="15"/>
      <c r="Q83" s="15"/>
      <c r="R83" s="15"/>
      <c r="S83" s="15"/>
      <c r="T83" s="15"/>
      <c r="U83" s="15"/>
      <c r="V83" s="15"/>
      <c r="W83" s="15"/>
      <c r="X83" s="15"/>
      <c r="Y83" s="15"/>
      <c r="Z83" s="15"/>
      <c r="AA83" s="15"/>
      <c r="AB83" s="15"/>
      <c r="AC83" s="15"/>
      <c r="AD83" s="15"/>
      <c r="AE83" s="15"/>
      <c r="AF83" s="15"/>
    </row>
    <row r="84" ht="16.5" customHeight="1">
      <c r="A84" s="15"/>
      <c r="B84" s="449"/>
      <c r="C84" s="450"/>
      <c r="D84" s="31"/>
      <c r="E84" s="37"/>
      <c r="F84" s="31"/>
      <c r="G84" s="69"/>
      <c r="H84" s="31"/>
      <c r="I84" s="31"/>
      <c r="J84" s="9"/>
      <c r="K84" s="11"/>
      <c r="L84" s="11"/>
      <c r="M84" s="15"/>
      <c r="N84" s="15"/>
      <c r="O84" s="15"/>
      <c r="P84" s="15"/>
      <c r="Q84" s="15"/>
      <c r="R84" s="15"/>
      <c r="S84" s="15"/>
      <c r="T84" s="15"/>
      <c r="U84" s="15"/>
      <c r="V84" s="15"/>
      <c r="W84" s="15"/>
      <c r="X84" s="15"/>
      <c r="Y84" s="15"/>
      <c r="Z84" s="15"/>
      <c r="AA84" s="15"/>
      <c r="AB84" s="15"/>
      <c r="AC84" s="15"/>
      <c r="AD84" s="15"/>
      <c r="AE84" s="15"/>
      <c r="AF84" s="15"/>
    </row>
    <row r="85" ht="16.5" customHeight="1">
      <c r="A85" s="15"/>
      <c r="B85" s="449"/>
      <c r="C85" s="450"/>
      <c r="D85" s="31"/>
      <c r="E85" s="37"/>
      <c r="F85" s="30"/>
      <c r="G85" s="69"/>
      <c r="H85" s="30"/>
      <c r="I85" s="31"/>
      <c r="J85" s="9"/>
      <c r="K85" s="11"/>
      <c r="L85" s="11"/>
      <c r="M85" s="15"/>
      <c r="N85" s="15"/>
      <c r="O85" s="15"/>
      <c r="P85" s="15"/>
      <c r="Q85" s="15"/>
      <c r="R85" s="15"/>
      <c r="S85" s="15"/>
      <c r="T85" s="15"/>
      <c r="U85" s="15"/>
      <c r="V85" s="15"/>
      <c r="W85" s="15"/>
      <c r="X85" s="15"/>
      <c r="Y85" s="15"/>
      <c r="Z85" s="15"/>
      <c r="AA85" s="15"/>
      <c r="AB85" s="15"/>
      <c r="AC85" s="15"/>
      <c r="AD85" s="15"/>
      <c r="AE85" s="15"/>
      <c r="AF85" s="15"/>
    </row>
    <row r="86" ht="16.5" customHeight="1">
      <c r="A86" s="15"/>
      <c r="B86" s="449"/>
      <c r="C86" s="450"/>
      <c r="D86" s="31"/>
      <c r="E86" s="37"/>
      <c r="F86" s="37"/>
      <c r="G86" s="69"/>
      <c r="H86" s="30"/>
      <c r="I86" s="9"/>
      <c r="J86" s="9"/>
      <c r="K86" s="11"/>
      <c r="L86" s="11"/>
      <c r="M86" s="15"/>
      <c r="N86" s="15"/>
      <c r="O86" s="15"/>
      <c r="P86" s="15"/>
      <c r="Q86" s="15"/>
      <c r="R86" s="15"/>
      <c r="S86" s="15"/>
      <c r="T86" s="15"/>
      <c r="U86" s="15"/>
      <c r="V86" s="15"/>
      <c r="W86" s="15"/>
      <c r="X86" s="15"/>
      <c r="Y86" s="15"/>
      <c r="Z86" s="15"/>
      <c r="AA86" s="15"/>
      <c r="AB86" s="15"/>
      <c r="AC86" s="15"/>
      <c r="AD86" s="15"/>
      <c r="AE86" s="15"/>
      <c r="AF86" s="15"/>
    </row>
    <row r="87" ht="16.5" customHeight="1">
      <c r="A87" s="15"/>
      <c r="B87" s="449"/>
      <c r="C87" s="450"/>
      <c r="D87" s="31"/>
      <c r="E87" s="31"/>
      <c r="F87" s="31"/>
      <c r="G87" s="69"/>
      <c r="H87" s="31"/>
      <c r="I87" s="9"/>
      <c r="J87" s="9"/>
      <c r="K87" s="11"/>
      <c r="L87" s="11"/>
      <c r="M87" s="15"/>
      <c r="N87" s="15"/>
      <c r="O87" s="15"/>
      <c r="P87" s="15"/>
      <c r="Q87" s="15"/>
      <c r="R87" s="15"/>
      <c r="S87" s="15"/>
      <c r="T87" s="15"/>
      <c r="U87" s="15"/>
      <c r="V87" s="15"/>
      <c r="W87" s="15"/>
      <c r="X87" s="15"/>
      <c r="Y87" s="15"/>
      <c r="Z87" s="15"/>
      <c r="AA87" s="15"/>
      <c r="AB87" s="15"/>
      <c r="AC87" s="15"/>
      <c r="AD87" s="15"/>
      <c r="AE87" s="15"/>
      <c r="AF87" s="15"/>
    </row>
    <row r="88" ht="16.5" customHeight="1">
      <c r="A88" s="15"/>
      <c r="B88" s="449"/>
      <c r="C88" s="450"/>
      <c r="D88" s="31"/>
      <c r="E88" s="31"/>
      <c r="F88" s="31"/>
      <c r="G88" s="69"/>
      <c r="H88" s="31"/>
      <c r="I88" s="9"/>
      <c r="J88" s="9"/>
      <c r="K88" s="11"/>
      <c r="L88" s="11"/>
      <c r="M88" s="15"/>
      <c r="N88" s="15"/>
      <c r="O88" s="15"/>
      <c r="P88" s="15"/>
      <c r="Q88" s="15"/>
      <c r="R88" s="15"/>
      <c r="S88" s="15"/>
      <c r="T88" s="15"/>
      <c r="U88" s="15"/>
      <c r="V88" s="15"/>
      <c r="W88" s="15"/>
      <c r="X88" s="15"/>
      <c r="Y88" s="15"/>
      <c r="Z88" s="15"/>
      <c r="AA88" s="15"/>
      <c r="AB88" s="15"/>
      <c r="AC88" s="15"/>
      <c r="AD88" s="15"/>
      <c r="AE88" s="15"/>
      <c r="AF88" s="15"/>
    </row>
    <row r="89" ht="16.5" customHeight="1">
      <c r="A89" s="15"/>
      <c r="B89" s="449"/>
      <c r="C89" s="450"/>
      <c r="D89" s="31"/>
      <c r="E89" s="31"/>
      <c r="F89" s="31"/>
      <c r="G89" s="69"/>
      <c r="H89" s="31"/>
      <c r="I89" s="9"/>
      <c r="J89" s="9"/>
      <c r="K89" s="11"/>
      <c r="L89" s="11"/>
      <c r="M89" s="15"/>
      <c r="N89" s="15"/>
      <c r="O89" s="15"/>
      <c r="P89" s="15"/>
      <c r="Q89" s="15"/>
      <c r="R89" s="15"/>
      <c r="S89" s="15"/>
      <c r="T89" s="15"/>
      <c r="U89" s="15"/>
      <c r="V89" s="15"/>
      <c r="W89" s="15"/>
      <c r="X89" s="15"/>
      <c r="Y89" s="15"/>
      <c r="Z89" s="15"/>
      <c r="AA89" s="15"/>
      <c r="AB89" s="15"/>
      <c r="AC89" s="15"/>
      <c r="AD89" s="15"/>
      <c r="AE89" s="15"/>
      <c r="AF89" s="15"/>
    </row>
    <row r="90" ht="16.5" customHeight="1">
      <c r="A90" s="15"/>
      <c r="B90" s="449"/>
      <c r="C90" s="450"/>
      <c r="D90" s="31"/>
      <c r="E90" s="31"/>
      <c r="F90" s="31"/>
      <c r="G90" s="69"/>
      <c r="H90" s="31"/>
      <c r="I90" s="9"/>
      <c r="J90" s="9"/>
      <c r="K90" s="11"/>
      <c r="L90" s="11"/>
      <c r="M90" s="15"/>
      <c r="N90" s="15"/>
      <c r="O90" s="15"/>
      <c r="P90" s="15"/>
      <c r="Q90" s="15"/>
      <c r="R90" s="15"/>
      <c r="S90" s="15"/>
      <c r="T90" s="15"/>
      <c r="U90" s="15"/>
      <c r="V90" s="15"/>
      <c r="W90" s="15"/>
      <c r="X90" s="15"/>
      <c r="Y90" s="15"/>
      <c r="Z90" s="15"/>
      <c r="AA90" s="15"/>
      <c r="AB90" s="15"/>
      <c r="AC90" s="15"/>
      <c r="AD90" s="15"/>
      <c r="AE90" s="15"/>
      <c r="AF90" s="15"/>
    </row>
    <row r="91" ht="16.5" customHeight="1">
      <c r="A91" s="15"/>
      <c r="B91" s="449"/>
      <c r="C91" s="450"/>
      <c r="D91" s="31"/>
      <c r="E91" s="31"/>
      <c r="F91" s="31"/>
      <c r="G91" s="69"/>
      <c r="H91" s="31"/>
      <c r="I91" s="9"/>
      <c r="J91" s="9"/>
      <c r="K91" s="11"/>
      <c r="L91" s="11"/>
      <c r="M91" s="15"/>
      <c r="N91" s="15"/>
      <c r="O91" s="15"/>
      <c r="P91" s="15"/>
      <c r="Q91" s="15"/>
      <c r="R91" s="15"/>
      <c r="S91" s="15"/>
      <c r="T91" s="15"/>
      <c r="U91" s="15"/>
      <c r="V91" s="15"/>
      <c r="W91" s="15"/>
      <c r="X91" s="15"/>
      <c r="Y91" s="15"/>
      <c r="Z91" s="15"/>
      <c r="AA91" s="15"/>
      <c r="AB91" s="15"/>
      <c r="AC91" s="15"/>
      <c r="AD91" s="15"/>
      <c r="AE91" s="15"/>
      <c r="AF91" s="15"/>
    </row>
    <row r="92" ht="16.5" customHeight="1">
      <c r="A92" s="15"/>
      <c r="B92" s="449"/>
      <c r="C92" s="450"/>
      <c r="D92" s="31"/>
      <c r="E92" s="37"/>
      <c r="F92" s="31"/>
      <c r="G92" s="69"/>
      <c r="H92" s="31"/>
      <c r="I92" s="31"/>
      <c r="J92" s="9"/>
      <c r="K92" s="11"/>
      <c r="L92" s="11"/>
      <c r="M92" s="15"/>
      <c r="N92" s="15"/>
      <c r="O92" s="15"/>
      <c r="P92" s="15"/>
      <c r="Q92" s="15"/>
      <c r="R92" s="15"/>
      <c r="S92" s="15"/>
      <c r="T92" s="15"/>
      <c r="U92" s="15"/>
      <c r="V92" s="15"/>
      <c r="W92" s="15"/>
      <c r="X92" s="15"/>
      <c r="Y92" s="15"/>
      <c r="Z92" s="15"/>
      <c r="AA92" s="15"/>
      <c r="AB92" s="15"/>
      <c r="AC92" s="15"/>
      <c r="AD92" s="15"/>
      <c r="AE92" s="15"/>
      <c r="AF92" s="15"/>
    </row>
    <row r="93" ht="16.5" customHeight="1">
      <c r="A93" s="15"/>
      <c r="B93" s="449"/>
      <c r="C93" s="450"/>
      <c r="D93" s="31"/>
      <c r="E93" s="37"/>
      <c r="F93" s="30"/>
      <c r="G93" s="69"/>
      <c r="H93" s="30"/>
      <c r="I93" s="31"/>
      <c r="J93" s="9"/>
      <c r="K93" s="11"/>
      <c r="L93" s="11"/>
      <c r="M93" s="15"/>
      <c r="N93" s="15"/>
      <c r="O93" s="15"/>
      <c r="P93" s="15"/>
      <c r="Q93" s="15"/>
      <c r="R93" s="15"/>
      <c r="S93" s="15"/>
      <c r="T93" s="15"/>
      <c r="U93" s="15"/>
      <c r="V93" s="15"/>
      <c r="W93" s="15"/>
      <c r="X93" s="15"/>
      <c r="Y93" s="15"/>
      <c r="Z93" s="15"/>
      <c r="AA93" s="15"/>
      <c r="AB93" s="15"/>
      <c r="AC93" s="15"/>
      <c r="AD93" s="15"/>
      <c r="AE93" s="15"/>
      <c r="AF93" s="15"/>
    </row>
    <row r="94" ht="16.5" customHeight="1">
      <c r="A94" s="15"/>
      <c r="B94" s="449"/>
      <c r="C94" s="450"/>
      <c r="D94" s="31"/>
      <c r="E94" s="37"/>
      <c r="F94" s="37"/>
      <c r="G94" s="69"/>
      <c r="H94" s="30"/>
      <c r="I94" s="9"/>
      <c r="J94" s="9"/>
      <c r="K94" s="11"/>
      <c r="L94" s="11"/>
      <c r="M94" s="15"/>
      <c r="N94" s="15"/>
      <c r="O94" s="15"/>
      <c r="P94" s="15"/>
      <c r="Q94" s="15"/>
      <c r="R94" s="15"/>
      <c r="S94" s="15"/>
      <c r="T94" s="15"/>
      <c r="U94" s="15"/>
      <c r="V94" s="15"/>
      <c r="W94" s="15"/>
      <c r="X94" s="15"/>
      <c r="Y94" s="15"/>
      <c r="Z94" s="15"/>
      <c r="AA94" s="15"/>
      <c r="AB94" s="15"/>
      <c r="AC94" s="15"/>
      <c r="AD94" s="15"/>
      <c r="AE94" s="15"/>
      <c r="AF94" s="15"/>
    </row>
    <row r="95" ht="16.5" customHeight="1">
      <c r="A95" s="15"/>
      <c r="B95" s="449"/>
      <c r="C95" s="450"/>
      <c r="D95" s="31"/>
      <c r="E95" s="31"/>
      <c r="F95" s="31"/>
      <c r="G95" s="69"/>
      <c r="H95" s="31"/>
      <c r="I95" s="9"/>
      <c r="J95" s="9"/>
      <c r="K95" s="11"/>
      <c r="L95" s="11"/>
      <c r="M95" s="15"/>
      <c r="N95" s="15"/>
      <c r="O95" s="15"/>
      <c r="P95" s="15"/>
      <c r="Q95" s="15"/>
      <c r="R95" s="15"/>
      <c r="S95" s="15"/>
      <c r="T95" s="15"/>
      <c r="U95" s="15"/>
      <c r="V95" s="15"/>
      <c r="W95" s="15"/>
      <c r="X95" s="15"/>
      <c r="Y95" s="15"/>
      <c r="Z95" s="15"/>
      <c r="AA95" s="15"/>
      <c r="AB95" s="15"/>
      <c r="AC95" s="15"/>
      <c r="AD95" s="15"/>
      <c r="AE95" s="15"/>
      <c r="AF95" s="15"/>
    </row>
    <row r="96" ht="16.5" customHeight="1">
      <c r="A96" s="15"/>
      <c r="B96" s="449"/>
      <c r="C96" s="450"/>
      <c r="D96" s="31"/>
      <c r="E96" s="31"/>
      <c r="F96" s="31"/>
      <c r="G96" s="69"/>
      <c r="H96" s="31"/>
      <c r="I96" s="9"/>
      <c r="J96" s="9"/>
      <c r="K96" s="11"/>
      <c r="L96" s="11"/>
      <c r="M96" s="15"/>
      <c r="N96" s="15"/>
      <c r="O96" s="15"/>
      <c r="P96" s="15"/>
      <c r="Q96" s="15"/>
      <c r="R96" s="15"/>
      <c r="S96" s="15"/>
      <c r="T96" s="15"/>
      <c r="U96" s="15"/>
      <c r="V96" s="15"/>
      <c r="W96" s="15"/>
      <c r="X96" s="15"/>
      <c r="Y96" s="15"/>
      <c r="Z96" s="15"/>
      <c r="AA96" s="15"/>
      <c r="AB96" s="15"/>
      <c r="AC96" s="15"/>
      <c r="AD96" s="15"/>
      <c r="AE96" s="15"/>
      <c r="AF96" s="15"/>
    </row>
    <row r="97" ht="16.5" customHeight="1">
      <c r="A97" s="15"/>
      <c r="B97" s="449"/>
      <c r="C97" s="450"/>
      <c r="D97" s="31"/>
      <c r="E97" s="31"/>
      <c r="F97" s="31"/>
      <c r="G97" s="69"/>
      <c r="H97" s="31"/>
      <c r="I97" s="9"/>
      <c r="J97" s="9"/>
      <c r="K97" s="11"/>
      <c r="L97" s="11"/>
      <c r="M97" s="15"/>
      <c r="N97" s="15"/>
      <c r="O97" s="15"/>
      <c r="P97" s="15"/>
      <c r="Q97" s="15"/>
      <c r="R97" s="15"/>
      <c r="S97" s="15"/>
      <c r="T97" s="15"/>
      <c r="U97" s="15"/>
      <c r="V97" s="15"/>
      <c r="W97" s="15"/>
      <c r="X97" s="15"/>
      <c r="Y97" s="15"/>
      <c r="Z97" s="15"/>
      <c r="AA97" s="15"/>
      <c r="AB97" s="15"/>
      <c r="AC97" s="15"/>
      <c r="AD97" s="15"/>
      <c r="AE97" s="15"/>
      <c r="AF97" s="15"/>
    </row>
    <row r="98" ht="16.5" customHeight="1">
      <c r="A98" s="15"/>
      <c r="B98" s="449"/>
      <c r="C98" s="450"/>
      <c r="D98" s="31"/>
      <c r="E98" s="31"/>
      <c r="F98" s="31"/>
      <c r="G98" s="69"/>
      <c r="H98" s="31"/>
      <c r="I98" s="9"/>
      <c r="J98" s="9"/>
      <c r="K98" s="11"/>
      <c r="L98" s="11"/>
      <c r="M98" s="15"/>
      <c r="N98" s="15"/>
      <c r="O98" s="15"/>
      <c r="P98" s="15"/>
      <c r="Q98" s="15"/>
      <c r="R98" s="15"/>
      <c r="S98" s="15"/>
      <c r="T98" s="15"/>
      <c r="U98" s="15"/>
      <c r="V98" s="15"/>
      <c r="W98" s="15"/>
      <c r="X98" s="15"/>
      <c r="Y98" s="15"/>
      <c r="Z98" s="15"/>
      <c r="AA98" s="15"/>
      <c r="AB98" s="15"/>
      <c r="AC98" s="15"/>
      <c r="AD98" s="15"/>
      <c r="AE98" s="15"/>
      <c r="AF98" s="15"/>
    </row>
    <row r="99" ht="16.5" customHeight="1">
      <c r="A99" s="15"/>
      <c r="B99" s="449"/>
      <c r="C99" s="450"/>
      <c r="D99" s="31"/>
      <c r="E99" s="31"/>
      <c r="F99" s="31"/>
      <c r="G99" s="69"/>
      <c r="H99" s="31"/>
      <c r="I99" s="9"/>
      <c r="J99" s="9"/>
      <c r="K99" s="11"/>
      <c r="L99" s="11"/>
      <c r="M99" s="15"/>
      <c r="N99" s="15"/>
      <c r="O99" s="15"/>
      <c r="P99" s="15"/>
      <c r="Q99" s="15"/>
      <c r="R99" s="15"/>
      <c r="S99" s="15"/>
      <c r="T99" s="15"/>
      <c r="U99" s="15"/>
      <c r="V99" s="15"/>
      <c r="W99" s="15"/>
      <c r="X99" s="15"/>
      <c r="Y99" s="15"/>
      <c r="Z99" s="15"/>
      <c r="AA99" s="15"/>
      <c r="AB99" s="15"/>
      <c r="AC99" s="15"/>
      <c r="AD99" s="15"/>
      <c r="AE99" s="15"/>
      <c r="AF99" s="15"/>
    </row>
    <row r="100" ht="16.5" customHeight="1">
      <c r="A100" s="15"/>
      <c r="B100" s="449"/>
      <c r="C100" s="450"/>
      <c r="D100" s="31"/>
      <c r="E100" s="37"/>
      <c r="F100" s="31"/>
      <c r="G100" s="69"/>
      <c r="H100" s="31"/>
      <c r="I100" s="31"/>
      <c r="J100" s="9"/>
      <c r="K100" s="11"/>
      <c r="L100" s="11"/>
      <c r="M100" s="15"/>
      <c r="N100" s="15"/>
      <c r="O100" s="15"/>
      <c r="P100" s="15"/>
      <c r="Q100" s="15"/>
      <c r="R100" s="15"/>
      <c r="S100" s="15"/>
      <c r="T100" s="15"/>
      <c r="U100" s="15"/>
      <c r="V100" s="15"/>
      <c r="W100" s="15"/>
      <c r="X100" s="15"/>
      <c r="Y100" s="15"/>
      <c r="Z100" s="15"/>
      <c r="AA100" s="15"/>
      <c r="AB100" s="15"/>
      <c r="AC100" s="15"/>
      <c r="AD100" s="15"/>
      <c r="AE100" s="15"/>
      <c r="AF100" s="15"/>
    </row>
    <row r="101" ht="16.5" customHeight="1">
      <c r="A101" s="15"/>
      <c r="B101" s="449"/>
      <c r="C101" s="450"/>
      <c r="D101" s="31"/>
      <c r="E101" s="37"/>
      <c r="F101" s="30"/>
      <c r="G101" s="69"/>
      <c r="H101" s="30"/>
      <c r="I101" s="31"/>
      <c r="J101" s="9"/>
      <c r="K101" s="11"/>
      <c r="L101" s="11"/>
      <c r="M101" s="15"/>
      <c r="N101" s="15"/>
      <c r="O101" s="15"/>
      <c r="P101" s="15"/>
      <c r="Q101" s="15"/>
      <c r="R101" s="15"/>
      <c r="S101" s="15"/>
      <c r="T101" s="15"/>
      <c r="U101" s="15"/>
      <c r="V101" s="15"/>
      <c r="W101" s="15"/>
      <c r="X101" s="15"/>
      <c r="Y101" s="15"/>
      <c r="Z101" s="15"/>
      <c r="AA101" s="15"/>
      <c r="AB101" s="15"/>
      <c r="AC101" s="15"/>
      <c r="AD101" s="15"/>
      <c r="AE101" s="15"/>
      <c r="AF101" s="15"/>
    </row>
    <row r="102" ht="16.5" customHeight="1">
      <c r="A102" s="15"/>
      <c r="B102" s="449"/>
      <c r="C102" s="450"/>
      <c r="D102" s="31"/>
      <c r="E102" s="37"/>
      <c r="F102" s="37"/>
      <c r="G102" s="69"/>
      <c r="H102" s="30"/>
      <c r="I102" s="9"/>
      <c r="J102" s="9"/>
      <c r="K102" s="11"/>
      <c r="L102" s="11"/>
      <c r="M102" s="15"/>
      <c r="N102" s="15"/>
      <c r="O102" s="15"/>
      <c r="P102" s="15"/>
      <c r="Q102" s="15"/>
      <c r="R102" s="15"/>
      <c r="S102" s="15"/>
      <c r="T102" s="15"/>
      <c r="U102" s="15"/>
      <c r="V102" s="15"/>
      <c r="W102" s="15"/>
      <c r="X102" s="15"/>
      <c r="Y102" s="15"/>
      <c r="Z102" s="15"/>
      <c r="AA102" s="15"/>
      <c r="AB102" s="15"/>
      <c r="AC102" s="15"/>
      <c r="AD102" s="15"/>
      <c r="AE102" s="15"/>
      <c r="AF102" s="15"/>
    </row>
    <row r="103" ht="16.5" customHeight="1">
      <c r="A103" s="15"/>
      <c r="B103" s="449"/>
      <c r="C103" s="450"/>
      <c r="D103" s="31"/>
      <c r="E103" s="31"/>
      <c r="F103" s="31"/>
      <c r="G103" s="69"/>
      <c r="H103" s="31"/>
      <c r="I103" s="9"/>
      <c r="J103" s="9"/>
      <c r="K103" s="11"/>
      <c r="L103" s="11"/>
      <c r="M103" s="15"/>
      <c r="N103" s="15"/>
      <c r="O103" s="15"/>
      <c r="P103" s="15"/>
      <c r="Q103" s="15"/>
      <c r="R103" s="15"/>
      <c r="S103" s="15"/>
      <c r="T103" s="15"/>
      <c r="U103" s="15"/>
      <c r="V103" s="15"/>
      <c r="W103" s="15"/>
      <c r="X103" s="15"/>
      <c r="Y103" s="15"/>
      <c r="Z103" s="15"/>
      <c r="AA103" s="15"/>
      <c r="AB103" s="15"/>
      <c r="AC103" s="15"/>
      <c r="AD103" s="15"/>
      <c r="AE103" s="15"/>
      <c r="AF103" s="15"/>
    </row>
    <row r="104" ht="16.5" customHeight="1">
      <c r="A104" s="15"/>
      <c r="B104" s="449"/>
      <c r="C104" s="450"/>
      <c r="D104" s="31"/>
      <c r="E104" s="31"/>
      <c r="F104" s="31"/>
      <c r="G104" s="69"/>
      <c r="H104" s="31"/>
      <c r="I104" s="9"/>
      <c r="J104" s="9"/>
      <c r="K104" s="11"/>
      <c r="L104" s="11"/>
      <c r="M104" s="15"/>
      <c r="N104" s="15"/>
      <c r="O104" s="15"/>
      <c r="P104" s="15"/>
      <c r="Q104" s="15"/>
      <c r="R104" s="15"/>
      <c r="S104" s="15"/>
      <c r="T104" s="15"/>
      <c r="U104" s="15"/>
      <c r="V104" s="15"/>
      <c r="W104" s="15"/>
      <c r="X104" s="15"/>
      <c r="Y104" s="15"/>
      <c r="Z104" s="15"/>
      <c r="AA104" s="15"/>
      <c r="AB104" s="15"/>
      <c r="AC104" s="15"/>
      <c r="AD104" s="15"/>
      <c r="AE104" s="15"/>
      <c r="AF104" s="15"/>
    </row>
    <row r="105" ht="16.5" customHeight="1">
      <c r="A105" s="15"/>
      <c r="B105" s="449"/>
      <c r="C105" s="450"/>
      <c r="D105" s="31"/>
      <c r="E105" s="31"/>
      <c r="F105" s="31"/>
      <c r="G105" s="69"/>
      <c r="H105" s="31"/>
      <c r="I105" s="9"/>
      <c r="J105" s="9"/>
      <c r="K105" s="11"/>
      <c r="L105" s="11"/>
      <c r="M105" s="15"/>
      <c r="N105" s="15"/>
      <c r="O105" s="15"/>
      <c r="P105" s="15"/>
      <c r="Q105" s="15"/>
      <c r="R105" s="15"/>
      <c r="S105" s="15"/>
      <c r="T105" s="15"/>
      <c r="U105" s="15"/>
      <c r="V105" s="15"/>
      <c r="W105" s="15"/>
      <c r="X105" s="15"/>
      <c r="Y105" s="15"/>
      <c r="Z105" s="15"/>
      <c r="AA105" s="15"/>
      <c r="AB105" s="15"/>
      <c r="AC105" s="15"/>
      <c r="AD105" s="15"/>
      <c r="AE105" s="15"/>
      <c r="AF105" s="15"/>
    </row>
    <row r="106" ht="16.5" customHeight="1">
      <c r="A106" s="15"/>
      <c r="B106" s="449"/>
      <c r="C106" s="450"/>
      <c r="D106" s="31"/>
      <c r="E106" s="31"/>
      <c r="F106" s="31"/>
      <c r="G106" s="69"/>
      <c r="H106" s="31"/>
      <c r="I106" s="9"/>
      <c r="J106" s="9"/>
      <c r="K106" s="11"/>
      <c r="L106" s="11"/>
      <c r="M106" s="15"/>
      <c r="N106" s="15"/>
      <c r="O106" s="15"/>
      <c r="P106" s="15"/>
      <c r="Q106" s="15"/>
      <c r="R106" s="15"/>
      <c r="S106" s="15"/>
      <c r="T106" s="15"/>
      <c r="U106" s="15"/>
      <c r="V106" s="15"/>
      <c r="W106" s="15"/>
      <c r="X106" s="15"/>
      <c r="Y106" s="15"/>
      <c r="Z106" s="15"/>
      <c r="AA106" s="15"/>
      <c r="AB106" s="15"/>
      <c r="AC106" s="15"/>
      <c r="AD106" s="15"/>
      <c r="AE106" s="15"/>
      <c r="AF106" s="15"/>
    </row>
    <row r="107" ht="16.5" customHeight="1">
      <c r="A107" s="15"/>
      <c r="B107" s="449"/>
      <c r="C107" s="450"/>
      <c r="D107" s="31"/>
      <c r="E107" s="31"/>
      <c r="F107" s="31"/>
      <c r="G107" s="69"/>
      <c r="H107" s="31"/>
      <c r="I107" s="9"/>
      <c r="J107" s="9"/>
      <c r="K107" s="11"/>
      <c r="L107" s="11"/>
      <c r="M107" s="15"/>
      <c r="N107" s="15"/>
      <c r="O107" s="15"/>
      <c r="P107" s="15"/>
      <c r="Q107" s="15"/>
      <c r="R107" s="15"/>
      <c r="S107" s="15"/>
      <c r="T107" s="15"/>
      <c r="U107" s="15"/>
      <c r="V107" s="15"/>
      <c r="W107" s="15"/>
      <c r="X107" s="15"/>
      <c r="Y107" s="15"/>
      <c r="Z107" s="15"/>
      <c r="AA107" s="15"/>
      <c r="AB107" s="15"/>
      <c r="AC107" s="15"/>
      <c r="AD107" s="15"/>
      <c r="AE107" s="15"/>
      <c r="AF107" s="15"/>
    </row>
    <row r="108" ht="16.5" customHeight="1">
      <c r="A108" s="15"/>
      <c r="B108" s="449"/>
      <c r="C108" s="450"/>
      <c r="D108" s="31"/>
      <c r="E108" s="37"/>
      <c r="F108" s="31"/>
      <c r="G108" s="69"/>
      <c r="H108" s="31"/>
      <c r="I108" s="9"/>
      <c r="J108" s="9"/>
      <c r="K108" s="11"/>
      <c r="L108" s="11"/>
      <c r="M108" s="15"/>
      <c r="N108" s="15"/>
      <c r="O108" s="15"/>
      <c r="P108" s="15"/>
      <c r="Q108" s="15"/>
      <c r="R108" s="15"/>
      <c r="S108" s="15"/>
      <c r="T108" s="15"/>
      <c r="U108" s="15"/>
      <c r="V108" s="15"/>
      <c r="W108" s="15"/>
      <c r="X108" s="15"/>
      <c r="Y108" s="15"/>
      <c r="Z108" s="15"/>
      <c r="AA108" s="15"/>
      <c r="AB108" s="15"/>
      <c r="AC108" s="15"/>
      <c r="AD108" s="15"/>
      <c r="AE108" s="15"/>
      <c r="AF108" s="15"/>
    </row>
    <row r="109" ht="16.5" customHeight="1">
      <c r="A109" s="15"/>
      <c r="B109" s="449"/>
      <c r="C109" s="450"/>
      <c r="D109" s="31"/>
      <c r="E109" s="37"/>
      <c r="F109" s="30"/>
      <c r="G109" s="69"/>
      <c r="H109" s="30"/>
      <c r="I109" s="9"/>
      <c r="J109" s="9"/>
      <c r="K109" s="11"/>
      <c r="L109" s="11"/>
      <c r="M109" s="15"/>
      <c r="N109" s="15"/>
      <c r="O109" s="15"/>
      <c r="P109" s="15"/>
      <c r="Q109" s="15"/>
      <c r="R109" s="15"/>
      <c r="S109" s="15"/>
      <c r="T109" s="15"/>
      <c r="U109" s="15"/>
      <c r="V109" s="15"/>
      <c r="W109" s="15"/>
      <c r="X109" s="15"/>
      <c r="Y109" s="15"/>
      <c r="Z109" s="15"/>
      <c r="AA109" s="15"/>
      <c r="AB109" s="15"/>
      <c r="AC109" s="15"/>
      <c r="AD109" s="15"/>
      <c r="AE109" s="15"/>
      <c r="AF109" s="15"/>
    </row>
    <row r="110" ht="16.5" customHeight="1">
      <c r="A110" s="15"/>
      <c r="B110" s="449"/>
      <c r="C110" s="450"/>
      <c r="D110" s="31"/>
      <c r="E110" s="37"/>
      <c r="F110" s="37"/>
      <c r="G110" s="69"/>
      <c r="H110" s="30"/>
      <c r="I110" s="9"/>
      <c r="J110" s="9"/>
      <c r="K110" s="11"/>
      <c r="L110" s="11"/>
      <c r="M110" s="15"/>
      <c r="N110" s="15"/>
      <c r="O110" s="15"/>
      <c r="P110" s="15"/>
      <c r="Q110" s="15"/>
      <c r="R110" s="15"/>
      <c r="S110" s="15"/>
      <c r="T110" s="15"/>
      <c r="U110" s="15"/>
      <c r="V110" s="15"/>
      <c r="W110" s="15"/>
      <c r="X110" s="15"/>
      <c r="Y110" s="15"/>
      <c r="Z110" s="15"/>
      <c r="AA110" s="15"/>
      <c r="AB110" s="15"/>
      <c r="AC110" s="15"/>
      <c r="AD110" s="15"/>
      <c r="AE110" s="15"/>
      <c r="AF110" s="15"/>
    </row>
    <row r="111" ht="16.5" customHeight="1">
      <c r="A111" s="15"/>
      <c r="B111" s="449"/>
      <c r="C111" s="450"/>
      <c r="D111" s="31"/>
      <c r="E111" s="31"/>
      <c r="F111" s="31"/>
      <c r="G111" s="69"/>
      <c r="H111" s="31"/>
      <c r="I111" s="9"/>
      <c r="J111" s="9"/>
      <c r="K111" s="11"/>
      <c r="L111" s="11"/>
      <c r="M111" s="15"/>
      <c r="N111" s="15"/>
      <c r="O111" s="15"/>
      <c r="P111" s="15"/>
      <c r="Q111" s="15"/>
      <c r="R111" s="15"/>
      <c r="S111" s="15"/>
      <c r="T111" s="15"/>
      <c r="U111" s="15"/>
      <c r="V111" s="15"/>
      <c r="W111" s="15"/>
      <c r="X111" s="15"/>
      <c r="Y111" s="15"/>
      <c r="Z111" s="15"/>
      <c r="AA111" s="15"/>
      <c r="AB111" s="15"/>
      <c r="AC111" s="15"/>
      <c r="AD111" s="15"/>
      <c r="AE111" s="15"/>
      <c r="AF111" s="15"/>
    </row>
    <row r="112" ht="16.5" customHeight="1">
      <c r="A112" s="15"/>
      <c r="B112" s="449"/>
      <c r="C112" s="450"/>
      <c r="D112" s="31"/>
      <c r="E112" s="31"/>
      <c r="F112" s="31"/>
      <c r="G112" s="69"/>
      <c r="H112" s="31"/>
      <c r="I112" s="9"/>
      <c r="J112" s="9"/>
      <c r="K112" s="11"/>
      <c r="L112" s="11"/>
      <c r="M112" s="15"/>
      <c r="N112" s="15"/>
      <c r="O112" s="15"/>
      <c r="P112" s="15"/>
      <c r="Q112" s="15"/>
      <c r="R112" s="15"/>
      <c r="S112" s="15"/>
      <c r="T112" s="15"/>
      <c r="U112" s="15"/>
      <c r="V112" s="15"/>
      <c r="W112" s="15"/>
      <c r="X112" s="15"/>
      <c r="Y112" s="15"/>
      <c r="Z112" s="15"/>
      <c r="AA112" s="15"/>
      <c r="AB112" s="15"/>
      <c r="AC112" s="15"/>
      <c r="AD112" s="15"/>
      <c r="AE112" s="15"/>
      <c r="AF112" s="15"/>
    </row>
    <row r="113" ht="16.5" customHeight="1">
      <c r="A113" s="15"/>
      <c r="B113" s="449"/>
      <c r="C113" s="450"/>
      <c r="D113" s="31"/>
      <c r="E113" s="31"/>
      <c r="F113" s="31"/>
      <c r="G113" s="69"/>
      <c r="H113" s="31"/>
      <c r="I113" s="9"/>
      <c r="J113" s="9"/>
      <c r="K113" s="11"/>
      <c r="L113" s="11"/>
      <c r="M113" s="15"/>
      <c r="N113" s="15"/>
      <c r="O113" s="15"/>
      <c r="P113" s="15"/>
      <c r="Q113" s="15"/>
      <c r="R113" s="15"/>
      <c r="S113" s="15"/>
      <c r="T113" s="15"/>
      <c r="U113" s="15"/>
      <c r="V113" s="15"/>
      <c r="W113" s="15"/>
      <c r="X113" s="15"/>
      <c r="Y113" s="15"/>
      <c r="Z113" s="15"/>
      <c r="AA113" s="15"/>
      <c r="AB113" s="15"/>
      <c r="AC113" s="15"/>
      <c r="AD113" s="15"/>
      <c r="AE113" s="15"/>
      <c r="AF113" s="15"/>
    </row>
    <row r="114" ht="16.5" customHeight="1">
      <c r="A114" s="15"/>
      <c r="B114" s="449"/>
      <c r="C114" s="450"/>
      <c r="D114" s="31"/>
      <c r="E114" s="31"/>
      <c r="F114" s="31"/>
      <c r="G114" s="69"/>
      <c r="H114" s="31"/>
      <c r="I114" s="9"/>
      <c r="J114" s="9"/>
      <c r="K114" s="11"/>
      <c r="L114" s="11"/>
      <c r="M114" s="15"/>
      <c r="N114" s="15"/>
      <c r="O114" s="15"/>
      <c r="P114" s="15"/>
      <c r="Q114" s="15"/>
      <c r="R114" s="15"/>
      <c r="S114" s="15"/>
      <c r="T114" s="15"/>
      <c r="U114" s="15"/>
      <c r="V114" s="15"/>
      <c r="W114" s="15"/>
      <c r="X114" s="15"/>
      <c r="Y114" s="15"/>
      <c r="Z114" s="15"/>
      <c r="AA114" s="15"/>
      <c r="AB114" s="15"/>
      <c r="AC114" s="15"/>
      <c r="AD114" s="15"/>
      <c r="AE114" s="15"/>
      <c r="AF114" s="15"/>
    </row>
    <row r="115" ht="16.5" customHeight="1">
      <c r="A115" s="15"/>
      <c r="B115" s="449"/>
      <c r="C115" s="450"/>
      <c r="D115" s="31"/>
      <c r="E115" s="37"/>
      <c r="F115" s="31"/>
      <c r="G115" s="69"/>
      <c r="H115" s="31"/>
      <c r="I115" s="31"/>
      <c r="J115" s="9"/>
      <c r="K115" s="11"/>
      <c r="L115" s="11"/>
      <c r="M115" s="15"/>
      <c r="N115" s="15"/>
      <c r="O115" s="15"/>
      <c r="P115" s="15"/>
      <c r="Q115" s="15"/>
      <c r="R115" s="15"/>
      <c r="S115" s="15"/>
      <c r="T115" s="15"/>
      <c r="U115" s="15"/>
      <c r="V115" s="15"/>
      <c r="W115" s="15"/>
      <c r="X115" s="15"/>
      <c r="Y115" s="15"/>
      <c r="Z115" s="15"/>
      <c r="AA115" s="15"/>
      <c r="AB115" s="15"/>
      <c r="AC115" s="15"/>
      <c r="AD115" s="15"/>
      <c r="AE115" s="15"/>
      <c r="AF115" s="15"/>
    </row>
    <row r="116" ht="16.5" customHeight="1">
      <c r="A116" s="15"/>
      <c r="B116" s="449"/>
      <c r="C116" s="450"/>
      <c r="D116" s="31"/>
      <c r="E116" s="37"/>
      <c r="F116" s="30"/>
      <c r="G116" s="69"/>
      <c r="H116" s="30"/>
      <c r="I116" s="31"/>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6.5" customHeight="1">
      <c r="A117" s="15"/>
      <c r="B117" s="449"/>
      <c r="C117" s="450"/>
      <c r="D117" s="31"/>
      <c r="E117" s="37"/>
      <c r="F117" s="37"/>
      <c r="G117" s="69"/>
      <c r="H117" s="30"/>
      <c r="I117" s="9"/>
      <c r="J117" s="9"/>
      <c r="K117" s="11"/>
      <c r="L117" s="11"/>
      <c r="M117" s="15"/>
      <c r="N117" s="15"/>
      <c r="O117" s="15"/>
      <c r="P117" s="15"/>
      <c r="Q117" s="15"/>
      <c r="R117" s="15"/>
      <c r="S117" s="15"/>
      <c r="T117" s="15"/>
      <c r="U117" s="15"/>
      <c r="V117" s="15"/>
      <c r="W117" s="15"/>
      <c r="X117" s="15"/>
      <c r="Y117" s="15"/>
      <c r="Z117" s="15"/>
      <c r="AA117" s="15"/>
      <c r="AB117" s="15"/>
      <c r="AC117" s="15"/>
      <c r="AD117" s="15"/>
      <c r="AE117" s="15"/>
      <c r="AF117" s="15"/>
    </row>
    <row r="118" ht="16.5" customHeight="1">
      <c r="A118" s="15"/>
      <c r="B118" s="449"/>
      <c r="C118" s="450"/>
      <c r="D118" s="31"/>
      <c r="E118" s="31"/>
      <c r="F118" s="31"/>
      <c r="G118" s="69"/>
      <c r="H118" s="31"/>
      <c r="I118" s="9"/>
      <c r="J118" s="9"/>
      <c r="K118" s="11"/>
      <c r="L118" s="11"/>
      <c r="M118" s="15"/>
      <c r="N118" s="15"/>
      <c r="O118" s="15"/>
      <c r="P118" s="15"/>
      <c r="Q118" s="15"/>
      <c r="R118" s="15"/>
      <c r="S118" s="15"/>
      <c r="T118" s="15"/>
      <c r="U118" s="15"/>
      <c r="V118" s="15"/>
      <c r="W118" s="15"/>
      <c r="X118" s="15"/>
      <c r="Y118" s="15"/>
      <c r="Z118" s="15"/>
      <c r="AA118" s="15"/>
      <c r="AB118" s="15"/>
      <c r="AC118" s="15"/>
      <c r="AD118" s="15"/>
      <c r="AE118" s="15"/>
      <c r="AF118" s="15"/>
    </row>
    <row r="119" ht="16.5" customHeight="1">
      <c r="A119" s="15"/>
      <c r="B119" s="449"/>
      <c r="C119" s="450"/>
      <c r="D119" s="31"/>
      <c r="E119" s="31"/>
      <c r="F119" s="31"/>
      <c r="G119" s="69"/>
      <c r="H119" s="31"/>
      <c r="I119" s="9"/>
      <c r="J119" s="9"/>
      <c r="K119" s="11"/>
      <c r="L119" s="11"/>
      <c r="M119" s="15"/>
      <c r="N119" s="15"/>
      <c r="O119" s="15"/>
      <c r="P119" s="15"/>
      <c r="Q119" s="15"/>
      <c r="R119" s="15"/>
      <c r="S119" s="15"/>
      <c r="T119" s="15"/>
      <c r="U119" s="15"/>
      <c r="V119" s="15"/>
      <c r="W119" s="15"/>
      <c r="X119" s="15"/>
      <c r="Y119" s="15"/>
      <c r="Z119" s="15"/>
      <c r="AA119" s="15"/>
      <c r="AB119" s="15"/>
      <c r="AC119" s="15"/>
      <c r="AD119" s="15"/>
      <c r="AE119" s="15"/>
      <c r="AF119" s="15"/>
    </row>
    <row r="120" ht="16.5" customHeight="1">
      <c r="A120" s="15"/>
      <c r="B120" s="449"/>
      <c r="C120" s="450"/>
      <c r="D120" s="31"/>
      <c r="E120" s="31"/>
      <c r="F120" s="31"/>
      <c r="G120" s="69"/>
      <c r="H120" s="31"/>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row>
    <row r="121" ht="16.5" customHeight="1">
      <c r="A121" s="15"/>
      <c r="B121" s="449"/>
      <c r="C121" s="450"/>
      <c r="D121" s="31"/>
      <c r="E121" s="31"/>
      <c r="F121" s="31"/>
      <c r="G121" s="69"/>
      <c r="H121" s="31"/>
      <c r="I121" s="9"/>
      <c r="J121" s="9"/>
      <c r="K121" s="11"/>
      <c r="L121" s="11"/>
      <c r="M121" s="15"/>
      <c r="N121" s="15"/>
      <c r="O121" s="15"/>
      <c r="P121" s="15"/>
      <c r="Q121" s="15"/>
      <c r="R121" s="15"/>
      <c r="S121" s="15"/>
      <c r="T121" s="15"/>
      <c r="U121" s="15"/>
      <c r="V121" s="15"/>
      <c r="W121" s="15"/>
      <c r="X121" s="15"/>
      <c r="Y121" s="15"/>
      <c r="Z121" s="15"/>
      <c r="AA121" s="15"/>
      <c r="AB121" s="15"/>
      <c r="AC121" s="15"/>
      <c r="AD121" s="15"/>
      <c r="AE121" s="15"/>
      <c r="AF121" s="15"/>
    </row>
    <row r="122" ht="16.5" customHeight="1">
      <c r="A122" s="15"/>
      <c r="B122" s="449"/>
      <c r="C122" s="450"/>
      <c r="D122" s="31"/>
      <c r="E122" s="31"/>
      <c r="F122" s="31"/>
      <c r="G122" s="69"/>
      <c r="H122" s="31"/>
      <c r="I122" s="9"/>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6.5" customHeight="1">
      <c r="A123" s="15"/>
      <c r="B123" s="449"/>
      <c r="C123" s="450"/>
      <c r="D123" s="31"/>
      <c r="E123" s="37"/>
      <c r="F123" s="31"/>
      <c r="G123" s="69"/>
      <c r="H123" s="31"/>
      <c r="I123" s="31"/>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row>
    <row r="124" ht="16.5" customHeight="1">
      <c r="A124" s="15"/>
      <c r="B124" s="449"/>
      <c r="C124" s="450"/>
      <c r="D124" s="31"/>
      <c r="E124" s="37"/>
      <c r="F124" s="30"/>
      <c r="G124" s="69"/>
      <c r="H124" s="30"/>
      <c r="I124" s="31"/>
      <c r="J124" s="9"/>
      <c r="K124" s="11"/>
      <c r="L124" s="11"/>
      <c r="M124" s="15"/>
      <c r="N124" s="15"/>
      <c r="O124" s="15"/>
      <c r="P124" s="15"/>
      <c r="Q124" s="15"/>
      <c r="R124" s="15"/>
      <c r="S124" s="15"/>
      <c r="T124" s="15"/>
      <c r="U124" s="15"/>
      <c r="V124" s="15"/>
      <c r="W124" s="15"/>
      <c r="X124" s="15"/>
      <c r="Y124" s="15"/>
      <c r="Z124" s="15"/>
      <c r="AA124" s="15"/>
      <c r="AB124" s="15"/>
      <c r="AC124" s="15"/>
      <c r="AD124" s="15"/>
      <c r="AE124" s="15"/>
      <c r="AF124" s="15"/>
    </row>
    <row r="125" ht="16.5" customHeight="1">
      <c r="A125" s="15"/>
      <c r="B125" s="449"/>
      <c r="C125" s="450"/>
      <c r="D125" s="31"/>
      <c r="E125" s="45"/>
      <c r="F125" s="45"/>
      <c r="G125" s="155"/>
      <c r="H125" s="51"/>
      <c r="I125" s="9"/>
      <c r="J125" s="9"/>
      <c r="K125" s="11"/>
      <c r="L125" s="11"/>
      <c r="M125" s="15"/>
      <c r="N125" s="15"/>
      <c r="O125" s="15"/>
      <c r="P125" s="15"/>
      <c r="Q125" s="15"/>
      <c r="R125" s="15"/>
      <c r="S125" s="15"/>
      <c r="T125" s="15"/>
      <c r="U125" s="15"/>
      <c r="V125" s="15"/>
      <c r="W125" s="15"/>
      <c r="X125" s="15"/>
      <c r="Y125" s="15"/>
      <c r="Z125" s="15"/>
      <c r="AA125" s="15"/>
      <c r="AB125" s="15"/>
      <c r="AC125" s="15"/>
      <c r="AD125" s="15"/>
      <c r="AE125" s="15"/>
      <c r="AF125" s="15"/>
    </row>
    <row r="126" ht="16.5" customHeight="1">
      <c r="A126" s="15"/>
      <c r="B126" s="449"/>
      <c r="C126" s="450"/>
      <c r="D126" s="31"/>
      <c r="E126" s="9"/>
      <c r="F126" s="9"/>
      <c r="G126" s="155"/>
      <c r="H126" s="9"/>
      <c r="I126" s="9"/>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row>
    <row r="127" ht="16.5" customHeight="1">
      <c r="A127" s="15"/>
      <c r="B127" s="449"/>
      <c r="C127" s="450"/>
      <c r="D127" s="31"/>
      <c r="E127" s="9"/>
      <c r="F127" s="9"/>
      <c r="G127" s="155"/>
      <c r="H127" s="9"/>
      <c r="I127" s="9"/>
      <c r="J127" s="9"/>
      <c r="K127" s="11"/>
      <c r="L127" s="11"/>
      <c r="M127" s="15"/>
      <c r="N127" s="15"/>
      <c r="O127" s="15"/>
      <c r="P127" s="15"/>
      <c r="Q127" s="15"/>
      <c r="R127" s="15"/>
      <c r="S127" s="15"/>
      <c r="T127" s="15"/>
      <c r="U127" s="15"/>
      <c r="V127" s="15"/>
      <c r="W127" s="15"/>
      <c r="X127" s="15"/>
      <c r="Y127" s="15"/>
      <c r="Z127" s="15"/>
      <c r="AA127" s="15"/>
      <c r="AB127" s="15"/>
      <c r="AC127" s="15"/>
      <c r="AD127" s="15"/>
      <c r="AE127" s="15"/>
      <c r="AF127" s="15"/>
    </row>
    <row r="128" ht="16.5" customHeight="1">
      <c r="A128" s="15"/>
      <c r="B128" s="75"/>
      <c r="C128" s="209"/>
      <c r="D128" s="9"/>
      <c r="E128" s="45"/>
      <c r="F128" s="9"/>
      <c r="G128" s="443"/>
      <c r="H128" s="9"/>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6.5" customHeight="1">
      <c r="A129" s="15"/>
      <c r="B129" s="75"/>
      <c r="C129" s="209"/>
      <c r="D129" s="9"/>
      <c r="E129" s="9"/>
      <c r="F129" s="9"/>
      <c r="G129" s="443"/>
      <c r="H129" s="9"/>
      <c r="I129" s="9"/>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row>
    <row r="130" ht="16.5" customHeight="1">
      <c r="A130" s="15"/>
      <c r="B130" s="75"/>
      <c r="C130" s="209"/>
      <c r="D130" s="9"/>
      <c r="E130" s="9"/>
      <c r="F130" s="9"/>
      <c r="G130" s="443"/>
      <c r="H130" s="9"/>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6.5" customHeight="1">
      <c r="A131" s="15"/>
      <c r="B131" s="75"/>
      <c r="C131" s="209"/>
      <c r="D131" s="9"/>
      <c r="E131" s="9"/>
      <c r="F131" s="9"/>
      <c r="G131" s="443"/>
      <c r="H131" s="9"/>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row>
    <row r="132" ht="16.5" customHeight="1">
      <c r="A132" s="15"/>
      <c r="B132" s="75"/>
      <c r="C132" s="209"/>
      <c r="D132" s="9"/>
      <c r="E132" s="45"/>
      <c r="F132" s="9"/>
      <c r="G132" s="443"/>
      <c r="H132" s="9"/>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row>
    <row r="133" ht="16.5" customHeight="1">
      <c r="A133" s="15"/>
      <c r="B133" s="75"/>
      <c r="C133" s="481"/>
      <c r="D133" s="50"/>
      <c r="E133" s="9"/>
      <c r="F133" s="9"/>
      <c r="G133" s="155"/>
      <c r="H133" s="9"/>
      <c r="I133" s="9"/>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row>
    <row r="134" ht="16.5" customHeight="1">
      <c r="A134" s="15"/>
      <c r="B134" s="75"/>
      <c r="C134" s="481"/>
      <c r="D134" s="50"/>
      <c r="E134" s="9"/>
      <c r="F134" s="9"/>
      <c r="G134" s="155"/>
      <c r="H134" s="9"/>
      <c r="I134" s="9"/>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row>
    <row r="135" ht="16.5" customHeight="1">
      <c r="A135" s="15"/>
      <c r="B135" s="75"/>
      <c r="C135" s="481"/>
      <c r="D135" s="50"/>
      <c r="E135" s="9"/>
      <c r="F135" s="9"/>
      <c r="G135" s="155"/>
      <c r="H135" s="9"/>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row>
    <row r="136" ht="16.5" customHeight="1">
      <c r="A136" s="15"/>
      <c r="B136" s="75"/>
      <c r="C136" s="481"/>
      <c r="D136" s="50"/>
      <c r="E136" s="45"/>
      <c r="F136" s="9"/>
      <c r="G136" s="155"/>
      <c r="H136" s="9"/>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6.5" customHeight="1">
      <c r="A137" s="15"/>
      <c r="B137" s="75"/>
      <c r="C137" s="481"/>
      <c r="D137" s="50"/>
      <c r="E137" s="45"/>
      <c r="F137" s="51"/>
      <c r="G137" s="155"/>
      <c r="H137" s="51"/>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6.5" customHeight="1">
      <c r="A138" s="15"/>
      <c r="B138" s="75"/>
      <c r="C138" s="481"/>
      <c r="D138" s="50"/>
      <c r="E138" s="45"/>
      <c r="F138" s="45"/>
      <c r="G138" s="155"/>
      <c r="H138" s="51"/>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6.5" customHeight="1">
      <c r="A139" s="15"/>
      <c r="B139" s="75"/>
      <c r="C139" s="481"/>
      <c r="D139" s="50"/>
      <c r="E139" s="9"/>
      <c r="F139" s="9"/>
      <c r="G139" s="155"/>
      <c r="H139" s="9"/>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6.5" customHeight="1">
      <c r="A140" s="15"/>
      <c r="B140" s="75"/>
      <c r="C140" s="481"/>
      <c r="D140" s="50"/>
      <c r="E140" s="9"/>
      <c r="F140" s="9"/>
      <c r="G140" s="155"/>
      <c r="H140" s="9"/>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6.5" customHeight="1">
      <c r="A141" s="15"/>
      <c r="B141" s="75"/>
      <c r="C141" s="481"/>
      <c r="D141" s="50"/>
      <c r="E141" s="9"/>
      <c r="F141" s="9"/>
      <c r="G141" s="155"/>
      <c r="H141" s="9"/>
      <c r="I141" s="9"/>
      <c r="J141" s="9"/>
      <c r="K141" s="11"/>
      <c r="L141" s="11"/>
      <c r="M141" s="15"/>
      <c r="N141" s="15"/>
      <c r="O141" s="15"/>
      <c r="P141" s="15"/>
      <c r="Q141" s="15"/>
      <c r="R141" s="15"/>
      <c r="S141" s="15"/>
      <c r="T141" s="15"/>
      <c r="U141" s="15"/>
      <c r="V141" s="15"/>
      <c r="W141" s="15"/>
      <c r="X141" s="15"/>
      <c r="Y141" s="15"/>
      <c r="Z141" s="15"/>
      <c r="AA141" s="15"/>
      <c r="AB141" s="15"/>
      <c r="AC141" s="15"/>
      <c r="AD141" s="15"/>
      <c r="AE141" s="15"/>
      <c r="AF141" s="15"/>
    </row>
    <row r="142" ht="16.5" customHeight="1">
      <c r="A142" s="15"/>
      <c r="B142" s="75"/>
      <c r="C142" s="481"/>
      <c r="D142" s="50"/>
      <c r="E142" s="9"/>
      <c r="F142" s="9"/>
      <c r="G142" s="155"/>
      <c r="H142" s="9"/>
      <c r="I142" s="9"/>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row>
    <row r="143" ht="16.5" customHeight="1">
      <c r="A143" s="15"/>
      <c r="B143" s="75"/>
      <c r="C143" s="481"/>
      <c r="D143" s="50"/>
      <c r="E143" s="9"/>
      <c r="F143" s="9"/>
      <c r="G143" s="155"/>
      <c r="H143" s="9"/>
      <c r="I143" s="9"/>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6.5" customHeight="1">
      <c r="A144" s="15"/>
      <c r="B144" s="75"/>
      <c r="C144" s="481"/>
      <c r="D144" s="50"/>
      <c r="E144" s="45"/>
      <c r="F144" s="9"/>
      <c r="G144" s="155"/>
      <c r="H144" s="9"/>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6.5" customHeight="1">
      <c r="A145" s="15"/>
      <c r="B145" s="75"/>
      <c r="C145" s="481"/>
      <c r="D145" s="50"/>
      <c r="E145" s="45"/>
      <c r="F145" s="51"/>
      <c r="G145" s="155"/>
      <c r="H145" s="51"/>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6.5" customHeight="1">
      <c r="A146" s="15"/>
      <c r="B146" s="75"/>
      <c r="C146" s="481"/>
      <c r="D146" s="50"/>
      <c r="E146" s="45"/>
      <c r="F146" s="45"/>
      <c r="G146" s="155"/>
      <c r="H146" s="51"/>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6.5" customHeight="1">
      <c r="A147" s="15"/>
      <c r="B147" s="75"/>
      <c r="C147" s="481"/>
      <c r="D147" s="50"/>
      <c r="E147" s="9"/>
      <c r="F147" s="9"/>
      <c r="G147" s="155"/>
      <c r="H147" s="9"/>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6.5" customHeight="1">
      <c r="A148" s="15"/>
      <c r="B148" s="75"/>
      <c r="C148" s="481"/>
      <c r="D148" s="50"/>
      <c r="E148" s="9"/>
      <c r="F148" s="9"/>
      <c r="G148" s="155"/>
      <c r="H148" s="9"/>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6.5" customHeight="1">
      <c r="A149" s="15"/>
      <c r="B149" s="75"/>
      <c r="C149" s="481"/>
      <c r="D149" s="50"/>
      <c r="E149" s="9"/>
      <c r="F149" s="9"/>
      <c r="G149" s="155"/>
      <c r="H149" s="9"/>
      <c r="I149" s="9"/>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row>
    <row r="150" ht="16.5" customHeight="1">
      <c r="A150" s="15"/>
      <c r="B150" s="75"/>
      <c r="C150" s="481"/>
      <c r="D150" s="50"/>
      <c r="E150" s="9"/>
      <c r="F150" s="9"/>
      <c r="G150" s="155"/>
      <c r="H150" s="9"/>
      <c r="I150" s="9"/>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row>
    <row r="151" ht="16.5" customHeight="1">
      <c r="A151" s="15"/>
      <c r="B151" s="75"/>
      <c r="C151" s="481"/>
      <c r="D151" s="50"/>
      <c r="E151" s="9"/>
      <c r="F151" s="9"/>
      <c r="G151" s="155"/>
      <c r="H151" s="9"/>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6.5" customHeight="1">
      <c r="A152" s="15"/>
      <c r="B152" s="75"/>
      <c r="C152" s="481"/>
      <c r="D152" s="50"/>
      <c r="E152" s="45"/>
      <c r="F152" s="9"/>
      <c r="G152" s="155"/>
      <c r="H152" s="9"/>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6.5" customHeight="1">
      <c r="A153" s="15"/>
      <c r="B153" s="75"/>
      <c r="C153" s="481"/>
      <c r="D153" s="50"/>
      <c r="E153" s="45"/>
      <c r="F153" s="51"/>
      <c r="G153" s="155"/>
      <c r="H153" s="51"/>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6.5" customHeight="1">
      <c r="A154" s="15"/>
      <c r="B154" s="75"/>
      <c r="C154" s="481"/>
      <c r="D154" s="50"/>
      <c r="E154" s="37"/>
      <c r="F154" s="37"/>
      <c r="G154" s="69"/>
      <c r="H154" s="30"/>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6.5" customHeight="1">
      <c r="A155" s="15"/>
      <c r="B155" s="75"/>
      <c r="C155" s="481"/>
      <c r="D155" s="50"/>
      <c r="E155" s="31"/>
      <c r="F155" s="31"/>
      <c r="G155" s="69"/>
      <c r="H155" s="31"/>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6.5" customHeight="1">
      <c r="A156" s="15"/>
      <c r="B156" s="75"/>
      <c r="C156" s="481"/>
      <c r="D156" s="50"/>
      <c r="E156" s="31"/>
      <c r="F156" s="31"/>
      <c r="G156" s="69"/>
      <c r="H156" s="31"/>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6.5" customHeight="1">
      <c r="A157" s="15"/>
      <c r="B157" s="449"/>
      <c r="C157" s="450"/>
      <c r="D157" s="31"/>
      <c r="E157" s="31"/>
      <c r="F157" s="31"/>
      <c r="G157" s="69"/>
      <c r="H157" s="31"/>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row>
    <row r="158" ht="16.5" customHeight="1">
      <c r="A158" s="15"/>
      <c r="B158" s="449"/>
      <c r="C158" s="450"/>
      <c r="D158" s="31"/>
      <c r="E158" s="31"/>
      <c r="F158" s="31"/>
      <c r="G158" s="69"/>
      <c r="H158" s="31"/>
      <c r="I158" s="9"/>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row>
    <row r="159" ht="16.5" customHeight="1">
      <c r="A159" s="15"/>
      <c r="B159" s="449"/>
      <c r="C159" s="450"/>
      <c r="D159" s="31"/>
      <c r="E159" s="31"/>
      <c r="F159" s="31"/>
      <c r="G159" s="69"/>
      <c r="H159" s="31"/>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6.5" customHeight="1">
      <c r="A160" s="15"/>
      <c r="B160" s="449"/>
      <c r="C160" s="450"/>
      <c r="D160" s="31"/>
      <c r="E160" s="37"/>
      <c r="F160" s="31"/>
      <c r="G160" s="69"/>
      <c r="H160" s="31"/>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6.5" customHeight="1">
      <c r="A161" s="15"/>
      <c r="B161" s="449"/>
      <c r="C161" s="450"/>
      <c r="D161" s="31"/>
      <c r="E161" s="37"/>
      <c r="F161" s="30"/>
      <c r="G161" s="69"/>
      <c r="H161" s="30"/>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6.5" customHeight="1">
      <c r="A162" s="15"/>
      <c r="B162" s="449"/>
      <c r="C162" s="450"/>
      <c r="D162" s="31"/>
      <c r="E162" s="37"/>
      <c r="F162" s="37"/>
      <c r="G162" s="69"/>
      <c r="H162" s="30"/>
      <c r="I162" s="31"/>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6.5" customHeight="1">
      <c r="A163" s="15"/>
      <c r="B163" s="449"/>
      <c r="C163" s="450"/>
      <c r="D163" s="31"/>
      <c r="E163" s="31"/>
      <c r="F163" s="31"/>
      <c r="G163" s="69"/>
      <c r="H163" s="31"/>
      <c r="I163" s="31"/>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6.5" customHeight="1">
      <c r="A164" s="15"/>
      <c r="B164" s="449"/>
      <c r="C164" s="482"/>
      <c r="D164" s="55"/>
      <c r="E164" s="31"/>
      <c r="F164" s="31"/>
      <c r="G164" s="69"/>
      <c r="H164" s="31"/>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6.5" customHeight="1">
      <c r="A165" s="15"/>
      <c r="B165" s="449"/>
      <c r="C165" s="482"/>
      <c r="D165" s="55"/>
      <c r="E165" s="31"/>
      <c r="F165" s="31"/>
      <c r="G165" s="69"/>
      <c r="H165" s="31"/>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6.5" customHeight="1">
      <c r="A166" s="15"/>
      <c r="B166" s="449"/>
      <c r="C166" s="482"/>
      <c r="D166" s="55"/>
      <c r="E166" s="31"/>
      <c r="F166" s="31"/>
      <c r="G166" s="69"/>
      <c r="H166" s="31"/>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6.5" customHeight="1">
      <c r="A167" s="15"/>
      <c r="B167" s="449"/>
      <c r="C167" s="482"/>
      <c r="D167" s="55"/>
      <c r="E167" s="37"/>
      <c r="F167" s="31"/>
      <c r="G167" s="69"/>
      <c r="H167" s="31"/>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6.5" customHeight="1">
      <c r="A168" s="15"/>
      <c r="B168" s="449"/>
      <c r="C168" s="482"/>
      <c r="D168" s="55"/>
      <c r="E168" s="37"/>
      <c r="F168" s="30"/>
      <c r="G168" s="69"/>
      <c r="H168" s="30"/>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6.5" customHeight="1">
      <c r="A169" s="15"/>
      <c r="B169" s="449"/>
      <c r="C169" s="482"/>
      <c r="D169" s="55"/>
      <c r="E169" s="37"/>
      <c r="F169" s="37"/>
      <c r="G169" s="69"/>
      <c r="H169" s="30"/>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6.5" customHeight="1">
      <c r="A170" s="15"/>
      <c r="B170" s="449"/>
      <c r="C170" s="482"/>
      <c r="D170" s="55"/>
      <c r="E170" s="31"/>
      <c r="F170" s="31"/>
      <c r="G170" s="69"/>
      <c r="H170" s="31"/>
      <c r="I170" s="31"/>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6.5" customHeight="1">
      <c r="A171" s="15"/>
      <c r="B171" s="449"/>
      <c r="C171" s="482"/>
      <c r="D171" s="55"/>
      <c r="E171" s="31"/>
      <c r="F171" s="31"/>
      <c r="G171" s="69"/>
      <c r="H171" s="31"/>
      <c r="I171" s="31"/>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6.5" customHeight="1">
      <c r="A172" s="15"/>
      <c r="B172" s="449"/>
      <c r="C172" s="482"/>
      <c r="D172" s="55"/>
      <c r="E172" s="31"/>
      <c r="F172" s="31"/>
      <c r="G172" s="69"/>
      <c r="H172" s="31"/>
      <c r="I172" s="9"/>
      <c r="J172" s="9"/>
      <c r="K172" s="11"/>
      <c r="L172" s="11"/>
      <c r="M172" s="15"/>
      <c r="N172" s="15"/>
      <c r="O172" s="15"/>
      <c r="P172" s="15"/>
      <c r="Q172" s="15"/>
      <c r="R172" s="15"/>
      <c r="S172" s="15"/>
      <c r="T172" s="15"/>
      <c r="U172" s="15"/>
      <c r="V172" s="15"/>
      <c r="W172" s="15"/>
      <c r="X172" s="15"/>
      <c r="Y172" s="15"/>
      <c r="Z172" s="15"/>
      <c r="AA172" s="15"/>
      <c r="AB172" s="15"/>
      <c r="AC172" s="15"/>
      <c r="AD172" s="15"/>
      <c r="AE172" s="15"/>
      <c r="AF172" s="15"/>
    </row>
    <row r="173" ht="16.5" customHeight="1">
      <c r="A173" s="15"/>
      <c r="B173" s="449"/>
      <c r="C173" s="482"/>
      <c r="D173" s="55"/>
      <c r="E173" s="31"/>
      <c r="F173" s="31"/>
      <c r="G173" s="69"/>
      <c r="H173" s="31"/>
      <c r="I173" s="9"/>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row>
    <row r="174" ht="16.5" customHeight="1">
      <c r="A174" s="15"/>
      <c r="B174" s="449"/>
      <c r="C174" s="482"/>
      <c r="D174" s="55"/>
      <c r="E174" s="31"/>
      <c r="F174" s="31"/>
      <c r="G174" s="69"/>
      <c r="H174" s="31"/>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6.5" customHeight="1">
      <c r="A175" s="15"/>
      <c r="B175" s="449"/>
      <c r="C175" s="482"/>
      <c r="D175" s="55"/>
      <c r="E175" s="37"/>
      <c r="F175" s="31"/>
      <c r="G175" s="69"/>
      <c r="H175" s="31"/>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6.5" customHeight="1">
      <c r="A176" s="15"/>
      <c r="B176" s="449"/>
      <c r="C176" s="482"/>
      <c r="D176" s="55"/>
      <c r="E176" s="37"/>
      <c r="F176" s="30"/>
      <c r="G176" s="69"/>
      <c r="H176" s="30"/>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6.5" customHeight="1">
      <c r="A177" s="15"/>
      <c r="B177" s="449"/>
      <c r="C177" s="482"/>
      <c r="D177" s="55"/>
      <c r="E177" s="37"/>
      <c r="F177" s="37"/>
      <c r="G177" s="69"/>
      <c r="H177" s="30"/>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6.5" customHeight="1">
      <c r="A178" s="15"/>
      <c r="B178" s="449"/>
      <c r="C178" s="482"/>
      <c r="D178" s="55"/>
      <c r="E178" s="31"/>
      <c r="F178" s="31"/>
      <c r="G178" s="69"/>
      <c r="H178" s="31"/>
      <c r="I178" s="31"/>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6.5" customHeight="1">
      <c r="A179" s="15"/>
      <c r="B179" s="449"/>
      <c r="C179" s="482"/>
      <c r="D179" s="55"/>
      <c r="E179" s="31"/>
      <c r="F179" s="31"/>
      <c r="G179" s="69"/>
      <c r="H179" s="31"/>
      <c r="I179" s="31"/>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6.5" customHeight="1">
      <c r="A180" s="15"/>
      <c r="B180" s="449"/>
      <c r="C180" s="450"/>
      <c r="D180" s="31"/>
      <c r="E180" s="31"/>
      <c r="F180" s="31"/>
      <c r="G180" s="69"/>
      <c r="H180" s="31"/>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6.5" customHeight="1">
      <c r="A181" s="15"/>
      <c r="B181" s="449"/>
      <c r="C181" s="450"/>
      <c r="D181" s="31"/>
      <c r="E181" s="31"/>
      <c r="F181" s="31"/>
      <c r="G181" s="69"/>
      <c r="H181" s="31"/>
      <c r="I181" s="9"/>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6.5" customHeight="1">
      <c r="A182" s="15"/>
      <c r="B182" s="449"/>
      <c r="C182" s="450"/>
      <c r="D182" s="31"/>
      <c r="E182" s="31"/>
      <c r="F182" s="31"/>
      <c r="G182" s="69"/>
      <c r="H182" s="31"/>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6.5" customHeight="1">
      <c r="A183" s="15"/>
      <c r="B183" s="449"/>
      <c r="C183" s="450"/>
      <c r="D183" s="31"/>
      <c r="E183" s="37"/>
      <c r="F183" s="31"/>
      <c r="G183" s="69"/>
      <c r="H183" s="31"/>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6.5" customHeight="1">
      <c r="A184" s="15"/>
      <c r="B184" s="449"/>
      <c r="C184" s="450"/>
      <c r="D184" s="31"/>
      <c r="E184" s="37"/>
      <c r="F184" s="30"/>
      <c r="G184" s="69"/>
      <c r="H184" s="30"/>
      <c r="I184" s="9"/>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6.5" customHeight="1">
      <c r="A185" s="15"/>
      <c r="B185" s="449"/>
      <c r="C185" s="450"/>
      <c r="D185" s="31"/>
      <c r="E185" s="37"/>
      <c r="F185" s="37"/>
      <c r="G185" s="69"/>
      <c r="H185" s="30"/>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6.5" customHeight="1">
      <c r="A186" s="15"/>
      <c r="B186" s="449"/>
      <c r="C186" s="450"/>
      <c r="D186" s="31"/>
      <c r="E186" s="31"/>
      <c r="F186" s="31"/>
      <c r="G186" s="69"/>
      <c r="H186" s="31"/>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6.5" customHeight="1">
      <c r="A187" s="15"/>
      <c r="B187" s="449"/>
      <c r="C187" s="482"/>
      <c r="D187" s="55"/>
      <c r="E187" s="31"/>
      <c r="F187" s="31"/>
      <c r="G187" s="69"/>
      <c r="H187" s="31"/>
      <c r="I187" s="9"/>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6.5" customHeight="1">
      <c r="A188" s="15"/>
      <c r="B188" s="449"/>
      <c r="C188" s="482"/>
      <c r="D188" s="55"/>
      <c r="E188" s="31"/>
      <c r="F188" s="31"/>
      <c r="G188" s="69"/>
      <c r="H188" s="31"/>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6.5" customHeight="1">
      <c r="A189" s="15"/>
      <c r="B189" s="449"/>
      <c r="C189" s="482"/>
      <c r="D189" s="55"/>
      <c r="E189" s="31"/>
      <c r="F189" s="31"/>
      <c r="G189" s="69"/>
      <c r="H189" s="31"/>
      <c r="I189" s="9"/>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row>
    <row r="190" ht="16.5" customHeight="1">
      <c r="A190" s="15"/>
      <c r="B190" s="449"/>
      <c r="C190" s="482"/>
      <c r="D190" s="55"/>
      <c r="E190" s="37"/>
      <c r="F190" s="31"/>
      <c r="G190" s="69"/>
      <c r="H190" s="31"/>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6.5" customHeight="1">
      <c r="A191" s="15"/>
      <c r="B191" s="449"/>
      <c r="C191" s="482"/>
      <c r="D191" s="55"/>
      <c r="E191" s="37"/>
      <c r="F191" s="30"/>
      <c r="G191" s="69"/>
      <c r="H191" s="30"/>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6.5" customHeight="1">
      <c r="A192" s="15"/>
      <c r="B192" s="449"/>
      <c r="C192" s="482"/>
      <c r="D192" s="55"/>
      <c r="E192" s="37"/>
      <c r="F192" s="37"/>
      <c r="G192" s="69"/>
      <c r="H192" s="30"/>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6.5" customHeight="1">
      <c r="A193" s="15"/>
      <c r="B193" s="449"/>
      <c r="C193" s="482"/>
      <c r="D193" s="55"/>
      <c r="E193" s="31"/>
      <c r="F193" s="31"/>
      <c r="G193" s="69"/>
      <c r="H193" s="31"/>
      <c r="I193" s="31"/>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6.5" customHeight="1">
      <c r="A194" s="15"/>
      <c r="B194" s="449"/>
      <c r="C194" s="482"/>
      <c r="D194" s="55"/>
      <c r="E194" s="31"/>
      <c r="F194" s="31"/>
      <c r="G194" s="69"/>
      <c r="H194" s="31"/>
      <c r="I194" s="31"/>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6.5" customHeight="1">
      <c r="A195" s="15"/>
      <c r="B195" s="449"/>
      <c r="C195" s="482"/>
      <c r="D195" s="55"/>
      <c r="E195" s="31"/>
      <c r="F195" s="31"/>
      <c r="G195" s="69"/>
      <c r="H195" s="31"/>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6.5" customHeight="1">
      <c r="A196" s="15"/>
      <c r="B196" s="449"/>
      <c r="C196" s="482"/>
      <c r="D196" s="55"/>
      <c r="E196" s="31"/>
      <c r="F196" s="31"/>
      <c r="G196" s="69"/>
      <c r="H196" s="31"/>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6.5" customHeight="1">
      <c r="A197" s="15"/>
      <c r="B197" s="449"/>
      <c r="C197" s="482"/>
      <c r="D197" s="55"/>
      <c r="E197" s="31"/>
      <c r="F197" s="31"/>
      <c r="G197" s="69"/>
      <c r="H197" s="31"/>
      <c r="I197" s="9"/>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6.5" customHeight="1">
      <c r="A198" s="15"/>
      <c r="B198" s="449"/>
      <c r="C198" s="482"/>
      <c r="D198" s="55"/>
      <c r="E198" s="37"/>
      <c r="F198" s="31"/>
      <c r="G198" s="69"/>
      <c r="H198" s="31"/>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6.5" customHeight="1">
      <c r="A199" s="15"/>
      <c r="B199" s="449"/>
      <c r="C199" s="482"/>
      <c r="D199" s="55"/>
      <c r="E199" s="37"/>
      <c r="F199" s="30"/>
      <c r="G199" s="69"/>
      <c r="H199" s="30"/>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6.5" customHeight="1">
      <c r="A200" s="15"/>
      <c r="B200" s="449"/>
      <c r="C200" s="482"/>
      <c r="D200" s="55"/>
      <c r="E200" s="37"/>
      <c r="F200" s="37"/>
      <c r="G200" s="69"/>
      <c r="H200" s="30"/>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6.5" customHeight="1">
      <c r="A201" s="15"/>
      <c r="B201" s="449"/>
      <c r="C201" s="482"/>
      <c r="D201" s="55"/>
      <c r="E201" s="31"/>
      <c r="F201" s="31"/>
      <c r="G201" s="69"/>
      <c r="H201" s="31"/>
      <c r="I201" s="31"/>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6.5" customHeight="1">
      <c r="A202" s="15"/>
      <c r="B202" s="449"/>
      <c r="C202" s="482"/>
      <c r="D202" s="55"/>
      <c r="E202" s="31"/>
      <c r="F202" s="31"/>
      <c r="G202" s="69"/>
      <c r="H202" s="31"/>
      <c r="I202" s="31"/>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6.5" customHeight="1">
      <c r="A203" s="15"/>
      <c r="B203" s="449"/>
      <c r="C203" s="482"/>
      <c r="D203" s="55"/>
      <c r="E203" s="31"/>
      <c r="F203" s="31"/>
      <c r="G203" s="69"/>
      <c r="H203" s="31"/>
      <c r="I203" s="9"/>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6.5" customHeight="1">
      <c r="A204" s="15"/>
      <c r="B204" s="449"/>
      <c r="C204" s="482"/>
      <c r="D204" s="55"/>
      <c r="E204" s="31"/>
      <c r="F204" s="31"/>
      <c r="G204" s="69"/>
      <c r="H204" s="31"/>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6.5" customHeight="1">
      <c r="A205" s="15"/>
      <c r="B205" s="449"/>
      <c r="C205" s="482"/>
      <c r="D205" s="55"/>
      <c r="E205" s="31"/>
      <c r="F205" s="31"/>
      <c r="G205" s="69"/>
      <c r="H205" s="31"/>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6.5" customHeight="1">
      <c r="A206" s="15"/>
      <c r="B206" s="449"/>
      <c r="C206" s="482"/>
      <c r="D206" s="55"/>
      <c r="E206" s="37"/>
      <c r="F206" s="31"/>
      <c r="G206" s="69"/>
      <c r="H206" s="31"/>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6.5" customHeight="1">
      <c r="A207" s="15"/>
      <c r="B207" s="449"/>
      <c r="C207" s="482"/>
      <c r="D207" s="55"/>
      <c r="E207" s="37"/>
      <c r="F207" s="30"/>
      <c r="G207" s="69"/>
      <c r="H207" s="30"/>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6.5" customHeight="1">
      <c r="A208" s="15"/>
      <c r="B208" s="449"/>
      <c r="C208" s="482"/>
      <c r="D208" s="55"/>
      <c r="E208" s="37"/>
      <c r="F208" s="37"/>
      <c r="G208" s="69"/>
      <c r="H208" s="30"/>
      <c r="I208" s="9"/>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6.5" customHeight="1">
      <c r="A209" s="15"/>
      <c r="B209" s="449"/>
      <c r="C209" s="482"/>
      <c r="D209" s="55"/>
      <c r="E209" s="31"/>
      <c r="F209" s="31"/>
      <c r="G209" s="69"/>
      <c r="H209" s="31"/>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6.5" customHeight="1">
      <c r="A210" s="15"/>
      <c r="B210" s="449"/>
      <c r="C210" s="482"/>
      <c r="D210" s="55"/>
      <c r="E210" s="31"/>
      <c r="F210" s="31"/>
      <c r="G210" s="69"/>
      <c r="H210" s="31"/>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6.5" customHeight="1">
      <c r="A211" s="15"/>
      <c r="B211" s="449"/>
      <c r="C211" s="482"/>
      <c r="D211" s="55"/>
      <c r="E211" s="31"/>
      <c r="F211" s="31"/>
      <c r="G211" s="69"/>
      <c r="H211" s="31"/>
      <c r="I211" s="9"/>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6.5" customHeight="1">
      <c r="A212" s="15"/>
      <c r="B212" s="449"/>
      <c r="C212" s="482"/>
      <c r="D212" s="55"/>
      <c r="E212" s="31"/>
      <c r="F212" s="31"/>
      <c r="G212" s="69"/>
      <c r="H212" s="31"/>
      <c r="I212" s="9"/>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6.5" customHeight="1">
      <c r="A213" s="15"/>
      <c r="B213" s="449"/>
      <c r="C213" s="482"/>
      <c r="D213" s="55"/>
      <c r="E213" s="31"/>
      <c r="F213" s="31"/>
      <c r="G213" s="69"/>
      <c r="H213" s="31"/>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6.5" customHeight="1">
      <c r="A214" s="15"/>
      <c r="B214" s="449"/>
      <c r="C214" s="482"/>
      <c r="D214" s="55"/>
      <c r="E214" s="37"/>
      <c r="F214" s="31"/>
      <c r="G214" s="69"/>
      <c r="H214" s="31"/>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6.5" customHeight="1">
      <c r="A215" s="15"/>
      <c r="B215" s="449"/>
      <c r="C215" s="482"/>
      <c r="D215" s="55"/>
      <c r="E215" s="37"/>
      <c r="F215" s="30"/>
      <c r="G215" s="69"/>
      <c r="H215" s="30"/>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6.5" customHeight="1">
      <c r="A216" s="15"/>
      <c r="B216" s="449"/>
      <c r="C216" s="482"/>
      <c r="D216" s="55"/>
      <c r="E216" s="37"/>
      <c r="F216" s="37"/>
      <c r="G216" s="69"/>
      <c r="H216" s="30"/>
      <c r="I216" s="31"/>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6.5" customHeight="1">
      <c r="A217" s="15"/>
      <c r="B217" s="449"/>
      <c r="C217" s="482"/>
      <c r="D217" s="55"/>
      <c r="E217" s="31"/>
      <c r="F217" s="31"/>
      <c r="G217" s="69"/>
      <c r="H217" s="31"/>
      <c r="I217" s="31"/>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6.5" customHeight="1">
      <c r="A218" s="15"/>
      <c r="B218" s="449"/>
      <c r="C218" s="482"/>
      <c r="D218" s="55"/>
      <c r="E218" s="31"/>
      <c r="F218" s="31"/>
      <c r="G218" s="69"/>
      <c r="H218" s="31"/>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6.5" customHeight="1">
      <c r="A219" s="15"/>
      <c r="B219" s="449"/>
      <c r="C219" s="450"/>
      <c r="D219" s="31"/>
      <c r="E219" s="31"/>
      <c r="F219" s="31"/>
      <c r="G219" s="69"/>
      <c r="H219" s="31"/>
      <c r="I219" s="9"/>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6.5" customHeight="1">
      <c r="A220" s="15"/>
      <c r="B220" s="449"/>
      <c r="C220" s="450"/>
      <c r="D220" s="31"/>
      <c r="E220" s="31"/>
      <c r="F220" s="31"/>
      <c r="G220" s="69"/>
      <c r="H220" s="31"/>
      <c r="I220" s="9"/>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6.5" customHeight="1">
      <c r="A221" s="15"/>
      <c r="B221" s="449"/>
      <c r="C221" s="450"/>
      <c r="D221" s="31"/>
      <c r="E221" s="31"/>
      <c r="F221" s="31"/>
      <c r="G221" s="69"/>
      <c r="H221" s="31"/>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6.5" customHeight="1">
      <c r="A222" s="15"/>
      <c r="B222" s="449"/>
      <c r="C222" s="450"/>
      <c r="D222" s="31"/>
      <c r="E222" s="37"/>
      <c r="F222" s="31"/>
      <c r="G222" s="69"/>
      <c r="H222" s="31"/>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6.5" customHeight="1">
      <c r="A223" s="15"/>
      <c r="B223" s="449"/>
      <c r="C223" s="450"/>
      <c r="D223" s="31"/>
      <c r="E223" s="37"/>
      <c r="F223" s="30"/>
      <c r="G223" s="69"/>
      <c r="H223" s="30"/>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6.5" customHeight="1">
      <c r="A224" s="15"/>
      <c r="B224" s="449"/>
      <c r="C224" s="450"/>
      <c r="D224" s="31"/>
      <c r="E224" s="37"/>
      <c r="F224" s="37"/>
      <c r="G224" s="69"/>
      <c r="H224" s="30"/>
      <c r="I224" s="31"/>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6.5" customHeight="1">
      <c r="A225" s="15"/>
      <c r="B225" s="449"/>
      <c r="C225" s="450"/>
      <c r="D225" s="31"/>
      <c r="E225" s="31"/>
      <c r="F225" s="31"/>
      <c r="G225" s="69"/>
      <c r="H225" s="31"/>
      <c r="I225" s="31"/>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6.5" customHeight="1">
      <c r="A226" s="15"/>
      <c r="B226" s="449"/>
      <c r="C226" s="482"/>
      <c r="D226" s="55"/>
      <c r="E226" s="31"/>
      <c r="F226" s="31"/>
      <c r="G226" s="69"/>
      <c r="H226" s="31"/>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6.5" customHeight="1">
      <c r="A227" s="15"/>
      <c r="B227" s="449"/>
      <c r="C227" s="482"/>
      <c r="D227" s="55"/>
      <c r="E227" s="31"/>
      <c r="F227" s="31"/>
      <c r="G227" s="69"/>
      <c r="H227" s="31"/>
      <c r="I227" s="9"/>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6.5" customHeight="1">
      <c r="A228" s="15"/>
      <c r="B228" s="449"/>
      <c r="C228" s="482"/>
      <c r="D228" s="55"/>
      <c r="E228" s="31"/>
      <c r="F228" s="31"/>
      <c r="G228" s="69"/>
      <c r="H228" s="31"/>
      <c r="I228" s="9"/>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6.5" customHeight="1">
      <c r="A229" s="15"/>
      <c r="B229" s="449"/>
      <c r="C229" s="482"/>
      <c r="D229" s="55"/>
      <c r="E229" s="37"/>
      <c r="F229" s="31"/>
      <c r="G229" s="69"/>
      <c r="H229" s="31"/>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6.5" customHeight="1">
      <c r="A230" s="15"/>
      <c r="B230" s="449"/>
      <c r="C230" s="482"/>
      <c r="D230" s="55"/>
      <c r="E230" s="37"/>
      <c r="F230" s="30"/>
      <c r="G230" s="69"/>
      <c r="H230" s="30"/>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6.5" customHeight="1">
      <c r="A231" s="15"/>
      <c r="B231" s="449"/>
      <c r="C231" s="482"/>
      <c r="D231" s="55"/>
      <c r="E231" s="37"/>
      <c r="F231" s="37"/>
      <c r="G231" s="69"/>
      <c r="H231" s="30"/>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6.5" customHeight="1">
      <c r="A232" s="15"/>
      <c r="B232" s="449"/>
      <c r="C232" s="482"/>
      <c r="D232" s="55"/>
      <c r="E232" s="31"/>
      <c r="F232" s="31"/>
      <c r="G232" s="69"/>
      <c r="H232" s="31"/>
      <c r="I232" s="31"/>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row>
    <row r="233" ht="16.5" customHeight="1">
      <c r="A233" s="15"/>
      <c r="B233" s="449"/>
      <c r="C233" s="482"/>
      <c r="D233" s="55"/>
      <c r="E233" s="31"/>
      <c r="F233" s="31"/>
      <c r="G233" s="69"/>
      <c r="H233" s="31"/>
      <c r="I233" s="31"/>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6.5" customHeight="1">
      <c r="A234" s="15"/>
      <c r="B234" s="449"/>
      <c r="C234" s="482"/>
      <c r="D234" s="55"/>
      <c r="E234" s="31"/>
      <c r="F234" s="31"/>
      <c r="G234" s="69"/>
      <c r="H234" s="31"/>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6.5" customHeight="1">
      <c r="A235" s="15"/>
      <c r="B235" s="449"/>
      <c r="C235" s="482"/>
      <c r="D235" s="55"/>
      <c r="E235" s="31"/>
      <c r="F235" s="31"/>
      <c r="G235" s="69"/>
      <c r="H235" s="31"/>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6.5" customHeight="1">
      <c r="A236" s="15"/>
      <c r="B236" s="449"/>
      <c r="C236" s="482"/>
      <c r="D236" s="55"/>
      <c r="E236" s="31"/>
      <c r="F236" s="31"/>
      <c r="G236" s="69"/>
      <c r="H236" s="31"/>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6.5" customHeight="1">
      <c r="A237" s="15"/>
      <c r="B237" s="449"/>
      <c r="C237" s="482"/>
      <c r="D237" s="55"/>
      <c r="E237" s="37"/>
      <c r="F237" s="31"/>
      <c r="G237" s="69"/>
      <c r="H237" s="31"/>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6.5" customHeight="1">
      <c r="A238" s="15"/>
      <c r="B238" s="449"/>
      <c r="C238" s="482"/>
      <c r="D238" s="55"/>
      <c r="E238" s="37"/>
      <c r="F238" s="30"/>
      <c r="G238" s="69"/>
      <c r="H238" s="30"/>
      <c r="I238" s="9"/>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6.5" customHeight="1">
      <c r="A239" s="15"/>
      <c r="B239" s="449"/>
      <c r="C239" s="482"/>
      <c r="D239" s="55"/>
      <c r="E239" s="37"/>
      <c r="F239" s="37"/>
      <c r="G239" s="69"/>
      <c r="H239" s="30"/>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6.5" customHeight="1">
      <c r="A240" s="15"/>
      <c r="B240" s="449"/>
      <c r="C240" s="482"/>
      <c r="D240" s="55"/>
      <c r="E240" s="31"/>
      <c r="F240" s="31"/>
      <c r="G240" s="69"/>
      <c r="H240" s="31"/>
      <c r="I240" s="31"/>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row>
    <row r="241" ht="16.5" customHeight="1">
      <c r="A241" s="15"/>
      <c r="B241" s="449"/>
      <c r="C241" s="482"/>
      <c r="D241" s="55"/>
      <c r="E241" s="31"/>
      <c r="F241" s="31"/>
      <c r="G241" s="69"/>
      <c r="H241" s="31"/>
      <c r="I241" s="31"/>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row>
    <row r="242" ht="16.5" customHeight="1">
      <c r="A242" s="15"/>
      <c r="B242" s="449"/>
      <c r="C242" s="482"/>
      <c r="D242" s="55"/>
      <c r="E242" s="31"/>
      <c r="F242" s="31"/>
      <c r="G242" s="69"/>
      <c r="H242" s="31"/>
      <c r="I242" s="9"/>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row>
    <row r="243" ht="16.5" customHeight="1">
      <c r="A243" s="15"/>
      <c r="B243" s="449"/>
      <c r="C243" s="482"/>
      <c r="D243" s="55"/>
      <c r="E243" s="31"/>
      <c r="F243" s="31"/>
      <c r="G243" s="69"/>
      <c r="H243" s="31"/>
      <c r="I243" s="9"/>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6.5" customHeight="1">
      <c r="A244" s="15"/>
      <c r="B244" s="449"/>
      <c r="C244" s="482"/>
      <c r="D244" s="55"/>
      <c r="E244" s="31"/>
      <c r="F244" s="31"/>
      <c r="G244" s="69"/>
      <c r="H244" s="31"/>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6.5" customHeight="1">
      <c r="A245" s="15"/>
      <c r="B245" s="449"/>
      <c r="C245" s="482"/>
      <c r="D245" s="55"/>
      <c r="E245" s="37"/>
      <c r="F245" s="31"/>
      <c r="G245" s="69"/>
      <c r="H245" s="31"/>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6.5" customHeight="1">
      <c r="A246" s="15"/>
      <c r="B246" s="449"/>
      <c r="C246" s="482"/>
      <c r="D246" s="55"/>
      <c r="E246" s="37"/>
      <c r="F246" s="30"/>
      <c r="G246" s="69"/>
      <c r="H246" s="30"/>
      <c r="I246" s="9"/>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6.5" customHeight="1">
      <c r="A247" s="15"/>
      <c r="B247" s="449"/>
      <c r="C247" s="482"/>
      <c r="D247" s="55"/>
      <c r="E247" s="37"/>
      <c r="F247" s="37"/>
      <c r="G247" s="69"/>
      <c r="H247" s="30"/>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6.5" customHeight="1">
      <c r="A248" s="15"/>
      <c r="B248" s="449"/>
      <c r="C248" s="482"/>
      <c r="D248" s="55"/>
      <c r="E248" s="31"/>
      <c r="F248" s="31"/>
      <c r="G248" s="69"/>
      <c r="H248" s="31"/>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6.5" customHeight="1">
      <c r="A249" s="15"/>
      <c r="B249" s="449"/>
      <c r="C249" s="482"/>
      <c r="D249" s="55"/>
      <c r="E249" s="31"/>
      <c r="F249" s="31"/>
      <c r="G249" s="69"/>
      <c r="H249" s="31"/>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6.5" customHeight="1">
      <c r="A250" s="15"/>
      <c r="B250" s="449"/>
      <c r="C250" s="482"/>
      <c r="D250" s="55"/>
      <c r="E250" s="31"/>
      <c r="F250" s="31"/>
      <c r="G250" s="69"/>
      <c r="H250" s="31"/>
      <c r="I250" s="9"/>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6.5" customHeight="1">
      <c r="A251" s="15"/>
      <c r="B251" s="449"/>
      <c r="C251" s="482"/>
      <c r="D251" s="55"/>
      <c r="E251" s="31"/>
      <c r="F251" s="31"/>
      <c r="G251" s="69"/>
      <c r="H251" s="31"/>
      <c r="I251" s="9"/>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6.5" customHeight="1">
      <c r="A252" s="15"/>
      <c r="B252" s="449"/>
      <c r="C252" s="482"/>
      <c r="D252" s="55"/>
      <c r="E252" s="31"/>
      <c r="F252" s="31"/>
      <c r="G252" s="69"/>
      <c r="H252" s="31"/>
      <c r="I252" s="9"/>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6.5" customHeight="1">
      <c r="A253" s="15"/>
      <c r="B253" s="449"/>
      <c r="C253" s="482"/>
      <c r="D253" s="55"/>
      <c r="E253" s="31"/>
      <c r="F253" s="31"/>
      <c r="G253" s="69"/>
      <c r="H253" s="31"/>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6.5" customHeight="1">
      <c r="A254" s="15"/>
      <c r="B254" s="449"/>
      <c r="C254" s="482"/>
      <c r="D254" s="55"/>
      <c r="E254" s="37"/>
      <c r="F254" s="31"/>
      <c r="G254" s="69"/>
      <c r="H254" s="31"/>
      <c r="I254" s="9"/>
      <c r="J254" s="9"/>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6.5" customHeight="1">
      <c r="A255" s="15"/>
      <c r="B255" s="449"/>
      <c r="C255" s="482"/>
      <c r="D255" s="55"/>
      <c r="E255" s="37"/>
      <c r="F255" s="30"/>
      <c r="G255" s="69"/>
      <c r="H255" s="30"/>
      <c r="I255" s="31"/>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6.5" customHeight="1">
      <c r="A256" s="15"/>
      <c r="B256" s="449"/>
      <c r="C256" s="482"/>
      <c r="D256" s="55"/>
      <c r="E256" s="37"/>
      <c r="F256" s="37"/>
      <c r="G256" s="69"/>
      <c r="H256" s="30"/>
      <c r="I256" s="31"/>
      <c r="J256" s="9"/>
      <c r="K256" s="11"/>
      <c r="L256" s="11"/>
      <c r="M256" s="15"/>
      <c r="N256" s="15"/>
      <c r="O256" s="15"/>
      <c r="P256" s="15"/>
      <c r="Q256" s="15"/>
      <c r="R256" s="15"/>
      <c r="S256" s="15"/>
      <c r="T256" s="15"/>
      <c r="U256" s="15"/>
      <c r="V256" s="15"/>
      <c r="W256" s="15"/>
      <c r="X256" s="15"/>
      <c r="Y256" s="15"/>
      <c r="Z256" s="15"/>
      <c r="AA256" s="15"/>
      <c r="AB256" s="15"/>
      <c r="AC256" s="15"/>
      <c r="AD256" s="15"/>
      <c r="AE256" s="15"/>
      <c r="AF256" s="15"/>
    </row>
    <row r="257" ht="16.5" customHeight="1">
      <c r="A257" s="15"/>
      <c r="B257" s="449"/>
      <c r="C257" s="482"/>
      <c r="D257" s="55"/>
      <c r="E257" s="31"/>
      <c r="F257" s="59"/>
      <c r="G257" s="69"/>
      <c r="H257" s="59"/>
      <c r="I257" s="9"/>
      <c r="J257" s="9"/>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6.5" customHeight="1">
      <c r="A258" s="15"/>
      <c r="B258" s="449"/>
      <c r="C258" s="482"/>
      <c r="D258" s="55"/>
      <c r="E258" s="31"/>
      <c r="F258" s="31"/>
      <c r="G258" s="69"/>
      <c r="H258" s="31"/>
      <c r="I258" s="9"/>
      <c r="J258" s="9"/>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6.5" customHeight="1">
      <c r="A259" s="15"/>
      <c r="B259" s="449"/>
      <c r="C259" s="450"/>
      <c r="D259" s="31"/>
      <c r="E259" s="31"/>
      <c r="F259" s="31"/>
      <c r="G259" s="69"/>
      <c r="H259" s="31"/>
      <c r="I259" s="9"/>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6.5" customHeight="1">
      <c r="A260" s="15"/>
      <c r="B260" s="449"/>
      <c r="C260" s="450"/>
      <c r="D260" s="31"/>
      <c r="E260" s="31"/>
      <c r="F260" s="31"/>
      <c r="G260" s="69"/>
      <c r="H260" s="31"/>
      <c r="I260" s="9"/>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6.5" customHeight="1">
      <c r="A261" s="15"/>
      <c r="B261" s="449"/>
      <c r="C261" s="450"/>
      <c r="D261" s="31"/>
      <c r="E261" s="31"/>
      <c r="F261" s="31"/>
      <c r="G261" s="69"/>
      <c r="H261" s="31"/>
      <c r="I261" s="9"/>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6.5" customHeight="1">
      <c r="A262" s="15"/>
      <c r="B262" s="449"/>
      <c r="C262" s="450"/>
      <c r="D262" s="31"/>
      <c r="E262" s="31"/>
      <c r="F262" s="31"/>
      <c r="G262" s="69"/>
      <c r="H262" s="31"/>
      <c r="I262" s="31"/>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6.5" customHeight="1">
      <c r="A263" s="15"/>
      <c r="B263" s="449"/>
      <c r="C263" s="450"/>
      <c r="D263" s="31"/>
      <c r="E263" s="37"/>
      <c r="F263" s="31"/>
      <c r="G263" s="69"/>
      <c r="H263" s="31"/>
      <c r="I263" s="31"/>
      <c r="J263" s="9"/>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6.5" customHeight="1">
      <c r="A264" s="15"/>
      <c r="B264" s="449"/>
      <c r="C264" s="450"/>
      <c r="D264" s="31"/>
      <c r="E264" s="37"/>
      <c r="F264" s="30"/>
      <c r="G264" s="69"/>
      <c r="H264" s="30"/>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6.5" customHeight="1">
      <c r="A265" s="15"/>
      <c r="B265" s="449"/>
      <c r="C265" s="450"/>
      <c r="D265" s="31"/>
      <c r="E265" s="37"/>
      <c r="F265" s="37"/>
      <c r="G265" s="69"/>
      <c r="H265" s="30"/>
      <c r="I265" s="9"/>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6.5" customHeight="1">
      <c r="A266" s="15"/>
      <c r="B266" s="449"/>
      <c r="C266" s="450"/>
      <c r="D266" s="31"/>
      <c r="E266" s="31"/>
      <c r="F266" s="59"/>
      <c r="G266" s="69"/>
      <c r="H266" s="59"/>
      <c r="I266" s="9"/>
      <c r="J266" s="9"/>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6.5" customHeight="1">
      <c r="A267" s="15"/>
      <c r="B267" s="449"/>
      <c r="C267" s="482"/>
      <c r="D267" s="55"/>
      <c r="E267" s="31"/>
      <c r="F267" s="31"/>
      <c r="G267" s="69"/>
      <c r="H267" s="31"/>
      <c r="I267" s="9"/>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6.5" customHeight="1">
      <c r="A268" s="15"/>
      <c r="B268" s="449"/>
      <c r="C268" s="482"/>
      <c r="D268" s="55"/>
      <c r="E268" s="31"/>
      <c r="F268" s="31"/>
      <c r="G268" s="69"/>
      <c r="H268" s="31"/>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6.5" customHeight="1">
      <c r="A269" s="15"/>
      <c r="B269" s="449"/>
      <c r="C269" s="482"/>
      <c r="D269" s="55"/>
      <c r="E269" s="31"/>
      <c r="F269" s="31"/>
      <c r="G269" s="69"/>
      <c r="H269" s="31"/>
      <c r="I269" s="31"/>
      <c r="J269" s="9"/>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6.5" customHeight="1">
      <c r="A270" s="15"/>
      <c r="B270" s="449"/>
      <c r="C270" s="482"/>
      <c r="D270" s="55"/>
      <c r="E270" s="31"/>
      <c r="F270" s="31"/>
      <c r="G270" s="69"/>
      <c r="H270" s="31"/>
      <c r="I270" s="31"/>
      <c r="J270" s="9"/>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6.5" customHeight="1">
      <c r="A271" s="15"/>
      <c r="B271" s="449"/>
      <c r="C271" s="482"/>
      <c r="D271" s="55"/>
      <c r="E271" s="37"/>
      <c r="F271" s="31"/>
      <c r="G271" s="69"/>
      <c r="H271" s="31"/>
      <c r="I271" s="9"/>
      <c r="J271" s="9"/>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6.5" customHeight="1">
      <c r="A272" s="15"/>
      <c r="B272" s="449"/>
      <c r="C272" s="482"/>
      <c r="D272" s="55"/>
      <c r="E272" s="37"/>
      <c r="F272" s="30"/>
      <c r="G272" s="69"/>
      <c r="H272" s="30"/>
      <c r="I272" s="9"/>
      <c r="J272" s="9"/>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6.5" customHeight="1">
      <c r="A273" s="15"/>
      <c r="B273" s="449"/>
      <c r="C273" s="482"/>
      <c r="D273" s="55"/>
      <c r="E273" s="37"/>
      <c r="F273" s="37"/>
      <c r="G273" s="69"/>
      <c r="H273" s="30"/>
      <c r="I273" s="9"/>
      <c r="J273" s="9"/>
      <c r="K273" s="11"/>
      <c r="L273" s="11"/>
      <c r="M273" s="15"/>
      <c r="N273" s="15"/>
      <c r="O273" s="15"/>
      <c r="P273" s="15"/>
      <c r="Q273" s="15"/>
      <c r="R273" s="15"/>
      <c r="S273" s="15"/>
      <c r="T273" s="15"/>
      <c r="U273" s="15"/>
      <c r="V273" s="15"/>
      <c r="W273" s="15"/>
      <c r="X273" s="15"/>
      <c r="Y273" s="15"/>
      <c r="Z273" s="15"/>
      <c r="AA273" s="15"/>
      <c r="AB273" s="15"/>
      <c r="AC273" s="15"/>
      <c r="AD273" s="15"/>
      <c r="AE273" s="15"/>
      <c r="AF273" s="15"/>
    </row>
    <row r="274" ht="16.5" customHeight="1">
      <c r="A274" s="15"/>
      <c r="B274" s="449"/>
      <c r="C274" s="482"/>
      <c r="D274" s="55"/>
      <c r="E274" s="31"/>
      <c r="F274" s="59"/>
      <c r="G274" s="69"/>
      <c r="H274" s="59"/>
      <c r="I274" s="9"/>
      <c r="J274" s="9"/>
      <c r="K274" s="11"/>
      <c r="L274" s="11"/>
      <c r="M274" s="15"/>
      <c r="N274" s="15"/>
      <c r="O274" s="15"/>
      <c r="P274" s="15"/>
      <c r="Q274" s="15"/>
      <c r="R274" s="15"/>
      <c r="S274" s="15"/>
      <c r="T274" s="15"/>
      <c r="U274" s="15"/>
      <c r="V274" s="15"/>
      <c r="W274" s="15"/>
      <c r="X274" s="15"/>
      <c r="Y274" s="15"/>
      <c r="Z274" s="15"/>
      <c r="AA274" s="15"/>
      <c r="AB274" s="15"/>
      <c r="AC274" s="15"/>
      <c r="AD274" s="15"/>
      <c r="AE274" s="15"/>
      <c r="AF274" s="15"/>
    </row>
    <row r="275" ht="16.5" customHeight="1">
      <c r="A275" s="15"/>
      <c r="B275" s="449"/>
      <c r="C275" s="450"/>
      <c r="D275" s="31"/>
      <c r="E275" s="37"/>
      <c r="F275" s="31"/>
      <c r="G275" s="351"/>
      <c r="H275" s="31"/>
      <c r="I275" s="9"/>
      <c r="J275" s="9"/>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6.5" customHeight="1">
      <c r="A276" s="15"/>
      <c r="B276" s="219"/>
      <c r="C276" s="482"/>
      <c r="D276" s="55"/>
      <c r="E276" s="31"/>
      <c r="F276" s="31"/>
      <c r="G276" s="149"/>
      <c r="H276" s="31"/>
      <c r="I276" s="9"/>
      <c r="J276" s="9"/>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6.5" customHeight="1">
      <c r="A277" s="15"/>
      <c r="B277" s="219"/>
      <c r="C277" s="482"/>
      <c r="D277" s="55"/>
      <c r="E277" s="31"/>
      <c r="F277" s="31"/>
      <c r="G277" s="149"/>
      <c r="H277" s="31"/>
      <c r="I277" s="9"/>
      <c r="J277" s="9"/>
      <c r="K277" s="61"/>
      <c r="L277" s="11"/>
      <c r="M277" s="15"/>
      <c r="N277" s="15"/>
      <c r="O277" s="15"/>
      <c r="P277" s="15"/>
      <c r="Q277" s="15"/>
      <c r="R277" s="15"/>
      <c r="S277" s="15"/>
      <c r="T277" s="15"/>
      <c r="U277" s="15"/>
      <c r="V277" s="15"/>
      <c r="W277" s="15"/>
      <c r="X277" s="15"/>
      <c r="Y277" s="15"/>
      <c r="Z277" s="15"/>
      <c r="AA277" s="15"/>
      <c r="AB277" s="15"/>
      <c r="AC277" s="15"/>
      <c r="AD277" s="15"/>
      <c r="AE277" s="15"/>
      <c r="AF277" s="15"/>
    </row>
    <row r="278" ht="16.5" customHeight="1">
      <c r="A278" s="15"/>
      <c r="B278" s="219"/>
      <c r="C278" s="482"/>
      <c r="D278" s="55"/>
      <c r="E278" s="31"/>
      <c r="F278" s="31"/>
      <c r="G278" s="149"/>
      <c r="H278" s="31"/>
      <c r="I278" s="31"/>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6.5" customHeight="1">
      <c r="A279" s="15"/>
      <c r="B279" s="219"/>
      <c r="C279" s="482"/>
      <c r="D279" s="55"/>
      <c r="E279" s="37"/>
      <c r="F279" s="31"/>
      <c r="G279" s="149"/>
      <c r="H279" s="31"/>
      <c r="I279" s="9"/>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6.5" customHeight="1">
      <c r="A280" s="15"/>
      <c r="B280" s="219"/>
      <c r="C280" s="482"/>
      <c r="D280" s="55"/>
      <c r="E280" s="37"/>
      <c r="F280" s="30"/>
      <c r="G280" s="149"/>
      <c r="H280" s="30"/>
      <c r="I280" s="31"/>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6.5" customHeight="1">
      <c r="A281" s="15"/>
      <c r="B281" s="219"/>
      <c r="C281" s="482"/>
      <c r="D281" s="55"/>
      <c r="E281" s="37"/>
      <c r="F281" s="37"/>
      <c r="G281" s="149"/>
      <c r="H281" s="30"/>
      <c r="I281" s="9"/>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6.5" customHeight="1">
      <c r="A282" s="15"/>
      <c r="B282" s="219"/>
      <c r="C282" s="482"/>
      <c r="D282" s="55"/>
      <c r="E282" s="31"/>
      <c r="F282" s="31"/>
      <c r="G282" s="149"/>
      <c r="H282" s="31"/>
      <c r="I282" s="9"/>
      <c r="J282" s="9"/>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6.5" customHeight="1">
      <c r="A283" s="15"/>
      <c r="B283" s="219"/>
      <c r="C283" s="482"/>
      <c r="D283" s="55"/>
      <c r="E283" s="31"/>
      <c r="F283" s="62"/>
      <c r="G283" s="149"/>
      <c r="H283" s="62"/>
      <c r="J283" s="9"/>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6.5" customHeight="1">
      <c r="A284" s="15"/>
      <c r="B284" s="219"/>
      <c r="C284" s="482"/>
      <c r="D284" s="55"/>
      <c r="E284" s="31"/>
      <c r="F284" s="31"/>
      <c r="G284" s="149"/>
      <c r="H284" s="31"/>
      <c r="I284" s="9"/>
      <c r="J284" s="9"/>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6.5" customHeight="1">
      <c r="A285" s="15"/>
      <c r="B285" s="219"/>
      <c r="C285" s="450"/>
      <c r="D285" s="31"/>
      <c r="E285" s="31"/>
      <c r="F285" s="31"/>
      <c r="G285" s="149"/>
      <c r="H285" s="31"/>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6.5" customHeight="1">
      <c r="A286" s="15"/>
      <c r="B286" s="219"/>
      <c r="C286" s="450"/>
      <c r="D286" s="31"/>
      <c r="E286" s="31"/>
      <c r="F286" s="31"/>
      <c r="G286" s="149"/>
      <c r="H286" s="31"/>
      <c r="I286" s="9"/>
      <c r="J286" s="9"/>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6.5" customHeight="1">
      <c r="A287" s="15"/>
      <c r="B287" s="219"/>
      <c r="C287" s="450"/>
      <c r="D287" s="31"/>
      <c r="E287" s="31"/>
      <c r="F287" s="31"/>
      <c r="G287" s="149"/>
      <c r="H287" s="31"/>
      <c r="I287" s="9"/>
      <c r="J287" s="9"/>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6.5" customHeight="1">
      <c r="A288" s="15"/>
      <c r="B288" s="219"/>
      <c r="C288" s="450"/>
      <c r="D288" s="31"/>
      <c r="E288" s="37"/>
      <c r="F288" s="31"/>
      <c r="G288" s="149"/>
      <c r="H288" s="31"/>
      <c r="I288" s="9"/>
      <c r="J288" s="9"/>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6.5" customHeight="1">
      <c r="A289" s="15"/>
      <c r="B289" s="219"/>
      <c r="C289" s="450"/>
      <c r="D289" s="31"/>
      <c r="E289" s="37"/>
      <c r="F289" s="30"/>
      <c r="G289" s="149"/>
      <c r="H289" s="30"/>
      <c r="I289" s="9"/>
      <c r="J289" s="9"/>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6.5" customHeight="1">
      <c r="A290" s="15"/>
      <c r="B290" s="219"/>
      <c r="C290" s="450"/>
      <c r="D290" s="31"/>
      <c r="E290" s="37"/>
      <c r="F290" s="37"/>
      <c r="G290" s="149"/>
      <c r="H290" s="30"/>
      <c r="I290" s="9"/>
      <c r="J290" s="9"/>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6.5" customHeight="1">
      <c r="A291" s="15"/>
      <c r="B291" s="219"/>
      <c r="C291" s="450"/>
      <c r="D291" s="31"/>
      <c r="E291" s="31"/>
      <c r="F291" s="31"/>
      <c r="G291" s="149"/>
      <c r="H291" s="31"/>
      <c r="I291" s="9"/>
      <c r="J291" s="9"/>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6.5" customHeight="1">
      <c r="A292" s="15"/>
      <c r="B292" s="219"/>
      <c r="C292" s="450"/>
      <c r="D292" s="31"/>
      <c r="E292" s="31"/>
      <c r="F292" s="62"/>
      <c r="G292" s="149"/>
      <c r="H292" s="62"/>
      <c r="J292" s="9"/>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6.5" customHeight="1">
      <c r="A293" s="15"/>
      <c r="B293" s="219"/>
      <c r="C293" s="450"/>
      <c r="D293" s="31"/>
      <c r="E293" s="31"/>
      <c r="F293" s="31"/>
      <c r="G293" s="149"/>
      <c r="H293" s="31"/>
      <c r="I293" s="9"/>
      <c r="J293" s="9"/>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6.5" customHeight="1">
      <c r="A294" s="15"/>
      <c r="B294" s="219"/>
      <c r="C294" s="450"/>
      <c r="D294" s="31"/>
      <c r="E294" s="31"/>
      <c r="F294" s="31"/>
      <c r="G294" s="149"/>
      <c r="H294" s="31"/>
      <c r="I294" s="9"/>
      <c r="J294" s="9"/>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6.5" customHeight="1">
      <c r="A295" s="15"/>
      <c r="B295" s="219"/>
      <c r="C295" s="450"/>
      <c r="D295" s="31"/>
      <c r="E295" s="31"/>
      <c r="F295" s="31"/>
      <c r="G295" s="149"/>
      <c r="H295" s="31"/>
      <c r="I295" s="9"/>
      <c r="J295" s="9"/>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6.5" customHeight="1">
      <c r="A296" s="15"/>
      <c r="B296" s="219"/>
      <c r="C296" s="450"/>
      <c r="D296" s="31"/>
      <c r="E296" s="31"/>
      <c r="F296" s="31"/>
      <c r="G296" s="149"/>
      <c r="H296" s="31"/>
      <c r="J296" s="9"/>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6.5" customHeight="1">
      <c r="A297" s="15"/>
      <c r="B297" s="219"/>
      <c r="C297" s="450"/>
      <c r="D297" s="31"/>
      <c r="E297" s="37"/>
      <c r="F297" s="31"/>
      <c r="G297" s="149"/>
      <c r="H297" s="31"/>
      <c r="I297" s="9"/>
      <c r="J297" s="9"/>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6.5" customHeight="1">
      <c r="A298" s="15"/>
      <c r="B298" s="219"/>
      <c r="C298" s="450"/>
      <c r="D298" s="31"/>
      <c r="E298" s="37"/>
      <c r="F298" s="30"/>
      <c r="G298" s="149"/>
      <c r="H298" s="30"/>
      <c r="I298" s="9"/>
      <c r="J298" s="9"/>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6.5" customHeight="1">
      <c r="A299" s="15"/>
      <c r="B299" s="219"/>
      <c r="C299" s="450"/>
      <c r="D299" s="31"/>
      <c r="E299" s="37"/>
      <c r="F299" s="37"/>
      <c r="G299" s="149"/>
      <c r="H299" s="30"/>
      <c r="I299" s="9"/>
      <c r="J299" s="9"/>
      <c r="K299" s="11"/>
      <c r="L299" s="11"/>
      <c r="M299" s="15"/>
      <c r="N299" s="15"/>
      <c r="O299" s="15"/>
      <c r="P299" s="15"/>
      <c r="Q299" s="15"/>
      <c r="R299" s="15"/>
      <c r="S299" s="15"/>
      <c r="T299" s="15"/>
      <c r="U299" s="15"/>
      <c r="V299" s="15"/>
      <c r="W299" s="15"/>
      <c r="X299" s="15"/>
      <c r="Y299" s="15"/>
      <c r="Z299" s="15"/>
      <c r="AA299" s="15"/>
      <c r="AB299" s="15"/>
      <c r="AC299" s="15"/>
      <c r="AD299" s="15"/>
      <c r="AE299" s="15"/>
      <c r="AF299" s="15"/>
    </row>
    <row r="300" ht="16.5" customHeight="1">
      <c r="A300" s="15"/>
      <c r="B300" s="219"/>
      <c r="C300" s="450"/>
      <c r="D300" s="31"/>
      <c r="E300" s="31"/>
      <c r="F300" s="31"/>
      <c r="G300" s="149"/>
      <c r="H300" s="31"/>
      <c r="I300" s="9"/>
      <c r="J300" s="9"/>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6.5" customHeight="1">
      <c r="A301" s="15"/>
      <c r="B301" s="219"/>
      <c r="C301" s="450"/>
      <c r="D301" s="31"/>
      <c r="E301" s="31"/>
      <c r="F301" s="62"/>
      <c r="G301" s="149"/>
      <c r="H301" s="62"/>
      <c r="I301" s="9"/>
      <c r="J301" s="9"/>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6.5" customHeight="1">
      <c r="A302" s="15"/>
      <c r="B302" s="219"/>
      <c r="C302" s="87"/>
      <c r="D302" s="31"/>
      <c r="E302" s="31"/>
      <c r="F302" s="31"/>
      <c r="G302" s="149"/>
      <c r="H302" s="31"/>
      <c r="I302" s="9"/>
      <c r="J302" s="9"/>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6.5" customHeight="1">
      <c r="A303" s="15"/>
      <c r="B303" s="219"/>
      <c r="C303" s="87"/>
      <c r="D303" s="31"/>
      <c r="E303" s="31"/>
      <c r="F303" s="31"/>
      <c r="G303" s="149"/>
      <c r="H303" s="31"/>
      <c r="I303" s="9"/>
      <c r="J303" s="9"/>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6.5" customHeight="1">
      <c r="A304" s="15"/>
      <c r="B304" s="219"/>
      <c r="C304" s="87"/>
      <c r="D304" s="31"/>
      <c r="E304" s="31"/>
      <c r="F304" s="31"/>
      <c r="G304" s="149"/>
      <c r="H304" s="31"/>
      <c r="I304" s="9"/>
      <c r="J304" s="9"/>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6.5" customHeight="1">
      <c r="A305" s="15"/>
      <c r="B305" s="219"/>
      <c r="C305" s="87"/>
      <c r="D305" s="31"/>
      <c r="E305" s="31"/>
      <c r="F305" s="31"/>
      <c r="G305" s="149"/>
      <c r="H305" s="31"/>
      <c r="J305" s="9"/>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6.5" customHeight="1">
      <c r="A306" s="15"/>
      <c r="B306" s="219"/>
      <c r="C306" s="87"/>
      <c r="D306" s="31"/>
      <c r="E306" s="37"/>
      <c r="F306" s="31"/>
      <c r="G306" s="149"/>
      <c r="H306" s="31"/>
      <c r="I306" s="9"/>
      <c r="J306" s="9"/>
      <c r="K306" s="11"/>
      <c r="L306" s="11"/>
      <c r="M306" s="15"/>
      <c r="N306" s="15"/>
      <c r="O306" s="15"/>
      <c r="P306" s="15"/>
      <c r="Q306" s="15"/>
      <c r="R306" s="15"/>
      <c r="S306" s="15"/>
      <c r="T306" s="15"/>
      <c r="U306" s="15"/>
      <c r="V306" s="15"/>
      <c r="W306" s="15"/>
      <c r="X306" s="15"/>
      <c r="Y306" s="15"/>
      <c r="Z306" s="15"/>
      <c r="AA306" s="15"/>
      <c r="AB306" s="15"/>
      <c r="AC306" s="15"/>
      <c r="AD306" s="15"/>
      <c r="AE306" s="15"/>
      <c r="AF306" s="15"/>
    </row>
    <row r="307" ht="16.5" customHeight="1">
      <c r="A307" s="15"/>
      <c r="B307" s="219"/>
      <c r="C307" s="87"/>
      <c r="D307" s="31"/>
      <c r="E307" s="37"/>
      <c r="F307" s="30"/>
      <c r="G307" s="149"/>
      <c r="H307" s="30"/>
      <c r="I307" s="9"/>
      <c r="J307" s="9"/>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6.5" customHeight="1">
      <c r="A308" s="15"/>
      <c r="B308" s="219"/>
      <c r="C308" s="87"/>
      <c r="D308" s="31"/>
      <c r="E308" s="37"/>
      <c r="F308" s="37"/>
      <c r="G308" s="149"/>
      <c r="H308" s="30"/>
      <c r="I308" s="9"/>
      <c r="J308" s="9"/>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6.5" customHeight="1">
      <c r="A309" s="15"/>
      <c r="B309" s="219"/>
      <c r="C309" s="87"/>
      <c r="D309" s="31"/>
      <c r="E309" s="31"/>
      <c r="F309" s="31"/>
      <c r="G309" s="149"/>
      <c r="H309" s="31"/>
      <c r="I309" s="9"/>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6.5" customHeight="1">
      <c r="A310" s="15"/>
      <c r="B310" s="219"/>
      <c r="C310" s="87"/>
      <c r="D310" s="31"/>
      <c r="E310" s="31"/>
      <c r="F310" s="62"/>
      <c r="G310" s="149"/>
      <c r="H310" s="62"/>
      <c r="I310" s="9"/>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6.5" customHeight="1">
      <c r="A311" s="15"/>
      <c r="B311" s="219"/>
      <c r="C311" s="209"/>
      <c r="D311" s="9"/>
      <c r="E311" s="45"/>
      <c r="F311" s="9"/>
      <c r="G311" s="443"/>
      <c r="H311" s="9"/>
      <c r="I311" s="9"/>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6.5" customHeight="1">
      <c r="A312" s="15"/>
      <c r="B312" s="35"/>
      <c r="C312" s="483"/>
      <c r="G312" s="453"/>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16.5" customHeight="1">
      <c r="A313" s="15"/>
      <c r="B313" s="219"/>
      <c r="C313" s="483"/>
      <c r="G313" s="453"/>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6.5" customHeight="1">
      <c r="A314" s="15"/>
      <c r="B314" s="35"/>
      <c r="C314" s="483"/>
      <c r="G314" s="453"/>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row>
    <row r="315" ht="16.5" customHeight="1">
      <c r="A315" s="15"/>
      <c r="B315" s="219"/>
      <c r="C315" s="483"/>
      <c r="G315" s="453"/>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6.5" customHeight="1">
      <c r="A316" s="15"/>
      <c r="B316" s="35"/>
      <c r="C316" s="450"/>
      <c r="D316" s="31"/>
      <c r="E316" s="31"/>
      <c r="F316" s="31"/>
      <c r="G316" s="149"/>
      <c r="H316" s="9"/>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6.5" customHeight="1">
      <c r="A317" s="15"/>
      <c r="B317" s="219"/>
      <c r="C317" s="450"/>
      <c r="D317" s="31"/>
      <c r="E317" s="31"/>
      <c r="F317" s="31"/>
      <c r="G317" s="149"/>
      <c r="H317" s="31"/>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6.5" customHeight="1">
      <c r="A318" s="15"/>
      <c r="B318" s="219"/>
      <c r="C318" s="450"/>
      <c r="D318" s="31"/>
      <c r="E318" s="31"/>
      <c r="F318" s="31"/>
      <c r="G318" s="149"/>
      <c r="H318" s="31"/>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6.5" customHeight="1">
      <c r="A319" s="15"/>
      <c r="B319" s="35"/>
      <c r="C319" s="450"/>
      <c r="D319" s="31"/>
      <c r="E319" s="37"/>
      <c r="F319" s="31"/>
      <c r="G319" s="149"/>
      <c r="H319" s="31"/>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6.5" customHeight="1">
      <c r="A320" s="15"/>
      <c r="B320" s="219"/>
      <c r="C320" s="450"/>
      <c r="D320" s="31"/>
      <c r="E320" s="37"/>
      <c r="F320" s="30"/>
      <c r="G320" s="149"/>
      <c r="H320" s="30"/>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6.5" customHeight="1">
      <c r="A321" s="15"/>
      <c r="B321" s="219"/>
      <c r="C321" s="87"/>
      <c r="D321" s="8"/>
      <c r="E321" s="28"/>
      <c r="F321" s="38"/>
      <c r="G321" s="149"/>
      <c r="H321" s="3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6.5" customHeight="1">
      <c r="A322" s="15"/>
      <c r="B322" s="219"/>
      <c r="C322" s="87"/>
      <c r="D322" s="8"/>
      <c r="E322" s="8"/>
      <c r="F322" s="38"/>
      <c r="G322" s="149"/>
      <c r="H322" s="3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6.5" customHeight="1">
      <c r="A323" s="15"/>
      <c r="B323" s="219"/>
      <c r="C323" s="87"/>
      <c r="D323" s="8"/>
      <c r="E323" s="35"/>
      <c r="F323" s="35"/>
      <c r="G323" s="149"/>
      <c r="H323" s="3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6.5" customHeight="1">
      <c r="A324" s="15"/>
      <c r="B324" s="219"/>
      <c r="C324" s="87"/>
      <c r="D324" s="8"/>
      <c r="E324" s="32"/>
      <c r="F324" s="35"/>
      <c r="G324" s="149"/>
      <c r="H324" s="62"/>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6.5" customHeight="1">
      <c r="A325" s="15"/>
      <c r="B325" s="32"/>
      <c r="C325" s="66"/>
      <c r="D325" s="32"/>
      <c r="E325" s="32"/>
      <c r="F325" s="35"/>
      <c r="G325" s="439"/>
      <c r="H325" s="3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row>
    <row r="326" ht="16.5" customHeight="1">
      <c r="A326" s="15"/>
      <c r="B326" s="32"/>
      <c r="C326" s="66"/>
      <c r="D326" s="32"/>
      <c r="E326" s="65"/>
      <c r="F326" s="35"/>
      <c r="G326" s="439"/>
      <c r="H326" s="35"/>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row>
    <row r="327" ht="16.5" customHeight="1">
      <c r="A327" s="15"/>
      <c r="B327" s="456"/>
      <c r="C327" s="484"/>
      <c r="D327" s="31"/>
      <c r="E327" s="31"/>
      <c r="F327" s="31"/>
      <c r="G327" s="69"/>
      <c r="H327" s="31"/>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row>
    <row r="328" ht="16.5" customHeight="1">
      <c r="A328" s="15"/>
      <c r="B328" s="456"/>
      <c r="C328" s="484"/>
      <c r="D328" s="31"/>
      <c r="E328" s="31"/>
      <c r="F328" s="31"/>
      <c r="G328" s="351"/>
      <c r="H328" s="31"/>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6.5" customHeight="1">
      <c r="A329" s="15"/>
      <c r="B329" s="456"/>
      <c r="C329" s="484"/>
      <c r="D329" s="31"/>
      <c r="E329" s="31"/>
      <c r="F329" s="31"/>
      <c r="G329" s="351"/>
      <c r="H329" s="31"/>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6.5" customHeight="1">
      <c r="A330" s="15"/>
      <c r="B330" s="15"/>
      <c r="C330" s="21"/>
      <c r="D330" s="15"/>
      <c r="E330" s="15"/>
      <c r="F330" s="15"/>
      <c r="G330" s="387"/>
      <c r="H330" s="15"/>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6.5" customHeight="1">
      <c r="A331" s="15"/>
      <c r="B331" s="15"/>
      <c r="C331" s="21"/>
      <c r="D331" s="15"/>
      <c r="E331" s="15"/>
      <c r="F331" s="15"/>
      <c r="G331" s="387"/>
      <c r="H331" s="15"/>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row>
    <row r="332" ht="16.5" customHeight="1">
      <c r="A332" s="15"/>
      <c r="B332" s="15"/>
      <c r="C332" s="21"/>
      <c r="D332" s="15"/>
      <c r="E332" s="15"/>
      <c r="F332" s="15"/>
      <c r="G332" s="387"/>
      <c r="H332" s="15"/>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6.5" customHeight="1">
      <c r="A333" s="15"/>
      <c r="B333" s="15"/>
      <c r="C333" s="21"/>
      <c r="D333" s="15"/>
      <c r="E333" s="15"/>
      <c r="F333" s="15"/>
      <c r="G333" s="387"/>
      <c r="H333" s="15"/>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6.5" customHeight="1">
      <c r="A334" s="15"/>
      <c r="B334" s="15"/>
      <c r="C334" s="21"/>
      <c r="D334" s="15"/>
      <c r="E334" s="15"/>
      <c r="F334" s="15"/>
      <c r="G334" s="387"/>
      <c r="H334" s="15"/>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6.5" customHeight="1">
      <c r="A335" s="15"/>
      <c r="B335" s="15"/>
      <c r="C335" s="21"/>
      <c r="D335" s="15"/>
      <c r="E335" s="15"/>
      <c r="F335" s="15"/>
      <c r="G335" s="387"/>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6.5" customHeight="1">
      <c r="A336" s="15"/>
      <c r="B336" s="15"/>
      <c r="C336" s="21"/>
      <c r="D336" s="15"/>
      <c r="E336" s="15"/>
      <c r="F336" s="15"/>
      <c r="G336" s="387"/>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6.5" customHeight="1">
      <c r="A337" s="15"/>
      <c r="B337" s="15"/>
      <c r="C337" s="21"/>
      <c r="D337" s="15"/>
      <c r="E337" s="15"/>
      <c r="F337" s="15"/>
      <c r="G337" s="387"/>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6.5" customHeight="1">
      <c r="A338" s="15"/>
      <c r="B338" s="15"/>
      <c r="C338" s="21"/>
      <c r="D338" s="15"/>
      <c r="E338" s="15"/>
      <c r="F338" s="15"/>
      <c r="G338" s="387"/>
      <c r="H338" s="15"/>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6.5" customHeight="1">
      <c r="A339" s="15"/>
      <c r="B339" s="15"/>
      <c r="C339" s="21"/>
      <c r="D339" s="15"/>
      <c r="E339" s="15"/>
      <c r="F339" s="15"/>
      <c r="G339" s="387"/>
      <c r="H339" s="15"/>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6.5" customHeight="1">
      <c r="A340" s="15"/>
      <c r="B340" s="15"/>
      <c r="C340" s="21"/>
      <c r="D340" s="15"/>
      <c r="E340" s="15"/>
      <c r="F340" s="15"/>
      <c r="G340" s="387"/>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6.5" customHeight="1">
      <c r="A341" s="15"/>
      <c r="B341" s="15"/>
      <c r="C341" s="21"/>
      <c r="D341" s="15"/>
      <c r="E341" s="15"/>
      <c r="F341" s="15"/>
      <c r="G341" s="387"/>
      <c r="H341" s="15"/>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6.5" customHeight="1">
      <c r="A342" s="15"/>
      <c r="B342" s="15"/>
      <c r="C342" s="21"/>
      <c r="D342" s="15"/>
      <c r="E342" s="15"/>
      <c r="F342" s="15"/>
      <c r="G342" s="387"/>
      <c r="H342" s="15"/>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6.5" customHeight="1">
      <c r="A343" s="15"/>
      <c r="B343" s="15"/>
      <c r="C343" s="21"/>
      <c r="D343" s="15"/>
      <c r="E343" s="15"/>
      <c r="F343" s="15"/>
      <c r="G343" s="387"/>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6.5" customHeight="1">
      <c r="A344" s="15"/>
      <c r="B344" s="15"/>
      <c r="C344" s="21"/>
      <c r="D344" s="15"/>
      <c r="E344" s="15"/>
      <c r="F344" s="15"/>
      <c r="G344" s="387"/>
      <c r="H344" s="15"/>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6.5" customHeight="1">
      <c r="A345" s="15"/>
      <c r="B345" s="15"/>
      <c r="C345" s="21"/>
      <c r="D345" s="15"/>
      <c r="E345" s="15"/>
      <c r="F345" s="15"/>
      <c r="G345" s="387"/>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6.5" customHeight="1">
      <c r="A346" s="15"/>
      <c r="B346" s="15"/>
      <c r="C346" s="21"/>
      <c r="D346" s="15"/>
      <c r="E346" s="15"/>
      <c r="F346" s="15"/>
      <c r="G346" s="387"/>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6.5" customHeight="1">
      <c r="A347" s="15"/>
      <c r="B347" s="15"/>
      <c r="C347" s="21"/>
      <c r="D347" s="15"/>
      <c r="E347" s="15"/>
      <c r="F347" s="15"/>
      <c r="G347" s="387"/>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6.5" customHeight="1">
      <c r="A348" s="15"/>
      <c r="B348" s="15"/>
      <c r="C348" s="21"/>
      <c r="D348" s="15"/>
      <c r="E348" s="15"/>
      <c r="F348" s="15"/>
      <c r="G348" s="387"/>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6.5" customHeight="1">
      <c r="A349" s="15"/>
      <c r="B349" s="15"/>
      <c r="C349" s="21"/>
      <c r="D349" s="15"/>
      <c r="E349" s="15"/>
      <c r="F349" s="15"/>
      <c r="G349" s="387"/>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row>
    <row r="350" ht="16.5" customHeight="1">
      <c r="A350" s="15"/>
      <c r="B350" s="15"/>
      <c r="C350" s="21"/>
      <c r="D350" s="15"/>
      <c r="E350" s="15"/>
      <c r="F350" s="15"/>
      <c r="G350" s="387"/>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row>
    <row r="351" ht="16.5" customHeight="1">
      <c r="A351" s="15"/>
      <c r="B351" s="15"/>
      <c r="C351" s="21"/>
      <c r="D351" s="15"/>
      <c r="E351" s="15"/>
      <c r="F351" s="15"/>
      <c r="G351" s="387"/>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row>
    <row r="352" ht="16.5" customHeight="1">
      <c r="A352" s="15"/>
      <c r="B352" s="15"/>
      <c r="C352" s="21"/>
      <c r="D352" s="15"/>
      <c r="E352" s="15"/>
      <c r="F352" s="15"/>
      <c r="G352" s="387"/>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6.5" customHeight="1">
      <c r="A353" s="15"/>
      <c r="B353" s="15"/>
      <c r="C353" s="21"/>
      <c r="D353" s="15"/>
      <c r="E353" s="15"/>
      <c r="F353" s="15"/>
      <c r="G353" s="387"/>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6.5" customHeight="1">
      <c r="A354" s="15"/>
      <c r="B354" s="15"/>
      <c r="C354" s="21"/>
      <c r="D354" s="15"/>
      <c r="E354" s="15"/>
      <c r="F354" s="15"/>
      <c r="G354" s="387"/>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6.5" customHeight="1">
      <c r="A355" s="15"/>
      <c r="B355" s="15"/>
      <c r="C355" s="21"/>
      <c r="D355" s="15"/>
      <c r="E355" s="15"/>
      <c r="F355" s="15"/>
      <c r="G355" s="387"/>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6.5" customHeight="1">
      <c r="A356" s="15"/>
      <c r="B356" s="15"/>
      <c r="C356" s="21"/>
      <c r="D356" s="15"/>
      <c r="E356" s="15"/>
      <c r="F356" s="15"/>
      <c r="G356" s="387"/>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6.5" customHeight="1">
      <c r="A357" s="15"/>
      <c r="B357" s="15"/>
      <c r="C357" s="21"/>
      <c r="D357" s="15"/>
      <c r="E357" s="15"/>
      <c r="F357" s="15"/>
      <c r="G357" s="387"/>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6.5" customHeight="1">
      <c r="A358" s="15"/>
      <c r="B358" s="15"/>
      <c r="C358" s="21"/>
      <c r="D358" s="15"/>
      <c r="E358" s="15"/>
      <c r="F358" s="15"/>
      <c r="G358" s="387"/>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6.5" customHeight="1">
      <c r="A359" s="15"/>
      <c r="B359" s="15"/>
      <c r="C359" s="21"/>
      <c r="D359" s="15"/>
      <c r="E359" s="15"/>
      <c r="F359" s="15"/>
      <c r="G359" s="387"/>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6.5" customHeight="1">
      <c r="A360" s="15"/>
      <c r="B360" s="15"/>
      <c r="C360" s="21"/>
      <c r="D360" s="15"/>
      <c r="E360" s="15"/>
      <c r="F360" s="15"/>
      <c r="G360" s="387"/>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6.5" customHeight="1">
      <c r="A361" s="15"/>
      <c r="B361" s="15"/>
      <c r="C361" s="21"/>
      <c r="D361" s="15"/>
      <c r="E361" s="15"/>
      <c r="F361" s="15"/>
      <c r="G361" s="387"/>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6.5" customHeight="1">
      <c r="A362" s="15"/>
      <c r="B362" s="15"/>
      <c r="C362" s="21"/>
      <c r="D362" s="15"/>
      <c r="E362" s="15"/>
      <c r="F362" s="15"/>
      <c r="G362" s="387"/>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6.5" customHeight="1">
      <c r="A363" s="15"/>
      <c r="B363" s="15"/>
      <c r="C363" s="21"/>
      <c r="D363" s="15"/>
      <c r="E363" s="15"/>
      <c r="F363" s="15"/>
      <c r="G363" s="387"/>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6.5" customHeight="1">
      <c r="A364" s="15"/>
      <c r="B364" s="15"/>
      <c r="C364" s="21"/>
      <c r="D364" s="15"/>
      <c r="E364" s="15"/>
      <c r="F364" s="15"/>
      <c r="G364" s="387"/>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6.5" customHeight="1">
      <c r="A365" s="15"/>
      <c r="B365" s="15"/>
      <c r="C365" s="21"/>
      <c r="D365" s="15"/>
      <c r="E365" s="15"/>
      <c r="F365" s="15"/>
      <c r="G365" s="387"/>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6.5" customHeight="1">
      <c r="A366" s="15"/>
      <c r="B366" s="15"/>
      <c r="C366" s="21"/>
      <c r="D366" s="15"/>
      <c r="E366" s="15"/>
      <c r="F366" s="15"/>
      <c r="G366" s="387"/>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6.5" customHeight="1">
      <c r="A367" s="15"/>
      <c r="B367" s="15"/>
      <c r="C367" s="21"/>
      <c r="D367" s="15"/>
      <c r="E367" s="15"/>
      <c r="F367" s="15"/>
      <c r="G367" s="387"/>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6.5" customHeight="1">
      <c r="A368" s="15"/>
      <c r="B368" s="15"/>
      <c r="C368" s="21"/>
      <c r="D368" s="15"/>
      <c r="E368" s="15"/>
      <c r="F368" s="15"/>
      <c r="G368" s="387"/>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6.5" customHeight="1">
      <c r="A369" s="15"/>
      <c r="B369" s="15"/>
      <c r="C369" s="21"/>
      <c r="D369" s="15"/>
      <c r="E369" s="15"/>
      <c r="F369" s="15"/>
      <c r="G369" s="387"/>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6.5" customHeight="1">
      <c r="A370" s="15"/>
      <c r="B370" s="15"/>
      <c r="C370" s="21"/>
      <c r="D370" s="15"/>
      <c r="E370" s="15"/>
      <c r="F370" s="15"/>
      <c r="G370" s="387"/>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6.5" customHeight="1">
      <c r="A371" s="15"/>
      <c r="B371" s="15"/>
      <c r="C371" s="21"/>
      <c r="D371" s="15"/>
      <c r="E371" s="15"/>
      <c r="F371" s="15"/>
      <c r="G371" s="387"/>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6.5" customHeight="1">
      <c r="A372" s="15"/>
      <c r="B372" s="15"/>
      <c r="C372" s="21"/>
      <c r="D372" s="15"/>
      <c r="E372" s="15"/>
      <c r="F372" s="15"/>
      <c r="G372" s="387"/>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6.5" customHeight="1">
      <c r="A373" s="15"/>
      <c r="B373" s="15"/>
      <c r="C373" s="21"/>
      <c r="D373" s="15"/>
      <c r="E373" s="15"/>
      <c r="F373" s="15"/>
      <c r="G373" s="387"/>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6.5" customHeight="1">
      <c r="A374" s="15"/>
      <c r="B374" s="15"/>
      <c r="C374" s="21"/>
      <c r="D374" s="15"/>
      <c r="E374" s="15"/>
      <c r="F374" s="15"/>
      <c r="G374" s="387"/>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6.5" customHeight="1">
      <c r="A375" s="15"/>
      <c r="B375" s="15"/>
      <c r="C375" s="21"/>
      <c r="D375" s="15"/>
      <c r="E375" s="15"/>
      <c r="F375" s="15"/>
      <c r="G375" s="387"/>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row>
    <row r="376" ht="16.5" customHeight="1">
      <c r="A376" s="15"/>
      <c r="B376" s="15"/>
      <c r="C376" s="21"/>
      <c r="D376" s="15"/>
      <c r="E376" s="15"/>
      <c r="F376" s="15"/>
      <c r="G376" s="387"/>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row>
    <row r="377" ht="16.5" customHeight="1">
      <c r="A377" s="15"/>
      <c r="B377" s="15"/>
      <c r="C377" s="21"/>
      <c r="D377" s="15"/>
      <c r="E377" s="15"/>
      <c r="F377" s="15"/>
      <c r="G377" s="387"/>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row>
    <row r="378" ht="16.5" customHeight="1">
      <c r="A378" s="15"/>
      <c r="B378" s="15"/>
      <c r="C378" s="21"/>
      <c r="D378" s="15"/>
      <c r="E378" s="15"/>
      <c r="F378" s="15"/>
      <c r="G378" s="387"/>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row>
    <row r="379" ht="16.5" customHeight="1">
      <c r="A379" s="15"/>
      <c r="B379" s="15"/>
      <c r="C379" s="21"/>
      <c r="D379" s="15"/>
      <c r="E379" s="15"/>
      <c r="F379" s="15"/>
      <c r="G379" s="387"/>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6.5" customHeight="1">
      <c r="A380" s="15"/>
      <c r="B380" s="15"/>
      <c r="C380" s="21"/>
      <c r="D380" s="15"/>
      <c r="E380" s="15"/>
      <c r="F380" s="15"/>
      <c r="G380" s="387"/>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6.5" customHeight="1">
      <c r="A381" s="15"/>
      <c r="B381" s="15"/>
      <c r="C381" s="21"/>
      <c r="D381" s="15"/>
      <c r="E381" s="15"/>
      <c r="F381" s="15"/>
      <c r="G381" s="387"/>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6.5" customHeight="1">
      <c r="A382" s="15"/>
      <c r="B382" s="15"/>
      <c r="C382" s="21"/>
      <c r="D382" s="15"/>
      <c r="E382" s="15"/>
      <c r="F382" s="15"/>
      <c r="G382" s="387"/>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6.5" customHeight="1">
      <c r="A383" s="15"/>
      <c r="B383" s="15"/>
      <c r="C383" s="21"/>
      <c r="D383" s="15"/>
      <c r="E383" s="15"/>
      <c r="F383" s="15"/>
      <c r="G383" s="387"/>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6.5" customHeight="1">
      <c r="A384" s="15"/>
      <c r="B384" s="15"/>
      <c r="C384" s="21"/>
      <c r="D384" s="15"/>
      <c r="E384" s="15"/>
      <c r="F384" s="15"/>
      <c r="G384" s="387"/>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6.5" customHeight="1">
      <c r="A385" s="15"/>
      <c r="B385" s="15"/>
      <c r="C385" s="21"/>
      <c r="D385" s="15"/>
      <c r="E385" s="15"/>
      <c r="F385" s="15"/>
      <c r="G385" s="387"/>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6.5" customHeight="1">
      <c r="A386" s="15"/>
      <c r="B386" s="15"/>
      <c r="C386" s="21"/>
      <c r="D386" s="15"/>
      <c r="E386" s="15"/>
      <c r="F386" s="15"/>
      <c r="G386" s="387"/>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6.5" customHeight="1">
      <c r="A387" s="15"/>
      <c r="B387" s="15"/>
      <c r="C387" s="21"/>
      <c r="D387" s="15"/>
      <c r="E387" s="15"/>
      <c r="F387" s="15"/>
      <c r="G387" s="387"/>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6.5" customHeight="1">
      <c r="A388" s="15"/>
      <c r="B388" s="15"/>
      <c r="C388" s="21"/>
      <c r="D388" s="15"/>
      <c r="E388" s="15"/>
      <c r="F388" s="15"/>
      <c r="G388" s="387"/>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row>
    <row r="389" ht="16.5" customHeight="1">
      <c r="A389" s="15"/>
      <c r="B389" s="15"/>
      <c r="C389" s="21"/>
      <c r="D389" s="15"/>
      <c r="E389" s="15"/>
      <c r="F389" s="15"/>
      <c r="G389" s="387"/>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6.5" customHeight="1">
      <c r="A390" s="15"/>
      <c r="B390" s="15"/>
      <c r="C390" s="21"/>
      <c r="D390" s="15"/>
      <c r="E390" s="15"/>
      <c r="F390" s="15"/>
      <c r="G390" s="387"/>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row>
    <row r="391" ht="16.5" customHeight="1">
      <c r="A391" s="15"/>
      <c r="B391" s="15"/>
      <c r="C391" s="21"/>
      <c r="D391" s="15"/>
      <c r="E391" s="15"/>
      <c r="F391" s="15"/>
      <c r="G391" s="387"/>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row>
    <row r="392" ht="16.5" customHeight="1">
      <c r="A392" s="15"/>
      <c r="B392" s="15"/>
      <c r="C392" s="21"/>
      <c r="D392" s="15"/>
      <c r="E392" s="15"/>
      <c r="F392" s="15"/>
      <c r="G392" s="387"/>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6.5" customHeight="1">
      <c r="A393" s="15"/>
      <c r="B393" s="15"/>
      <c r="C393" s="21"/>
      <c r="D393" s="15"/>
      <c r="E393" s="15"/>
      <c r="F393" s="15"/>
      <c r="G393" s="387"/>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6.5" customHeight="1">
      <c r="A394" s="15"/>
      <c r="B394" s="15"/>
      <c r="C394" s="21"/>
      <c r="D394" s="15"/>
      <c r="E394" s="15"/>
      <c r="F394" s="15"/>
      <c r="G394" s="387"/>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6.5" customHeight="1">
      <c r="A395" s="15"/>
      <c r="B395" s="15"/>
      <c r="C395" s="21"/>
      <c r="D395" s="15"/>
      <c r="E395" s="15"/>
      <c r="F395" s="15"/>
      <c r="G395" s="387"/>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6.5" customHeight="1">
      <c r="A396" s="15"/>
      <c r="B396" s="15"/>
      <c r="C396" s="21"/>
      <c r="D396" s="15"/>
      <c r="E396" s="15"/>
      <c r="F396" s="15"/>
      <c r="G396" s="387"/>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6.5" customHeight="1">
      <c r="A397" s="15"/>
      <c r="B397" s="15"/>
      <c r="C397" s="21"/>
      <c r="D397" s="15"/>
      <c r="E397" s="15"/>
      <c r="F397" s="15"/>
      <c r="G397" s="387"/>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6.5" customHeight="1">
      <c r="A398" s="15"/>
      <c r="B398" s="15"/>
      <c r="C398" s="21"/>
      <c r="D398" s="15"/>
      <c r="E398" s="15"/>
      <c r="F398" s="15"/>
      <c r="G398" s="387"/>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row>
    <row r="399" ht="16.5" customHeight="1">
      <c r="A399" s="15"/>
      <c r="B399" s="15"/>
      <c r="C399" s="21"/>
      <c r="D399" s="15"/>
      <c r="E399" s="15"/>
      <c r="F399" s="15"/>
      <c r="G399" s="387"/>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6.5" customHeight="1">
      <c r="A400" s="15"/>
      <c r="B400" s="15"/>
      <c r="C400" s="21"/>
      <c r="D400" s="15"/>
      <c r="E400" s="15"/>
      <c r="F400" s="15"/>
      <c r="G400" s="387"/>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6.5" customHeight="1">
      <c r="A401" s="15"/>
      <c r="B401" s="15"/>
      <c r="C401" s="21"/>
      <c r="D401" s="15"/>
      <c r="E401" s="15"/>
      <c r="F401" s="15"/>
      <c r="G401" s="387"/>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6.5" customHeight="1">
      <c r="A402" s="15"/>
      <c r="B402" s="15"/>
      <c r="C402" s="21"/>
      <c r="D402" s="15"/>
      <c r="E402" s="15"/>
      <c r="F402" s="15"/>
      <c r="G402" s="387"/>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6.5" customHeight="1">
      <c r="A403" s="15"/>
      <c r="B403" s="15"/>
      <c r="C403" s="21"/>
      <c r="D403" s="15"/>
      <c r="E403" s="15"/>
      <c r="F403" s="15"/>
      <c r="G403" s="387"/>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6.5" customHeight="1">
      <c r="A404" s="15"/>
      <c r="B404" s="15"/>
      <c r="C404" s="21"/>
      <c r="D404" s="15"/>
      <c r="E404" s="15"/>
      <c r="F404" s="15"/>
      <c r="G404" s="387"/>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row>
    <row r="405" ht="16.5" customHeight="1">
      <c r="A405" s="15"/>
      <c r="B405" s="15"/>
      <c r="C405" s="21"/>
      <c r="D405" s="15"/>
      <c r="E405" s="15"/>
      <c r="F405" s="15"/>
      <c r="G405" s="387"/>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6.5" customHeight="1">
      <c r="A406" s="15"/>
      <c r="B406" s="15"/>
      <c r="C406" s="21"/>
      <c r="D406" s="15"/>
      <c r="E406" s="15"/>
      <c r="F406" s="15"/>
      <c r="G406" s="387"/>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row>
    <row r="407" ht="16.5" customHeight="1">
      <c r="A407" s="15"/>
      <c r="B407" s="15"/>
      <c r="C407" s="21"/>
      <c r="D407" s="15"/>
      <c r="E407" s="15"/>
      <c r="F407" s="15"/>
      <c r="G407" s="387"/>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6.5" customHeight="1">
      <c r="A408" s="15"/>
      <c r="B408" s="15"/>
      <c r="C408" s="21"/>
      <c r="D408" s="15"/>
      <c r="E408" s="15"/>
      <c r="F408" s="15"/>
      <c r="G408" s="387"/>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6.5" customHeight="1">
      <c r="A409" s="15"/>
      <c r="B409" s="15"/>
      <c r="C409" s="21"/>
      <c r="D409" s="15"/>
      <c r="E409" s="15"/>
      <c r="F409" s="15"/>
      <c r="G409" s="387"/>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6.5" customHeight="1">
      <c r="A410" s="15"/>
      <c r="B410" s="15"/>
      <c r="C410" s="21"/>
      <c r="D410" s="15"/>
      <c r="E410" s="15"/>
      <c r="F410" s="15"/>
      <c r="G410" s="387"/>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6.5" customHeight="1">
      <c r="A411" s="15"/>
      <c r="B411" s="15"/>
      <c r="C411" s="21"/>
      <c r="D411" s="15"/>
      <c r="E411" s="15"/>
      <c r="F411" s="15"/>
      <c r="G411" s="387"/>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6.5" customHeight="1">
      <c r="A412" s="15"/>
      <c r="B412" s="15"/>
      <c r="C412" s="21"/>
      <c r="D412" s="15"/>
      <c r="E412" s="15"/>
      <c r="F412" s="15"/>
      <c r="G412" s="387"/>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6.5" customHeight="1">
      <c r="A413" s="15"/>
      <c r="B413" s="15"/>
      <c r="C413" s="21"/>
      <c r="D413" s="15"/>
      <c r="E413" s="15"/>
      <c r="F413" s="15"/>
      <c r="G413" s="387"/>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6.5" customHeight="1">
      <c r="A414" s="15"/>
      <c r="B414" s="15"/>
      <c r="C414" s="21"/>
      <c r="D414" s="15"/>
      <c r="E414" s="15"/>
      <c r="F414" s="15"/>
      <c r="G414" s="387"/>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6.5" customHeight="1">
      <c r="A415" s="15"/>
      <c r="B415" s="15"/>
      <c r="C415" s="21"/>
      <c r="D415" s="15"/>
      <c r="E415" s="15"/>
      <c r="F415" s="15"/>
      <c r="G415" s="387"/>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6.5" customHeight="1">
      <c r="A416" s="15"/>
      <c r="B416" s="15"/>
      <c r="C416" s="21"/>
      <c r="D416" s="15"/>
      <c r="E416" s="15"/>
      <c r="F416" s="15"/>
      <c r="G416" s="387"/>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6.5" customHeight="1">
      <c r="A417" s="15"/>
      <c r="B417" s="15"/>
      <c r="C417" s="21"/>
      <c r="D417" s="15"/>
      <c r="E417" s="15"/>
      <c r="F417" s="15"/>
      <c r="G417" s="387"/>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6.5" customHeight="1">
      <c r="A418" s="15"/>
      <c r="B418" s="15"/>
      <c r="C418" s="21"/>
      <c r="D418" s="15"/>
      <c r="E418" s="15"/>
      <c r="F418" s="15"/>
      <c r="G418" s="387"/>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6.5" customHeight="1">
      <c r="A419" s="15"/>
      <c r="B419" s="15"/>
      <c r="C419" s="21"/>
      <c r="D419" s="15"/>
      <c r="E419" s="15"/>
      <c r="F419" s="15"/>
      <c r="G419" s="387"/>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6.5" customHeight="1">
      <c r="A420" s="15"/>
      <c r="B420" s="15"/>
      <c r="C420" s="21"/>
      <c r="D420" s="15"/>
      <c r="E420" s="15"/>
      <c r="F420" s="15"/>
      <c r="G420" s="387"/>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6.5" customHeight="1">
      <c r="A421" s="15"/>
      <c r="B421" s="15"/>
      <c r="C421" s="21"/>
      <c r="D421" s="15"/>
      <c r="E421" s="15"/>
      <c r="F421" s="15"/>
      <c r="G421" s="387"/>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6.5" customHeight="1">
      <c r="A422" s="15"/>
      <c r="B422" s="15"/>
      <c r="C422" s="21"/>
      <c r="D422" s="15"/>
      <c r="E422" s="15"/>
      <c r="F422" s="15"/>
      <c r="G422" s="387"/>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row>
    <row r="423" ht="16.5" customHeight="1">
      <c r="A423" s="15"/>
      <c r="B423" s="15"/>
      <c r="C423" s="21"/>
      <c r="D423" s="15"/>
      <c r="E423" s="15"/>
      <c r="F423" s="15"/>
      <c r="G423" s="387"/>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6.5" customHeight="1">
      <c r="A424" s="15"/>
      <c r="B424" s="15"/>
      <c r="C424" s="21"/>
      <c r="D424" s="15"/>
      <c r="E424" s="15"/>
      <c r="F424" s="15"/>
      <c r="G424" s="387"/>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row>
    <row r="425" ht="16.5" customHeight="1">
      <c r="A425" s="15"/>
      <c r="B425" s="15"/>
      <c r="C425" s="21"/>
      <c r="D425" s="15"/>
      <c r="E425" s="15"/>
      <c r="F425" s="15"/>
      <c r="G425" s="387"/>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6.5" customHeight="1">
      <c r="A426" s="15"/>
      <c r="B426" s="15"/>
      <c r="C426" s="21"/>
      <c r="D426" s="15"/>
      <c r="E426" s="15"/>
      <c r="F426" s="15"/>
      <c r="G426" s="387"/>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6.5" customHeight="1">
      <c r="A427" s="15"/>
      <c r="B427" s="15"/>
      <c r="C427" s="21"/>
      <c r="D427" s="15"/>
      <c r="E427" s="15"/>
      <c r="F427" s="15"/>
      <c r="G427" s="387"/>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6.5" customHeight="1">
      <c r="A428" s="15"/>
      <c r="B428" s="15"/>
      <c r="C428" s="21"/>
      <c r="D428" s="15"/>
      <c r="E428" s="15"/>
      <c r="F428" s="15"/>
      <c r="G428" s="387"/>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6.5" customHeight="1">
      <c r="A429" s="15"/>
      <c r="B429" s="15"/>
      <c r="C429" s="21"/>
      <c r="D429" s="15"/>
      <c r="E429" s="15"/>
      <c r="F429" s="15"/>
      <c r="G429" s="387"/>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6.5" customHeight="1">
      <c r="A430" s="15"/>
      <c r="B430" s="15"/>
      <c r="C430" s="21"/>
      <c r="D430" s="15"/>
      <c r="E430" s="15"/>
      <c r="F430" s="15"/>
      <c r="G430" s="387"/>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6.5" customHeight="1">
      <c r="A431" s="15"/>
      <c r="B431" s="15"/>
      <c r="C431" s="21"/>
      <c r="D431" s="15"/>
      <c r="E431" s="15"/>
      <c r="F431" s="15"/>
      <c r="G431" s="387"/>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6.5" customHeight="1">
      <c r="A432" s="15"/>
      <c r="B432" s="15"/>
      <c r="C432" s="21"/>
      <c r="D432" s="15"/>
      <c r="E432" s="15"/>
      <c r="F432" s="15"/>
      <c r="G432" s="387"/>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6.5" customHeight="1">
      <c r="A433" s="15"/>
      <c r="B433" s="15"/>
      <c r="C433" s="21"/>
      <c r="D433" s="15"/>
      <c r="E433" s="15"/>
      <c r="F433" s="15"/>
      <c r="G433" s="387"/>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6.5" customHeight="1">
      <c r="A434" s="15"/>
      <c r="B434" s="15"/>
      <c r="C434" s="21"/>
      <c r="D434" s="15"/>
      <c r="E434" s="15"/>
      <c r="F434" s="15"/>
      <c r="G434" s="387"/>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6.5" customHeight="1">
      <c r="A435" s="15"/>
      <c r="B435" s="15"/>
      <c r="C435" s="21"/>
      <c r="D435" s="15"/>
      <c r="E435" s="15"/>
      <c r="F435" s="15"/>
      <c r="G435" s="387"/>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6.5" customHeight="1">
      <c r="A436" s="15"/>
      <c r="B436" s="15"/>
      <c r="C436" s="21"/>
      <c r="D436" s="15"/>
      <c r="E436" s="15"/>
      <c r="F436" s="15"/>
      <c r="G436" s="387"/>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6.5" customHeight="1">
      <c r="A437" s="15"/>
      <c r="B437" s="15"/>
      <c r="C437" s="21"/>
      <c r="D437" s="15"/>
      <c r="E437" s="15"/>
      <c r="F437" s="15"/>
      <c r="G437" s="387"/>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6.5" customHeight="1">
      <c r="A438" s="15"/>
      <c r="B438" s="15"/>
      <c r="C438" s="21"/>
      <c r="D438" s="15"/>
      <c r="E438" s="15"/>
      <c r="F438" s="15"/>
      <c r="G438" s="387"/>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6.5" customHeight="1">
      <c r="A439" s="15"/>
      <c r="B439" s="15"/>
      <c r="C439" s="21"/>
      <c r="D439" s="15"/>
      <c r="E439" s="15"/>
      <c r="F439" s="15"/>
      <c r="G439" s="387"/>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6.5" customHeight="1">
      <c r="A440" s="15"/>
      <c r="B440" s="15"/>
      <c r="C440" s="21"/>
      <c r="D440" s="15"/>
      <c r="E440" s="15"/>
      <c r="F440" s="15"/>
      <c r="G440" s="387"/>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6.5" customHeight="1">
      <c r="A441" s="15"/>
      <c r="B441" s="15"/>
      <c r="C441" s="21"/>
      <c r="D441" s="15"/>
      <c r="E441" s="15"/>
      <c r="F441" s="15"/>
      <c r="G441" s="387"/>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6.5" customHeight="1">
      <c r="A442" s="15"/>
      <c r="B442" s="15"/>
      <c r="C442" s="21"/>
      <c r="D442" s="15"/>
      <c r="E442" s="15"/>
      <c r="F442" s="15"/>
      <c r="G442" s="387"/>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6.5" customHeight="1">
      <c r="A443" s="15"/>
      <c r="B443" s="15"/>
      <c r="C443" s="21"/>
      <c r="D443" s="15"/>
      <c r="E443" s="15"/>
      <c r="F443" s="15"/>
      <c r="G443" s="387"/>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6.5" customHeight="1">
      <c r="A444" s="15"/>
      <c r="B444" s="15"/>
      <c r="C444" s="21"/>
      <c r="D444" s="15"/>
      <c r="E444" s="15"/>
      <c r="F444" s="15"/>
      <c r="G444" s="387"/>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row>
    <row r="445" ht="16.5" customHeight="1">
      <c r="A445" s="15"/>
      <c r="B445" s="15"/>
      <c r="C445" s="21"/>
      <c r="D445" s="15"/>
      <c r="E445" s="15"/>
      <c r="F445" s="15"/>
      <c r="G445" s="387"/>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6.5" customHeight="1">
      <c r="A446" s="15"/>
      <c r="B446" s="15"/>
      <c r="C446" s="21"/>
      <c r="D446" s="15"/>
      <c r="E446" s="15"/>
      <c r="F446" s="15"/>
      <c r="G446" s="387"/>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6.5" customHeight="1">
      <c r="A447" s="15"/>
      <c r="B447" s="15"/>
      <c r="C447" s="21"/>
      <c r="D447" s="15"/>
      <c r="E447" s="15"/>
      <c r="F447" s="15"/>
      <c r="G447" s="387"/>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6.5" customHeight="1">
      <c r="A448" s="15"/>
      <c r="B448" s="15"/>
      <c r="C448" s="21"/>
      <c r="D448" s="15"/>
      <c r="E448" s="15"/>
      <c r="F448" s="15"/>
      <c r="G448" s="387"/>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6.5" customHeight="1">
      <c r="A449" s="15"/>
      <c r="B449" s="15"/>
      <c r="C449" s="21"/>
      <c r="D449" s="15"/>
      <c r="E449" s="15"/>
      <c r="F449" s="15"/>
      <c r="G449" s="387"/>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row>
    <row r="450" ht="16.5" customHeight="1">
      <c r="A450" s="15"/>
      <c r="B450" s="15"/>
      <c r="C450" s="21"/>
      <c r="D450" s="15"/>
      <c r="E450" s="15"/>
      <c r="F450" s="15"/>
      <c r="G450" s="387"/>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row>
    <row r="451" ht="16.5" customHeight="1">
      <c r="A451" s="15"/>
      <c r="B451" s="15"/>
      <c r="C451" s="21"/>
      <c r="D451" s="15"/>
      <c r="E451" s="15"/>
      <c r="F451" s="15"/>
      <c r="G451" s="387"/>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6.5" customHeight="1">
      <c r="A452" s="15"/>
      <c r="B452" s="15"/>
      <c r="C452" s="21"/>
      <c r="D452" s="15"/>
      <c r="E452" s="15"/>
      <c r="F452" s="15"/>
      <c r="G452" s="387"/>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6.5" customHeight="1">
      <c r="A453" s="15"/>
      <c r="B453" s="15"/>
      <c r="C453" s="21"/>
      <c r="D453" s="15"/>
      <c r="E453" s="15"/>
      <c r="F453" s="15"/>
      <c r="G453" s="387"/>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6.5" customHeight="1">
      <c r="A454" s="15"/>
      <c r="B454" s="15"/>
      <c r="C454" s="21"/>
      <c r="D454" s="15"/>
      <c r="E454" s="15"/>
      <c r="F454" s="15"/>
      <c r="G454" s="387"/>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6.5" customHeight="1">
      <c r="A455" s="15"/>
      <c r="B455" s="15"/>
      <c r="C455" s="21"/>
      <c r="D455" s="15"/>
      <c r="E455" s="15"/>
      <c r="F455" s="15"/>
      <c r="G455" s="387"/>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6.5" customHeight="1">
      <c r="A456" s="15"/>
      <c r="B456" s="15"/>
      <c r="C456" s="21"/>
      <c r="D456" s="15"/>
      <c r="E456" s="15"/>
      <c r="F456" s="15"/>
      <c r="G456" s="387"/>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6.5" customHeight="1">
      <c r="A457" s="15"/>
      <c r="B457" s="15"/>
      <c r="C457" s="21"/>
      <c r="D457" s="15"/>
      <c r="E457" s="15"/>
      <c r="F457" s="15"/>
      <c r="G457" s="387"/>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6.5" customHeight="1">
      <c r="A458" s="15"/>
      <c r="B458" s="15"/>
      <c r="C458" s="21"/>
      <c r="D458" s="15"/>
      <c r="E458" s="15"/>
      <c r="F458" s="15"/>
      <c r="G458" s="387"/>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6.5" customHeight="1">
      <c r="A459" s="15"/>
      <c r="B459" s="15"/>
      <c r="C459" s="21"/>
      <c r="D459" s="15"/>
      <c r="E459" s="15"/>
      <c r="F459" s="15"/>
      <c r="G459" s="387"/>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6.5" customHeight="1">
      <c r="A460" s="15"/>
      <c r="B460" s="15"/>
      <c r="C460" s="21"/>
      <c r="D460" s="15"/>
      <c r="E460" s="15"/>
      <c r="F460" s="15"/>
      <c r="G460" s="387"/>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6.5" customHeight="1">
      <c r="A461" s="15"/>
      <c r="B461" s="15"/>
      <c r="C461" s="21"/>
      <c r="D461" s="15"/>
      <c r="E461" s="15"/>
      <c r="F461" s="15"/>
      <c r="G461" s="387"/>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6.5" customHeight="1">
      <c r="A462" s="15"/>
      <c r="B462" s="15"/>
      <c r="C462" s="21"/>
      <c r="D462" s="15"/>
      <c r="E462" s="15"/>
      <c r="F462" s="15"/>
      <c r="G462" s="387"/>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6.5" customHeight="1">
      <c r="A463" s="15"/>
      <c r="B463" s="15"/>
      <c r="C463" s="21"/>
      <c r="D463" s="15"/>
      <c r="E463" s="15"/>
      <c r="F463" s="15"/>
      <c r="G463" s="387"/>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6.5" customHeight="1">
      <c r="A464" s="15"/>
      <c r="B464" s="15"/>
      <c r="C464" s="21"/>
      <c r="D464" s="15"/>
      <c r="E464" s="15"/>
      <c r="F464" s="15"/>
      <c r="G464" s="387"/>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6.5" customHeight="1">
      <c r="A465" s="15"/>
      <c r="B465" s="15"/>
      <c r="C465" s="21"/>
      <c r="D465" s="15"/>
      <c r="E465" s="15"/>
      <c r="F465" s="15"/>
      <c r="G465" s="387"/>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6.5" customHeight="1">
      <c r="A466" s="15"/>
      <c r="B466" s="15"/>
      <c r="C466" s="21"/>
      <c r="D466" s="15"/>
      <c r="E466" s="15"/>
      <c r="F466" s="15"/>
      <c r="G466" s="387"/>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6.5" customHeight="1">
      <c r="A467" s="15"/>
      <c r="B467" s="15"/>
      <c r="C467" s="21"/>
      <c r="D467" s="15"/>
      <c r="E467" s="15"/>
      <c r="F467" s="15"/>
      <c r="G467" s="387"/>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6.5" customHeight="1">
      <c r="A468" s="15"/>
      <c r="B468" s="15"/>
      <c r="C468" s="21"/>
      <c r="D468" s="15"/>
      <c r="E468" s="15"/>
      <c r="F468" s="15"/>
      <c r="G468" s="387"/>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6.5" customHeight="1">
      <c r="A469" s="15"/>
      <c r="B469" s="15"/>
      <c r="C469" s="21"/>
      <c r="D469" s="15"/>
      <c r="E469" s="15"/>
      <c r="F469" s="15"/>
      <c r="G469" s="387"/>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6.5" customHeight="1">
      <c r="A470" s="15"/>
      <c r="B470" s="15"/>
      <c r="C470" s="21"/>
      <c r="D470" s="15"/>
      <c r="E470" s="15"/>
      <c r="F470" s="15"/>
      <c r="G470" s="387"/>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6.5" customHeight="1">
      <c r="A471" s="15"/>
      <c r="B471" s="15"/>
      <c r="C471" s="21"/>
      <c r="D471" s="15"/>
      <c r="E471" s="15"/>
      <c r="F471" s="15"/>
      <c r="G471" s="387"/>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6.5" customHeight="1">
      <c r="A472" s="15"/>
      <c r="B472" s="15"/>
      <c r="C472" s="21"/>
      <c r="D472" s="15"/>
      <c r="E472" s="15"/>
      <c r="F472" s="15"/>
      <c r="G472" s="387"/>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6.5" customHeight="1">
      <c r="A473" s="15"/>
      <c r="B473" s="15"/>
      <c r="C473" s="21"/>
      <c r="D473" s="15"/>
      <c r="E473" s="15"/>
      <c r="F473" s="15"/>
      <c r="G473" s="387"/>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6.5" customHeight="1">
      <c r="A474" s="15"/>
      <c r="B474" s="15"/>
      <c r="C474" s="21"/>
      <c r="D474" s="15"/>
      <c r="E474" s="15"/>
      <c r="F474" s="15"/>
      <c r="G474" s="387"/>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6.5" customHeight="1">
      <c r="A475" s="15"/>
      <c r="B475" s="15"/>
      <c r="C475" s="21"/>
      <c r="D475" s="15"/>
      <c r="E475" s="15"/>
      <c r="F475" s="15"/>
      <c r="G475" s="387"/>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6.5" customHeight="1">
      <c r="A476" s="15"/>
      <c r="B476" s="15"/>
      <c r="C476" s="21"/>
      <c r="D476" s="15"/>
      <c r="E476" s="15"/>
      <c r="F476" s="15"/>
      <c r="G476" s="387"/>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6.5" customHeight="1">
      <c r="A477" s="15"/>
      <c r="B477" s="15"/>
      <c r="C477" s="21"/>
      <c r="D477" s="15"/>
      <c r="E477" s="15"/>
      <c r="F477" s="15"/>
      <c r="G477" s="387"/>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6.5" customHeight="1">
      <c r="A478" s="15"/>
      <c r="B478" s="15"/>
      <c r="C478" s="21"/>
      <c r="D478" s="15"/>
      <c r="E478" s="15"/>
      <c r="F478" s="15"/>
      <c r="G478" s="387"/>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row>
    <row r="479" ht="16.5" customHeight="1">
      <c r="A479" s="15"/>
      <c r="B479" s="15"/>
      <c r="C479" s="21"/>
      <c r="D479" s="15"/>
      <c r="E479" s="15"/>
      <c r="F479" s="15"/>
      <c r="G479" s="387"/>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6.5" customHeight="1">
      <c r="A480" s="15"/>
      <c r="B480" s="15"/>
      <c r="C480" s="21"/>
      <c r="D480" s="15"/>
      <c r="E480" s="15"/>
      <c r="F480" s="15"/>
      <c r="G480" s="387"/>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6.5" customHeight="1">
      <c r="A481" s="15"/>
      <c r="B481" s="15"/>
      <c r="C481" s="21"/>
      <c r="D481" s="15"/>
      <c r="E481" s="15"/>
      <c r="F481" s="15"/>
      <c r="G481" s="387"/>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6.5" customHeight="1">
      <c r="A482" s="15"/>
      <c r="B482" s="15"/>
      <c r="C482" s="21"/>
      <c r="D482" s="15"/>
      <c r="E482" s="15"/>
      <c r="F482" s="15"/>
      <c r="G482" s="387"/>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6.5" customHeight="1">
      <c r="A483" s="15"/>
      <c r="B483" s="15"/>
      <c r="C483" s="21"/>
      <c r="D483" s="15"/>
      <c r="E483" s="15"/>
      <c r="F483" s="15"/>
      <c r="G483" s="387"/>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6.5" customHeight="1">
      <c r="A484" s="15"/>
      <c r="B484" s="15"/>
      <c r="C484" s="21"/>
      <c r="D484" s="15"/>
      <c r="E484" s="15"/>
      <c r="F484" s="15"/>
      <c r="G484" s="387"/>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6.5" customHeight="1">
      <c r="A485" s="15"/>
      <c r="B485" s="15"/>
      <c r="C485" s="21"/>
      <c r="D485" s="15"/>
      <c r="E485" s="15"/>
      <c r="F485" s="15"/>
      <c r="G485" s="387"/>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6.5" customHeight="1">
      <c r="A486" s="15"/>
      <c r="B486" s="15"/>
      <c r="C486" s="21"/>
      <c r="D486" s="15"/>
      <c r="E486" s="15"/>
      <c r="F486" s="15"/>
      <c r="G486" s="387"/>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6.5" customHeight="1">
      <c r="A487" s="15"/>
      <c r="B487" s="15"/>
      <c r="C487" s="21"/>
      <c r="D487" s="15"/>
      <c r="E487" s="15"/>
      <c r="F487" s="15"/>
      <c r="G487" s="387"/>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6.5" customHeight="1">
      <c r="A488" s="15"/>
      <c r="B488" s="15"/>
      <c r="C488" s="21"/>
      <c r="D488" s="15"/>
      <c r="E488" s="15"/>
      <c r="F488" s="15"/>
      <c r="G488" s="387"/>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6.5" customHeight="1">
      <c r="A489" s="15"/>
      <c r="B489" s="15"/>
      <c r="C489" s="21"/>
      <c r="D489" s="15"/>
      <c r="E489" s="15"/>
      <c r="F489" s="15"/>
      <c r="G489" s="387"/>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6.5" customHeight="1">
      <c r="A490" s="15"/>
      <c r="B490" s="15"/>
      <c r="C490" s="21"/>
      <c r="D490" s="15"/>
      <c r="E490" s="15"/>
      <c r="F490" s="15"/>
      <c r="G490" s="387"/>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6.5" customHeight="1">
      <c r="A491" s="15"/>
      <c r="B491" s="15"/>
      <c r="C491" s="21"/>
      <c r="D491" s="15"/>
      <c r="E491" s="15"/>
      <c r="F491" s="15"/>
      <c r="G491" s="387"/>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6.5" customHeight="1">
      <c r="A492" s="15"/>
      <c r="B492" s="15"/>
      <c r="C492" s="21"/>
      <c r="D492" s="15"/>
      <c r="E492" s="15"/>
      <c r="F492" s="15"/>
      <c r="G492" s="387"/>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6.5" customHeight="1">
      <c r="A493" s="15"/>
      <c r="B493" s="15"/>
      <c r="C493" s="21"/>
      <c r="D493" s="15"/>
      <c r="E493" s="15"/>
      <c r="F493" s="15"/>
      <c r="G493" s="387"/>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6.5" customHeight="1">
      <c r="A494" s="15"/>
      <c r="B494" s="15"/>
      <c r="C494" s="21"/>
      <c r="D494" s="15"/>
      <c r="E494" s="15"/>
      <c r="F494" s="15"/>
      <c r="G494" s="387"/>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6.5" customHeight="1">
      <c r="A495" s="15"/>
      <c r="B495" s="15"/>
      <c r="C495" s="21"/>
      <c r="D495" s="15"/>
      <c r="E495" s="15"/>
      <c r="F495" s="15"/>
      <c r="G495" s="387"/>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6.5" customHeight="1">
      <c r="A496" s="15"/>
      <c r="B496" s="15"/>
      <c r="C496" s="21"/>
      <c r="D496" s="15"/>
      <c r="E496" s="15"/>
      <c r="F496" s="15"/>
      <c r="G496" s="387"/>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6.5" customHeight="1">
      <c r="A497" s="15"/>
      <c r="B497" s="15"/>
      <c r="C497" s="21"/>
      <c r="D497" s="15"/>
      <c r="E497" s="15"/>
      <c r="F497" s="15"/>
      <c r="G497" s="387"/>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6.5" customHeight="1">
      <c r="A498" s="15"/>
      <c r="B498" s="15"/>
      <c r="C498" s="21"/>
      <c r="D498" s="15"/>
      <c r="E498" s="15"/>
      <c r="F498" s="15"/>
      <c r="G498" s="387"/>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6.5" customHeight="1">
      <c r="A499" s="15"/>
      <c r="B499" s="15"/>
      <c r="C499" s="21"/>
      <c r="D499" s="15"/>
      <c r="E499" s="15"/>
      <c r="F499" s="15"/>
      <c r="G499" s="387"/>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6.5" customHeight="1">
      <c r="A500" s="15"/>
      <c r="B500" s="15"/>
      <c r="C500" s="21"/>
      <c r="D500" s="15"/>
      <c r="E500" s="15"/>
      <c r="F500" s="15"/>
      <c r="G500" s="387"/>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6.5" customHeight="1">
      <c r="A501" s="15"/>
      <c r="B501" s="15"/>
      <c r="C501" s="21"/>
      <c r="D501" s="15"/>
      <c r="E501" s="15"/>
      <c r="F501" s="15"/>
      <c r="G501" s="387"/>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row>
    <row r="502" ht="16.5" customHeight="1">
      <c r="A502" s="15"/>
      <c r="B502" s="15"/>
      <c r="C502" s="21"/>
      <c r="D502" s="15"/>
      <c r="E502" s="15"/>
      <c r="F502" s="15"/>
      <c r="G502" s="387"/>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6.5" customHeight="1">
      <c r="A503" s="15"/>
      <c r="B503" s="15"/>
      <c r="C503" s="21"/>
      <c r="D503" s="15"/>
      <c r="E503" s="15"/>
      <c r="F503" s="15"/>
      <c r="G503" s="387"/>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row>
    <row r="504" ht="16.5" customHeight="1">
      <c r="A504" s="15"/>
      <c r="B504" s="15"/>
      <c r="C504" s="21"/>
      <c r="D504" s="15"/>
      <c r="E504" s="15"/>
      <c r="F504" s="15"/>
      <c r="G504" s="387"/>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6.5" customHeight="1">
      <c r="A505" s="15"/>
      <c r="B505" s="15"/>
      <c r="C505" s="21"/>
      <c r="D505" s="15"/>
      <c r="E505" s="15"/>
      <c r="F505" s="15"/>
      <c r="G505" s="387"/>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6.5" customHeight="1">
      <c r="A506" s="15"/>
      <c r="B506" s="15"/>
      <c r="C506" s="21"/>
      <c r="D506" s="15"/>
      <c r="E506" s="15"/>
      <c r="F506" s="15"/>
      <c r="G506" s="387"/>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6.5" customHeight="1">
      <c r="A507" s="15"/>
      <c r="B507" s="15"/>
      <c r="C507" s="21"/>
      <c r="D507" s="15"/>
      <c r="E507" s="15"/>
      <c r="F507" s="15"/>
      <c r="G507" s="387"/>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6.5" customHeight="1">
      <c r="A508" s="15"/>
      <c r="B508" s="15"/>
      <c r="C508" s="21"/>
      <c r="D508" s="15"/>
      <c r="E508" s="15"/>
      <c r="F508" s="15"/>
      <c r="G508" s="387"/>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6.5" customHeight="1">
      <c r="A509" s="15"/>
      <c r="B509" s="15"/>
      <c r="C509" s="21"/>
      <c r="D509" s="15"/>
      <c r="E509" s="15"/>
      <c r="F509" s="15"/>
      <c r="G509" s="387"/>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6.5" customHeight="1">
      <c r="A510" s="15"/>
      <c r="B510" s="15"/>
      <c r="C510" s="21"/>
      <c r="D510" s="15"/>
      <c r="E510" s="15"/>
      <c r="F510" s="15"/>
      <c r="G510" s="387"/>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6.5" customHeight="1">
      <c r="A511" s="15"/>
      <c r="B511" s="15"/>
      <c r="C511" s="21"/>
      <c r="D511" s="15"/>
      <c r="E511" s="15"/>
      <c r="F511" s="15"/>
      <c r="G511" s="387"/>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6.5" customHeight="1">
      <c r="A512" s="15"/>
      <c r="B512" s="15"/>
      <c r="C512" s="21"/>
      <c r="D512" s="15"/>
      <c r="E512" s="15"/>
      <c r="F512" s="15"/>
      <c r="G512" s="387"/>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6.5" customHeight="1">
      <c r="A513" s="15"/>
      <c r="B513" s="15"/>
      <c r="C513" s="21"/>
      <c r="D513" s="15"/>
      <c r="E513" s="15"/>
      <c r="F513" s="15"/>
      <c r="G513" s="387"/>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6.5" customHeight="1">
      <c r="A514" s="15"/>
      <c r="B514" s="15"/>
      <c r="C514" s="21"/>
      <c r="D514" s="15"/>
      <c r="E514" s="15"/>
      <c r="F514" s="15"/>
      <c r="G514" s="387"/>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6.5" customHeight="1">
      <c r="A515" s="15"/>
      <c r="B515" s="15"/>
      <c r="C515" s="21"/>
      <c r="D515" s="15"/>
      <c r="E515" s="15"/>
      <c r="F515" s="15"/>
      <c r="G515" s="387"/>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6.5" customHeight="1">
      <c r="A516" s="15"/>
      <c r="B516" s="15"/>
      <c r="C516" s="21"/>
      <c r="D516" s="15"/>
      <c r="E516" s="15"/>
      <c r="F516" s="15"/>
      <c r="G516" s="387"/>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6.5" customHeight="1">
      <c r="A517" s="15"/>
      <c r="B517" s="15"/>
      <c r="C517" s="21"/>
      <c r="D517" s="15"/>
      <c r="E517" s="15"/>
      <c r="F517" s="15"/>
      <c r="G517" s="387"/>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6.5" customHeight="1">
      <c r="A518" s="15"/>
      <c r="B518" s="15"/>
      <c r="C518" s="21"/>
      <c r="D518" s="15"/>
      <c r="E518" s="15"/>
      <c r="F518" s="15"/>
      <c r="G518" s="387"/>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6.5" customHeight="1">
      <c r="A519" s="15"/>
      <c r="B519" s="15"/>
      <c r="C519" s="21"/>
      <c r="D519" s="15"/>
      <c r="E519" s="15"/>
      <c r="F519" s="15"/>
      <c r="G519" s="387"/>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6.5" customHeight="1">
      <c r="A520" s="15"/>
      <c r="B520" s="15"/>
      <c r="C520" s="21"/>
      <c r="D520" s="15"/>
      <c r="E520" s="15"/>
      <c r="F520" s="15"/>
      <c r="G520" s="387"/>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6.5" customHeight="1">
      <c r="A521" s="15"/>
      <c r="B521" s="15"/>
      <c r="C521" s="21"/>
      <c r="D521" s="15"/>
      <c r="E521" s="15"/>
      <c r="F521" s="15"/>
      <c r="G521" s="387"/>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6.5" customHeight="1">
      <c r="A522" s="15"/>
      <c r="B522" s="15"/>
      <c r="C522" s="21"/>
      <c r="D522" s="15"/>
      <c r="E522" s="15"/>
      <c r="F522" s="15"/>
      <c r="G522" s="387"/>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6.5" customHeight="1">
      <c r="A523" s="15"/>
      <c r="B523" s="15"/>
      <c r="C523" s="21"/>
      <c r="D523" s="15"/>
      <c r="E523" s="15"/>
      <c r="F523" s="15"/>
      <c r="G523" s="387"/>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6.5" customHeight="1">
      <c r="A524" s="15"/>
      <c r="B524" s="15"/>
      <c r="C524" s="21"/>
      <c r="D524" s="15"/>
      <c r="E524" s="15"/>
      <c r="F524" s="15"/>
      <c r="G524" s="387"/>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6.5" customHeight="1">
      <c r="A525" s="15"/>
      <c r="B525" s="15"/>
      <c r="C525" s="21"/>
      <c r="D525" s="15"/>
      <c r="E525" s="15"/>
      <c r="F525" s="15"/>
      <c r="G525" s="387"/>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6.5" customHeight="1">
      <c r="A526" s="15"/>
      <c r="B526" s="15"/>
      <c r="C526" s="21"/>
      <c r="D526" s="15"/>
      <c r="E526" s="15"/>
      <c r="F526" s="15"/>
      <c r="G526" s="387"/>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6.5" customHeight="1">
      <c r="A527" s="15"/>
      <c r="B527" s="15"/>
      <c r="C527" s="21"/>
      <c r="D527" s="15"/>
      <c r="E527" s="15"/>
      <c r="F527" s="15"/>
      <c r="G527" s="387"/>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6.5" customHeight="1">
      <c r="A528" s="15"/>
      <c r="B528" s="15"/>
      <c r="C528" s="21"/>
      <c r="D528" s="15"/>
      <c r="E528" s="15"/>
      <c r="F528" s="15"/>
      <c r="G528" s="387"/>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6.5" customHeight="1">
      <c r="A529" s="15"/>
      <c r="B529" s="15"/>
      <c r="C529" s="21"/>
      <c r="D529" s="15"/>
      <c r="E529" s="15"/>
      <c r="F529" s="15"/>
      <c r="G529" s="387"/>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6.5" customHeight="1">
      <c r="A530" s="15"/>
      <c r="B530" s="15"/>
      <c r="C530" s="21"/>
      <c r="D530" s="15"/>
      <c r="E530" s="15"/>
      <c r="F530" s="15"/>
      <c r="G530" s="387"/>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6.5" customHeight="1">
      <c r="A531" s="15"/>
      <c r="B531" s="15"/>
      <c r="C531" s="21"/>
      <c r="D531" s="15"/>
      <c r="E531" s="15"/>
      <c r="F531" s="15"/>
      <c r="G531" s="387"/>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6.5" customHeight="1">
      <c r="A532" s="15"/>
      <c r="B532" s="15"/>
      <c r="C532" s="21"/>
      <c r="D532" s="15"/>
      <c r="E532" s="15"/>
      <c r="F532" s="15"/>
      <c r="G532" s="387"/>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6.5" customHeight="1">
      <c r="A533" s="15"/>
      <c r="B533" s="15"/>
      <c r="C533" s="21"/>
      <c r="D533" s="15"/>
      <c r="E533" s="15"/>
      <c r="F533" s="15"/>
      <c r="G533" s="387"/>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6.5" customHeight="1">
      <c r="A534" s="15"/>
      <c r="B534" s="15"/>
      <c r="C534" s="21"/>
      <c r="D534" s="15"/>
      <c r="E534" s="15"/>
      <c r="F534" s="15"/>
      <c r="G534" s="387"/>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6.5" customHeight="1">
      <c r="A535" s="15"/>
      <c r="B535" s="15"/>
      <c r="C535" s="21"/>
      <c r="D535" s="15"/>
      <c r="E535" s="15"/>
      <c r="F535" s="15"/>
      <c r="G535" s="387"/>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6.5" customHeight="1">
      <c r="A536" s="15"/>
      <c r="B536" s="15"/>
      <c r="C536" s="21"/>
      <c r="D536" s="15"/>
      <c r="E536" s="15"/>
      <c r="F536" s="15"/>
      <c r="G536" s="387"/>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6.5" customHeight="1">
      <c r="A537" s="15"/>
      <c r="B537" s="15"/>
      <c r="C537" s="21"/>
      <c r="D537" s="15"/>
      <c r="E537" s="15"/>
      <c r="F537" s="15"/>
      <c r="G537" s="387"/>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6.5" customHeight="1">
      <c r="A538" s="15"/>
      <c r="B538" s="15"/>
      <c r="C538" s="21"/>
      <c r="D538" s="15"/>
      <c r="E538" s="15"/>
      <c r="F538" s="15"/>
      <c r="G538" s="387"/>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6.5" customHeight="1">
      <c r="A539" s="15"/>
      <c r="B539" s="15"/>
      <c r="C539" s="21"/>
      <c r="D539" s="15"/>
      <c r="E539" s="15"/>
      <c r="F539" s="15"/>
      <c r="G539" s="387"/>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6.5" customHeight="1">
      <c r="A540" s="15"/>
      <c r="B540" s="15"/>
      <c r="C540" s="21"/>
      <c r="D540" s="15"/>
      <c r="E540" s="15"/>
      <c r="F540" s="15"/>
      <c r="G540" s="387"/>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6.5" customHeight="1">
      <c r="A541" s="15"/>
      <c r="B541" s="15"/>
      <c r="C541" s="21"/>
      <c r="D541" s="15"/>
      <c r="E541" s="15"/>
      <c r="F541" s="15"/>
      <c r="G541" s="387"/>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6.5" customHeight="1">
      <c r="A542" s="15"/>
      <c r="B542" s="15"/>
      <c r="C542" s="21"/>
      <c r="D542" s="15"/>
      <c r="E542" s="15"/>
      <c r="F542" s="15"/>
      <c r="G542" s="387"/>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6.5" customHeight="1">
      <c r="A543" s="15"/>
      <c r="B543" s="15"/>
      <c r="C543" s="21"/>
      <c r="D543" s="15"/>
      <c r="E543" s="15"/>
      <c r="F543" s="15"/>
      <c r="G543" s="387"/>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6.5" customHeight="1">
      <c r="A544" s="15"/>
      <c r="B544" s="15"/>
      <c r="C544" s="21"/>
      <c r="D544" s="15"/>
      <c r="E544" s="15"/>
      <c r="F544" s="15"/>
      <c r="G544" s="387"/>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6.5" customHeight="1">
      <c r="A545" s="15"/>
      <c r="B545" s="15"/>
      <c r="C545" s="21"/>
      <c r="D545" s="15"/>
      <c r="E545" s="15"/>
      <c r="F545" s="15"/>
      <c r="G545" s="387"/>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6.5" customHeight="1">
      <c r="A546" s="15"/>
      <c r="B546" s="15"/>
      <c r="C546" s="21"/>
      <c r="D546" s="15"/>
      <c r="E546" s="15"/>
      <c r="F546" s="15"/>
      <c r="G546" s="387"/>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6.5" customHeight="1">
      <c r="A547" s="15"/>
      <c r="B547" s="15"/>
      <c r="C547" s="21"/>
      <c r="D547" s="15"/>
      <c r="E547" s="15"/>
      <c r="F547" s="15"/>
      <c r="G547" s="387"/>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6.5" customHeight="1">
      <c r="A548" s="15"/>
      <c r="B548" s="15"/>
      <c r="C548" s="21"/>
      <c r="D548" s="15"/>
      <c r="E548" s="15"/>
      <c r="F548" s="15"/>
      <c r="G548" s="387"/>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6.5" customHeight="1">
      <c r="A549" s="15"/>
      <c r="B549" s="15"/>
      <c r="C549" s="21"/>
      <c r="D549" s="15"/>
      <c r="E549" s="15"/>
      <c r="F549" s="15"/>
      <c r="G549" s="387"/>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6.5" customHeight="1">
      <c r="A550" s="15"/>
      <c r="B550" s="15"/>
      <c r="C550" s="21"/>
      <c r="D550" s="15"/>
      <c r="E550" s="15"/>
      <c r="F550" s="15"/>
      <c r="G550" s="387"/>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6.5" customHeight="1">
      <c r="A551" s="15"/>
      <c r="B551" s="15"/>
      <c r="C551" s="21"/>
      <c r="D551" s="15"/>
      <c r="E551" s="15"/>
      <c r="F551" s="15"/>
      <c r="G551" s="387"/>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6.5" customHeight="1">
      <c r="A552" s="15"/>
      <c r="B552" s="15"/>
      <c r="C552" s="21"/>
      <c r="D552" s="15"/>
      <c r="E552" s="15"/>
      <c r="F552" s="15"/>
      <c r="G552" s="387"/>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6.5" customHeight="1">
      <c r="A553" s="15"/>
      <c r="B553" s="15"/>
      <c r="C553" s="21"/>
      <c r="D553" s="15"/>
      <c r="E553" s="15"/>
      <c r="F553" s="15"/>
      <c r="G553" s="387"/>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6.5" customHeight="1">
      <c r="A554" s="15"/>
      <c r="B554" s="15"/>
      <c r="C554" s="21"/>
      <c r="D554" s="15"/>
      <c r="E554" s="15"/>
      <c r="F554" s="15"/>
      <c r="G554" s="387"/>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6.5" customHeight="1">
      <c r="A555" s="15"/>
      <c r="B555" s="15"/>
      <c r="C555" s="21"/>
      <c r="D555" s="15"/>
      <c r="E555" s="15"/>
      <c r="F555" s="15"/>
      <c r="G555" s="387"/>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6.5" customHeight="1">
      <c r="A556" s="15"/>
      <c r="B556" s="15"/>
      <c r="C556" s="21"/>
      <c r="D556" s="15"/>
      <c r="E556" s="15"/>
      <c r="F556" s="15"/>
      <c r="G556" s="387"/>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6.5" customHeight="1">
      <c r="A557" s="15"/>
      <c r="B557" s="15"/>
      <c r="C557" s="21"/>
      <c r="D557" s="15"/>
      <c r="E557" s="15"/>
      <c r="F557" s="15"/>
      <c r="G557" s="387"/>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6.5" customHeight="1">
      <c r="A558" s="15"/>
      <c r="B558" s="15"/>
      <c r="C558" s="21"/>
      <c r="D558" s="15"/>
      <c r="E558" s="15"/>
      <c r="F558" s="15"/>
      <c r="G558" s="387"/>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6.5" customHeight="1">
      <c r="A559" s="15"/>
      <c r="B559" s="15"/>
      <c r="C559" s="21"/>
      <c r="D559" s="15"/>
      <c r="E559" s="15"/>
      <c r="F559" s="15"/>
      <c r="G559" s="387"/>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6.5" customHeight="1">
      <c r="A560" s="15"/>
      <c r="B560" s="15"/>
      <c r="C560" s="21"/>
      <c r="D560" s="15"/>
      <c r="E560" s="15"/>
      <c r="F560" s="15"/>
      <c r="G560" s="387"/>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6.5" customHeight="1">
      <c r="A561" s="15"/>
      <c r="B561" s="15"/>
      <c r="C561" s="21"/>
      <c r="D561" s="15"/>
      <c r="E561" s="15"/>
      <c r="F561" s="15"/>
      <c r="G561" s="387"/>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6.5" customHeight="1">
      <c r="A562" s="15"/>
      <c r="B562" s="15"/>
      <c r="C562" s="21"/>
      <c r="D562" s="15"/>
      <c r="E562" s="15"/>
      <c r="F562" s="15"/>
      <c r="G562" s="387"/>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6.5" customHeight="1">
      <c r="A563" s="15"/>
      <c r="B563" s="15"/>
      <c r="C563" s="21"/>
      <c r="D563" s="15"/>
      <c r="E563" s="15"/>
      <c r="F563" s="15"/>
      <c r="G563" s="387"/>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6.5" customHeight="1">
      <c r="A564" s="15"/>
      <c r="B564" s="15"/>
      <c r="C564" s="21"/>
      <c r="D564" s="15"/>
      <c r="E564" s="15"/>
      <c r="F564" s="15"/>
      <c r="G564" s="387"/>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6.5" customHeight="1">
      <c r="A565" s="15"/>
      <c r="B565" s="15"/>
      <c r="C565" s="21"/>
      <c r="D565" s="15"/>
      <c r="E565" s="15"/>
      <c r="F565" s="15"/>
      <c r="G565" s="387"/>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6.5" customHeight="1">
      <c r="A566" s="15"/>
      <c r="B566" s="15"/>
      <c r="C566" s="21"/>
      <c r="D566" s="15"/>
      <c r="E566" s="15"/>
      <c r="F566" s="15"/>
      <c r="G566" s="387"/>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6.5" customHeight="1">
      <c r="A567" s="15"/>
      <c r="B567" s="15"/>
      <c r="C567" s="21"/>
      <c r="D567" s="15"/>
      <c r="E567" s="15"/>
      <c r="F567" s="15"/>
      <c r="G567" s="387"/>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6.5" customHeight="1">
      <c r="A568" s="15"/>
      <c r="B568" s="15"/>
      <c r="C568" s="21"/>
      <c r="D568" s="15"/>
      <c r="E568" s="15"/>
      <c r="F568" s="15"/>
      <c r="G568" s="387"/>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6.5" customHeight="1">
      <c r="A569" s="15"/>
      <c r="B569" s="15"/>
      <c r="C569" s="21"/>
      <c r="D569" s="15"/>
      <c r="E569" s="15"/>
      <c r="F569" s="15"/>
      <c r="G569" s="387"/>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6.5" customHeight="1">
      <c r="A570" s="15"/>
      <c r="B570" s="15"/>
      <c r="C570" s="21"/>
      <c r="D570" s="15"/>
      <c r="E570" s="15"/>
      <c r="F570" s="15"/>
      <c r="G570" s="387"/>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6.5" customHeight="1">
      <c r="A571" s="15"/>
      <c r="B571" s="15"/>
      <c r="C571" s="21"/>
      <c r="D571" s="15"/>
      <c r="E571" s="15"/>
      <c r="F571" s="15"/>
      <c r="G571" s="387"/>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6.5" customHeight="1">
      <c r="A572" s="15"/>
      <c r="B572" s="15"/>
      <c r="C572" s="21"/>
      <c r="D572" s="15"/>
      <c r="E572" s="15"/>
      <c r="F572" s="15"/>
      <c r="G572" s="387"/>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6.5" customHeight="1">
      <c r="A573" s="15"/>
      <c r="B573" s="15"/>
      <c r="C573" s="21"/>
      <c r="D573" s="15"/>
      <c r="E573" s="15"/>
      <c r="F573" s="15"/>
      <c r="G573" s="387"/>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6.5" customHeight="1">
      <c r="A574" s="15"/>
      <c r="B574" s="15"/>
      <c r="C574" s="21"/>
      <c r="D574" s="15"/>
      <c r="E574" s="15"/>
      <c r="F574" s="15"/>
      <c r="G574" s="387"/>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6.5" customHeight="1">
      <c r="A575" s="15"/>
      <c r="B575" s="15"/>
      <c r="C575" s="21"/>
      <c r="D575" s="15"/>
      <c r="E575" s="15"/>
      <c r="F575" s="15"/>
      <c r="G575" s="387"/>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6.5" customHeight="1">
      <c r="A576" s="15"/>
      <c r="B576" s="15"/>
      <c r="C576" s="21"/>
      <c r="D576" s="15"/>
      <c r="E576" s="15"/>
      <c r="F576" s="15"/>
      <c r="G576" s="387"/>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6.5" customHeight="1">
      <c r="A577" s="15"/>
      <c r="B577" s="15"/>
      <c r="C577" s="21"/>
      <c r="D577" s="15"/>
      <c r="E577" s="15"/>
      <c r="F577" s="15"/>
      <c r="G577" s="387"/>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6.5" customHeight="1">
      <c r="A578" s="15"/>
      <c r="B578" s="15"/>
      <c r="C578" s="21"/>
      <c r="D578" s="15"/>
      <c r="E578" s="15"/>
      <c r="F578" s="15"/>
      <c r="G578" s="387"/>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6.5" customHeight="1">
      <c r="A579" s="15"/>
      <c r="B579" s="15"/>
      <c r="C579" s="21"/>
      <c r="D579" s="15"/>
      <c r="E579" s="15"/>
      <c r="F579" s="15"/>
      <c r="G579" s="387"/>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6.5" customHeight="1">
      <c r="A580" s="15"/>
      <c r="B580" s="15"/>
      <c r="C580" s="21"/>
      <c r="D580" s="15"/>
      <c r="E580" s="15"/>
      <c r="F580" s="15"/>
      <c r="G580" s="387"/>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6.5" customHeight="1">
      <c r="A581" s="15"/>
      <c r="B581" s="15"/>
      <c r="C581" s="21"/>
      <c r="D581" s="15"/>
      <c r="E581" s="15"/>
      <c r="F581" s="15"/>
      <c r="G581" s="387"/>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6.5" customHeight="1">
      <c r="A582" s="15"/>
      <c r="B582" s="15"/>
      <c r="C582" s="21"/>
      <c r="D582" s="15"/>
      <c r="E582" s="15"/>
      <c r="F582" s="15"/>
      <c r="G582" s="387"/>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6.5" customHeight="1">
      <c r="A583" s="15"/>
      <c r="B583" s="15"/>
      <c r="C583" s="21"/>
      <c r="D583" s="15"/>
      <c r="E583" s="15"/>
      <c r="F583" s="15"/>
      <c r="G583" s="387"/>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6.5" customHeight="1">
      <c r="A584" s="15"/>
      <c r="B584" s="15"/>
      <c r="C584" s="21"/>
      <c r="D584" s="15"/>
      <c r="E584" s="15"/>
      <c r="F584" s="15"/>
      <c r="G584" s="387"/>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6.5" customHeight="1">
      <c r="A585" s="15"/>
      <c r="B585" s="15"/>
      <c r="C585" s="21"/>
      <c r="D585" s="15"/>
      <c r="E585" s="15"/>
      <c r="F585" s="15"/>
      <c r="G585" s="387"/>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6.5" customHeight="1">
      <c r="A586" s="15"/>
      <c r="B586" s="15"/>
      <c r="C586" s="21"/>
      <c r="D586" s="15"/>
      <c r="E586" s="15"/>
      <c r="F586" s="15"/>
      <c r="G586" s="387"/>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6.5" customHeight="1">
      <c r="A587" s="15"/>
      <c r="B587" s="15"/>
      <c r="C587" s="21"/>
      <c r="D587" s="15"/>
      <c r="E587" s="15"/>
      <c r="F587" s="15"/>
      <c r="G587" s="387"/>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6.5" customHeight="1">
      <c r="A588" s="15"/>
      <c r="B588" s="15"/>
      <c r="C588" s="21"/>
      <c r="D588" s="15"/>
      <c r="E588" s="15"/>
      <c r="F588" s="15"/>
      <c r="G588" s="387"/>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6.5" customHeight="1">
      <c r="A589" s="15"/>
      <c r="B589" s="15"/>
      <c r="C589" s="21"/>
      <c r="D589" s="15"/>
      <c r="E589" s="15"/>
      <c r="F589" s="15"/>
      <c r="G589" s="387"/>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6.5" customHeight="1">
      <c r="A590" s="15"/>
      <c r="B590" s="15"/>
      <c r="C590" s="21"/>
      <c r="D590" s="15"/>
      <c r="E590" s="15"/>
      <c r="F590" s="15"/>
      <c r="G590" s="387"/>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6.5" customHeight="1">
      <c r="A591" s="15"/>
      <c r="B591" s="15"/>
      <c r="C591" s="21"/>
      <c r="D591" s="15"/>
      <c r="E591" s="15"/>
      <c r="F591" s="15"/>
      <c r="G591" s="387"/>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6.5" customHeight="1">
      <c r="A592" s="15"/>
      <c r="B592" s="15"/>
      <c r="C592" s="21"/>
      <c r="D592" s="15"/>
      <c r="E592" s="15"/>
      <c r="F592" s="15"/>
      <c r="G592" s="387"/>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6.5" customHeight="1">
      <c r="A593" s="15"/>
      <c r="B593" s="15"/>
      <c r="C593" s="21"/>
      <c r="D593" s="15"/>
      <c r="E593" s="15"/>
      <c r="F593" s="15"/>
      <c r="G593" s="387"/>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6.5" customHeight="1">
      <c r="A594" s="15"/>
      <c r="B594" s="15"/>
      <c r="C594" s="21"/>
      <c r="D594" s="15"/>
      <c r="E594" s="15"/>
      <c r="F594" s="15"/>
      <c r="G594" s="387"/>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6.5" customHeight="1">
      <c r="A595" s="15"/>
      <c r="B595" s="15"/>
      <c r="C595" s="21"/>
      <c r="D595" s="15"/>
      <c r="E595" s="15"/>
      <c r="F595" s="15"/>
      <c r="G595" s="387"/>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6.5" customHeight="1">
      <c r="A596" s="15"/>
      <c r="B596" s="15"/>
      <c r="C596" s="21"/>
      <c r="D596" s="15"/>
      <c r="E596" s="15"/>
      <c r="F596" s="15"/>
      <c r="G596" s="387"/>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6.5" customHeight="1">
      <c r="A597" s="15"/>
      <c r="B597" s="15"/>
      <c r="C597" s="21"/>
      <c r="D597" s="15"/>
      <c r="E597" s="15"/>
      <c r="F597" s="15"/>
      <c r="G597" s="387"/>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6.5" customHeight="1">
      <c r="A598" s="15"/>
      <c r="B598" s="15"/>
      <c r="C598" s="21"/>
      <c r="D598" s="15"/>
      <c r="E598" s="15"/>
      <c r="F598" s="15"/>
      <c r="G598" s="387"/>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6.5" customHeight="1">
      <c r="A599" s="15"/>
      <c r="B599" s="15"/>
      <c r="C599" s="21"/>
      <c r="D599" s="15"/>
      <c r="E599" s="15"/>
      <c r="F599" s="15"/>
      <c r="G599" s="387"/>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6.5" customHeight="1">
      <c r="A600" s="15"/>
      <c r="B600" s="15"/>
      <c r="C600" s="21"/>
      <c r="D600" s="15"/>
      <c r="E600" s="15"/>
      <c r="F600" s="15"/>
      <c r="G600" s="387"/>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6.5" customHeight="1">
      <c r="A601" s="15"/>
      <c r="B601" s="15"/>
      <c r="C601" s="21"/>
      <c r="D601" s="15"/>
      <c r="E601" s="15"/>
      <c r="F601" s="15"/>
      <c r="G601" s="387"/>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6.5" customHeight="1">
      <c r="A602" s="15"/>
      <c r="B602" s="15"/>
      <c r="C602" s="21"/>
      <c r="D602" s="15"/>
      <c r="E602" s="15"/>
      <c r="F602" s="15"/>
      <c r="G602" s="387"/>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6.5" customHeight="1">
      <c r="A603" s="15"/>
      <c r="B603" s="15"/>
      <c r="C603" s="21"/>
      <c r="D603" s="15"/>
      <c r="E603" s="15"/>
      <c r="F603" s="15"/>
      <c r="G603" s="387"/>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6.5" customHeight="1">
      <c r="A604" s="15"/>
      <c r="B604" s="15"/>
      <c r="C604" s="21"/>
      <c r="D604" s="15"/>
      <c r="E604" s="15"/>
      <c r="F604" s="15"/>
      <c r="G604" s="387"/>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6.5" customHeight="1">
      <c r="A605" s="15"/>
      <c r="B605" s="15"/>
      <c r="C605" s="21"/>
      <c r="D605" s="15"/>
      <c r="E605" s="15"/>
      <c r="F605" s="15"/>
      <c r="G605" s="387"/>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6.5" customHeight="1">
      <c r="A606" s="15"/>
      <c r="B606" s="15"/>
      <c r="C606" s="21"/>
      <c r="D606" s="15"/>
      <c r="E606" s="15"/>
      <c r="F606" s="15"/>
      <c r="G606" s="387"/>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6.5" customHeight="1">
      <c r="A607" s="15"/>
      <c r="B607" s="15"/>
      <c r="C607" s="21"/>
      <c r="D607" s="15"/>
      <c r="E607" s="15"/>
      <c r="F607" s="15"/>
      <c r="G607" s="387"/>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6.5" customHeight="1">
      <c r="A608" s="15"/>
      <c r="B608" s="15"/>
      <c r="C608" s="21"/>
      <c r="D608" s="15"/>
      <c r="E608" s="15"/>
      <c r="F608" s="15"/>
      <c r="G608" s="387"/>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6.5" customHeight="1">
      <c r="A609" s="15"/>
      <c r="B609" s="15"/>
      <c r="C609" s="21"/>
      <c r="D609" s="15"/>
      <c r="E609" s="15"/>
      <c r="F609" s="15"/>
      <c r="G609" s="387"/>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6.5" customHeight="1">
      <c r="A610" s="15"/>
      <c r="B610" s="15"/>
      <c r="C610" s="21"/>
      <c r="D610" s="15"/>
      <c r="E610" s="15"/>
      <c r="F610" s="15"/>
      <c r="G610" s="387"/>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6.5" customHeight="1">
      <c r="A611" s="15"/>
      <c r="B611" s="15"/>
      <c r="C611" s="21"/>
      <c r="D611" s="15"/>
      <c r="E611" s="15"/>
      <c r="F611" s="15"/>
      <c r="G611" s="387"/>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6.5" customHeight="1">
      <c r="A612" s="15"/>
      <c r="B612" s="15"/>
      <c r="C612" s="21"/>
      <c r="D612" s="15"/>
      <c r="E612" s="15"/>
      <c r="F612" s="15"/>
      <c r="G612" s="387"/>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6.5" customHeight="1">
      <c r="A613" s="15"/>
      <c r="B613" s="15"/>
      <c r="C613" s="21"/>
      <c r="D613" s="15"/>
      <c r="E613" s="15"/>
      <c r="F613" s="15"/>
      <c r="G613" s="387"/>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6.5" customHeight="1">
      <c r="A614" s="15"/>
      <c r="B614" s="15"/>
      <c r="C614" s="21"/>
      <c r="D614" s="15"/>
      <c r="E614" s="15"/>
      <c r="F614" s="15"/>
      <c r="G614" s="387"/>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6.5" customHeight="1">
      <c r="A615" s="15"/>
      <c r="B615" s="15"/>
      <c r="C615" s="21"/>
      <c r="D615" s="15"/>
      <c r="E615" s="15"/>
      <c r="F615" s="15"/>
      <c r="G615" s="387"/>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6.5" customHeight="1">
      <c r="A616" s="15"/>
      <c r="B616" s="15"/>
      <c r="C616" s="21"/>
      <c r="D616" s="15"/>
      <c r="E616" s="15"/>
      <c r="F616" s="15"/>
      <c r="G616" s="387"/>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6.5" customHeight="1">
      <c r="A617" s="15"/>
      <c r="B617" s="15"/>
      <c r="C617" s="21"/>
      <c r="D617" s="15"/>
      <c r="E617" s="15"/>
      <c r="F617" s="15"/>
      <c r="G617" s="387"/>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6.5" customHeight="1">
      <c r="A618" s="15"/>
      <c r="B618" s="15"/>
      <c r="C618" s="21"/>
      <c r="D618" s="15"/>
      <c r="E618" s="15"/>
      <c r="F618" s="15"/>
      <c r="G618" s="387"/>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6.5" customHeight="1">
      <c r="A619" s="15"/>
      <c r="B619" s="15"/>
      <c r="C619" s="21"/>
      <c r="D619" s="15"/>
      <c r="E619" s="15"/>
      <c r="F619" s="15"/>
      <c r="G619" s="387"/>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6.5" customHeight="1">
      <c r="A620" s="15"/>
      <c r="B620" s="15"/>
      <c r="C620" s="21"/>
      <c r="D620" s="15"/>
      <c r="E620" s="15"/>
      <c r="F620" s="15"/>
      <c r="G620" s="387"/>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6.5" customHeight="1">
      <c r="A621" s="15"/>
      <c r="B621" s="15"/>
      <c r="C621" s="21"/>
      <c r="D621" s="15"/>
      <c r="E621" s="15"/>
      <c r="F621" s="15"/>
      <c r="G621" s="387"/>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6.5" customHeight="1">
      <c r="A622" s="15"/>
      <c r="B622" s="15"/>
      <c r="C622" s="21"/>
      <c r="D622" s="15"/>
      <c r="E622" s="15"/>
      <c r="F622" s="15"/>
      <c r="G622" s="387"/>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6.5" customHeight="1">
      <c r="A623" s="15"/>
      <c r="B623" s="15"/>
      <c r="C623" s="21"/>
      <c r="D623" s="15"/>
      <c r="E623" s="15"/>
      <c r="F623" s="15"/>
      <c r="G623" s="387"/>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6.5" customHeight="1">
      <c r="A624" s="15"/>
      <c r="B624" s="15"/>
      <c r="C624" s="21"/>
      <c r="D624" s="15"/>
      <c r="E624" s="15"/>
      <c r="F624" s="15"/>
      <c r="G624" s="387"/>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6.5" customHeight="1">
      <c r="A625" s="15"/>
      <c r="B625" s="15"/>
      <c r="C625" s="21"/>
      <c r="D625" s="15"/>
      <c r="E625" s="15"/>
      <c r="F625" s="15"/>
      <c r="G625" s="387"/>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6.5" customHeight="1">
      <c r="A626" s="15"/>
      <c r="B626" s="15"/>
      <c r="C626" s="21"/>
      <c r="D626" s="15"/>
      <c r="E626" s="15"/>
      <c r="F626" s="15"/>
      <c r="G626" s="387"/>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6.5" customHeight="1">
      <c r="A627" s="15"/>
      <c r="B627" s="15"/>
      <c r="C627" s="21"/>
      <c r="D627" s="15"/>
      <c r="E627" s="15"/>
      <c r="F627" s="15"/>
      <c r="G627" s="387"/>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6.5" customHeight="1">
      <c r="A628" s="15"/>
      <c r="B628" s="15"/>
      <c r="C628" s="21"/>
      <c r="D628" s="15"/>
      <c r="E628" s="15"/>
      <c r="F628" s="15"/>
      <c r="G628" s="387"/>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6.5" customHeight="1">
      <c r="A629" s="15"/>
      <c r="B629" s="15"/>
      <c r="C629" s="21"/>
      <c r="D629" s="15"/>
      <c r="E629" s="15"/>
      <c r="F629" s="15"/>
      <c r="G629" s="387"/>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6.5" customHeight="1">
      <c r="A630" s="15"/>
      <c r="B630" s="15"/>
      <c r="C630" s="21"/>
      <c r="D630" s="15"/>
      <c r="E630" s="15"/>
      <c r="F630" s="15"/>
      <c r="G630" s="387"/>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6.5" customHeight="1">
      <c r="A631" s="15"/>
      <c r="B631" s="15"/>
      <c r="C631" s="21"/>
      <c r="D631" s="15"/>
      <c r="E631" s="15"/>
      <c r="F631" s="15"/>
      <c r="G631" s="387"/>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6.5" customHeight="1">
      <c r="A632" s="15"/>
      <c r="B632" s="15"/>
      <c r="C632" s="21"/>
      <c r="D632" s="15"/>
      <c r="E632" s="15"/>
      <c r="F632" s="15"/>
      <c r="G632" s="387"/>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6.5" customHeight="1">
      <c r="A633" s="15"/>
      <c r="B633" s="15"/>
      <c r="C633" s="21"/>
      <c r="D633" s="15"/>
      <c r="E633" s="15"/>
      <c r="F633" s="15"/>
      <c r="G633" s="387"/>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6.5" customHeight="1">
      <c r="A634" s="15"/>
      <c r="B634" s="15"/>
      <c r="C634" s="21"/>
      <c r="D634" s="15"/>
      <c r="E634" s="15"/>
      <c r="F634" s="15"/>
      <c r="G634" s="387"/>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6.5" customHeight="1">
      <c r="A635" s="15"/>
      <c r="B635" s="15"/>
      <c r="C635" s="21"/>
      <c r="D635" s="15"/>
      <c r="E635" s="15"/>
      <c r="F635" s="15"/>
      <c r="G635" s="387"/>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6.5" customHeight="1">
      <c r="A636" s="15"/>
      <c r="B636" s="15"/>
      <c r="C636" s="21"/>
      <c r="D636" s="15"/>
      <c r="E636" s="15"/>
      <c r="F636" s="15"/>
      <c r="G636" s="387"/>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6.5" customHeight="1">
      <c r="A637" s="15"/>
      <c r="B637" s="15"/>
      <c r="C637" s="21"/>
      <c r="D637" s="15"/>
      <c r="E637" s="15"/>
      <c r="F637" s="15"/>
      <c r="G637" s="387"/>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6.5" customHeight="1">
      <c r="A638" s="15"/>
      <c r="B638" s="15"/>
      <c r="C638" s="21"/>
      <c r="D638" s="15"/>
      <c r="E638" s="15"/>
      <c r="F638" s="15"/>
      <c r="G638" s="387"/>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6.5" customHeight="1">
      <c r="A639" s="15"/>
      <c r="B639" s="15"/>
      <c r="C639" s="21"/>
      <c r="D639" s="15"/>
      <c r="E639" s="15"/>
      <c r="F639" s="15"/>
      <c r="G639" s="387"/>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6.5" customHeight="1">
      <c r="A640" s="15"/>
      <c r="B640" s="15"/>
      <c r="C640" s="21"/>
      <c r="D640" s="15"/>
      <c r="E640" s="15"/>
      <c r="F640" s="15"/>
      <c r="G640" s="387"/>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6.5" customHeight="1">
      <c r="A641" s="15"/>
      <c r="B641" s="15"/>
      <c r="C641" s="21"/>
      <c r="D641" s="15"/>
      <c r="E641" s="15"/>
      <c r="F641" s="15"/>
      <c r="G641" s="387"/>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6.5" customHeight="1">
      <c r="A642" s="15"/>
      <c r="B642" s="15"/>
      <c r="C642" s="21"/>
      <c r="D642" s="15"/>
      <c r="E642" s="15"/>
      <c r="F642" s="15"/>
      <c r="G642" s="387"/>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6.5" customHeight="1">
      <c r="A643" s="15"/>
      <c r="B643" s="15"/>
      <c r="C643" s="21"/>
      <c r="D643" s="15"/>
      <c r="E643" s="15"/>
      <c r="F643" s="15"/>
      <c r="G643" s="387"/>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6.5" customHeight="1">
      <c r="A644" s="15"/>
      <c r="B644" s="15"/>
      <c r="C644" s="21"/>
      <c r="D644" s="15"/>
      <c r="E644" s="15"/>
      <c r="F644" s="15"/>
      <c r="G644" s="387"/>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6.5" customHeight="1">
      <c r="A645" s="15"/>
      <c r="B645" s="15"/>
      <c r="C645" s="21"/>
      <c r="D645" s="15"/>
      <c r="E645" s="15"/>
      <c r="F645" s="15"/>
      <c r="G645" s="387"/>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6.5" customHeight="1">
      <c r="A646" s="15"/>
      <c r="B646" s="15"/>
      <c r="C646" s="21"/>
      <c r="D646" s="15"/>
      <c r="E646" s="15"/>
      <c r="F646" s="15"/>
      <c r="G646" s="387"/>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6.5" customHeight="1">
      <c r="A647" s="15"/>
      <c r="B647" s="15"/>
      <c r="C647" s="21"/>
      <c r="D647" s="15"/>
      <c r="E647" s="15"/>
      <c r="F647" s="15"/>
      <c r="G647" s="387"/>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6.5" customHeight="1">
      <c r="A648" s="15"/>
      <c r="B648" s="15"/>
      <c r="C648" s="21"/>
      <c r="D648" s="15"/>
      <c r="E648" s="15"/>
      <c r="F648" s="15"/>
      <c r="G648" s="387"/>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6.5" customHeight="1">
      <c r="A649" s="15"/>
      <c r="B649" s="15"/>
      <c r="C649" s="21"/>
      <c r="D649" s="15"/>
      <c r="E649" s="15"/>
      <c r="F649" s="15"/>
      <c r="G649" s="387"/>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6.5" customHeight="1">
      <c r="A650" s="15"/>
      <c r="B650" s="15"/>
      <c r="C650" s="21"/>
      <c r="D650" s="15"/>
      <c r="E650" s="15"/>
      <c r="F650" s="15"/>
      <c r="G650" s="387"/>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6.5" customHeight="1">
      <c r="A651" s="15"/>
      <c r="B651" s="15"/>
      <c r="C651" s="21"/>
      <c r="D651" s="15"/>
      <c r="E651" s="15"/>
      <c r="F651" s="15"/>
      <c r="G651" s="387"/>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6.5" customHeight="1">
      <c r="A652" s="15"/>
      <c r="B652" s="15"/>
      <c r="C652" s="21"/>
      <c r="D652" s="15"/>
      <c r="E652" s="15"/>
      <c r="F652" s="15"/>
      <c r="G652" s="387"/>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6.5" customHeight="1">
      <c r="A653" s="15"/>
      <c r="B653" s="15"/>
      <c r="C653" s="21"/>
      <c r="D653" s="15"/>
      <c r="E653" s="15"/>
      <c r="F653" s="15"/>
      <c r="G653" s="387"/>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6.5" customHeight="1">
      <c r="A654" s="15"/>
      <c r="B654" s="15"/>
      <c r="C654" s="21"/>
      <c r="D654" s="15"/>
      <c r="E654" s="15"/>
      <c r="F654" s="15"/>
      <c r="G654" s="387"/>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6.5" customHeight="1">
      <c r="A655" s="15"/>
      <c r="B655" s="15"/>
      <c r="C655" s="21"/>
      <c r="D655" s="15"/>
      <c r="E655" s="15"/>
      <c r="F655" s="15"/>
      <c r="G655" s="387"/>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6.5" customHeight="1">
      <c r="A656" s="15"/>
      <c r="B656" s="15"/>
      <c r="C656" s="21"/>
      <c r="D656" s="15"/>
      <c r="E656" s="15"/>
      <c r="F656" s="15"/>
      <c r="G656" s="387"/>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6.5" customHeight="1">
      <c r="A657" s="15"/>
      <c r="B657" s="15"/>
      <c r="C657" s="21"/>
      <c r="D657" s="15"/>
      <c r="E657" s="15"/>
      <c r="F657" s="15"/>
      <c r="G657" s="387"/>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6.5" customHeight="1">
      <c r="A658" s="15"/>
      <c r="B658" s="15"/>
      <c r="C658" s="21"/>
      <c r="D658" s="15"/>
      <c r="E658" s="15"/>
      <c r="F658" s="15"/>
      <c r="G658" s="387"/>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6.5" customHeight="1">
      <c r="A659" s="15"/>
      <c r="B659" s="15"/>
      <c r="C659" s="21"/>
      <c r="D659" s="15"/>
      <c r="E659" s="15"/>
      <c r="F659" s="15"/>
      <c r="G659" s="387"/>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6.5" customHeight="1">
      <c r="A660" s="15"/>
      <c r="B660" s="15"/>
      <c r="C660" s="21"/>
      <c r="D660" s="15"/>
      <c r="E660" s="15"/>
      <c r="F660" s="15"/>
      <c r="G660" s="387"/>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6.5" customHeight="1">
      <c r="A661" s="15"/>
      <c r="B661" s="15"/>
      <c r="C661" s="21"/>
      <c r="D661" s="15"/>
      <c r="E661" s="15"/>
      <c r="F661" s="15"/>
      <c r="G661" s="387"/>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6.5" customHeight="1">
      <c r="A662" s="15"/>
      <c r="B662" s="15"/>
      <c r="C662" s="21"/>
      <c r="D662" s="15"/>
      <c r="E662" s="15"/>
      <c r="F662" s="15"/>
      <c r="G662" s="387"/>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6.5" customHeight="1">
      <c r="A663" s="15"/>
      <c r="B663" s="15"/>
      <c r="C663" s="21"/>
      <c r="D663" s="15"/>
      <c r="E663" s="15"/>
      <c r="F663" s="15"/>
      <c r="G663" s="387"/>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6.5" customHeight="1">
      <c r="A664" s="15"/>
      <c r="B664" s="15"/>
      <c r="C664" s="21"/>
      <c r="D664" s="15"/>
      <c r="E664" s="15"/>
      <c r="F664" s="15"/>
      <c r="G664" s="387"/>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6.5" customHeight="1">
      <c r="A665" s="15"/>
      <c r="B665" s="15"/>
      <c r="C665" s="21"/>
      <c r="D665" s="15"/>
      <c r="E665" s="15"/>
      <c r="F665" s="15"/>
      <c r="G665" s="387"/>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6.5" customHeight="1">
      <c r="A666" s="15"/>
      <c r="B666" s="15"/>
      <c r="C666" s="21"/>
      <c r="D666" s="15"/>
      <c r="E666" s="15"/>
      <c r="F666" s="15"/>
      <c r="G666" s="387"/>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6.5" customHeight="1">
      <c r="A667" s="15"/>
      <c r="B667" s="15"/>
      <c r="C667" s="21"/>
      <c r="D667" s="15"/>
      <c r="E667" s="15"/>
      <c r="F667" s="15"/>
      <c r="G667" s="387"/>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6.5" customHeight="1">
      <c r="A668" s="15"/>
      <c r="B668" s="15"/>
      <c r="C668" s="21"/>
      <c r="D668" s="15"/>
      <c r="E668" s="15"/>
      <c r="F668" s="15"/>
      <c r="G668" s="387"/>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6.5" customHeight="1">
      <c r="A669" s="15"/>
      <c r="B669" s="15"/>
      <c r="C669" s="21"/>
      <c r="D669" s="15"/>
      <c r="E669" s="15"/>
      <c r="F669" s="15"/>
      <c r="G669" s="387"/>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6.5" customHeight="1">
      <c r="A670" s="15"/>
      <c r="B670" s="15"/>
      <c r="C670" s="21"/>
      <c r="D670" s="15"/>
      <c r="E670" s="15"/>
      <c r="F670" s="15"/>
      <c r="G670" s="387"/>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6.5" customHeight="1">
      <c r="A671" s="15"/>
      <c r="B671" s="15"/>
      <c r="C671" s="21"/>
      <c r="D671" s="15"/>
      <c r="E671" s="15"/>
      <c r="F671" s="15"/>
      <c r="G671" s="387"/>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6.5" customHeight="1">
      <c r="A672" s="15"/>
      <c r="B672" s="15"/>
      <c r="C672" s="21"/>
      <c r="D672" s="15"/>
      <c r="E672" s="15"/>
      <c r="F672" s="15"/>
      <c r="G672" s="387"/>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6.5" customHeight="1">
      <c r="A673" s="15"/>
      <c r="B673" s="15"/>
      <c r="C673" s="21"/>
      <c r="D673" s="15"/>
      <c r="E673" s="15"/>
      <c r="F673" s="15"/>
      <c r="G673" s="387"/>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6.5" customHeight="1">
      <c r="A674" s="15"/>
      <c r="B674" s="15"/>
      <c r="C674" s="21"/>
      <c r="D674" s="15"/>
      <c r="E674" s="15"/>
      <c r="F674" s="15"/>
      <c r="G674" s="387"/>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6.5" customHeight="1">
      <c r="A675" s="15"/>
      <c r="B675" s="15"/>
      <c r="C675" s="21"/>
      <c r="D675" s="15"/>
      <c r="E675" s="15"/>
      <c r="F675" s="15"/>
      <c r="G675" s="387"/>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6.5" customHeight="1">
      <c r="A676" s="15"/>
      <c r="B676" s="15"/>
      <c r="C676" s="21"/>
      <c r="D676" s="15"/>
      <c r="E676" s="15"/>
      <c r="F676" s="15"/>
      <c r="G676" s="387"/>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6.5" customHeight="1">
      <c r="A677" s="15"/>
      <c r="B677" s="15"/>
      <c r="C677" s="21"/>
      <c r="D677" s="15"/>
      <c r="E677" s="15"/>
      <c r="F677" s="15"/>
      <c r="G677" s="387"/>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6.5" customHeight="1">
      <c r="A678" s="15"/>
      <c r="B678" s="15"/>
      <c r="C678" s="21"/>
      <c r="D678" s="15"/>
      <c r="E678" s="15"/>
      <c r="F678" s="15"/>
      <c r="G678" s="387"/>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6.5" customHeight="1">
      <c r="A679" s="15"/>
      <c r="B679" s="15"/>
      <c r="C679" s="21"/>
      <c r="D679" s="15"/>
      <c r="E679" s="15"/>
      <c r="F679" s="15"/>
      <c r="G679" s="387"/>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6.5" customHeight="1">
      <c r="A680" s="15"/>
      <c r="B680" s="15"/>
      <c r="C680" s="21"/>
      <c r="D680" s="15"/>
      <c r="E680" s="15"/>
      <c r="F680" s="15"/>
      <c r="G680" s="387"/>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6.5" customHeight="1">
      <c r="A681" s="15"/>
      <c r="B681" s="15"/>
      <c r="C681" s="21"/>
      <c r="D681" s="15"/>
      <c r="E681" s="15"/>
      <c r="F681" s="15"/>
      <c r="G681" s="387"/>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6.5" customHeight="1">
      <c r="A682" s="15"/>
      <c r="B682" s="15"/>
      <c r="C682" s="21"/>
      <c r="D682" s="15"/>
      <c r="E682" s="15"/>
      <c r="F682" s="15"/>
      <c r="G682" s="387"/>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6.5" customHeight="1">
      <c r="A683" s="15"/>
      <c r="B683" s="15"/>
      <c r="C683" s="21"/>
      <c r="D683" s="15"/>
      <c r="E683" s="15"/>
      <c r="F683" s="15"/>
      <c r="G683" s="387"/>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6.5" customHeight="1">
      <c r="A684" s="15"/>
      <c r="B684" s="15"/>
      <c r="C684" s="21"/>
      <c r="D684" s="15"/>
      <c r="E684" s="15"/>
      <c r="F684" s="15"/>
      <c r="G684" s="387"/>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6.5" customHeight="1">
      <c r="A685" s="15"/>
      <c r="B685" s="15"/>
      <c r="C685" s="21"/>
      <c r="D685" s="15"/>
      <c r="E685" s="15"/>
      <c r="F685" s="15"/>
      <c r="G685" s="387"/>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6.5" customHeight="1">
      <c r="A686" s="15"/>
      <c r="B686" s="15"/>
      <c r="C686" s="21"/>
      <c r="D686" s="15"/>
      <c r="E686" s="15"/>
      <c r="F686" s="15"/>
      <c r="G686" s="387"/>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6.5" customHeight="1">
      <c r="A687" s="15"/>
      <c r="B687" s="15"/>
      <c r="C687" s="21"/>
      <c r="D687" s="15"/>
      <c r="E687" s="15"/>
      <c r="F687" s="15"/>
      <c r="G687" s="387"/>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6.5" customHeight="1">
      <c r="A688" s="15"/>
      <c r="B688" s="15"/>
      <c r="C688" s="21"/>
      <c r="D688" s="15"/>
      <c r="E688" s="15"/>
      <c r="F688" s="15"/>
      <c r="G688" s="387"/>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6.5" customHeight="1">
      <c r="A689" s="15"/>
      <c r="B689" s="15"/>
      <c r="C689" s="21"/>
      <c r="D689" s="15"/>
      <c r="E689" s="15"/>
      <c r="F689" s="15"/>
      <c r="G689" s="387"/>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6.5" customHeight="1">
      <c r="A690" s="15"/>
      <c r="B690" s="15"/>
      <c r="C690" s="21"/>
      <c r="D690" s="15"/>
      <c r="E690" s="15"/>
      <c r="F690" s="15"/>
      <c r="G690" s="387"/>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6.5" customHeight="1">
      <c r="A691" s="15"/>
      <c r="B691" s="15"/>
      <c r="C691" s="21"/>
      <c r="D691" s="15"/>
      <c r="E691" s="15"/>
      <c r="F691" s="15"/>
      <c r="G691" s="387"/>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6.5" customHeight="1">
      <c r="A692" s="15"/>
      <c r="B692" s="15"/>
      <c r="C692" s="21"/>
      <c r="D692" s="15"/>
      <c r="E692" s="15"/>
      <c r="F692" s="15"/>
      <c r="G692" s="387"/>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6.5" customHeight="1">
      <c r="A693" s="15"/>
      <c r="B693" s="15"/>
      <c r="C693" s="21"/>
      <c r="D693" s="15"/>
      <c r="E693" s="15"/>
      <c r="F693" s="15"/>
      <c r="G693" s="387"/>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6.5" customHeight="1">
      <c r="A694" s="15"/>
      <c r="B694" s="15"/>
      <c r="C694" s="21"/>
      <c r="D694" s="15"/>
      <c r="E694" s="15"/>
      <c r="F694" s="15"/>
      <c r="G694" s="387"/>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6.5" customHeight="1">
      <c r="A695" s="15"/>
      <c r="B695" s="15"/>
      <c r="C695" s="21"/>
      <c r="D695" s="15"/>
      <c r="E695" s="15"/>
      <c r="F695" s="15"/>
      <c r="G695" s="387"/>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6.5" customHeight="1">
      <c r="A696" s="15"/>
      <c r="B696" s="15"/>
      <c r="C696" s="21"/>
      <c r="D696" s="15"/>
      <c r="E696" s="15"/>
      <c r="F696" s="15"/>
      <c r="G696" s="387"/>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6.5" customHeight="1">
      <c r="A697" s="15"/>
      <c r="B697" s="15"/>
      <c r="C697" s="21"/>
      <c r="D697" s="15"/>
      <c r="E697" s="15"/>
      <c r="F697" s="15"/>
      <c r="G697" s="387"/>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6.5" customHeight="1">
      <c r="A698" s="15"/>
      <c r="B698" s="15"/>
      <c r="C698" s="21"/>
      <c r="D698" s="15"/>
      <c r="E698" s="15"/>
      <c r="F698" s="15"/>
      <c r="G698" s="387"/>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6.5" customHeight="1">
      <c r="A699" s="15"/>
      <c r="B699" s="15"/>
      <c r="C699" s="21"/>
      <c r="D699" s="15"/>
      <c r="E699" s="15"/>
      <c r="F699" s="15"/>
      <c r="G699" s="387"/>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6.5" customHeight="1">
      <c r="A700" s="15"/>
      <c r="B700" s="15"/>
      <c r="C700" s="21"/>
      <c r="D700" s="15"/>
      <c r="E700" s="15"/>
      <c r="F700" s="15"/>
      <c r="G700" s="387"/>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6.5" customHeight="1">
      <c r="A701" s="15"/>
      <c r="B701" s="15"/>
      <c r="C701" s="21"/>
      <c r="D701" s="15"/>
      <c r="E701" s="15"/>
      <c r="F701" s="15"/>
      <c r="G701" s="387"/>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6.5" customHeight="1">
      <c r="A702" s="15"/>
      <c r="B702" s="15"/>
      <c r="C702" s="21"/>
      <c r="D702" s="15"/>
      <c r="E702" s="15"/>
      <c r="F702" s="15"/>
      <c r="G702" s="387"/>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6.5" customHeight="1">
      <c r="A703" s="15"/>
      <c r="B703" s="15"/>
      <c r="C703" s="21"/>
      <c r="D703" s="15"/>
      <c r="E703" s="15"/>
      <c r="F703" s="15"/>
      <c r="G703" s="387"/>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6.5" customHeight="1">
      <c r="A704" s="15"/>
      <c r="B704" s="15"/>
      <c r="C704" s="21"/>
      <c r="D704" s="15"/>
      <c r="E704" s="15"/>
      <c r="F704" s="15"/>
      <c r="G704" s="387"/>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6.5" customHeight="1">
      <c r="A705" s="15"/>
      <c r="B705" s="15"/>
      <c r="C705" s="21"/>
      <c r="D705" s="15"/>
      <c r="E705" s="15"/>
      <c r="F705" s="15"/>
      <c r="G705" s="387"/>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6.5" customHeight="1">
      <c r="A706" s="15"/>
      <c r="B706" s="15"/>
      <c r="C706" s="21"/>
      <c r="D706" s="15"/>
      <c r="E706" s="15"/>
      <c r="F706" s="15"/>
      <c r="G706" s="387"/>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6.5" customHeight="1">
      <c r="A707" s="15"/>
      <c r="B707" s="15"/>
      <c r="C707" s="21"/>
      <c r="D707" s="15"/>
      <c r="E707" s="15"/>
      <c r="F707" s="15"/>
      <c r="G707" s="387"/>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6.5" customHeight="1">
      <c r="A708" s="15"/>
      <c r="B708" s="15"/>
      <c r="C708" s="21"/>
      <c r="D708" s="15"/>
      <c r="E708" s="15"/>
      <c r="F708" s="15"/>
      <c r="G708" s="387"/>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6.5" customHeight="1">
      <c r="A709" s="15"/>
      <c r="B709" s="15"/>
      <c r="C709" s="21"/>
      <c r="D709" s="15"/>
      <c r="E709" s="15"/>
      <c r="F709" s="15"/>
      <c r="G709" s="387"/>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6.5" customHeight="1">
      <c r="A710" s="15"/>
      <c r="B710" s="15"/>
      <c r="C710" s="21"/>
      <c r="D710" s="15"/>
      <c r="E710" s="15"/>
      <c r="F710" s="15"/>
      <c r="G710" s="387"/>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6.5" customHeight="1">
      <c r="A711" s="15"/>
      <c r="B711" s="15"/>
      <c r="C711" s="21"/>
      <c r="D711" s="15"/>
      <c r="E711" s="15"/>
      <c r="F711" s="15"/>
      <c r="G711" s="387"/>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6.5" customHeight="1">
      <c r="A712" s="15"/>
      <c r="B712" s="15"/>
      <c r="C712" s="21"/>
      <c r="D712" s="15"/>
      <c r="E712" s="15"/>
      <c r="F712" s="15"/>
      <c r="G712" s="387"/>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6.5" customHeight="1">
      <c r="A713" s="15"/>
      <c r="B713" s="15"/>
      <c r="C713" s="21"/>
      <c r="D713" s="15"/>
      <c r="E713" s="15"/>
      <c r="F713" s="15"/>
      <c r="G713" s="387"/>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6.5" customHeight="1">
      <c r="A714" s="15"/>
      <c r="B714" s="15"/>
      <c r="C714" s="21"/>
      <c r="D714" s="15"/>
      <c r="E714" s="15"/>
      <c r="F714" s="15"/>
      <c r="G714" s="387"/>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6.5" customHeight="1">
      <c r="A715" s="15"/>
      <c r="B715" s="15"/>
      <c r="C715" s="21"/>
      <c r="D715" s="15"/>
      <c r="E715" s="15"/>
      <c r="F715" s="15"/>
      <c r="G715" s="387"/>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6.5" customHeight="1">
      <c r="A716" s="15"/>
      <c r="B716" s="15"/>
      <c r="C716" s="21"/>
      <c r="D716" s="15"/>
      <c r="E716" s="15"/>
      <c r="F716" s="15"/>
      <c r="G716" s="387"/>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6.5" customHeight="1">
      <c r="A717" s="15"/>
      <c r="B717" s="15"/>
      <c r="C717" s="21"/>
      <c r="D717" s="15"/>
      <c r="E717" s="15"/>
      <c r="F717" s="15"/>
      <c r="G717" s="387"/>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6.5" customHeight="1">
      <c r="A718" s="15"/>
      <c r="B718" s="15"/>
      <c r="C718" s="21"/>
      <c r="D718" s="15"/>
      <c r="E718" s="15"/>
      <c r="F718" s="15"/>
      <c r="G718" s="387"/>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6.5" customHeight="1">
      <c r="A719" s="15"/>
      <c r="B719" s="15"/>
      <c r="C719" s="21"/>
      <c r="D719" s="15"/>
      <c r="E719" s="15"/>
      <c r="F719" s="15"/>
      <c r="G719" s="387"/>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6.5" customHeight="1">
      <c r="A720" s="15"/>
      <c r="B720" s="15"/>
      <c r="C720" s="21"/>
      <c r="D720" s="15"/>
      <c r="E720" s="15"/>
      <c r="F720" s="15"/>
      <c r="G720" s="387"/>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6.5" customHeight="1">
      <c r="A721" s="15"/>
      <c r="B721" s="15"/>
      <c r="C721" s="21"/>
      <c r="D721" s="15"/>
      <c r="E721" s="15"/>
      <c r="F721" s="15"/>
      <c r="G721" s="387"/>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6.5" customHeight="1">
      <c r="A722" s="15"/>
      <c r="B722" s="15"/>
      <c r="C722" s="21"/>
      <c r="D722" s="15"/>
      <c r="E722" s="15"/>
      <c r="F722" s="15"/>
      <c r="G722" s="387"/>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6.5" customHeight="1">
      <c r="A723" s="15"/>
      <c r="B723" s="15"/>
      <c r="C723" s="21"/>
      <c r="D723" s="15"/>
      <c r="E723" s="15"/>
      <c r="F723" s="15"/>
      <c r="G723" s="387"/>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6.5" customHeight="1">
      <c r="A724" s="15"/>
      <c r="B724" s="15"/>
      <c r="C724" s="21"/>
      <c r="D724" s="15"/>
      <c r="E724" s="15"/>
      <c r="F724" s="15"/>
      <c r="G724" s="387"/>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6.5" customHeight="1">
      <c r="A725" s="15"/>
      <c r="B725" s="15"/>
      <c r="C725" s="21"/>
      <c r="D725" s="15"/>
      <c r="E725" s="15"/>
      <c r="F725" s="15"/>
      <c r="G725" s="387"/>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6.5" customHeight="1">
      <c r="A726" s="15"/>
      <c r="B726" s="15"/>
      <c r="C726" s="21"/>
      <c r="D726" s="15"/>
      <c r="E726" s="15"/>
      <c r="F726" s="15"/>
      <c r="G726" s="387"/>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6.5" customHeight="1">
      <c r="A727" s="15"/>
      <c r="B727" s="15"/>
      <c r="C727" s="21"/>
      <c r="D727" s="15"/>
      <c r="E727" s="15"/>
      <c r="F727" s="15"/>
      <c r="G727" s="387"/>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6.5" customHeight="1">
      <c r="A728" s="15"/>
      <c r="B728" s="15"/>
      <c r="C728" s="21"/>
      <c r="D728" s="15"/>
      <c r="E728" s="15"/>
      <c r="F728" s="15"/>
      <c r="G728" s="387"/>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6.5" customHeight="1">
      <c r="A729" s="15"/>
      <c r="B729" s="15"/>
      <c r="C729" s="21"/>
      <c r="D729" s="15"/>
      <c r="E729" s="15"/>
      <c r="F729" s="15"/>
      <c r="G729" s="387"/>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6.5" customHeight="1">
      <c r="A730" s="15"/>
      <c r="B730" s="15"/>
      <c r="C730" s="21"/>
      <c r="D730" s="15"/>
      <c r="E730" s="15"/>
      <c r="F730" s="15"/>
      <c r="G730" s="387"/>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6.5" customHeight="1">
      <c r="A731" s="15"/>
      <c r="B731" s="15"/>
      <c r="C731" s="21"/>
      <c r="D731" s="15"/>
      <c r="E731" s="15"/>
      <c r="F731" s="15"/>
      <c r="G731" s="387"/>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6.5" customHeight="1">
      <c r="A732" s="15"/>
      <c r="B732" s="15"/>
      <c r="C732" s="21"/>
      <c r="D732" s="15"/>
      <c r="E732" s="15"/>
      <c r="F732" s="15"/>
      <c r="G732" s="387"/>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6.5" customHeight="1">
      <c r="A733" s="15"/>
      <c r="B733" s="15"/>
      <c r="C733" s="21"/>
      <c r="D733" s="15"/>
      <c r="E733" s="15"/>
      <c r="F733" s="15"/>
      <c r="G733" s="387"/>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6.5" customHeight="1">
      <c r="A734" s="15"/>
      <c r="B734" s="15"/>
      <c r="C734" s="21"/>
      <c r="D734" s="15"/>
      <c r="E734" s="15"/>
      <c r="F734" s="15"/>
      <c r="G734" s="387"/>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6.5" customHeight="1">
      <c r="A735" s="15"/>
      <c r="B735" s="15"/>
      <c r="C735" s="21"/>
      <c r="D735" s="15"/>
      <c r="E735" s="15"/>
      <c r="F735" s="15"/>
      <c r="G735" s="387"/>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6.5" customHeight="1">
      <c r="A736" s="15"/>
      <c r="B736" s="15"/>
      <c r="C736" s="21"/>
      <c r="D736" s="15"/>
      <c r="E736" s="15"/>
      <c r="F736" s="15"/>
      <c r="G736" s="387"/>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6.5" customHeight="1">
      <c r="A737" s="15"/>
      <c r="B737" s="15"/>
      <c r="C737" s="21"/>
      <c r="D737" s="15"/>
      <c r="E737" s="15"/>
      <c r="F737" s="15"/>
      <c r="G737" s="387"/>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6.5" customHeight="1">
      <c r="A738" s="15"/>
      <c r="B738" s="15"/>
      <c r="C738" s="21"/>
      <c r="D738" s="15"/>
      <c r="E738" s="15"/>
      <c r="F738" s="15"/>
      <c r="G738" s="387"/>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6.5" customHeight="1">
      <c r="A739" s="15"/>
      <c r="B739" s="15"/>
      <c r="C739" s="21"/>
      <c r="D739" s="15"/>
      <c r="E739" s="15"/>
      <c r="F739" s="15"/>
      <c r="G739" s="387"/>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6.5" customHeight="1">
      <c r="A740" s="15"/>
      <c r="B740" s="15"/>
      <c r="C740" s="21"/>
      <c r="D740" s="15"/>
      <c r="E740" s="15"/>
      <c r="F740" s="15"/>
      <c r="G740" s="387"/>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6.5" customHeight="1">
      <c r="A741" s="15"/>
      <c r="B741" s="15"/>
      <c r="C741" s="21"/>
      <c r="D741" s="15"/>
      <c r="E741" s="15"/>
      <c r="F741" s="15"/>
      <c r="G741" s="387"/>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6.5" customHeight="1">
      <c r="A742" s="15"/>
      <c r="B742" s="15"/>
      <c r="C742" s="21"/>
      <c r="D742" s="15"/>
      <c r="E742" s="15"/>
      <c r="F742" s="15"/>
      <c r="G742" s="387"/>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6.5" customHeight="1">
      <c r="A743" s="15"/>
      <c r="B743" s="15"/>
      <c r="C743" s="21"/>
      <c r="D743" s="15"/>
      <c r="E743" s="15"/>
      <c r="F743" s="15"/>
      <c r="G743" s="387"/>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6.5" customHeight="1">
      <c r="A744" s="15"/>
      <c r="B744" s="15"/>
      <c r="C744" s="21"/>
      <c r="D744" s="15"/>
      <c r="E744" s="15"/>
      <c r="F744" s="15"/>
      <c r="G744" s="387"/>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6.5" customHeight="1">
      <c r="A745" s="15"/>
      <c r="B745" s="15"/>
      <c r="C745" s="21"/>
      <c r="D745" s="15"/>
      <c r="E745" s="15"/>
      <c r="F745" s="15"/>
      <c r="G745" s="387"/>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6.5" customHeight="1">
      <c r="A746" s="15"/>
      <c r="B746" s="15"/>
      <c r="C746" s="21"/>
      <c r="D746" s="15"/>
      <c r="E746" s="15"/>
      <c r="F746" s="15"/>
      <c r="G746" s="387"/>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6.5" customHeight="1">
      <c r="A747" s="15"/>
      <c r="B747" s="15"/>
      <c r="C747" s="21"/>
      <c r="D747" s="15"/>
      <c r="E747" s="15"/>
      <c r="F747" s="15"/>
      <c r="G747" s="387"/>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6.5" customHeight="1">
      <c r="A748" s="15"/>
      <c r="B748" s="15"/>
      <c r="C748" s="21"/>
      <c r="D748" s="15"/>
      <c r="E748" s="15"/>
      <c r="F748" s="15"/>
      <c r="G748" s="387"/>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6.5" customHeight="1">
      <c r="A749" s="15"/>
      <c r="B749" s="15"/>
      <c r="C749" s="21"/>
      <c r="D749" s="15"/>
      <c r="E749" s="15"/>
      <c r="F749" s="15"/>
      <c r="G749" s="387"/>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6.5" customHeight="1">
      <c r="A750" s="15"/>
      <c r="B750" s="15"/>
      <c r="C750" s="21"/>
      <c r="D750" s="15"/>
      <c r="E750" s="15"/>
      <c r="F750" s="15"/>
      <c r="G750" s="387"/>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6.5" customHeight="1">
      <c r="A751" s="15"/>
      <c r="B751" s="15"/>
      <c r="C751" s="21"/>
      <c r="D751" s="15"/>
      <c r="E751" s="15"/>
      <c r="F751" s="15"/>
      <c r="G751" s="387"/>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6.5" customHeight="1">
      <c r="A752" s="15"/>
      <c r="B752" s="15"/>
      <c r="C752" s="21"/>
      <c r="D752" s="15"/>
      <c r="E752" s="15"/>
      <c r="F752" s="15"/>
      <c r="G752" s="387"/>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6.5" customHeight="1">
      <c r="A753" s="15"/>
      <c r="B753" s="15"/>
      <c r="C753" s="21"/>
      <c r="D753" s="15"/>
      <c r="E753" s="15"/>
      <c r="F753" s="15"/>
      <c r="G753" s="387"/>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6.5" customHeight="1">
      <c r="A754" s="15"/>
      <c r="B754" s="15"/>
      <c r="C754" s="21"/>
      <c r="D754" s="15"/>
      <c r="E754" s="15"/>
      <c r="F754" s="15"/>
      <c r="G754" s="387"/>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6.5" customHeight="1">
      <c r="A755" s="15"/>
      <c r="B755" s="15"/>
      <c r="C755" s="21"/>
      <c r="D755" s="15"/>
      <c r="E755" s="15"/>
      <c r="F755" s="15"/>
      <c r="G755" s="387"/>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6.5" customHeight="1">
      <c r="A756" s="15"/>
      <c r="B756" s="15"/>
      <c r="C756" s="21"/>
      <c r="D756" s="15"/>
      <c r="E756" s="15"/>
      <c r="F756" s="15"/>
      <c r="G756" s="387"/>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6.5" customHeight="1">
      <c r="A757" s="15"/>
      <c r="B757" s="15"/>
      <c r="C757" s="21"/>
      <c r="D757" s="15"/>
      <c r="E757" s="15"/>
      <c r="F757" s="15"/>
      <c r="G757" s="387"/>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6.5" customHeight="1">
      <c r="A758" s="15"/>
      <c r="B758" s="15"/>
      <c r="C758" s="21"/>
      <c r="D758" s="15"/>
      <c r="E758" s="15"/>
      <c r="F758" s="15"/>
      <c r="G758" s="387"/>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6.5" customHeight="1">
      <c r="A759" s="15"/>
      <c r="B759" s="15"/>
      <c r="C759" s="21"/>
      <c r="D759" s="15"/>
      <c r="E759" s="15"/>
      <c r="F759" s="15"/>
      <c r="G759" s="387"/>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6.5" customHeight="1">
      <c r="A760" s="15"/>
      <c r="B760" s="15"/>
      <c r="C760" s="21"/>
      <c r="D760" s="15"/>
      <c r="E760" s="15"/>
      <c r="F760" s="15"/>
      <c r="G760" s="387"/>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6.5" customHeight="1">
      <c r="A761" s="15"/>
      <c r="B761" s="15"/>
      <c r="C761" s="21"/>
      <c r="D761" s="15"/>
      <c r="E761" s="15"/>
      <c r="F761" s="15"/>
      <c r="G761" s="387"/>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6.5" customHeight="1">
      <c r="A762" s="15"/>
      <c r="B762" s="15"/>
      <c r="C762" s="21"/>
      <c r="D762" s="15"/>
      <c r="E762" s="15"/>
      <c r="F762" s="15"/>
      <c r="G762" s="387"/>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6.5" customHeight="1">
      <c r="A763" s="15"/>
      <c r="B763" s="15"/>
      <c r="C763" s="21"/>
      <c r="D763" s="15"/>
      <c r="E763" s="15"/>
      <c r="F763" s="15"/>
      <c r="G763" s="387"/>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6.5" customHeight="1">
      <c r="A764" s="15"/>
      <c r="B764" s="15"/>
      <c r="C764" s="21"/>
      <c r="D764" s="15"/>
      <c r="E764" s="15"/>
      <c r="F764" s="15"/>
      <c r="G764" s="387"/>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6.5" customHeight="1">
      <c r="A765" s="15"/>
      <c r="B765" s="15"/>
      <c r="C765" s="21"/>
      <c r="D765" s="15"/>
      <c r="E765" s="15"/>
      <c r="F765" s="15"/>
      <c r="G765" s="387"/>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6.5" customHeight="1">
      <c r="A766" s="15"/>
      <c r="B766" s="15"/>
      <c r="C766" s="21"/>
      <c r="D766" s="15"/>
      <c r="E766" s="15"/>
      <c r="F766" s="15"/>
      <c r="G766" s="387"/>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6.5" customHeight="1">
      <c r="A767" s="15"/>
      <c r="B767" s="15"/>
      <c r="C767" s="21"/>
      <c r="D767" s="15"/>
      <c r="E767" s="15"/>
      <c r="F767" s="15"/>
      <c r="G767" s="387"/>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6.5" customHeight="1">
      <c r="A768" s="15"/>
      <c r="B768" s="15"/>
      <c r="C768" s="21"/>
      <c r="D768" s="15"/>
      <c r="E768" s="15"/>
      <c r="F768" s="15"/>
      <c r="G768" s="387"/>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6.5" customHeight="1">
      <c r="A769" s="15"/>
      <c r="B769" s="15"/>
      <c r="C769" s="21"/>
      <c r="D769" s="15"/>
      <c r="E769" s="15"/>
      <c r="F769" s="15"/>
      <c r="G769" s="387"/>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6.5" customHeight="1">
      <c r="A770" s="15"/>
      <c r="B770" s="15"/>
      <c r="C770" s="21"/>
      <c r="D770" s="15"/>
      <c r="E770" s="15"/>
      <c r="F770" s="15"/>
      <c r="G770" s="387"/>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6.5" customHeight="1">
      <c r="A771" s="15"/>
      <c r="B771" s="15"/>
      <c r="C771" s="21"/>
      <c r="D771" s="15"/>
      <c r="E771" s="15"/>
      <c r="F771" s="15"/>
      <c r="G771" s="387"/>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6.5" customHeight="1">
      <c r="A772" s="15"/>
      <c r="B772" s="15"/>
      <c r="C772" s="21"/>
      <c r="D772" s="15"/>
      <c r="E772" s="15"/>
      <c r="F772" s="15"/>
      <c r="G772" s="387"/>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6.5" customHeight="1">
      <c r="A773" s="15"/>
      <c r="B773" s="15"/>
      <c r="C773" s="21"/>
      <c r="D773" s="15"/>
      <c r="E773" s="15"/>
      <c r="F773" s="15"/>
      <c r="G773" s="387"/>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6.5" customHeight="1">
      <c r="A774" s="15"/>
      <c r="B774" s="15"/>
      <c r="C774" s="21"/>
      <c r="D774" s="15"/>
      <c r="E774" s="15"/>
      <c r="F774" s="15"/>
      <c r="G774" s="387"/>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6.5" customHeight="1">
      <c r="A775" s="15"/>
      <c r="B775" s="15"/>
      <c r="C775" s="21"/>
      <c r="D775" s="15"/>
      <c r="E775" s="15"/>
      <c r="F775" s="15"/>
      <c r="G775" s="387"/>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6.5" customHeight="1">
      <c r="A776" s="15"/>
      <c r="B776" s="15"/>
      <c r="C776" s="21"/>
      <c r="D776" s="15"/>
      <c r="E776" s="15"/>
      <c r="F776" s="15"/>
      <c r="G776" s="387"/>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6.5" customHeight="1">
      <c r="A777" s="15"/>
      <c r="B777" s="15"/>
      <c r="C777" s="21"/>
      <c r="D777" s="15"/>
      <c r="E777" s="15"/>
      <c r="F777" s="15"/>
      <c r="G777" s="387"/>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6.5" customHeight="1">
      <c r="A778" s="15"/>
      <c r="B778" s="15"/>
      <c r="C778" s="21"/>
      <c r="D778" s="15"/>
      <c r="E778" s="15"/>
      <c r="F778" s="15"/>
      <c r="G778" s="387"/>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6.5" customHeight="1">
      <c r="A779" s="15"/>
      <c r="B779" s="15"/>
      <c r="C779" s="21"/>
      <c r="D779" s="15"/>
      <c r="E779" s="15"/>
      <c r="F779" s="15"/>
      <c r="G779" s="387"/>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6.5" customHeight="1">
      <c r="A780" s="15"/>
      <c r="B780" s="15"/>
      <c r="C780" s="21"/>
      <c r="D780" s="15"/>
      <c r="E780" s="15"/>
      <c r="F780" s="15"/>
      <c r="G780" s="387"/>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6.5" customHeight="1">
      <c r="A781" s="15"/>
      <c r="B781" s="15"/>
      <c r="C781" s="21"/>
      <c r="D781" s="15"/>
      <c r="E781" s="15"/>
      <c r="F781" s="15"/>
      <c r="G781" s="387"/>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6.5" customHeight="1">
      <c r="A782" s="15"/>
      <c r="B782" s="15"/>
      <c r="C782" s="21"/>
      <c r="D782" s="15"/>
      <c r="E782" s="15"/>
      <c r="F782" s="15"/>
      <c r="G782" s="387"/>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6.5" customHeight="1">
      <c r="A783" s="15"/>
      <c r="B783" s="15"/>
      <c r="C783" s="21"/>
      <c r="D783" s="15"/>
      <c r="E783" s="15"/>
      <c r="F783" s="15"/>
      <c r="G783" s="387"/>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6.5" customHeight="1">
      <c r="A784" s="15"/>
      <c r="B784" s="15"/>
      <c r="C784" s="21"/>
      <c r="D784" s="15"/>
      <c r="E784" s="15"/>
      <c r="F784" s="15"/>
      <c r="G784" s="387"/>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6.5" customHeight="1">
      <c r="A785" s="15"/>
      <c r="B785" s="15"/>
      <c r="C785" s="21"/>
      <c r="D785" s="15"/>
      <c r="E785" s="15"/>
      <c r="F785" s="15"/>
      <c r="G785" s="387"/>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6.5" customHeight="1">
      <c r="A786" s="15"/>
      <c r="B786" s="15"/>
      <c r="C786" s="21"/>
      <c r="D786" s="15"/>
      <c r="E786" s="15"/>
      <c r="F786" s="15"/>
      <c r="G786" s="387"/>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6.5" customHeight="1">
      <c r="A787" s="15"/>
      <c r="B787" s="15"/>
      <c r="C787" s="21"/>
      <c r="D787" s="15"/>
      <c r="E787" s="15"/>
      <c r="F787" s="15"/>
      <c r="G787" s="387"/>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6.5" customHeight="1">
      <c r="A788" s="15"/>
      <c r="B788" s="15"/>
      <c r="C788" s="21"/>
      <c r="D788" s="15"/>
      <c r="E788" s="15"/>
      <c r="F788" s="15"/>
      <c r="G788" s="387"/>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6.5" customHeight="1">
      <c r="A789" s="15"/>
      <c r="B789" s="15"/>
      <c r="C789" s="21"/>
      <c r="D789" s="15"/>
      <c r="E789" s="15"/>
      <c r="F789" s="15"/>
      <c r="G789" s="387"/>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6.5" customHeight="1">
      <c r="A790" s="15"/>
      <c r="B790" s="15"/>
      <c r="C790" s="21"/>
      <c r="D790" s="15"/>
      <c r="E790" s="15"/>
      <c r="F790" s="15"/>
      <c r="G790" s="387"/>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6.5" customHeight="1">
      <c r="A791" s="15"/>
      <c r="B791" s="15"/>
      <c r="C791" s="21"/>
      <c r="D791" s="15"/>
      <c r="E791" s="15"/>
      <c r="F791" s="15"/>
      <c r="G791" s="387"/>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6.5" customHeight="1">
      <c r="A792" s="15"/>
      <c r="B792" s="15"/>
      <c r="C792" s="21"/>
      <c r="D792" s="15"/>
      <c r="E792" s="15"/>
      <c r="F792" s="15"/>
      <c r="G792" s="387"/>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6.5" customHeight="1">
      <c r="A793" s="15"/>
      <c r="B793" s="15"/>
      <c r="C793" s="21"/>
      <c r="D793" s="15"/>
      <c r="E793" s="15"/>
      <c r="F793" s="15"/>
      <c r="G793" s="387"/>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6.5" customHeight="1">
      <c r="A794" s="15"/>
      <c r="B794" s="15"/>
      <c r="C794" s="21"/>
      <c r="D794" s="15"/>
      <c r="E794" s="15"/>
      <c r="F794" s="15"/>
      <c r="G794" s="387"/>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6.5" customHeight="1">
      <c r="A795" s="15"/>
      <c r="B795" s="15"/>
      <c r="C795" s="21"/>
      <c r="D795" s="15"/>
      <c r="E795" s="15"/>
      <c r="F795" s="15"/>
      <c r="G795" s="387"/>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6.5" customHeight="1">
      <c r="A796" s="15"/>
      <c r="B796" s="15"/>
      <c r="C796" s="21"/>
      <c r="D796" s="15"/>
      <c r="E796" s="15"/>
      <c r="F796" s="15"/>
      <c r="G796" s="387"/>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6.5" customHeight="1">
      <c r="A797" s="15"/>
      <c r="B797" s="15"/>
      <c r="C797" s="21"/>
      <c r="D797" s="15"/>
      <c r="E797" s="15"/>
      <c r="F797" s="15"/>
      <c r="G797" s="387"/>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6.5" customHeight="1">
      <c r="A798" s="15"/>
      <c r="B798" s="15"/>
      <c r="C798" s="21"/>
      <c r="D798" s="15"/>
      <c r="E798" s="15"/>
      <c r="F798" s="15"/>
      <c r="G798" s="387"/>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6.5" customHeight="1">
      <c r="A799" s="15"/>
      <c r="B799" s="15"/>
      <c r="C799" s="21"/>
      <c r="D799" s="15"/>
      <c r="E799" s="15"/>
      <c r="F799" s="15"/>
      <c r="G799" s="387"/>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6.5" customHeight="1">
      <c r="A800" s="15"/>
      <c r="B800" s="15"/>
      <c r="C800" s="21"/>
      <c r="D800" s="15"/>
      <c r="E800" s="15"/>
      <c r="F800" s="15"/>
      <c r="G800" s="387"/>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6.5" customHeight="1">
      <c r="A801" s="15"/>
      <c r="B801" s="15"/>
      <c r="C801" s="21"/>
      <c r="D801" s="15"/>
      <c r="E801" s="15"/>
      <c r="F801" s="15"/>
      <c r="G801" s="387"/>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6.5" customHeight="1">
      <c r="A802" s="15"/>
      <c r="B802" s="15"/>
      <c r="C802" s="21"/>
      <c r="D802" s="15"/>
      <c r="E802" s="15"/>
      <c r="F802" s="15"/>
      <c r="G802" s="387"/>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6.5" customHeight="1">
      <c r="A803" s="15"/>
      <c r="B803" s="15"/>
      <c r="C803" s="21"/>
      <c r="D803" s="15"/>
      <c r="E803" s="15"/>
      <c r="F803" s="15"/>
      <c r="G803" s="387"/>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6.5" customHeight="1">
      <c r="A804" s="15"/>
      <c r="B804" s="15"/>
      <c r="C804" s="21"/>
      <c r="D804" s="15"/>
      <c r="E804" s="15"/>
      <c r="F804" s="15"/>
      <c r="G804" s="387"/>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6.5" customHeight="1">
      <c r="A805" s="15"/>
      <c r="B805" s="15"/>
      <c r="C805" s="21"/>
      <c r="D805" s="15"/>
      <c r="E805" s="15"/>
      <c r="F805" s="15"/>
      <c r="G805" s="387"/>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6.5" customHeight="1">
      <c r="A806" s="15"/>
      <c r="B806" s="15"/>
      <c r="C806" s="21"/>
      <c r="D806" s="15"/>
      <c r="E806" s="15"/>
      <c r="F806" s="15"/>
      <c r="G806" s="387"/>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6.5" customHeight="1">
      <c r="A807" s="15"/>
      <c r="B807" s="15"/>
      <c r="C807" s="21"/>
      <c r="D807" s="15"/>
      <c r="E807" s="15"/>
      <c r="F807" s="15"/>
      <c r="G807" s="387"/>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6.5" customHeight="1">
      <c r="A808" s="15"/>
      <c r="B808" s="15"/>
      <c r="C808" s="21"/>
      <c r="D808" s="15"/>
      <c r="E808" s="15"/>
      <c r="F808" s="15"/>
      <c r="G808" s="387"/>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6.5" customHeight="1">
      <c r="A809" s="15"/>
      <c r="B809" s="15"/>
      <c r="C809" s="21"/>
      <c r="D809" s="15"/>
      <c r="E809" s="15"/>
      <c r="F809" s="15"/>
      <c r="G809" s="387"/>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6.5" customHeight="1">
      <c r="A810" s="15"/>
      <c r="B810" s="15"/>
      <c r="C810" s="21"/>
      <c r="D810" s="15"/>
      <c r="E810" s="15"/>
      <c r="F810" s="15"/>
      <c r="G810" s="387"/>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6.5" customHeight="1">
      <c r="A811" s="15"/>
      <c r="B811" s="15"/>
      <c r="C811" s="21"/>
      <c r="D811" s="15"/>
      <c r="E811" s="15"/>
      <c r="F811" s="15"/>
      <c r="G811" s="387"/>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6.5" customHeight="1">
      <c r="A812" s="15"/>
      <c r="B812" s="15"/>
      <c r="C812" s="21"/>
      <c r="D812" s="15"/>
      <c r="E812" s="15"/>
      <c r="F812" s="15"/>
      <c r="G812" s="387"/>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6.5" customHeight="1">
      <c r="A813" s="15"/>
      <c r="B813" s="15"/>
      <c r="C813" s="21"/>
      <c r="D813" s="15"/>
      <c r="E813" s="15"/>
      <c r="F813" s="15"/>
      <c r="G813" s="387"/>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6.5" customHeight="1">
      <c r="A814" s="15"/>
      <c r="B814" s="15"/>
      <c r="C814" s="21"/>
      <c r="D814" s="15"/>
      <c r="E814" s="15"/>
      <c r="F814" s="15"/>
      <c r="G814" s="387"/>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6.5" customHeight="1">
      <c r="A815" s="15"/>
      <c r="B815" s="15"/>
      <c r="C815" s="21"/>
      <c r="D815" s="15"/>
      <c r="E815" s="15"/>
      <c r="F815" s="15"/>
      <c r="G815" s="387"/>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6.5" customHeight="1">
      <c r="A816" s="15"/>
      <c r="B816" s="15"/>
      <c r="C816" s="21"/>
      <c r="D816" s="15"/>
      <c r="E816" s="15"/>
      <c r="F816" s="15"/>
      <c r="G816" s="387"/>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6.5" customHeight="1">
      <c r="A817" s="15"/>
      <c r="B817" s="15"/>
      <c r="C817" s="21"/>
      <c r="D817" s="15"/>
      <c r="E817" s="15"/>
      <c r="F817" s="15"/>
      <c r="G817" s="387"/>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6.5" customHeight="1">
      <c r="A818" s="15"/>
      <c r="B818" s="15"/>
      <c r="C818" s="21"/>
      <c r="D818" s="15"/>
      <c r="E818" s="15"/>
      <c r="F818" s="15"/>
      <c r="G818" s="387"/>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6.5" customHeight="1">
      <c r="A819" s="15"/>
      <c r="B819" s="15"/>
      <c r="C819" s="21"/>
      <c r="D819" s="15"/>
      <c r="E819" s="15"/>
      <c r="F819" s="15"/>
      <c r="G819" s="387"/>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6.5" customHeight="1">
      <c r="A820" s="15"/>
      <c r="B820" s="15"/>
      <c r="C820" s="21"/>
      <c r="D820" s="15"/>
      <c r="E820" s="15"/>
      <c r="F820" s="15"/>
      <c r="G820" s="387"/>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6.5" customHeight="1">
      <c r="A821" s="15"/>
      <c r="B821" s="15"/>
      <c r="C821" s="21"/>
      <c r="D821" s="15"/>
      <c r="E821" s="15"/>
      <c r="F821" s="15"/>
      <c r="G821" s="387"/>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6.5" customHeight="1">
      <c r="A822" s="15"/>
      <c r="B822" s="15"/>
      <c r="C822" s="21"/>
      <c r="D822" s="15"/>
      <c r="E822" s="15"/>
      <c r="F822" s="15"/>
      <c r="G822" s="387"/>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6.5" customHeight="1">
      <c r="A823" s="15"/>
      <c r="B823" s="15"/>
      <c r="C823" s="21"/>
      <c r="D823" s="15"/>
      <c r="E823" s="15"/>
      <c r="F823" s="15"/>
      <c r="G823" s="387"/>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6.5" customHeight="1">
      <c r="A824" s="15"/>
      <c r="B824" s="15"/>
      <c r="C824" s="21"/>
      <c r="D824" s="15"/>
      <c r="E824" s="15"/>
      <c r="F824" s="15"/>
      <c r="G824" s="387"/>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6.5" customHeight="1">
      <c r="A825" s="15"/>
      <c r="B825" s="15"/>
      <c r="C825" s="21"/>
      <c r="D825" s="15"/>
      <c r="E825" s="15"/>
      <c r="F825" s="15"/>
      <c r="G825" s="387"/>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6.5" customHeight="1">
      <c r="A826" s="15"/>
      <c r="B826" s="15"/>
      <c r="C826" s="21"/>
      <c r="D826" s="15"/>
      <c r="E826" s="15"/>
      <c r="F826" s="15"/>
      <c r="G826" s="387"/>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6.5" customHeight="1">
      <c r="A827" s="15"/>
      <c r="B827" s="15"/>
      <c r="C827" s="21"/>
      <c r="D827" s="15"/>
      <c r="E827" s="15"/>
      <c r="F827" s="15"/>
      <c r="G827" s="387"/>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6.5" customHeight="1">
      <c r="A828" s="15"/>
      <c r="B828" s="15"/>
      <c r="C828" s="21"/>
      <c r="D828" s="15"/>
      <c r="E828" s="15"/>
      <c r="F828" s="15"/>
      <c r="G828" s="387"/>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6.5" customHeight="1">
      <c r="A829" s="15"/>
      <c r="B829" s="15"/>
      <c r="C829" s="21"/>
      <c r="D829" s="15"/>
      <c r="E829" s="15"/>
      <c r="F829" s="15"/>
      <c r="G829" s="387"/>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6.5" customHeight="1">
      <c r="A830" s="15"/>
      <c r="B830" s="15"/>
      <c r="C830" s="21"/>
      <c r="D830" s="15"/>
      <c r="E830" s="15"/>
      <c r="F830" s="15"/>
      <c r="G830" s="387"/>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6.5" customHeight="1">
      <c r="A831" s="15"/>
      <c r="B831" s="15"/>
      <c r="C831" s="21"/>
      <c r="D831" s="15"/>
      <c r="E831" s="15"/>
      <c r="F831" s="15"/>
      <c r="G831" s="387"/>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6.5" customHeight="1">
      <c r="A832" s="15"/>
      <c r="B832" s="15"/>
      <c r="C832" s="21"/>
      <c r="D832" s="15"/>
      <c r="E832" s="15"/>
      <c r="F832" s="15"/>
      <c r="G832" s="387"/>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6.5" customHeight="1">
      <c r="A833" s="15"/>
      <c r="B833" s="15"/>
      <c r="C833" s="21"/>
      <c r="D833" s="15"/>
      <c r="E833" s="15"/>
      <c r="F833" s="15"/>
      <c r="G833" s="387"/>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6.5" customHeight="1">
      <c r="A834" s="15"/>
      <c r="B834" s="15"/>
      <c r="C834" s="21"/>
      <c r="D834" s="15"/>
      <c r="E834" s="15"/>
      <c r="F834" s="15"/>
      <c r="G834" s="387"/>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6.5" customHeight="1">
      <c r="A835" s="15"/>
      <c r="B835" s="15"/>
      <c r="C835" s="21"/>
      <c r="D835" s="15"/>
      <c r="E835" s="15"/>
      <c r="F835" s="15"/>
      <c r="G835" s="387"/>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6.5" customHeight="1">
      <c r="A836" s="15"/>
      <c r="B836" s="15"/>
      <c r="C836" s="21"/>
      <c r="D836" s="15"/>
      <c r="E836" s="15"/>
      <c r="F836" s="15"/>
      <c r="G836" s="387"/>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6.5" customHeight="1">
      <c r="A837" s="15"/>
      <c r="B837" s="15"/>
      <c r="C837" s="21"/>
      <c r="D837" s="15"/>
      <c r="E837" s="15"/>
      <c r="F837" s="15"/>
      <c r="G837" s="387"/>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6.5" customHeight="1">
      <c r="A838" s="15"/>
      <c r="B838" s="15"/>
      <c r="C838" s="21"/>
      <c r="D838" s="15"/>
      <c r="E838" s="15"/>
      <c r="F838" s="15"/>
      <c r="G838" s="387"/>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6.5" customHeight="1">
      <c r="A839" s="15"/>
      <c r="B839" s="15"/>
      <c r="C839" s="21"/>
      <c r="D839" s="15"/>
      <c r="E839" s="15"/>
      <c r="F839" s="15"/>
      <c r="G839" s="387"/>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6.5" customHeight="1">
      <c r="A840" s="15"/>
      <c r="B840" s="15"/>
      <c r="C840" s="21"/>
      <c r="D840" s="15"/>
      <c r="E840" s="15"/>
      <c r="F840" s="15"/>
      <c r="G840" s="387"/>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6.5" customHeight="1">
      <c r="A841" s="15"/>
      <c r="B841" s="15"/>
      <c r="C841" s="21"/>
      <c r="D841" s="15"/>
      <c r="E841" s="15"/>
      <c r="F841" s="15"/>
      <c r="G841" s="387"/>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6.5" customHeight="1">
      <c r="A842" s="15"/>
      <c r="B842" s="15"/>
      <c r="C842" s="21"/>
      <c r="D842" s="15"/>
      <c r="E842" s="15"/>
      <c r="F842" s="15"/>
      <c r="G842" s="387"/>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6.5" customHeight="1">
      <c r="A843" s="15"/>
      <c r="B843" s="15"/>
      <c r="C843" s="21"/>
      <c r="D843" s="15"/>
      <c r="E843" s="15"/>
      <c r="F843" s="15"/>
      <c r="G843" s="387"/>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6.5" customHeight="1">
      <c r="A844" s="15"/>
      <c r="B844" s="15"/>
      <c r="C844" s="21"/>
      <c r="D844" s="15"/>
      <c r="E844" s="15"/>
      <c r="F844" s="15"/>
      <c r="G844" s="387"/>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6.5" customHeight="1">
      <c r="A845" s="15"/>
      <c r="B845" s="15"/>
      <c r="C845" s="21"/>
      <c r="D845" s="15"/>
      <c r="E845" s="15"/>
      <c r="F845" s="15"/>
      <c r="G845" s="387"/>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6.5" customHeight="1">
      <c r="A846" s="15"/>
      <c r="B846" s="15"/>
      <c r="C846" s="21"/>
      <c r="D846" s="15"/>
      <c r="E846" s="15"/>
      <c r="F846" s="15"/>
      <c r="G846" s="387"/>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6.5" customHeight="1">
      <c r="A847" s="15"/>
      <c r="B847" s="15"/>
      <c r="C847" s="21"/>
      <c r="D847" s="15"/>
      <c r="E847" s="15"/>
      <c r="F847" s="15"/>
      <c r="G847" s="387"/>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6.5" customHeight="1">
      <c r="A848" s="15"/>
      <c r="B848" s="15"/>
      <c r="C848" s="21"/>
      <c r="D848" s="15"/>
      <c r="E848" s="15"/>
      <c r="F848" s="15"/>
      <c r="G848" s="387"/>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6.5" customHeight="1">
      <c r="A849" s="15"/>
      <c r="B849" s="15"/>
      <c r="C849" s="21"/>
      <c r="D849" s="15"/>
      <c r="E849" s="15"/>
      <c r="F849" s="15"/>
      <c r="G849" s="387"/>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6.5" customHeight="1">
      <c r="A850" s="15"/>
      <c r="B850" s="15"/>
      <c r="C850" s="21"/>
      <c r="D850" s="15"/>
      <c r="E850" s="15"/>
      <c r="F850" s="15"/>
      <c r="G850" s="387"/>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6.5" customHeight="1">
      <c r="A851" s="15"/>
      <c r="B851" s="15"/>
      <c r="C851" s="21"/>
      <c r="D851" s="15"/>
      <c r="E851" s="15"/>
      <c r="F851" s="15"/>
      <c r="G851" s="387"/>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6.5" customHeight="1">
      <c r="A852" s="15"/>
      <c r="B852" s="15"/>
      <c r="C852" s="21"/>
      <c r="D852" s="15"/>
      <c r="E852" s="15"/>
      <c r="F852" s="15"/>
      <c r="G852" s="387"/>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6.5" customHeight="1">
      <c r="A853" s="15"/>
      <c r="B853" s="15"/>
      <c r="C853" s="21"/>
      <c r="D853" s="15"/>
      <c r="E853" s="15"/>
      <c r="F853" s="15"/>
      <c r="G853" s="387"/>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6.5" customHeight="1">
      <c r="A854" s="15"/>
      <c r="B854" s="15"/>
      <c r="C854" s="21"/>
      <c r="D854" s="15"/>
      <c r="E854" s="15"/>
      <c r="F854" s="15"/>
      <c r="G854" s="387"/>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6.5" customHeight="1">
      <c r="A855" s="15"/>
      <c r="B855" s="15"/>
      <c r="C855" s="21"/>
      <c r="D855" s="15"/>
      <c r="E855" s="15"/>
      <c r="F855" s="15"/>
      <c r="G855" s="387"/>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6.5" customHeight="1">
      <c r="A856" s="15"/>
      <c r="B856" s="15"/>
      <c r="C856" s="21"/>
      <c r="D856" s="15"/>
      <c r="E856" s="15"/>
      <c r="F856" s="15"/>
      <c r="G856" s="387"/>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6.5" customHeight="1">
      <c r="A857" s="15"/>
      <c r="B857" s="15"/>
      <c r="C857" s="21"/>
      <c r="D857" s="15"/>
      <c r="E857" s="15"/>
      <c r="F857" s="15"/>
      <c r="G857" s="387"/>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6.5" customHeight="1">
      <c r="A858" s="15"/>
      <c r="B858" s="15"/>
      <c r="C858" s="21"/>
      <c r="D858" s="15"/>
      <c r="E858" s="15"/>
      <c r="F858" s="15"/>
      <c r="G858" s="387"/>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6.5" customHeight="1">
      <c r="A859" s="15"/>
      <c r="B859" s="15"/>
      <c r="C859" s="21"/>
      <c r="D859" s="15"/>
      <c r="E859" s="15"/>
      <c r="F859" s="15"/>
      <c r="G859" s="387"/>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6.5" customHeight="1">
      <c r="A860" s="15"/>
      <c r="B860" s="15"/>
      <c r="C860" s="21"/>
      <c r="D860" s="15"/>
      <c r="E860" s="15"/>
      <c r="F860" s="15"/>
      <c r="G860" s="387"/>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6.5" customHeight="1">
      <c r="A861" s="15"/>
      <c r="B861" s="15"/>
      <c r="C861" s="21"/>
      <c r="D861" s="15"/>
      <c r="E861" s="15"/>
      <c r="F861" s="15"/>
      <c r="G861" s="387"/>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6.5" customHeight="1">
      <c r="A862" s="15"/>
      <c r="B862" s="15"/>
      <c r="C862" s="21"/>
      <c r="D862" s="15"/>
      <c r="E862" s="15"/>
      <c r="F862" s="15"/>
      <c r="G862" s="387"/>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6.5" customHeight="1">
      <c r="A863" s="15"/>
      <c r="B863" s="15"/>
      <c r="C863" s="21"/>
      <c r="D863" s="15"/>
      <c r="E863" s="15"/>
      <c r="F863" s="15"/>
      <c r="G863" s="387"/>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6.5" customHeight="1">
      <c r="A864" s="15"/>
      <c r="B864" s="15"/>
      <c r="C864" s="21"/>
      <c r="D864" s="15"/>
      <c r="E864" s="15"/>
      <c r="F864" s="15"/>
      <c r="G864" s="387"/>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6.5" customHeight="1">
      <c r="A865" s="15"/>
      <c r="B865" s="15"/>
      <c r="C865" s="21"/>
      <c r="D865" s="15"/>
      <c r="E865" s="15"/>
      <c r="F865" s="15"/>
      <c r="G865" s="387"/>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row r="866" ht="16.5" customHeight="1">
      <c r="A866" s="15"/>
      <c r="B866" s="15"/>
      <c r="C866" s="21"/>
      <c r="D866" s="15"/>
      <c r="E866" s="15"/>
      <c r="F866" s="15"/>
      <c r="G866" s="387"/>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row>
    <row r="867" ht="16.5" customHeight="1">
      <c r="A867" s="15"/>
      <c r="B867" s="15"/>
      <c r="C867" s="21"/>
      <c r="D867" s="15"/>
      <c r="E867" s="15"/>
      <c r="F867" s="15"/>
      <c r="G867" s="387"/>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row>
    <row r="868" ht="16.5" customHeight="1">
      <c r="A868" s="15"/>
      <c r="B868" s="15"/>
      <c r="C868" s="21"/>
      <c r="D868" s="15"/>
      <c r="E868" s="15"/>
      <c r="F868" s="15"/>
      <c r="G868" s="387"/>
      <c r="H868" s="15"/>
      <c r="I868" s="11"/>
      <c r="J868" s="11"/>
      <c r="K868" s="11"/>
      <c r="L868" s="11"/>
      <c r="M868" s="15"/>
      <c r="N868" s="15"/>
      <c r="O868" s="15"/>
      <c r="P868" s="15"/>
      <c r="Q868" s="15"/>
      <c r="R868" s="15"/>
      <c r="S868" s="15"/>
      <c r="T868" s="15"/>
      <c r="U868" s="15"/>
      <c r="V868" s="15"/>
      <c r="W868" s="15"/>
      <c r="X868" s="15"/>
      <c r="Y868" s="15"/>
      <c r="Z868" s="15"/>
      <c r="AA868" s="15"/>
      <c r="AB868" s="15"/>
      <c r="AC868" s="15"/>
      <c r="AD868" s="15"/>
      <c r="AE868" s="15"/>
      <c r="AF868" s="15"/>
    </row>
    <row r="869" ht="16.5" customHeight="1">
      <c r="A869" s="15"/>
      <c r="B869" s="15"/>
      <c r="C869" s="21"/>
      <c r="D869" s="15"/>
      <c r="E869" s="15"/>
      <c r="F869" s="15"/>
      <c r="G869" s="387"/>
      <c r="H869" s="15"/>
      <c r="I869" s="11"/>
      <c r="J869" s="11"/>
      <c r="K869" s="11"/>
      <c r="L869" s="11"/>
      <c r="M869" s="15"/>
      <c r="N869" s="15"/>
      <c r="O869" s="15"/>
      <c r="P869" s="15"/>
      <c r="Q869" s="15"/>
      <c r="R869" s="15"/>
      <c r="S869" s="15"/>
      <c r="T869" s="15"/>
      <c r="U869" s="15"/>
      <c r="V869" s="15"/>
      <c r="W869" s="15"/>
      <c r="X869" s="15"/>
      <c r="Y869" s="15"/>
      <c r="Z869" s="15"/>
      <c r="AA869" s="15"/>
      <c r="AB869" s="15"/>
      <c r="AC869" s="15"/>
      <c r="AD869" s="15"/>
      <c r="AE869" s="15"/>
      <c r="AF869" s="15"/>
    </row>
    <row r="870" ht="16.5" customHeight="1">
      <c r="A870" s="15"/>
      <c r="B870" s="15"/>
      <c r="C870" s="21"/>
      <c r="D870" s="15"/>
      <c r="E870" s="15"/>
      <c r="F870" s="15"/>
      <c r="G870" s="387"/>
      <c r="H870" s="15"/>
      <c r="I870" s="11"/>
      <c r="J870" s="11"/>
      <c r="K870" s="11"/>
      <c r="L870" s="11"/>
      <c r="M870" s="15"/>
      <c r="N870" s="15"/>
      <c r="O870" s="15"/>
      <c r="P870" s="15"/>
      <c r="Q870" s="15"/>
      <c r="R870" s="15"/>
      <c r="S870" s="15"/>
      <c r="T870" s="15"/>
      <c r="U870" s="15"/>
      <c r="V870" s="15"/>
      <c r="W870" s="15"/>
      <c r="X870" s="15"/>
      <c r="Y870" s="15"/>
      <c r="Z870" s="15"/>
      <c r="AA870" s="15"/>
      <c r="AB870" s="15"/>
      <c r="AC870" s="15"/>
      <c r="AD870" s="15"/>
      <c r="AE870" s="15"/>
      <c r="AF870" s="15"/>
    </row>
    <row r="871" ht="16.5" customHeight="1">
      <c r="A871" s="15"/>
      <c r="B871" s="15"/>
      <c r="C871" s="21"/>
      <c r="D871" s="15"/>
      <c r="E871" s="15"/>
      <c r="F871" s="15"/>
      <c r="G871" s="387"/>
      <c r="H871" s="15"/>
      <c r="I871" s="11"/>
      <c r="J871" s="11"/>
      <c r="K871" s="11"/>
      <c r="L871" s="11"/>
      <c r="M871" s="15"/>
      <c r="N871" s="15"/>
      <c r="O871" s="15"/>
      <c r="P871" s="15"/>
      <c r="Q871" s="15"/>
      <c r="R871" s="15"/>
      <c r="S871" s="15"/>
      <c r="T871" s="15"/>
      <c r="U871" s="15"/>
      <c r="V871" s="15"/>
      <c r="W871" s="15"/>
      <c r="X871" s="15"/>
      <c r="Y871" s="15"/>
      <c r="Z871" s="15"/>
      <c r="AA871" s="15"/>
      <c r="AB871" s="15"/>
      <c r="AC871" s="15"/>
      <c r="AD871" s="15"/>
      <c r="AE871" s="15"/>
      <c r="AF871" s="15"/>
    </row>
    <row r="872" ht="16.5" customHeight="1">
      <c r="A872" s="15"/>
      <c r="B872" s="15"/>
      <c r="C872" s="21"/>
      <c r="D872" s="15"/>
      <c r="E872" s="15"/>
      <c r="F872" s="15"/>
      <c r="G872" s="387"/>
      <c r="H872" s="15"/>
      <c r="I872" s="11"/>
      <c r="J872" s="11"/>
      <c r="K872" s="11"/>
      <c r="L872" s="11"/>
      <c r="M872" s="15"/>
      <c r="N872" s="15"/>
      <c r="O872" s="15"/>
      <c r="P872" s="15"/>
      <c r="Q872" s="15"/>
      <c r="R872" s="15"/>
      <c r="S872" s="15"/>
      <c r="T872" s="15"/>
      <c r="U872" s="15"/>
      <c r="V872" s="15"/>
      <c r="W872" s="15"/>
      <c r="X872" s="15"/>
      <c r="Y872" s="15"/>
      <c r="Z872" s="15"/>
      <c r="AA872" s="15"/>
      <c r="AB872" s="15"/>
      <c r="AC872" s="15"/>
      <c r="AD872" s="15"/>
      <c r="AE872" s="15"/>
      <c r="AF872" s="15"/>
    </row>
    <row r="873" ht="16.5" customHeight="1">
      <c r="A873" s="15"/>
      <c r="B873" s="15"/>
      <c r="C873" s="21"/>
      <c r="D873" s="15"/>
      <c r="E873" s="15"/>
      <c r="F873" s="15"/>
      <c r="G873" s="387"/>
      <c r="H873" s="15"/>
      <c r="I873" s="11"/>
      <c r="J873" s="11"/>
      <c r="K873" s="11"/>
      <c r="L873" s="11"/>
      <c r="M873" s="15"/>
      <c r="N873" s="15"/>
      <c r="O873" s="15"/>
      <c r="P873" s="15"/>
      <c r="Q873" s="15"/>
      <c r="R873" s="15"/>
      <c r="S873" s="15"/>
      <c r="T873" s="15"/>
      <c r="U873" s="15"/>
      <c r="V873" s="15"/>
      <c r="W873" s="15"/>
      <c r="X873" s="15"/>
      <c r="Y873" s="15"/>
      <c r="Z873" s="15"/>
      <c r="AA873" s="15"/>
      <c r="AB873" s="15"/>
      <c r="AC873" s="15"/>
      <c r="AD873" s="15"/>
      <c r="AE873" s="15"/>
      <c r="AF873" s="15"/>
    </row>
    <row r="874" ht="16.5" customHeight="1">
      <c r="A874" s="15"/>
      <c r="B874" s="15"/>
      <c r="C874" s="21"/>
      <c r="D874" s="15"/>
      <c r="E874" s="15"/>
      <c r="F874" s="15"/>
      <c r="G874" s="387"/>
      <c r="H874" s="15"/>
      <c r="I874" s="11"/>
      <c r="J874" s="11"/>
      <c r="K874" s="11"/>
      <c r="L874" s="11"/>
      <c r="M874" s="15"/>
      <c r="N874" s="15"/>
      <c r="O874" s="15"/>
      <c r="P874" s="15"/>
      <c r="Q874" s="15"/>
      <c r="R874" s="15"/>
      <c r="S874" s="15"/>
      <c r="T874" s="15"/>
      <c r="U874" s="15"/>
      <c r="V874" s="15"/>
      <c r="W874" s="15"/>
      <c r="X874" s="15"/>
      <c r="Y874" s="15"/>
      <c r="Z874" s="15"/>
      <c r="AA874" s="15"/>
      <c r="AB874" s="15"/>
      <c r="AC874" s="15"/>
      <c r="AD874" s="15"/>
      <c r="AE874" s="15"/>
      <c r="AF874" s="15"/>
    </row>
    <row r="875" ht="16.5" customHeight="1">
      <c r="A875" s="15"/>
      <c r="B875" s="15"/>
      <c r="C875" s="21"/>
      <c r="D875" s="15"/>
      <c r="E875" s="15"/>
      <c r="F875" s="15"/>
      <c r="G875" s="387"/>
      <c r="H875" s="15"/>
      <c r="I875" s="11"/>
      <c r="J875" s="11"/>
      <c r="K875" s="11"/>
      <c r="L875" s="11"/>
      <c r="M875" s="15"/>
      <c r="N875" s="15"/>
      <c r="O875" s="15"/>
      <c r="P875" s="15"/>
      <c r="Q875" s="15"/>
      <c r="R875" s="15"/>
      <c r="S875" s="15"/>
      <c r="T875" s="15"/>
      <c r="U875" s="15"/>
      <c r="V875" s="15"/>
      <c r="W875" s="15"/>
      <c r="X875" s="15"/>
      <c r="Y875" s="15"/>
      <c r="Z875" s="15"/>
      <c r="AA875" s="15"/>
      <c r="AB875" s="15"/>
      <c r="AC875" s="15"/>
      <c r="AD875" s="15"/>
      <c r="AE875" s="15"/>
      <c r="AF875" s="15"/>
    </row>
    <row r="876" ht="16.5" customHeight="1">
      <c r="A876" s="15"/>
      <c r="B876" s="15"/>
      <c r="C876" s="21"/>
      <c r="D876" s="15"/>
      <c r="E876" s="15"/>
      <c r="F876" s="15"/>
      <c r="G876" s="387"/>
      <c r="H876" s="15"/>
      <c r="I876" s="11"/>
      <c r="J876" s="11"/>
      <c r="K876" s="11"/>
      <c r="L876" s="11"/>
      <c r="M876" s="15"/>
      <c r="N876" s="15"/>
      <c r="O876" s="15"/>
      <c r="P876" s="15"/>
      <c r="Q876" s="15"/>
      <c r="R876" s="15"/>
      <c r="S876" s="15"/>
      <c r="T876" s="15"/>
      <c r="U876" s="15"/>
      <c r="V876" s="15"/>
      <c r="W876" s="15"/>
      <c r="X876" s="15"/>
      <c r="Y876" s="15"/>
      <c r="Z876" s="15"/>
      <c r="AA876" s="15"/>
      <c r="AB876" s="15"/>
      <c r="AC876" s="15"/>
      <c r="AD876" s="15"/>
      <c r="AE876" s="15"/>
      <c r="AF876" s="15"/>
    </row>
    <row r="877" ht="16.5" customHeight="1">
      <c r="A877" s="15"/>
      <c r="B877" s="15"/>
      <c r="C877" s="21"/>
      <c r="D877" s="15"/>
      <c r="E877" s="15"/>
      <c r="F877" s="15"/>
      <c r="G877" s="387"/>
      <c r="H877" s="15"/>
      <c r="I877" s="11"/>
      <c r="J877" s="11"/>
      <c r="K877" s="11"/>
      <c r="L877" s="11"/>
      <c r="M877" s="15"/>
      <c r="N877" s="15"/>
      <c r="O877" s="15"/>
      <c r="P877" s="15"/>
      <c r="Q877" s="15"/>
      <c r="R877" s="15"/>
      <c r="S877" s="15"/>
      <c r="T877" s="15"/>
      <c r="U877" s="15"/>
      <c r="V877" s="15"/>
      <c r="W877" s="15"/>
      <c r="X877" s="15"/>
      <c r="Y877" s="15"/>
      <c r="Z877" s="15"/>
      <c r="AA877" s="15"/>
      <c r="AB877" s="15"/>
      <c r="AC877" s="15"/>
      <c r="AD877" s="15"/>
      <c r="AE877" s="15"/>
      <c r="AF877" s="15"/>
    </row>
    <row r="878" ht="16.5" customHeight="1">
      <c r="A878" s="15"/>
      <c r="B878" s="15"/>
      <c r="C878" s="21"/>
      <c r="D878" s="15"/>
      <c r="E878" s="15"/>
      <c r="F878" s="15"/>
      <c r="G878" s="387"/>
      <c r="H878" s="15"/>
      <c r="I878" s="11"/>
      <c r="J878" s="11"/>
      <c r="K878" s="11"/>
      <c r="L878" s="11"/>
      <c r="M878" s="15"/>
      <c r="N878" s="15"/>
      <c r="O878" s="15"/>
      <c r="P878" s="15"/>
      <c r="Q878" s="15"/>
      <c r="R878" s="15"/>
      <c r="S878" s="15"/>
      <c r="T878" s="15"/>
      <c r="U878" s="15"/>
      <c r="V878" s="15"/>
      <c r="W878" s="15"/>
      <c r="X878" s="15"/>
      <c r="Y878" s="15"/>
      <c r="Z878" s="15"/>
      <c r="AA878" s="15"/>
      <c r="AB878" s="15"/>
      <c r="AC878" s="15"/>
      <c r="AD878" s="15"/>
      <c r="AE878" s="15"/>
      <c r="AF878" s="15"/>
    </row>
    <row r="879" ht="16.5" customHeight="1">
      <c r="A879" s="15"/>
      <c r="B879" s="15"/>
      <c r="C879" s="21"/>
      <c r="D879" s="15"/>
      <c r="E879" s="15"/>
      <c r="F879" s="15"/>
      <c r="G879" s="387"/>
      <c r="H879" s="15"/>
      <c r="I879" s="11"/>
      <c r="J879" s="11"/>
      <c r="K879" s="11"/>
      <c r="L879" s="11"/>
      <c r="M879" s="15"/>
      <c r="N879" s="15"/>
      <c r="O879" s="15"/>
      <c r="P879" s="15"/>
      <c r="Q879" s="15"/>
      <c r="R879" s="15"/>
      <c r="S879" s="15"/>
      <c r="T879" s="15"/>
      <c r="U879" s="15"/>
      <c r="V879" s="15"/>
      <c r="W879" s="15"/>
      <c r="X879" s="15"/>
      <c r="Y879" s="15"/>
      <c r="Z879" s="15"/>
      <c r="AA879" s="15"/>
      <c r="AB879" s="15"/>
      <c r="AC879" s="15"/>
      <c r="AD879" s="15"/>
      <c r="AE879" s="15"/>
      <c r="AF879" s="15"/>
    </row>
    <row r="880" ht="16.5" customHeight="1">
      <c r="A880" s="15"/>
      <c r="B880" s="15"/>
      <c r="C880" s="21"/>
      <c r="D880" s="15"/>
      <c r="E880" s="15"/>
      <c r="F880" s="15"/>
      <c r="G880" s="387"/>
      <c r="H880" s="15"/>
      <c r="I880" s="11"/>
      <c r="J880" s="11"/>
      <c r="K880" s="11"/>
      <c r="L880" s="11"/>
      <c r="M880" s="15"/>
      <c r="N880" s="15"/>
      <c r="O880" s="15"/>
      <c r="P880" s="15"/>
      <c r="Q880" s="15"/>
      <c r="R880" s="15"/>
      <c r="S880" s="15"/>
      <c r="T880" s="15"/>
      <c r="U880" s="15"/>
      <c r="V880" s="15"/>
      <c r="W880" s="15"/>
      <c r="X880" s="15"/>
      <c r="Y880" s="15"/>
      <c r="Z880" s="15"/>
      <c r="AA880" s="15"/>
      <c r="AB880" s="15"/>
      <c r="AC880" s="15"/>
      <c r="AD880" s="15"/>
      <c r="AE880" s="15"/>
      <c r="AF880" s="15"/>
    </row>
    <row r="881" ht="16.5" customHeight="1">
      <c r="A881" s="15"/>
      <c r="B881" s="15"/>
      <c r="C881" s="21"/>
      <c r="D881" s="15"/>
      <c r="E881" s="15"/>
      <c r="F881" s="15"/>
      <c r="G881" s="387"/>
      <c r="H881" s="15"/>
      <c r="I881" s="11"/>
      <c r="J881" s="11"/>
      <c r="K881" s="11"/>
      <c r="L881" s="11"/>
      <c r="M881" s="15"/>
      <c r="N881" s="15"/>
      <c r="O881" s="15"/>
      <c r="P881" s="15"/>
      <c r="Q881" s="15"/>
      <c r="R881" s="15"/>
      <c r="S881" s="15"/>
      <c r="T881" s="15"/>
      <c r="U881" s="15"/>
      <c r="V881" s="15"/>
      <c r="W881" s="15"/>
      <c r="X881" s="15"/>
      <c r="Y881" s="15"/>
      <c r="Z881" s="15"/>
      <c r="AA881" s="15"/>
      <c r="AB881" s="15"/>
      <c r="AC881" s="15"/>
      <c r="AD881" s="15"/>
      <c r="AE881" s="15"/>
      <c r="AF881" s="15"/>
    </row>
    <row r="882" ht="16.5" customHeight="1">
      <c r="A882" s="15"/>
      <c r="B882" s="15"/>
      <c r="C882" s="21"/>
      <c r="D882" s="15"/>
      <c r="E882" s="15"/>
      <c r="F882" s="15"/>
      <c r="G882" s="387"/>
      <c r="H882" s="15"/>
      <c r="I882" s="11"/>
      <c r="J882" s="11"/>
      <c r="K882" s="11"/>
      <c r="L882" s="11"/>
      <c r="M882" s="15"/>
      <c r="N882" s="15"/>
      <c r="O882" s="15"/>
      <c r="P882" s="15"/>
      <c r="Q882" s="15"/>
      <c r="R882" s="15"/>
      <c r="S882" s="15"/>
      <c r="T882" s="15"/>
      <c r="U882" s="15"/>
      <c r="V882" s="15"/>
      <c r="W882" s="15"/>
      <c r="X882" s="15"/>
      <c r="Y882" s="15"/>
      <c r="Z882" s="15"/>
      <c r="AA882" s="15"/>
      <c r="AB882" s="15"/>
      <c r="AC882" s="15"/>
      <c r="AD882" s="15"/>
      <c r="AE882" s="15"/>
      <c r="AF882" s="15"/>
    </row>
  </sheetData>
  <mergeCells count="19">
    <mergeCell ref="C3:I3"/>
    <mergeCell ref="B6:B20"/>
    <mergeCell ref="C6:C20"/>
    <mergeCell ref="D6:D20"/>
    <mergeCell ref="B21:B29"/>
    <mergeCell ref="C21:C29"/>
    <mergeCell ref="D21:D29"/>
    <mergeCell ref="C48:C54"/>
    <mergeCell ref="D48:D54"/>
    <mergeCell ref="B55:B63"/>
    <mergeCell ref="C55:C63"/>
    <mergeCell ref="D55:D63"/>
    <mergeCell ref="B30:B38"/>
    <mergeCell ref="C30:C38"/>
    <mergeCell ref="D30:D38"/>
    <mergeCell ref="B39:B47"/>
    <mergeCell ref="C39:C47"/>
    <mergeCell ref="D39:D47"/>
    <mergeCell ref="B48:B54"/>
  </mergeCells>
  <conditionalFormatting sqref="I7">
    <cfRule type="notContainsBlanks" dxfId="3" priority="1">
      <formula>LEN(TRIM(I7))&gt;0</formula>
    </cfRule>
  </conditionalFormatting>
  <dataValidations>
    <dataValidation type="list" allowBlank="1" sqref="H22:K22">
      <formula1>"CreateStageOrder,MultiTradingTicketFromBlotter,BulkChangeTradeDoneAway,VerifyOrder,VerifyWorkingSubs,CheckAllocatedGroups,CheckPortfolioManagement,GetDataAllocation,Copy of Data,Copy of Data_conflict1450669735"</formula1>
    </dataValidation>
    <dataValidation type="list" allowBlank="1" sqref="F16:F17 F25:F26 F40 F49 F56">
      <formula1>"ReplaceFillsOnBlotter,CheckBlotter,BlotterFunctionalities,TransferToUserWorkingSubs,CancelWorkingSubs,ReplaceWorkingSubs,ViewAllocationDetailsWorkingSubs,ShowDetailsForAlgoTradeSubOrder,SelectTradeOrderBlotter,AddFillsWorkingSubs,ShowDetailsForAlgoTradeWo"&amp;"rkingSubs,EditAddFillsDetails,SelectTradeOnOrderGrid,ViewAllocationDetailsWorkingSub,VerifyWorkingSubs,TransferToUserOrder,TransferToUserOrder,TransferToUserOrder,SelectTradeSubOrderBlotter,VerifyOrder,VerifySubOrder,RemoveSelectedOrders,CancelAllSelected"&amp;"Subs,MultiTradingTicket,AuditTrailOrderBlotter,TradeNewSubOrder,RemoveStageOrder,SelectTradeSubOrderBlotter,SelectTradeSubOrderBlotter,TransferToUserSubOrder,AddFillsSubOrder,DetailsForAlgoTradeOrder,ViewAllocationDetailsSubOrder,EditAddFillsDetails,ViewA"&amp;"llocationDetailsSubOrder,AddFillsSubOrder,CancelAllSubs,CancelSubOrder,EditStageOrder,ReplaceSubOrder,SelectTradeWorkingSub,SelectTradeWorkingSubsBlotter,VerifyAlgoDetails,VerifyTransferToUserOrder,VerifyTransferToUserSubOdr,VerifyTransferToUserWorkSub,Sa"&amp;"veLayoutOrderGrid,SaveLayoutOrderGrid,ReplaceStageOrder,,,,,,,,,,,,,,,,,,,,,,,,,,,,,,,,,,,,,,,,,,,,,,,,,,,,,,,,,,,,,,,,,,,,,,,,,,,,,,,,,,,,,,,,,,,,,,,,,,,,,,,,,,,,,,,,,,,,,,,,,,,,,,,,,,,,,,,,,,,,,,,,,,,,,,,,,,,,,,,,,,,,,,,,,,,,,,,,,,,,,,,,,,,,,,,,,,,,,,,,"&amp;",,,,,,,,,,,,,,,,,,,,,,,,,,,,,,,,,,,,,,,,,,,,,,,,,,,,,,,,,,,,,,,,,,,,,,,,,,,,,,,,,,,,,,,,,,,,,,,,,,,,,,,,,,,,,,,,,,,,,,,,,,,,,,,,,,,,,,,,,,,,,,,,,,,,,,,,,,,,,,,,,,,,,,,,,,,,,,,,,,,,,,,,,,,,,,,,,,,,,,,,,,,,,,,,,,,,,,,,,,,,,,,,,,,,,,,,,,,,,,,,,,,,,,,,"</formula1>
    </dataValidation>
    <dataValidation type="list" allowBlank="1" sqref="F18 F27">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36:F37 F45:F46 F52:F53 F61:F62">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F6 F21">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amp;",,,,,,,,,,,,,,,,,,,,,,,,,,,,,,,,,,,,,,,,,,,,,,,,,,,,,,,,,,,,,,,,,,,,,,,,,,,,,,,,,,,,,,,,,,,,,,,,,,,,,,,,,,,,,,,,,,,,,,,,,,,,,,,,,,,,,,,,,,,,,,,,,,,,,,,,,,,,,,,,,,,,,,,,,,,,,,,,,,,,,,,,,,,,,,,,,,,,,,,,,,,,,,,,,,,,,,,,,,,,,,,,,,,,,,,,,,,,,,,,,,,,,,,,,,,,,,,"&amp;",,,,,,,,,,,,,,,,,,,,,,,,,,,,,,,,,,,,,,,,,,,,,,,,,,,,,,,,,,,,,,,,,,,,,,,,,,,,,,,,,,,,,,,,,,,,,,,,,,,,,,,,,,,,,,,,,,,,,"</formula1>
    </dataValidation>
    <dataValidation type="list" allowBlank="1" sqref="F31 F35 F44 F60">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H35">
      <formula1>"Copy of Data,Copy of Data_conflict1650307399,c,CreateStageOrder,Copy of Data 1,MultiTradingTicketFromBlotter,Copy of Data 2,SelectTradeUsingMTT,Copy of Data 3,EditTradeUsingMTT,Copy of Data 4,DoneAwayUsingMTT,Copy of Data 5,VerifyWorkingSubs"</formula1>
    </dataValidation>
    <dataValidation type="list" allowBlank="1" sqref="F7 F22">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F9:F15 F24 F68 F70:F71">
      <formula1>"EditTradeUsingMTT,SelectTradeUsingMTT,GetPriceUsingMTT,DoneAwayUsingMTT,SendOrderUsingMTT,BulkChangeTradeDoneAway,,,,,,,,,,,,,,,,,,,,,,,,,,,,,,,,,,,,,,,,,,,,,,,,,,,,,,,,,,,,,,,,,,,,,,,,,,,,,,,,,,,,,,,,,,,,,,,,,,,,,,,,,,,,,,,,,,,,,,,,,,,,,,,,,,,,,,,,,,,,,,"&amp;",,,,,,,,,,,,,,,,,,,,,,,,,,,,,,,,,,,,,,,,,,,,,,,,,,,,,,,,,,,,,,,,,,,,,,,,,,,,,,,,,,,,,,,,,,,,,,,,,,,,,,,,,,,,,,,,,,,,,,,,,,,,,,,,,,,,,,,,,,,,,,,,,,,,,,,,,,,,,,,,,,,,,,,,,,,,,,,,,,,,,,,,,,,,,,,,,,,,,,,,,,,,,,,,,,,,,,,,,,,,,,,,,,,,,,,,,,,,,,,,,,,,,,,,,,,,,,,"&amp;",,,,,,,,,,,,,,,,,,,,,,,,,,,,,,,,,,,,,,,,,,,,,,,,,,,,,,,,,,,,,,,,,,,,,,,,,,,,,,,,,,,,,,,,,,,,,,"</formula1>
    </dataValidation>
    <dataValidation type="list" allowBlank="1" sqref="H50:H54">
      <formula1>"Data,CreateStageOrder,MultiTradingTicketFromBlotter,SelectTradeUsingMTT,EditTradeUsingMTT,DoneAwayUsingMTT,GetDataAllocation,CheckAllocatedGroups,CheckPortfolioManagement,Copy of Data"</formula1>
    </dataValidation>
    <dataValidation type="list" allowBlank="1" sqref="F8 F23">
      <formula1>"ReplaceFillsOnBlotter,CheckBlotter,BlotterFunctionalities,TransferToUserWorkingSubs,CancelWorkingSubs,ReplaceWorkingSubs,ViewAllocationDetailsWorkingSubs,ShowDetailsForAlgoTradeSubOrder,SelectTradeOrderBlotter,AddFillsWorkingSubs,ShowDetailsForAlgoTradeWo"&amp;"rkingSubs,EditAddFillsDetails,SelectTradeOnOrderGrid,ViewAllocationDetailsWorkingSub,VerifyWorkingSubs,TransferToUserOrder,TransferToUserOrder,TransferToUserOrder,SelectTradeSubOrderBlotter,VerifyOrder,VerifySubOrder,RemoveSelectedOrders,CancelAllSelected"&amp;"Subs,MultiTradingTicket,AuditTrailOrderBlotter,TradeNewSubOrder,RemoveStageOrder,SelectTradeSubOrderBlotter,SelectTradeSubOrderBlotter,TransferToUserSubOrder,AddFillsSubOrder,DetailsForAlgoTradeOrder,ViewAllocationDetailsSubOrder,EditAddFillsDetails,ViewA"&amp;"llocationDetailsSubOrder,AddFillsSubOrder,CancelAllSubs,CancelSubOrder,EditStageOrder,ReplaceSubOrder,SelectTradeWorkingSub,SelectTradeWorkingSubsBlotter,VerifyAlgoDetails,VerifyTransferToUserOrder,VerifyTransferToUserSubOdr,VerifyTransferToUserWorkSub,Sa"&amp;"veLayoutOrderGrid,SaveLayoutOrderGrid,ReplaceStageOrder,MultiTradingTicketFromBlotter,,,,,,,,,,,,,,,,,,,,,,,,,,,,,,,,,,,,,,,,,,,,,,,,,,,,,,,,,,,,,,,,,,,,,,,,,,,,,,,,,,,,,,,,,,,,,,,,,,,,,,,,,,,,,,,,,,,,,,,,,,,,,,,,,,,,,,,,,,,,,,,,,,,,,,,,,,,,,,,,,,,,,,,,,,"&amp;",,,,,,,,,,,,,,,,,,,,,,,,,,,,,,,,,,,,,,,,,,,,,,,,,,,,,,,,,,,,,,,,,,,,,,,,,,,,,,,,,,,,,,,,,,,,,,,,,,,,,,,,,,,,,,,,,,,,,,,,,,,,,,,,,,,,,,,,,,,,,,,,,,,,,,,,,,,,,,,,,,,,,,,,,,,,,,,,,,,,,,,,,,,,,,,,,,,,,,,,,,,,,,,,,,,,,,,,,,,,,,,,,,,,,,,,,,,,,,,,,,,,,,,,,,,,,,,"&amp;",,,,,,,,,,,,,,,,,,,,,,"</formula1>
    </dataValidation>
    <dataValidation type="list" allowBlank="1" sqref="E6:E882">
      <formula1>'_Modules'!$A$4:$A882</formula1>
    </dataValidation>
    <dataValidation type="list" allowBlank="1" sqref="F66">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30">
      <formula1>"MultiTradingTicketFromBlotter,SelectTradeUsingMTT,EditTradeUsingMTT,DoneAwayUsingMTT,VerifyWorkingSubs,GetDataAllocation,CheckAllocatedGroups,CheckPortfolioManagement,CreateStageOrder,Copy of Data_conflict1172666731"</formula1>
    </dataValidation>
    <dataValidation type="list" allowBlank="1" sqref="H49">
      <formula1>"CreateStageOrder,MultiTradingTicketFromBlotter,SelectTradeUsingMTT,EditTradeUsingMTT,DoneAwayUsingMTT,GetDataAllocation,CheckAllocatedGroups,CheckPortfolioManagement"</formula1>
    </dataValidation>
    <dataValidation type="list" allowBlank="1" sqref="F20">
      <formula1>"CheckDashboardPM,CheckPortfolioManagement,OpenPSTFromPM,ClosePM,FilterPM,GroupRowPM,CheckDashboardWithPM,RemoveFilterPM,CheckSummaryRowsPM,OpenPTTFromPM,,,,,,,,,,,,,,,,,,,,,,,,,,,,,,,,,,,,,,,,,,,,,,,,,,,,,,,,,,,,,,,,,,,,,,,,,,,,,,,,,,,,,,,,,,,,,,,,,,,,,,,"&amp;",,,,,,,,,,,,,,,,,,,,,,,,,,,,,,,,,,,,,,,,,,,,,,,,,,,,,,,,,,,,,,,,,,,,,,,,,,,,,,,,,,,,,,,,,,,,,,,,,,,,,,,,,,,,,,,,,,,,,,,,,,,,,,,,,,,,,,,,,,,,,,,,,,,,,,,,,,,,,,,,,,,,,,,,,,,,,,,,,,,,,,,,,,,,,,,,,,,,,,,,,,,,,,,,,,,,,,,,,,,,,,,,,,,,,,,,,,,,,,,,,,,,,,,,,,,,,,,"&amp;",,,,,,,,,,,,,,,,,,,,,,,,,,,,,,,,,,,,,,,,,,,,,,,,,,,,,,,,,,,,,,,,,,,,,,,,,,,,,,,,,,,,,,,,,,,,,,,,,,,,,,,,,,,,,,,,,,,,,,,,,,,,,,,,,"</formula1>
    </dataValidation>
    <dataValidation type="list" allowBlank="1" sqref="F67 F69 F73">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69:K69">
      <formula1>"CreateStageOrder,MultiTradingTicketFromBlotter,SendOrderUsingMTT,Copy of Data"</formula1>
    </dataValidation>
    <dataValidation type="list" allowBlank="1" sqref="F32:F34 F41:F43 F50:F51 F57:F59">
      <formula1>"BulkChangeTradeDoneAway,SendOrderUsingMTT,DoneAwayUsingMTT,SelectTradeUsingMTT,EditTradeUsingMTT,GetPriceUsingMTT,,,,,,,,,,,,,,,,,,,,,,,,,,,,,,,,,,,,,,,,,,,,,,,,,,,,,,,,,,,,,,,,,,,,,,,,,,,,,,,,,,,,,,,,,,,,,,,,,,,,,,,,,,,,,,,,,,,,,,,,,,,,,,,,,,,,,,,,,,,,,,"&amp;",,,,,,,,,,,,,,,,,,,,,,,,,,,,,,,,,,,,,,,,,,,,,,,,,,,,,,,,,,,,,,,,,,,,,,,,,,,,,,,,,,,,,,,,,,,,,,,,,,,,,,,,,,,,,,,,,,,,,,,,,,,,,,,,,,,,,,,,,,,,,,,,,,,,,,,,,,,,,,,,,,,,,,,,,,,,,,,,,,,,,,,,,,,,,,,,,,,,,,,,,,,,,,,,,,,,,,,,,,,,,,,,,,,,,,,,,,,,,,,,,,,,,,,,,,,,,,,"&amp;",,,,,,,,,,,,,,,,,,,,,,,,,,,,,,,,,,,,,,,,,,,,,,,,,,,,,,,,,,,,,,,,,,,,,,,,,,,,,,,,,,,,,,,,,,,,,,"</formula1>
    </dataValidation>
    <dataValidation type="list" allowBlank="1" sqref="H23:K29">
      <formula1>"CreateStageOrder,MultiTradingTicketFromBlotter,BulkChangeTradeDoneAway,VerifyOrder,VerifyWorkingSubs,CheckAllocatedGroups,CheckPortfolioManagement,GetDataAllocation"</formula1>
    </dataValidation>
    <dataValidation type="list" allowBlank="1" sqref="H66:K66">
      <formula1>"SelectTradeOnOrderGrid,TradeNewSubOrder,SendOrderUsingMTT,CreateStageOrder"</formula1>
    </dataValidation>
    <dataValidation type="list" allowBlank="1" sqref="H48">
      <formula1>"Data,CreateStageOrder,MultiTradingTicketFromBlotter,SelectTradeUsingMTT,EditTradeUsingMTT,DoneAwayUsingMTT,GetDataAllocation,CheckAllocatedGroups,CheckPortfolioManagement"</formula1>
    </dataValidation>
    <dataValidation type="list" allowBlank="1" sqref="H67:K67">
      <formula1>"CreateStageOrder,SendOrderUsingMTT,MultiTradingTicketFromBlotter"</formula1>
    </dataValidation>
    <dataValidation type="list" allowBlank="1" sqref="H8:K20">
      <formula1>"CreateStageOrder,MultiTradingTicketFromBlotter,SelectTradeUsingMTT1,EditTradeUsingMTT1,SelectTradeUsingMTT2,EditTradeUsingMTT2,SelectTradeUsingMTT3,EditTradeUsingMTT3,DoneAwayUsingMTT,VerifyOrder,VerifyWorkingSubs,CheckAllocatedGroups,CheckPortfolioManage"&amp;"ment,GetDataAllocation"</formula1>
    </dataValidation>
    <dataValidation type="list" allowBlank="1" sqref="H38">
      <formula1>"Copy of Data,Copy of Data_conflict1650307399,c,CreateStageOrder,Copy of Data 1,MultiTradingTicketFromBlotter,Copy of Data 2,SelectTradeUsingMTT,Copy of Data 3,EditTradeUsingMTT,Copy of Data 4,DoneAwayUsingMTT,Copy of Data 5,VerifyWorkingSubs,GetDataAlloca"&amp;"tion,Copy of Data 6,Copy of Data 7,CheckPortfolioManagement"</formula1>
    </dataValidation>
    <dataValidation type="list" allowBlank="1" sqref="H73:K73">
      <formula1>"CreateStageOrder,MultiTradingTicketFromBlotter,SendOrderUsingMTT,MultiTradingTicketFromBlotter1,EditTradeUsingMTT,SendOrderUsingMTT1,AcknowledgeTrade,Copy of Data,AcknowledgeTrade1,AcknowledgeTrade2,AcknowledgeTrade3,VerifyOrder"</formula1>
    </dataValidation>
    <dataValidation type="list" allowBlank="1" sqref="H39:H40">
      <formula1>"DoneAwayUsingMTT,CreateStageOrder,MultiTradingTicketFromBlotter,SelectTradeUsingMTT,EditTradeUsingMTT,VerifyWorkingSubs,GetDataAllocation,CheckAllocatedGroups,CheckPortfolioManagement"</formula1>
    </dataValidation>
    <dataValidation type="list" allowBlank="1" sqref="F19 F28">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AccountValueCalPref,UpdateStrategyValueCalPref,UpdateDefaultRuleCalculatePref,UpdateCalculatedPreferences,,,,,,,,,,,,,,,,,,,,,,,,,,,,,,,,,,,,,,,,,,,,,,,,,,,,,,,,,,,,,,,,,,,,,,,,,,,,"&amp;",,,,,,,,,,,,,,,,,,,,,,,,,,,,,,,,,,,,,,,,,,,,,,,,,,,,,,,,,,,,,,,,,,,,,,,,,,,,,,,,,,,,,,,,,,,,,,,,,,,,,,,,,,,,,,,,,,,,,,,,,,,,,,,,,,,,,,,,,,,,,,,,,,,,,,,,,,,,,,,,,,,,,,,,,,,,,,,,,,,,,,,,,,,,,,,,,,,,,,,,,,,,,,,,,,,,,,,,,,,,,,,,,,,,,,,,,,,,,,,,,,,,,,,,,,,,,,,"&amp;",,,,,,,,,,,,,,,,,,,,,,,,,,,,,,,,,,,,,,,,,,,,,,,,,,,,,,,,,,,,,,,,,,,,,,,,,,,,,,,,,,,"</formula1>
    </dataValidation>
    <dataValidation type="list" allowBlank="1" sqref="F30 F39 F48 F55">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7:K7">
      <formula1>"CreateStageOrder,MultiTradingTicketFromBlotter,SelectTradeUsingMTT1,EditTradeUsingMTT1,SelectTradeUsingMTT2,EditTradeUsingMTT2,SelectTradeUsingMTT3,EditTradeUsingMTT3,DoneAwayUsingMTT,VerifyOrder,VerifyWorkingSubs,CheckAllocatedGroups,CheckPortfolioManage"&amp;"ment,GetDataAllocation,Copy of Data"</formula1>
    </dataValidation>
    <dataValidation type="list" allowBlank="1" sqref="F72">
      <formula1>"SelectTrade,AcknowledgeTrade,RejectTrade,ExecuteTrade,CancelTrade,OpenLiveTT,SetManualResponse,ClearUI,,,,,,,,,,,,,,,,,,,,,,,,,,,,,,,,,,,,,,,,,,,,,,,,,,,,,,,,,,,,,,,,,,,,,,,,,,,,,,,,,,,,,,,,,,,,,,,,,,,,,,,,,,,,,,,,,,,,,,,,,,,,,,,,,,,,,,,,,,,,,,,,,,,,,,,,,"&amp;",,,,,,,,,,,,,,,,,,,,,,,,,,,,,,,,,,,,,,,,,,,,,,,,,,,,,,,,,,,,,,,,,,,,,,,,,,,,,,,,,,,,,,,,,,,,,,,,,,,,,,,,,,,,,,,,,,,,,,,,,,,,,,,,,,,,,,,,,,,,,,,,,,,,,,,,,,,,,,,,,,,,,,,,,,,,,,,,,,,,,,,,,,,,,,,,,,,,,,,,,,,,,,,,,,,,,,,,,,,,,,,,,,,,,,,,,,,,,,,,,,,,,,,,,,,,,,,"&amp;",,,,,,,,,,,,,,,,,,,,,,,,,,,,,,,,,,,,,,,,,,,,,,,,,,,,,,,,,,,,,,,,,,,,,,,,,,,,,,,,,"</formula1>
    </dataValidation>
    <dataValidation type="list" allowBlank="1" sqref="H31">
      <formula1>"Copy of Data,Copy of Data_conflict1650307399,c,CreateStageOrder,Copy of Data 1,MultiTradingTicketFromBlotter"</formula1>
    </dataValidation>
    <dataValidation type="list" allowBlank="1" sqref="F65">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H34">
      <formula1>"Copy of Data,Copy of Data_conflict1650307399,c,CreateStageOrder,Copy of Data 1,MultiTradingTicketFromBlotter,Copy of Data 2,SelectTradeUsingMTT,Copy of Data 3,EditTradeUsingMTT,Copy of Data 4,DoneAwayUsingMTT"</formula1>
    </dataValidation>
    <dataValidation type="list" allowBlank="1" sqref="H41:H47">
      <formula1>"DoneAwayUsingMTT,CreateStageOrder,MultiTradingTicketFromBlotter,SelectTradeUsingMTT,EditTradeUsingMTT,VerifyWorkingSubs,GetDataAllocation,CheckAllocatedGroups,CheckPortfolioManagement,Copy of Data"</formula1>
    </dataValidation>
    <dataValidation type="list" allowBlank="1" sqref="H70:K71">
      <formula1>"CreateStageOrder,MultiTradingTicketFromBlotter,SendOrderUsingMTT,Copy of Data,MultiTradingTicketFromBlotter1,EditTradeUsingMTT"</formula1>
    </dataValidation>
    <dataValidation type="list" allowBlank="1" sqref="D6 D21 D30 D39 D48 D55 D64:D882">
      <formula1>'_Categories'!$A$4:$A882</formula1>
    </dataValidation>
    <dataValidation type="list" allowBlank="1" sqref="H56">
      <formula1>"CreateStageOrder,MultiTradingTicketFromBlotter,SelectTradeUsingMTT,EditTradeUsingMTT,DoneAwayUsingMTT,VerifyWorkingSubs,GetDataAllocation,CheckAllocatedGroups,CheckPortfolioManagement"</formula1>
    </dataValidation>
    <dataValidation type="list" allowBlank="1" sqref="H68:K68">
      <formula1>"CreateLiveOrder,SelectTradeOnOrderGrid,TradeNewSubOrder,SendOrderUsingMTT"</formula1>
    </dataValidation>
    <dataValidation type="list" allowBlank="1" sqref="H33">
      <formula1>"Copy of Data,Copy of Data_conflict1650307399,c,CreateStageOrder,Copy of Data 1,MultiTradingTicketFromBlotter,Copy of Data 2,SelectTradeUsingMTT,Copy of Data 3,EditTradeUsingMTT"</formula1>
    </dataValidation>
    <dataValidation type="list" allowBlank="1" sqref="H37">
      <formula1>"Copy of Data,Copy of Data_conflict1650307399,c,CreateStageOrder,Copy of Data 1,MultiTradingTicketFromBlotter,Copy of Data 2,SelectTradeUsingMTT,Copy of Data 3,EditTradeUsingMTT,Copy of Data 4,DoneAwayUsingMTT,Copy of Data 5,VerifyWorkingSubs,GetDataAlloca"&amp;"tion,Copy of Data 6,Copy of Data 7,Copy of Data 8,Copy of Data 8_conflict2063615810,CheckAllocatedGroups"</formula1>
    </dataValidation>
    <dataValidation type="list" allowBlank="1" sqref="H55 H57:H63">
      <formula1>"CreateStageOrder,MultiTradingTicketFromBlotter,SelectTradeUsingMTT,EditTradeUsingMTT,DoneAwayUsingMTT,VerifySubOrder,VerifyWorkingSubs,GetDataAllocation,CheckAllocatedGroups,CheckPortfolioManagement"</formula1>
    </dataValidation>
    <dataValidation type="list" allowBlank="1" sqref="H32">
      <formula1>"Copy of Data,Copy of Data_conflict1650307399,c,CreateStageOrder,Copy of Data 1,MultiTradingTicketFromBlotter,Copy of Data 2,SelectTradeUsingMTT"</formula1>
    </dataValidation>
    <dataValidation type="list" allowBlank="1" sqref="F29 F38 F47 F54 F63">
      <formula1>"CheckDashboardPM,CheckPortfolioManagement,OpenPSTFromPM,ClosePM,OpenPTTFromPM,FilterPM,GroupRowPM,CheckDashboardWithPM,RemoveFilterPM,CheckSummaryRows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36">
      <formula1>"Copy of Data,Copy of Data_conflict1650307399,c,CreateStageOrder,Copy of Data 1,MultiTradingTicketFromBlotter,Copy of Data 2,SelectTradeUsingMTT,Copy of Data 3,EditTradeUsingMTT,Copy of Data 4,DoneAwayUsingMTT,Copy of Data 5,VerifyWorkingSubs,GetDataAlloca"&amp;"tion"</formula1>
    </dataValidation>
    <dataValidation type="list" allowBlank="1" sqref="H72:K72">
      <formula1>"CreateStageOrder,MultiTradingTicketFromBlotter,SendOrderUsingMTT,MultiTradingTicketFromBlotter1,EditTradeUsingMTT,SendOrderUsingMTT1,AcknowledgeTrade"</formula1>
    </dataValidation>
  </dataValidations>
  <hyperlinks>
    <hyperlink r:id="rId1" location="gid=137333144" ref="G7"/>
    <hyperlink r:id="rId2" location="gid=740333574" ref="G8"/>
    <hyperlink r:id="rId3" location="gid=1235418913" ref="G9"/>
    <hyperlink r:id="rId4" location="gid=1108346297" ref="G10"/>
    <hyperlink r:id="rId5" location="gid=718289586" ref="G11"/>
    <hyperlink r:id="rId6" location="gid=1290205689" ref="G12"/>
    <hyperlink r:id="rId7" location="gid=2118978057" ref="G13"/>
    <hyperlink r:id="rId8" location="gid=289074546" ref="G14"/>
    <hyperlink r:id="rId9" location="gid=973696197" ref="G15"/>
    <hyperlink r:id="rId10" location="gid=488797523" ref="G16"/>
    <hyperlink r:id="rId11" location="gid=318089701" ref="G17"/>
    <hyperlink r:id="rId12" location="gid=1348878596" ref="G18"/>
    <hyperlink r:id="rId13" location="gid=1880265295" ref="G19"/>
    <hyperlink r:id="rId14" location="gid=1581316014" ref="G20"/>
    <hyperlink r:id="rId15" location="gid=682274735" ref="G22"/>
    <hyperlink r:id="rId16" location="gid=1758321480" ref="G23"/>
    <hyperlink r:id="rId17" location="gid=1092294446" ref="G24"/>
    <hyperlink r:id="rId18" location="gid=191793513" ref="G25"/>
    <hyperlink r:id="rId19" location="gid=1939211127" ref="G26"/>
    <hyperlink r:id="rId20" location="gid=1069061358" ref="G27"/>
    <hyperlink r:id="rId21" location="gid=1220966387" ref="G28"/>
    <hyperlink r:id="rId22" location="gid=158988343" ref="G29"/>
    <hyperlink r:id="rId23" location="gid=1288677532" ref="G30"/>
    <hyperlink r:id="rId24" location="gid=1688480762" ref="G31"/>
    <hyperlink r:id="rId25" location="gid=1030207166" ref="G32"/>
    <hyperlink r:id="rId26" location="gid=1174265073" ref="G33"/>
    <hyperlink r:id="rId27" location="gid=1795962923" ref="G34"/>
    <hyperlink r:id="rId28" location="gid=1768281885" ref="G35"/>
    <hyperlink r:id="rId29" location="gid=211997371" ref="G36"/>
    <hyperlink r:id="rId30" location="gid=1164529434" ref="G37"/>
    <hyperlink r:id="rId31" location="gid=2063615810" ref="G38"/>
    <hyperlink r:id="rId32" location="gid=474350722" ref="G39"/>
    <hyperlink r:id="rId33" location="gid=1552742399" ref="G40"/>
    <hyperlink r:id="rId34" location="gid=829837136" ref="G41"/>
    <hyperlink r:id="rId35" location="gid=1808572194" ref="G42"/>
    <hyperlink r:id="rId36" location="gid=1106143879" ref="G43"/>
    <hyperlink r:id="rId37" location="gid=1300145230" ref="G44"/>
    <hyperlink r:id="rId38" location="gid=198010742" ref="G45"/>
    <hyperlink r:id="rId39" location="gid=1330325324" ref="G46"/>
    <hyperlink r:id="rId40" location="gid=233852279" ref="G47"/>
    <hyperlink r:id="rId41" location="gid=1854766391" ref="G48"/>
    <hyperlink r:id="rId42" location="gid=1306017870" ref="G49"/>
    <hyperlink r:id="rId43" location="gid=580978962" ref="G50"/>
    <hyperlink r:id="rId44" location="gid=1372689464" ref="G51"/>
    <hyperlink r:id="rId45" location="gid=1798770594" ref="G52"/>
    <hyperlink r:id="rId46" location="gid=642763484" ref="G53"/>
    <hyperlink r:id="rId47" location="gid=1974646837" ref="G54"/>
    <hyperlink r:id="rId48" location="gid=451041801" ref="G55"/>
    <hyperlink r:id="rId49" location="gid=1103550704" ref="G56"/>
    <hyperlink r:id="rId50" location="gid=932102922" ref="G57"/>
    <hyperlink r:id="rId51" location="gid=1466245318" ref="G58"/>
    <hyperlink r:id="rId52" location="gid=1272641882" ref="G59"/>
    <hyperlink r:id="rId53" location="gid=1427033992" ref="G60"/>
    <hyperlink r:id="rId54" location="gid=1112914425" ref="G61"/>
    <hyperlink r:id="rId55" location="gid=1763787350" ref="G62"/>
    <hyperlink r:id="rId56" location="gid=727478075" ref="G63"/>
  </hyperlinks>
  <drawing r:id="rId5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4.57"/>
    <col customWidth="1" min="3" max="3" width="42.71"/>
    <col customWidth="1" min="4" max="4" width="13.0"/>
    <col customWidth="1" min="5" max="5" width="20.57"/>
    <col customWidth="1" min="6" max="6" width="35.86"/>
    <col customWidth="1" min="7" max="7" width="47.0"/>
    <col customWidth="1" min="8" max="8" width="38.43"/>
    <col customWidth="1" min="9" max="9" width="25.57"/>
    <col customWidth="1" min="10" max="10" width="23.86"/>
    <col customWidth="1" min="11" max="11" width="24.57"/>
    <col customWidth="1" min="12" max="12" width="18.0"/>
    <col customWidth="1" min="13" max="34" width="14.43"/>
  </cols>
  <sheetData>
    <row r="1" ht="1.5" customHeight="1">
      <c r="A1" s="12"/>
      <c r="B1" s="12"/>
      <c r="C1" s="13"/>
      <c r="D1" s="14"/>
      <c r="E1" s="14"/>
      <c r="F1" s="14"/>
      <c r="G1" s="386"/>
      <c r="H1" s="14"/>
      <c r="I1" s="14"/>
      <c r="J1" s="12"/>
      <c r="K1" s="12"/>
      <c r="L1" s="12"/>
      <c r="M1" s="15"/>
      <c r="N1" s="15"/>
      <c r="O1" s="15"/>
      <c r="P1" s="15"/>
      <c r="Q1" s="15"/>
      <c r="R1" s="15"/>
      <c r="S1" s="15"/>
      <c r="T1" s="15"/>
      <c r="U1" s="15"/>
      <c r="V1" s="15"/>
      <c r="W1" s="15"/>
      <c r="X1" s="15"/>
      <c r="Y1" s="15"/>
      <c r="Z1" s="15"/>
      <c r="AA1" s="15"/>
      <c r="AB1" s="15"/>
      <c r="AC1" s="15"/>
      <c r="AD1" s="15"/>
      <c r="AE1" s="15"/>
      <c r="AF1" s="15"/>
      <c r="AG1" s="15"/>
      <c r="AH1" s="15"/>
    </row>
    <row r="2" ht="1.5" customHeight="1">
      <c r="A2" s="12"/>
      <c r="B2" s="12"/>
      <c r="C2" s="13"/>
      <c r="D2" s="14"/>
      <c r="E2" s="14"/>
      <c r="F2" s="14"/>
      <c r="G2" s="386"/>
      <c r="H2" s="14"/>
      <c r="I2" s="14"/>
      <c r="J2" s="12"/>
      <c r="K2" s="12"/>
      <c r="L2" s="12"/>
      <c r="M2" s="15"/>
      <c r="N2" s="15"/>
      <c r="O2" s="15"/>
      <c r="P2" s="15"/>
      <c r="Q2" s="15"/>
      <c r="R2" s="15"/>
      <c r="S2" s="15"/>
      <c r="T2" s="15"/>
      <c r="U2" s="15"/>
      <c r="V2" s="15"/>
      <c r="W2" s="15"/>
      <c r="X2" s="15"/>
      <c r="Y2" s="15"/>
      <c r="Z2" s="15"/>
      <c r="AA2" s="15"/>
      <c r="AB2" s="15"/>
      <c r="AC2" s="15"/>
      <c r="AD2" s="15"/>
      <c r="AE2" s="15"/>
      <c r="AF2" s="15"/>
      <c r="AG2" s="15"/>
      <c r="AH2" s="15"/>
    </row>
    <row r="3" ht="1.5" customHeight="1">
      <c r="A3" s="14" t="s">
        <v>5</v>
      </c>
      <c r="B3" s="14" t="s">
        <v>5</v>
      </c>
      <c r="C3" s="13" t="s">
        <v>6</v>
      </c>
      <c r="J3" s="12"/>
      <c r="K3" s="12"/>
      <c r="L3" s="12"/>
      <c r="M3" s="15"/>
      <c r="N3" s="15"/>
      <c r="O3" s="15"/>
      <c r="P3" s="15"/>
      <c r="Q3" s="15"/>
      <c r="R3" s="15"/>
      <c r="S3" s="15"/>
      <c r="T3" s="15"/>
      <c r="U3" s="15"/>
      <c r="V3" s="15"/>
      <c r="W3" s="15"/>
      <c r="X3" s="15"/>
      <c r="Y3" s="15"/>
      <c r="Z3" s="15"/>
      <c r="AA3" s="15"/>
      <c r="AB3" s="15"/>
      <c r="AC3" s="15"/>
      <c r="AD3" s="15"/>
      <c r="AE3" s="15"/>
      <c r="AF3" s="15"/>
      <c r="AG3" s="15"/>
      <c r="AH3" s="15"/>
    </row>
    <row r="4" ht="17.25" customHeight="1">
      <c r="A4" s="20"/>
      <c r="B4" s="20"/>
      <c r="C4" s="21"/>
      <c r="D4" s="20"/>
      <c r="E4" s="20"/>
      <c r="F4" s="20"/>
      <c r="G4" s="387"/>
      <c r="H4" s="20"/>
      <c r="I4" s="20"/>
      <c r="J4" s="20"/>
      <c r="K4" s="20"/>
      <c r="L4" s="20"/>
      <c r="M4" s="15"/>
      <c r="N4" s="15"/>
      <c r="O4" s="15"/>
      <c r="P4" s="15"/>
      <c r="Q4" s="15"/>
      <c r="R4" s="15"/>
      <c r="S4" s="15"/>
      <c r="T4" s="15"/>
      <c r="U4" s="15"/>
      <c r="V4" s="15"/>
      <c r="W4" s="15"/>
      <c r="X4" s="15"/>
      <c r="Y4" s="15"/>
      <c r="Z4" s="15"/>
      <c r="AA4" s="15"/>
      <c r="AB4" s="15"/>
      <c r="AC4" s="15"/>
      <c r="AD4" s="15"/>
      <c r="AE4" s="15"/>
      <c r="AF4" s="15"/>
      <c r="AG4" s="15"/>
      <c r="AH4" s="15"/>
    </row>
    <row r="5" ht="16.5" customHeight="1">
      <c r="A5" s="22" t="s">
        <v>5</v>
      </c>
      <c r="B5" s="22" t="s">
        <v>7</v>
      </c>
      <c r="C5" s="228" t="s">
        <v>8</v>
      </c>
      <c r="D5" s="22" t="s">
        <v>9</v>
      </c>
      <c r="E5" s="22" t="s">
        <v>10</v>
      </c>
      <c r="F5" s="22" t="s">
        <v>11</v>
      </c>
      <c r="G5" s="388" t="s">
        <v>12</v>
      </c>
      <c r="H5" s="229" t="s">
        <v>13</v>
      </c>
      <c r="I5" s="22" t="s">
        <v>14</v>
      </c>
      <c r="J5" s="22" t="s">
        <v>15</v>
      </c>
      <c r="K5" s="22" t="s">
        <v>16</v>
      </c>
      <c r="L5" s="22" t="s">
        <v>17</v>
      </c>
      <c r="M5" s="15"/>
      <c r="N5" s="15"/>
      <c r="O5" s="15"/>
      <c r="P5" s="15"/>
      <c r="Q5" s="15"/>
      <c r="R5" s="15"/>
      <c r="S5" s="15"/>
      <c r="T5" s="15"/>
      <c r="U5" s="15"/>
      <c r="V5" s="15"/>
      <c r="W5" s="15"/>
      <c r="X5" s="15"/>
      <c r="Y5" s="15"/>
      <c r="Z5" s="15"/>
      <c r="AA5" s="15"/>
      <c r="AB5" s="15"/>
      <c r="AC5" s="15"/>
      <c r="AD5" s="15"/>
      <c r="AE5" s="15"/>
      <c r="AF5" s="15"/>
      <c r="AG5" s="15"/>
      <c r="AH5" s="15"/>
    </row>
    <row r="6" ht="16.5" customHeight="1">
      <c r="A6" s="32" t="s">
        <v>5</v>
      </c>
      <c r="B6" s="344" t="s">
        <v>4317</v>
      </c>
      <c r="C6" s="83" t="s">
        <v>4318</v>
      </c>
      <c r="D6" s="348" t="s">
        <v>42</v>
      </c>
      <c r="E6" s="28" t="s">
        <v>88</v>
      </c>
      <c r="F6" s="38" t="s">
        <v>89</v>
      </c>
      <c r="G6" s="69"/>
      <c r="H6" s="38"/>
      <c r="I6" s="31"/>
      <c r="J6" s="31"/>
      <c r="K6" s="11"/>
      <c r="L6" s="11"/>
      <c r="M6" s="15"/>
      <c r="N6" s="15"/>
      <c r="O6" s="15"/>
      <c r="P6" s="15"/>
      <c r="Q6" s="15"/>
      <c r="R6" s="15"/>
      <c r="S6" s="15"/>
      <c r="T6" s="15"/>
      <c r="U6" s="15"/>
      <c r="V6" s="15"/>
      <c r="W6" s="15"/>
      <c r="X6" s="15"/>
      <c r="Y6" s="15"/>
      <c r="Z6" s="15"/>
      <c r="AA6" s="15"/>
      <c r="AB6" s="15"/>
      <c r="AC6" s="15"/>
      <c r="AD6" s="15"/>
      <c r="AE6" s="15"/>
      <c r="AF6" s="15"/>
      <c r="AG6" s="15"/>
      <c r="AH6" s="15"/>
    </row>
    <row r="7" ht="16.5" customHeight="1">
      <c r="A7" s="32" t="s">
        <v>5</v>
      </c>
      <c r="E7" s="28" t="s">
        <v>88</v>
      </c>
      <c r="F7" s="38" t="s">
        <v>154</v>
      </c>
      <c r="G7" s="149" t="s">
        <v>4319</v>
      </c>
      <c r="H7" s="35" t="s">
        <v>154</v>
      </c>
      <c r="I7" s="36"/>
      <c r="J7" s="36"/>
      <c r="L7" s="11"/>
      <c r="M7" s="15"/>
      <c r="N7" s="15"/>
      <c r="O7" s="15"/>
      <c r="P7" s="15"/>
      <c r="Q7" s="15"/>
      <c r="R7" s="15"/>
      <c r="S7" s="15"/>
      <c r="T7" s="15"/>
      <c r="U7" s="15"/>
      <c r="V7" s="15"/>
      <c r="W7" s="15"/>
      <c r="X7" s="15"/>
      <c r="Y7" s="15"/>
      <c r="Z7" s="15"/>
      <c r="AA7" s="15"/>
      <c r="AB7" s="15"/>
      <c r="AC7" s="15"/>
      <c r="AD7" s="15"/>
      <c r="AE7" s="15"/>
      <c r="AF7" s="15"/>
      <c r="AG7" s="15"/>
      <c r="AH7" s="15"/>
    </row>
    <row r="8" ht="16.5" customHeight="1">
      <c r="A8" s="32" t="s">
        <v>5</v>
      </c>
      <c r="E8" s="32" t="s">
        <v>88</v>
      </c>
      <c r="F8" s="35" t="s">
        <v>859</v>
      </c>
      <c r="G8" s="159" t="s">
        <v>4320</v>
      </c>
      <c r="H8" s="485" t="s">
        <v>859</v>
      </c>
      <c r="L8" s="11"/>
      <c r="M8" s="15"/>
      <c r="N8" s="15"/>
      <c r="O8" s="15"/>
      <c r="P8" s="15"/>
      <c r="Q8" s="15"/>
      <c r="R8" s="15"/>
      <c r="S8" s="15"/>
      <c r="T8" s="15"/>
      <c r="U8" s="15"/>
      <c r="V8" s="15"/>
      <c r="W8" s="15"/>
      <c r="X8" s="15"/>
      <c r="Y8" s="15"/>
      <c r="Z8" s="15"/>
      <c r="AA8" s="15"/>
      <c r="AB8" s="15"/>
      <c r="AC8" s="15"/>
      <c r="AD8" s="15"/>
      <c r="AE8" s="15"/>
      <c r="AF8" s="15"/>
      <c r="AG8" s="15"/>
      <c r="AH8" s="15"/>
    </row>
    <row r="9" ht="16.5" customHeight="1">
      <c r="A9" s="32" t="s">
        <v>5</v>
      </c>
      <c r="E9" s="32" t="s">
        <v>88</v>
      </c>
      <c r="F9" s="35" t="s">
        <v>879</v>
      </c>
      <c r="G9" s="159" t="s">
        <v>4321</v>
      </c>
      <c r="H9" s="485" t="s">
        <v>879</v>
      </c>
      <c r="L9" s="11"/>
      <c r="M9" s="15"/>
      <c r="N9" s="15"/>
      <c r="O9" s="15"/>
      <c r="P9" s="15"/>
      <c r="Q9" s="15"/>
      <c r="R9" s="15"/>
      <c r="S9" s="15"/>
      <c r="T9" s="15"/>
      <c r="U9" s="15"/>
      <c r="V9" s="15"/>
      <c r="W9" s="15"/>
      <c r="X9" s="15"/>
      <c r="Y9" s="15"/>
      <c r="Z9" s="15"/>
      <c r="AA9" s="15"/>
      <c r="AB9" s="15"/>
      <c r="AC9" s="15"/>
      <c r="AD9" s="15"/>
      <c r="AE9" s="15"/>
      <c r="AF9" s="15"/>
      <c r="AG9" s="15"/>
      <c r="AH9" s="15"/>
    </row>
    <row r="10" ht="16.5" customHeight="1">
      <c r="A10" s="32" t="s">
        <v>5</v>
      </c>
      <c r="E10" s="32" t="s">
        <v>88</v>
      </c>
      <c r="F10" s="35" t="s">
        <v>877</v>
      </c>
      <c r="G10" s="159" t="s">
        <v>4322</v>
      </c>
      <c r="H10" s="485" t="s">
        <v>877</v>
      </c>
      <c r="L10" s="11"/>
      <c r="M10" s="15"/>
      <c r="N10" s="15"/>
      <c r="O10" s="15"/>
      <c r="P10" s="15"/>
      <c r="Q10" s="15"/>
      <c r="R10" s="15"/>
      <c r="S10" s="15"/>
      <c r="T10" s="15"/>
      <c r="U10" s="15"/>
      <c r="V10" s="15"/>
      <c r="W10" s="15"/>
      <c r="X10" s="15"/>
      <c r="Y10" s="15"/>
      <c r="Z10" s="15"/>
      <c r="AA10" s="15"/>
      <c r="AB10" s="15"/>
      <c r="AC10" s="15"/>
      <c r="AD10" s="15"/>
      <c r="AE10" s="15"/>
      <c r="AF10" s="15"/>
      <c r="AG10" s="15"/>
      <c r="AH10" s="15"/>
    </row>
    <row r="11" ht="16.5" customHeight="1">
      <c r="A11" s="32" t="s">
        <v>5</v>
      </c>
      <c r="E11" s="28" t="s">
        <v>88</v>
      </c>
      <c r="F11" s="8" t="s">
        <v>870</v>
      </c>
      <c r="G11" s="149" t="s">
        <v>4323</v>
      </c>
      <c r="H11" s="485" t="s">
        <v>870</v>
      </c>
      <c r="L11" s="11"/>
      <c r="M11" s="15"/>
      <c r="N11" s="15"/>
      <c r="O11" s="15"/>
      <c r="P11" s="15"/>
      <c r="Q11" s="15"/>
      <c r="R11" s="15"/>
      <c r="S11" s="15"/>
      <c r="T11" s="15"/>
      <c r="U11" s="15"/>
      <c r="V11" s="15"/>
      <c r="W11" s="15"/>
      <c r="X11" s="15"/>
      <c r="Y11" s="15"/>
      <c r="Z11" s="15"/>
      <c r="AA11" s="15"/>
      <c r="AB11" s="15"/>
      <c r="AC11" s="15"/>
      <c r="AD11" s="15"/>
      <c r="AE11" s="15"/>
      <c r="AF11" s="15"/>
      <c r="AG11" s="15"/>
      <c r="AH11" s="15"/>
    </row>
    <row r="12" ht="16.5" customHeight="1">
      <c r="A12" s="32" t="s">
        <v>5</v>
      </c>
      <c r="E12" s="28" t="s">
        <v>88</v>
      </c>
      <c r="F12" s="38" t="s">
        <v>881</v>
      </c>
      <c r="G12" s="149" t="s">
        <v>4324</v>
      </c>
      <c r="H12" s="485" t="s">
        <v>881</v>
      </c>
      <c r="L12" s="11"/>
      <c r="M12" s="15"/>
      <c r="N12" s="15"/>
      <c r="O12" s="15"/>
      <c r="P12" s="15"/>
      <c r="Q12" s="15"/>
      <c r="R12" s="15"/>
      <c r="S12" s="15"/>
      <c r="T12" s="15"/>
      <c r="U12" s="15"/>
      <c r="V12" s="15"/>
      <c r="W12" s="15"/>
      <c r="X12" s="15"/>
      <c r="Y12" s="15"/>
      <c r="Z12" s="15"/>
      <c r="AA12" s="15"/>
      <c r="AB12" s="15"/>
      <c r="AC12" s="15"/>
      <c r="AD12" s="15"/>
      <c r="AE12" s="15"/>
      <c r="AF12" s="15"/>
      <c r="AG12" s="15"/>
      <c r="AH12" s="15"/>
    </row>
    <row r="13" ht="16.5" customHeight="1">
      <c r="A13" s="32" t="s">
        <v>5</v>
      </c>
      <c r="E13" s="28" t="s">
        <v>88</v>
      </c>
      <c r="F13" s="28" t="s">
        <v>875</v>
      </c>
      <c r="G13" s="149" t="s">
        <v>4325</v>
      </c>
      <c r="H13" s="35" t="s">
        <v>875</v>
      </c>
      <c r="L13" s="11"/>
      <c r="M13" s="15"/>
      <c r="N13" s="15"/>
      <c r="O13" s="15"/>
      <c r="P13" s="15"/>
      <c r="Q13" s="15"/>
      <c r="R13" s="15"/>
      <c r="S13" s="15"/>
      <c r="T13" s="15"/>
      <c r="U13" s="15"/>
      <c r="V13" s="15"/>
      <c r="W13" s="15"/>
      <c r="X13" s="15"/>
      <c r="Y13" s="15"/>
      <c r="Z13" s="15"/>
      <c r="AA13" s="15"/>
      <c r="AB13" s="15"/>
      <c r="AC13" s="15"/>
      <c r="AD13" s="15"/>
      <c r="AE13" s="15"/>
      <c r="AF13" s="15"/>
      <c r="AG13" s="15"/>
      <c r="AH13" s="15"/>
    </row>
    <row r="14" ht="16.5" customHeight="1">
      <c r="A14" s="32" t="s">
        <v>5</v>
      </c>
      <c r="E14" s="8" t="s">
        <v>88</v>
      </c>
      <c r="F14" s="8" t="s">
        <v>872</v>
      </c>
      <c r="G14" s="149" t="s">
        <v>4326</v>
      </c>
      <c r="H14" s="35" t="s">
        <v>846</v>
      </c>
      <c r="I14" s="35" t="s">
        <v>852</v>
      </c>
      <c r="L14" s="11"/>
      <c r="M14" s="15"/>
      <c r="N14" s="15"/>
      <c r="O14" s="15"/>
      <c r="P14" s="15"/>
      <c r="Q14" s="15"/>
      <c r="R14" s="15"/>
      <c r="S14" s="15"/>
      <c r="T14" s="15"/>
      <c r="U14" s="15"/>
      <c r="V14" s="15"/>
      <c r="W14" s="15"/>
      <c r="X14" s="15"/>
      <c r="Y14" s="15"/>
      <c r="Z14" s="15"/>
      <c r="AA14" s="15"/>
      <c r="AB14" s="15"/>
      <c r="AC14" s="15"/>
      <c r="AD14" s="15"/>
      <c r="AE14" s="15"/>
      <c r="AF14" s="15"/>
      <c r="AG14" s="15"/>
      <c r="AH14" s="15"/>
    </row>
    <row r="15" ht="16.5" customHeight="1">
      <c r="A15" s="32" t="s">
        <v>5</v>
      </c>
      <c r="E15" s="8" t="s">
        <v>88</v>
      </c>
      <c r="F15" s="8" t="s">
        <v>875</v>
      </c>
      <c r="G15" s="149" t="s">
        <v>4327</v>
      </c>
      <c r="H15" s="35" t="s">
        <v>4328</v>
      </c>
      <c r="I15" s="36"/>
      <c r="L15" s="11"/>
      <c r="M15" s="15"/>
      <c r="N15" s="15"/>
      <c r="O15" s="15"/>
      <c r="P15" s="15"/>
      <c r="Q15" s="15"/>
      <c r="R15" s="15"/>
      <c r="S15" s="15"/>
      <c r="T15" s="15"/>
      <c r="U15" s="15"/>
      <c r="V15" s="15"/>
      <c r="W15" s="15"/>
      <c r="X15" s="15"/>
      <c r="Y15" s="15"/>
      <c r="Z15" s="15"/>
      <c r="AA15" s="15"/>
      <c r="AB15" s="15"/>
      <c r="AC15" s="15"/>
      <c r="AD15" s="15"/>
      <c r="AE15" s="15"/>
      <c r="AF15" s="15"/>
      <c r="AG15" s="15"/>
      <c r="AH15" s="15"/>
    </row>
    <row r="16" ht="16.5" customHeight="1">
      <c r="A16" s="32" t="s">
        <v>5</v>
      </c>
      <c r="E16" s="8" t="s">
        <v>88</v>
      </c>
      <c r="F16" s="8" t="s">
        <v>872</v>
      </c>
      <c r="G16" s="149" t="s">
        <v>4329</v>
      </c>
      <c r="H16" s="35" t="s">
        <v>1075</v>
      </c>
      <c r="I16" s="36"/>
      <c r="L16" s="11"/>
      <c r="M16" s="15"/>
      <c r="N16" s="15"/>
      <c r="O16" s="15"/>
      <c r="P16" s="15"/>
      <c r="Q16" s="15"/>
      <c r="R16" s="15"/>
      <c r="S16" s="15"/>
      <c r="T16" s="15"/>
      <c r="U16" s="15"/>
      <c r="V16" s="15"/>
      <c r="W16" s="15"/>
      <c r="X16" s="15"/>
      <c r="Y16" s="15"/>
      <c r="Z16" s="15"/>
      <c r="AA16" s="15"/>
      <c r="AB16" s="15"/>
      <c r="AC16" s="15"/>
      <c r="AD16" s="15"/>
      <c r="AE16" s="15"/>
      <c r="AF16" s="15"/>
      <c r="AG16" s="15"/>
      <c r="AH16" s="15"/>
    </row>
    <row r="17" ht="16.5" customHeight="1">
      <c r="A17" s="32" t="s">
        <v>5</v>
      </c>
      <c r="E17" s="8" t="s">
        <v>88</v>
      </c>
      <c r="F17" s="8" t="s">
        <v>869</v>
      </c>
      <c r="G17" s="155"/>
      <c r="H17" s="36"/>
      <c r="L17" s="11"/>
      <c r="M17" s="15"/>
      <c r="N17" s="15"/>
      <c r="O17" s="15"/>
      <c r="P17" s="15"/>
      <c r="Q17" s="15"/>
      <c r="R17" s="15"/>
      <c r="S17" s="15"/>
      <c r="T17" s="15"/>
      <c r="U17" s="15"/>
      <c r="V17" s="15"/>
      <c r="W17" s="15"/>
      <c r="X17" s="15"/>
      <c r="Y17" s="15"/>
      <c r="Z17" s="15"/>
      <c r="AA17" s="15"/>
      <c r="AB17" s="15"/>
      <c r="AC17" s="15"/>
      <c r="AD17" s="15"/>
      <c r="AE17" s="15"/>
      <c r="AF17" s="15"/>
      <c r="AG17" s="15"/>
      <c r="AH17" s="15"/>
    </row>
    <row r="18" ht="16.5" customHeight="1">
      <c r="A18" s="32" t="s">
        <v>5</v>
      </c>
      <c r="E18" s="8" t="s">
        <v>21</v>
      </c>
      <c r="F18" s="8" t="s">
        <v>51</v>
      </c>
      <c r="G18" s="149" t="s">
        <v>4330</v>
      </c>
      <c r="H18" s="485" t="s">
        <v>51</v>
      </c>
      <c r="L18" s="11"/>
      <c r="M18" s="15"/>
      <c r="N18" s="15"/>
      <c r="O18" s="15"/>
      <c r="P18" s="15"/>
      <c r="Q18" s="15"/>
      <c r="R18" s="15"/>
      <c r="S18" s="15"/>
      <c r="T18" s="15"/>
      <c r="U18" s="15"/>
      <c r="V18" s="15"/>
      <c r="W18" s="15"/>
      <c r="X18" s="15"/>
      <c r="Y18" s="15"/>
      <c r="Z18" s="15"/>
      <c r="AA18" s="15"/>
      <c r="AB18" s="15"/>
      <c r="AC18" s="15"/>
      <c r="AD18" s="15"/>
      <c r="AE18" s="15"/>
      <c r="AF18" s="15"/>
      <c r="AG18" s="15"/>
      <c r="AH18" s="15"/>
    </row>
    <row r="19" ht="16.5" customHeight="1">
      <c r="A19" s="32" t="s">
        <v>5</v>
      </c>
      <c r="E19" s="8" t="s">
        <v>88</v>
      </c>
      <c r="F19" s="8" t="s">
        <v>95</v>
      </c>
      <c r="G19" s="149" t="s">
        <v>4331</v>
      </c>
      <c r="H19" s="485" t="s">
        <v>95</v>
      </c>
      <c r="L19" s="11"/>
      <c r="M19" s="15"/>
      <c r="N19" s="15"/>
      <c r="O19" s="15"/>
      <c r="P19" s="15"/>
      <c r="Q19" s="15"/>
      <c r="R19" s="15"/>
      <c r="S19" s="15"/>
      <c r="T19" s="15"/>
      <c r="U19" s="15"/>
      <c r="V19" s="15"/>
      <c r="W19" s="15"/>
      <c r="X19" s="15"/>
      <c r="Y19" s="15"/>
      <c r="Z19" s="15"/>
      <c r="AA19" s="15"/>
      <c r="AB19" s="15"/>
      <c r="AC19" s="15"/>
      <c r="AD19" s="15"/>
      <c r="AE19" s="15"/>
      <c r="AF19" s="15"/>
      <c r="AG19" s="15"/>
      <c r="AH19" s="15"/>
    </row>
    <row r="20" ht="16.5" customHeight="1">
      <c r="A20" s="32" t="s">
        <v>5</v>
      </c>
      <c r="E20" s="8" t="s">
        <v>88</v>
      </c>
      <c r="F20" s="8" t="s">
        <v>96</v>
      </c>
      <c r="G20" s="149" t="s">
        <v>4332</v>
      </c>
      <c r="H20" s="485" t="s">
        <v>96</v>
      </c>
      <c r="L20" s="11"/>
      <c r="M20" s="15"/>
      <c r="N20" s="15"/>
      <c r="O20" s="15"/>
      <c r="P20" s="15"/>
      <c r="Q20" s="15"/>
      <c r="R20" s="15"/>
      <c r="S20" s="15"/>
      <c r="T20" s="15"/>
      <c r="U20" s="15"/>
      <c r="V20" s="15"/>
      <c r="W20" s="15"/>
      <c r="X20" s="15"/>
      <c r="Y20" s="15"/>
      <c r="Z20" s="15"/>
      <c r="AA20" s="15"/>
      <c r="AB20" s="15"/>
      <c r="AC20" s="15"/>
      <c r="AD20" s="15"/>
      <c r="AE20" s="15"/>
      <c r="AF20" s="15"/>
      <c r="AG20" s="15"/>
      <c r="AH20" s="15"/>
    </row>
    <row r="21" ht="16.5" customHeight="1">
      <c r="A21" s="32" t="s">
        <v>5</v>
      </c>
      <c r="E21" s="8" t="s">
        <v>86</v>
      </c>
      <c r="F21" s="8" t="s">
        <v>90</v>
      </c>
      <c r="G21" s="149" t="s">
        <v>4333</v>
      </c>
      <c r="H21" s="485" t="s">
        <v>90</v>
      </c>
      <c r="L21" s="11"/>
      <c r="M21" s="15"/>
      <c r="N21" s="15"/>
      <c r="O21" s="15"/>
      <c r="P21" s="15"/>
      <c r="Q21" s="15"/>
      <c r="R21" s="15"/>
      <c r="S21" s="15"/>
      <c r="T21" s="15"/>
      <c r="U21" s="15"/>
      <c r="V21" s="15"/>
      <c r="W21" s="15"/>
      <c r="X21" s="15"/>
      <c r="Y21" s="15"/>
      <c r="Z21" s="15"/>
      <c r="AA21" s="15"/>
      <c r="AB21" s="15"/>
      <c r="AC21" s="15"/>
      <c r="AD21" s="15"/>
      <c r="AE21" s="15"/>
      <c r="AF21" s="15"/>
      <c r="AG21" s="15"/>
      <c r="AH21" s="15"/>
    </row>
    <row r="22" ht="16.5" customHeight="1">
      <c r="A22" s="32" t="s">
        <v>5</v>
      </c>
      <c r="E22" s="8" t="s">
        <v>86</v>
      </c>
      <c r="F22" s="8" t="s">
        <v>91</v>
      </c>
      <c r="G22" s="149" t="s">
        <v>4334</v>
      </c>
      <c r="H22" s="485" t="s">
        <v>91</v>
      </c>
      <c r="L22" s="11"/>
      <c r="M22" s="15"/>
      <c r="N22" s="15"/>
      <c r="O22" s="15"/>
      <c r="P22" s="15"/>
      <c r="Q22" s="15"/>
      <c r="R22" s="15"/>
      <c r="S22" s="15"/>
      <c r="T22" s="15"/>
      <c r="U22" s="15"/>
      <c r="V22" s="15"/>
      <c r="W22" s="15"/>
      <c r="X22" s="15"/>
      <c r="Y22" s="15"/>
      <c r="Z22" s="15"/>
      <c r="AA22" s="15"/>
      <c r="AB22" s="15"/>
      <c r="AC22" s="15"/>
      <c r="AD22" s="15"/>
      <c r="AE22" s="15"/>
      <c r="AF22" s="15"/>
      <c r="AG22" s="15"/>
      <c r="AH22" s="15"/>
    </row>
    <row r="23" ht="16.5" customHeight="1">
      <c r="A23" s="32" t="s">
        <v>5</v>
      </c>
      <c r="E23" s="28" t="s">
        <v>86</v>
      </c>
      <c r="F23" s="8" t="s">
        <v>338</v>
      </c>
      <c r="G23" s="149" t="s">
        <v>4335</v>
      </c>
      <c r="H23" s="485" t="s">
        <v>338</v>
      </c>
      <c r="L23" s="11"/>
      <c r="M23" s="15"/>
      <c r="N23" s="15"/>
      <c r="O23" s="15"/>
      <c r="P23" s="15"/>
      <c r="Q23" s="15"/>
      <c r="R23" s="15"/>
      <c r="S23" s="15"/>
      <c r="T23" s="15"/>
      <c r="U23" s="15"/>
      <c r="V23" s="15"/>
      <c r="W23" s="15"/>
      <c r="X23" s="15"/>
      <c r="Y23" s="15"/>
      <c r="Z23" s="15"/>
      <c r="AA23" s="15"/>
      <c r="AB23" s="15"/>
      <c r="AC23" s="15"/>
      <c r="AD23" s="15"/>
      <c r="AE23" s="15"/>
      <c r="AF23" s="15"/>
      <c r="AG23" s="15"/>
      <c r="AH23" s="15"/>
    </row>
    <row r="24" ht="16.5" customHeight="1">
      <c r="A24" s="32" t="s">
        <v>5</v>
      </c>
      <c r="E24" s="28" t="s">
        <v>88</v>
      </c>
      <c r="F24" s="28" t="s">
        <v>795</v>
      </c>
      <c r="G24" s="155"/>
      <c r="H24" s="36"/>
      <c r="L24" s="11"/>
      <c r="M24" s="15"/>
      <c r="N24" s="15"/>
      <c r="O24" s="15"/>
      <c r="P24" s="15"/>
      <c r="Q24" s="15"/>
      <c r="R24" s="15"/>
      <c r="S24" s="15"/>
      <c r="T24" s="15"/>
      <c r="U24" s="15"/>
      <c r="V24" s="15"/>
      <c r="W24" s="15"/>
      <c r="X24" s="15"/>
      <c r="Y24" s="15"/>
      <c r="Z24" s="15"/>
      <c r="AA24" s="15"/>
      <c r="AB24" s="15"/>
      <c r="AC24" s="15"/>
      <c r="AD24" s="15"/>
      <c r="AE24" s="15"/>
      <c r="AF24" s="15"/>
      <c r="AG24" s="15"/>
      <c r="AH24" s="15"/>
    </row>
    <row r="25" ht="16.5" customHeight="1">
      <c r="A25" s="32" t="s">
        <v>5</v>
      </c>
      <c r="B25" s="344" t="s">
        <v>4336</v>
      </c>
      <c r="C25" s="57" t="s">
        <v>4337</v>
      </c>
      <c r="D25" s="348" t="s">
        <v>42</v>
      </c>
      <c r="E25" s="8" t="s">
        <v>88</v>
      </c>
      <c r="F25" s="173" t="s">
        <v>89</v>
      </c>
      <c r="G25" s="155"/>
      <c r="H25" s="485"/>
      <c r="L25" s="11"/>
      <c r="M25" s="15"/>
      <c r="N25" s="15"/>
      <c r="O25" s="15"/>
      <c r="P25" s="15"/>
      <c r="Q25" s="15"/>
      <c r="R25" s="15"/>
      <c r="S25" s="15"/>
      <c r="T25" s="15"/>
      <c r="U25" s="15"/>
      <c r="V25" s="15"/>
      <c r="W25" s="15"/>
      <c r="X25" s="15"/>
      <c r="Y25" s="15"/>
      <c r="Z25" s="15"/>
      <c r="AA25" s="15"/>
      <c r="AB25" s="15"/>
      <c r="AC25" s="15"/>
      <c r="AD25" s="15"/>
      <c r="AE25" s="15"/>
      <c r="AF25" s="15"/>
      <c r="AG25" s="15"/>
      <c r="AH25" s="15"/>
    </row>
    <row r="26" ht="16.5" customHeight="1">
      <c r="A26" s="32" t="s">
        <v>5</v>
      </c>
      <c r="E26" s="8" t="s">
        <v>21</v>
      </c>
      <c r="F26" s="8" t="s">
        <v>51</v>
      </c>
      <c r="G26" s="149" t="s">
        <v>4338</v>
      </c>
      <c r="H26" s="485" t="s">
        <v>51</v>
      </c>
      <c r="L26" s="11"/>
      <c r="M26" s="15"/>
      <c r="N26" s="15"/>
      <c r="O26" s="15"/>
      <c r="P26" s="15"/>
      <c r="Q26" s="15"/>
      <c r="R26" s="15"/>
      <c r="S26" s="15"/>
      <c r="T26" s="15"/>
      <c r="U26" s="15"/>
      <c r="V26" s="15"/>
      <c r="W26" s="15"/>
      <c r="X26" s="15"/>
      <c r="Y26" s="15"/>
      <c r="Z26" s="15"/>
      <c r="AA26" s="15"/>
      <c r="AB26" s="15"/>
      <c r="AC26" s="15"/>
      <c r="AD26" s="15"/>
      <c r="AE26" s="15"/>
      <c r="AF26" s="15"/>
      <c r="AG26" s="15"/>
      <c r="AH26" s="15"/>
    </row>
    <row r="27" ht="16.5" customHeight="1">
      <c r="A27" s="32" t="s">
        <v>5</v>
      </c>
      <c r="E27" s="8" t="s">
        <v>88</v>
      </c>
      <c r="F27" s="8" t="s">
        <v>154</v>
      </c>
      <c r="G27" s="149" t="s">
        <v>4339</v>
      </c>
      <c r="H27" s="8" t="s">
        <v>154</v>
      </c>
      <c r="I27" s="9"/>
      <c r="J27" s="9"/>
      <c r="K27" s="11"/>
      <c r="L27" s="11"/>
      <c r="M27" s="15"/>
      <c r="N27" s="15"/>
      <c r="O27" s="15"/>
      <c r="P27" s="15"/>
      <c r="Q27" s="15"/>
      <c r="R27" s="15"/>
      <c r="S27" s="15"/>
      <c r="T27" s="15"/>
      <c r="U27" s="15"/>
      <c r="V27" s="15"/>
      <c r="W27" s="15"/>
      <c r="X27" s="15"/>
      <c r="Y27" s="15"/>
      <c r="Z27" s="15"/>
      <c r="AA27" s="15"/>
      <c r="AB27" s="15"/>
      <c r="AC27" s="15"/>
      <c r="AD27" s="15"/>
      <c r="AE27" s="15"/>
      <c r="AF27" s="15"/>
      <c r="AG27" s="15"/>
      <c r="AH27" s="15"/>
    </row>
    <row r="28" ht="16.5" customHeight="1">
      <c r="A28" s="32" t="s">
        <v>5</v>
      </c>
      <c r="E28" s="8" t="s">
        <v>88</v>
      </c>
      <c r="F28" s="8" t="s">
        <v>859</v>
      </c>
      <c r="G28" s="149" t="s">
        <v>4340</v>
      </c>
      <c r="H28" s="8" t="s">
        <v>859</v>
      </c>
      <c r="I28" s="9"/>
      <c r="J28" s="9"/>
      <c r="K28" s="11"/>
      <c r="L28" s="11"/>
      <c r="M28" s="15"/>
      <c r="N28" s="15"/>
      <c r="O28" s="15"/>
      <c r="P28" s="15"/>
      <c r="Q28" s="15"/>
      <c r="R28" s="15"/>
      <c r="S28" s="15"/>
      <c r="T28" s="15"/>
      <c r="U28" s="15"/>
      <c r="V28" s="15"/>
      <c r="W28" s="15"/>
      <c r="X28" s="15"/>
      <c r="Y28" s="15"/>
      <c r="Z28" s="15"/>
      <c r="AA28" s="15"/>
      <c r="AB28" s="15"/>
      <c r="AC28" s="15"/>
      <c r="AD28" s="15"/>
      <c r="AE28" s="15"/>
      <c r="AF28" s="15"/>
      <c r="AG28" s="15"/>
      <c r="AH28" s="15"/>
    </row>
    <row r="29" ht="16.5" customHeight="1">
      <c r="A29" s="32" t="s">
        <v>5</v>
      </c>
      <c r="E29" s="8" t="s">
        <v>88</v>
      </c>
      <c r="F29" s="8" t="s">
        <v>879</v>
      </c>
      <c r="G29" s="149" t="s">
        <v>4341</v>
      </c>
      <c r="H29" s="35" t="s">
        <v>879</v>
      </c>
      <c r="L29" s="11"/>
      <c r="M29" s="15"/>
      <c r="N29" s="15"/>
      <c r="O29" s="15"/>
      <c r="P29" s="15"/>
      <c r="Q29" s="15"/>
      <c r="R29" s="15"/>
      <c r="S29" s="15"/>
      <c r="T29" s="15"/>
      <c r="U29" s="15"/>
      <c r="V29" s="15"/>
      <c r="W29" s="15"/>
      <c r="X29" s="15"/>
      <c r="Y29" s="15"/>
      <c r="Z29" s="15"/>
      <c r="AA29" s="15"/>
      <c r="AB29" s="15"/>
      <c r="AC29" s="15"/>
      <c r="AD29" s="15"/>
      <c r="AE29" s="15"/>
      <c r="AF29" s="15"/>
      <c r="AG29" s="15"/>
      <c r="AH29" s="15"/>
    </row>
    <row r="30" ht="16.5" customHeight="1">
      <c r="A30" s="32" t="s">
        <v>5</v>
      </c>
      <c r="E30" s="8" t="s">
        <v>88</v>
      </c>
      <c r="F30" s="8" t="s">
        <v>877</v>
      </c>
      <c r="G30" s="149" t="s">
        <v>4342</v>
      </c>
      <c r="H30" s="35" t="s">
        <v>877</v>
      </c>
      <c r="L30" s="11"/>
      <c r="M30" s="15"/>
      <c r="N30" s="15"/>
      <c r="O30" s="15"/>
      <c r="P30" s="15"/>
      <c r="Q30" s="15"/>
      <c r="R30" s="15"/>
      <c r="S30" s="15"/>
      <c r="T30" s="15"/>
      <c r="U30" s="15"/>
      <c r="V30" s="15"/>
      <c r="W30" s="15"/>
      <c r="X30" s="15"/>
      <c r="Y30" s="15"/>
      <c r="Z30" s="15"/>
      <c r="AA30" s="15"/>
      <c r="AB30" s="15"/>
      <c r="AC30" s="15"/>
      <c r="AD30" s="15"/>
      <c r="AE30" s="15"/>
      <c r="AF30" s="15"/>
      <c r="AG30" s="15"/>
      <c r="AH30" s="15"/>
    </row>
    <row r="31" ht="16.5" customHeight="1">
      <c r="A31" s="32" t="s">
        <v>5</v>
      </c>
      <c r="E31" s="28" t="s">
        <v>88</v>
      </c>
      <c r="F31" s="8" t="s">
        <v>870</v>
      </c>
      <c r="G31" s="149" t="s">
        <v>4343</v>
      </c>
      <c r="H31" s="8" t="s">
        <v>870</v>
      </c>
      <c r="I31" s="9"/>
      <c r="J31" s="9"/>
      <c r="K31" s="11"/>
      <c r="L31" s="11"/>
      <c r="M31" s="15"/>
      <c r="N31" s="15"/>
      <c r="O31" s="15"/>
      <c r="P31" s="15"/>
      <c r="Q31" s="15"/>
      <c r="R31" s="15"/>
      <c r="S31" s="15"/>
      <c r="T31" s="15"/>
      <c r="U31" s="15"/>
      <c r="V31" s="15"/>
      <c r="W31" s="15"/>
      <c r="X31" s="15"/>
      <c r="Y31" s="15"/>
      <c r="Z31" s="15"/>
      <c r="AA31" s="15"/>
      <c r="AB31" s="15"/>
      <c r="AC31" s="15"/>
      <c r="AD31" s="15"/>
      <c r="AE31" s="15"/>
      <c r="AF31" s="15"/>
      <c r="AG31" s="15"/>
      <c r="AH31" s="15"/>
    </row>
    <row r="32" ht="16.5" customHeight="1">
      <c r="A32" s="32" t="s">
        <v>5</v>
      </c>
      <c r="E32" s="28" t="s">
        <v>88</v>
      </c>
      <c r="F32" s="8" t="s">
        <v>881</v>
      </c>
      <c r="G32" s="149" t="s">
        <v>4344</v>
      </c>
      <c r="H32" s="8" t="s">
        <v>881</v>
      </c>
      <c r="I32" s="9"/>
      <c r="J32" s="9"/>
      <c r="K32" s="11"/>
      <c r="L32" s="11"/>
      <c r="M32" s="15"/>
      <c r="N32" s="15"/>
      <c r="O32" s="15"/>
      <c r="P32" s="15"/>
      <c r="Q32" s="15"/>
      <c r="R32" s="15"/>
      <c r="S32" s="15"/>
      <c r="T32" s="15"/>
      <c r="U32" s="15"/>
      <c r="V32" s="15"/>
      <c r="W32" s="15"/>
      <c r="X32" s="15"/>
      <c r="Y32" s="15"/>
      <c r="Z32" s="15"/>
      <c r="AA32" s="15"/>
      <c r="AB32" s="15"/>
      <c r="AC32" s="15"/>
      <c r="AD32" s="15"/>
      <c r="AE32" s="15"/>
      <c r="AF32" s="15"/>
      <c r="AG32" s="15"/>
      <c r="AH32" s="15"/>
    </row>
    <row r="33" ht="16.5" customHeight="1">
      <c r="A33" s="32" t="s">
        <v>5</v>
      </c>
      <c r="E33" s="28" t="s">
        <v>88</v>
      </c>
      <c r="F33" s="38" t="s">
        <v>875</v>
      </c>
      <c r="G33" s="149" t="s">
        <v>4345</v>
      </c>
      <c r="H33" s="38" t="s">
        <v>875</v>
      </c>
      <c r="I33" s="9"/>
      <c r="J33" s="9"/>
      <c r="K33" s="11"/>
      <c r="L33" s="11"/>
      <c r="M33" s="15"/>
      <c r="N33" s="15"/>
      <c r="O33" s="15"/>
      <c r="P33" s="15"/>
      <c r="Q33" s="15"/>
      <c r="R33" s="15"/>
      <c r="S33" s="15"/>
      <c r="T33" s="15"/>
      <c r="U33" s="15"/>
      <c r="V33" s="15"/>
      <c r="W33" s="15"/>
      <c r="X33" s="15"/>
      <c r="Y33" s="15"/>
      <c r="Z33" s="15"/>
      <c r="AA33" s="15"/>
      <c r="AB33" s="15"/>
      <c r="AC33" s="15"/>
      <c r="AD33" s="15"/>
      <c r="AE33" s="15"/>
      <c r="AF33" s="15"/>
      <c r="AG33" s="15"/>
      <c r="AH33" s="15"/>
    </row>
    <row r="34" ht="16.5" customHeight="1">
      <c r="A34" s="32" t="s">
        <v>5</v>
      </c>
      <c r="E34" s="28" t="s">
        <v>88</v>
      </c>
      <c r="F34" s="28" t="s">
        <v>872</v>
      </c>
      <c r="G34" s="149" t="s">
        <v>4346</v>
      </c>
      <c r="H34" s="35" t="s">
        <v>846</v>
      </c>
      <c r="I34" s="35" t="s">
        <v>852</v>
      </c>
      <c r="L34" s="11"/>
      <c r="M34" s="15"/>
      <c r="N34" s="15"/>
      <c r="O34" s="15"/>
      <c r="P34" s="15"/>
      <c r="Q34" s="15"/>
      <c r="R34" s="15"/>
      <c r="S34" s="15"/>
      <c r="T34" s="15"/>
      <c r="U34" s="15"/>
      <c r="V34" s="15"/>
      <c r="W34" s="15"/>
      <c r="X34" s="15"/>
      <c r="Y34" s="15"/>
      <c r="Z34" s="15"/>
      <c r="AA34" s="15"/>
      <c r="AB34" s="15"/>
      <c r="AC34" s="15"/>
      <c r="AD34" s="15"/>
      <c r="AE34" s="15"/>
      <c r="AF34" s="15"/>
      <c r="AG34" s="15"/>
      <c r="AH34" s="15"/>
    </row>
    <row r="35" ht="16.5" customHeight="1">
      <c r="A35" s="32" t="s">
        <v>5</v>
      </c>
      <c r="E35" s="8" t="s">
        <v>88</v>
      </c>
      <c r="F35" s="8" t="s">
        <v>875</v>
      </c>
      <c r="G35" s="149" t="s">
        <v>4347</v>
      </c>
      <c r="H35" s="35" t="s">
        <v>4328</v>
      </c>
      <c r="L35" s="11"/>
      <c r="M35" s="15"/>
      <c r="N35" s="15"/>
      <c r="O35" s="15"/>
      <c r="P35" s="15"/>
      <c r="Q35" s="15"/>
      <c r="R35" s="15"/>
      <c r="S35" s="15"/>
      <c r="T35" s="15"/>
      <c r="U35" s="15"/>
      <c r="V35" s="15"/>
      <c r="W35" s="15"/>
      <c r="X35" s="15"/>
      <c r="Y35" s="15"/>
      <c r="Z35" s="15"/>
      <c r="AA35" s="15"/>
      <c r="AB35" s="15"/>
      <c r="AC35" s="15"/>
      <c r="AD35" s="15"/>
      <c r="AE35" s="15"/>
      <c r="AF35" s="15"/>
      <c r="AG35" s="15"/>
      <c r="AH35" s="15"/>
    </row>
    <row r="36" ht="16.5" customHeight="1">
      <c r="A36" s="32" t="s">
        <v>5</v>
      </c>
      <c r="E36" s="8" t="s">
        <v>88</v>
      </c>
      <c r="F36" s="8" t="s">
        <v>872</v>
      </c>
      <c r="G36" s="149" t="s">
        <v>4348</v>
      </c>
      <c r="H36" s="35" t="s">
        <v>1075</v>
      </c>
      <c r="I36" s="35" t="s">
        <v>1076</v>
      </c>
      <c r="L36" s="11"/>
      <c r="M36" s="15"/>
      <c r="N36" s="15"/>
      <c r="O36" s="15"/>
      <c r="P36" s="15"/>
      <c r="Q36" s="15"/>
      <c r="R36" s="15"/>
      <c r="S36" s="15"/>
      <c r="T36" s="15"/>
      <c r="U36" s="15"/>
      <c r="V36" s="15"/>
      <c r="W36" s="15"/>
      <c r="X36" s="15"/>
      <c r="Y36" s="15"/>
      <c r="Z36" s="15"/>
      <c r="AA36" s="15"/>
      <c r="AB36" s="15"/>
      <c r="AC36" s="15"/>
      <c r="AD36" s="15"/>
      <c r="AE36" s="15"/>
      <c r="AF36" s="15"/>
      <c r="AG36" s="15"/>
      <c r="AH36" s="15"/>
    </row>
    <row r="37" ht="16.5" customHeight="1">
      <c r="A37" s="32" t="s">
        <v>5</v>
      </c>
      <c r="E37" s="8" t="s">
        <v>88</v>
      </c>
      <c r="F37" s="8" t="s">
        <v>869</v>
      </c>
      <c r="G37" s="69"/>
      <c r="H37" s="36"/>
      <c r="L37" s="11"/>
      <c r="M37" s="15"/>
      <c r="N37" s="15"/>
      <c r="O37" s="15"/>
      <c r="P37" s="15"/>
      <c r="Q37" s="15"/>
      <c r="R37" s="15"/>
      <c r="S37" s="15"/>
      <c r="T37" s="15"/>
      <c r="U37" s="15"/>
      <c r="V37" s="15"/>
      <c r="W37" s="15"/>
      <c r="X37" s="15"/>
      <c r="Y37" s="15"/>
      <c r="Z37" s="15"/>
      <c r="AA37" s="15"/>
      <c r="AB37" s="15"/>
      <c r="AC37" s="15"/>
      <c r="AD37" s="15"/>
      <c r="AE37" s="15"/>
      <c r="AF37" s="15"/>
      <c r="AG37" s="15"/>
      <c r="AH37" s="15"/>
    </row>
    <row r="38" ht="16.5" customHeight="1">
      <c r="A38" s="32" t="s">
        <v>5</v>
      </c>
      <c r="E38" s="8" t="s">
        <v>88</v>
      </c>
      <c r="F38" s="8" t="s">
        <v>120</v>
      </c>
      <c r="G38" s="149" t="s">
        <v>4349</v>
      </c>
      <c r="H38" s="35" t="s">
        <v>120</v>
      </c>
      <c r="L38" s="11"/>
      <c r="M38" s="15"/>
      <c r="N38" s="15"/>
      <c r="O38" s="15"/>
      <c r="P38" s="15"/>
      <c r="Q38" s="15"/>
      <c r="R38" s="15"/>
      <c r="S38" s="15"/>
      <c r="T38" s="15"/>
      <c r="U38" s="15"/>
      <c r="V38" s="15"/>
      <c r="W38" s="15"/>
      <c r="X38" s="15"/>
      <c r="Y38" s="15"/>
      <c r="Z38" s="15"/>
      <c r="AA38" s="15"/>
      <c r="AB38" s="15"/>
      <c r="AC38" s="15"/>
      <c r="AD38" s="15"/>
      <c r="AE38" s="15"/>
      <c r="AF38" s="15"/>
      <c r="AG38" s="15"/>
      <c r="AH38" s="15"/>
    </row>
    <row r="39" ht="16.5" customHeight="1">
      <c r="A39" s="32" t="s">
        <v>5</v>
      </c>
      <c r="E39" s="28" t="s">
        <v>88</v>
      </c>
      <c r="F39" s="8" t="s">
        <v>544</v>
      </c>
      <c r="G39" s="149" t="s">
        <v>4350</v>
      </c>
      <c r="H39" s="8" t="s">
        <v>544</v>
      </c>
      <c r="I39" s="9"/>
      <c r="J39" s="9"/>
      <c r="K39" s="11"/>
      <c r="L39" s="11"/>
      <c r="M39" s="15"/>
      <c r="N39" s="15"/>
      <c r="O39" s="15"/>
      <c r="P39" s="15"/>
      <c r="Q39" s="15"/>
      <c r="R39" s="15"/>
      <c r="S39" s="15"/>
      <c r="T39" s="15"/>
      <c r="U39" s="15"/>
      <c r="V39" s="15"/>
      <c r="W39" s="15"/>
      <c r="X39" s="15"/>
      <c r="Y39" s="15"/>
      <c r="Z39" s="15"/>
      <c r="AA39" s="15"/>
      <c r="AB39" s="15"/>
      <c r="AC39" s="15"/>
      <c r="AD39" s="15"/>
      <c r="AE39" s="15"/>
      <c r="AF39" s="15"/>
      <c r="AG39" s="15"/>
      <c r="AH39" s="15"/>
    </row>
    <row r="40" ht="16.5" customHeight="1">
      <c r="A40" s="32" t="s">
        <v>5</v>
      </c>
      <c r="E40" s="28" t="s">
        <v>88</v>
      </c>
      <c r="F40" s="38" t="s">
        <v>247</v>
      </c>
      <c r="G40" s="69"/>
      <c r="H40" s="36"/>
      <c r="L40" s="11"/>
      <c r="M40" s="15"/>
      <c r="N40" s="15"/>
      <c r="O40" s="15"/>
      <c r="P40" s="15"/>
      <c r="Q40" s="15"/>
      <c r="R40" s="15"/>
      <c r="S40" s="15"/>
      <c r="T40" s="15"/>
      <c r="U40" s="15"/>
      <c r="V40" s="15"/>
      <c r="W40" s="15"/>
      <c r="X40" s="15"/>
      <c r="Y40" s="15"/>
      <c r="Z40" s="15"/>
      <c r="AA40" s="15"/>
      <c r="AB40" s="15"/>
      <c r="AC40" s="15"/>
      <c r="AD40" s="15"/>
      <c r="AE40" s="15"/>
      <c r="AF40" s="15"/>
      <c r="AG40" s="15"/>
      <c r="AH40" s="15"/>
    </row>
    <row r="41" ht="16.5" customHeight="1">
      <c r="A41" s="32" t="s">
        <v>5</v>
      </c>
      <c r="E41" s="28" t="s">
        <v>88</v>
      </c>
      <c r="F41" s="38" t="s">
        <v>95</v>
      </c>
      <c r="G41" s="149" t="s">
        <v>4351</v>
      </c>
      <c r="H41" s="38" t="s">
        <v>95</v>
      </c>
      <c r="I41" s="9"/>
      <c r="J41" s="9"/>
      <c r="K41" s="11"/>
      <c r="L41" s="11"/>
      <c r="M41" s="15"/>
      <c r="N41" s="15"/>
      <c r="O41" s="15"/>
      <c r="P41" s="15"/>
      <c r="Q41" s="15"/>
      <c r="R41" s="15"/>
      <c r="S41" s="15"/>
      <c r="T41" s="15"/>
      <c r="U41" s="15"/>
      <c r="V41" s="15"/>
      <c r="W41" s="15"/>
      <c r="X41" s="15"/>
      <c r="Y41" s="15"/>
      <c r="Z41" s="15"/>
      <c r="AA41" s="15"/>
      <c r="AB41" s="15"/>
      <c r="AC41" s="15"/>
      <c r="AD41" s="15"/>
      <c r="AE41" s="15"/>
      <c r="AF41" s="15"/>
      <c r="AG41" s="15"/>
      <c r="AH41" s="15"/>
    </row>
    <row r="42" ht="16.5" customHeight="1">
      <c r="A42" s="32" t="s">
        <v>5</v>
      </c>
      <c r="E42" s="28" t="s">
        <v>88</v>
      </c>
      <c r="F42" s="38" t="s">
        <v>96</v>
      </c>
      <c r="G42" s="149" t="s">
        <v>4352</v>
      </c>
      <c r="H42" s="38" t="s">
        <v>96</v>
      </c>
      <c r="I42" s="9"/>
      <c r="J42" s="9"/>
      <c r="K42" s="11"/>
      <c r="L42" s="11"/>
      <c r="M42" s="15"/>
      <c r="N42" s="15"/>
      <c r="O42" s="15"/>
      <c r="P42" s="15"/>
      <c r="Q42" s="15"/>
      <c r="R42" s="15"/>
      <c r="S42" s="15"/>
      <c r="T42" s="15"/>
      <c r="U42" s="15"/>
      <c r="V42" s="15"/>
      <c r="W42" s="15"/>
      <c r="X42" s="15"/>
      <c r="Y42" s="15"/>
      <c r="Z42" s="15"/>
      <c r="AA42" s="15"/>
      <c r="AB42" s="15"/>
      <c r="AC42" s="15"/>
      <c r="AD42" s="15"/>
      <c r="AE42" s="15"/>
      <c r="AF42" s="15"/>
      <c r="AG42" s="15"/>
      <c r="AH42" s="15"/>
    </row>
    <row r="43" ht="16.5" customHeight="1">
      <c r="A43" s="32" t="s">
        <v>5</v>
      </c>
      <c r="E43" s="28" t="s">
        <v>86</v>
      </c>
      <c r="F43" s="28" t="s">
        <v>90</v>
      </c>
      <c r="G43" s="149" t="s">
        <v>4353</v>
      </c>
      <c r="H43" s="38" t="s">
        <v>90</v>
      </c>
      <c r="I43" s="31"/>
      <c r="J43" s="9"/>
      <c r="K43" s="11"/>
      <c r="L43" s="11"/>
      <c r="M43" s="15"/>
      <c r="N43" s="15"/>
      <c r="O43" s="15"/>
      <c r="P43" s="15"/>
      <c r="Q43" s="15"/>
      <c r="R43" s="15"/>
      <c r="S43" s="15"/>
      <c r="T43" s="15"/>
      <c r="U43" s="15"/>
      <c r="V43" s="15"/>
      <c r="W43" s="15"/>
      <c r="X43" s="15"/>
      <c r="Y43" s="15"/>
      <c r="Z43" s="15"/>
      <c r="AA43" s="15"/>
      <c r="AB43" s="15"/>
      <c r="AC43" s="15"/>
      <c r="AD43" s="15"/>
      <c r="AE43" s="15"/>
      <c r="AF43" s="15"/>
      <c r="AG43" s="15"/>
      <c r="AH43" s="15"/>
    </row>
    <row r="44" ht="16.5" customHeight="1">
      <c r="A44" s="32" t="s">
        <v>5</v>
      </c>
      <c r="E44" s="8" t="s">
        <v>86</v>
      </c>
      <c r="F44" s="8" t="s">
        <v>91</v>
      </c>
      <c r="G44" s="149" t="s">
        <v>4354</v>
      </c>
      <c r="H44" s="8" t="s">
        <v>91</v>
      </c>
      <c r="I44" s="31"/>
      <c r="J44" s="9"/>
      <c r="K44" s="11"/>
      <c r="L44" s="11"/>
      <c r="M44" s="15"/>
      <c r="N44" s="15"/>
      <c r="O44" s="15"/>
      <c r="P44" s="15"/>
      <c r="Q44" s="15"/>
      <c r="R44" s="15"/>
      <c r="S44" s="15"/>
      <c r="T44" s="15"/>
      <c r="U44" s="15"/>
      <c r="V44" s="15"/>
      <c r="W44" s="15"/>
      <c r="X44" s="15"/>
      <c r="Y44" s="15"/>
      <c r="Z44" s="15"/>
      <c r="AA44" s="15"/>
      <c r="AB44" s="15"/>
      <c r="AC44" s="15"/>
      <c r="AD44" s="15"/>
      <c r="AE44" s="15"/>
      <c r="AF44" s="15"/>
      <c r="AG44" s="15"/>
      <c r="AH44" s="15"/>
    </row>
    <row r="45" ht="16.5" customHeight="1">
      <c r="A45" s="32" t="s">
        <v>5</v>
      </c>
      <c r="E45" s="8" t="s">
        <v>86</v>
      </c>
      <c r="F45" s="8" t="s">
        <v>338</v>
      </c>
      <c r="G45" s="149" t="s">
        <v>4355</v>
      </c>
      <c r="H45" s="35" t="s">
        <v>338</v>
      </c>
      <c r="L45" s="11"/>
      <c r="M45" s="15"/>
      <c r="N45" s="15"/>
      <c r="O45" s="15"/>
      <c r="P45" s="15"/>
      <c r="Q45" s="15"/>
      <c r="R45" s="15"/>
      <c r="S45" s="15"/>
      <c r="T45" s="15"/>
      <c r="U45" s="15"/>
      <c r="V45" s="15"/>
      <c r="W45" s="15"/>
      <c r="X45" s="15"/>
      <c r="Y45" s="15"/>
      <c r="Z45" s="15"/>
      <c r="AA45" s="15"/>
      <c r="AB45" s="15"/>
      <c r="AC45" s="15"/>
      <c r="AD45" s="15"/>
      <c r="AE45" s="15"/>
      <c r="AF45" s="15"/>
      <c r="AG45" s="15"/>
      <c r="AH45" s="15"/>
    </row>
    <row r="46" ht="16.5" customHeight="1">
      <c r="A46" s="32" t="s">
        <v>5</v>
      </c>
      <c r="E46" s="8" t="s">
        <v>88</v>
      </c>
      <c r="F46" s="8" t="s">
        <v>795</v>
      </c>
      <c r="G46" s="69"/>
      <c r="H46" s="36"/>
      <c r="L46" s="11"/>
      <c r="M46" s="15"/>
      <c r="N46" s="15"/>
      <c r="O46" s="15"/>
      <c r="P46" s="15"/>
      <c r="Q46" s="15"/>
      <c r="R46" s="15"/>
      <c r="S46" s="15"/>
      <c r="T46" s="15"/>
      <c r="U46" s="15"/>
      <c r="V46" s="15"/>
      <c r="W46" s="15"/>
      <c r="X46" s="15"/>
      <c r="Y46" s="15"/>
      <c r="Z46" s="15"/>
      <c r="AA46" s="15"/>
      <c r="AB46" s="15"/>
      <c r="AC46" s="15"/>
      <c r="AD46" s="15"/>
      <c r="AE46" s="15"/>
      <c r="AF46" s="15"/>
      <c r="AG46" s="15"/>
      <c r="AH46" s="15"/>
    </row>
    <row r="47" ht="16.5" customHeight="1">
      <c r="A47" s="32" t="s">
        <v>5</v>
      </c>
      <c r="B47" s="472" t="s">
        <v>4356</v>
      </c>
      <c r="C47" s="57" t="s">
        <v>4357</v>
      </c>
      <c r="D47" s="348" t="s">
        <v>42</v>
      </c>
      <c r="E47" s="8" t="s">
        <v>88</v>
      </c>
      <c r="F47" s="173" t="s">
        <v>89</v>
      </c>
      <c r="G47" s="15"/>
      <c r="H47" s="32"/>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row>
    <row r="48" ht="16.5" customHeight="1">
      <c r="A48" s="32" t="s">
        <v>5</v>
      </c>
      <c r="E48" s="8" t="s">
        <v>88</v>
      </c>
      <c r="F48" s="32" t="s">
        <v>154</v>
      </c>
      <c r="G48" s="74" t="s">
        <v>4358</v>
      </c>
      <c r="H48" s="35" t="s">
        <v>154</v>
      </c>
      <c r="L48" s="15"/>
      <c r="M48" s="15"/>
      <c r="N48" s="15"/>
      <c r="O48" s="15"/>
      <c r="P48" s="15"/>
      <c r="Q48" s="15"/>
      <c r="R48" s="15"/>
      <c r="S48" s="15"/>
      <c r="T48" s="15"/>
      <c r="U48" s="15"/>
      <c r="V48" s="15"/>
      <c r="W48" s="15"/>
      <c r="X48" s="15"/>
      <c r="Y48" s="15"/>
      <c r="Z48" s="15"/>
      <c r="AA48" s="15"/>
      <c r="AB48" s="15"/>
      <c r="AC48" s="15"/>
      <c r="AD48" s="15"/>
      <c r="AE48" s="15"/>
      <c r="AF48" s="15"/>
      <c r="AG48" s="15"/>
      <c r="AH48" s="15"/>
    </row>
    <row r="49" ht="16.5" customHeight="1">
      <c r="A49" s="32" t="s">
        <v>5</v>
      </c>
      <c r="E49" s="8" t="s">
        <v>88</v>
      </c>
      <c r="F49" s="32" t="s">
        <v>859</v>
      </c>
      <c r="G49" s="74" t="s">
        <v>4359</v>
      </c>
      <c r="H49" s="32" t="s">
        <v>859</v>
      </c>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row>
    <row r="50" ht="16.5" customHeight="1">
      <c r="A50" s="32" t="s">
        <v>5</v>
      </c>
      <c r="E50" s="8" t="s">
        <v>88</v>
      </c>
      <c r="F50" s="32" t="s">
        <v>879</v>
      </c>
      <c r="G50" s="74" t="s">
        <v>4360</v>
      </c>
      <c r="H50" s="32" t="s">
        <v>879</v>
      </c>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row>
    <row r="51" ht="16.5" customHeight="1">
      <c r="A51" s="32" t="s">
        <v>5</v>
      </c>
      <c r="E51" s="28" t="s">
        <v>88</v>
      </c>
      <c r="F51" s="32" t="s">
        <v>877</v>
      </c>
      <c r="G51" s="74" t="s">
        <v>4361</v>
      </c>
      <c r="H51" s="32" t="s">
        <v>877</v>
      </c>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row>
    <row r="52" ht="16.5" customHeight="1">
      <c r="A52" s="32" t="s">
        <v>5</v>
      </c>
      <c r="E52" s="28" t="s">
        <v>88</v>
      </c>
      <c r="F52" s="32" t="s">
        <v>870</v>
      </c>
      <c r="G52" s="74" t="s">
        <v>4362</v>
      </c>
      <c r="H52" s="32" t="s">
        <v>870</v>
      </c>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row>
    <row r="53" ht="16.5" customHeight="1">
      <c r="A53" s="32" t="s">
        <v>5</v>
      </c>
      <c r="E53" s="28" t="s">
        <v>88</v>
      </c>
      <c r="F53" s="32" t="s">
        <v>881</v>
      </c>
      <c r="G53" s="74" t="s">
        <v>4363</v>
      </c>
      <c r="H53" s="32" t="s">
        <v>881</v>
      </c>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row>
    <row r="54" ht="16.5" customHeight="1">
      <c r="A54" s="32" t="s">
        <v>5</v>
      </c>
      <c r="E54" s="8" t="s">
        <v>88</v>
      </c>
      <c r="F54" s="32" t="s">
        <v>875</v>
      </c>
      <c r="G54" s="74" t="s">
        <v>4364</v>
      </c>
      <c r="H54" s="32" t="s">
        <v>875</v>
      </c>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row>
    <row r="55" ht="16.5" customHeight="1">
      <c r="A55" s="32" t="s">
        <v>5</v>
      </c>
      <c r="E55" s="8" t="s">
        <v>88</v>
      </c>
      <c r="F55" s="32" t="s">
        <v>872</v>
      </c>
      <c r="G55" s="74" t="s">
        <v>4365</v>
      </c>
      <c r="H55" s="35" t="s">
        <v>846</v>
      </c>
      <c r="I55" s="35" t="s">
        <v>852</v>
      </c>
      <c r="L55" s="15"/>
      <c r="M55" s="15"/>
      <c r="N55" s="15"/>
      <c r="O55" s="15"/>
      <c r="P55" s="15"/>
      <c r="Q55" s="15"/>
      <c r="R55" s="15"/>
      <c r="S55" s="15"/>
      <c r="T55" s="15"/>
      <c r="U55" s="15"/>
      <c r="V55" s="15"/>
      <c r="W55" s="15"/>
      <c r="X55" s="15"/>
      <c r="Y55" s="15"/>
      <c r="Z55" s="15"/>
      <c r="AA55" s="15"/>
      <c r="AB55" s="15"/>
      <c r="AC55" s="15"/>
      <c r="AD55" s="15"/>
      <c r="AE55" s="15"/>
      <c r="AF55" s="15"/>
      <c r="AG55" s="15"/>
      <c r="AH55" s="15"/>
    </row>
    <row r="56" ht="16.5" customHeight="1">
      <c r="A56" s="32" t="s">
        <v>5</v>
      </c>
      <c r="E56" s="8" t="s">
        <v>88</v>
      </c>
      <c r="F56" s="32" t="s">
        <v>875</v>
      </c>
      <c r="G56" s="74" t="s">
        <v>4366</v>
      </c>
      <c r="H56" s="35" t="s">
        <v>4328</v>
      </c>
      <c r="L56" s="15"/>
      <c r="M56" s="15"/>
      <c r="N56" s="15"/>
      <c r="O56" s="15"/>
      <c r="P56" s="15"/>
      <c r="Q56" s="15"/>
      <c r="R56" s="15"/>
      <c r="S56" s="15"/>
      <c r="T56" s="15"/>
      <c r="U56" s="15"/>
      <c r="V56" s="15"/>
      <c r="W56" s="15"/>
      <c r="X56" s="15"/>
      <c r="Y56" s="15"/>
      <c r="Z56" s="15"/>
      <c r="AA56" s="15"/>
      <c r="AB56" s="15"/>
      <c r="AC56" s="15"/>
      <c r="AD56" s="15"/>
      <c r="AE56" s="15"/>
      <c r="AF56" s="15"/>
      <c r="AG56" s="15"/>
      <c r="AH56" s="15"/>
    </row>
    <row r="57" ht="16.5" customHeight="1">
      <c r="A57" s="32" t="s">
        <v>5</v>
      </c>
      <c r="E57" s="8" t="s">
        <v>88</v>
      </c>
      <c r="F57" s="32" t="s">
        <v>872</v>
      </c>
      <c r="G57" s="74" t="s">
        <v>4367</v>
      </c>
      <c r="H57" s="35" t="s">
        <v>1076</v>
      </c>
      <c r="L57" s="15"/>
      <c r="M57" s="15"/>
      <c r="N57" s="15"/>
      <c r="O57" s="15"/>
      <c r="P57" s="15"/>
      <c r="Q57" s="15"/>
      <c r="R57" s="15"/>
      <c r="S57" s="15"/>
      <c r="T57" s="15"/>
      <c r="U57" s="15"/>
      <c r="V57" s="15"/>
      <c r="W57" s="15"/>
      <c r="X57" s="15"/>
      <c r="Y57" s="15"/>
      <c r="Z57" s="15"/>
      <c r="AA57" s="15"/>
      <c r="AB57" s="15"/>
      <c r="AC57" s="15"/>
      <c r="AD57" s="15"/>
      <c r="AE57" s="15"/>
      <c r="AF57" s="15"/>
      <c r="AG57" s="15"/>
      <c r="AH57" s="15"/>
    </row>
    <row r="58" ht="16.5" customHeight="1">
      <c r="A58" s="32" t="s">
        <v>5</v>
      </c>
      <c r="E58" s="8" t="s">
        <v>88</v>
      </c>
      <c r="F58" s="32" t="s">
        <v>870</v>
      </c>
      <c r="G58" s="74" t="s">
        <v>4368</v>
      </c>
      <c r="H58" s="35" t="s">
        <v>4369</v>
      </c>
      <c r="L58" s="15"/>
      <c r="M58" s="15"/>
      <c r="N58" s="15"/>
      <c r="O58" s="15"/>
      <c r="P58" s="15"/>
      <c r="Q58" s="15"/>
      <c r="R58" s="15"/>
      <c r="S58" s="15"/>
      <c r="T58" s="15"/>
      <c r="U58" s="15"/>
      <c r="V58" s="15"/>
      <c r="W58" s="15"/>
      <c r="X58" s="15"/>
      <c r="Y58" s="15"/>
      <c r="Z58" s="15"/>
      <c r="AA58" s="15"/>
      <c r="AB58" s="15"/>
      <c r="AC58" s="15"/>
      <c r="AD58" s="15"/>
      <c r="AE58" s="15"/>
      <c r="AF58" s="15"/>
      <c r="AG58" s="15"/>
      <c r="AH58" s="15"/>
    </row>
    <row r="59" ht="16.5" customHeight="1">
      <c r="A59" s="32" t="s">
        <v>5</v>
      </c>
      <c r="E59" s="28" t="s">
        <v>88</v>
      </c>
      <c r="F59" s="32" t="s">
        <v>881</v>
      </c>
      <c r="G59" s="74" t="s">
        <v>4370</v>
      </c>
      <c r="H59" s="35" t="s">
        <v>4371</v>
      </c>
      <c r="L59" s="15"/>
      <c r="M59" s="15"/>
      <c r="N59" s="15"/>
      <c r="O59" s="15"/>
      <c r="P59" s="15"/>
      <c r="Q59" s="15"/>
      <c r="R59" s="15"/>
      <c r="S59" s="15"/>
      <c r="T59" s="15"/>
      <c r="U59" s="15"/>
      <c r="V59" s="15"/>
      <c r="W59" s="15"/>
      <c r="X59" s="15"/>
      <c r="Y59" s="15"/>
      <c r="Z59" s="15"/>
      <c r="AA59" s="15"/>
      <c r="AB59" s="15"/>
      <c r="AC59" s="15"/>
      <c r="AD59" s="15"/>
      <c r="AE59" s="15"/>
      <c r="AF59" s="15"/>
      <c r="AG59" s="15"/>
      <c r="AH59" s="15"/>
    </row>
    <row r="60" ht="16.5" customHeight="1">
      <c r="A60" s="32" t="s">
        <v>5</v>
      </c>
      <c r="E60" s="28" t="s">
        <v>88</v>
      </c>
      <c r="F60" s="32" t="s">
        <v>875</v>
      </c>
      <c r="G60" s="74" t="s">
        <v>4372</v>
      </c>
      <c r="H60" s="35" t="s">
        <v>4373</v>
      </c>
      <c r="L60" s="15"/>
      <c r="M60" s="15"/>
      <c r="N60" s="15"/>
      <c r="O60" s="15"/>
      <c r="P60" s="15"/>
      <c r="Q60" s="15"/>
      <c r="R60" s="15"/>
      <c r="S60" s="15"/>
      <c r="T60" s="15"/>
      <c r="U60" s="15"/>
      <c r="V60" s="15"/>
      <c r="W60" s="15"/>
      <c r="X60" s="15"/>
      <c r="Y60" s="15"/>
      <c r="Z60" s="15"/>
      <c r="AA60" s="15"/>
      <c r="AB60" s="15"/>
      <c r="AC60" s="15"/>
      <c r="AD60" s="15"/>
      <c r="AE60" s="15"/>
      <c r="AF60" s="15"/>
      <c r="AG60" s="15"/>
      <c r="AH60" s="15"/>
    </row>
    <row r="61" ht="16.5" customHeight="1">
      <c r="A61" s="32" t="s">
        <v>5</v>
      </c>
      <c r="E61" s="28" t="s">
        <v>88</v>
      </c>
      <c r="F61" s="32" t="s">
        <v>872</v>
      </c>
      <c r="G61" s="74" t="s">
        <v>4374</v>
      </c>
      <c r="H61" s="35" t="s">
        <v>1075</v>
      </c>
      <c r="I61" s="35" t="s">
        <v>1081</v>
      </c>
      <c r="L61" s="15"/>
      <c r="M61" s="15"/>
      <c r="N61" s="15"/>
      <c r="O61" s="15"/>
      <c r="P61" s="15"/>
      <c r="Q61" s="15"/>
      <c r="R61" s="15"/>
      <c r="S61" s="15"/>
      <c r="T61" s="15"/>
      <c r="U61" s="15"/>
      <c r="V61" s="15"/>
      <c r="W61" s="15"/>
      <c r="X61" s="15"/>
      <c r="Y61" s="15"/>
      <c r="Z61" s="15"/>
      <c r="AA61" s="15"/>
      <c r="AB61" s="15"/>
      <c r="AC61" s="15"/>
      <c r="AD61" s="15"/>
      <c r="AE61" s="15"/>
      <c r="AF61" s="15"/>
      <c r="AG61" s="15"/>
      <c r="AH61" s="15"/>
    </row>
    <row r="62" ht="16.5" customHeight="1">
      <c r="A62" s="32" t="s">
        <v>5</v>
      </c>
      <c r="E62" s="8" t="s">
        <v>88</v>
      </c>
      <c r="F62" s="32" t="s">
        <v>869</v>
      </c>
      <c r="G62" s="15"/>
      <c r="H62" s="36"/>
      <c r="L62" s="15"/>
      <c r="M62" s="15"/>
      <c r="N62" s="15"/>
      <c r="O62" s="15"/>
      <c r="P62" s="15"/>
      <c r="Q62" s="15"/>
      <c r="R62" s="15"/>
      <c r="S62" s="15"/>
      <c r="T62" s="15"/>
      <c r="U62" s="15"/>
      <c r="V62" s="15"/>
      <c r="W62" s="15"/>
      <c r="X62" s="15"/>
      <c r="Y62" s="15"/>
      <c r="Z62" s="15"/>
      <c r="AA62" s="15"/>
      <c r="AB62" s="15"/>
      <c r="AC62" s="15"/>
      <c r="AD62" s="15"/>
      <c r="AE62" s="15"/>
      <c r="AF62" s="15"/>
      <c r="AG62" s="15"/>
      <c r="AH62" s="15"/>
    </row>
    <row r="63" ht="16.5" customHeight="1">
      <c r="A63" s="32" t="s">
        <v>5</v>
      </c>
      <c r="E63" s="8" t="s">
        <v>172</v>
      </c>
      <c r="F63" s="32" t="s">
        <v>194</v>
      </c>
      <c r="G63" s="74" t="s">
        <v>4375</v>
      </c>
      <c r="H63" s="32" t="s">
        <v>194</v>
      </c>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row>
    <row r="64" ht="16.5" customHeight="1">
      <c r="A64" s="32" t="s">
        <v>5</v>
      </c>
      <c r="E64" s="8" t="s">
        <v>172</v>
      </c>
      <c r="F64" s="32" t="s">
        <v>195</v>
      </c>
      <c r="G64" s="74" t="s">
        <v>4376</v>
      </c>
      <c r="H64" s="32" t="s">
        <v>195</v>
      </c>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row>
    <row r="65" ht="16.5" customHeight="1">
      <c r="A65" s="32" t="s">
        <v>5</v>
      </c>
      <c r="E65" s="8" t="s">
        <v>21</v>
      </c>
      <c r="F65" s="32" t="s">
        <v>51</v>
      </c>
      <c r="G65" s="74" t="s">
        <v>4377</v>
      </c>
      <c r="H65" s="32" t="s">
        <v>51</v>
      </c>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row>
    <row r="66" ht="16.5" customHeight="1">
      <c r="A66" s="32" t="s">
        <v>5</v>
      </c>
      <c r="E66" s="8" t="s">
        <v>88</v>
      </c>
      <c r="F66" s="32" t="s">
        <v>95</v>
      </c>
      <c r="G66" s="74" t="s">
        <v>4378</v>
      </c>
      <c r="H66" s="32" t="s">
        <v>95</v>
      </c>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row>
    <row r="67" ht="16.5" customHeight="1">
      <c r="A67" s="32" t="s">
        <v>5</v>
      </c>
      <c r="E67" s="8" t="s">
        <v>88</v>
      </c>
      <c r="F67" s="32" t="s">
        <v>96</v>
      </c>
      <c r="G67" s="74" t="s">
        <v>4379</v>
      </c>
      <c r="H67" s="32" t="s">
        <v>96</v>
      </c>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row>
    <row r="68" ht="16.5" customHeight="1">
      <c r="A68" s="32" t="s">
        <v>5</v>
      </c>
      <c r="E68" s="8" t="s">
        <v>86</v>
      </c>
      <c r="F68" s="32" t="s">
        <v>90</v>
      </c>
      <c r="G68" s="74" t="s">
        <v>4380</v>
      </c>
      <c r="H68" s="32" t="s">
        <v>90</v>
      </c>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row>
    <row r="69" ht="16.5" customHeight="1">
      <c r="A69" s="32" t="s">
        <v>5</v>
      </c>
      <c r="E69" s="8" t="s">
        <v>86</v>
      </c>
      <c r="F69" s="32" t="s">
        <v>91</v>
      </c>
      <c r="G69" s="74" t="s">
        <v>4381</v>
      </c>
      <c r="H69" s="32" t="s">
        <v>91</v>
      </c>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row>
    <row r="70" ht="16.5" customHeight="1">
      <c r="A70" s="32" t="s">
        <v>5</v>
      </c>
      <c r="E70" s="8" t="s">
        <v>86</v>
      </c>
      <c r="F70" s="32" t="s">
        <v>338</v>
      </c>
      <c r="G70" s="74" t="s">
        <v>4382</v>
      </c>
      <c r="H70" s="32" t="s">
        <v>338</v>
      </c>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row>
    <row r="71" ht="16.5" customHeight="1">
      <c r="A71" s="32" t="s">
        <v>5</v>
      </c>
      <c r="E71" s="28" t="s">
        <v>88</v>
      </c>
      <c r="F71" s="8" t="s">
        <v>89</v>
      </c>
      <c r="G71" s="69"/>
      <c r="H71" s="36"/>
      <c r="L71" s="11"/>
      <c r="M71" s="15"/>
      <c r="N71" s="15"/>
      <c r="O71" s="15"/>
      <c r="P71" s="15"/>
      <c r="Q71" s="15"/>
      <c r="R71" s="15"/>
      <c r="S71" s="15"/>
      <c r="T71" s="15"/>
      <c r="U71" s="15"/>
      <c r="V71" s="15"/>
      <c r="W71" s="15"/>
      <c r="X71" s="15"/>
      <c r="Y71" s="15"/>
      <c r="Z71" s="15"/>
      <c r="AA71" s="15"/>
      <c r="AB71" s="15"/>
      <c r="AC71" s="15"/>
      <c r="AD71" s="15"/>
      <c r="AE71" s="15"/>
      <c r="AF71" s="15"/>
      <c r="AG71" s="15"/>
      <c r="AH71" s="15"/>
    </row>
    <row r="72" ht="16.5" customHeight="1">
      <c r="A72" s="32" t="s">
        <v>5</v>
      </c>
      <c r="E72" s="28" t="s">
        <v>88</v>
      </c>
      <c r="F72" s="8" t="s">
        <v>795</v>
      </c>
      <c r="G72" s="69"/>
      <c r="H72" s="36"/>
      <c r="L72" s="11"/>
      <c r="M72" s="15"/>
      <c r="N72" s="15"/>
      <c r="O72" s="15"/>
      <c r="P72" s="15"/>
      <c r="Q72" s="15"/>
      <c r="R72" s="15"/>
      <c r="S72" s="15"/>
      <c r="T72" s="15"/>
      <c r="U72" s="15"/>
      <c r="V72" s="15"/>
      <c r="W72" s="15"/>
      <c r="X72" s="15"/>
      <c r="Y72" s="15"/>
      <c r="Z72" s="15"/>
      <c r="AA72" s="15"/>
      <c r="AB72" s="15"/>
      <c r="AC72" s="15"/>
      <c r="AD72" s="15"/>
      <c r="AE72" s="15"/>
      <c r="AF72" s="15"/>
      <c r="AG72" s="15"/>
      <c r="AH72" s="15"/>
    </row>
    <row r="73" ht="16.5" customHeight="1">
      <c r="A73" s="32" t="s">
        <v>5</v>
      </c>
      <c r="B73" s="344" t="s">
        <v>4383</v>
      </c>
      <c r="C73" s="57" t="s">
        <v>4384</v>
      </c>
      <c r="D73" s="348" t="s">
        <v>42</v>
      </c>
      <c r="E73" s="8" t="s">
        <v>88</v>
      </c>
      <c r="F73" s="173" t="s">
        <v>89</v>
      </c>
      <c r="G73" s="69"/>
      <c r="H73" s="8"/>
      <c r="I73" s="9"/>
      <c r="J73" s="9"/>
      <c r="K73" s="11"/>
      <c r="L73" s="11"/>
      <c r="M73" s="15"/>
      <c r="N73" s="15"/>
      <c r="O73" s="15"/>
      <c r="P73" s="15"/>
      <c r="Q73" s="15"/>
      <c r="R73" s="15"/>
      <c r="S73" s="15"/>
      <c r="T73" s="15"/>
      <c r="U73" s="15"/>
      <c r="V73" s="15"/>
      <c r="W73" s="15"/>
      <c r="X73" s="15"/>
      <c r="Y73" s="15"/>
      <c r="Z73" s="15"/>
      <c r="AA73" s="15"/>
      <c r="AB73" s="15"/>
      <c r="AC73" s="15"/>
      <c r="AD73" s="15"/>
      <c r="AE73" s="15"/>
      <c r="AF73" s="15"/>
      <c r="AG73" s="15"/>
      <c r="AH73" s="15"/>
    </row>
    <row r="74" ht="16.5" customHeight="1">
      <c r="A74" s="32" t="s">
        <v>5</v>
      </c>
      <c r="E74" s="28" t="s">
        <v>172</v>
      </c>
      <c r="F74" s="8" t="s">
        <v>194</v>
      </c>
      <c r="G74" s="149" t="s">
        <v>4385</v>
      </c>
      <c r="H74" s="8" t="s">
        <v>194</v>
      </c>
      <c r="I74" s="9"/>
      <c r="J74" s="9"/>
      <c r="K74" s="11"/>
      <c r="L74" s="11"/>
      <c r="M74" s="15"/>
      <c r="N74" s="15"/>
      <c r="O74" s="15"/>
      <c r="P74" s="15"/>
      <c r="Q74" s="15"/>
      <c r="R74" s="15"/>
      <c r="S74" s="15"/>
      <c r="T74" s="15"/>
      <c r="U74" s="15"/>
      <c r="V74" s="15"/>
      <c r="W74" s="15"/>
      <c r="X74" s="15"/>
      <c r="Y74" s="15"/>
      <c r="Z74" s="15"/>
      <c r="AA74" s="15"/>
      <c r="AB74" s="15"/>
      <c r="AC74" s="15"/>
      <c r="AD74" s="15"/>
      <c r="AE74" s="15"/>
      <c r="AF74" s="15"/>
      <c r="AG74" s="15"/>
      <c r="AH74" s="15"/>
    </row>
    <row r="75" ht="16.5" customHeight="1">
      <c r="A75" s="32" t="s">
        <v>5</v>
      </c>
      <c r="E75" s="28" t="s">
        <v>172</v>
      </c>
      <c r="F75" s="8" t="s">
        <v>195</v>
      </c>
      <c r="G75" s="149" t="s">
        <v>4386</v>
      </c>
      <c r="H75" s="8" t="s">
        <v>195</v>
      </c>
      <c r="I75" s="9"/>
      <c r="J75" s="9"/>
      <c r="K75" s="11"/>
      <c r="L75" s="11"/>
      <c r="M75" s="15"/>
      <c r="N75" s="15"/>
      <c r="O75" s="15"/>
      <c r="P75" s="15"/>
      <c r="Q75" s="15"/>
      <c r="R75" s="15"/>
      <c r="S75" s="15"/>
      <c r="T75" s="15"/>
      <c r="U75" s="15"/>
      <c r="V75" s="15"/>
      <c r="W75" s="15"/>
      <c r="X75" s="15"/>
      <c r="Y75" s="15"/>
      <c r="Z75" s="15"/>
      <c r="AA75" s="15"/>
      <c r="AB75" s="15"/>
      <c r="AC75" s="15"/>
      <c r="AD75" s="15"/>
      <c r="AE75" s="15"/>
      <c r="AF75" s="15"/>
      <c r="AG75" s="15"/>
      <c r="AH75" s="15"/>
    </row>
    <row r="76" ht="16.5" customHeight="1">
      <c r="A76" s="32" t="s">
        <v>5</v>
      </c>
      <c r="E76" s="28" t="s">
        <v>21</v>
      </c>
      <c r="F76" s="8" t="s">
        <v>51</v>
      </c>
      <c r="G76" s="149" t="s">
        <v>4387</v>
      </c>
      <c r="H76" s="8" t="s">
        <v>51</v>
      </c>
      <c r="I76" s="9"/>
      <c r="J76" s="9"/>
      <c r="K76" s="11"/>
      <c r="L76" s="11"/>
      <c r="M76" s="15"/>
      <c r="N76" s="15"/>
      <c r="O76" s="15"/>
      <c r="P76" s="15"/>
      <c r="Q76" s="15"/>
      <c r="R76" s="15"/>
      <c r="S76" s="15"/>
      <c r="T76" s="15"/>
      <c r="U76" s="15"/>
      <c r="V76" s="15"/>
      <c r="W76" s="15"/>
      <c r="X76" s="15"/>
      <c r="Y76" s="15"/>
      <c r="Z76" s="15"/>
      <c r="AA76" s="15"/>
      <c r="AB76" s="15"/>
      <c r="AC76" s="15"/>
      <c r="AD76" s="15"/>
      <c r="AE76" s="15"/>
      <c r="AF76" s="15"/>
      <c r="AG76" s="15"/>
      <c r="AH76" s="15"/>
    </row>
    <row r="77" ht="16.5" customHeight="1">
      <c r="A77" s="32" t="s">
        <v>5</v>
      </c>
      <c r="E77" s="8" t="s">
        <v>88</v>
      </c>
      <c r="F77" s="8" t="s">
        <v>154</v>
      </c>
      <c r="G77" s="149" t="s">
        <v>4388</v>
      </c>
      <c r="H77" s="8" t="s">
        <v>154</v>
      </c>
      <c r="I77" s="9"/>
      <c r="J77" s="9"/>
      <c r="K77" s="11"/>
      <c r="L77" s="11"/>
      <c r="M77" s="15"/>
      <c r="N77" s="15"/>
      <c r="O77" s="15"/>
      <c r="P77" s="15"/>
      <c r="Q77" s="15"/>
      <c r="R77" s="15"/>
      <c r="S77" s="15"/>
      <c r="T77" s="15"/>
      <c r="U77" s="15"/>
      <c r="V77" s="15"/>
      <c r="W77" s="15"/>
      <c r="X77" s="15"/>
      <c r="Y77" s="15"/>
      <c r="Z77" s="15"/>
      <c r="AA77" s="15"/>
      <c r="AB77" s="15"/>
      <c r="AC77" s="15"/>
      <c r="AD77" s="15"/>
      <c r="AE77" s="15"/>
      <c r="AF77" s="15"/>
      <c r="AG77" s="15"/>
      <c r="AH77" s="15"/>
    </row>
    <row r="78" ht="16.5" customHeight="1">
      <c r="A78" s="32" t="s">
        <v>5</v>
      </c>
      <c r="E78" s="8" t="s">
        <v>88</v>
      </c>
      <c r="F78" s="38" t="s">
        <v>859</v>
      </c>
      <c r="G78" s="149" t="s">
        <v>4389</v>
      </c>
      <c r="H78" s="38" t="s">
        <v>859</v>
      </c>
      <c r="I78" s="9"/>
      <c r="J78" s="9"/>
      <c r="K78" s="11"/>
      <c r="L78" s="11"/>
      <c r="M78" s="15"/>
      <c r="N78" s="15"/>
      <c r="O78" s="15"/>
      <c r="P78" s="15"/>
      <c r="Q78" s="15"/>
      <c r="R78" s="15"/>
      <c r="S78" s="15"/>
      <c r="T78" s="15"/>
      <c r="U78" s="15"/>
      <c r="V78" s="15"/>
      <c r="W78" s="15"/>
      <c r="X78" s="15"/>
      <c r="Y78" s="15"/>
      <c r="Z78" s="15"/>
      <c r="AA78" s="15"/>
      <c r="AB78" s="15"/>
      <c r="AC78" s="15"/>
      <c r="AD78" s="15"/>
      <c r="AE78" s="15"/>
      <c r="AF78" s="15"/>
      <c r="AG78" s="15"/>
      <c r="AH78" s="15"/>
    </row>
    <row r="79" ht="16.5" customHeight="1">
      <c r="A79" s="32" t="s">
        <v>5</v>
      </c>
      <c r="E79" s="8" t="s">
        <v>88</v>
      </c>
      <c r="F79" s="28" t="s">
        <v>879</v>
      </c>
      <c r="G79" s="149" t="s">
        <v>4390</v>
      </c>
      <c r="H79" s="38" t="s">
        <v>879</v>
      </c>
      <c r="I79" s="9"/>
      <c r="J79" s="9"/>
      <c r="K79" s="11"/>
      <c r="L79" s="11"/>
      <c r="M79" s="15"/>
      <c r="N79" s="15"/>
      <c r="O79" s="15"/>
      <c r="P79" s="15"/>
      <c r="Q79" s="15"/>
      <c r="R79" s="15"/>
      <c r="S79" s="15"/>
      <c r="T79" s="15"/>
      <c r="U79" s="15"/>
      <c r="V79" s="15"/>
      <c r="W79" s="15"/>
      <c r="X79" s="15"/>
      <c r="Y79" s="15"/>
      <c r="Z79" s="15"/>
      <c r="AA79" s="15"/>
      <c r="AB79" s="15"/>
      <c r="AC79" s="15"/>
      <c r="AD79" s="15"/>
      <c r="AE79" s="15"/>
      <c r="AF79" s="15"/>
      <c r="AG79" s="15"/>
      <c r="AH79" s="15"/>
    </row>
    <row r="80" ht="16.5" customHeight="1">
      <c r="A80" s="32" t="s">
        <v>5</v>
      </c>
      <c r="E80" s="8" t="s">
        <v>88</v>
      </c>
      <c r="F80" s="8" t="s">
        <v>877</v>
      </c>
      <c r="G80" s="149" t="s">
        <v>4391</v>
      </c>
      <c r="H80" s="35" t="s">
        <v>877</v>
      </c>
      <c r="I80" s="36"/>
      <c r="L80" s="11"/>
      <c r="M80" s="15"/>
      <c r="N80" s="15"/>
      <c r="O80" s="15"/>
      <c r="P80" s="15"/>
      <c r="Q80" s="15"/>
      <c r="R80" s="15"/>
      <c r="S80" s="15"/>
      <c r="T80" s="15"/>
      <c r="U80" s="15"/>
      <c r="V80" s="15"/>
      <c r="W80" s="15"/>
      <c r="X80" s="15"/>
      <c r="Y80" s="15"/>
      <c r="Z80" s="15"/>
      <c r="AA80" s="15"/>
      <c r="AB80" s="15"/>
      <c r="AC80" s="15"/>
      <c r="AD80" s="15"/>
      <c r="AE80" s="15"/>
      <c r="AF80" s="15"/>
      <c r="AG80" s="15"/>
      <c r="AH80" s="15"/>
    </row>
    <row r="81" ht="16.5" customHeight="1">
      <c r="A81" s="32" t="s">
        <v>5</v>
      </c>
      <c r="E81" s="8" t="s">
        <v>88</v>
      </c>
      <c r="F81" s="8" t="s">
        <v>881</v>
      </c>
      <c r="G81" s="149" t="s">
        <v>4392</v>
      </c>
      <c r="H81" s="35" t="s">
        <v>881</v>
      </c>
      <c r="I81" s="36"/>
      <c r="L81" s="11"/>
      <c r="M81" s="15"/>
      <c r="N81" s="15"/>
      <c r="O81" s="15"/>
      <c r="P81" s="15"/>
      <c r="Q81" s="15"/>
      <c r="R81" s="15"/>
      <c r="S81" s="15"/>
      <c r="T81" s="15"/>
      <c r="U81" s="15"/>
      <c r="V81" s="15"/>
      <c r="W81" s="15"/>
      <c r="X81" s="15"/>
      <c r="Y81" s="15"/>
      <c r="Z81" s="15"/>
      <c r="AA81" s="15"/>
      <c r="AB81" s="15"/>
      <c r="AC81" s="15"/>
      <c r="AD81" s="15"/>
      <c r="AE81" s="15"/>
      <c r="AF81" s="15"/>
      <c r="AG81" s="15"/>
      <c r="AH81" s="15"/>
    </row>
    <row r="82" ht="16.5" customHeight="1">
      <c r="A82" s="32" t="s">
        <v>5</v>
      </c>
      <c r="E82" s="28" t="s">
        <v>88</v>
      </c>
      <c r="F82" s="8" t="s">
        <v>875</v>
      </c>
      <c r="G82" s="149" t="s">
        <v>4393</v>
      </c>
      <c r="H82" s="8" t="s">
        <v>875</v>
      </c>
      <c r="I82" s="9"/>
      <c r="J82" s="9"/>
      <c r="K82" s="11"/>
      <c r="L82" s="11"/>
      <c r="M82" s="15"/>
      <c r="N82" s="15"/>
      <c r="O82" s="15"/>
      <c r="P82" s="15"/>
      <c r="Q82" s="15"/>
      <c r="R82" s="15"/>
      <c r="S82" s="15"/>
      <c r="T82" s="15"/>
      <c r="U82" s="15"/>
      <c r="V82" s="15"/>
      <c r="W82" s="15"/>
      <c r="X82" s="15"/>
      <c r="Y82" s="15"/>
      <c r="Z82" s="15"/>
      <c r="AA82" s="15"/>
      <c r="AB82" s="15"/>
      <c r="AC82" s="15"/>
      <c r="AD82" s="15"/>
      <c r="AE82" s="15"/>
      <c r="AF82" s="15"/>
      <c r="AG82" s="15"/>
      <c r="AH82" s="15"/>
    </row>
    <row r="83" ht="16.5" customHeight="1">
      <c r="A83" s="32" t="s">
        <v>5</v>
      </c>
      <c r="E83" s="28" t="s">
        <v>88</v>
      </c>
      <c r="F83" s="8" t="s">
        <v>872</v>
      </c>
      <c r="G83" s="149" t="s">
        <v>4394</v>
      </c>
      <c r="H83" s="35" t="s">
        <v>846</v>
      </c>
      <c r="I83" s="35" t="s">
        <v>852</v>
      </c>
      <c r="L83" s="11"/>
      <c r="M83" s="15"/>
      <c r="N83" s="15"/>
      <c r="O83" s="15"/>
      <c r="P83" s="15"/>
      <c r="Q83" s="15"/>
      <c r="R83" s="15"/>
      <c r="S83" s="15"/>
      <c r="T83" s="15"/>
      <c r="U83" s="15"/>
      <c r="V83" s="15"/>
      <c r="W83" s="15"/>
      <c r="X83" s="15"/>
      <c r="Y83" s="15"/>
      <c r="Z83" s="15"/>
      <c r="AA83" s="15"/>
      <c r="AB83" s="15"/>
      <c r="AC83" s="15"/>
      <c r="AD83" s="15"/>
      <c r="AE83" s="15"/>
      <c r="AF83" s="15"/>
      <c r="AG83" s="15"/>
      <c r="AH83" s="15"/>
    </row>
    <row r="84" ht="16.5" customHeight="1">
      <c r="A84" s="32" t="s">
        <v>5</v>
      </c>
      <c r="E84" s="28" t="s">
        <v>88</v>
      </c>
      <c r="F84" s="8" t="s">
        <v>875</v>
      </c>
      <c r="G84" s="149" t="s">
        <v>4395</v>
      </c>
      <c r="H84" s="35" t="s">
        <v>4328</v>
      </c>
      <c r="L84" s="11"/>
      <c r="M84" s="15"/>
      <c r="N84" s="15"/>
      <c r="O84" s="15"/>
      <c r="P84" s="15"/>
      <c r="Q84" s="15"/>
      <c r="R84" s="15"/>
      <c r="S84" s="15"/>
      <c r="T84" s="15"/>
      <c r="U84" s="15"/>
      <c r="V84" s="15"/>
      <c r="W84" s="15"/>
      <c r="X84" s="15"/>
      <c r="Y84" s="15"/>
      <c r="Z84" s="15"/>
      <c r="AA84" s="15"/>
      <c r="AB84" s="15"/>
      <c r="AC84" s="15"/>
      <c r="AD84" s="15"/>
      <c r="AE84" s="15"/>
      <c r="AF84" s="15"/>
      <c r="AG84" s="15"/>
      <c r="AH84" s="15"/>
    </row>
    <row r="85" ht="16.5" customHeight="1">
      <c r="A85" s="32" t="s">
        <v>5</v>
      </c>
      <c r="E85" s="8" t="s">
        <v>88</v>
      </c>
      <c r="F85" s="8" t="s">
        <v>872</v>
      </c>
      <c r="G85" s="149" t="s">
        <v>4396</v>
      </c>
      <c r="H85" s="35" t="s">
        <v>1076</v>
      </c>
      <c r="L85" s="11"/>
      <c r="M85" s="15"/>
      <c r="N85" s="15"/>
      <c r="O85" s="15"/>
      <c r="P85" s="15"/>
      <c r="Q85" s="15"/>
      <c r="R85" s="15"/>
      <c r="S85" s="15"/>
      <c r="T85" s="15"/>
      <c r="U85" s="15"/>
      <c r="V85" s="15"/>
      <c r="W85" s="15"/>
      <c r="X85" s="15"/>
      <c r="Y85" s="15"/>
      <c r="Z85" s="15"/>
      <c r="AA85" s="15"/>
      <c r="AB85" s="15"/>
      <c r="AC85" s="15"/>
      <c r="AD85" s="15"/>
      <c r="AE85" s="15"/>
      <c r="AF85" s="15"/>
      <c r="AG85" s="15"/>
      <c r="AH85" s="15"/>
    </row>
    <row r="86" ht="16.5" customHeight="1">
      <c r="A86" s="32" t="s">
        <v>5</v>
      </c>
      <c r="E86" s="28" t="s">
        <v>88</v>
      </c>
      <c r="F86" s="38" t="s">
        <v>870</v>
      </c>
      <c r="G86" s="149" t="s">
        <v>4397</v>
      </c>
      <c r="H86" s="35" t="s">
        <v>870</v>
      </c>
      <c r="L86" s="11"/>
      <c r="M86" s="15"/>
      <c r="N86" s="15"/>
      <c r="O86" s="15"/>
      <c r="P86" s="15"/>
      <c r="Q86" s="15"/>
      <c r="R86" s="15"/>
      <c r="S86" s="15"/>
      <c r="T86" s="15"/>
      <c r="U86" s="15"/>
      <c r="V86" s="15"/>
      <c r="W86" s="15"/>
      <c r="X86" s="15"/>
      <c r="Y86" s="15"/>
      <c r="Z86" s="15"/>
      <c r="AA86" s="15"/>
      <c r="AB86" s="15"/>
      <c r="AC86" s="15"/>
      <c r="AD86" s="15"/>
      <c r="AE86" s="15"/>
      <c r="AF86" s="15"/>
      <c r="AG86" s="15"/>
      <c r="AH86" s="15"/>
    </row>
    <row r="87" ht="16.5" customHeight="1">
      <c r="A87" s="32" t="s">
        <v>5</v>
      </c>
      <c r="E87" s="28" t="s">
        <v>88</v>
      </c>
      <c r="F87" s="28" t="s">
        <v>881</v>
      </c>
      <c r="G87" s="149" t="s">
        <v>4398</v>
      </c>
      <c r="H87" s="35" t="s">
        <v>4399</v>
      </c>
      <c r="L87" s="11"/>
      <c r="M87" s="15"/>
      <c r="N87" s="15"/>
      <c r="O87" s="15"/>
      <c r="P87" s="15"/>
      <c r="Q87" s="15"/>
      <c r="R87" s="15"/>
      <c r="S87" s="15"/>
      <c r="T87" s="15"/>
      <c r="U87" s="15"/>
      <c r="V87" s="15"/>
      <c r="W87" s="15"/>
      <c r="X87" s="15"/>
      <c r="Y87" s="15"/>
      <c r="Z87" s="15"/>
      <c r="AA87" s="15"/>
      <c r="AB87" s="15"/>
      <c r="AC87" s="15"/>
      <c r="AD87" s="15"/>
      <c r="AE87" s="15"/>
      <c r="AF87" s="15"/>
      <c r="AG87" s="15"/>
      <c r="AH87" s="15"/>
    </row>
    <row r="88" ht="16.5" customHeight="1">
      <c r="A88" s="32" t="s">
        <v>5</v>
      </c>
      <c r="E88" s="8" t="s">
        <v>88</v>
      </c>
      <c r="F88" s="8" t="s">
        <v>875</v>
      </c>
      <c r="G88" s="149" t="s">
        <v>4400</v>
      </c>
      <c r="H88" s="35" t="s">
        <v>4373</v>
      </c>
      <c r="I88" s="36"/>
      <c r="L88" s="11"/>
      <c r="M88" s="15"/>
      <c r="N88" s="15"/>
      <c r="O88" s="15"/>
      <c r="P88" s="15"/>
      <c r="Q88" s="15"/>
      <c r="R88" s="15"/>
      <c r="S88" s="15"/>
      <c r="T88" s="15"/>
      <c r="U88" s="15"/>
      <c r="V88" s="15"/>
      <c r="W88" s="15"/>
      <c r="X88" s="15"/>
      <c r="Y88" s="15"/>
      <c r="Z88" s="15"/>
      <c r="AA88" s="15"/>
      <c r="AB88" s="15"/>
      <c r="AC88" s="15"/>
      <c r="AD88" s="15"/>
      <c r="AE88" s="15"/>
      <c r="AF88" s="15"/>
      <c r="AG88" s="15"/>
      <c r="AH88" s="15"/>
    </row>
    <row r="89" ht="16.5" customHeight="1">
      <c r="A89" s="32" t="s">
        <v>5</v>
      </c>
      <c r="E89" s="8" t="s">
        <v>88</v>
      </c>
      <c r="F89" s="8" t="s">
        <v>872</v>
      </c>
      <c r="G89" s="149" t="s">
        <v>4401</v>
      </c>
      <c r="H89" s="35" t="s">
        <v>1075</v>
      </c>
      <c r="I89" s="35" t="s">
        <v>1081</v>
      </c>
      <c r="L89" s="11"/>
      <c r="M89" s="15"/>
      <c r="N89" s="15"/>
      <c r="O89" s="15"/>
      <c r="P89" s="15"/>
      <c r="Q89" s="15"/>
      <c r="R89" s="15"/>
      <c r="S89" s="15"/>
      <c r="T89" s="15"/>
      <c r="U89" s="15"/>
      <c r="V89" s="15"/>
      <c r="W89" s="15"/>
      <c r="X89" s="15"/>
      <c r="Y89" s="15"/>
      <c r="Z89" s="15"/>
      <c r="AA89" s="15"/>
      <c r="AB89" s="15"/>
      <c r="AC89" s="15"/>
      <c r="AD89" s="15"/>
      <c r="AE89" s="15"/>
      <c r="AF89" s="15"/>
      <c r="AG89" s="15"/>
      <c r="AH89" s="15"/>
    </row>
    <row r="90" ht="16.5" customHeight="1">
      <c r="A90" s="32" t="s">
        <v>5</v>
      </c>
      <c r="E90" s="8" t="s">
        <v>88</v>
      </c>
      <c r="F90" s="8" t="s">
        <v>869</v>
      </c>
      <c r="G90" s="69"/>
      <c r="H90" s="36"/>
      <c r="L90" s="11"/>
      <c r="M90" s="15"/>
      <c r="N90" s="15"/>
      <c r="O90" s="15"/>
      <c r="P90" s="15"/>
      <c r="Q90" s="15"/>
      <c r="R90" s="15"/>
      <c r="S90" s="15"/>
      <c r="T90" s="15"/>
      <c r="U90" s="15"/>
      <c r="V90" s="15"/>
      <c r="W90" s="15"/>
      <c r="X90" s="15"/>
      <c r="Y90" s="15"/>
      <c r="Z90" s="15"/>
      <c r="AA90" s="15"/>
      <c r="AB90" s="15"/>
      <c r="AC90" s="15"/>
      <c r="AD90" s="15"/>
      <c r="AE90" s="15"/>
      <c r="AF90" s="15"/>
      <c r="AG90" s="15"/>
      <c r="AH90" s="15"/>
    </row>
    <row r="91" ht="16.5" customHeight="1">
      <c r="A91" s="32" t="s">
        <v>5</v>
      </c>
      <c r="E91" s="8" t="s">
        <v>88</v>
      </c>
      <c r="F91" s="8" t="s">
        <v>120</v>
      </c>
      <c r="G91" s="149" t="s">
        <v>4402</v>
      </c>
      <c r="H91" s="8" t="s">
        <v>120</v>
      </c>
      <c r="I91" s="9"/>
      <c r="J91" s="9"/>
      <c r="K91" s="11"/>
      <c r="L91" s="11"/>
      <c r="M91" s="15"/>
      <c r="N91" s="15"/>
      <c r="O91" s="15"/>
      <c r="P91" s="15"/>
      <c r="Q91" s="15"/>
      <c r="R91" s="15"/>
      <c r="S91" s="15"/>
      <c r="T91" s="15"/>
      <c r="U91" s="15"/>
      <c r="V91" s="15"/>
      <c r="W91" s="15"/>
      <c r="X91" s="15"/>
      <c r="Y91" s="15"/>
      <c r="Z91" s="15"/>
      <c r="AA91" s="15"/>
      <c r="AB91" s="15"/>
      <c r="AC91" s="15"/>
      <c r="AD91" s="15"/>
      <c r="AE91" s="15"/>
      <c r="AF91" s="15"/>
      <c r="AG91" s="15"/>
      <c r="AH91" s="15"/>
    </row>
    <row r="92" ht="16.5" customHeight="1">
      <c r="A92" s="32" t="s">
        <v>5</v>
      </c>
      <c r="E92" s="8" t="s">
        <v>88</v>
      </c>
      <c r="F92" s="8" t="s">
        <v>544</v>
      </c>
      <c r="G92" s="149" t="s">
        <v>4403</v>
      </c>
      <c r="H92" s="8" t="s">
        <v>544</v>
      </c>
      <c r="I92" s="9"/>
      <c r="J92" s="9"/>
      <c r="K92" s="11"/>
      <c r="L92" s="11"/>
      <c r="M92" s="15"/>
      <c r="N92" s="15"/>
      <c r="O92" s="15"/>
      <c r="P92" s="15"/>
      <c r="Q92" s="15"/>
      <c r="R92" s="15"/>
      <c r="S92" s="15"/>
      <c r="T92" s="15"/>
      <c r="U92" s="15"/>
      <c r="V92" s="15"/>
      <c r="W92" s="15"/>
      <c r="X92" s="15"/>
      <c r="Y92" s="15"/>
      <c r="Z92" s="15"/>
      <c r="AA92" s="15"/>
      <c r="AB92" s="15"/>
      <c r="AC92" s="15"/>
      <c r="AD92" s="15"/>
      <c r="AE92" s="15"/>
      <c r="AF92" s="15"/>
      <c r="AG92" s="15"/>
      <c r="AH92" s="15"/>
    </row>
    <row r="93" ht="16.5" customHeight="1">
      <c r="A93" s="32" t="s">
        <v>5</v>
      </c>
      <c r="E93" s="28" t="s">
        <v>88</v>
      </c>
      <c r="F93" s="8" t="s">
        <v>247</v>
      </c>
      <c r="G93" s="69"/>
      <c r="H93" s="36"/>
      <c r="L93" s="11"/>
      <c r="M93" s="15"/>
      <c r="N93" s="15"/>
      <c r="O93" s="15"/>
      <c r="P93" s="15"/>
      <c r="Q93" s="15"/>
      <c r="R93" s="15"/>
      <c r="S93" s="15"/>
      <c r="T93" s="15"/>
      <c r="U93" s="15"/>
      <c r="V93" s="15"/>
      <c r="W93" s="15"/>
      <c r="X93" s="15"/>
      <c r="Y93" s="15"/>
      <c r="Z93" s="15"/>
      <c r="AA93" s="15"/>
      <c r="AB93" s="15"/>
      <c r="AC93" s="15"/>
      <c r="AD93" s="15"/>
      <c r="AE93" s="15"/>
      <c r="AF93" s="15"/>
      <c r="AG93" s="15"/>
      <c r="AH93" s="15"/>
    </row>
    <row r="94" ht="16.5" customHeight="1">
      <c r="A94" s="32" t="s">
        <v>5</v>
      </c>
      <c r="E94" s="28" t="s">
        <v>88</v>
      </c>
      <c r="F94" s="38" t="s">
        <v>95</v>
      </c>
      <c r="G94" s="149" t="s">
        <v>4404</v>
      </c>
      <c r="H94" s="35" t="s">
        <v>95</v>
      </c>
      <c r="L94" s="11"/>
      <c r="M94" s="15"/>
      <c r="N94" s="15"/>
      <c r="O94" s="15"/>
      <c r="P94" s="15"/>
      <c r="Q94" s="15"/>
      <c r="R94" s="15"/>
      <c r="S94" s="15"/>
      <c r="T94" s="15"/>
      <c r="U94" s="15"/>
      <c r="V94" s="15"/>
      <c r="W94" s="15"/>
      <c r="X94" s="15"/>
      <c r="Y94" s="15"/>
      <c r="Z94" s="15"/>
      <c r="AA94" s="15"/>
      <c r="AB94" s="15"/>
      <c r="AC94" s="15"/>
      <c r="AD94" s="15"/>
      <c r="AE94" s="15"/>
      <c r="AF94" s="15"/>
      <c r="AG94" s="15"/>
      <c r="AH94" s="15"/>
    </row>
    <row r="95" ht="16.5" customHeight="1">
      <c r="A95" s="32" t="s">
        <v>5</v>
      </c>
      <c r="E95" s="28" t="s">
        <v>88</v>
      </c>
      <c r="F95" s="38" t="s">
        <v>96</v>
      </c>
      <c r="G95" s="149" t="s">
        <v>4405</v>
      </c>
      <c r="H95" s="38" t="s">
        <v>96</v>
      </c>
      <c r="I95" s="9"/>
      <c r="J95" s="9"/>
      <c r="K95" s="11"/>
      <c r="L95" s="11"/>
      <c r="M95" s="15"/>
      <c r="N95" s="15"/>
      <c r="O95" s="15"/>
      <c r="P95" s="15"/>
      <c r="Q95" s="15"/>
      <c r="R95" s="15"/>
      <c r="S95" s="15"/>
      <c r="T95" s="15"/>
      <c r="U95" s="15"/>
      <c r="V95" s="15"/>
      <c r="W95" s="15"/>
      <c r="X95" s="15"/>
      <c r="Y95" s="15"/>
      <c r="Z95" s="15"/>
      <c r="AA95" s="15"/>
      <c r="AB95" s="15"/>
      <c r="AC95" s="15"/>
      <c r="AD95" s="15"/>
      <c r="AE95" s="15"/>
      <c r="AF95" s="15"/>
      <c r="AG95" s="15"/>
      <c r="AH95" s="15"/>
    </row>
    <row r="96" ht="16.5" customHeight="1">
      <c r="A96" s="32" t="s">
        <v>5</v>
      </c>
      <c r="E96" s="28" t="s">
        <v>86</v>
      </c>
      <c r="F96" s="28" t="s">
        <v>90</v>
      </c>
      <c r="G96" s="149" t="s">
        <v>4406</v>
      </c>
      <c r="H96" s="38" t="s">
        <v>90</v>
      </c>
      <c r="I96" s="9"/>
      <c r="J96" s="9"/>
      <c r="K96" s="11"/>
      <c r="L96" s="11"/>
      <c r="M96" s="15"/>
      <c r="N96" s="15"/>
      <c r="O96" s="15"/>
      <c r="P96" s="15"/>
      <c r="Q96" s="15"/>
      <c r="R96" s="15"/>
      <c r="S96" s="15"/>
      <c r="T96" s="15"/>
      <c r="U96" s="15"/>
      <c r="V96" s="15"/>
      <c r="W96" s="15"/>
      <c r="X96" s="15"/>
      <c r="Y96" s="15"/>
      <c r="Z96" s="15"/>
      <c r="AA96" s="15"/>
      <c r="AB96" s="15"/>
      <c r="AC96" s="15"/>
      <c r="AD96" s="15"/>
      <c r="AE96" s="15"/>
      <c r="AF96" s="15"/>
      <c r="AG96" s="15"/>
      <c r="AH96" s="15"/>
    </row>
    <row r="97" ht="16.5" customHeight="1">
      <c r="A97" s="32" t="s">
        <v>5</v>
      </c>
      <c r="E97" s="8" t="s">
        <v>86</v>
      </c>
      <c r="F97" s="8" t="s">
        <v>91</v>
      </c>
      <c r="G97" s="149" t="s">
        <v>4407</v>
      </c>
      <c r="H97" s="8" t="s">
        <v>91</v>
      </c>
      <c r="I97" s="9"/>
      <c r="J97" s="9"/>
      <c r="K97" s="11"/>
      <c r="L97" s="11"/>
      <c r="M97" s="15"/>
      <c r="N97" s="15"/>
      <c r="O97" s="15"/>
      <c r="P97" s="15"/>
      <c r="Q97" s="15"/>
      <c r="R97" s="15"/>
      <c r="S97" s="15"/>
      <c r="T97" s="15"/>
      <c r="U97" s="15"/>
      <c r="V97" s="15"/>
      <c r="W97" s="15"/>
      <c r="X97" s="15"/>
      <c r="Y97" s="15"/>
      <c r="Z97" s="15"/>
      <c r="AA97" s="15"/>
      <c r="AB97" s="15"/>
      <c r="AC97" s="15"/>
      <c r="AD97" s="15"/>
      <c r="AE97" s="15"/>
      <c r="AF97" s="15"/>
      <c r="AG97" s="15"/>
      <c r="AH97" s="15"/>
    </row>
    <row r="98" ht="16.5" customHeight="1">
      <c r="A98" s="32" t="s">
        <v>5</v>
      </c>
      <c r="E98" s="8" t="s">
        <v>86</v>
      </c>
      <c r="F98" s="8" t="s">
        <v>338</v>
      </c>
      <c r="G98" s="149" t="s">
        <v>4408</v>
      </c>
      <c r="H98" s="8" t="s">
        <v>338</v>
      </c>
      <c r="I98" s="9"/>
      <c r="J98" s="9"/>
      <c r="K98" s="11"/>
      <c r="L98" s="11"/>
      <c r="M98" s="15"/>
      <c r="N98" s="15"/>
      <c r="O98" s="15"/>
      <c r="P98" s="15"/>
      <c r="Q98" s="15"/>
      <c r="R98" s="15"/>
      <c r="S98" s="15"/>
      <c r="T98" s="15"/>
      <c r="U98" s="15"/>
      <c r="V98" s="15"/>
      <c r="W98" s="15"/>
      <c r="X98" s="15"/>
      <c r="Y98" s="15"/>
      <c r="Z98" s="15"/>
      <c r="AA98" s="15"/>
      <c r="AB98" s="15"/>
      <c r="AC98" s="15"/>
      <c r="AD98" s="15"/>
      <c r="AE98" s="15"/>
      <c r="AF98" s="15"/>
      <c r="AG98" s="15"/>
      <c r="AH98" s="15"/>
    </row>
    <row r="99" ht="16.5" customHeight="1">
      <c r="A99" s="32" t="s">
        <v>5</v>
      </c>
      <c r="E99" s="8" t="s">
        <v>88</v>
      </c>
      <c r="F99" s="8" t="s">
        <v>89</v>
      </c>
      <c r="G99" s="69"/>
      <c r="H99" s="36"/>
      <c r="L99" s="11"/>
      <c r="M99" s="15"/>
      <c r="N99" s="15"/>
      <c r="O99" s="15"/>
      <c r="P99" s="15"/>
      <c r="Q99" s="15"/>
      <c r="R99" s="15"/>
      <c r="S99" s="15"/>
      <c r="T99" s="15"/>
      <c r="U99" s="15"/>
      <c r="V99" s="15"/>
      <c r="W99" s="15"/>
      <c r="X99" s="15"/>
      <c r="Y99" s="15"/>
      <c r="Z99" s="15"/>
      <c r="AA99" s="15"/>
      <c r="AB99" s="15"/>
      <c r="AC99" s="15"/>
      <c r="AD99" s="15"/>
      <c r="AE99" s="15"/>
      <c r="AF99" s="15"/>
      <c r="AG99" s="15"/>
      <c r="AH99" s="15"/>
    </row>
    <row r="100" ht="16.5" customHeight="1">
      <c r="A100" s="32" t="s">
        <v>5</v>
      </c>
      <c r="E100" s="8" t="s">
        <v>88</v>
      </c>
      <c r="F100" s="8" t="s">
        <v>795</v>
      </c>
      <c r="G100" s="69"/>
      <c r="H100" s="31"/>
      <c r="I100" s="9"/>
      <c r="J100" s="9"/>
      <c r="K100" s="11"/>
      <c r="L100" s="11"/>
      <c r="M100" s="15"/>
      <c r="N100" s="15"/>
      <c r="O100" s="15"/>
      <c r="P100" s="15"/>
      <c r="Q100" s="15"/>
      <c r="R100" s="15"/>
      <c r="S100" s="15"/>
      <c r="T100" s="15"/>
      <c r="U100" s="15"/>
      <c r="V100" s="15"/>
      <c r="W100" s="15"/>
      <c r="X100" s="15"/>
      <c r="Y100" s="15"/>
      <c r="Z100" s="15"/>
      <c r="AA100" s="15"/>
      <c r="AB100" s="15"/>
      <c r="AC100" s="15"/>
      <c r="AD100" s="15"/>
      <c r="AE100" s="15"/>
      <c r="AF100" s="15"/>
      <c r="AG100" s="15"/>
      <c r="AH100" s="15"/>
    </row>
    <row r="101" ht="16.5" customHeight="1">
      <c r="A101" s="32" t="s">
        <v>5</v>
      </c>
      <c r="B101" s="344" t="s">
        <v>4409</v>
      </c>
      <c r="C101" s="486" t="s">
        <v>4410</v>
      </c>
      <c r="D101" s="186" t="s">
        <v>20</v>
      </c>
      <c r="E101" s="28" t="s">
        <v>172</v>
      </c>
      <c r="F101" s="344" t="s">
        <v>194</v>
      </c>
      <c r="G101" s="487" t="s">
        <v>4411</v>
      </c>
      <c r="H101" s="35" t="s">
        <v>194</v>
      </c>
      <c r="L101" s="11"/>
      <c r="M101" s="15"/>
      <c r="N101" s="15"/>
      <c r="O101" s="15"/>
      <c r="P101" s="15"/>
      <c r="Q101" s="15"/>
      <c r="R101" s="15"/>
      <c r="S101" s="15"/>
      <c r="T101" s="15"/>
      <c r="U101" s="15"/>
      <c r="V101" s="15"/>
      <c r="W101" s="15"/>
      <c r="X101" s="15"/>
      <c r="Y101" s="15"/>
      <c r="Z101" s="15"/>
      <c r="AA101" s="15"/>
      <c r="AB101" s="15"/>
      <c r="AC101" s="15"/>
      <c r="AD101" s="15"/>
      <c r="AE101" s="15"/>
      <c r="AF101" s="15"/>
      <c r="AG101" s="15"/>
      <c r="AH101" s="15"/>
    </row>
    <row r="102" ht="16.5" customHeight="1">
      <c r="A102" s="32" t="s">
        <v>5</v>
      </c>
      <c r="E102" s="28" t="s">
        <v>172</v>
      </c>
      <c r="F102" s="344" t="s">
        <v>195</v>
      </c>
      <c r="G102" s="487" t="s">
        <v>4412</v>
      </c>
      <c r="H102" s="35" t="s">
        <v>195</v>
      </c>
      <c r="L102" s="11"/>
      <c r="M102" s="15"/>
      <c r="N102" s="15"/>
      <c r="O102" s="15"/>
      <c r="P102" s="15"/>
      <c r="Q102" s="15"/>
      <c r="R102" s="15"/>
      <c r="S102" s="15"/>
      <c r="T102" s="15"/>
      <c r="U102" s="15"/>
      <c r="V102" s="15"/>
      <c r="W102" s="15"/>
      <c r="X102" s="15"/>
      <c r="Y102" s="15"/>
      <c r="Z102" s="15"/>
      <c r="AA102" s="15"/>
      <c r="AB102" s="15"/>
      <c r="AC102" s="15"/>
      <c r="AD102" s="15"/>
      <c r="AE102" s="15"/>
      <c r="AF102" s="15"/>
      <c r="AG102" s="15"/>
      <c r="AH102" s="15"/>
    </row>
    <row r="103" ht="16.5" customHeight="1">
      <c r="A103" s="32" t="s">
        <v>5</v>
      </c>
      <c r="E103" s="28" t="s">
        <v>88</v>
      </c>
      <c r="F103" s="344" t="s">
        <v>154</v>
      </c>
      <c r="G103" s="487" t="s">
        <v>4413</v>
      </c>
      <c r="H103" s="344" t="s">
        <v>154</v>
      </c>
      <c r="L103" s="11"/>
      <c r="M103" s="15"/>
      <c r="N103" s="15"/>
      <c r="O103" s="15"/>
      <c r="P103" s="15"/>
      <c r="Q103" s="15"/>
      <c r="R103" s="15"/>
      <c r="S103" s="15"/>
      <c r="T103" s="15"/>
      <c r="U103" s="15"/>
      <c r="V103" s="15"/>
      <c r="W103" s="15"/>
      <c r="X103" s="15"/>
      <c r="Y103" s="15"/>
      <c r="Z103" s="15"/>
      <c r="AA103" s="15"/>
      <c r="AB103" s="15"/>
      <c r="AC103" s="15"/>
      <c r="AD103" s="15"/>
      <c r="AE103" s="15"/>
      <c r="AF103" s="15"/>
      <c r="AG103" s="15"/>
      <c r="AH103" s="15"/>
    </row>
    <row r="104" ht="16.5" customHeight="1">
      <c r="A104" s="32" t="s">
        <v>5</v>
      </c>
      <c r="E104" s="28" t="s">
        <v>88</v>
      </c>
      <c r="F104" s="344" t="s">
        <v>859</v>
      </c>
      <c r="G104" s="487" t="s">
        <v>4414</v>
      </c>
      <c r="H104" s="344" t="s">
        <v>859</v>
      </c>
      <c r="I104" s="9"/>
      <c r="J104" s="9"/>
      <c r="K104" s="11"/>
      <c r="L104" s="11"/>
      <c r="M104" s="15"/>
      <c r="N104" s="15"/>
      <c r="O104" s="15"/>
      <c r="P104" s="15"/>
      <c r="Q104" s="15"/>
      <c r="R104" s="15"/>
      <c r="S104" s="15"/>
      <c r="T104" s="15"/>
      <c r="U104" s="15"/>
      <c r="V104" s="15"/>
      <c r="W104" s="15"/>
      <c r="X104" s="15"/>
      <c r="Y104" s="15"/>
      <c r="Z104" s="15"/>
      <c r="AA104" s="15"/>
      <c r="AB104" s="15"/>
      <c r="AC104" s="15"/>
      <c r="AD104" s="15"/>
      <c r="AE104" s="15"/>
      <c r="AF104" s="15"/>
      <c r="AG104" s="15"/>
      <c r="AH104" s="15"/>
    </row>
    <row r="105" ht="16.5" customHeight="1">
      <c r="A105" s="32" t="s">
        <v>5</v>
      </c>
      <c r="E105" s="8" t="s">
        <v>88</v>
      </c>
      <c r="F105" s="344" t="s">
        <v>879</v>
      </c>
      <c r="G105" s="487" t="s">
        <v>4415</v>
      </c>
      <c r="H105" s="344" t="s">
        <v>879</v>
      </c>
      <c r="L105" s="11"/>
      <c r="M105" s="15"/>
      <c r="N105" s="15"/>
      <c r="O105" s="15"/>
      <c r="P105" s="15"/>
      <c r="Q105" s="15"/>
      <c r="R105" s="15"/>
      <c r="S105" s="15"/>
      <c r="T105" s="15"/>
      <c r="U105" s="15"/>
      <c r="V105" s="15"/>
      <c r="W105" s="15"/>
      <c r="X105" s="15"/>
      <c r="Y105" s="15"/>
      <c r="Z105" s="15"/>
      <c r="AA105" s="15"/>
      <c r="AB105" s="15"/>
      <c r="AC105" s="15"/>
      <c r="AD105" s="15"/>
      <c r="AE105" s="15"/>
      <c r="AF105" s="15"/>
      <c r="AG105" s="15"/>
      <c r="AH105" s="15"/>
    </row>
    <row r="106" ht="16.5" customHeight="1">
      <c r="A106" s="32" t="s">
        <v>5</v>
      </c>
      <c r="E106" s="8" t="s">
        <v>88</v>
      </c>
      <c r="F106" s="344" t="s">
        <v>870</v>
      </c>
      <c r="G106" s="487" t="s">
        <v>4416</v>
      </c>
      <c r="H106" s="344" t="s">
        <v>870</v>
      </c>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row>
    <row r="107" ht="16.5" customHeight="1">
      <c r="A107" s="32" t="s">
        <v>5</v>
      </c>
      <c r="E107" s="28" t="s">
        <v>88</v>
      </c>
      <c r="F107" s="344" t="s">
        <v>881</v>
      </c>
      <c r="G107" s="487" t="s">
        <v>4417</v>
      </c>
      <c r="H107" s="344" t="s">
        <v>881</v>
      </c>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row>
    <row r="108" ht="16.5" customHeight="1">
      <c r="A108" s="32" t="s">
        <v>5</v>
      </c>
      <c r="E108" s="28" t="s">
        <v>88</v>
      </c>
      <c r="F108" s="344" t="s">
        <v>875</v>
      </c>
      <c r="G108" s="487" t="s">
        <v>4418</v>
      </c>
      <c r="H108" s="344" t="s">
        <v>875</v>
      </c>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row>
    <row r="109" ht="16.5" customHeight="1">
      <c r="A109" s="32" t="s">
        <v>5</v>
      </c>
      <c r="E109" s="28" t="s">
        <v>88</v>
      </c>
      <c r="F109" s="344" t="s">
        <v>872</v>
      </c>
      <c r="G109" s="487" t="s">
        <v>4419</v>
      </c>
      <c r="H109" s="35" t="s">
        <v>852</v>
      </c>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row>
    <row r="110" ht="16.5" customHeight="1">
      <c r="A110" s="32" t="s">
        <v>5</v>
      </c>
      <c r="E110" s="8" t="s">
        <v>88</v>
      </c>
      <c r="F110" s="344" t="s">
        <v>875</v>
      </c>
      <c r="G110" s="487" t="s">
        <v>4420</v>
      </c>
      <c r="H110" s="35" t="s">
        <v>4328</v>
      </c>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row>
    <row r="111" ht="16.5" customHeight="1">
      <c r="A111" s="32" t="s">
        <v>5</v>
      </c>
      <c r="E111" s="8" t="s">
        <v>88</v>
      </c>
      <c r="F111" s="344" t="s">
        <v>872</v>
      </c>
      <c r="G111" s="487" t="s">
        <v>4421</v>
      </c>
      <c r="H111" s="35" t="s">
        <v>846</v>
      </c>
      <c r="I111" s="35" t="s">
        <v>1076</v>
      </c>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row>
    <row r="112" ht="16.5" customHeight="1">
      <c r="A112" s="32" t="s">
        <v>5</v>
      </c>
      <c r="E112" s="8" t="s">
        <v>88</v>
      </c>
      <c r="F112" s="344" t="s">
        <v>875</v>
      </c>
      <c r="G112" s="487" t="s">
        <v>4422</v>
      </c>
      <c r="H112" s="35" t="s">
        <v>4373</v>
      </c>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row>
    <row r="113" ht="16.5" customHeight="1">
      <c r="A113" s="32" t="s">
        <v>5</v>
      </c>
      <c r="E113" s="8" t="s">
        <v>88</v>
      </c>
      <c r="F113" s="344" t="s">
        <v>872</v>
      </c>
      <c r="G113" s="487" t="s">
        <v>4423</v>
      </c>
      <c r="H113" s="35" t="s">
        <v>1081</v>
      </c>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row>
    <row r="114" ht="16.5" customHeight="1">
      <c r="A114" s="32" t="s">
        <v>5</v>
      </c>
      <c r="E114" s="8" t="s">
        <v>88</v>
      </c>
      <c r="F114" s="344" t="s">
        <v>870</v>
      </c>
      <c r="G114" s="487" t="s">
        <v>4424</v>
      </c>
      <c r="H114" s="35" t="s">
        <v>4369</v>
      </c>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row>
    <row r="115" ht="16.5" customHeight="1">
      <c r="A115" s="32" t="s">
        <v>5</v>
      </c>
      <c r="E115" s="28" t="s">
        <v>88</v>
      </c>
      <c r="F115" s="344" t="s">
        <v>881</v>
      </c>
      <c r="G115" s="487" t="s">
        <v>4425</v>
      </c>
      <c r="H115" s="35" t="s">
        <v>4399</v>
      </c>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row>
    <row r="116" ht="16.5" customHeight="1">
      <c r="A116" s="32" t="s">
        <v>5</v>
      </c>
      <c r="E116" s="28" t="s">
        <v>88</v>
      </c>
      <c r="F116" s="344" t="s">
        <v>875</v>
      </c>
      <c r="G116" s="487" t="s">
        <v>4426</v>
      </c>
      <c r="H116" s="35" t="s">
        <v>4427</v>
      </c>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row>
    <row r="117" ht="16.5" customHeight="1">
      <c r="A117" s="32" t="s">
        <v>5</v>
      </c>
      <c r="E117" s="28" t="s">
        <v>88</v>
      </c>
      <c r="F117" s="344" t="s">
        <v>872</v>
      </c>
      <c r="G117" s="487" t="s">
        <v>4428</v>
      </c>
      <c r="H117" s="35" t="s">
        <v>1075</v>
      </c>
      <c r="I117" s="35" t="s">
        <v>1086</v>
      </c>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row>
    <row r="118" ht="16.5" customHeight="1">
      <c r="A118" s="32" t="s">
        <v>5</v>
      </c>
      <c r="E118" s="8" t="s">
        <v>88</v>
      </c>
      <c r="F118" s="344" t="s">
        <v>875</v>
      </c>
      <c r="G118" s="487" t="s">
        <v>4429</v>
      </c>
      <c r="H118" s="35" t="s">
        <v>4430</v>
      </c>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row>
    <row r="119" ht="16.5" customHeight="1">
      <c r="A119" s="32" t="s">
        <v>5</v>
      </c>
      <c r="E119" s="8" t="s">
        <v>88</v>
      </c>
      <c r="F119" s="344" t="s">
        <v>872</v>
      </c>
      <c r="G119" s="487" t="s">
        <v>4431</v>
      </c>
      <c r="H119" s="35" t="s">
        <v>4432</v>
      </c>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row>
    <row r="120" ht="16.5" customHeight="1">
      <c r="A120" s="32" t="s">
        <v>5</v>
      </c>
      <c r="E120" s="28" t="s">
        <v>88</v>
      </c>
      <c r="F120" s="344" t="s">
        <v>869</v>
      </c>
      <c r="G120" s="344"/>
      <c r="H120" s="36"/>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row>
    <row r="121" ht="16.5" customHeight="1">
      <c r="A121" s="32" t="s">
        <v>5</v>
      </c>
      <c r="E121" s="28" t="s">
        <v>21</v>
      </c>
      <c r="F121" s="344" t="s">
        <v>51</v>
      </c>
      <c r="G121" s="487" t="s">
        <v>4433</v>
      </c>
      <c r="H121" s="35" t="s">
        <v>51</v>
      </c>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row>
    <row r="122" ht="16.5" customHeight="1">
      <c r="A122" s="32" t="s">
        <v>5</v>
      </c>
      <c r="E122" s="28" t="s">
        <v>88</v>
      </c>
      <c r="F122" s="344" t="s">
        <v>96</v>
      </c>
      <c r="G122" s="487" t="s">
        <v>4434</v>
      </c>
      <c r="H122" s="35" t="s">
        <v>96</v>
      </c>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row>
    <row r="123" ht="16.5" customHeight="1">
      <c r="A123" s="32" t="s">
        <v>5</v>
      </c>
      <c r="E123" s="8" t="s">
        <v>86</v>
      </c>
      <c r="F123" s="344" t="s">
        <v>90</v>
      </c>
      <c r="G123" s="487" t="s">
        <v>4435</v>
      </c>
      <c r="H123" s="35" t="s">
        <v>90</v>
      </c>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row>
    <row r="124" ht="16.5" customHeight="1">
      <c r="A124" s="32" t="s">
        <v>5</v>
      </c>
      <c r="E124" s="8" t="s">
        <v>86</v>
      </c>
      <c r="F124" s="344" t="s">
        <v>91</v>
      </c>
      <c r="G124" s="487" t="s">
        <v>4436</v>
      </c>
      <c r="H124" s="35" t="s">
        <v>91</v>
      </c>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row>
    <row r="125" ht="16.5" customHeight="1">
      <c r="A125" s="32" t="s">
        <v>5</v>
      </c>
      <c r="E125" s="8" t="s">
        <v>86</v>
      </c>
      <c r="F125" s="344" t="s">
        <v>338</v>
      </c>
      <c r="G125" s="487" t="s">
        <v>4437</v>
      </c>
      <c r="H125" s="35" t="s">
        <v>338</v>
      </c>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row>
    <row r="126" ht="16.5" customHeight="1">
      <c r="A126" s="32" t="s">
        <v>5</v>
      </c>
      <c r="E126" s="8" t="s">
        <v>88</v>
      </c>
      <c r="F126" s="344" t="s">
        <v>89</v>
      </c>
      <c r="G126" s="344"/>
      <c r="H126" s="36"/>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row>
    <row r="127" ht="16.5" customHeight="1">
      <c r="A127" s="32" t="s">
        <v>5</v>
      </c>
      <c r="E127" s="8" t="s">
        <v>88</v>
      </c>
      <c r="F127" s="344" t="s">
        <v>795</v>
      </c>
      <c r="G127" s="344"/>
      <c r="H127" s="36"/>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row>
    <row r="128" ht="16.5" customHeight="1">
      <c r="A128" s="32" t="s">
        <v>5</v>
      </c>
      <c r="B128" s="219" t="s">
        <v>4438</v>
      </c>
      <c r="C128" s="87" t="s">
        <v>4439</v>
      </c>
      <c r="D128" s="53" t="s">
        <v>42</v>
      </c>
      <c r="E128" s="8" t="s">
        <v>88</v>
      </c>
      <c r="F128" s="8" t="s">
        <v>154</v>
      </c>
      <c r="G128" s="149" t="s">
        <v>4440</v>
      </c>
      <c r="H128" s="35" t="s">
        <v>154</v>
      </c>
      <c r="L128" s="11"/>
      <c r="M128" s="15"/>
      <c r="N128" s="15"/>
      <c r="O128" s="15"/>
      <c r="P128" s="15"/>
      <c r="Q128" s="15"/>
      <c r="R128" s="15"/>
      <c r="S128" s="15"/>
      <c r="T128" s="15"/>
      <c r="U128" s="15"/>
      <c r="V128" s="15"/>
      <c r="W128" s="15"/>
      <c r="X128" s="15"/>
      <c r="Y128" s="15"/>
      <c r="Z128" s="15"/>
      <c r="AA128" s="15"/>
      <c r="AB128" s="15"/>
      <c r="AC128" s="15"/>
      <c r="AD128" s="15"/>
      <c r="AE128" s="15"/>
      <c r="AF128" s="15"/>
      <c r="AG128" s="15"/>
      <c r="AH128" s="15"/>
    </row>
    <row r="129" ht="16.5" customHeight="1">
      <c r="A129" s="32" t="s">
        <v>5</v>
      </c>
      <c r="B129" s="219" t="s">
        <v>5</v>
      </c>
      <c r="C129" s="87" t="s">
        <v>5</v>
      </c>
      <c r="D129" s="53" t="s">
        <v>5</v>
      </c>
      <c r="E129" s="8" t="s">
        <v>88</v>
      </c>
      <c r="F129" s="8" t="s">
        <v>795</v>
      </c>
      <c r="G129" s="69"/>
      <c r="H129" s="36"/>
      <c r="L129" s="11"/>
      <c r="M129" s="15"/>
      <c r="N129" s="15"/>
      <c r="O129" s="15"/>
      <c r="P129" s="15"/>
      <c r="Q129" s="15"/>
      <c r="R129" s="15"/>
      <c r="S129" s="15"/>
      <c r="T129" s="15"/>
      <c r="U129" s="15"/>
      <c r="V129" s="15"/>
      <c r="W129" s="15"/>
      <c r="X129" s="15"/>
      <c r="Y129" s="15"/>
      <c r="Z129" s="15"/>
      <c r="AA129" s="15"/>
      <c r="AB129" s="15"/>
      <c r="AC129" s="15"/>
      <c r="AD129" s="15"/>
      <c r="AE129" s="15"/>
      <c r="AF129" s="15"/>
      <c r="AG129" s="15"/>
      <c r="AH129" s="15"/>
    </row>
    <row r="130" ht="16.5" customHeight="1">
      <c r="A130" s="15"/>
      <c r="B130" s="449"/>
      <c r="C130" s="482"/>
      <c r="D130" s="55"/>
      <c r="E130" s="37"/>
      <c r="F130" s="30"/>
      <c r="G130" s="69"/>
      <c r="H130" s="30"/>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c r="AG130" s="15"/>
      <c r="AH130" s="15"/>
    </row>
    <row r="131" ht="16.5" customHeight="1">
      <c r="A131" s="15"/>
      <c r="B131" s="449"/>
      <c r="C131" s="482"/>
      <c r="D131" s="55"/>
      <c r="E131" s="37"/>
      <c r="F131" s="37"/>
      <c r="G131" s="69"/>
      <c r="H131" s="30"/>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c r="AG131" s="15"/>
      <c r="AH131" s="15"/>
    </row>
    <row r="132" ht="16.5" customHeight="1">
      <c r="A132" s="15"/>
      <c r="B132" s="449"/>
      <c r="C132" s="482"/>
      <c r="D132" s="55"/>
      <c r="E132" s="31"/>
      <c r="F132" s="31"/>
      <c r="G132" s="69"/>
      <c r="H132" s="31"/>
      <c r="I132" s="31"/>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c r="AG132" s="15"/>
      <c r="AH132" s="15"/>
    </row>
    <row r="133" ht="16.5" customHeight="1">
      <c r="A133" s="15"/>
      <c r="B133" s="449"/>
      <c r="C133" s="482"/>
      <c r="D133" s="55"/>
      <c r="E133" s="31"/>
      <c r="F133" s="31"/>
      <c r="G133" s="69"/>
      <c r="H133" s="31"/>
      <c r="I133" s="31"/>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c r="AG133" s="15"/>
      <c r="AH133" s="15"/>
    </row>
    <row r="134" ht="16.5" customHeight="1">
      <c r="A134" s="15"/>
      <c r="B134" s="449"/>
      <c r="C134" s="482"/>
      <c r="D134" s="55"/>
      <c r="E134" s="31"/>
      <c r="F134" s="31"/>
      <c r="G134" s="69"/>
      <c r="H134" s="31"/>
      <c r="I134" s="9"/>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c r="AG134" s="15"/>
      <c r="AH134" s="15"/>
    </row>
    <row r="135" ht="16.5" customHeight="1">
      <c r="A135" s="15"/>
      <c r="B135" s="449"/>
      <c r="C135" s="482"/>
      <c r="D135" s="55"/>
      <c r="E135" s="31"/>
      <c r="F135" s="31"/>
      <c r="G135" s="69"/>
      <c r="H135" s="31"/>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c r="AG135" s="15"/>
      <c r="AH135" s="15"/>
    </row>
    <row r="136" ht="16.5" customHeight="1">
      <c r="A136" s="15"/>
      <c r="B136" s="449"/>
      <c r="C136" s="482"/>
      <c r="D136" s="55"/>
      <c r="E136" s="31"/>
      <c r="F136" s="31"/>
      <c r="G136" s="69"/>
      <c r="H136" s="31"/>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c r="AG136" s="15"/>
      <c r="AH136" s="15"/>
    </row>
    <row r="137" ht="16.5" customHeight="1">
      <c r="A137" s="15"/>
      <c r="B137" s="449"/>
      <c r="C137" s="482"/>
      <c r="D137" s="55"/>
      <c r="E137" s="37"/>
      <c r="F137" s="31"/>
      <c r="G137" s="69"/>
      <c r="H137" s="31"/>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c r="AG137" s="15"/>
      <c r="AH137" s="15"/>
    </row>
    <row r="138" ht="16.5" customHeight="1">
      <c r="A138" s="15"/>
      <c r="B138" s="449"/>
      <c r="C138" s="482"/>
      <c r="D138" s="55"/>
      <c r="E138" s="37"/>
      <c r="F138" s="30"/>
      <c r="G138" s="69"/>
      <c r="H138" s="30"/>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c r="AG138" s="15"/>
      <c r="AH138" s="15"/>
    </row>
    <row r="139" ht="16.5" customHeight="1">
      <c r="A139" s="15"/>
      <c r="B139" s="449"/>
      <c r="C139" s="482"/>
      <c r="D139" s="55"/>
      <c r="E139" s="37"/>
      <c r="F139" s="37"/>
      <c r="G139" s="69"/>
      <c r="H139" s="30"/>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c r="AG139" s="15"/>
      <c r="AH139" s="15"/>
    </row>
    <row r="140" ht="16.5" customHeight="1">
      <c r="A140" s="15"/>
      <c r="B140" s="449"/>
      <c r="C140" s="482"/>
      <c r="D140" s="55"/>
      <c r="E140" s="31"/>
      <c r="F140" s="31"/>
      <c r="G140" s="69"/>
      <c r="H140" s="31"/>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c r="AG140" s="15"/>
      <c r="AH140" s="15"/>
    </row>
    <row r="141" ht="16.5" customHeight="1">
      <c r="A141" s="15"/>
      <c r="B141" s="449"/>
      <c r="C141" s="482"/>
      <c r="D141" s="55"/>
      <c r="E141" s="31"/>
      <c r="F141" s="31"/>
      <c r="G141" s="69"/>
      <c r="H141" s="31"/>
      <c r="I141" s="9"/>
      <c r="J141" s="9"/>
      <c r="K141" s="11"/>
      <c r="L141" s="11"/>
      <c r="M141" s="15"/>
      <c r="N141" s="15"/>
      <c r="O141" s="15"/>
      <c r="P141" s="15"/>
      <c r="Q141" s="15"/>
      <c r="R141" s="15"/>
      <c r="S141" s="15"/>
      <c r="T141" s="15"/>
      <c r="U141" s="15"/>
      <c r="V141" s="15"/>
      <c r="W141" s="15"/>
      <c r="X141" s="15"/>
      <c r="Y141" s="15"/>
      <c r="Z141" s="15"/>
      <c r="AA141" s="15"/>
      <c r="AB141" s="15"/>
      <c r="AC141" s="15"/>
      <c r="AD141" s="15"/>
      <c r="AE141" s="15"/>
      <c r="AF141" s="15"/>
      <c r="AG141" s="15"/>
      <c r="AH141" s="15"/>
    </row>
    <row r="142" ht="16.5" customHeight="1">
      <c r="A142" s="15"/>
      <c r="B142" s="449"/>
      <c r="C142" s="482"/>
      <c r="D142" s="55"/>
      <c r="E142" s="31"/>
      <c r="F142" s="31"/>
      <c r="G142" s="69"/>
      <c r="H142" s="31"/>
      <c r="I142" s="9"/>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c r="AG142" s="15"/>
      <c r="AH142" s="15"/>
    </row>
    <row r="143" ht="16.5" customHeight="1">
      <c r="A143" s="15"/>
      <c r="B143" s="449"/>
      <c r="C143" s="482"/>
      <c r="D143" s="55"/>
      <c r="E143" s="31"/>
      <c r="F143" s="31"/>
      <c r="G143" s="69"/>
      <c r="H143" s="31"/>
      <c r="I143" s="9"/>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c r="AG143" s="15"/>
      <c r="AH143" s="15"/>
    </row>
    <row r="144" ht="16.5" customHeight="1">
      <c r="A144" s="15"/>
      <c r="B144" s="449"/>
      <c r="C144" s="482"/>
      <c r="D144" s="55"/>
      <c r="E144" s="31"/>
      <c r="F144" s="31"/>
      <c r="G144" s="69"/>
      <c r="H144" s="31"/>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c r="AG144" s="15"/>
      <c r="AH144" s="15"/>
    </row>
    <row r="145" ht="16.5" customHeight="1">
      <c r="A145" s="15"/>
      <c r="B145" s="449"/>
      <c r="C145" s="482"/>
      <c r="D145" s="55"/>
      <c r="E145" s="31"/>
      <c r="F145" s="31"/>
      <c r="G145" s="69"/>
      <c r="H145" s="31"/>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c r="AG145" s="15"/>
      <c r="AH145" s="15"/>
    </row>
    <row r="146" ht="16.5" customHeight="1">
      <c r="A146" s="15"/>
      <c r="B146" s="449"/>
      <c r="C146" s="482"/>
      <c r="D146" s="55"/>
      <c r="E146" s="37"/>
      <c r="F146" s="31"/>
      <c r="G146" s="69"/>
      <c r="H146" s="31"/>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c r="AG146" s="15"/>
      <c r="AH146" s="15"/>
    </row>
    <row r="149" ht="16.5" customHeight="1">
      <c r="A149" s="15"/>
      <c r="B149" s="449"/>
      <c r="C149" s="450"/>
      <c r="D149" s="55"/>
      <c r="E149" s="37"/>
      <c r="F149" s="31"/>
      <c r="G149" s="69"/>
      <c r="H149" s="31"/>
      <c r="I149" s="9"/>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c r="AG149" s="15"/>
      <c r="AH149" s="15"/>
    </row>
    <row r="150" ht="16.5" customHeight="1">
      <c r="A150" s="15"/>
      <c r="B150" s="449"/>
      <c r="C150" s="450"/>
      <c r="D150" s="55"/>
      <c r="E150" s="37"/>
      <c r="F150" s="30"/>
      <c r="G150" s="69"/>
      <c r="H150" s="30"/>
      <c r="I150" s="9"/>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c r="AG150" s="15"/>
      <c r="AH150" s="15"/>
    </row>
    <row r="151" ht="16.5" customHeight="1">
      <c r="A151" s="15"/>
      <c r="B151" s="449"/>
      <c r="C151" s="450"/>
      <c r="D151" s="55"/>
      <c r="E151" s="37"/>
      <c r="F151" s="37"/>
      <c r="G151" s="69"/>
      <c r="H151" s="30"/>
      <c r="I151" s="31"/>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c r="AG151" s="15"/>
      <c r="AH151" s="15"/>
    </row>
    <row r="152" ht="16.5" customHeight="1">
      <c r="A152" s="15"/>
      <c r="B152" s="449"/>
      <c r="C152" s="482"/>
      <c r="D152" s="55"/>
      <c r="E152" s="31"/>
      <c r="F152" s="31"/>
      <c r="G152" s="69"/>
      <c r="H152" s="31"/>
      <c r="I152" s="31"/>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c r="AG152" s="15"/>
      <c r="AH152" s="15"/>
    </row>
    <row r="153" ht="16.5" customHeight="1">
      <c r="A153" s="15"/>
      <c r="B153" s="449"/>
      <c r="C153" s="450"/>
      <c r="D153" s="31"/>
      <c r="E153" s="31"/>
      <c r="F153" s="31"/>
      <c r="G153" s="69"/>
      <c r="H153" s="31"/>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c r="AG153" s="15"/>
      <c r="AH153" s="15"/>
    </row>
    <row r="154" ht="16.5" customHeight="1">
      <c r="A154" s="15"/>
      <c r="B154" s="449"/>
      <c r="C154" s="450"/>
      <c r="D154" s="31"/>
      <c r="E154" s="31"/>
      <c r="F154" s="31"/>
      <c r="G154" s="69"/>
      <c r="H154" s="31"/>
      <c r="I154" s="31"/>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c r="AG154" s="15"/>
      <c r="AH154" s="15"/>
    </row>
    <row r="155" ht="16.5" customHeight="1">
      <c r="A155" s="15"/>
      <c r="B155" s="449"/>
      <c r="C155" s="450"/>
      <c r="D155" s="31"/>
      <c r="E155" s="37"/>
      <c r="F155" s="31"/>
      <c r="G155" s="69"/>
      <c r="H155" s="31"/>
      <c r="I155" s="31"/>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c r="AG155" s="15"/>
      <c r="AH155" s="15"/>
    </row>
    <row r="156" ht="16.5" customHeight="1">
      <c r="A156" s="15"/>
      <c r="B156" s="449"/>
      <c r="C156" s="450"/>
      <c r="D156" s="31"/>
      <c r="E156" s="37"/>
      <c r="F156" s="30"/>
      <c r="G156" s="69"/>
      <c r="H156" s="30"/>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c r="AG156" s="15"/>
      <c r="AH156" s="15"/>
    </row>
    <row r="157" ht="16.5" customHeight="1">
      <c r="A157" s="15"/>
      <c r="B157" s="449"/>
      <c r="C157" s="450"/>
      <c r="D157" s="31"/>
      <c r="E157" s="37"/>
      <c r="F157" s="37"/>
      <c r="G157" s="69"/>
      <c r="H157" s="30"/>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c r="AG157" s="15"/>
      <c r="AH157" s="15"/>
    </row>
    <row r="158" ht="16.5" customHeight="1">
      <c r="A158" s="15"/>
      <c r="B158" s="449"/>
      <c r="C158" s="450"/>
      <c r="D158" s="31"/>
      <c r="E158" s="31"/>
      <c r="F158" s="59"/>
      <c r="G158" s="69"/>
      <c r="H158" s="59"/>
      <c r="I158" s="9"/>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c r="AG158" s="15"/>
      <c r="AH158" s="15"/>
    </row>
    <row r="159" ht="16.5" customHeight="1">
      <c r="A159" s="15"/>
      <c r="B159" s="449"/>
      <c r="C159" s="482"/>
      <c r="D159" s="55"/>
      <c r="E159" s="31"/>
      <c r="F159" s="31"/>
      <c r="G159" s="69"/>
      <c r="H159" s="31"/>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c r="AG159" s="15"/>
      <c r="AH159" s="15"/>
    </row>
    <row r="160" ht="16.5" customHeight="1">
      <c r="A160" s="15"/>
      <c r="B160" s="449"/>
      <c r="C160" s="482"/>
      <c r="D160" s="55"/>
      <c r="E160" s="31"/>
      <c r="F160" s="31"/>
      <c r="G160" s="69"/>
      <c r="H160" s="31"/>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c r="AG160" s="15"/>
      <c r="AH160" s="15"/>
    </row>
    <row r="161" ht="16.5" customHeight="1">
      <c r="A161" s="15"/>
      <c r="B161" s="449"/>
      <c r="C161" s="482"/>
      <c r="D161" s="55"/>
      <c r="E161" s="31"/>
      <c r="F161" s="31"/>
      <c r="G161" s="69"/>
      <c r="H161" s="31"/>
      <c r="I161" s="31"/>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c r="AG161" s="15"/>
      <c r="AH161" s="15"/>
    </row>
    <row r="162" ht="16.5" customHeight="1">
      <c r="A162" s="15"/>
      <c r="B162" s="449"/>
      <c r="C162" s="482"/>
      <c r="D162" s="55"/>
      <c r="E162" s="31"/>
      <c r="F162" s="31"/>
      <c r="G162" s="69"/>
      <c r="H162" s="31"/>
      <c r="I162" s="31"/>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c r="AG162" s="15"/>
      <c r="AH162" s="15"/>
    </row>
    <row r="163" ht="16.5" customHeight="1">
      <c r="A163" s="15"/>
      <c r="B163" s="449"/>
      <c r="C163" s="482"/>
      <c r="D163" s="55"/>
      <c r="E163" s="37"/>
      <c r="F163" s="31"/>
      <c r="G163" s="69"/>
      <c r="H163" s="31"/>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c r="AG163" s="15"/>
      <c r="AH163" s="15"/>
    </row>
    <row r="164" ht="16.5" customHeight="1">
      <c r="A164" s="15"/>
      <c r="B164" s="449"/>
      <c r="C164" s="482"/>
      <c r="D164" s="55"/>
      <c r="E164" s="37"/>
      <c r="F164" s="30"/>
      <c r="G164" s="69"/>
      <c r="H164" s="30"/>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c r="AG164" s="15"/>
      <c r="AH164" s="15"/>
    </row>
    <row r="165" ht="16.5" customHeight="1">
      <c r="A165" s="15"/>
      <c r="B165" s="449"/>
      <c r="C165" s="482"/>
      <c r="D165" s="55"/>
      <c r="E165" s="37"/>
      <c r="F165" s="37"/>
      <c r="G165" s="69"/>
      <c r="H165" s="30"/>
      <c r="I165" s="9"/>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c r="AG165" s="15"/>
      <c r="AH165" s="15"/>
    </row>
    <row r="166" ht="16.5" customHeight="1">
      <c r="A166" s="15"/>
      <c r="B166" s="449"/>
      <c r="C166" s="482"/>
      <c r="D166" s="55"/>
      <c r="E166" s="31"/>
      <c r="F166" s="59"/>
      <c r="G166" s="69"/>
      <c r="H166" s="59"/>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c r="AG166" s="15"/>
      <c r="AH166" s="15"/>
    </row>
    <row r="167" ht="16.5" customHeight="1">
      <c r="A167" s="15"/>
      <c r="B167" s="449"/>
      <c r="C167" s="450"/>
      <c r="D167" s="31"/>
      <c r="E167" s="37"/>
      <c r="F167" s="31"/>
      <c r="G167" s="351"/>
      <c r="H167" s="31"/>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c r="AG167" s="15"/>
      <c r="AH167" s="15"/>
    </row>
    <row r="168" ht="16.5" customHeight="1">
      <c r="A168" s="15"/>
      <c r="B168" s="219"/>
      <c r="C168" s="482"/>
      <c r="D168" s="55"/>
      <c r="E168" s="31"/>
      <c r="F168" s="31"/>
      <c r="G168" s="149"/>
      <c r="H168" s="31"/>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c r="AG168" s="15"/>
      <c r="AH168" s="15"/>
    </row>
    <row r="169" ht="16.5" customHeight="1">
      <c r="A169" s="15"/>
      <c r="B169" s="219"/>
      <c r="C169" s="482"/>
      <c r="D169" s="55"/>
      <c r="E169" s="31"/>
      <c r="F169" s="31"/>
      <c r="G169" s="149"/>
      <c r="H169" s="31"/>
      <c r="I169" s="9"/>
      <c r="J169" s="9"/>
      <c r="K169" s="61"/>
      <c r="L169" s="11"/>
      <c r="M169" s="15"/>
      <c r="N169" s="15"/>
      <c r="O169" s="15"/>
      <c r="P169" s="15"/>
      <c r="Q169" s="15"/>
      <c r="R169" s="15"/>
      <c r="S169" s="15"/>
      <c r="T169" s="15"/>
      <c r="U169" s="15"/>
      <c r="V169" s="15"/>
      <c r="W169" s="15"/>
      <c r="X169" s="15"/>
      <c r="Y169" s="15"/>
      <c r="Z169" s="15"/>
      <c r="AA169" s="15"/>
      <c r="AB169" s="15"/>
      <c r="AC169" s="15"/>
      <c r="AD169" s="15"/>
      <c r="AE169" s="15"/>
      <c r="AF169" s="15"/>
      <c r="AG169" s="15"/>
      <c r="AH169" s="15"/>
    </row>
    <row r="170" ht="16.5" customHeight="1">
      <c r="A170" s="15"/>
      <c r="B170" s="219"/>
      <c r="C170" s="482"/>
      <c r="D170" s="55"/>
      <c r="E170" s="31"/>
      <c r="F170" s="31"/>
      <c r="G170" s="149"/>
      <c r="H170" s="31"/>
      <c r="I170" s="31"/>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c r="AG170" s="15"/>
      <c r="AH170" s="15"/>
    </row>
    <row r="171" ht="16.5" customHeight="1">
      <c r="A171" s="15"/>
      <c r="B171" s="219"/>
      <c r="C171" s="482"/>
      <c r="D171" s="55"/>
      <c r="E171" s="37"/>
      <c r="F171" s="31"/>
      <c r="G171" s="149"/>
      <c r="H171" s="31"/>
      <c r="I171" s="9"/>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c r="AG171" s="15"/>
      <c r="AH171" s="15"/>
    </row>
    <row r="172" ht="16.5" customHeight="1">
      <c r="A172" s="15"/>
      <c r="B172" s="219"/>
      <c r="C172" s="482"/>
      <c r="D172" s="55"/>
      <c r="E172" s="37"/>
      <c r="F172" s="30"/>
      <c r="G172" s="149"/>
      <c r="H172" s="30"/>
      <c r="I172" s="31"/>
      <c r="J172" s="9"/>
      <c r="K172" s="11"/>
      <c r="L172" s="11"/>
      <c r="M172" s="15"/>
      <c r="N172" s="15"/>
      <c r="O172" s="15"/>
      <c r="P172" s="15"/>
      <c r="Q172" s="15"/>
      <c r="R172" s="15"/>
      <c r="S172" s="15"/>
      <c r="T172" s="15"/>
      <c r="U172" s="15"/>
      <c r="V172" s="15"/>
      <c r="W172" s="15"/>
      <c r="X172" s="15"/>
      <c r="Y172" s="15"/>
      <c r="Z172" s="15"/>
      <c r="AA172" s="15"/>
      <c r="AB172" s="15"/>
      <c r="AC172" s="15"/>
      <c r="AD172" s="15"/>
      <c r="AE172" s="15"/>
      <c r="AF172" s="15"/>
      <c r="AG172" s="15"/>
      <c r="AH172" s="15"/>
    </row>
    <row r="173" ht="16.5" customHeight="1">
      <c r="A173" s="15"/>
      <c r="B173" s="219"/>
      <c r="C173" s="482"/>
      <c r="D173" s="55"/>
      <c r="E173" s="37"/>
      <c r="F173" s="37"/>
      <c r="G173" s="149"/>
      <c r="H173" s="30"/>
      <c r="I173" s="9"/>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c r="AG173" s="15"/>
      <c r="AH173" s="15"/>
    </row>
    <row r="174" ht="16.5" customHeight="1">
      <c r="A174" s="15"/>
      <c r="B174" s="219"/>
      <c r="C174" s="482"/>
      <c r="D174" s="55"/>
      <c r="E174" s="31"/>
      <c r="F174" s="31"/>
      <c r="G174" s="149"/>
      <c r="H174" s="31"/>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c r="AG174" s="15"/>
      <c r="AH174" s="15"/>
    </row>
    <row r="175" ht="16.5" customHeight="1">
      <c r="A175" s="15"/>
      <c r="B175" s="219"/>
      <c r="C175" s="482"/>
      <c r="D175" s="55"/>
      <c r="E175" s="31"/>
      <c r="F175" s="62"/>
      <c r="G175" s="149"/>
      <c r="H175" s="62"/>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c r="AG175" s="15"/>
      <c r="AH175" s="15"/>
    </row>
    <row r="176" ht="16.5" customHeight="1">
      <c r="A176" s="15"/>
      <c r="B176" s="219"/>
      <c r="C176" s="482"/>
      <c r="D176" s="55"/>
      <c r="E176" s="31"/>
      <c r="F176" s="31"/>
      <c r="G176" s="149"/>
      <c r="H176" s="31"/>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c r="AG176" s="15"/>
      <c r="AH176" s="15"/>
    </row>
    <row r="177" ht="16.5" customHeight="1">
      <c r="A177" s="15"/>
      <c r="B177" s="219"/>
      <c r="C177" s="450"/>
      <c r="D177" s="31"/>
      <c r="E177" s="31"/>
      <c r="F177" s="31"/>
      <c r="G177" s="149"/>
      <c r="H177" s="31"/>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c r="AG177" s="15"/>
      <c r="AH177" s="15"/>
    </row>
    <row r="178" ht="16.5" customHeight="1">
      <c r="A178" s="15"/>
      <c r="B178" s="219"/>
      <c r="C178" s="450"/>
      <c r="D178" s="31"/>
      <c r="E178" s="31"/>
      <c r="F178" s="31"/>
      <c r="G178" s="149"/>
      <c r="H178" s="31"/>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c r="AG178" s="15"/>
      <c r="AH178" s="15"/>
    </row>
    <row r="179" ht="16.5" customHeight="1">
      <c r="A179" s="15"/>
      <c r="B179" s="219"/>
      <c r="C179" s="450"/>
      <c r="D179" s="31"/>
      <c r="E179" s="31"/>
      <c r="F179" s="31"/>
      <c r="G179" s="149"/>
      <c r="H179" s="31"/>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c r="AG179" s="15"/>
      <c r="AH179" s="15"/>
    </row>
    <row r="180" ht="16.5" customHeight="1">
      <c r="A180" s="15"/>
      <c r="B180" s="219"/>
      <c r="C180" s="450"/>
      <c r="D180" s="31"/>
      <c r="E180" s="37"/>
      <c r="F180" s="31"/>
      <c r="G180" s="149"/>
      <c r="H180" s="31"/>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c r="AG180" s="15"/>
      <c r="AH180" s="15"/>
    </row>
    <row r="181" ht="16.5" customHeight="1">
      <c r="A181" s="15"/>
      <c r="B181" s="219"/>
      <c r="C181" s="450"/>
      <c r="D181" s="31"/>
      <c r="E181" s="37"/>
      <c r="F181" s="30"/>
      <c r="G181" s="149"/>
      <c r="H181" s="30"/>
      <c r="I181" s="9"/>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c r="AG181" s="15"/>
      <c r="AH181" s="15"/>
    </row>
    <row r="182" ht="16.5" customHeight="1">
      <c r="A182" s="15"/>
      <c r="B182" s="219"/>
      <c r="C182" s="450"/>
      <c r="D182" s="31"/>
      <c r="E182" s="37"/>
      <c r="F182" s="37"/>
      <c r="G182" s="149"/>
      <c r="H182" s="30"/>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c r="AG182" s="15"/>
      <c r="AH182" s="15"/>
    </row>
    <row r="183" ht="16.5" customHeight="1">
      <c r="A183" s="15"/>
      <c r="B183" s="219"/>
      <c r="C183" s="450"/>
      <c r="D183" s="31"/>
      <c r="E183" s="31"/>
      <c r="F183" s="31"/>
      <c r="G183" s="149"/>
      <c r="H183" s="31"/>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c r="AG183" s="15"/>
      <c r="AH183" s="15"/>
    </row>
    <row r="184" ht="16.5" customHeight="1">
      <c r="A184" s="15"/>
      <c r="B184" s="219"/>
      <c r="C184" s="450"/>
      <c r="D184" s="31"/>
      <c r="E184" s="31"/>
      <c r="F184" s="62"/>
      <c r="G184" s="149"/>
      <c r="H184" s="62"/>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c r="AG184" s="15"/>
      <c r="AH184" s="15"/>
    </row>
    <row r="185" ht="16.5" customHeight="1">
      <c r="A185" s="15"/>
      <c r="B185" s="219"/>
      <c r="C185" s="450"/>
      <c r="D185" s="31"/>
      <c r="E185" s="31"/>
      <c r="F185" s="31"/>
      <c r="G185" s="149"/>
      <c r="H185" s="31"/>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c r="AG185" s="15"/>
      <c r="AH185" s="15"/>
    </row>
    <row r="186" ht="16.5" customHeight="1">
      <c r="A186" s="15"/>
      <c r="B186" s="219"/>
      <c r="C186" s="450"/>
      <c r="D186" s="31"/>
      <c r="E186" s="31"/>
      <c r="F186" s="31"/>
      <c r="G186" s="149"/>
      <c r="H186" s="31"/>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c r="AG186" s="15"/>
      <c r="AH186" s="15"/>
    </row>
    <row r="187" ht="16.5" customHeight="1">
      <c r="A187" s="15"/>
      <c r="B187" s="219"/>
      <c r="C187" s="450"/>
      <c r="D187" s="31"/>
      <c r="E187" s="31"/>
      <c r="F187" s="31"/>
      <c r="G187" s="149"/>
      <c r="H187" s="31"/>
      <c r="I187" s="9"/>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c r="AG187" s="15"/>
      <c r="AH187" s="15"/>
    </row>
    <row r="188" ht="16.5" customHeight="1">
      <c r="A188" s="15"/>
      <c r="B188" s="219"/>
      <c r="C188" s="450"/>
      <c r="D188" s="31"/>
      <c r="E188" s="31"/>
      <c r="F188" s="31"/>
      <c r="G188" s="149"/>
      <c r="H188" s="31"/>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c r="AG188" s="15"/>
      <c r="AH188" s="15"/>
    </row>
    <row r="189" ht="16.5" customHeight="1">
      <c r="A189" s="15"/>
      <c r="B189" s="219"/>
      <c r="C189" s="450"/>
      <c r="D189" s="31"/>
      <c r="E189" s="37"/>
      <c r="F189" s="31"/>
      <c r="G189" s="149"/>
      <c r="H189" s="31"/>
      <c r="I189" s="9"/>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c r="AG189" s="15"/>
      <c r="AH189" s="15"/>
    </row>
    <row r="190" ht="16.5" customHeight="1">
      <c r="A190" s="15"/>
      <c r="B190" s="219"/>
      <c r="C190" s="450"/>
      <c r="D190" s="31"/>
      <c r="E190" s="37"/>
      <c r="F190" s="30"/>
      <c r="G190" s="149"/>
      <c r="H190" s="30"/>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c r="AG190" s="15"/>
      <c r="AH190" s="15"/>
    </row>
    <row r="191" ht="16.5" customHeight="1">
      <c r="A191" s="15"/>
      <c r="B191" s="219"/>
      <c r="C191" s="450"/>
      <c r="D191" s="31"/>
      <c r="E191" s="37"/>
      <c r="F191" s="37"/>
      <c r="G191" s="149"/>
      <c r="H191" s="30"/>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c r="AG191" s="15"/>
      <c r="AH191" s="15"/>
    </row>
    <row r="192" ht="16.5" customHeight="1">
      <c r="A192" s="15"/>
      <c r="B192" s="219"/>
      <c r="C192" s="450"/>
      <c r="D192" s="31"/>
      <c r="E192" s="31"/>
      <c r="F192" s="31"/>
      <c r="G192" s="149"/>
      <c r="H192" s="31"/>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c r="AG192" s="15"/>
      <c r="AH192" s="15"/>
    </row>
    <row r="193" ht="16.5" customHeight="1">
      <c r="A193" s="15"/>
      <c r="B193" s="219"/>
      <c r="C193" s="450"/>
      <c r="D193" s="31"/>
      <c r="E193" s="31"/>
      <c r="F193" s="62"/>
      <c r="G193" s="149"/>
      <c r="H193" s="62"/>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c r="AG193" s="15"/>
      <c r="AH193" s="15"/>
    </row>
    <row r="194" ht="16.5" customHeight="1">
      <c r="A194" s="15"/>
      <c r="B194" s="219"/>
      <c r="C194" s="87"/>
      <c r="D194" s="31"/>
      <c r="E194" s="31"/>
      <c r="F194" s="31"/>
      <c r="G194" s="149"/>
      <c r="H194" s="31"/>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c r="AG194" s="15"/>
      <c r="AH194" s="15"/>
    </row>
    <row r="195" ht="16.5" customHeight="1">
      <c r="A195" s="15"/>
      <c r="B195" s="219"/>
      <c r="C195" s="87"/>
      <c r="D195" s="31"/>
      <c r="E195" s="31"/>
      <c r="F195" s="31"/>
      <c r="G195" s="149"/>
      <c r="H195" s="31"/>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c r="AG195" s="15"/>
      <c r="AH195" s="15"/>
    </row>
    <row r="196" ht="16.5" customHeight="1">
      <c r="A196" s="15"/>
      <c r="B196" s="219"/>
      <c r="C196" s="87"/>
      <c r="D196" s="31"/>
      <c r="E196" s="31"/>
      <c r="F196" s="31"/>
      <c r="G196" s="149"/>
      <c r="H196" s="31"/>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c r="AG196" s="15"/>
      <c r="AH196" s="15"/>
    </row>
    <row r="197" ht="16.5" customHeight="1">
      <c r="A197" s="15"/>
      <c r="B197" s="219"/>
      <c r="C197" s="87"/>
      <c r="D197" s="31"/>
      <c r="E197" s="31"/>
      <c r="F197" s="31"/>
      <c r="G197" s="149"/>
      <c r="H197" s="31"/>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c r="AG197" s="15"/>
      <c r="AH197" s="15"/>
    </row>
    <row r="198" ht="16.5" customHeight="1">
      <c r="A198" s="15"/>
      <c r="B198" s="219"/>
      <c r="C198" s="87"/>
      <c r="D198" s="31"/>
      <c r="E198" s="37"/>
      <c r="F198" s="31"/>
      <c r="G198" s="149"/>
      <c r="H198" s="31"/>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c r="AG198" s="15"/>
      <c r="AH198" s="15"/>
    </row>
    <row r="199" ht="16.5" customHeight="1">
      <c r="A199" s="15"/>
      <c r="B199" s="219"/>
      <c r="C199" s="87"/>
      <c r="D199" s="31"/>
      <c r="E199" s="37"/>
      <c r="F199" s="30"/>
      <c r="G199" s="149"/>
      <c r="H199" s="30"/>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c r="AG199" s="15"/>
      <c r="AH199" s="15"/>
    </row>
    <row r="200" ht="16.5" customHeight="1">
      <c r="A200" s="15"/>
      <c r="B200" s="219"/>
      <c r="C200" s="87"/>
      <c r="D200" s="31"/>
      <c r="E200" s="37"/>
      <c r="F200" s="37"/>
      <c r="G200" s="149"/>
      <c r="H200" s="30"/>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c r="AG200" s="15"/>
      <c r="AH200" s="15"/>
    </row>
    <row r="201" ht="16.5" customHeight="1">
      <c r="A201" s="15"/>
      <c r="B201" s="219"/>
      <c r="C201" s="87"/>
      <c r="D201" s="31"/>
      <c r="E201" s="31"/>
      <c r="F201" s="31"/>
      <c r="G201" s="149"/>
      <c r="H201" s="31"/>
      <c r="I201" s="9"/>
      <c r="J201" s="11"/>
      <c r="K201" s="11"/>
      <c r="L201" s="11"/>
      <c r="M201" s="15"/>
      <c r="N201" s="15"/>
      <c r="O201" s="15"/>
      <c r="P201" s="15"/>
      <c r="Q201" s="15"/>
      <c r="R201" s="15"/>
      <c r="S201" s="15"/>
      <c r="T201" s="15"/>
      <c r="U201" s="15"/>
      <c r="V201" s="15"/>
      <c r="W201" s="15"/>
      <c r="X201" s="15"/>
      <c r="Y201" s="15"/>
      <c r="Z201" s="15"/>
      <c r="AA201" s="15"/>
      <c r="AB201" s="15"/>
      <c r="AC201" s="15"/>
      <c r="AD201" s="15"/>
      <c r="AE201" s="15"/>
      <c r="AF201" s="15"/>
      <c r="AG201" s="15"/>
      <c r="AH201" s="15"/>
    </row>
    <row r="202" ht="16.5" customHeight="1">
      <c r="A202" s="15"/>
      <c r="B202" s="219"/>
      <c r="C202" s="87"/>
      <c r="D202" s="31"/>
      <c r="E202" s="31"/>
      <c r="F202" s="62"/>
      <c r="G202" s="149"/>
      <c r="H202" s="62"/>
      <c r="I202" s="9"/>
      <c r="J202" s="11"/>
      <c r="K202" s="11"/>
      <c r="L202" s="11"/>
      <c r="M202" s="15"/>
      <c r="N202" s="15"/>
      <c r="O202" s="15"/>
      <c r="P202" s="15"/>
      <c r="Q202" s="15"/>
      <c r="R202" s="15"/>
      <c r="S202" s="15"/>
      <c r="T202" s="15"/>
      <c r="U202" s="15"/>
      <c r="V202" s="15"/>
      <c r="W202" s="15"/>
      <c r="X202" s="15"/>
      <c r="Y202" s="15"/>
      <c r="Z202" s="15"/>
      <c r="AA202" s="15"/>
      <c r="AB202" s="15"/>
      <c r="AC202" s="15"/>
      <c r="AD202" s="15"/>
      <c r="AE202" s="15"/>
      <c r="AF202" s="15"/>
      <c r="AG202" s="15"/>
      <c r="AH202" s="15"/>
    </row>
    <row r="203" ht="16.5" customHeight="1">
      <c r="A203" s="15"/>
      <c r="B203" s="219"/>
      <c r="C203" s="209"/>
      <c r="D203" s="9"/>
      <c r="E203" s="45"/>
      <c r="F203" s="9"/>
      <c r="G203" s="443"/>
      <c r="H203" s="9"/>
      <c r="I203" s="9"/>
      <c r="J203" s="11"/>
      <c r="K203" s="11"/>
      <c r="L203" s="11"/>
      <c r="M203" s="15"/>
      <c r="N203" s="15"/>
      <c r="O203" s="15"/>
      <c r="P203" s="15"/>
      <c r="Q203" s="15"/>
      <c r="R203" s="15"/>
      <c r="S203" s="15"/>
      <c r="T203" s="15"/>
      <c r="U203" s="15"/>
      <c r="V203" s="15"/>
      <c r="W203" s="15"/>
      <c r="X203" s="15"/>
      <c r="Y203" s="15"/>
      <c r="Z203" s="15"/>
      <c r="AA203" s="15"/>
      <c r="AB203" s="15"/>
      <c r="AC203" s="15"/>
      <c r="AD203" s="15"/>
      <c r="AE203" s="15"/>
      <c r="AF203" s="15"/>
      <c r="AG203" s="15"/>
      <c r="AH203" s="15"/>
    </row>
    <row r="204" ht="16.5" customHeight="1">
      <c r="A204" s="15"/>
      <c r="B204" s="35"/>
      <c r="C204" s="483"/>
      <c r="G204" s="453"/>
      <c r="I204" s="11"/>
      <c r="J204" s="11"/>
      <c r="K204" s="11"/>
      <c r="L204" s="11"/>
      <c r="M204" s="15"/>
      <c r="N204" s="15"/>
      <c r="O204" s="15"/>
      <c r="P204" s="15"/>
      <c r="Q204" s="15"/>
      <c r="R204" s="15"/>
      <c r="S204" s="15"/>
      <c r="T204" s="15"/>
      <c r="U204" s="15"/>
      <c r="V204" s="15"/>
      <c r="W204" s="15"/>
      <c r="X204" s="15"/>
      <c r="Y204" s="15"/>
      <c r="Z204" s="15"/>
      <c r="AA204" s="15"/>
      <c r="AB204" s="15"/>
      <c r="AC204" s="15"/>
      <c r="AD204" s="15"/>
      <c r="AE204" s="15"/>
      <c r="AF204" s="15"/>
      <c r="AG204" s="15"/>
      <c r="AH204" s="15"/>
    </row>
    <row r="205" ht="16.5" customHeight="1">
      <c r="A205" s="15"/>
      <c r="B205" s="219"/>
      <c r="C205" s="483"/>
      <c r="G205" s="453"/>
      <c r="I205" s="11"/>
      <c r="J205" s="11"/>
      <c r="K205" s="11"/>
      <c r="L205" s="11"/>
      <c r="M205" s="15"/>
      <c r="N205" s="15"/>
      <c r="O205" s="15"/>
      <c r="P205" s="15"/>
      <c r="Q205" s="15"/>
      <c r="R205" s="15"/>
      <c r="S205" s="15"/>
      <c r="T205" s="15"/>
      <c r="U205" s="15"/>
      <c r="V205" s="15"/>
      <c r="W205" s="15"/>
      <c r="X205" s="15"/>
      <c r="Y205" s="15"/>
      <c r="Z205" s="15"/>
      <c r="AA205" s="15"/>
      <c r="AB205" s="15"/>
      <c r="AC205" s="15"/>
      <c r="AD205" s="15"/>
      <c r="AE205" s="15"/>
      <c r="AF205" s="15"/>
      <c r="AG205" s="15"/>
      <c r="AH205" s="15"/>
    </row>
    <row r="206" ht="16.5" customHeight="1">
      <c r="A206" s="15"/>
      <c r="B206" s="35"/>
      <c r="C206" s="483"/>
      <c r="G206" s="453"/>
      <c r="I206" s="11"/>
      <c r="J206" s="11"/>
      <c r="K206" s="11"/>
      <c r="L206" s="11"/>
      <c r="M206" s="15"/>
      <c r="N206" s="15"/>
      <c r="O206" s="15"/>
      <c r="P206" s="15"/>
      <c r="Q206" s="15"/>
      <c r="R206" s="15"/>
      <c r="S206" s="15"/>
      <c r="T206" s="15"/>
      <c r="U206" s="15"/>
      <c r="V206" s="15"/>
      <c r="W206" s="15"/>
      <c r="X206" s="15"/>
      <c r="Y206" s="15"/>
      <c r="Z206" s="15"/>
      <c r="AA206" s="15"/>
      <c r="AB206" s="15"/>
      <c r="AC206" s="15"/>
      <c r="AD206" s="15"/>
      <c r="AE206" s="15"/>
      <c r="AF206" s="15"/>
      <c r="AG206" s="15"/>
      <c r="AH206" s="15"/>
    </row>
    <row r="207" ht="16.5" customHeight="1">
      <c r="A207" s="15"/>
      <c r="B207" s="219"/>
      <c r="C207" s="483"/>
      <c r="G207" s="453"/>
      <c r="I207" s="11"/>
      <c r="J207" s="11"/>
      <c r="K207" s="11"/>
      <c r="L207" s="11"/>
      <c r="M207" s="15"/>
      <c r="N207" s="15"/>
      <c r="O207" s="15"/>
      <c r="P207" s="15"/>
      <c r="Q207" s="15"/>
      <c r="R207" s="15"/>
      <c r="S207" s="15"/>
      <c r="T207" s="15"/>
      <c r="U207" s="15"/>
      <c r="V207" s="15"/>
      <c r="W207" s="15"/>
      <c r="X207" s="15"/>
      <c r="Y207" s="15"/>
      <c r="Z207" s="15"/>
      <c r="AA207" s="15"/>
      <c r="AB207" s="15"/>
      <c r="AC207" s="15"/>
      <c r="AD207" s="15"/>
      <c r="AE207" s="15"/>
      <c r="AF207" s="15"/>
      <c r="AG207" s="15"/>
      <c r="AH207" s="15"/>
    </row>
    <row r="208" ht="16.5" customHeight="1">
      <c r="A208" s="15"/>
      <c r="B208" s="35"/>
      <c r="C208" s="450"/>
      <c r="D208" s="31"/>
      <c r="E208" s="31"/>
      <c r="F208" s="31"/>
      <c r="G208" s="149"/>
      <c r="H208" s="9"/>
      <c r="I208" s="11"/>
      <c r="J208" s="11"/>
      <c r="K208" s="11"/>
      <c r="L208" s="11"/>
      <c r="M208" s="15"/>
      <c r="N208" s="15"/>
      <c r="O208" s="15"/>
      <c r="P208" s="15"/>
      <c r="Q208" s="15"/>
      <c r="R208" s="15"/>
      <c r="S208" s="15"/>
      <c r="T208" s="15"/>
      <c r="U208" s="15"/>
      <c r="V208" s="15"/>
      <c r="W208" s="15"/>
      <c r="X208" s="15"/>
      <c r="Y208" s="15"/>
      <c r="Z208" s="15"/>
      <c r="AA208" s="15"/>
      <c r="AB208" s="15"/>
      <c r="AC208" s="15"/>
      <c r="AD208" s="15"/>
      <c r="AE208" s="15"/>
      <c r="AF208" s="15"/>
      <c r="AG208" s="15"/>
      <c r="AH208" s="15"/>
    </row>
    <row r="209" ht="16.5" customHeight="1">
      <c r="A209" s="15"/>
      <c r="B209" s="219"/>
      <c r="C209" s="450"/>
      <c r="D209" s="31"/>
      <c r="E209" s="31"/>
      <c r="F209" s="31"/>
      <c r="G209" s="149"/>
      <c r="H209" s="31"/>
      <c r="I209" s="11"/>
      <c r="J209" s="11"/>
      <c r="K209" s="11"/>
      <c r="L209" s="11"/>
      <c r="M209" s="15"/>
      <c r="N209" s="15"/>
      <c r="O209" s="15"/>
      <c r="P209" s="15"/>
      <c r="Q209" s="15"/>
      <c r="R209" s="15"/>
      <c r="S209" s="15"/>
      <c r="T209" s="15"/>
      <c r="U209" s="15"/>
      <c r="V209" s="15"/>
      <c r="W209" s="15"/>
      <c r="X209" s="15"/>
      <c r="Y209" s="15"/>
      <c r="Z209" s="15"/>
      <c r="AA209" s="15"/>
      <c r="AB209" s="15"/>
      <c r="AC209" s="15"/>
      <c r="AD209" s="15"/>
      <c r="AE209" s="15"/>
      <c r="AF209" s="15"/>
      <c r="AG209" s="15"/>
      <c r="AH209" s="15"/>
    </row>
    <row r="210" ht="16.5" customHeight="1">
      <c r="A210" s="15"/>
      <c r="B210" s="219"/>
      <c r="C210" s="450"/>
      <c r="D210" s="31"/>
      <c r="E210" s="31"/>
      <c r="F210" s="31"/>
      <c r="G210" s="149"/>
      <c r="H210" s="31"/>
      <c r="I210" s="11"/>
      <c r="J210" s="11"/>
      <c r="K210" s="11"/>
      <c r="L210" s="11"/>
      <c r="M210" s="15"/>
      <c r="N210" s="15"/>
      <c r="O210" s="15"/>
      <c r="P210" s="15"/>
      <c r="Q210" s="15"/>
      <c r="R210" s="15"/>
      <c r="S210" s="15"/>
      <c r="T210" s="15"/>
      <c r="U210" s="15"/>
      <c r="V210" s="15"/>
      <c r="W210" s="15"/>
      <c r="X210" s="15"/>
      <c r="Y210" s="15"/>
      <c r="Z210" s="15"/>
      <c r="AA210" s="15"/>
      <c r="AB210" s="15"/>
      <c r="AC210" s="15"/>
      <c r="AD210" s="15"/>
      <c r="AE210" s="15"/>
      <c r="AF210" s="15"/>
      <c r="AG210" s="15"/>
      <c r="AH210" s="15"/>
    </row>
    <row r="211" ht="16.5" customHeight="1">
      <c r="A211" s="15"/>
      <c r="B211" s="35"/>
      <c r="C211" s="450"/>
      <c r="D211" s="31"/>
      <c r="E211" s="37"/>
      <c r="F211" s="31"/>
      <c r="G211" s="149"/>
      <c r="H211" s="31"/>
      <c r="I211" s="11"/>
      <c r="J211" s="11"/>
      <c r="K211" s="11"/>
      <c r="L211" s="11"/>
      <c r="M211" s="15"/>
      <c r="N211" s="15"/>
      <c r="O211" s="15"/>
      <c r="P211" s="15"/>
      <c r="Q211" s="15"/>
      <c r="R211" s="15"/>
      <c r="S211" s="15"/>
      <c r="T211" s="15"/>
      <c r="U211" s="15"/>
      <c r="V211" s="15"/>
      <c r="W211" s="15"/>
      <c r="X211" s="15"/>
      <c r="Y211" s="15"/>
      <c r="Z211" s="15"/>
      <c r="AA211" s="15"/>
      <c r="AB211" s="15"/>
      <c r="AC211" s="15"/>
      <c r="AD211" s="15"/>
      <c r="AE211" s="15"/>
      <c r="AF211" s="15"/>
      <c r="AG211" s="15"/>
      <c r="AH211" s="15"/>
    </row>
    <row r="212" ht="16.5" customHeight="1">
      <c r="A212" s="15"/>
      <c r="B212" s="219"/>
      <c r="C212" s="450"/>
      <c r="D212" s="31"/>
      <c r="E212" s="37"/>
      <c r="F212" s="30"/>
      <c r="G212" s="149"/>
      <c r="H212" s="30"/>
      <c r="I212" s="11"/>
      <c r="J212" s="11"/>
      <c r="K212" s="11"/>
      <c r="L212" s="11"/>
      <c r="M212" s="15"/>
      <c r="N212" s="15"/>
      <c r="O212" s="15"/>
      <c r="P212" s="15"/>
      <c r="Q212" s="15"/>
      <c r="R212" s="15"/>
      <c r="S212" s="15"/>
      <c r="T212" s="15"/>
      <c r="U212" s="15"/>
      <c r="V212" s="15"/>
      <c r="W212" s="15"/>
      <c r="X212" s="15"/>
      <c r="Y212" s="15"/>
      <c r="Z212" s="15"/>
      <c r="AA212" s="15"/>
      <c r="AB212" s="15"/>
      <c r="AC212" s="15"/>
      <c r="AD212" s="15"/>
      <c r="AE212" s="15"/>
      <c r="AF212" s="15"/>
      <c r="AG212" s="15"/>
      <c r="AH212" s="15"/>
    </row>
    <row r="213" ht="16.5" customHeight="1">
      <c r="A213" s="15"/>
      <c r="B213" s="219"/>
      <c r="C213" s="87"/>
      <c r="D213" s="8"/>
      <c r="E213" s="28"/>
      <c r="F213" s="38"/>
      <c r="G213" s="149"/>
      <c r="H213" s="35"/>
      <c r="I213" s="11"/>
      <c r="J213" s="11"/>
      <c r="K213" s="11"/>
      <c r="L213" s="11"/>
      <c r="M213" s="15"/>
      <c r="N213" s="15"/>
      <c r="O213" s="15"/>
      <c r="P213" s="15"/>
      <c r="Q213" s="15"/>
      <c r="R213" s="15"/>
      <c r="S213" s="15"/>
      <c r="T213" s="15"/>
      <c r="U213" s="15"/>
      <c r="V213" s="15"/>
      <c r="W213" s="15"/>
      <c r="X213" s="15"/>
      <c r="Y213" s="15"/>
      <c r="Z213" s="15"/>
      <c r="AA213" s="15"/>
      <c r="AB213" s="15"/>
      <c r="AC213" s="15"/>
      <c r="AD213" s="15"/>
      <c r="AE213" s="15"/>
      <c r="AF213" s="15"/>
      <c r="AG213" s="15"/>
      <c r="AH213" s="15"/>
    </row>
    <row r="214" ht="16.5" customHeight="1">
      <c r="A214" s="15"/>
      <c r="B214" s="219"/>
      <c r="C214" s="87"/>
      <c r="D214" s="8"/>
      <c r="E214" s="8"/>
      <c r="F214" s="38"/>
      <c r="G214" s="149"/>
      <c r="H214" s="35"/>
      <c r="I214" s="11"/>
      <c r="J214" s="11"/>
      <c r="K214" s="11"/>
      <c r="L214" s="11"/>
      <c r="M214" s="15"/>
      <c r="N214" s="15"/>
      <c r="O214" s="15"/>
      <c r="P214" s="15"/>
      <c r="Q214" s="15"/>
      <c r="R214" s="15"/>
      <c r="S214" s="15"/>
      <c r="T214" s="15"/>
      <c r="U214" s="15"/>
      <c r="V214" s="15"/>
      <c r="W214" s="15"/>
      <c r="X214" s="15"/>
      <c r="Y214" s="15"/>
      <c r="Z214" s="15"/>
      <c r="AA214" s="15"/>
      <c r="AB214" s="15"/>
      <c r="AC214" s="15"/>
      <c r="AD214" s="15"/>
      <c r="AE214" s="15"/>
      <c r="AF214" s="15"/>
      <c r="AG214" s="15"/>
      <c r="AH214" s="15"/>
    </row>
    <row r="215" ht="16.5" customHeight="1">
      <c r="A215" s="15"/>
      <c r="B215" s="219"/>
      <c r="C215" s="87"/>
      <c r="D215" s="8"/>
      <c r="E215" s="35"/>
      <c r="F215" s="35"/>
      <c r="G215" s="149"/>
      <c r="H215" s="35"/>
      <c r="I215" s="11"/>
      <c r="J215" s="11"/>
      <c r="K215" s="11"/>
      <c r="L215" s="11"/>
      <c r="M215" s="15"/>
      <c r="N215" s="15"/>
      <c r="O215" s="15"/>
      <c r="P215" s="15"/>
      <c r="Q215" s="15"/>
      <c r="R215" s="15"/>
      <c r="S215" s="15"/>
      <c r="T215" s="15"/>
      <c r="U215" s="15"/>
      <c r="V215" s="15"/>
      <c r="W215" s="15"/>
      <c r="X215" s="15"/>
      <c r="Y215" s="15"/>
      <c r="Z215" s="15"/>
      <c r="AA215" s="15"/>
      <c r="AB215" s="15"/>
      <c r="AC215" s="15"/>
      <c r="AD215" s="15"/>
      <c r="AE215" s="15"/>
      <c r="AF215" s="15"/>
      <c r="AG215" s="15"/>
      <c r="AH215" s="15"/>
    </row>
    <row r="216" ht="16.5" customHeight="1">
      <c r="A216" s="15"/>
      <c r="B216" s="219"/>
      <c r="C216" s="87"/>
      <c r="D216" s="8"/>
      <c r="E216" s="32"/>
      <c r="F216" s="35"/>
      <c r="G216" s="149"/>
      <c r="H216" s="62"/>
      <c r="I216" s="11"/>
      <c r="J216" s="11"/>
      <c r="K216" s="11"/>
      <c r="L216" s="11"/>
      <c r="M216" s="15"/>
      <c r="N216" s="15"/>
      <c r="O216" s="15"/>
      <c r="P216" s="15"/>
      <c r="Q216" s="15"/>
      <c r="R216" s="15"/>
      <c r="S216" s="15"/>
      <c r="T216" s="15"/>
      <c r="U216" s="15"/>
      <c r="V216" s="15"/>
      <c r="W216" s="15"/>
      <c r="X216" s="15"/>
      <c r="Y216" s="15"/>
      <c r="Z216" s="15"/>
      <c r="AA216" s="15"/>
      <c r="AB216" s="15"/>
      <c r="AC216" s="15"/>
      <c r="AD216" s="15"/>
      <c r="AE216" s="15"/>
      <c r="AF216" s="15"/>
      <c r="AG216" s="15"/>
      <c r="AH216" s="15"/>
    </row>
    <row r="217" ht="16.5" customHeight="1">
      <c r="A217" s="15"/>
      <c r="B217" s="32"/>
      <c r="C217" s="66"/>
      <c r="D217" s="32"/>
      <c r="E217" s="32"/>
      <c r="F217" s="35"/>
      <c r="G217" s="439"/>
      <c r="H217" s="35"/>
      <c r="I217" s="11"/>
      <c r="J217" s="11"/>
      <c r="K217" s="11"/>
      <c r="L217" s="11"/>
      <c r="M217" s="15"/>
      <c r="N217" s="15"/>
      <c r="O217" s="15"/>
      <c r="P217" s="15"/>
      <c r="Q217" s="15"/>
      <c r="R217" s="15"/>
      <c r="S217" s="15"/>
      <c r="T217" s="15"/>
      <c r="U217" s="15"/>
      <c r="V217" s="15"/>
      <c r="W217" s="15"/>
      <c r="X217" s="15"/>
      <c r="Y217" s="15"/>
      <c r="Z217" s="15"/>
      <c r="AA217" s="15"/>
      <c r="AB217" s="15"/>
      <c r="AC217" s="15"/>
      <c r="AD217" s="15"/>
      <c r="AE217" s="15"/>
      <c r="AF217" s="15"/>
      <c r="AG217" s="15"/>
      <c r="AH217" s="15"/>
    </row>
    <row r="218" ht="16.5" customHeight="1">
      <c r="A218" s="15"/>
      <c r="B218" s="32"/>
      <c r="C218" s="66"/>
      <c r="D218" s="32"/>
      <c r="E218" s="65"/>
      <c r="F218" s="35"/>
      <c r="G218" s="439"/>
      <c r="H218" s="35"/>
      <c r="I218" s="11"/>
      <c r="J218" s="11"/>
      <c r="K218" s="11"/>
      <c r="L218" s="11"/>
      <c r="M218" s="15"/>
      <c r="N218" s="15"/>
      <c r="O218" s="15"/>
      <c r="P218" s="15"/>
      <c r="Q218" s="15"/>
      <c r="R218" s="15"/>
      <c r="S218" s="15"/>
      <c r="T218" s="15"/>
      <c r="U218" s="15"/>
      <c r="V218" s="15"/>
      <c r="W218" s="15"/>
      <c r="X218" s="15"/>
      <c r="Y218" s="15"/>
      <c r="Z218" s="15"/>
      <c r="AA218" s="15"/>
      <c r="AB218" s="15"/>
      <c r="AC218" s="15"/>
      <c r="AD218" s="15"/>
      <c r="AE218" s="15"/>
      <c r="AF218" s="15"/>
      <c r="AG218" s="15"/>
      <c r="AH218" s="15"/>
    </row>
    <row r="219" ht="16.5" customHeight="1">
      <c r="A219" s="15"/>
      <c r="B219" s="456"/>
      <c r="C219" s="484"/>
      <c r="D219" s="31"/>
      <c r="E219" s="31"/>
      <c r="F219" s="31"/>
      <c r="G219" s="69"/>
      <c r="H219" s="31"/>
      <c r="I219" s="11"/>
      <c r="J219" s="11"/>
      <c r="K219" s="11"/>
      <c r="L219" s="11"/>
      <c r="M219" s="15"/>
      <c r="N219" s="15"/>
      <c r="O219" s="15"/>
      <c r="P219" s="15"/>
      <c r="Q219" s="15"/>
      <c r="R219" s="15"/>
      <c r="S219" s="15"/>
      <c r="T219" s="15"/>
      <c r="U219" s="15"/>
      <c r="V219" s="15"/>
      <c r="W219" s="15"/>
      <c r="X219" s="15"/>
      <c r="Y219" s="15"/>
      <c r="Z219" s="15"/>
      <c r="AA219" s="15"/>
      <c r="AB219" s="15"/>
      <c r="AC219" s="15"/>
      <c r="AD219" s="15"/>
      <c r="AE219" s="15"/>
      <c r="AF219" s="15"/>
      <c r="AG219" s="15"/>
      <c r="AH219" s="15"/>
    </row>
    <row r="220" ht="16.5" customHeight="1">
      <c r="A220" s="15"/>
      <c r="B220" s="456"/>
      <c r="C220" s="484"/>
      <c r="D220" s="31"/>
      <c r="E220" s="31"/>
      <c r="F220" s="31"/>
      <c r="G220" s="351"/>
      <c r="H220" s="31"/>
      <c r="I220" s="11"/>
      <c r="J220" s="11"/>
      <c r="K220" s="11"/>
      <c r="L220" s="11"/>
      <c r="M220" s="15"/>
      <c r="N220" s="15"/>
      <c r="O220" s="15"/>
      <c r="P220" s="15"/>
      <c r="Q220" s="15"/>
      <c r="R220" s="15"/>
      <c r="S220" s="15"/>
      <c r="T220" s="15"/>
      <c r="U220" s="15"/>
      <c r="V220" s="15"/>
      <c r="W220" s="15"/>
      <c r="X220" s="15"/>
      <c r="Y220" s="15"/>
      <c r="Z220" s="15"/>
      <c r="AA220" s="15"/>
      <c r="AB220" s="15"/>
      <c r="AC220" s="15"/>
      <c r="AD220" s="15"/>
      <c r="AE220" s="15"/>
      <c r="AF220" s="15"/>
      <c r="AG220" s="15"/>
      <c r="AH220" s="15"/>
    </row>
    <row r="221" ht="16.5" customHeight="1">
      <c r="A221" s="15"/>
      <c r="B221" s="456"/>
      <c r="C221" s="484"/>
      <c r="D221" s="31"/>
      <c r="E221" s="31"/>
      <c r="F221" s="31"/>
      <c r="G221" s="351"/>
      <c r="H221" s="31"/>
      <c r="I221" s="11"/>
      <c r="J221" s="11"/>
      <c r="K221" s="11"/>
      <c r="L221" s="11"/>
      <c r="M221" s="15"/>
      <c r="N221" s="15"/>
      <c r="O221" s="15"/>
      <c r="P221" s="15"/>
      <c r="Q221" s="15"/>
      <c r="R221" s="15"/>
      <c r="S221" s="15"/>
      <c r="T221" s="15"/>
      <c r="U221" s="15"/>
      <c r="V221" s="15"/>
      <c r="W221" s="15"/>
      <c r="X221" s="15"/>
      <c r="Y221" s="15"/>
      <c r="Z221" s="15"/>
      <c r="AA221" s="15"/>
      <c r="AB221" s="15"/>
      <c r="AC221" s="15"/>
      <c r="AD221" s="15"/>
      <c r="AE221" s="15"/>
      <c r="AF221" s="15"/>
      <c r="AG221" s="15"/>
      <c r="AH221" s="15"/>
    </row>
    <row r="222" ht="16.5" customHeight="1">
      <c r="A222" s="15"/>
      <c r="B222" s="15"/>
      <c r="C222" s="21"/>
      <c r="D222" s="15"/>
      <c r="E222" s="15"/>
      <c r="F222" s="15"/>
      <c r="G222" s="387"/>
      <c r="H222" s="15"/>
      <c r="I222" s="11"/>
      <c r="J222" s="11"/>
      <c r="K222" s="11"/>
      <c r="L222" s="11"/>
      <c r="M222" s="15"/>
      <c r="N222" s="15"/>
      <c r="O222" s="15"/>
      <c r="P222" s="15"/>
      <c r="Q222" s="15"/>
      <c r="R222" s="15"/>
      <c r="S222" s="15"/>
      <c r="T222" s="15"/>
      <c r="U222" s="15"/>
      <c r="V222" s="15"/>
      <c r="W222" s="15"/>
      <c r="X222" s="15"/>
      <c r="Y222" s="15"/>
      <c r="Z222" s="15"/>
      <c r="AA222" s="15"/>
      <c r="AB222" s="15"/>
      <c r="AC222" s="15"/>
      <c r="AD222" s="15"/>
      <c r="AE222" s="15"/>
      <c r="AF222" s="15"/>
      <c r="AG222" s="15"/>
      <c r="AH222" s="15"/>
    </row>
    <row r="223" ht="16.5" customHeight="1">
      <c r="A223" s="15"/>
      <c r="B223" s="15"/>
      <c r="C223" s="21"/>
      <c r="D223" s="15"/>
      <c r="E223" s="15"/>
      <c r="F223" s="15"/>
      <c r="G223" s="387"/>
      <c r="H223" s="15"/>
      <c r="I223" s="11"/>
      <c r="J223" s="11"/>
      <c r="K223" s="11"/>
      <c r="L223" s="11"/>
      <c r="M223" s="15"/>
      <c r="N223" s="15"/>
      <c r="O223" s="15"/>
      <c r="P223" s="15"/>
      <c r="Q223" s="15"/>
      <c r="R223" s="15"/>
      <c r="S223" s="15"/>
      <c r="T223" s="15"/>
      <c r="U223" s="15"/>
      <c r="V223" s="15"/>
      <c r="W223" s="15"/>
      <c r="X223" s="15"/>
      <c r="Y223" s="15"/>
      <c r="Z223" s="15"/>
      <c r="AA223" s="15"/>
      <c r="AB223" s="15"/>
      <c r="AC223" s="15"/>
      <c r="AD223" s="15"/>
      <c r="AE223" s="15"/>
      <c r="AF223" s="15"/>
      <c r="AG223" s="15"/>
      <c r="AH223" s="15"/>
    </row>
    <row r="224" ht="16.5" customHeight="1">
      <c r="A224" s="15"/>
      <c r="B224" s="15"/>
      <c r="C224" s="21"/>
      <c r="D224" s="15"/>
      <c r="E224" s="15"/>
      <c r="F224" s="15"/>
      <c r="G224" s="387"/>
      <c r="H224" s="15"/>
      <c r="I224" s="11"/>
      <c r="J224" s="11"/>
      <c r="K224" s="11"/>
      <c r="L224" s="11"/>
      <c r="M224" s="15"/>
      <c r="N224" s="15"/>
      <c r="O224" s="15"/>
      <c r="P224" s="15"/>
      <c r="Q224" s="15"/>
      <c r="R224" s="15"/>
      <c r="S224" s="15"/>
      <c r="T224" s="15"/>
      <c r="U224" s="15"/>
      <c r="V224" s="15"/>
      <c r="W224" s="15"/>
      <c r="X224" s="15"/>
      <c r="Y224" s="15"/>
      <c r="Z224" s="15"/>
      <c r="AA224" s="15"/>
      <c r="AB224" s="15"/>
      <c r="AC224" s="15"/>
      <c r="AD224" s="15"/>
      <c r="AE224" s="15"/>
      <c r="AF224" s="15"/>
      <c r="AG224" s="15"/>
      <c r="AH224" s="15"/>
    </row>
    <row r="225" ht="16.5" customHeight="1">
      <c r="A225" s="15"/>
      <c r="B225" s="15"/>
      <c r="C225" s="21"/>
      <c r="D225" s="15"/>
      <c r="E225" s="15"/>
      <c r="F225" s="15"/>
      <c r="G225" s="387"/>
      <c r="H225" s="15"/>
      <c r="I225" s="11"/>
      <c r="J225" s="11"/>
      <c r="K225" s="11"/>
      <c r="L225" s="11"/>
      <c r="M225" s="15"/>
      <c r="N225" s="15"/>
      <c r="O225" s="15"/>
      <c r="P225" s="15"/>
      <c r="Q225" s="15"/>
      <c r="R225" s="15"/>
      <c r="S225" s="15"/>
      <c r="T225" s="15"/>
      <c r="U225" s="15"/>
      <c r="V225" s="15"/>
      <c r="W225" s="15"/>
      <c r="X225" s="15"/>
      <c r="Y225" s="15"/>
      <c r="Z225" s="15"/>
      <c r="AA225" s="15"/>
      <c r="AB225" s="15"/>
      <c r="AC225" s="15"/>
      <c r="AD225" s="15"/>
      <c r="AE225" s="15"/>
      <c r="AF225" s="15"/>
      <c r="AG225" s="15"/>
      <c r="AH225" s="15"/>
    </row>
    <row r="226" ht="16.5" customHeight="1">
      <c r="A226" s="15"/>
      <c r="B226" s="15"/>
      <c r="C226" s="21"/>
      <c r="D226" s="15"/>
      <c r="E226" s="15"/>
      <c r="F226" s="15"/>
      <c r="G226" s="387"/>
      <c r="H226" s="15"/>
      <c r="I226" s="11"/>
      <c r="J226" s="11"/>
      <c r="K226" s="11"/>
      <c r="L226" s="11"/>
      <c r="M226" s="15"/>
      <c r="N226" s="15"/>
      <c r="O226" s="15"/>
      <c r="P226" s="15"/>
      <c r="Q226" s="15"/>
      <c r="R226" s="15"/>
      <c r="S226" s="15"/>
      <c r="T226" s="15"/>
      <c r="U226" s="15"/>
      <c r="V226" s="15"/>
      <c r="W226" s="15"/>
      <c r="X226" s="15"/>
      <c r="Y226" s="15"/>
      <c r="Z226" s="15"/>
      <c r="AA226" s="15"/>
      <c r="AB226" s="15"/>
      <c r="AC226" s="15"/>
      <c r="AD226" s="15"/>
      <c r="AE226" s="15"/>
      <c r="AF226" s="15"/>
      <c r="AG226" s="15"/>
      <c r="AH226" s="15"/>
    </row>
    <row r="227" ht="16.5" customHeight="1">
      <c r="A227" s="15"/>
      <c r="B227" s="15"/>
      <c r="C227" s="21"/>
      <c r="D227" s="15"/>
      <c r="E227" s="15"/>
      <c r="F227" s="15"/>
      <c r="G227" s="387"/>
      <c r="H227" s="15"/>
      <c r="I227" s="11"/>
      <c r="J227" s="11"/>
      <c r="K227" s="11"/>
      <c r="L227" s="11"/>
      <c r="M227" s="15"/>
      <c r="N227" s="15"/>
      <c r="O227" s="15"/>
      <c r="P227" s="15"/>
      <c r="Q227" s="15"/>
      <c r="R227" s="15"/>
      <c r="S227" s="15"/>
      <c r="T227" s="15"/>
      <c r="U227" s="15"/>
      <c r="V227" s="15"/>
      <c r="W227" s="15"/>
      <c r="X227" s="15"/>
      <c r="Y227" s="15"/>
      <c r="Z227" s="15"/>
      <c r="AA227" s="15"/>
      <c r="AB227" s="15"/>
      <c r="AC227" s="15"/>
      <c r="AD227" s="15"/>
      <c r="AE227" s="15"/>
      <c r="AF227" s="15"/>
      <c r="AG227" s="15"/>
      <c r="AH227" s="15"/>
    </row>
    <row r="228" ht="16.5" customHeight="1">
      <c r="A228" s="15"/>
      <c r="B228" s="15"/>
      <c r="C228" s="21"/>
      <c r="D228" s="15"/>
      <c r="E228" s="15"/>
      <c r="F228" s="15"/>
      <c r="G228" s="387"/>
      <c r="H228" s="15"/>
      <c r="I228" s="11"/>
      <c r="J228" s="11"/>
      <c r="K228" s="11"/>
      <c r="L228" s="11"/>
      <c r="M228" s="15"/>
      <c r="N228" s="15"/>
      <c r="O228" s="15"/>
      <c r="P228" s="15"/>
      <c r="Q228" s="15"/>
      <c r="R228" s="15"/>
      <c r="S228" s="15"/>
      <c r="T228" s="15"/>
      <c r="U228" s="15"/>
      <c r="V228" s="15"/>
      <c r="W228" s="15"/>
      <c r="X228" s="15"/>
      <c r="Y228" s="15"/>
      <c r="Z228" s="15"/>
      <c r="AA228" s="15"/>
      <c r="AB228" s="15"/>
      <c r="AC228" s="15"/>
      <c r="AD228" s="15"/>
      <c r="AE228" s="15"/>
      <c r="AF228" s="15"/>
      <c r="AG228" s="15"/>
      <c r="AH228" s="15"/>
    </row>
    <row r="229" ht="16.5" customHeight="1">
      <c r="A229" s="15"/>
      <c r="B229" s="15"/>
      <c r="C229" s="21"/>
      <c r="D229" s="15"/>
      <c r="E229" s="15"/>
      <c r="F229" s="15"/>
      <c r="G229" s="387"/>
      <c r="H229" s="15"/>
      <c r="I229" s="11"/>
      <c r="J229" s="11"/>
      <c r="K229" s="11"/>
      <c r="L229" s="11"/>
      <c r="M229" s="15"/>
      <c r="N229" s="15"/>
      <c r="O229" s="15"/>
      <c r="P229" s="15"/>
      <c r="Q229" s="15"/>
      <c r="R229" s="15"/>
      <c r="S229" s="15"/>
      <c r="T229" s="15"/>
      <c r="U229" s="15"/>
      <c r="V229" s="15"/>
      <c r="W229" s="15"/>
      <c r="X229" s="15"/>
      <c r="Y229" s="15"/>
      <c r="Z229" s="15"/>
      <c r="AA229" s="15"/>
      <c r="AB229" s="15"/>
      <c r="AC229" s="15"/>
      <c r="AD229" s="15"/>
      <c r="AE229" s="15"/>
      <c r="AF229" s="15"/>
      <c r="AG229" s="15"/>
      <c r="AH229" s="15"/>
    </row>
    <row r="230" ht="16.5" customHeight="1">
      <c r="A230" s="15"/>
      <c r="B230" s="15"/>
      <c r="C230" s="21"/>
      <c r="D230" s="15"/>
      <c r="E230" s="15"/>
      <c r="F230" s="15"/>
      <c r="G230" s="387"/>
      <c r="H230" s="15"/>
      <c r="I230" s="11"/>
      <c r="J230" s="11"/>
      <c r="K230" s="11"/>
      <c r="L230" s="11"/>
      <c r="M230" s="15"/>
      <c r="N230" s="15"/>
      <c r="O230" s="15"/>
      <c r="P230" s="15"/>
      <c r="Q230" s="15"/>
      <c r="R230" s="15"/>
      <c r="S230" s="15"/>
      <c r="T230" s="15"/>
      <c r="U230" s="15"/>
      <c r="V230" s="15"/>
      <c r="W230" s="15"/>
      <c r="X230" s="15"/>
      <c r="Y230" s="15"/>
      <c r="Z230" s="15"/>
      <c r="AA230" s="15"/>
      <c r="AB230" s="15"/>
      <c r="AC230" s="15"/>
      <c r="AD230" s="15"/>
      <c r="AE230" s="15"/>
      <c r="AF230" s="15"/>
      <c r="AG230" s="15"/>
      <c r="AH230" s="15"/>
    </row>
    <row r="231" ht="16.5" customHeight="1">
      <c r="A231" s="15"/>
      <c r="B231" s="15"/>
      <c r="C231" s="21"/>
      <c r="D231" s="15"/>
      <c r="E231" s="15"/>
      <c r="F231" s="15"/>
      <c r="G231" s="387"/>
      <c r="H231" s="15"/>
      <c r="I231" s="11"/>
      <c r="J231" s="11"/>
      <c r="K231" s="11"/>
      <c r="L231" s="11"/>
      <c r="M231" s="15"/>
      <c r="N231" s="15"/>
      <c r="O231" s="15"/>
      <c r="P231" s="15"/>
      <c r="Q231" s="15"/>
      <c r="R231" s="15"/>
      <c r="S231" s="15"/>
      <c r="T231" s="15"/>
      <c r="U231" s="15"/>
      <c r="V231" s="15"/>
      <c r="W231" s="15"/>
      <c r="X231" s="15"/>
      <c r="Y231" s="15"/>
      <c r="Z231" s="15"/>
      <c r="AA231" s="15"/>
      <c r="AB231" s="15"/>
      <c r="AC231" s="15"/>
      <c r="AD231" s="15"/>
      <c r="AE231" s="15"/>
      <c r="AF231" s="15"/>
      <c r="AG231" s="15"/>
      <c r="AH231" s="15"/>
    </row>
    <row r="232" ht="16.5" customHeight="1">
      <c r="A232" s="15"/>
      <c r="B232" s="15"/>
      <c r="C232" s="21"/>
      <c r="D232" s="15"/>
      <c r="E232" s="15"/>
      <c r="F232" s="15"/>
      <c r="G232" s="387"/>
      <c r="H232" s="15"/>
      <c r="I232" s="11"/>
      <c r="J232" s="11"/>
      <c r="K232" s="11"/>
      <c r="L232" s="11"/>
      <c r="M232" s="15"/>
      <c r="N232" s="15"/>
      <c r="O232" s="15"/>
      <c r="P232" s="15"/>
      <c r="Q232" s="15"/>
      <c r="R232" s="15"/>
      <c r="S232" s="15"/>
      <c r="T232" s="15"/>
      <c r="U232" s="15"/>
      <c r="V232" s="15"/>
      <c r="W232" s="15"/>
      <c r="X232" s="15"/>
      <c r="Y232" s="15"/>
      <c r="Z232" s="15"/>
      <c r="AA232" s="15"/>
      <c r="AB232" s="15"/>
      <c r="AC232" s="15"/>
      <c r="AD232" s="15"/>
      <c r="AE232" s="15"/>
      <c r="AF232" s="15"/>
      <c r="AG232" s="15"/>
      <c r="AH232" s="15"/>
    </row>
    <row r="233" ht="16.5" customHeight="1">
      <c r="A233" s="15"/>
      <c r="B233" s="15"/>
      <c r="C233" s="21"/>
      <c r="D233" s="15"/>
      <c r="E233" s="15"/>
      <c r="F233" s="15"/>
      <c r="G233" s="387"/>
      <c r="H233" s="15"/>
      <c r="I233" s="11"/>
      <c r="J233" s="11"/>
      <c r="K233" s="11"/>
      <c r="L233" s="11"/>
      <c r="M233" s="15"/>
      <c r="N233" s="15"/>
      <c r="O233" s="15"/>
      <c r="P233" s="15"/>
      <c r="Q233" s="15"/>
      <c r="R233" s="15"/>
      <c r="S233" s="15"/>
      <c r="T233" s="15"/>
      <c r="U233" s="15"/>
      <c r="V233" s="15"/>
      <c r="W233" s="15"/>
      <c r="X233" s="15"/>
      <c r="Y233" s="15"/>
      <c r="Z233" s="15"/>
      <c r="AA233" s="15"/>
      <c r="AB233" s="15"/>
      <c r="AC233" s="15"/>
      <c r="AD233" s="15"/>
      <c r="AE233" s="15"/>
      <c r="AF233" s="15"/>
      <c r="AG233" s="15"/>
      <c r="AH233" s="15"/>
    </row>
    <row r="234" ht="16.5" customHeight="1">
      <c r="A234" s="15"/>
      <c r="B234" s="15"/>
      <c r="C234" s="21"/>
      <c r="D234" s="15"/>
      <c r="E234" s="15"/>
      <c r="F234" s="15"/>
      <c r="G234" s="387"/>
      <c r="H234" s="15"/>
      <c r="I234" s="11"/>
      <c r="J234" s="11"/>
      <c r="K234" s="11"/>
      <c r="L234" s="11"/>
      <c r="M234" s="15"/>
      <c r="N234" s="15"/>
      <c r="O234" s="15"/>
      <c r="P234" s="15"/>
      <c r="Q234" s="15"/>
      <c r="R234" s="15"/>
      <c r="S234" s="15"/>
      <c r="T234" s="15"/>
      <c r="U234" s="15"/>
      <c r="V234" s="15"/>
      <c r="W234" s="15"/>
      <c r="X234" s="15"/>
      <c r="Y234" s="15"/>
      <c r="Z234" s="15"/>
      <c r="AA234" s="15"/>
      <c r="AB234" s="15"/>
      <c r="AC234" s="15"/>
      <c r="AD234" s="15"/>
      <c r="AE234" s="15"/>
      <c r="AF234" s="15"/>
      <c r="AG234" s="15"/>
      <c r="AH234" s="15"/>
    </row>
    <row r="235" ht="16.5" customHeight="1">
      <c r="A235" s="15"/>
      <c r="B235" s="15"/>
      <c r="C235" s="21"/>
      <c r="D235" s="15"/>
      <c r="E235" s="15"/>
      <c r="F235" s="15"/>
      <c r="G235" s="387"/>
      <c r="H235" s="15"/>
      <c r="I235" s="11"/>
      <c r="J235" s="11"/>
      <c r="K235" s="11"/>
      <c r="L235" s="11"/>
      <c r="M235" s="15"/>
      <c r="N235" s="15"/>
      <c r="O235" s="15"/>
      <c r="P235" s="15"/>
      <c r="Q235" s="15"/>
      <c r="R235" s="15"/>
      <c r="S235" s="15"/>
      <c r="T235" s="15"/>
      <c r="U235" s="15"/>
      <c r="V235" s="15"/>
      <c r="W235" s="15"/>
      <c r="X235" s="15"/>
      <c r="Y235" s="15"/>
      <c r="Z235" s="15"/>
      <c r="AA235" s="15"/>
      <c r="AB235" s="15"/>
      <c r="AC235" s="15"/>
      <c r="AD235" s="15"/>
      <c r="AE235" s="15"/>
      <c r="AF235" s="15"/>
      <c r="AG235" s="15"/>
      <c r="AH235" s="15"/>
    </row>
    <row r="236" ht="16.5" customHeight="1">
      <c r="A236" s="15"/>
      <c r="B236" s="15"/>
      <c r="C236" s="21"/>
      <c r="D236" s="15"/>
      <c r="E236" s="15"/>
      <c r="F236" s="15"/>
      <c r="G236" s="387"/>
      <c r="H236" s="15"/>
      <c r="I236" s="11"/>
      <c r="J236" s="11"/>
      <c r="K236" s="11"/>
      <c r="L236" s="11"/>
      <c r="M236" s="15"/>
      <c r="N236" s="15"/>
      <c r="O236" s="15"/>
      <c r="P236" s="15"/>
      <c r="Q236" s="15"/>
      <c r="R236" s="15"/>
      <c r="S236" s="15"/>
      <c r="T236" s="15"/>
      <c r="U236" s="15"/>
      <c r="V236" s="15"/>
      <c r="W236" s="15"/>
      <c r="X236" s="15"/>
      <c r="Y236" s="15"/>
      <c r="Z236" s="15"/>
      <c r="AA236" s="15"/>
      <c r="AB236" s="15"/>
      <c r="AC236" s="15"/>
      <c r="AD236" s="15"/>
      <c r="AE236" s="15"/>
      <c r="AF236" s="15"/>
      <c r="AG236" s="15"/>
      <c r="AH236" s="15"/>
    </row>
    <row r="237" ht="16.5" customHeight="1">
      <c r="A237" s="15"/>
      <c r="B237" s="15"/>
      <c r="C237" s="21"/>
      <c r="D237" s="15"/>
      <c r="E237" s="15"/>
      <c r="F237" s="15"/>
      <c r="G237" s="387"/>
      <c r="H237" s="15"/>
      <c r="I237" s="11"/>
      <c r="J237" s="11"/>
      <c r="K237" s="11"/>
      <c r="L237" s="11"/>
      <c r="M237" s="15"/>
      <c r="N237" s="15"/>
      <c r="O237" s="15"/>
      <c r="P237" s="15"/>
      <c r="Q237" s="15"/>
      <c r="R237" s="15"/>
      <c r="S237" s="15"/>
      <c r="T237" s="15"/>
      <c r="U237" s="15"/>
      <c r="V237" s="15"/>
      <c r="W237" s="15"/>
      <c r="X237" s="15"/>
      <c r="Y237" s="15"/>
      <c r="Z237" s="15"/>
      <c r="AA237" s="15"/>
      <c r="AB237" s="15"/>
      <c r="AC237" s="15"/>
      <c r="AD237" s="15"/>
      <c r="AE237" s="15"/>
      <c r="AF237" s="15"/>
      <c r="AG237" s="15"/>
      <c r="AH237" s="15"/>
    </row>
    <row r="238" ht="16.5" customHeight="1">
      <c r="A238" s="15"/>
      <c r="B238" s="15"/>
      <c r="C238" s="21"/>
      <c r="D238" s="15"/>
      <c r="E238" s="15"/>
      <c r="F238" s="15"/>
      <c r="G238" s="387"/>
      <c r="H238" s="15"/>
      <c r="I238" s="11"/>
      <c r="J238" s="11"/>
      <c r="K238" s="11"/>
      <c r="L238" s="11"/>
      <c r="M238" s="15"/>
      <c r="N238" s="15"/>
      <c r="O238" s="15"/>
      <c r="P238" s="15"/>
      <c r="Q238" s="15"/>
      <c r="R238" s="15"/>
      <c r="S238" s="15"/>
      <c r="T238" s="15"/>
      <c r="U238" s="15"/>
      <c r="V238" s="15"/>
      <c r="W238" s="15"/>
      <c r="X238" s="15"/>
      <c r="Y238" s="15"/>
      <c r="Z238" s="15"/>
      <c r="AA238" s="15"/>
      <c r="AB238" s="15"/>
      <c r="AC238" s="15"/>
      <c r="AD238" s="15"/>
      <c r="AE238" s="15"/>
      <c r="AF238" s="15"/>
      <c r="AG238" s="15"/>
      <c r="AH238" s="15"/>
    </row>
    <row r="239" ht="16.5" customHeight="1">
      <c r="A239" s="15"/>
      <c r="B239" s="15"/>
      <c r="C239" s="21"/>
      <c r="D239" s="15"/>
      <c r="E239" s="15"/>
      <c r="F239" s="15"/>
      <c r="G239" s="387"/>
      <c r="H239" s="15"/>
      <c r="I239" s="11"/>
      <c r="J239" s="11"/>
      <c r="K239" s="11"/>
      <c r="L239" s="11"/>
      <c r="M239" s="15"/>
      <c r="N239" s="15"/>
      <c r="O239" s="15"/>
      <c r="P239" s="15"/>
      <c r="Q239" s="15"/>
      <c r="R239" s="15"/>
      <c r="S239" s="15"/>
      <c r="T239" s="15"/>
      <c r="U239" s="15"/>
      <c r="V239" s="15"/>
      <c r="W239" s="15"/>
      <c r="X239" s="15"/>
      <c r="Y239" s="15"/>
      <c r="Z239" s="15"/>
      <c r="AA239" s="15"/>
      <c r="AB239" s="15"/>
      <c r="AC239" s="15"/>
      <c r="AD239" s="15"/>
      <c r="AE239" s="15"/>
      <c r="AF239" s="15"/>
      <c r="AG239" s="15"/>
      <c r="AH239" s="15"/>
    </row>
    <row r="240" ht="16.5" customHeight="1">
      <c r="A240" s="15"/>
      <c r="B240" s="15"/>
      <c r="C240" s="21"/>
      <c r="D240" s="15"/>
      <c r="E240" s="15"/>
      <c r="F240" s="15"/>
      <c r="G240" s="387"/>
      <c r="H240" s="15"/>
      <c r="I240" s="11"/>
      <c r="J240" s="11"/>
      <c r="K240" s="11"/>
      <c r="L240" s="11"/>
      <c r="M240" s="15"/>
      <c r="N240" s="15"/>
      <c r="O240" s="15"/>
      <c r="P240" s="15"/>
      <c r="Q240" s="15"/>
      <c r="R240" s="15"/>
      <c r="S240" s="15"/>
      <c r="T240" s="15"/>
      <c r="U240" s="15"/>
      <c r="V240" s="15"/>
      <c r="W240" s="15"/>
      <c r="X240" s="15"/>
      <c r="Y240" s="15"/>
      <c r="Z240" s="15"/>
      <c r="AA240" s="15"/>
      <c r="AB240" s="15"/>
      <c r="AC240" s="15"/>
      <c r="AD240" s="15"/>
      <c r="AE240" s="15"/>
      <c r="AF240" s="15"/>
      <c r="AG240" s="15"/>
      <c r="AH240" s="15"/>
    </row>
    <row r="241" ht="16.5" customHeight="1">
      <c r="A241" s="15"/>
      <c r="B241" s="15"/>
      <c r="C241" s="21"/>
      <c r="D241" s="15"/>
      <c r="E241" s="15"/>
      <c r="F241" s="15"/>
      <c r="G241" s="387"/>
      <c r="H241" s="15"/>
      <c r="I241" s="11"/>
      <c r="J241" s="11"/>
      <c r="K241" s="11"/>
      <c r="L241" s="11"/>
      <c r="M241" s="15"/>
      <c r="N241" s="15"/>
      <c r="O241" s="15"/>
      <c r="P241" s="15"/>
      <c r="Q241" s="15"/>
      <c r="R241" s="15"/>
      <c r="S241" s="15"/>
      <c r="T241" s="15"/>
      <c r="U241" s="15"/>
      <c r="V241" s="15"/>
      <c r="W241" s="15"/>
      <c r="X241" s="15"/>
      <c r="Y241" s="15"/>
      <c r="Z241" s="15"/>
      <c r="AA241" s="15"/>
      <c r="AB241" s="15"/>
      <c r="AC241" s="15"/>
      <c r="AD241" s="15"/>
      <c r="AE241" s="15"/>
      <c r="AF241" s="15"/>
      <c r="AG241" s="15"/>
      <c r="AH241" s="15"/>
    </row>
    <row r="242" ht="16.5" customHeight="1">
      <c r="A242" s="15"/>
      <c r="B242" s="15"/>
      <c r="C242" s="21"/>
      <c r="D242" s="15"/>
      <c r="E242" s="15"/>
      <c r="F242" s="15"/>
      <c r="G242" s="387"/>
      <c r="H242" s="15"/>
      <c r="I242" s="11"/>
      <c r="J242" s="11"/>
      <c r="K242" s="11"/>
      <c r="L242" s="11"/>
      <c r="M242" s="15"/>
      <c r="N242" s="15"/>
      <c r="O242" s="15"/>
      <c r="P242" s="15"/>
      <c r="Q242" s="15"/>
      <c r="R242" s="15"/>
      <c r="S242" s="15"/>
      <c r="T242" s="15"/>
      <c r="U242" s="15"/>
      <c r="V242" s="15"/>
      <c r="W242" s="15"/>
      <c r="X242" s="15"/>
      <c r="Y242" s="15"/>
      <c r="Z242" s="15"/>
      <c r="AA242" s="15"/>
      <c r="AB242" s="15"/>
      <c r="AC242" s="15"/>
      <c r="AD242" s="15"/>
      <c r="AE242" s="15"/>
      <c r="AF242" s="15"/>
      <c r="AG242" s="15"/>
      <c r="AH242" s="15"/>
    </row>
    <row r="243" ht="16.5" customHeight="1">
      <c r="A243" s="15"/>
      <c r="B243" s="15"/>
      <c r="C243" s="21"/>
      <c r="D243" s="15"/>
      <c r="E243" s="15"/>
      <c r="F243" s="15"/>
      <c r="G243" s="387"/>
      <c r="H243" s="15"/>
      <c r="I243" s="11"/>
      <c r="J243" s="11"/>
      <c r="K243" s="11"/>
      <c r="L243" s="11"/>
      <c r="M243" s="15"/>
      <c r="N243" s="15"/>
      <c r="O243" s="15"/>
      <c r="P243" s="15"/>
      <c r="Q243" s="15"/>
      <c r="R243" s="15"/>
      <c r="S243" s="15"/>
      <c r="T243" s="15"/>
      <c r="U243" s="15"/>
      <c r="V243" s="15"/>
      <c r="W243" s="15"/>
      <c r="X243" s="15"/>
      <c r="Y243" s="15"/>
      <c r="Z243" s="15"/>
      <c r="AA243" s="15"/>
      <c r="AB243" s="15"/>
      <c r="AC243" s="15"/>
      <c r="AD243" s="15"/>
      <c r="AE243" s="15"/>
      <c r="AF243" s="15"/>
      <c r="AG243" s="15"/>
      <c r="AH243" s="15"/>
    </row>
    <row r="244" ht="16.5" customHeight="1">
      <c r="A244" s="15"/>
      <c r="B244" s="15"/>
      <c r="C244" s="21"/>
      <c r="D244" s="15"/>
      <c r="E244" s="15"/>
      <c r="F244" s="15"/>
      <c r="G244" s="387"/>
      <c r="H244" s="15"/>
      <c r="I244" s="11"/>
      <c r="J244" s="11"/>
      <c r="K244" s="11"/>
      <c r="L244" s="11"/>
      <c r="M244" s="15"/>
      <c r="N244" s="15"/>
      <c r="O244" s="15"/>
      <c r="P244" s="15"/>
      <c r="Q244" s="15"/>
      <c r="R244" s="15"/>
      <c r="S244" s="15"/>
      <c r="T244" s="15"/>
      <c r="U244" s="15"/>
      <c r="V244" s="15"/>
      <c r="W244" s="15"/>
      <c r="X244" s="15"/>
      <c r="Y244" s="15"/>
      <c r="Z244" s="15"/>
      <c r="AA244" s="15"/>
      <c r="AB244" s="15"/>
      <c r="AC244" s="15"/>
      <c r="AD244" s="15"/>
      <c r="AE244" s="15"/>
      <c r="AF244" s="15"/>
      <c r="AG244" s="15"/>
      <c r="AH244" s="15"/>
    </row>
    <row r="245" ht="16.5" customHeight="1">
      <c r="A245" s="15"/>
      <c r="B245" s="15"/>
      <c r="C245" s="21"/>
      <c r="D245" s="15"/>
      <c r="E245" s="15"/>
      <c r="F245" s="15"/>
      <c r="G245" s="387"/>
      <c r="H245" s="15"/>
      <c r="I245" s="11"/>
      <c r="J245" s="11"/>
      <c r="K245" s="11"/>
      <c r="L245" s="11"/>
      <c r="M245" s="15"/>
      <c r="N245" s="15"/>
      <c r="O245" s="15"/>
      <c r="P245" s="15"/>
      <c r="Q245" s="15"/>
      <c r="R245" s="15"/>
      <c r="S245" s="15"/>
      <c r="T245" s="15"/>
      <c r="U245" s="15"/>
      <c r="V245" s="15"/>
      <c r="W245" s="15"/>
      <c r="X245" s="15"/>
      <c r="Y245" s="15"/>
      <c r="Z245" s="15"/>
      <c r="AA245" s="15"/>
      <c r="AB245" s="15"/>
      <c r="AC245" s="15"/>
      <c r="AD245" s="15"/>
      <c r="AE245" s="15"/>
      <c r="AF245" s="15"/>
      <c r="AG245" s="15"/>
      <c r="AH245" s="15"/>
    </row>
    <row r="246" ht="16.5" customHeight="1">
      <c r="A246" s="15"/>
      <c r="B246" s="15"/>
      <c r="C246" s="21"/>
      <c r="D246" s="15"/>
      <c r="E246" s="15"/>
      <c r="F246" s="15"/>
      <c r="G246" s="387"/>
      <c r="H246" s="15"/>
      <c r="I246" s="11"/>
      <c r="J246" s="11"/>
      <c r="K246" s="11"/>
      <c r="L246" s="11"/>
      <c r="M246" s="15"/>
      <c r="N246" s="15"/>
      <c r="O246" s="15"/>
      <c r="P246" s="15"/>
      <c r="Q246" s="15"/>
      <c r="R246" s="15"/>
      <c r="S246" s="15"/>
      <c r="T246" s="15"/>
      <c r="U246" s="15"/>
      <c r="V246" s="15"/>
      <c r="W246" s="15"/>
      <c r="X246" s="15"/>
      <c r="Y246" s="15"/>
      <c r="Z246" s="15"/>
      <c r="AA246" s="15"/>
      <c r="AB246" s="15"/>
      <c r="AC246" s="15"/>
      <c r="AD246" s="15"/>
      <c r="AE246" s="15"/>
      <c r="AF246" s="15"/>
      <c r="AG246" s="15"/>
      <c r="AH246" s="15"/>
    </row>
    <row r="247" ht="16.5" customHeight="1">
      <c r="A247" s="15"/>
      <c r="B247" s="15"/>
      <c r="C247" s="21"/>
      <c r="D247" s="15"/>
      <c r="E247" s="15"/>
      <c r="F247" s="15"/>
      <c r="G247" s="387"/>
      <c r="H247" s="15"/>
      <c r="I247" s="11"/>
      <c r="J247" s="11"/>
      <c r="K247" s="11"/>
      <c r="L247" s="11"/>
      <c r="M247" s="15"/>
      <c r="N247" s="15"/>
      <c r="O247" s="15"/>
      <c r="P247" s="15"/>
      <c r="Q247" s="15"/>
      <c r="R247" s="15"/>
      <c r="S247" s="15"/>
      <c r="T247" s="15"/>
      <c r="U247" s="15"/>
      <c r="V247" s="15"/>
      <c r="W247" s="15"/>
      <c r="X247" s="15"/>
      <c r="Y247" s="15"/>
      <c r="Z247" s="15"/>
      <c r="AA247" s="15"/>
      <c r="AB247" s="15"/>
      <c r="AC247" s="15"/>
      <c r="AD247" s="15"/>
      <c r="AE247" s="15"/>
      <c r="AF247" s="15"/>
      <c r="AG247" s="15"/>
      <c r="AH247" s="15"/>
    </row>
    <row r="248" ht="16.5" customHeight="1">
      <c r="A248" s="15"/>
      <c r="B248" s="15"/>
      <c r="C248" s="21"/>
      <c r="D248" s="15"/>
      <c r="E248" s="15"/>
      <c r="F248" s="15"/>
      <c r="G248" s="387"/>
      <c r="H248" s="15"/>
      <c r="I248" s="11"/>
      <c r="J248" s="11"/>
      <c r="K248" s="11"/>
      <c r="L248" s="11"/>
      <c r="M248" s="15"/>
      <c r="N248" s="15"/>
      <c r="O248" s="15"/>
      <c r="P248" s="15"/>
      <c r="Q248" s="15"/>
      <c r="R248" s="15"/>
      <c r="S248" s="15"/>
      <c r="T248" s="15"/>
      <c r="U248" s="15"/>
      <c r="V248" s="15"/>
      <c r="W248" s="15"/>
      <c r="X248" s="15"/>
      <c r="Y248" s="15"/>
      <c r="Z248" s="15"/>
      <c r="AA248" s="15"/>
      <c r="AB248" s="15"/>
      <c r="AC248" s="15"/>
      <c r="AD248" s="15"/>
      <c r="AE248" s="15"/>
      <c r="AF248" s="15"/>
      <c r="AG248" s="15"/>
      <c r="AH248" s="15"/>
    </row>
    <row r="249" ht="16.5" customHeight="1">
      <c r="A249" s="15"/>
      <c r="B249" s="15"/>
      <c r="C249" s="21"/>
      <c r="D249" s="15"/>
      <c r="E249" s="15"/>
      <c r="F249" s="15"/>
      <c r="G249" s="387"/>
      <c r="H249" s="15"/>
      <c r="I249" s="11"/>
      <c r="J249" s="11"/>
      <c r="K249" s="11"/>
      <c r="L249" s="11"/>
      <c r="M249" s="15"/>
      <c r="N249" s="15"/>
      <c r="O249" s="15"/>
      <c r="P249" s="15"/>
      <c r="Q249" s="15"/>
      <c r="R249" s="15"/>
      <c r="S249" s="15"/>
      <c r="T249" s="15"/>
      <c r="U249" s="15"/>
      <c r="V249" s="15"/>
      <c r="W249" s="15"/>
      <c r="X249" s="15"/>
      <c r="Y249" s="15"/>
      <c r="Z249" s="15"/>
      <c r="AA249" s="15"/>
      <c r="AB249" s="15"/>
      <c r="AC249" s="15"/>
      <c r="AD249" s="15"/>
      <c r="AE249" s="15"/>
      <c r="AF249" s="15"/>
      <c r="AG249" s="15"/>
      <c r="AH249" s="15"/>
    </row>
    <row r="250" ht="16.5" customHeight="1">
      <c r="A250" s="15"/>
      <c r="B250" s="15"/>
      <c r="C250" s="21"/>
      <c r="D250" s="15"/>
      <c r="E250" s="15"/>
      <c r="F250" s="15"/>
      <c r="G250" s="387"/>
      <c r="H250" s="15"/>
      <c r="I250" s="11"/>
      <c r="J250" s="11"/>
      <c r="K250" s="11"/>
      <c r="L250" s="11"/>
      <c r="M250" s="15"/>
      <c r="N250" s="15"/>
      <c r="O250" s="15"/>
      <c r="P250" s="15"/>
      <c r="Q250" s="15"/>
      <c r="R250" s="15"/>
      <c r="S250" s="15"/>
      <c r="T250" s="15"/>
      <c r="U250" s="15"/>
      <c r="V250" s="15"/>
      <c r="W250" s="15"/>
      <c r="X250" s="15"/>
      <c r="Y250" s="15"/>
      <c r="Z250" s="15"/>
      <c r="AA250" s="15"/>
      <c r="AB250" s="15"/>
      <c r="AC250" s="15"/>
      <c r="AD250" s="15"/>
      <c r="AE250" s="15"/>
      <c r="AF250" s="15"/>
      <c r="AG250" s="15"/>
      <c r="AH250" s="15"/>
    </row>
    <row r="251" ht="16.5" customHeight="1">
      <c r="A251" s="15"/>
      <c r="B251" s="15"/>
      <c r="C251" s="21"/>
      <c r="D251" s="15"/>
      <c r="E251" s="15"/>
      <c r="F251" s="15"/>
      <c r="G251" s="387"/>
      <c r="H251" s="15"/>
      <c r="I251" s="11"/>
      <c r="J251" s="11"/>
      <c r="K251" s="11"/>
      <c r="L251" s="11"/>
      <c r="M251" s="15"/>
      <c r="N251" s="15"/>
      <c r="O251" s="15"/>
      <c r="P251" s="15"/>
      <c r="Q251" s="15"/>
      <c r="R251" s="15"/>
      <c r="S251" s="15"/>
      <c r="T251" s="15"/>
      <c r="U251" s="15"/>
      <c r="V251" s="15"/>
      <c r="W251" s="15"/>
      <c r="X251" s="15"/>
      <c r="Y251" s="15"/>
      <c r="Z251" s="15"/>
      <c r="AA251" s="15"/>
      <c r="AB251" s="15"/>
      <c r="AC251" s="15"/>
      <c r="AD251" s="15"/>
      <c r="AE251" s="15"/>
      <c r="AF251" s="15"/>
      <c r="AG251" s="15"/>
      <c r="AH251" s="15"/>
    </row>
    <row r="252" ht="16.5" customHeight="1">
      <c r="A252" s="15"/>
      <c r="B252" s="15"/>
      <c r="C252" s="21"/>
      <c r="D252" s="15"/>
      <c r="E252" s="15"/>
      <c r="F252" s="15"/>
      <c r="G252" s="387"/>
      <c r="H252" s="15"/>
      <c r="I252" s="11"/>
      <c r="J252" s="11"/>
      <c r="K252" s="11"/>
      <c r="L252" s="11"/>
      <c r="M252" s="15"/>
      <c r="N252" s="15"/>
      <c r="O252" s="15"/>
      <c r="P252" s="15"/>
      <c r="Q252" s="15"/>
      <c r="R252" s="15"/>
      <c r="S252" s="15"/>
      <c r="T252" s="15"/>
      <c r="U252" s="15"/>
      <c r="V252" s="15"/>
      <c r="W252" s="15"/>
      <c r="X252" s="15"/>
      <c r="Y252" s="15"/>
      <c r="Z252" s="15"/>
      <c r="AA252" s="15"/>
      <c r="AB252" s="15"/>
      <c r="AC252" s="15"/>
      <c r="AD252" s="15"/>
      <c r="AE252" s="15"/>
      <c r="AF252" s="15"/>
      <c r="AG252" s="15"/>
      <c r="AH252" s="15"/>
    </row>
    <row r="253" ht="16.5" customHeight="1">
      <c r="A253" s="15"/>
      <c r="B253" s="15"/>
      <c r="C253" s="21"/>
      <c r="D253" s="15"/>
      <c r="E253" s="15"/>
      <c r="F253" s="15"/>
      <c r="G253" s="387"/>
      <c r="H253" s="15"/>
      <c r="I253" s="11"/>
      <c r="J253" s="11"/>
      <c r="K253" s="11"/>
      <c r="L253" s="11"/>
      <c r="M253" s="15"/>
      <c r="N253" s="15"/>
      <c r="O253" s="15"/>
      <c r="P253" s="15"/>
      <c r="Q253" s="15"/>
      <c r="R253" s="15"/>
      <c r="S253" s="15"/>
      <c r="T253" s="15"/>
      <c r="U253" s="15"/>
      <c r="V253" s="15"/>
      <c r="W253" s="15"/>
      <c r="X253" s="15"/>
      <c r="Y253" s="15"/>
      <c r="Z253" s="15"/>
      <c r="AA253" s="15"/>
      <c r="AB253" s="15"/>
      <c r="AC253" s="15"/>
      <c r="AD253" s="15"/>
      <c r="AE253" s="15"/>
      <c r="AF253" s="15"/>
      <c r="AG253" s="15"/>
      <c r="AH253" s="15"/>
    </row>
    <row r="254" ht="16.5" customHeight="1">
      <c r="A254" s="15"/>
      <c r="B254" s="15"/>
      <c r="C254" s="21"/>
      <c r="D254" s="15"/>
      <c r="E254" s="15"/>
      <c r="F254" s="15"/>
      <c r="G254" s="387"/>
      <c r="H254" s="15"/>
      <c r="I254" s="11"/>
      <c r="J254" s="11"/>
      <c r="K254" s="11"/>
      <c r="L254" s="11"/>
      <c r="M254" s="15"/>
      <c r="N254" s="15"/>
      <c r="O254" s="15"/>
      <c r="P254" s="15"/>
      <c r="Q254" s="15"/>
      <c r="R254" s="15"/>
      <c r="S254" s="15"/>
      <c r="T254" s="15"/>
      <c r="U254" s="15"/>
      <c r="V254" s="15"/>
      <c r="W254" s="15"/>
      <c r="X254" s="15"/>
      <c r="Y254" s="15"/>
      <c r="Z254" s="15"/>
      <c r="AA254" s="15"/>
      <c r="AB254" s="15"/>
      <c r="AC254" s="15"/>
      <c r="AD254" s="15"/>
      <c r="AE254" s="15"/>
      <c r="AF254" s="15"/>
      <c r="AG254" s="15"/>
      <c r="AH254" s="15"/>
    </row>
    <row r="255" ht="16.5" customHeight="1">
      <c r="A255" s="15"/>
      <c r="B255" s="15"/>
      <c r="C255" s="21"/>
      <c r="D255" s="15"/>
      <c r="E255" s="15"/>
      <c r="F255" s="15"/>
      <c r="G255" s="387"/>
      <c r="H255" s="15"/>
      <c r="I255" s="11"/>
      <c r="J255" s="11"/>
      <c r="K255" s="11"/>
      <c r="L255" s="11"/>
      <c r="M255" s="15"/>
      <c r="N255" s="15"/>
      <c r="O255" s="15"/>
      <c r="P255" s="15"/>
      <c r="Q255" s="15"/>
      <c r="R255" s="15"/>
      <c r="S255" s="15"/>
      <c r="T255" s="15"/>
      <c r="U255" s="15"/>
      <c r="V255" s="15"/>
      <c r="W255" s="15"/>
      <c r="X255" s="15"/>
      <c r="Y255" s="15"/>
      <c r="Z255" s="15"/>
      <c r="AA255" s="15"/>
      <c r="AB255" s="15"/>
      <c r="AC255" s="15"/>
      <c r="AD255" s="15"/>
      <c r="AE255" s="15"/>
      <c r="AF255" s="15"/>
      <c r="AG255" s="15"/>
      <c r="AH255" s="15"/>
    </row>
    <row r="256" ht="16.5" customHeight="1">
      <c r="A256" s="15"/>
      <c r="B256" s="15"/>
      <c r="C256" s="21"/>
      <c r="D256" s="15"/>
      <c r="E256" s="15"/>
      <c r="F256" s="15"/>
      <c r="G256" s="387"/>
      <c r="H256" s="15"/>
      <c r="I256" s="11"/>
      <c r="J256" s="11"/>
      <c r="K256" s="11"/>
      <c r="L256" s="11"/>
      <c r="M256" s="15"/>
      <c r="N256" s="15"/>
      <c r="O256" s="15"/>
      <c r="P256" s="15"/>
      <c r="Q256" s="15"/>
      <c r="R256" s="15"/>
      <c r="S256" s="15"/>
      <c r="T256" s="15"/>
      <c r="U256" s="15"/>
      <c r="V256" s="15"/>
      <c r="W256" s="15"/>
      <c r="X256" s="15"/>
      <c r="Y256" s="15"/>
      <c r="Z256" s="15"/>
      <c r="AA256" s="15"/>
      <c r="AB256" s="15"/>
      <c r="AC256" s="15"/>
      <c r="AD256" s="15"/>
      <c r="AE256" s="15"/>
      <c r="AF256" s="15"/>
      <c r="AG256" s="15"/>
      <c r="AH256" s="15"/>
    </row>
    <row r="257" ht="16.5" customHeight="1">
      <c r="A257" s="15"/>
      <c r="B257" s="15"/>
      <c r="C257" s="21"/>
      <c r="D257" s="15"/>
      <c r="E257" s="15"/>
      <c r="F257" s="15"/>
      <c r="G257" s="387"/>
      <c r="H257" s="15"/>
      <c r="I257" s="11"/>
      <c r="J257" s="11"/>
      <c r="K257" s="11"/>
      <c r="L257" s="11"/>
      <c r="M257" s="15"/>
      <c r="N257" s="15"/>
      <c r="O257" s="15"/>
      <c r="P257" s="15"/>
      <c r="Q257" s="15"/>
      <c r="R257" s="15"/>
      <c r="S257" s="15"/>
      <c r="T257" s="15"/>
      <c r="U257" s="15"/>
      <c r="V257" s="15"/>
      <c r="W257" s="15"/>
      <c r="X257" s="15"/>
      <c r="Y257" s="15"/>
      <c r="Z257" s="15"/>
      <c r="AA257" s="15"/>
      <c r="AB257" s="15"/>
      <c r="AC257" s="15"/>
      <c r="AD257" s="15"/>
      <c r="AE257" s="15"/>
      <c r="AF257" s="15"/>
      <c r="AG257" s="15"/>
      <c r="AH257" s="15"/>
    </row>
    <row r="258" ht="16.5" customHeight="1">
      <c r="A258" s="15"/>
      <c r="B258" s="15"/>
      <c r="C258" s="21"/>
      <c r="D258" s="15"/>
      <c r="E258" s="15"/>
      <c r="F258" s="15"/>
      <c r="G258" s="387"/>
      <c r="H258" s="15"/>
      <c r="I258" s="11"/>
      <c r="J258" s="11"/>
      <c r="K258" s="11"/>
      <c r="L258" s="11"/>
      <c r="M258" s="15"/>
      <c r="N258" s="15"/>
      <c r="O258" s="15"/>
      <c r="P258" s="15"/>
      <c r="Q258" s="15"/>
      <c r="R258" s="15"/>
      <c r="S258" s="15"/>
      <c r="T258" s="15"/>
      <c r="U258" s="15"/>
      <c r="V258" s="15"/>
      <c r="W258" s="15"/>
      <c r="X258" s="15"/>
      <c r="Y258" s="15"/>
      <c r="Z258" s="15"/>
      <c r="AA258" s="15"/>
      <c r="AB258" s="15"/>
      <c r="AC258" s="15"/>
      <c r="AD258" s="15"/>
      <c r="AE258" s="15"/>
      <c r="AF258" s="15"/>
      <c r="AG258" s="15"/>
      <c r="AH258" s="15"/>
    </row>
    <row r="259" ht="16.5" customHeight="1">
      <c r="A259" s="15"/>
      <c r="B259" s="15"/>
      <c r="C259" s="21"/>
      <c r="D259" s="15"/>
      <c r="E259" s="15"/>
      <c r="F259" s="15"/>
      <c r="G259" s="387"/>
      <c r="H259" s="15"/>
      <c r="I259" s="11"/>
      <c r="J259" s="11"/>
      <c r="K259" s="11"/>
      <c r="L259" s="11"/>
      <c r="M259" s="15"/>
      <c r="N259" s="15"/>
      <c r="O259" s="15"/>
      <c r="P259" s="15"/>
      <c r="Q259" s="15"/>
      <c r="R259" s="15"/>
      <c r="S259" s="15"/>
      <c r="T259" s="15"/>
      <c r="U259" s="15"/>
      <c r="V259" s="15"/>
      <c r="W259" s="15"/>
      <c r="X259" s="15"/>
      <c r="Y259" s="15"/>
      <c r="Z259" s="15"/>
      <c r="AA259" s="15"/>
      <c r="AB259" s="15"/>
      <c r="AC259" s="15"/>
      <c r="AD259" s="15"/>
      <c r="AE259" s="15"/>
      <c r="AF259" s="15"/>
      <c r="AG259" s="15"/>
      <c r="AH259" s="15"/>
    </row>
    <row r="260" ht="16.5" customHeight="1">
      <c r="A260" s="15"/>
      <c r="B260" s="15"/>
      <c r="C260" s="21"/>
      <c r="D260" s="15"/>
      <c r="E260" s="15"/>
      <c r="F260" s="15"/>
      <c r="G260" s="387"/>
      <c r="H260" s="15"/>
      <c r="I260" s="11"/>
      <c r="J260" s="11"/>
      <c r="K260" s="11"/>
      <c r="L260" s="11"/>
      <c r="M260" s="15"/>
      <c r="N260" s="15"/>
      <c r="O260" s="15"/>
      <c r="P260" s="15"/>
      <c r="Q260" s="15"/>
      <c r="R260" s="15"/>
      <c r="S260" s="15"/>
      <c r="T260" s="15"/>
      <c r="U260" s="15"/>
      <c r="V260" s="15"/>
      <c r="W260" s="15"/>
      <c r="X260" s="15"/>
      <c r="Y260" s="15"/>
      <c r="Z260" s="15"/>
      <c r="AA260" s="15"/>
      <c r="AB260" s="15"/>
      <c r="AC260" s="15"/>
      <c r="AD260" s="15"/>
      <c r="AE260" s="15"/>
      <c r="AF260" s="15"/>
      <c r="AG260" s="15"/>
      <c r="AH260" s="15"/>
    </row>
    <row r="261" ht="16.5" customHeight="1">
      <c r="A261" s="15"/>
      <c r="B261" s="15"/>
      <c r="C261" s="21"/>
      <c r="D261" s="15"/>
      <c r="E261" s="15"/>
      <c r="F261" s="15"/>
      <c r="G261" s="387"/>
      <c r="H261" s="15"/>
      <c r="I261" s="11"/>
      <c r="J261" s="11"/>
      <c r="K261" s="11"/>
      <c r="L261" s="11"/>
      <c r="M261" s="15"/>
      <c r="N261" s="15"/>
      <c r="O261" s="15"/>
      <c r="P261" s="15"/>
      <c r="Q261" s="15"/>
      <c r="R261" s="15"/>
      <c r="S261" s="15"/>
      <c r="T261" s="15"/>
      <c r="U261" s="15"/>
      <c r="V261" s="15"/>
      <c r="W261" s="15"/>
      <c r="X261" s="15"/>
      <c r="Y261" s="15"/>
      <c r="Z261" s="15"/>
      <c r="AA261" s="15"/>
      <c r="AB261" s="15"/>
      <c r="AC261" s="15"/>
      <c r="AD261" s="15"/>
      <c r="AE261" s="15"/>
      <c r="AF261" s="15"/>
      <c r="AG261" s="15"/>
      <c r="AH261" s="15"/>
    </row>
    <row r="262" ht="16.5" customHeight="1">
      <c r="A262" s="15"/>
      <c r="B262" s="15"/>
      <c r="C262" s="21"/>
      <c r="D262" s="15"/>
      <c r="E262" s="15"/>
      <c r="F262" s="15"/>
      <c r="G262" s="387"/>
      <c r="H262" s="15"/>
      <c r="I262" s="11"/>
      <c r="J262" s="11"/>
      <c r="K262" s="11"/>
      <c r="L262" s="11"/>
      <c r="M262" s="15"/>
      <c r="N262" s="15"/>
      <c r="O262" s="15"/>
      <c r="P262" s="15"/>
      <c r="Q262" s="15"/>
      <c r="R262" s="15"/>
      <c r="S262" s="15"/>
      <c r="T262" s="15"/>
      <c r="U262" s="15"/>
      <c r="V262" s="15"/>
      <c r="W262" s="15"/>
      <c r="X262" s="15"/>
      <c r="Y262" s="15"/>
      <c r="Z262" s="15"/>
      <c r="AA262" s="15"/>
      <c r="AB262" s="15"/>
      <c r="AC262" s="15"/>
      <c r="AD262" s="15"/>
      <c r="AE262" s="15"/>
      <c r="AF262" s="15"/>
      <c r="AG262" s="15"/>
      <c r="AH262" s="15"/>
    </row>
    <row r="263" ht="16.5" customHeight="1">
      <c r="A263" s="15"/>
      <c r="B263" s="15"/>
      <c r="C263" s="21"/>
      <c r="D263" s="15"/>
      <c r="E263" s="15"/>
      <c r="F263" s="15"/>
      <c r="G263" s="387"/>
      <c r="H263" s="15"/>
      <c r="I263" s="11"/>
      <c r="J263" s="11"/>
      <c r="K263" s="11"/>
      <c r="L263" s="11"/>
      <c r="M263" s="15"/>
      <c r="N263" s="15"/>
      <c r="O263" s="15"/>
      <c r="P263" s="15"/>
      <c r="Q263" s="15"/>
      <c r="R263" s="15"/>
      <c r="S263" s="15"/>
      <c r="T263" s="15"/>
      <c r="U263" s="15"/>
      <c r="V263" s="15"/>
      <c r="W263" s="15"/>
      <c r="X263" s="15"/>
      <c r="Y263" s="15"/>
      <c r="Z263" s="15"/>
      <c r="AA263" s="15"/>
      <c r="AB263" s="15"/>
      <c r="AC263" s="15"/>
      <c r="AD263" s="15"/>
      <c r="AE263" s="15"/>
      <c r="AF263" s="15"/>
      <c r="AG263" s="15"/>
      <c r="AH263" s="15"/>
    </row>
    <row r="264" ht="16.5" customHeight="1">
      <c r="A264" s="15"/>
      <c r="B264" s="15"/>
      <c r="C264" s="21"/>
      <c r="D264" s="15"/>
      <c r="E264" s="15"/>
      <c r="F264" s="15"/>
      <c r="G264" s="387"/>
      <c r="H264" s="15"/>
      <c r="I264" s="11"/>
      <c r="J264" s="11"/>
      <c r="K264" s="11"/>
      <c r="L264" s="11"/>
      <c r="M264" s="15"/>
      <c r="N264" s="15"/>
      <c r="O264" s="15"/>
      <c r="P264" s="15"/>
      <c r="Q264" s="15"/>
      <c r="R264" s="15"/>
      <c r="S264" s="15"/>
      <c r="T264" s="15"/>
      <c r="U264" s="15"/>
      <c r="V264" s="15"/>
      <c r="W264" s="15"/>
      <c r="X264" s="15"/>
      <c r="Y264" s="15"/>
      <c r="Z264" s="15"/>
      <c r="AA264" s="15"/>
      <c r="AB264" s="15"/>
      <c r="AC264" s="15"/>
      <c r="AD264" s="15"/>
      <c r="AE264" s="15"/>
      <c r="AF264" s="15"/>
      <c r="AG264" s="15"/>
      <c r="AH264" s="15"/>
    </row>
    <row r="265" ht="16.5" customHeight="1">
      <c r="A265" s="15"/>
      <c r="B265" s="15"/>
      <c r="C265" s="21"/>
      <c r="D265" s="15"/>
      <c r="E265" s="15"/>
      <c r="F265" s="15"/>
      <c r="G265" s="387"/>
      <c r="H265" s="15"/>
      <c r="I265" s="11"/>
      <c r="J265" s="11"/>
      <c r="K265" s="11"/>
      <c r="L265" s="11"/>
      <c r="M265" s="15"/>
      <c r="N265" s="15"/>
      <c r="O265" s="15"/>
      <c r="P265" s="15"/>
      <c r="Q265" s="15"/>
      <c r="R265" s="15"/>
      <c r="S265" s="15"/>
      <c r="T265" s="15"/>
      <c r="U265" s="15"/>
      <c r="V265" s="15"/>
      <c r="W265" s="15"/>
      <c r="X265" s="15"/>
      <c r="Y265" s="15"/>
      <c r="Z265" s="15"/>
      <c r="AA265" s="15"/>
      <c r="AB265" s="15"/>
      <c r="AC265" s="15"/>
      <c r="AD265" s="15"/>
      <c r="AE265" s="15"/>
      <c r="AF265" s="15"/>
      <c r="AG265" s="15"/>
      <c r="AH265" s="15"/>
    </row>
    <row r="266" ht="16.5" customHeight="1">
      <c r="A266" s="15"/>
      <c r="B266" s="15"/>
      <c r="C266" s="21"/>
      <c r="D266" s="15"/>
      <c r="E266" s="15"/>
      <c r="F266" s="15"/>
      <c r="G266" s="387"/>
      <c r="H266" s="15"/>
      <c r="I266" s="11"/>
      <c r="J266" s="11"/>
      <c r="K266" s="11"/>
      <c r="L266" s="11"/>
      <c r="M266" s="15"/>
      <c r="N266" s="15"/>
      <c r="O266" s="15"/>
      <c r="P266" s="15"/>
      <c r="Q266" s="15"/>
      <c r="R266" s="15"/>
      <c r="S266" s="15"/>
      <c r="T266" s="15"/>
      <c r="U266" s="15"/>
      <c r="V266" s="15"/>
      <c r="W266" s="15"/>
      <c r="X266" s="15"/>
      <c r="Y266" s="15"/>
      <c r="Z266" s="15"/>
      <c r="AA266" s="15"/>
      <c r="AB266" s="15"/>
      <c r="AC266" s="15"/>
      <c r="AD266" s="15"/>
      <c r="AE266" s="15"/>
      <c r="AF266" s="15"/>
      <c r="AG266" s="15"/>
      <c r="AH266" s="15"/>
    </row>
    <row r="267" ht="16.5" customHeight="1">
      <c r="A267" s="15"/>
      <c r="B267" s="15"/>
      <c r="C267" s="21"/>
      <c r="D267" s="15"/>
      <c r="E267" s="15"/>
      <c r="F267" s="15"/>
      <c r="G267" s="387"/>
      <c r="H267" s="15"/>
      <c r="I267" s="11"/>
      <c r="J267" s="11"/>
      <c r="K267" s="11"/>
      <c r="L267" s="11"/>
      <c r="M267" s="15"/>
      <c r="N267" s="15"/>
      <c r="O267" s="15"/>
      <c r="P267" s="15"/>
      <c r="Q267" s="15"/>
      <c r="R267" s="15"/>
      <c r="S267" s="15"/>
      <c r="T267" s="15"/>
      <c r="U267" s="15"/>
      <c r="V267" s="15"/>
      <c r="W267" s="15"/>
      <c r="X267" s="15"/>
      <c r="Y267" s="15"/>
      <c r="Z267" s="15"/>
      <c r="AA267" s="15"/>
      <c r="AB267" s="15"/>
      <c r="AC267" s="15"/>
      <c r="AD267" s="15"/>
      <c r="AE267" s="15"/>
      <c r="AF267" s="15"/>
      <c r="AG267" s="15"/>
      <c r="AH267" s="15"/>
    </row>
    <row r="268" ht="16.5" customHeight="1">
      <c r="A268" s="15"/>
      <c r="B268" s="15"/>
      <c r="C268" s="21"/>
      <c r="D268" s="15"/>
      <c r="E268" s="15"/>
      <c r="F268" s="15"/>
      <c r="G268" s="387"/>
      <c r="H268" s="15"/>
      <c r="I268" s="11"/>
      <c r="J268" s="11"/>
      <c r="K268" s="11"/>
      <c r="L268" s="11"/>
      <c r="M268" s="15"/>
      <c r="N268" s="15"/>
      <c r="O268" s="15"/>
      <c r="P268" s="15"/>
      <c r="Q268" s="15"/>
      <c r="R268" s="15"/>
      <c r="S268" s="15"/>
      <c r="T268" s="15"/>
      <c r="U268" s="15"/>
      <c r="V268" s="15"/>
      <c r="W268" s="15"/>
      <c r="X268" s="15"/>
      <c r="Y268" s="15"/>
      <c r="Z268" s="15"/>
      <c r="AA268" s="15"/>
      <c r="AB268" s="15"/>
      <c r="AC268" s="15"/>
      <c r="AD268" s="15"/>
      <c r="AE268" s="15"/>
      <c r="AF268" s="15"/>
      <c r="AG268" s="15"/>
      <c r="AH268" s="15"/>
    </row>
    <row r="269" ht="16.5" customHeight="1">
      <c r="A269" s="15"/>
      <c r="B269" s="15"/>
      <c r="C269" s="21"/>
      <c r="D269" s="15"/>
      <c r="E269" s="15"/>
      <c r="F269" s="15"/>
      <c r="G269" s="387"/>
      <c r="H269" s="15"/>
      <c r="I269" s="11"/>
      <c r="J269" s="11"/>
      <c r="K269" s="11"/>
      <c r="L269" s="11"/>
      <c r="M269" s="15"/>
      <c r="N269" s="15"/>
      <c r="O269" s="15"/>
      <c r="P269" s="15"/>
      <c r="Q269" s="15"/>
      <c r="R269" s="15"/>
      <c r="S269" s="15"/>
      <c r="T269" s="15"/>
      <c r="U269" s="15"/>
      <c r="V269" s="15"/>
      <c r="W269" s="15"/>
      <c r="X269" s="15"/>
      <c r="Y269" s="15"/>
      <c r="Z269" s="15"/>
      <c r="AA269" s="15"/>
      <c r="AB269" s="15"/>
      <c r="AC269" s="15"/>
      <c r="AD269" s="15"/>
      <c r="AE269" s="15"/>
      <c r="AF269" s="15"/>
      <c r="AG269" s="15"/>
      <c r="AH269" s="15"/>
    </row>
    <row r="270" ht="16.5" customHeight="1">
      <c r="A270" s="15"/>
      <c r="B270" s="15"/>
      <c r="C270" s="21"/>
      <c r="D270" s="15"/>
      <c r="E270" s="15"/>
      <c r="F270" s="15"/>
      <c r="G270" s="387"/>
      <c r="H270" s="15"/>
      <c r="I270" s="11"/>
      <c r="J270" s="11"/>
      <c r="K270" s="11"/>
      <c r="L270" s="11"/>
      <c r="M270" s="15"/>
      <c r="N270" s="15"/>
      <c r="O270" s="15"/>
      <c r="P270" s="15"/>
      <c r="Q270" s="15"/>
      <c r="R270" s="15"/>
      <c r="S270" s="15"/>
      <c r="T270" s="15"/>
      <c r="U270" s="15"/>
      <c r="V270" s="15"/>
      <c r="W270" s="15"/>
      <c r="X270" s="15"/>
      <c r="Y270" s="15"/>
      <c r="Z270" s="15"/>
      <c r="AA270" s="15"/>
      <c r="AB270" s="15"/>
      <c r="AC270" s="15"/>
      <c r="AD270" s="15"/>
      <c r="AE270" s="15"/>
      <c r="AF270" s="15"/>
      <c r="AG270" s="15"/>
      <c r="AH270" s="15"/>
    </row>
    <row r="271" ht="16.5" customHeight="1">
      <c r="A271" s="15"/>
      <c r="B271" s="15"/>
      <c r="C271" s="21"/>
      <c r="D271" s="15"/>
      <c r="E271" s="15"/>
      <c r="F271" s="15"/>
      <c r="G271" s="387"/>
      <c r="H271" s="15"/>
      <c r="I271" s="11"/>
      <c r="J271" s="11"/>
      <c r="K271" s="11"/>
      <c r="L271" s="11"/>
      <c r="M271" s="15"/>
      <c r="N271" s="15"/>
      <c r="O271" s="15"/>
      <c r="P271" s="15"/>
      <c r="Q271" s="15"/>
      <c r="R271" s="15"/>
      <c r="S271" s="15"/>
      <c r="T271" s="15"/>
      <c r="U271" s="15"/>
      <c r="V271" s="15"/>
      <c r="W271" s="15"/>
      <c r="X271" s="15"/>
      <c r="Y271" s="15"/>
      <c r="Z271" s="15"/>
      <c r="AA271" s="15"/>
      <c r="AB271" s="15"/>
      <c r="AC271" s="15"/>
      <c r="AD271" s="15"/>
      <c r="AE271" s="15"/>
      <c r="AF271" s="15"/>
      <c r="AG271" s="15"/>
      <c r="AH271" s="15"/>
    </row>
    <row r="272" ht="16.5" customHeight="1">
      <c r="A272" s="15"/>
      <c r="B272" s="15"/>
      <c r="C272" s="21"/>
      <c r="D272" s="15"/>
      <c r="E272" s="15"/>
      <c r="F272" s="15"/>
      <c r="G272" s="387"/>
      <c r="H272" s="15"/>
      <c r="I272" s="11"/>
      <c r="J272" s="11"/>
      <c r="K272" s="11"/>
      <c r="L272" s="11"/>
      <c r="M272" s="15"/>
      <c r="N272" s="15"/>
      <c r="O272" s="15"/>
      <c r="P272" s="15"/>
      <c r="Q272" s="15"/>
      <c r="R272" s="15"/>
      <c r="S272" s="15"/>
      <c r="T272" s="15"/>
      <c r="U272" s="15"/>
      <c r="V272" s="15"/>
      <c r="W272" s="15"/>
      <c r="X272" s="15"/>
      <c r="Y272" s="15"/>
      <c r="Z272" s="15"/>
      <c r="AA272" s="15"/>
      <c r="AB272" s="15"/>
      <c r="AC272" s="15"/>
      <c r="AD272" s="15"/>
      <c r="AE272" s="15"/>
      <c r="AF272" s="15"/>
      <c r="AG272" s="15"/>
      <c r="AH272" s="15"/>
    </row>
    <row r="273" ht="16.5" customHeight="1">
      <c r="A273" s="15"/>
      <c r="B273" s="15"/>
      <c r="C273" s="21"/>
      <c r="D273" s="15"/>
      <c r="E273" s="15"/>
      <c r="F273" s="15"/>
      <c r="G273" s="387"/>
      <c r="H273" s="15"/>
      <c r="I273" s="11"/>
      <c r="J273" s="11"/>
      <c r="K273" s="11"/>
      <c r="L273" s="11"/>
      <c r="M273" s="15"/>
      <c r="N273" s="15"/>
      <c r="O273" s="15"/>
      <c r="P273" s="15"/>
      <c r="Q273" s="15"/>
      <c r="R273" s="15"/>
      <c r="S273" s="15"/>
      <c r="T273" s="15"/>
      <c r="U273" s="15"/>
      <c r="V273" s="15"/>
      <c r="W273" s="15"/>
      <c r="X273" s="15"/>
      <c r="Y273" s="15"/>
      <c r="Z273" s="15"/>
      <c r="AA273" s="15"/>
      <c r="AB273" s="15"/>
      <c r="AC273" s="15"/>
      <c r="AD273" s="15"/>
      <c r="AE273" s="15"/>
      <c r="AF273" s="15"/>
      <c r="AG273" s="15"/>
      <c r="AH273" s="15"/>
    </row>
    <row r="274" ht="16.5" customHeight="1">
      <c r="A274" s="15"/>
      <c r="B274" s="15"/>
      <c r="C274" s="21"/>
      <c r="D274" s="15"/>
      <c r="E274" s="15"/>
      <c r="F274" s="15"/>
      <c r="G274" s="387"/>
      <c r="H274" s="15"/>
      <c r="I274" s="11"/>
      <c r="J274" s="11"/>
      <c r="K274" s="11"/>
      <c r="L274" s="11"/>
      <c r="M274" s="15"/>
      <c r="N274" s="15"/>
      <c r="O274" s="15"/>
      <c r="P274" s="15"/>
      <c r="Q274" s="15"/>
      <c r="R274" s="15"/>
      <c r="S274" s="15"/>
      <c r="T274" s="15"/>
      <c r="U274" s="15"/>
      <c r="V274" s="15"/>
      <c r="W274" s="15"/>
      <c r="X274" s="15"/>
      <c r="Y274" s="15"/>
      <c r="Z274" s="15"/>
      <c r="AA274" s="15"/>
      <c r="AB274" s="15"/>
      <c r="AC274" s="15"/>
      <c r="AD274" s="15"/>
      <c r="AE274" s="15"/>
      <c r="AF274" s="15"/>
      <c r="AG274" s="15"/>
      <c r="AH274" s="15"/>
    </row>
    <row r="275" ht="16.5" customHeight="1">
      <c r="A275" s="15"/>
      <c r="B275" s="15"/>
      <c r="C275" s="21"/>
      <c r="D275" s="15"/>
      <c r="E275" s="15"/>
      <c r="F275" s="15"/>
      <c r="G275" s="387"/>
      <c r="H275" s="15"/>
      <c r="I275" s="11"/>
      <c r="J275" s="11"/>
      <c r="K275" s="11"/>
      <c r="L275" s="11"/>
      <c r="M275" s="15"/>
      <c r="N275" s="15"/>
      <c r="O275" s="15"/>
      <c r="P275" s="15"/>
      <c r="Q275" s="15"/>
      <c r="R275" s="15"/>
      <c r="S275" s="15"/>
      <c r="T275" s="15"/>
      <c r="U275" s="15"/>
      <c r="V275" s="15"/>
      <c r="W275" s="15"/>
      <c r="X275" s="15"/>
      <c r="Y275" s="15"/>
      <c r="Z275" s="15"/>
      <c r="AA275" s="15"/>
      <c r="AB275" s="15"/>
      <c r="AC275" s="15"/>
      <c r="AD275" s="15"/>
      <c r="AE275" s="15"/>
      <c r="AF275" s="15"/>
      <c r="AG275" s="15"/>
      <c r="AH275" s="15"/>
    </row>
    <row r="276" ht="16.5" customHeight="1">
      <c r="A276" s="15"/>
      <c r="B276" s="15"/>
      <c r="C276" s="21"/>
      <c r="D276" s="15"/>
      <c r="E276" s="15"/>
      <c r="F276" s="15"/>
      <c r="G276" s="387"/>
      <c r="H276" s="15"/>
      <c r="I276" s="11"/>
      <c r="J276" s="11"/>
      <c r="K276" s="11"/>
      <c r="L276" s="11"/>
      <c r="M276" s="15"/>
      <c r="N276" s="15"/>
      <c r="O276" s="15"/>
      <c r="P276" s="15"/>
      <c r="Q276" s="15"/>
      <c r="R276" s="15"/>
      <c r="S276" s="15"/>
      <c r="T276" s="15"/>
      <c r="U276" s="15"/>
      <c r="V276" s="15"/>
      <c r="W276" s="15"/>
      <c r="X276" s="15"/>
      <c r="Y276" s="15"/>
      <c r="Z276" s="15"/>
      <c r="AA276" s="15"/>
      <c r="AB276" s="15"/>
      <c r="AC276" s="15"/>
      <c r="AD276" s="15"/>
      <c r="AE276" s="15"/>
      <c r="AF276" s="15"/>
      <c r="AG276" s="15"/>
      <c r="AH276" s="15"/>
    </row>
    <row r="277" ht="16.5" customHeight="1">
      <c r="A277" s="15"/>
      <c r="B277" s="15"/>
      <c r="C277" s="21"/>
      <c r="D277" s="15"/>
      <c r="E277" s="15"/>
      <c r="F277" s="15"/>
      <c r="G277" s="387"/>
      <c r="H277" s="15"/>
      <c r="I277" s="11"/>
      <c r="J277" s="11"/>
      <c r="K277" s="11"/>
      <c r="L277" s="11"/>
      <c r="M277" s="15"/>
      <c r="N277" s="15"/>
      <c r="O277" s="15"/>
      <c r="P277" s="15"/>
      <c r="Q277" s="15"/>
      <c r="R277" s="15"/>
      <c r="S277" s="15"/>
      <c r="T277" s="15"/>
      <c r="U277" s="15"/>
      <c r="V277" s="15"/>
      <c r="W277" s="15"/>
      <c r="X277" s="15"/>
      <c r="Y277" s="15"/>
      <c r="Z277" s="15"/>
      <c r="AA277" s="15"/>
      <c r="AB277" s="15"/>
      <c r="AC277" s="15"/>
      <c r="AD277" s="15"/>
      <c r="AE277" s="15"/>
      <c r="AF277" s="15"/>
      <c r="AG277" s="15"/>
      <c r="AH277" s="15"/>
    </row>
    <row r="278" ht="16.5" customHeight="1">
      <c r="A278" s="15"/>
      <c r="B278" s="15"/>
      <c r="C278" s="21"/>
      <c r="D278" s="15"/>
      <c r="E278" s="15"/>
      <c r="F278" s="15"/>
      <c r="G278" s="387"/>
      <c r="H278" s="15"/>
      <c r="I278" s="11"/>
      <c r="J278" s="11"/>
      <c r="K278" s="11"/>
      <c r="L278" s="11"/>
      <c r="M278" s="15"/>
      <c r="N278" s="15"/>
      <c r="O278" s="15"/>
      <c r="P278" s="15"/>
      <c r="Q278" s="15"/>
      <c r="R278" s="15"/>
      <c r="S278" s="15"/>
      <c r="T278" s="15"/>
      <c r="U278" s="15"/>
      <c r="V278" s="15"/>
      <c r="W278" s="15"/>
      <c r="X278" s="15"/>
      <c r="Y278" s="15"/>
      <c r="Z278" s="15"/>
      <c r="AA278" s="15"/>
      <c r="AB278" s="15"/>
      <c r="AC278" s="15"/>
      <c r="AD278" s="15"/>
      <c r="AE278" s="15"/>
      <c r="AF278" s="15"/>
      <c r="AG278" s="15"/>
      <c r="AH278" s="15"/>
    </row>
    <row r="279" ht="16.5" customHeight="1">
      <c r="A279" s="15"/>
      <c r="B279" s="15"/>
      <c r="C279" s="21"/>
      <c r="D279" s="15"/>
      <c r="E279" s="15"/>
      <c r="F279" s="15"/>
      <c r="G279" s="387"/>
      <c r="H279" s="15"/>
      <c r="I279" s="11"/>
      <c r="J279" s="11"/>
      <c r="K279" s="11"/>
      <c r="L279" s="11"/>
      <c r="M279" s="15"/>
      <c r="N279" s="15"/>
      <c r="O279" s="15"/>
      <c r="P279" s="15"/>
      <c r="Q279" s="15"/>
      <c r="R279" s="15"/>
      <c r="S279" s="15"/>
      <c r="T279" s="15"/>
      <c r="U279" s="15"/>
      <c r="V279" s="15"/>
      <c r="W279" s="15"/>
      <c r="X279" s="15"/>
      <c r="Y279" s="15"/>
      <c r="Z279" s="15"/>
      <c r="AA279" s="15"/>
      <c r="AB279" s="15"/>
      <c r="AC279" s="15"/>
      <c r="AD279" s="15"/>
      <c r="AE279" s="15"/>
      <c r="AF279" s="15"/>
      <c r="AG279" s="15"/>
      <c r="AH279" s="15"/>
    </row>
    <row r="280" ht="16.5" customHeight="1">
      <c r="A280" s="15"/>
      <c r="B280" s="15"/>
      <c r="C280" s="21"/>
      <c r="D280" s="15"/>
      <c r="E280" s="15"/>
      <c r="F280" s="15"/>
      <c r="G280" s="387"/>
      <c r="H280" s="15"/>
      <c r="I280" s="11"/>
      <c r="J280" s="11"/>
      <c r="K280" s="11"/>
      <c r="L280" s="11"/>
      <c r="M280" s="15"/>
      <c r="N280" s="15"/>
      <c r="O280" s="15"/>
      <c r="P280" s="15"/>
      <c r="Q280" s="15"/>
      <c r="R280" s="15"/>
      <c r="S280" s="15"/>
      <c r="T280" s="15"/>
      <c r="U280" s="15"/>
      <c r="V280" s="15"/>
      <c r="W280" s="15"/>
      <c r="X280" s="15"/>
      <c r="Y280" s="15"/>
      <c r="Z280" s="15"/>
      <c r="AA280" s="15"/>
      <c r="AB280" s="15"/>
      <c r="AC280" s="15"/>
      <c r="AD280" s="15"/>
      <c r="AE280" s="15"/>
      <c r="AF280" s="15"/>
      <c r="AG280" s="15"/>
      <c r="AH280" s="15"/>
    </row>
    <row r="281" ht="16.5" customHeight="1">
      <c r="A281" s="15"/>
      <c r="B281" s="15"/>
      <c r="C281" s="21"/>
      <c r="D281" s="15"/>
      <c r="E281" s="15"/>
      <c r="F281" s="15"/>
      <c r="G281" s="387"/>
      <c r="H281" s="15"/>
      <c r="I281" s="11"/>
      <c r="J281" s="11"/>
      <c r="K281" s="11"/>
      <c r="L281" s="11"/>
      <c r="M281" s="15"/>
      <c r="N281" s="15"/>
      <c r="O281" s="15"/>
      <c r="P281" s="15"/>
      <c r="Q281" s="15"/>
      <c r="R281" s="15"/>
      <c r="S281" s="15"/>
      <c r="T281" s="15"/>
      <c r="U281" s="15"/>
      <c r="V281" s="15"/>
      <c r="W281" s="15"/>
      <c r="X281" s="15"/>
      <c r="Y281" s="15"/>
      <c r="Z281" s="15"/>
      <c r="AA281" s="15"/>
      <c r="AB281" s="15"/>
      <c r="AC281" s="15"/>
      <c r="AD281" s="15"/>
      <c r="AE281" s="15"/>
      <c r="AF281" s="15"/>
      <c r="AG281" s="15"/>
      <c r="AH281" s="15"/>
    </row>
    <row r="282" ht="16.5" customHeight="1">
      <c r="A282" s="15"/>
      <c r="B282" s="15"/>
      <c r="C282" s="21"/>
      <c r="D282" s="15"/>
      <c r="E282" s="15"/>
      <c r="F282" s="15"/>
      <c r="G282" s="387"/>
      <c r="H282" s="15"/>
      <c r="I282" s="11"/>
      <c r="J282" s="11"/>
      <c r="K282" s="11"/>
      <c r="L282" s="11"/>
      <c r="M282" s="15"/>
      <c r="N282" s="15"/>
      <c r="O282" s="15"/>
      <c r="P282" s="15"/>
      <c r="Q282" s="15"/>
      <c r="R282" s="15"/>
      <c r="S282" s="15"/>
      <c r="T282" s="15"/>
      <c r="U282" s="15"/>
      <c r="V282" s="15"/>
      <c r="W282" s="15"/>
      <c r="X282" s="15"/>
      <c r="Y282" s="15"/>
      <c r="Z282" s="15"/>
      <c r="AA282" s="15"/>
      <c r="AB282" s="15"/>
      <c r="AC282" s="15"/>
      <c r="AD282" s="15"/>
      <c r="AE282" s="15"/>
      <c r="AF282" s="15"/>
      <c r="AG282" s="15"/>
      <c r="AH282" s="15"/>
    </row>
    <row r="283" ht="16.5" customHeight="1">
      <c r="A283" s="15"/>
      <c r="B283" s="15"/>
      <c r="C283" s="21"/>
      <c r="D283" s="15"/>
      <c r="E283" s="15"/>
      <c r="F283" s="15"/>
      <c r="G283" s="387"/>
      <c r="H283" s="15"/>
      <c r="I283" s="11"/>
      <c r="J283" s="11"/>
      <c r="K283" s="11"/>
      <c r="L283" s="11"/>
      <c r="M283" s="15"/>
      <c r="N283" s="15"/>
      <c r="O283" s="15"/>
      <c r="P283" s="15"/>
      <c r="Q283" s="15"/>
      <c r="R283" s="15"/>
      <c r="S283" s="15"/>
      <c r="T283" s="15"/>
      <c r="U283" s="15"/>
      <c r="V283" s="15"/>
      <c r="W283" s="15"/>
      <c r="X283" s="15"/>
      <c r="Y283" s="15"/>
      <c r="Z283" s="15"/>
      <c r="AA283" s="15"/>
      <c r="AB283" s="15"/>
      <c r="AC283" s="15"/>
      <c r="AD283" s="15"/>
      <c r="AE283" s="15"/>
      <c r="AF283" s="15"/>
      <c r="AG283" s="15"/>
      <c r="AH283" s="15"/>
    </row>
    <row r="284" ht="16.5" customHeight="1">
      <c r="A284" s="15"/>
      <c r="B284" s="15"/>
      <c r="C284" s="21"/>
      <c r="D284" s="15"/>
      <c r="E284" s="15"/>
      <c r="F284" s="15"/>
      <c r="G284" s="387"/>
      <c r="H284" s="15"/>
      <c r="I284" s="11"/>
      <c r="J284" s="11"/>
      <c r="K284" s="11"/>
      <c r="L284" s="11"/>
      <c r="M284" s="15"/>
      <c r="N284" s="15"/>
      <c r="O284" s="15"/>
      <c r="P284" s="15"/>
      <c r="Q284" s="15"/>
      <c r="R284" s="15"/>
      <c r="S284" s="15"/>
      <c r="T284" s="15"/>
      <c r="U284" s="15"/>
      <c r="V284" s="15"/>
      <c r="W284" s="15"/>
      <c r="X284" s="15"/>
      <c r="Y284" s="15"/>
      <c r="Z284" s="15"/>
      <c r="AA284" s="15"/>
      <c r="AB284" s="15"/>
      <c r="AC284" s="15"/>
      <c r="AD284" s="15"/>
      <c r="AE284" s="15"/>
      <c r="AF284" s="15"/>
      <c r="AG284" s="15"/>
      <c r="AH284" s="15"/>
    </row>
    <row r="285" ht="16.5" customHeight="1">
      <c r="A285" s="15"/>
      <c r="B285" s="15"/>
      <c r="C285" s="21"/>
      <c r="D285" s="15"/>
      <c r="E285" s="15"/>
      <c r="F285" s="15"/>
      <c r="G285" s="387"/>
      <c r="H285" s="15"/>
      <c r="I285" s="11"/>
      <c r="J285" s="11"/>
      <c r="K285" s="11"/>
      <c r="L285" s="11"/>
      <c r="M285" s="15"/>
      <c r="N285" s="15"/>
      <c r="O285" s="15"/>
      <c r="P285" s="15"/>
      <c r="Q285" s="15"/>
      <c r="R285" s="15"/>
      <c r="S285" s="15"/>
      <c r="T285" s="15"/>
      <c r="U285" s="15"/>
      <c r="V285" s="15"/>
      <c r="W285" s="15"/>
      <c r="X285" s="15"/>
      <c r="Y285" s="15"/>
      <c r="Z285" s="15"/>
      <c r="AA285" s="15"/>
      <c r="AB285" s="15"/>
      <c r="AC285" s="15"/>
      <c r="AD285" s="15"/>
      <c r="AE285" s="15"/>
      <c r="AF285" s="15"/>
      <c r="AG285" s="15"/>
      <c r="AH285" s="15"/>
    </row>
    <row r="286" ht="16.5" customHeight="1">
      <c r="A286" s="15"/>
      <c r="B286" s="15"/>
      <c r="C286" s="21"/>
      <c r="D286" s="15"/>
      <c r="E286" s="15"/>
      <c r="F286" s="15"/>
      <c r="G286" s="387"/>
      <c r="H286" s="15"/>
      <c r="I286" s="11"/>
      <c r="J286" s="11"/>
      <c r="K286" s="11"/>
      <c r="L286" s="11"/>
      <c r="M286" s="15"/>
      <c r="N286" s="15"/>
      <c r="O286" s="15"/>
      <c r="P286" s="15"/>
      <c r="Q286" s="15"/>
      <c r="R286" s="15"/>
      <c r="S286" s="15"/>
      <c r="T286" s="15"/>
      <c r="U286" s="15"/>
      <c r="V286" s="15"/>
      <c r="W286" s="15"/>
      <c r="X286" s="15"/>
      <c r="Y286" s="15"/>
      <c r="Z286" s="15"/>
      <c r="AA286" s="15"/>
      <c r="AB286" s="15"/>
      <c r="AC286" s="15"/>
      <c r="AD286" s="15"/>
      <c r="AE286" s="15"/>
      <c r="AF286" s="15"/>
      <c r="AG286" s="15"/>
      <c r="AH286" s="15"/>
    </row>
    <row r="287" ht="16.5" customHeight="1">
      <c r="A287" s="15"/>
      <c r="B287" s="15"/>
      <c r="C287" s="21"/>
      <c r="D287" s="15"/>
      <c r="E287" s="15"/>
      <c r="F287" s="15"/>
      <c r="G287" s="387"/>
      <c r="H287" s="15"/>
      <c r="I287" s="11"/>
      <c r="J287" s="11"/>
      <c r="K287" s="11"/>
      <c r="L287" s="11"/>
      <c r="M287" s="15"/>
      <c r="N287" s="15"/>
      <c r="O287" s="15"/>
      <c r="P287" s="15"/>
      <c r="Q287" s="15"/>
      <c r="R287" s="15"/>
      <c r="S287" s="15"/>
      <c r="T287" s="15"/>
      <c r="U287" s="15"/>
      <c r="V287" s="15"/>
      <c r="W287" s="15"/>
      <c r="X287" s="15"/>
      <c r="Y287" s="15"/>
      <c r="Z287" s="15"/>
      <c r="AA287" s="15"/>
      <c r="AB287" s="15"/>
      <c r="AC287" s="15"/>
      <c r="AD287" s="15"/>
      <c r="AE287" s="15"/>
      <c r="AF287" s="15"/>
      <c r="AG287" s="15"/>
      <c r="AH287" s="15"/>
    </row>
    <row r="288" ht="16.5" customHeight="1">
      <c r="A288" s="15"/>
      <c r="B288" s="15"/>
      <c r="C288" s="21"/>
      <c r="D288" s="15"/>
      <c r="E288" s="15"/>
      <c r="F288" s="15"/>
      <c r="G288" s="387"/>
      <c r="H288" s="15"/>
      <c r="I288" s="11"/>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c r="AG288" s="15"/>
      <c r="AH288" s="15"/>
    </row>
    <row r="289" ht="16.5" customHeight="1">
      <c r="A289" s="15"/>
      <c r="B289" s="15"/>
      <c r="C289" s="21"/>
      <c r="D289" s="15"/>
      <c r="E289" s="15"/>
      <c r="F289" s="15"/>
      <c r="G289" s="387"/>
      <c r="H289" s="15"/>
      <c r="I289" s="11"/>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c r="AG289" s="15"/>
      <c r="AH289" s="15"/>
    </row>
    <row r="290" ht="16.5" customHeight="1">
      <c r="A290" s="15"/>
      <c r="B290" s="15"/>
      <c r="C290" s="21"/>
      <c r="D290" s="15"/>
      <c r="E290" s="15"/>
      <c r="F290" s="15"/>
      <c r="G290" s="387"/>
      <c r="H290" s="15"/>
      <c r="I290" s="11"/>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c r="AG290" s="15"/>
      <c r="AH290" s="15"/>
    </row>
    <row r="291" ht="16.5" customHeight="1">
      <c r="A291" s="15"/>
      <c r="B291" s="15"/>
      <c r="C291" s="21"/>
      <c r="D291" s="15"/>
      <c r="E291" s="15"/>
      <c r="F291" s="15"/>
      <c r="G291" s="387"/>
      <c r="H291" s="15"/>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c r="AG291" s="15"/>
      <c r="AH291" s="15"/>
    </row>
    <row r="292" ht="16.5" customHeight="1">
      <c r="A292" s="15"/>
      <c r="B292" s="15"/>
      <c r="C292" s="21"/>
      <c r="D292" s="15"/>
      <c r="E292" s="15"/>
      <c r="F292" s="15"/>
      <c r="G292" s="387"/>
      <c r="H292" s="15"/>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c r="AG292" s="15"/>
      <c r="AH292" s="15"/>
    </row>
    <row r="293" ht="16.5" customHeight="1">
      <c r="A293" s="15"/>
      <c r="B293" s="15"/>
      <c r="C293" s="21"/>
      <c r="D293" s="15"/>
      <c r="E293" s="15"/>
      <c r="F293" s="15"/>
      <c r="G293" s="387"/>
      <c r="H293" s="15"/>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c r="AG293" s="15"/>
      <c r="AH293" s="15"/>
    </row>
    <row r="294" ht="16.5" customHeight="1">
      <c r="A294" s="15"/>
      <c r="B294" s="15"/>
      <c r="C294" s="21"/>
      <c r="D294" s="15"/>
      <c r="E294" s="15"/>
      <c r="F294" s="15"/>
      <c r="G294" s="387"/>
      <c r="H294" s="15"/>
      <c r="I294" s="11"/>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c r="AG294" s="15"/>
      <c r="AH294" s="15"/>
    </row>
    <row r="295" ht="16.5" customHeight="1">
      <c r="A295" s="15"/>
      <c r="B295" s="15"/>
      <c r="C295" s="21"/>
      <c r="D295" s="15"/>
      <c r="E295" s="15"/>
      <c r="F295" s="15"/>
      <c r="G295" s="387"/>
      <c r="H295" s="15"/>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c r="AG295" s="15"/>
      <c r="AH295" s="15"/>
    </row>
    <row r="296" ht="16.5" customHeight="1">
      <c r="A296" s="15"/>
      <c r="B296" s="15"/>
      <c r="C296" s="21"/>
      <c r="D296" s="15"/>
      <c r="E296" s="15"/>
      <c r="F296" s="15"/>
      <c r="G296" s="387"/>
      <c r="H296" s="15"/>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c r="AG296" s="15"/>
      <c r="AH296" s="15"/>
    </row>
    <row r="297" ht="16.5" customHeight="1">
      <c r="A297" s="15"/>
      <c r="B297" s="15"/>
      <c r="C297" s="21"/>
      <c r="D297" s="15"/>
      <c r="E297" s="15"/>
      <c r="F297" s="15"/>
      <c r="G297" s="387"/>
      <c r="H297" s="15"/>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c r="AG297" s="15"/>
      <c r="AH297" s="15"/>
    </row>
    <row r="298" ht="16.5" customHeight="1">
      <c r="A298" s="15"/>
      <c r="B298" s="15"/>
      <c r="C298" s="21"/>
      <c r="D298" s="15"/>
      <c r="E298" s="15"/>
      <c r="F298" s="15"/>
      <c r="G298" s="387"/>
      <c r="H298" s="15"/>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c r="AG298" s="15"/>
      <c r="AH298" s="15"/>
    </row>
    <row r="299" ht="16.5" customHeight="1">
      <c r="A299" s="15"/>
      <c r="B299" s="15"/>
      <c r="C299" s="21"/>
      <c r="D299" s="15"/>
      <c r="E299" s="15"/>
      <c r="F299" s="15"/>
      <c r="G299" s="387"/>
      <c r="H299" s="15"/>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c r="AG299" s="15"/>
      <c r="AH299" s="15"/>
    </row>
    <row r="300" ht="16.5" customHeight="1">
      <c r="A300" s="15"/>
      <c r="B300" s="15"/>
      <c r="C300" s="21"/>
      <c r="D300" s="15"/>
      <c r="E300" s="15"/>
      <c r="F300" s="15"/>
      <c r="G300" s="387"/>
      <c r="H300" s="15"/>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c r="AG300" s="15"/>
      <c r="AH300" s="15"/>
    </row>
    <row r="301" ht="16.5" customHeight="1">
      <c r="A301" s="15"/>
      <c r="B301" s="15"/>
      <c r="C301" s="21"/>
      <c r="D301" s="15"/>
      <c r="E301" s="15"/>
      <c r="F301" s="15"/>
      <c r="G301" s="387"/>
      <c r="H301" s="15"/>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c r="AG301" s="15"/>
      <c r="AH301" s="15"/>
    </row>
    <row r="302" ht="16.5" customHeight="1">
      <c r="A302" s="15"/>
      <c r="B302" s="15"/>
      <c r="C302" s="21"/>
      <c r="D302" s="15"/>
      <c r="E302" s="15"/>
      <c r="F302" s="15"/>
      <c r="G302" s="387"/>
      <c r="H302" s="15"/>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c r="AG302" s="15"/>
      <c r="AH302" s="15"/>
    </row>
    <row r="303" ht="16.5" customHeight="1">
      <c r="A303" s="15"/>
      <c r="B303" s="15"/>
      <c r="C303" s="21"/>
      <c r="D303" s="15"/>
      <c r="E303" s="15"/>
      <c r="F303" s="15"/>
      <c r="G303" s="387"/>
      <c r="H303" s="15"/>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c r="AG303" s="15"/>
      <c r="AH303" s="15"/>
    </row>
    <row r="304" ht="16.5" customHeight="1">
      <c r="A304" s="15"/>
      <c r="B304" s="15"/>
      <c r="C304" s="21"/>
      <c r="D304" s="15"/>
      <c r="E304" s="15"/>
      <c r="F304" s="15"/>
      <c r="G304" s="387"/>
      <c r="H304" s="1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c r="AG304" s="15"/>
      <c r="AH304" s="15"/>
    </row>
    <row r="305" ht="16.5" customHeight="1">
      <c r="A305" s="15"/>
      <c r="B305" s="15"/>
      <c r="C305" s="21"/>
      <c r="D305" s="15"/>
      <c r="E305" s="15"/>
      <c r="F305" s="15"/>
      <c r="G305" s="387"/>
      <c r="H305" s="1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c r="AG305" s="15"/>
      <c r="AH305" s="15"/>
    </row>
    <row r="306" ht="16.5" customHeight="1">
      <c r="A306" s="15"/>
      <c r="B306" s="15"/>
      <c r="C306" s="21"/>
      <c r="D306" s="15"/>
      <c r="E306" s="15"/>
      <c r="F306" s="15"/>
      <c r="G306" s="387"/>
      <c r="H306" s="15"/>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c r="AG306" s="15"/>
      <c r="AH306" s="15"/>
    </row>
    <row r="307" ht="16.5" customHeight="1">
      <c r="A307" s="15"/>
      <c r="B307" s="15"/>
      <c r="C307" s="21"/>
      <c r="D307" s="15"/>
      <c r="E307" s="15"/>
      <c r="F307" s="15"/>
      <c r="G307" s="387"/>
      <c r="H307" s="15"/>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c r="AG307" s="15"/>
      <c r="AH307" s="15"/>
    </row>
    <row r="308" ht="16.5" customHeight="1">
      <c r="A308" s="15"/>
      <c r="B308" s="15"/>
      <c r="C308" s="21"/>
      <c r="D308" s="15"/>
      <c r="E308" s="15"/>
      <c r="F308" s="15"/>
      <c r="G308" s="387"/>
      <c r="H308" s="15"/>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c r="AG308" s="15"/>
      <c r="AH308" s="15"/>
    </row>
    <row r="309" ht="16.5" customHeight="1">
      <c r="A309" s="15"/>
      <c r="B309" s="15"/>
      <c r="C309" s="21"/>
      <c r="D309" s="15"/>
      <c r="E309" s="15"/>
      <c r="F309" s="15"/>
      <c r="G309" s="387"/>
      <c r="H309" s="15"/>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c r="AG309" s="15"/>
      <c r="AH309" s="15"/>
    </row>
    <row r="310" ht="16.5" customHeight="1">
      <c r="A310" s="15"/>
      <c r="B310" s="15"/>
      <c r="C310" s="21"/>
      <c r="D310" s="15"/>
      <c r="E310" s="15"/>
      <c r="F310" s="15"/>
      <c r="G310" s="387"/>
      <c r="H310" s="15"/>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c r="AG310" s="15"/>
      <c r="AH310" s="15"/>
    </row>
    <row r="311" ht="16.5" customHeight="1">
      <c r="A311" s="15"/>
      <c r="B311" s="15"/>
      <c r="C311" s="21"/>
      <c r="D311" s="15"/>
      <c r="E311" s="15"/>
      <c r="F311" s="15"/>
      <c r="G311" s="387"/>
      <c r="H311" s="15"/>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c r="AG311" s="15"/>
      <c r="AH311" s="15"/>
    </row>
    <row r="312" ht="16.5" customHeight="1">
      <c r="A312" s="15"/>
      <c r="B312" s="15"/>
      <c r="C312" s="21"/>
      <c r="D312" s="15"/>
      <c r="E312" s="15"/>
      <c r="F312" s="15"/>
      <c r="G312" s="387"/>
      <c r="H312" s="15"/>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c r="AG312" s="15"/>
      <c r="AH312" s="15"/>
    </row>
    <row r="313" ht="16.5" customHeight="1">
      <c r="A313" s="15"/>
      <c r="B313" s="15"/>
      <c r="C313" s="21"/>
      <c r="D313" s="15"/>
      <c r="E313" s="15"/>
      <c r="F313" s="15"/>
      <c r="G313" s="387"/>
      <c r="H313" s="15"/>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c r="AG313" s="15"/>
      <c r="AH313" s="15"/>
    </row>
    <row r="314" ht="16.5" customHeight="1">
      <c r="A314" s="15"/>
      <c r="B314" s="15"/>
      <c r="C314" s="21"/>
      <c r="D314" s="15"/>
      <c r="E314" s="15"/>
      <c r="F314" s="15"/>
      <c r="G314" s="387"/>
      <c r="H314" s="15"/>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c r="AG314" s="15"/>
      <c r="AH314" s="15"/>
    </row>
    <row r="315" ht="16.5" customHeight="1">
      <c r="A315" s="15"/>
      <c r="B315" s="15"/>
      <c r="C315" s="21"/>
      <c r="D315" s="15"/>
      <c r="E315" s="15"/>
      <c r="F315" s="15"/>
      <c r="G315" s="387"/>
      <c r="H315" s="15"/>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c r="AG315" s="15"/>
      <c r="AH315" s="15"/>
    </row>
    <row r="316" ht="16.5" customHeight="1">
      <c r="A316" s="15"/>
      <c r="B316" s="15"/>
      <c r="C316" s="21"/>
      <c r="D316" s="15"/>
      <c r="E316" s="15"/>
      <c r="F316" s="15"/>
      <c r="G316" s="387"/>
      <c r="H316" s="15"/>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c r="AG316" s="15"/>
      <c r="AH316" s="15"/>
    </row>
    <row r="317" ht="16.5" customHeight="1">
      <c r="A317" s="15"/>
      <c r="B317" s="15"/>
      <c r="C317" s="21"/>
      <c r="D317" s="15"/>
      <c r="E317" s="15"/>
      <c r="F317" s="15"/>
      <c r="G317" s="387"/>
      <c r="H317" s="15"/>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c r="AG317" s="15"/>
      <c r="AH317" s="15"/>
    </row>
    <row r="318" ht="16.5" customHeight="1">
      <c r="A318" s="15"/>
      <c r="B318" s="15"/>
      <c r="C318" s="21"/>
      <c r="D318" s="15"/>
      <c r="E318" s="15"/>
      <c r="F318" s="15"/>
      <c r="G318" s="387"/>
      <c r="H318" s="15"/>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c r="AG318" s="15"/>
      <c r="AH318" s="15"/>
    </row>
    <row r="319" ht="16.5" customHeight="1">
      <c r="A319" s="15"/>
      <c r="B319" s="15"/>
      <c r="C319" s="21"/>
      <c r="D319" s="15"/>
      <c r="E319" s="15"/>
      <c r="F319" s="15"/>
      <c r="G319" s="387"/>
      <c r="H319" s="15"/>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c r="AG319" s="15"/>
      <c r="AH319" s="15"/>
    </row>
    <row r="320" ht="16.5" customHeight="1">
      <c r="A320" s="15"/>
      <c r="B320" s="15"/>
      <c r="C320" s="21"/>
      <c r="D320" s="15"/>
      <c r="E320" s="15"/>
      <c r="F320" s="15"/>
      <c r="G320" s="387"/>
      <c r="H320" s="15"/>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c r="AG320" s="15"/>
      <c r="AH320" s="15"/>
    </row>
    <row r="321" ht="16.5" customHeight="1">
      <c r="A321" s="15"/>
      <c r="B321" s="15"/>
      <c r="C321" s="21"/>
      <c r="D321" s="15"/>
      <c r="E321" s="15"/>
      <c r="F321" s="15"/>
      <c r="G321" s="387"/>
      <c r="H321" s="1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c r="AG321" s="15"/>
      <c r="AH321" s="15"/>
    </row>
    <row r="322" ht="16.5" customHeight="1">
      <c r="A322" s="15"/>
      <c r="B322" s="15"/>
      <c r="C322" s="21"/>
      <c r="D322" s="15"/>
      <c r="E322" s="15"/>
      <c r="F322" s="15"/>
      <c r="G322" s="387"/>
      <c r="H322" s="1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c r="AG322" s="15"/>
      <c r="AH322" s="15"/>
    </row>
    <row r="323" ht="16.5" customHeight="1">
      <c r="A323" s="15"/>
      <c r="B323" s="15"/>
      <c r="C323" s="21"/>
      <c r="D323" s="15"/>
      <c r="E323" s="15"/>
      <c r="F323" s="15"/>
      <c r="G323" s="387"/>
      <c r="H323" s="1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c r="AG323" s="15"/>
      <c r="AH323" s="15"/>
    </row>
    <row r="324" ht="16.5" customHeight="1">
      <c r="A324" s="15"/>
      <c r="B324" s="15"/>
      <c r="C324" s="21"/>
      <c r="D324" s="15"/>
      <c r="E324" s="15"/>
      <c r="F324" s="15"/>
      <c r="G324" s="387"/>
      <c r="H324" s="15"/>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c r="AG324" s="15"/>
      <c r="AH324" s="15"/>
    </row>
    <row r="325" ht="16.5" customHeight="1">
      <c r="A325" s="15"/>
      <c r="B325" s="15"/>
      <c r="C325" s="21"/>
      <c r="D325" s="15"/>
      <c r="E325" s="15"/>
      <c r="F325" s="15"/>
      <c r="G325" s="387"/>
      <c r="H325" s="1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c r="AG325" s="15"/>
      <c r="AH325" s="15"/>
    </row>
    <row r="326" ht="16.5" customHeight="1">
      <c r="A326" s="15"/>
      <c r="B326" s="15"/>
      <c r="C326" s="21"/>
      <c r="D326" s="15"/>
      <c r="E326" s="15"/>
      <c r="F326" s="15"/>
      <c r="G326" s="387"/>
      <c r="H326" s="15"/>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c r="AG326" s="15"/>
      <c r="AH326" s="15"/>
    </row>
    <row r="327" ht="16.5" customHeight="1">
      <c r="A327" s="15"/>
      <c r="B327" s="15"/>
      <c r="C327" s="21"/>
      <c r="D327" s="15"/>
      <c r="E327" s="15"/>
      <c r="F327" s="15"/>
      <c r="G327" s="387"/>
      <c r="H327" s="15"/>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c r="AG327" s="15"/>
      <c r="AH327" s="15"/>
    </row>
    <row r="328" ht="16.5" customHeight="1">
      <c r="A328" s="15"/>
      <c r="B328" s="15"/>
      <c r="C328" s="21"/>
      <c r="D328" s="15"/>
      <c r="E328" s="15"/>
      <c r="F328" s="15"/>
      <c r="G328" s="387"/>
      <c r="H328" s="15"/>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c r="AG328" s="15"/>
      <c r="AH328" s="15"/>
    </row>
    <row r="329" ht="16.5" customHeight="1">
      <c r="A329" s="15"/>
      <c r="B329" s="15"/>
      <c r="C329" s="21"/>
      <c r="D329" s="15"/>
      <c r="E329" s="15"/>
      <c r="F329" s="15"/>
      <c r="G329" s="387"/>
      <c r="H329" s="15"/>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c r="AG329" s="15"/>
      <c r="AH329" s="15"/>
    </row>
    <row r="330" ht="16.5" customHeight="1">
      <c r="A330" s="15"/>
      <c r="B330" s="15"/>
      <c r="C330" s="21"/>
      <c r="D330" s="15"/>
      <c r="E330" s="15"/>
      <c r="F330" s="15"/>
      <c r="G330" s="387"/>
      <c r="H330" s="15"/>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c r="AG330" s="15"/>
      <c r="AH330" s="15"/>
    </row>
    <row r="331" ht="16.5" customHeight="1">
      <c r="A331" s="15"/>
      <c r="B331" s="15"/>
      <c r="C331" s="21"/>
      <c r="D331" s="15"/>
      <c r="E331" s="15"/>
      <c r="F331" s="15"/>
      <c r="G331" s="387"/>
      <c r="H331" s="15"/>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c r="AG331" s="15"/>
      <c r="AH331" s="15"/>
    </row>
    <row r="332" ht="16.5" customHeight="1">
      <c r="A332" s="15"/>
      <c r="B332" s="15"/>
      <c r="C332" s="21"/>
      <c r="D332" s="15"/>
      <c r="E332" s="15"/>
      <c r="F332" s="15"/>
      <c r="G332" s="387"/>
      <c r="H332" s="15"/>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c r="AG332" s="15"/>
      <c r="AH332" s="15"/>
    </row>
    <row r="333" ht="16.5" customHeight="1">
      <c r="A333" s="15"/>
      <c r="B333" s="15"/>
      <c r="C333" s="21"/>
      <c r="D333" s="15"/>
      <c r="E333" s="15"/>
      <c r="F333" s="15"/>
      <c r="G333" s="387"/>
      <c r="H333" s="15"/>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c r="AG333" s="15"/>
      <c r="AH333" s="15"/>
    </row>
    <row r="334" ht="16.5" customHeight="1">
      <c r="A334" s="15"/>
      <c r="B334" s="15"/>
      <c r="C334" s="21"/>
      <c r="D334" s="15"/>
      <c r="E334" s="15"/>
      <c r="F334" s="15"/>
      <c r="G334" s="387"/>
      <c r="H334" s="15"/>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c r="AG334" s="15"/>
      <c r="AH334" s="15"/>
    </row>
    <row r="335" ht="16.5" customHeight="1">
      <c r="A335" s="15"/>
      <c r="B335" s="15"/>
      <c r="C335" s="21"/>
      <c r="D335" s="15"/>
      <c r="E335" s="15"/>
      <c r="F335" s="15"/>
      <c r="G335" s="387"/>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c r="AG335" s="15"/>
      <c r="AH335" s="15"/>
    </row>
    <row r="336" ht="16.5" customHeight="1">
      <c r="A336" s="15"/>
      <c r="B336" s="15"/>
      <c r="C336" s="21"/>
      <c r="D336" s="15"/>
      <c r="E336" s="15"/>
      <c r="F336" s="15"/>
      <c r="G336" s="387"/>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c r="AG336" s="15"/>
      <c r="AH336" s="15"/>
    </row>
    <row r="337" ht="16.5" customHeight="1">
      <c r="A337" s="15"/>
      <c r="B337" s="15"/>
      <c r="C337" s="21"/>
      <c r="D337" s="15"/>
      <c r="E337" s="15"/>
      <c r="F337" s="15"/>
      <c r="G337" s="387"/>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c r="AG337" s="15"/>
      <c r="AH337" s="15"/>
    </row>
    <row r="338" ht="16.5" customHeight="1">
      <c r="A338" s="15"/>
      <c r="B338" s="15"/>
      <c r="C338" s="21"/>
      <c r="D338" s="15"/>
      <c r="E338" s="15"/>
      <c r="F338" s="15"/>
      <c r="G338" s="387"/>
      <c r="H338" s="15"/>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c r="AG338" s="15"/>
      <c r="AH338" s="15"/>
    </row>
    <row r="339" ht="16.5" customHeight="1">
      <c r="A339" s="15"/>
      <c r="B339" s="15"/>
      <c r="C339" s="21"/>
      <c r="D339" s="15"/>
      <c r="E339" s="15"/>
      <c r="F339" s="15"/>
      <c r="G339" s="387"/>
      <c r="H339" s="15"/>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c r="AG339" s="15"/>
      <c r="AH339" s="15"/>
    </row>
    <row r="340" ht="16.5" customHeight="1">
      <c r="A340" s="15"/>
      <c r="B340" s="15"/>
      <c r="C340" s="21"/>
      <c r="D340" s="15"/>
      <c r="E340" s="15"/>
      <c r="F340" s="15"/>
      <c r="G340" s="387"/>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c r="AG340" s="15"/>
      <c r="AH340" s="15"/>
    </row>
    <row r="341" ht="16.5" customHeight="1">
      <c r="A341" s="15"/>
      <c r="B341" s="15"/>
      <c r="C341" s="21"/>
      <c r="D341" s="15"/>
      <c r="E341" s="15"/>
      <c r="F341" s="15"/>
      <c r="G341" s="387"/>
      <c r="H341" s="15"/>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c r="AG341" s="15"/>
      <c r="AH341" s="15"/>
    </row>
    <row r="342" ht="16.5" customHeight="1">
      <c r="A342" s="15"/>
      <c r="B342" s="15"/>
      <c r="C342" s="21"/>
      <c r="D342" s="15"/>
      <c r="E342" s="15"/>
      <c r="F342" s="15"/>
      <c r="G342" s="387"/>
      <c r="H342" s="15"/>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c r="AG342" s="15"/>
      <c r="AH342" s="15"/>
    </row>
    <row r="343" ht="16.5" customHeight="1">
      <c r="A343" s="15"/>
      <c r="B343" s="15"/>
      <c r="C343" s="21"/>
      <c r="D343" s="15"/>
      <c r="E343" s="15"/>
      <c r="F343" s="15"/>
      <c r="G343" s="387"/>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c r="AG343" s="15"/>
      <c r="AH343" s="15"/>
    </row>
    <row r="344" ht="16.5" customHeight="1">
      <c r="A344" s="15"/>
      <c r="B344" s="15"/>
      <c r="C344" s="21"/>
      <c r="D344" s="15"/>
      <c r="E344" s="15"/>
      <c r="F344" s="15"/>
      <c r="G344" s="387"/>
      <c r="H344" s="15"/>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c r="AG344" s="15"/>
      <c r="AH344" s="15"/>
    </row>
    <row r="345" ht="16.5" customHeight="1">
      <c r="A345" s="15"/>
      <c r="B345" s="15"/>
      <c r="C345" s="21"/>
      <c r="D345" s="15"/>
      <c r="E345" s="15"/>
      <c r="F345" s="15"/>
      <c r="G345" s="387"/>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c r="AG345" s="15"/>
      <c r="AH345" s="15"/>
    </row>
    <row r="346" ht="16.5" customHeight="1">
      <c r="A346" s="15"/>
      <c r="B346" s="15"/>
      <c r="C346" s="21"/>
      <c r="D346" s="15"/>
      <c r="E346" s="15"/>
      <c r="F346" s="15"/>
      <c r="G346" s="387"/>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c r="AG346" s="15"/>
      <c r="AH346" s="15"/>
    </row>
    <row r="347" ht="16.5" customHeight="1">
      <c r="A347" s="15"/>
      <c r="B347" s="15"/>
      <c r="C347" s="21"/>
      <c r="D347" s="15"/>
      <c r="E347" s="15"/>
      <c r="F347" s="15"/>
      <c r="G347" s="387"/>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c r="AG347" s="15"/>
      <c r="AH347" s="15"/>
    </row>
    <row r="348" ht="16.5" customHeight="1">
      <c r="A348" s="15"/>
      <c r="B348" s="15"/>
      <c r="C348" s="21"/>
      <c r="D348" s="15"/>
      <c r="E348" s="15"/>
      <c r="F348" s="15"/>
      <c r="G348" s="387"/>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c r="AG348" s="15"/>
      <c r="AH348" s="15"/>
    </row>
    <row r="349" ht="16.5" customHeight="1">
      <c r="A349" s="15"/>
      <c r="B349" s="15"/>
      <c r="C349" s="21"/>
      <c r="D349" s="15"/>
      <c r="E349" s="15"/>
      <c r="F349" s="15"/>
      <c r="G349" s="387"/>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c r="AG349" s="15"/>
      <c r="AH349" s="15"/>
    </row>
    <row r="350" ht="16.5" customHeight="1">
      <c r="A350" s="15"/>
      <c r="B350" s="15"/>
      <c r="C350" s="21"/>
      <c r="D350" s="15"/>
      <c r="E350" s="15"/>
      <c r="F350" s="15"/>
      <c r="G350" s="387"/>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c r="AG350" s="15"/>
      <c r="AH350" s="15"/>
    </row>
    <row r="351" ht="16.5" customHeight="1">
      <c r="A351" s="15"/>
      <c r="B351" s="15"/>
      <c r="C351" s="21"/>
      <c r="D351" s="15"/>
      <c r="E351" s="15"/>
      <c r="F351" s="15"/>
      <c r="G351" s="387"/>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c r="AG351" s="15"/>
      <c r="AH351" s="15"/>
    </row>
    <row r="352" ht="16.5" customHeight="1">
      <c r="A352" s="15"/>
      <c r="B352" s="15"/>
      <c r="C352" s="21"/>
      <c r="D352" s="15"/>
      <c r="E352" s="15"/>
      <c r="F352" s="15"/>
      <c r="G352" s="387"/>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c r="AG352" s="15"/>
      <c r="AH352" s="15"/>
    </row>
    <row r="353" ht="16.5" customHeight="1">
      <c r="A353" s="15"/>
      <c r="B353" s="15"/>
      <c r="C353" s="21"/>
      <c r="D353" s="15"/>
      <c r="E353" s="15"/>
      <c r="F353" s="15"/>
      <c r="G353" s="387"/>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c r="AG353" s="15"/>
      <c r="AH353" s="15"/>
    </row>
    <row r="354" ht="16.5" customHeight="1">
      <c r="A354" s="15"/>
      <c r="B354" s="15"/>
      <c r="C354" s="21"/>
      <c r="D354" s="15"/>
      <c r="E354" s="15"/>
      <c r="F354" s="15"/>
      <c r="G354" s="387"/>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c r="AG354" s="15"/>
      <c r="AH354" s="15"/>
    </row>
    <row r="355" ht="16.5" customHeight="1">
      <c r="A355" s="15"/>
      <c r="B355" s="15"/>
      <c r="C355" s="21"/>
      <c r="D355" s="15"/>
      <c r="E355" s="15"/>
      <c r="F355" s="15"/>
      <c r="G355" s="387"/>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c r="AG355" s="15"/>
      <c r="AH355" s="15"/>
    </row>
    <row r="356" ht="16.5" customHeight="1">
      <c r="A356" s="15"/>
      <c r="B356" s="15"/>
      <c r="C356" s="21"/>
      <c r="D356" s="15"/>
      <c r="E356" s="15"/>
      <c r="F356" s="15"/>
      <c r="G356" s="387"/>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c r="AG356" s="15"/>
      <c r="AH356" s="15"/>
    </row>
    <row r="357" ht="16.5" customHeight="1">
      <c r="A357" s="15"/>
      <c r="B357" s="15"/>
      <c r="C357" s="21"/>
      <c r="D357" s="15"/>
      <c r="E357" s="15"/>
      <c r="F357" s="15"/>
      <c r="G357" s="387"/>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c r="AG357" s="15"/>
      <c r="AH357" s="15"/>
    </row>
    <row r="358" ht="16.5" customHeight="1">
      <c r="A358" s="15"/>
      <c r="B358" s="15"/>
      <c r="C358" s="21"/>
      <c r="D358" s="15"/>
      <c r="E358" s="15"/>
      <c r="F358" s="15"/>
      <c r="G358" s="387"/>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c r="AG358" s="15"/>
      <c r="AH358" s="15"/>
    </row>
    <row r="359" ht="16.5" customHeight="1">
      <c r="A359" s="15"/>
      <c r="B359" s="15"/>
      <c r="C359" s="21"/>
      <c r="D359" s="15"/>
      <c r="E359" s="15"/>
      <c r="F359" s="15"/>
      <c r="G359" s="387"/>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c r="AG359" s="15"/>
      <c r="AH359" s="15"/>
    </row>
    <row r="360" ht="16.5" customHeight="1">
      <c r="A360" s="15"/>
      <c r="B360" s="15"/>
      <c r="C360" s="21"/>
      <c r="D360" s="15"/>
      <c r="E360" s="15"/>
      <c r="F360" s="15"/>
      <c r="G360" s="387"/>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c r="AG360" s="15"/>
      <c r="AH360" s="15"/>
    </row>
    <row r="361" ht="16.5" customHeight="1">
      <c r="A361" s="15"/>
      <c r="B361" s="15"/>
      <c r="C361" s="21"/>
      <c r="D361" s="15"/>
      <c r="E361" s="15"/>
      <c r="F361" s="15"/>
      <c r="G361" s="387"/>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c r="AG361" s="15"/>
      <c r="AH361" s="15"/>
    </row>
    <row r="362" ht="16.5" customHeight="1">
      <c r="A362" s="15"/>
      <c r="B362" s="15"/>
      <c r="C362" s="21"/>
      <c r="D362" s="15"/>
      <c r="E362" s="15"/>
      <c r="F362" s="15"/>
      <c r="G362" s="387"/>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c r="AG362" s="15"/>
      <c r="AH362" s="15"/>
    </row>
    <row r="363" ht="16.5" customHeight="1">
      <c r="A363" s="15"/>
      <c r="B363" s="15"/>
      <c r="C363" s="21"/>
      <c r="D363" s="15"/>
      <c r="E363" s="15"/>
      <c r="F363" s="15"/>
      <c r="G363" s="387"/>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c r="AG363" s="15"/>
      <c r="AH363" s="15"/>
    </row>
    <row r="364" ht="16.5" customHeight="1">
      <c r="A364" s="15"/>
      <c r="B364" s="15"/>
      <c r="C364" s="21"/>
      <c r="D364" s="15"/>
      <c r="E364" s="15"/>
      <c r="F364" s="15"/>
      <c r="G364" s="387"/>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c r="AG364" s="15"/>
      <c r="AH364" s="15"/>
    </row>
    <row r="365" ht="16.5" customHeight="1">
      <c r="A365" s="15"/>
      <c r="B365" s="15"/>
      <c r="C365" s="21"/>
      <c r="D365" s="15"/>
      <c r="E365" s="15"/>
      <c r="F365" s="15"/>
      <c r="G365" s="387"/>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c r="AG365" s="15"/>
      <c r="AH365" s="15"/>
    </row>
    <row r="366" ht="16.5" customHeight="1">
      <c r="A366" s="15"/>
      <c r="B366" s="15"/>
      <c r="C366" s="21"/>
      <c r="D366" s="15"/>
      <c r="E366" s="15"/>
      <c r="F366" s="15"/>
      <c r="G366" s="387"/>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c r="AG366" s="15"/>
      <c r="AH366" s="15"/>
    </row>
    <row r="367" ht="16.5" customHeight="1">
      <c r="A367" s="15"/>
      <c r="B367" s="15"/>
      <c r="C367" s="21"/>
      <c r="D367" s="15"/>
      <c r="E367" s="15"/>
      <c r="F367" s="15"/>
      <c r="G367" s="387"/>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c r="AG367" s="15"/>
      <c r="AH367" s="15"/>
    </row>
    <row r="368" ht="16.5" customHeight="1">
      <c r="A368" s="15"/>
      <c r="B368" s="15"/>
      <c r="C368" s="21"/>
      <c r="D368" s="15"/>
      <c r="E368" s="15"/>
      <c r="F368" s="15"/>
      <c r="G368" s="387"/>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c r="AG368" s="15"/>
      <c r="AH368" s="15"/>
    </row>
    <row r="369" ht="16.5" customHeight="1">
      <c r="A369" s="15"/>
      <c r="B369" s="15"/>
      <c r="C369" s="21"/>
      <c r="D369" s="15"/>
      <c r="E369" s="15"/>
      <c r="F369" s="15"/>
      <c r="G369" s="387"/>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c r="AG369" s="15"/>
      <c r="AH369" s="15"/>
    </row>
    <row r="370" ht="16.5" customHeight="1">
      <c r="A370" s="15"/>
      <c r="B370" s="15"/>
      <c r="C370" s="21"/>
      <c r="D370" s="15"/>
      <c r="E370" s="15"/>
      <c r="F370" s="15"/>
      <c r="G370" s="387"/>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c r="AG370" s="15"/>
      <c r="AH370" s="15"/>
    </row>
    <row r="371" ht="16.5" customHeight="1">
      <c r="A371" s="15"/>
      <c r="B371" s="15"/>
      <c r="C371" s="21"/>
      <c r="D371" s="15"/>
      <c r="E371" s="15"/>
      <c r="F371" s="15"/>
      <c r="G371" s="387"/>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c r="AG371" s="15"/>
      <c r="AH371" s="15"/>
    </row>
    <row r="372" ht="16.5" customHeight="1">
      <c r="A372" s="15"/>
      <c r="B372" s="15"/>
      <c r="C372" s="21"/>
      <c r="D372" s="15"/>
      <c r="E372" s="15"/>
      <c r="F372" s="15"/>
      <c r="G372" s="387"/>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c r="AG372" s="15"/>
      <c r="AH372" s="15"/>
    </row>
    <row r="373" ht="16.5" customHeight="1">
      <c r="A373" s="15"/>
      <c r="B373" s="15"/>
      <c r="C373" s="21"/>
      <c r="D373" s="15"/>
      <c r="E373" s="15"/>
      <c r="F373" s="15"/>
      <c r="G373" s="387"/>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c r="AG373" s="15"/>
      <c r="AH373" s="15"/>
    </row>
    <row r="374" ht="16.5" customHeight="1">
      <c r="A374" s="15"/>
      <c r="B374" s="15"/>
      <c r="C374" s="21"/>
      <c r="D374" s="15"/>
      <c r="E374" s="15"/>
      <c r="F374" s="15"/>
      <c r="G374" s="387"/>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c r="AG374" s="15"/>
      <c r="AH374" s="15"/>
    </row>
    <row r="375" ht="16.5" customHeight="1">
      <c r="A375" s="15"/>
      <c r="B375" s="15"/>
      <c r="C375" s="21"/>
      <c r="D375" s="15"/>
      <c r="E375" s="15"/>
      <c r="F375" s="15"/>
      <c r="G375" s="387"/>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c r="AG375" s="15"/>
      <c r="AH375" s="15"/>
    </row>
    <row r="376" ht="16.5" customHeight="1">
      <c r="A376" s="15"/>
      <c r="B376" s="15"/>
      <c r="C376" s="21"/>
      <c r="D376" s="15"/>
      <c r="E376" s="15"/>
      <c r="F376" s="15"/>
      <c r="G376" s="387"/>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c r="AG376" s="15"/>
      <c r="AH376" s="15"/>
    </row>
    <row r="377" ht="16.5" customHeight="1">
      <c r="A377" s="15"/>
      <c r="B377" s="15"/>
      <c r="C377" s="21"/>
      <c r="D377" s="15"/>
      <c r="E377" s="15"/>
      <c r="F377" s="15"/>
      <c r="G377" s="387"/>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c r="AG377" s="15"/>
      <c r="AH377" s="15"/>
    </row>
    <row r="378" ht="16.5" customHeight="1">
      <c r="A378" s="15"/>
      <c r="B378" s="15"/>
      <c r="C378" s="21"/>
      <c r="D378" s="15"/>
      <c r="E378" s="15"/>
      <c r="F378" s="15"/>
      <c r="G378" s="387"/>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c r="AG378" s="15"/>
      <c r="AH378" s="15"/>
    </row>
    <row r="379" ht="16.5" customHeight="1">
      <c r="A379" s="15"/>
      <c r="B379" s="15"/>
      <c r="C379" s="21"/>
      <c r="D379" s="15"/>
      <c r="E379" s="15"/>
      <c r="F379" s="15"/>
      <c r="G379" s="387"/>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c r="AG379" s="15"/>
      <c r="AH379" s="15"/>
    </row>
    <row r="380" ht="16.5" customHeight="1">
      <c r="A380" s="15"/>
      <c r="B380" s="15"/>
      <c r="C380" s="21"/>
      <c r="D380" s="15"/>
      <c r="E380" s="15"/>
      <c r="F380" s="15"/>
      <c r="G380" s="387"/>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c r="AG380" s="15"/>
      <c r="AH380" s="15"/>
    </row>
    <row r="381" ht="16.5" customHeight="1">
      <c r="A381" s="15"/>
      <c r="B381" s="15"/>
      <c r="C381" s="21"/>
      <c r="D381" s="15"/>
      <c r="E381" s="15"/>
      <c r="F381" s="15"/>
      <c r="G381" s="387"/>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c r="AG381" s="15"/>
      <c r="AH381" s="15"/>
    </row>
    <row r="382" ht="16.5" customHeight="1">
      <c r="A382" s="15"/>
      <c r="B382" s="15"/>
      <c r="C382" s="21"/>
      <c r="D382" s="15"/>
      <c r="E382" s="15"/>
      <c r="F382" s="15"/>
      <c r="G382" s="387"/>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c r="AG382" s="15"/>
      <c r="AH382" s="15"/>
    </row>
    <row r="383" ht="16.5" customHeight="1">
      <c r="A383" s="15"/>
      <c r="B383" s="15"/>
      <c r="C383" s="21"/>
      <c r="D383" s="15"/>
      <c r="E383" s="15"/>
      <c r="F383" s="15"/>
      <c r="G383" s="387"/>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c r="AG383" s="15"/>
      <c r="AH383" s="15"/>
    </row>
    <row r="384" ht="16.5" customHeight="1">
      <c r="A384" s="15"/>
      <c r="B384" s="15"/>
      <c r="C384" s="21"/>
      <c r="D384" s="15"/>
      <c r="E384" s="15"/>
      <c r="F384" s="15"/>
      <c r="G384" s="387"/>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c r="AG384" s="15"/>
      <c r="AH384" s="15"/>
    </row>
    <row r="385" ht="16.5" customHeight="1">
      <c r="A385" s="15"/>
      <c r="B385" s="15"/>
      <c r="C385" s="21"/>
      <c r="D385" s="15"/>
      <c r="E385" s="15"/>
      <c r="F385" s="15"/>
      <c r="G385" s="387"/>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c r="AG385" s="15"/>
      <c r="AH385" s="15"/>
    </row>
    <row r="386" ht="16.5" customHeight="1">
      <c r="A386" s="15"/>
      <c r="B386" s="15"/>
      <c r="C386" s="21"/>
      <c r="D386" s="15"/>
      <c r="E386" s="15"/>
      <c r="F386" s="15"/>
      <c r="G386" s="387"/>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c r="AG386" s="15"/>
      <c r="AH386" s="15"/>
    </row>
    <row r="387" ht="16.5" customHeight="1">
      <c r="A387" s="15"/>
      <c r="B387" s="15"/>
      <c r="C387" s="21"/>
      <c r="D387" s="15"/>
      <c r="E387" s="15"/>
      <c r="F387" s="15"/>
      <c r="G387" s="387"/>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c r="AG387" s="15"/>
      <c r="AH387" s="15"/>
    </row>
    <row r="388" ht="16.5" customHeight="1">
      <c r="A388" s="15"/>
      <c r="B388" s="15"/>
      <c r="C388" s="21"/>
      <c r="D388" s="15"/>
      <c r="E388" s="15"/>
      <c r="F388" s="15"/>
      <c r="G388" s="387"/>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c r="AG388" s="15"/>
      <c r="AH388" s="15"/>
    </row>
    <row r="389" ht="16.5" customHeight="1">
      <c r="A389" s="15"/>
      <c r="B389" s="15"/>
      <c r="C389" s="21"/>
      <c r="D389" s="15"/>
      <c r="E389" s="15"/>
      <c r="F389" s="15"/>
      <c r="G389" s="387"/>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c r="AG389" s="15"/>
      <c r="AH389" s="15"/>
    </row>
    <row r="390" ht="16.5" customHeight="1">
      <c r="A390" s="15"/>
      <c r="B390" s="15"/>
      <c r="C390" s="21"/>
      <c r="D390" s="15"/>
      <c r="E390" s="15"/>
      <c r="F390" s="15"/>
      <c r="G390" s="387"/>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c r="AG390" s="15"/>
      <c r="AH390" s="15"/>
    </row>
    <row r="391" ht="16.5" customHeight="1">
      <c r="A391" s="15"/>
      <c r="B391" s="15"/>
      <c r="C391" s="21"/>
      <c r="D391" s="15"/>
      <c r="E391" s="15"/>
      <c r="F391" s="15"/>
      <c r="G391" s="387"/>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c r="AG391" s="15"/>
      <c r="AH391" s="15"/>
    </row>
    <row r="392" ht="16.5" customHeight="1">
      <c r="A392" s="15"/>
      <c r="B392" s="15"/>
      <c r="C392" s="21"/>
      <c r="D392" s="15"/>
      <c r="E392" s="15"/>
      <c r="F392" s="15"/>
      <c r="G392" s="387"/>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c r="AG392" s="15"/>
      <c r="AH392" s="15"/>
    </row>
    <row r="393" ht="16.5" customHeight="1">
      <c r="A393" s="15"/>
      <c r="B393" s="15"/>
      <c r="C393" s="21"/>
      <c r="D393" s="15"/>
      <c r="E393" s="15"/>
      <c r="F393" s="15"/>
      <c r="G393" s="387"/>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c r="AG393" s="15"/>
      <c r="AH393" s="15"/>
    </row>
    <row r="394" ht="16.5" customHeight="1">
      <c r="A394" s="15"/>
      <c r="B394" s="15"/>
      <c r="C394" s="21"/>
      <c r="D394" s="15"/>
      <c r="E394" s="15"/>
      <c r="F394" s="15"/>
      <c r="G394" s="387"/>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c r="AG394" s="15"/>
      <c r="AH394" s="15"/>
    </row>
    <row r="395" ht="16.5" customHeight="1">
      <c r="A395" s="15"/>
      <c r="B395" s="15"/>
      <c r="C395" s="21"/>
      <c r="D395" s="15"/>
      <c r="E395" s="15"/>
      <c r="F395" s="15"/>
      <c r="G395" s="387"/>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c r="AG395" s="15"/>
      <c r="AH395" s="15"/>
    </row>
    <row r="396" ht="16.5" customHeight="1">
      <c r="A396" s="15"/>
      <c r="B396" s="15"/>
      <c r="C396" s="21"/>
      <c r="D396" s="15"/>
      <c r="E396" s="15"/>
      <c r="F396" s="15"/>
      <c r="G396" s="387"/>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c r="AG396" s="15"/>
      <c r="AH396" s="15"/>
    </row>
    <row r="397" ht="16.5" customHeight="1">
      <c r="A397" s="15"/>
      <c r="B397" s="15"/>
      <c r="C397" s="21"/>
      <c r="D397" s="15"/>
      <c r="E397" s="15"/>
      <c r="F397" s="15"/>
      <c r="G397" s="387"/>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c r="AG397" s="15"/>
      <c r="AH397" s="15"/>
    </row>
    <row r="398" ht="16.5" customHeight="1">
      <c r="A398" s="15"/>
      <c r="B398" s="15"/>
      <c r="C398" s="21"/>
      <c r="D398" s="15"/>
      <c r="E398" s="15"/>
      <c r="F398" s="15"/>
      <c r="G398" s="387"/>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c r="AG398" s="15"/>
      <c r="AH398" s="15"/>
    </row>
    <row r="399" ht="16.5" customHeight="1">
      <c r="A399" s="15"/>
      <c r="B399" s="15"/>
      <c r="C399" s="21"/>
      <c r="D399" s="15"/>
      <c r="E399" s="15"/>
      <c r="F399" s="15"/>
      <c r="G399" s="387"/>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c r="AG399" s="15"/>
      <c r="AH399" s="15"/>
    </row>
    <row r="400" ht="16.5" customHeight="1">
      <c r="A400" s="15"/>
      <c r="B400" s="15"/>
      <c r="C400" s="21"/>
      <c r="D400" s="15"/>
      <c r="E400" s="15"/>
      <c r="F400" s="15"/>
      <c r="G400" s="387"/>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c r="AG400" s="15"/>
      <c r="AH400" s="15"/>
    </row>
    <row r="401" ht="16.5" customHeight="1">
      <c r="A401" s="15"/>
      <c r="B401" s="15"/>
      <c r="C401" s="21"/>
      <c r="D401" s="15"/>
      <c r="E401" s="15"/>
      <c r="F401" s="15"/>
      <c r="G401" s="387"/>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c r="AG401" s="15"/>
      <c r="AH401" s="15"/>
    </row>
    <row r="402" ht="16.5" customHeight="1">
      <c r="A402" s="15"/>
      <c r="B402" s="15"/>
      <c r="C402" s="21"/>
      <c r="D402" s="15"/>
      <c r="E402" s="15"/>
      <c r="F402" s="15"/>
      <c r="G402" s="387"/>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c r="AG402" s="15"/>
      <c r="AH402" s="15"/>
    </row>
    <row r="403" ht="16.5" customHeight="1">
      <c r="A403" s="15"/>
      <c r="B403" s="15"/>
      <c r="C403" s="21"/>
      <c r="D403" s="15"/>
      <c r="E403" s="15"/>
      <c r="F403" s="15"/>
      <c r="G403" s="387"/>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c r="AG403" s="15"/>
      <c r="AH403" s="15"/>
    </row>
    <row r="404" ht="16.5" customHeight="1">
      <c r="A404" s="15"/>
      <c r="B404" s="15"/>
      <c r="C404" s="21"/>
      <c r="D404" s="15"/>
      <c r="E404" s="15"/>
      <c r="F404" s="15"/>
      <c r="G404" s="387"/>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c r="AG404" s="15"/>
      <c r="AH404" s="15"/>
    </row>
    <row r="405" ht="16.5" customHeight="1">
      <c r="A405" s="15"/>
      <c r="B405" s="15"/>
      <c r="C405" s="21"/>
      <c r="D405" s="15"/>
      <c r="E405" s="15"/>
      <c r="F405" s="15"/>
      <c r="G405" s="387"/>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c r="AG405" s="15"/>
      <c r="AH405" s="15"/>
    </row>
    <row r="406" ht="16.5" customHeight="1">
      <c r="A406" s="15"/>
      <c r="B406" s="15"/>
      <c r="C406" s="21"/>
      <c r="D406" s="15"/>
      <c r="E406" s="15"/>
      <c r="F406" s="15"/>
      <c r="G406" s="387"/>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c r="AG406" s="15"/>
      <c r="AH406" s="15"/>
    </row>
    <row r="407" ht="16.5" customHeight="1">
      <c r="A407" s="15"/>
      <c r="B407" s="15"/>
      <c r="C407" s="21"/>
      <c r="D407" s="15"/>
      <c r="E407" s="15"/>
      <c r="F407" s="15"/>
      <c r="G407" s="387"/>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c r="AG407" s="15"/>
      <c r="AH407" s="15"/>
    </row>
    <row r="408" ht="16.5" customHeight="1">
      <c r="A408" s="15"/>
      <c r="B408" s="15"/>
      <c r="C408" s="21"/>
      <c r="D408" s="15"/>
      <c r="E408" s="15"/>
      <c r="F408" s="15"/>
      <c r="G408" s="387"/>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c r="AG408" s="15"/>
      <c r="AH408" s="15"/>
    </row>
    <row r="409" ht="16.5" customHeight="1">
      <c r="A409" s="15"/>
      <c r="B409" s="15"/>
      <c r="C409" s="21"/>
      <c r="D409" s="15"/>
      <c r="E409" s="15"/>
      <c r="F409" s="15"/>
      <c r="G409" s="387"/>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c r="AG409" s="15"/>
      <c r="AH409" s="15"/>
    </row>
    <row r="410" ht="16.5" customHeight="1">
      <c r="A410" s="15"/>
      <c r="B410" s="15"/>
      <c r="C410" s="21"/>
      <c r="D410" s="15"/>
      <c r="E410" s="15"/>
      <c r="F410" s="15"/>
      <c r="G410" s="387"/>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c r="AG410" s="15"/>
      <c r="AH410" s="15"/>
    </row>
    <row r="411" ht="16.5" customHeight="1">
      <c r="A411" s="15"/>
      <c r="B411" s="15"/>
      <c r="C411" s="21"/>
      <c r="D411" s="15"/>
      <c r="E411" s="15"/>
      <c r="F411" s="15"/>
      <c r="G411" s="387"/>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c r="AG411" s="15"/>
      <c r="AH411" s="15"/>
    </row>
    <row r="412" ht="16.5" customHeight="1">
      <c r="A412" s="15"/>
      <c r="B412" s="15"/>
      <c r="C412" s="21"/>
      <c r="D412" s="15"/>
      <c r="E412" s="15"/>
      <c r="F412" s="15"/>
      <c r="G412" s="387"/>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c r="AG412" s="15"/>
      <c r="AH412" s="15"/>
    </row>
    <row r="413" ht="16.5" customHeight="1">
      <c r="A413" s="15"/>
      <c r="B413" s="15"/>
      <c r="C413" s="21"/>
      <c r="D413" s="15"/>
      <c r="E413" s="15"/>
      <c r="F413" s="15"/>
      <c r="G413" s="387"/>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c r="AG413" s="15"/>
      <c r="AH413" s="15"/>
    </row>
    <row r="414" ht="16.5" customHeight="1">
      <c r="A414" s="15"/>
      <c r="B414" s="15"/>
      <c r="C414" s="21"/>
      <c r="D414" s="15"/>
      <c r="E414" s="15"/>
      <c r="F414" s="15"/>
      <c r="G414" s="387"/>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c r="AG414" s="15"/>
      <c r="AH414" s="15"/>
    </row>
    <row r="415" ht="16.5" customHeight="1">
      <c r="A415" s="15"/>
      <c r="B415" s="15"/>
      <c r="C415" s="21"/>
      <c r="D415" s="15"/>
      <c r="E415" s="15"/>
      <c r="F415" s="15"/>
      <c r="G415" s="387"/>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c r="AG415" s="15"/>
      <c r="AH415" s="15"/>
    </row>
    <row r="416" ht="16.5" customHeight="1">
      <c r="A416" s="15"/>
      <c r="B416" s="15"/>
      <c r="C416" s="21"/>
      <c r="D416" s="15"/>
      <c r="E416" s="15"/>
      <c r="F416" s="15"/>
      <c r="G416" s="387"/>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c r="AG416" s="15"/>
      <c r="AH416" s="15"/>
    </row>
    <row r="417" ht="16.5" customHeight="1">
      <c r="A417" s="15"/>
      <c r="B417" s="15"/>
      <c r="C417" s="21"/>
      <c r="D417" s="15"/>
      <c r="E417" s="15"/>
      <c r="F417" s="15"/>
      <c r="G417" s="387"/>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c r="AG417" s="15"/>
      <c r="AH417" s="15"/>
    </row>
    <row r="418" ht="16.5" customHeight="1">
      <c r="A418" s="15"/>
      <c r="B418" s="15"/>
      <c r="C418" s="21"/>
      <c r="D418" s="15"/>
      <c r="E418" s="15"/>
      <c r="F418" s="15"/>
      <c r="G418" s="387"/>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c r="AG418" s="15"/>
      <c r="AH418" s="15"/>
    </row>
    <row r="419" ht="16.5" customHeight="1">
      <c r="A419" s="15"/>
      <c r="B419" s="15"/>
      <c r="C419" s="21"/>
      <c r="D419" s="15"/>
      <c r="E419" s="15"/>
      <c r="F419" s="15"/>
      <c r="G419" s="387"/>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c r="AG419" s="15"/>
      <c r="AH419" s="15"/>
    </row>
    <row r="420" ht="16.5" customHeight="1">
      <c r="A420" s="15"/>
      <c r="B420" s="15"/>
      <c r="C420" s="21"/>
      <c r="D420" s="15"/>
      <c r="E420" s="15"/>
      <c r="F420" s="15"/>
      <c r="G420" s="387"/>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c r="AG420" s="15"/>
      <c r="AH420" s="15"/>
    </row>
    <row r="421" ht="16.5" customHeight="1">
      <c r="A421" s="15"/>
      <c r="B421" s="15"/>
      <c r="C421" s="21"/>
      <c r="D421" s="15"/>
      <c r="E421" s="15"/>
      <c r="F421" s="15"/>
      <c r="G421" s="387"/>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c r="AG421" s="15"/>
      <c r="AH421" s="15"/>
    </row>
    <row r="422" ht="16.5" customHeight="1">
      <c r="A422" s="15"/>
      <c r="B422" s="15"/>
      <c r="C422" s="21"/>
      <c r="D422" s="15"/>
      <c r="E422" s="15"/>
      <c r="F422" s="15"/>
      <c r="G422" s="387"/>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c r="AG422" s="15"/>
      <c r="AH422" s="15"/>
    </row>
    <row r="423" ht="16.5" customHeight="1">
      <c r="A423" s="15"/>
      <c r="B423" s="15"/>
      <c r="C423" s="21"/>
      <c r="D423" s="15"/>
      <c r="E423" s="15"/>
      <c r="F423" s="15"/>
      <c r="G423" s="387"/>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c r="AG423" s="15"/>
      <c r="AH423" s="15"/>
    </row>
    <row r="424" ht="16.5" customHeight="1">
      <c r="A424" s="15"/>
      <c r="B424" s="15"/>
      <c r="C424" s="21"/>
      <c r="D424" s="15"/>
      <c r="E424" s="15"/>
      <c r="F424" s="15"/>
      <c r="G424" s="387"/>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c r="AG424" s="15"/>
      <c r="AH424" s="15"/>
    </row>
    <row r="425" ht="16.5" customHeight="1">
      <c r="A425" s="15"/>
      <c r="B425" s="15"/>
      <c r="C425" s="21"/>
      <c r="D425" s="15"/>
      <c r="E425" s="15"/>
      <c r="F425" s="15"/>
      <c r="G425" s="387"/>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c r="AG425" s="15"/>
      <c r="AH425" s="15"/>
    </row>
    <row r="426" ht="16.5" customHeight="1">
      <c r="A426" s="15"/>
      <c r="B426" s="15"/>
      <c r="C426" s="21"/>
      <c r="D426" s="15"/>
      <c r="E426" s="15"/>
      <c r="F426" s="15"/>
      <c r="G426" s="387"/>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c r="AG426" s="15"/>
      <c r="AH426" s="15"/>
    </row>
    <row r="427" ht="16.5" customHeight="1">
      <c r="A427" s="15"/>
      <c r="B427" s="15"/>
      <c r="C427" s="21"/>
      <c r="D427" s="15"/>
      <c r="E427" s="15"/>
      <c r="F427" s="15"/>
      <c r="G427" s="387"/>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c r="AG427" s="15"/>
      <c r="AH427" s="15"/>
    </row>
    <row r="428" ht="16.5" customHeight="1">
      <c r="A428" s="15"/>
      <c r="B428" s="15"/>
      <c r="C428" s="21"/>
      <c r="D428" s="15"/>
      <c r="E428" s="15"/>
      <c r="F428" s="15"/>
      <c r="G428" s="387"/>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c r="AG428" s="15"/>
      <c r="AH428" s="15"/>
    </row>
    <row r="429" ht="16.5" customHeight="1">
      <c r="A429" s="15"/>
      <c r="B429" s="15"/>
      <c r="C429" s="21"/>
      <c r="D429" s="15"/>
      <c r="E429" s="15"/>
      <c r="F429" s="15"/>
      <c r="G429" s="387"/>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c r="AG429" s="15"/>
      <c r="AH429" s="15"/>
    </row>
    <row r="430" ht="16.5" customHeight="1">
      <c r="A430" s="15"/>
      <c r="B430" s="15"/>
      <c r="C430" s="21"/>
      <c r="D430" s="15"/>
      <c r="E430" s="15"/>
      <c r="F430" s="15"/>
      <c r="G430" s="387"/>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c r="AG430" s="15"/>
      <c r="AH430" s="15"/>
    </row>
    <row r="431" ht="16.5" customHeight="1">
      <c r="A431" s="15"/>
      <c r="B431" s="15"/>
      <c r="C431" s="21"/>
      <c r="D431" s="15"/>
      <c r="E431" s="15"/>
      <c r="F431" s="15"/>
      <c r="G431" s="387"/>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c r="AG431" s="15"/>
      <c r="AH431" s="15"/>
    </row>
    <row r="432" ht="16.5" customHeight="1">
      <c r="A432" s="15"/>
      <c r="B432" s="15"/>
      <c r="C432" s="21"/>
      <c r="D432" s="15"/>
      <c r="E432" s="15"/>
      <c r="F432" s="15"/>
      <c r="G432" s="387"/>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c r="AG432" s="15"/>
      <c r="AH432" s="15"/>
    </row>
    <row r="433" ht="16.5" customHeight="1">
      <c r="A433" s="15"/>
      <c r="B433" s="15"/>
      <c r="C433" s="21"/>
      <c r="D433" s="15"/>
      <c r="E433" s="15"/>
      <c r="F433" s="15"/>
      <c r="G433" s="387"/>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c r="AG433" s="15"/>
      <c r="AH433" s="15"/>
    </row>
    <row r="434" ht="16.5" customHeight="1">
      <c r="A434" s="15"/>
      <c r="B434" s="15"/>
      <c r="C434" s="21"/>
      <c r="D434" s="15"/>
      <c r="E434" s="15"/>
      <c r="F434" s="15"/>
      <c r="G434" s="387"/>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c r="AG434" s="15"/>
      <c r="AH434" s="15"/>
    </row>
    <row r="435" ht="16.5" customHeight="1">
      <c r="A435" s="15"/>
      <c r="B435" s="15"/>
      <c r="C435" s="21"/>
      <c r="D435" s="15"/>
      <c r="E435" s="15"/>
      <c r="F435" s="15"/>
      <c r="G435" s="387"/>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c r="AG435" s="15"/>
      <c r="AH435" s="15"/>
    </row>
    <row r="436" ht="16.5" customHeight="1">
      <c r="A436" s="15"/>
      <c r="B436" s="15"/>
      <c r="C436" s="21"/>
      <c r="D436" s="15"/>
      <c r="E436" s="15"/>
      <c r="F436" s="15"/>
      <c r="G436" s="387"/>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c r="AG436" s="15"/>
      <c r="AH436" s="15"/>
    </row>
    <row r="437" ht="16.5" customHeight="1">
      <c r="A437" s="15"/>
      <c r="B437" s="15"/>
      <c r="C437" s="21"/>
      <c r="D437" s="15"/>
      <c r="E437" s="15"/>
      <c r="F437" s="15"/>
      <c r="G437" s="387"/>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c r="AG437" s="15"/>
      <c r="AH437" s="15"/>
    </row>
    <row r="438" ht="16.5" customHeight="1">
      <c r="A438" s="15"/>
      <c r="B438" s="15"/>
      <c r="C438" s="21"/>
      <c r="D438" s="15"/>
      <c r="E438" s="15"/>
      <c r="F438" s="15"/>
      <c r="G438" s="387"/>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c r="AG438" s="15"/>
      <c r="AH438" s="15"/>
    </row>
    <row r="439" ht="16.5" customHeight="1">
      <c r="A439" s="15"/>
      <c r="B439" s="15"/>
      <c r="C439" s="21"/>
      <c r="D439" s="15"/>
      <c r="E439" s="15"/>
      <c r="F439" s="15"/>
      <c r="G439" s="387"/>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c r="AG439" s="15"/>
      <c r="AH439" s="15"/>
    </row>
    <row r="440" ht="16.5" customHeight="1">
      <c r="A440" s="15"/>
      <c r="B440" s="15"/>
      <c r="C440" s="21"/>
      <c r="D440" s="15"/>
      <c r="E440" s="15"/>
      <c r="F440" s="15"/>
      <c r="G440" s="387"/>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c r="AG440" s="15"/>
      <c r="AH440" s="15"/>
    </row>
    <row r="441" ht="16.5" customHeight="1">
      <c r="A441" s="15"/>
      <c r="B441" s="15"/>
      <c r="C441" s="21"/>
      <c r="D441" s="15"/>
      <c r="E441" s="15"/>
      <c r="F441" s="15"/>
      <c r="G441" s="387"/>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c r="AG441" s="15"/>
      <c r="AH441" s="15"/>
    </row>
    <row r="442" ht="16.5" customHeight="1">
      <c r="A442" s="15"/>
      <c r="B442" s="15"/>
      <c r="C442" s="21"/>
      <c r="D442" s="15"/>
      <c r="E442" s="15"/>
      <c r="F442" s="15"/>
      <c r="G442" s="387"/>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c r="AG442" s="15"/>
      <c r="AH442" s="15"/>
    </row>
    <row r="443" ht="16.5" customHeight="1">
      <c r="A443" s="15"/>
      <c r="B443" s="15"/>
      <c r="C443" s="21"/>
      <c r="D443" s="15"/>
      <c r="E443" s="15"/>
      <c r="F443" s="15"/>
      <c r="G443" s="387"/>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c r="AG443" s="15"/>
      <c r="AH443" s="15"/>
    </row>
    <row r="444" ht="16.5" customHeight="1">
      <c r="A444" s="15"/>
      <c r="B444" s="15"/>
      <c r="C444" s="21"/>
      <c r="D444" s="15"/>
      <c r="E444" s="15"/>
      <c r="F444" s="15"/>
      <c r="G444" s="387"/>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c r="AG444" s="15"/>
      <c r="AH444" s="15"/>
    </row>
    <row r="445" ht="16.5" customHeight="1">
      <c r="A445" s="15"/>
      <c r="B445" s="15"/>
      <c r="C445" s="21"/>
      <c r="D445" s="15"/>
      <c r="E445" s="15"/>
      <c r="F445" s="15"/>
      <c r="G445" s="387"/>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c r="AG445" s="15"/>
      <c r="AH445" s="15"/>
    </row>
    <row r="446" ht="16.5" customHeight="1">
      <c r="A446" s="15"/>
      <c r="B446" s="15"/>
      <c r="C446" s="21"/>
      <c r="D446" s="15"/>
      <c r="E446" s="15"/>
      <c r="F446" s="15"/>
      <c r="G446" s="387"/>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c r="AG446" s="15"/>
      <c r="AH446" s="15"/>
    </row>
    <row r="447" ht="16.5" customHeight="1">
      <c r="A447" s="15"/>
      <c r="B447" s="15"/>
      <c r="C447" s="21"/>
      <c r="D447" s="15"/>
      <c r="E447" s="15"/>
      <c r="F447" s="15"/>
      <c r="G447" s="387"/>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c r="AG447" s="15"/>
      <c r="AH447" s="15"/>
    </row>
    <row r="448" ht="16.5" customHeight="1">
      <c r="A448" s="15"/>
      <c r="B448" s="15"/>
      <c r="C448" s="21"/>
      <c r="D448" s="15"/>
      <c r="E448" s="15"/>
      <c r="F448" s="15"/>
      <c r="G448" s="387"/>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c r="AG448" s="15"/>
      <c r="AH448" s="15"/>
    </row>
    <row r="449" ht="16.5" customHeight="1">
      <c r="A449" s="15"/>
      <c r="B449" s="15"/>
      <c r="C449" s="21"/>
      <c r="D449" s="15"/>
      <c r="E449" s="15"/>
      <c r="F449" s="15"/>
      <c r="G449" s="387"/>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c r="AG449" s="15"/>
      <c r="AH449" s="15"/>
    </row>
    <row r="450" ht="16.5" customHeight="1">
      <c r="A450" s="15"/>
      <c r="B450" s="15"/>
      <c r="C450" s="21"/>
      <c r="D450" s="15"/>
      <c r="E450" s="15"/>
      <c r="F450" s="15"/>
      <c r="G450" s="387"/>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c r="AG450" s="15"/>
      <c r="AH450" s="15"/>
    </row>
    <row r="451" ht="16.5" customHeight="1">
      <c r="A451" s="15"/>
      <c r="B451" s="15"/>
      <c r="C451" s="21"/>
      <c r="D451" s="15"/>
      <c r="E451" s="15"/>
      <c r="F451" s="15"/>
      <c r="G451" s="387"/>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c r="AG451" s="15"/>
      <c r="AH451" s="15"/>
    </row>
    <row r="452" ht="16.5" customHeight="1">
      <c r="A452" s="15"/>
      <c r="B452" s="15"/>
      <c r="C452" s="21"/>
      <c r="D452" s="15"/>
      <c r="E452" s="15"/>
      <c r="F452" s="15"/>
      <c r="G452" s="387"/>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c r="AG452" s="15"/>
      <c r="AH452" s="15"/>
    </row>
    <row r="453" ht="16.5" customHeight="1">
      <c r="A453" s="15"/>
      <c r="B453" s="15"/>
      <c r="C453" s="21"/>
      <c r="D453" s="15"/>
      <c r="E453" s="15"/>
      <c r="F453" s="15"/>
      <c r="G453" s="387"/>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c r="AG453" s="15"/>
      <c r="AH453" s="15"/>
    </row>
    <row r="454" ht="16.5" customHeight="1">
      <c r="A454" s="15"/>
      <c r="B454" s="15"/>
      <c r="C454" s="21"/>
      <c r="D454" s="15"/>
      <c r="E454" s="15"/>
      <c r="F454" s="15"/>
      <c r="G454" s="387"/>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c r="AG454" s="15"/>
      <c r="AH454" s="15"/>
    </row>
    <row r="455" ht="16.5" customHeight="1">
      <c r="A455" s="15"/>
      <c r="B455" s="15"/>
      <c r="C455" s="21"/>
      <c r="D455" s="15"/>
      <c r="E455" s="15"/>
      <c r="F455" s="15"/>
      <c r="G455" s="387"/>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c r="AG455" s="15"/>
      <c r="AH455" s="15"/>
    </row>
    <row r="456" ht="16.5" customHeight="1">
      <c r="A456" s="15"/>
      <c r="B456" s="15"/>
      <c r="C456" s="21"/>
      <c r="D456" s="15"/>
      <c r="E456" s="15"/>
      <c r="F456" s="15"/>
      <c r="G456" s="387"/>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c r="AG456" s="15"/>
      <c r="AH456" s="15"/>
    </row>
    <row r="457" ht="16.5" customHeight="1">
      <c r="A457" s="15"/>
      <c r="B457" s="15"/>
      <c r="C457" s="21"/>
      <c r="D457" s="15"/>
      <c r="E457" s="15"/>
      <c r="F457" s="15"/>
      <c r="G457" s="387"/>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c r="AG457" s="15"/>
      <c r="AH457" s="15"/>
    </row>
    <row r="458" ht="16.5" customHeight="1">
      <c r="A458" s="15"/>
      <c r="B458" s="15"/>
      <c r="C458" s="21"/>
      <c r="D458" s="15"/>
      <c r="E458" s="15"/>
      <c r="F458" s="15"/>
      <c r="G458" s="387"/>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c r="AG458" s="15"/>
      <c r="AH458" s="15"/>
    </row>
    <row r="459" ht="16.5" customHeight="1">
      <c r="A459" s="15"/>
      <c r="B459" s="15"/>
      <c r="C459" s="21"/>
      <c r="D459" s="15"/>
      <c r="E459" s="15"/>
      <c r="F459" s="15"/>
      <c r="G459" s="387"/>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c r="AG459" s="15"/>
      <c r="AH459" s="15"/>
    </row>
    <row r="460" ht="16.5" customHeight="1">
      <c r="A460" s="15"/>
      <c r="B460" s="15"/>
      <c r="C460" s="21"/>
      <c r="D460" s="15"/>
      <c r="E460" s="15"/>
      <c r="F460" s="15"/>
      <c r="G460" s="387"/>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c r="AG460" s="15"/>
      <c r="AH460" s="15"/>
    </row>
    <row r="461" ht="16.5" customHeight="1">
      <c r="A461" s="15"/>
      <c r="B461" s="15"/>
      <c r="C461" s="21"/>
      <c r="D461" s="15"/>
      <c r="E461" s="15"/>
      <c r="F461" s="15"/>
      <c r="G461" s="387"/>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c r="AG461" s="15"/>
      <c r="AH461" s="15"/>
    </row>
    <row r="462" ht="16.5" customHeight="1">
      <c r="A462" s="15"/>
      <c r="B462" s="15"/>
      <c r="C462" s="21"/>
      <c r="D462" s="15"/>
      <c r="E462" s="15"/>
      <c r="F462" s="15"/>
      <c r="G462" s="387"/>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c r="AG462" s="15"/>
      <c r="AH462" s="15"/>
    </row>
    <row r="463" ht="16.5" customHeight="1">
      <c r="A463" s="15"/>
      <c r="B463" s="15"/>
      <c r="C463" s="21"/>
      <c r="D463" s="15"/>
      <c r="E463" s="15"/>
      <c r="F463" s="15"/>
      <c r="G463" s="387"/>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c r="AG463" s="15"/>
      <c r="AH463" s="15"/>
    </row>
    <row r="464" ht="16.5" customHeight="1">
      <c r="A464" s="15"/>
      <c r="B464" s="15"/>
      <c r="C464" s="21"/>
      <c r="D464" s="15"/>
      <c r="E464" s="15"/>
      <c r="F464" s="15"/>
      <c r="G464" s="387"/>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c r="AG464" s="15"/>
      <c r="AH464" s="15"/>
    </row>
    <row r="465" ht="16.5" customHeight="1">
      <c r="A465" s="15"/>
      <c r="B465" s="15"/>
      <c r="C465" s="21"/>
      <c r="D465" s="15"/>
      <c r="E465" s="15"/>
      <c r="F465" s="15"/>
      <c r="G465" s="387"/>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c r="AG465" s="15"/>
      <c r="AH465" s="15"/>
    </row>
    <row r="466" ht="16.5" customHeight="1">
      <c r="A466" s="15"/>
      <c r="B466" s="15"/>
      <c r="C466" s="21"/>
      <c r="D466" s="15"/>
      <c r="E466" s="15"/>
      <c r="F466" s="15"/>
      <c r="G466" s="387"/>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c r="AG466" s="15"/>
      <c r="AH466" s="15"/>
    </row>
    <row r="467" ht="16.5" customHeight="1">
      <c r="A467" s="15"/>
      <c r="B467" s="15"/>
      <c r="C467" s="21"/>
      <c r="D467" s="15"/>
      <c r="E467" s="15"/>
      <c r="F467" s="15"/>
      <c r="G467" s="387"/>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c r="AG467" s="15"/>
      <c r="AH467" s="15"/>
    </row>
    <row r="468" ht="16.5" customHeight="1">
      <c r="A468" s="15"/>
      <c r="B468" s="15"/>
      <c r="C468" s="21"/>
      <c r="D468" s="15"/>
      <c r="E468" s="15"/>
      <c r="F468" s="15"/>
      <c r="G468" s="387"/>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c r="AG468" s="15"/>
      <c r="AH468" s="15"/>
    </row>
    <row r="469" ht="16.5" customHeight="1">
      <c r="A469" s="15"/>
      <c r="B469" s="15"/>
      <c r="C469" s="21"/>
      <c r="D469" s="15"/>
      <c r="E469" s="15"/>
      <c r="F469" s="15"/>
      <c r="G469" s="387"/>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c r="AG469" s="15"/>
      <c r="AH469" s="15"/>
    </row>
    <row r="470" ht="16.5" customHeight="1">
      <c r="A470" s="15"/>
      <c r="B470" s="15"/>
      <c r="C470" s="21"/>
      <c r="D470" s="15"/>
      <c r="E470" s="15"/>
      <c r="F470" s="15"/>
      <c r="G470" s="387"/>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c r="AG470" s="15"/>
      <c r="AH470" s="15"/>
    </row>
    <row r="471" ht="16.5" customHeight="1">
      <c r="A471" s="15"/>
      <c r="B471" s="15"/>
      <c r="C471" s="21"/>
      <c r="D471" s="15"/>
      <c r="E471" s="15"/>
      <c r="F471" s="15"/>
      <c r="G471" s="387"/>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c r="AG471" s="15"/>
      <c r="AH471" s="15"/>
    </row>
    <row r="472" ht="16.5" customHeight="1">
      <c r="A472" s="15"/>
      <c r="B472" s="15"/>
      <c r="C472" s="21"/>
      <c r="D472" s="15"/>
      <c r="E472" s="15"/>
      <c r="F472" s="15"/>
      <c r="G472" s="387"/>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c r="AG472" s="15"/>
      <c r="AH472" s="15"/>
    </row>
    <row r="473" ht="16.5" customHeight="1">
      <c r="A473" s="15"/>
      <c r="B473" s="15"/>
      <c r="C473" s="21"/>
      <c r="D473" s="15"/>
      <c r="E473" s="15"/>
      <c r="F473" s="15"/>
      <c r="G473" s="387"/>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c r="AG473" s="15"/>
      <c r="AH473" s="15"/>
    </row>
    <row r="474" ht="16.5" customHeight="1">
      <c r="A474" s="15"/>
      <c r="B474" s="15"/>
      <c r="C474" s="21"/>
      <c r="D474" s="15"/>
      <c r="E474" s="15"/>
      <c r="F474" s="15"/>
      <c r="G474" s="387"/>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c r="AG474" s="15"/>
      <c r="AH474" s="15"/>
    </row>
    <row r="475" ht="16.5" customHeight="1">
      <c r="A475" s="15"/>
      <c r="B475" s="15"/>
      <c r="C475" s="21"/>
      <c r="D475" s="15"/>
      <c r="E475" s="15"/>
      <c r="F475" s="15"/>
      <c r="G475" s="387"/>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c r="AG475" s="15"/>
      <c r="AH475" s="15"/>
    </row>
    <row r="476" ht="16.5" customHeight="1">
      <c r="A476" s="15"/>
      <c r="B476" s="15"/>
      <c r="C476" s="21"/>
      <c r="D476" s="15"/>
      <c r="E476" s="15"/>
      <c r="F476" s="15"/>
      <c r="G476" s="387"/>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c r="AG476" s="15"/>
      <c r="AH476" s="15"/>
    </row>
    <row r="477" ht="16.5" customHeight="1">
      <c r="A477" s="15"/>
      <c r="B477" s="15"/>
      <c r="C477" s="21"/>
      <c r="D477" s="15"/>
      <c r="E477" s="15"/>
      <c r="F477" s="15"/>
      <c r="G477" s="387"/>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c r="AG477" s="15"/>
      <c r="AH477" s="15"/>
    </row>
    <row r="478" ht="16.5" customHeight="1">
      <c r="A478" s="15"/>
      <c r="B478" s="15"/>
      <c r="C478" s="21"/>
      <c r="D478" s="15"/>
      <c r="E478" s="15"/>
      <c r="F478" s="15"/>
      <c r="G478" s="387"/>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c r="AG478" s="15"/>
      <c r="AH478" s="15"/>
    </row>
    <row r="479" ht="16.5" customHeight="1">
      <c r="A479" s="15"/>
      <c r="B479" s="15"/>
      <c r="C479" s="21"/>
      <c r="D479" s="15"/>
      <c r="E479" s="15"/>
      <c r="F479" s="15"/>
      <c r="G479" s="387"/>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c r="AG479" s="15"/>
      <c r="AH479" s="15"/>
    </row>
    <row r="480" ht="16.5" customHeight="1">
      <c r="A480" s="15"/>
      <c r="B480" s="15"/>
      <c r="C480" s="21"/>
      <c r="D480" s="15"/>
      <c r="E480" s="15"/>
      <c r="F480" s="15"/>
      <c r="G480" s="387"/>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c r="AG480" s="15"/>
      <c r="AH480" s="15"/>
    </row>
    <row r="481" ht="16.5" customHeight="1">
      <c r="A481" s="15"/>
      <c r="B481" s="15"/>
      <c r="C481" s="21"/>
      <c r="D481" s="15"/>
      <c r="E481" s="15"/>
      <c r="F481" s="15"/>
      <c r="G481" s="387"/>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c r="AG481" s="15"/>
      <c r="AH481" s="15"/>
    </row>
    <row r="482" ht="16.5" customHeight="1">
      <c r="A482" s="15"/>
      <c r="B482" s="15"/>
      <c r="C482" s="21"/>
      <c r="D482" s="15"/>
      <c r="E482" s="15"/>
      <c r="F482" s="15"/>
      <c r="G482" s="387"/>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c r="AG482" s="15"/>
      <c r="AH482" s="15"/>
    </row>
    <row r="483" ht="16.5" customHeight="1">
      <c r="A483" s="15"/>
      <c r="B483" s="15"/>
      <c r="C483" s="21"/>
      <c r="D483" s="15"/>
      <c r="E483" s="15"/>
      <c r="F483" s="15"/>
      <c r="G483" s="387"/>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c r="AG483" s="15"/>
      <c r="AH483" s="15"/>
    </row>
    <row r="484" ht="16.5" customHeight="1">
      <c r="A484" s="15"/>
      <c r="B484" s="15"/>
      <c r="C484" s="21"/>
      <c r="D484" s="15"/>
      <c r="E484" s="15"/>
      <c r="F484" s="15"/>
      <c r="G484" s="387"/>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c r="AG484" s="15"/>
      <c r="AH484" s="15"/>
    </row>
    <row r="485" ht="16.5" customHeight="1">
      <c r="A485" s="15"/>
      <c r="B485" s="15"/>
      <c r="C485" s="21"/>
      <c r="D485" s="15"/>
      <c r="E485" s="15"/>
      <c r="F485" s="15"/>
      <c r="G485" s="387"/>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c r="AG485" s="15"/>
      <c r="AH485" s="15"/>
    </row>
    <row r="486" ht="16.5" customHeight="1">
      <c r="A486" s="15"/>
      <c r="B486" s="15"/>
      <c r="C486" s="21"/>
      <c r="D486" s="15"/>
      <c r="E486" s="15"/>
      <c r="F486" s="15"/>
      <c r="G486" s="387"/>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c r="AG486" s="15"/>
      <c r="AH486" s="15"/>
    </row>
    <row r="487" ht="16.5" customHeight="1">
      <c r="A487" s="15"/>
      <c r="B487" s="15"/>
      <c r="C487" s="21"/>
      <c r="D487" s="15"/>
      <c r="E487" s="15"/>
      <c r="F487" s="15"/>
      <c r="G487" s="387"/>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c r="AG487" s="15"/>
      <c r="AH487" s="15"/>
    </row>
    <row r="488" ht="16.5" customHeight="1">
      <c r="A488" s="15"/>
      <c r="B488" s="15"/>
      <c r="C488" s="21"/>
      <c r="D488" s="15"/>
      <c r="E488" s="15"/>
      <c r="F488" s="15"/>
      <c r="G488" s="387"/>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c r="AG488" s="15"/>
      <c r="AH488" s="15"/>
    </row>
    <row r="489" ht="16.5" customHeight="1">
      <c r="A489" s="15"/>
      <c r="B489" s="15"/>
      <c r="C489" s="21"/>
      <c r="D489" s="15"/>
      <c r="E489" s="15"/>
      <c r="F489" s="15"/>
      <c r="G489" s="387"/>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c r="AG489" s="15"/>
      <c r="AH489" s="15"/>
    </row>
    <row r="490" ht="16.5" customHeight="1">
      <c r="A490" s="15"/>
      <c r="B490" s="15"/>
      <c r="C490" s="21"/>
      <c r="D490" s="15"/>
      <c r="E490" s="15"/>
      <c r="F490" s="15"/>
      <c r="G490" s="387"/>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c r="AG490" s="15"/>
      <c r="AH490" s="15"/>
    </row>
    <row r="491" ht="16.5" customHeight="1">
      <c r="A491" s="15"/>
      <c r="B491" s="15"/>
      <c r="C491" s="21"/>
      <c r="D491" s="15"/>
      <c r="E491" s="15"/>
      <c r="F491" s="15"/>
      <c r="G491" s="387"/>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c r="AG491" s="15"/>
      <c r="AH491" s="15"/>
    </row>
    <row r="492" ht="16.5" customHeight="1">
      <c r="A492" s="15"/>
      <c r="B492" s="15"/>
      <c r="C492" s="21"/>
      <c r="D492" s="15"/>
      <c r="E492" s="15"/>
      <c r="F492" s="15"/>
      <c r="G492" s="387"/>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c r="AG492" s="15"/>
      <c r="AH492" s="15"/>
    </row>
    <row r="493" ht="16.5" customHeight="1">
      <c r="A493" s="15"/>
      <c r="B493" s="15"/>
      <c r="C493" s="21"/>
      <c r="D493" s="15"/>
      <c r="E493" s="15"/>
      <c r="F493" s="15"/>
      <c r="G493" s="387"/>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c r="AG493" s="15"/>
      <c r="AH493" s="15"/>
    </row>
    <row r="494" ht="16.5" customHeight="1">
      <c r="A494" s="15"/>
      <c r="B494" s="15"/>
      <c r="C494" s="21"/>
      <c r="D494" s="15"/>
      <c r="E494" s="15"/>
      <c r="F494" s="15"/>
      <c r="G494" s="387"/>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c r="AG494" s="15"/>
      <c r="AH494" s="15"/>
    </row>
    <row r="495" ht="16.5" customHeight="1">
      <c r="A495" s="15"/>
      <c r="B495" s="15"/>
      <c r="C495" s="21"/>
      <c r="D495" s="15"/>
      <c r="E495" s="15"/>
      <c r="F495" s="15"/>
      <c r="G495" s="387"/>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c r="AG495" s="15"/>
      <c r="AH495" s="15"/>
    </row>
    <row r="496" ht="16.5" customHeight="1">
      <c r="A496" s="15"/>
      <c r="B496" s="15"/>
      <c r="C496" s="21"/>
      <c r="D496" s="15"/>
      <c r="E496" s="15"/>
      <c r="F496" s="15"/>
      <c r="G496" s="387"/>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c r="AG496" s="15"/>
      <c r="AH496" s="15"/>
    </row>
    <row r="497" ht="16.5" customHeight="1">
      <c r="A497" s="15"/>
      <c r="B497" s="15"/>
      <c r="C497" s="21"/>
      <c r="D497" s="15"/>
      <c r="E497" s="15"/>
      <c r="F497" s="15"/>
      <c r="G497" s="387"/>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c r="AG497" s="15"/>
      <c r="AH497" s="15"/>
    </row>
    <row r="498" ht="16.5" customHeight="1">
      <c r="A498" s="15"/>
      <c r="B498" s="15"/>
      <c r="C498" s="21"/>
      <c r="D498" s="15"/>
      <c r="E498" s="15"/>
      <c r="F498" s="15"/>
      <c r="G498" s="387"/>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c r="AG498" s="15"/>
      <c r="AH498" s="15"/>
    </row>
    <row r="499" ht="16.5" customHeight="1">
      <c r="A499" s="15"/>
      <c r="B499" s="15"/>
      <c r="C499" s="21"/>
      <c r="D499" s="15"/>
      <c r="E499" s="15"/>
      <c r="F499" s="15"/>
      <c r="G499" s="387"/>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c r="AG499" s="15"/>
      <c r="AH499" s="15"/>
    </row>
    <row r="500" ht="16.5" customHeight="1">
      <c r="A500" s="15"/>
      <c r="B500" s="15"/>
      <c r="C500" s="21"/>
      <c r="D500" s="15"/>
      <c r="E500" s="15"/>
      <c r="F500" s="15"/>
      <c r="G500" s="387"/>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c r="AG500" s="15"/>
      <c r="AH500" s="15"/>
    </row>
    <row r="501" ht="16.5" customHeight="1">
      <c r="A501" s="15"/>
      <c r="B501" s="15"/>
      <c r="C501" s="21"/>
      <c r="D501" s="15"/>
      <c r="E501" s="15"/>
      <c r="F501" s="15"/>
      <c r="G501" s="387"/>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c r="AG501" s="15"/>
      <c r="AH501" s="15"/>
    </row>
    <row r="502" ht="16.5" customHeight="1">
      <c r="A502" s="15"/>
      <c r="B502" s="15"/>
      <c r="C502" s="21"/>
      <c r="D502" s="15"/>
      <c r="E502" s="15"/>
      <c r="F502" s="15"/>
      <c r="G502" s="387"/>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c r="AG502" s="15"/>
      <c r="AH502" s="15"/>
    </row>
    <row r="503" ht="16.5" customHeight="1">
      <c r="A503" s="15"/>
      <c r="B503" s="15"/>
      <c r="C503" s="21"/>
      <c r="D503" s="15"/>
      <c r="E503" s="15"/>
      <c r="F503" s="15"/>
      <c r="G503" s="387"/>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c r="AG503" s="15"/>
      <c r="AH503" s="15"/>
    </row>
    <row r="504" ht="16.5" customHeight="1">
      <c r="A504" s="15"/>
      <c r="B504" s="15"/>
      <c r="C504" s="21"/>
      <c r="D504" s="15"/>
      <c r="E504" s="15"/>
      <c r="F504" s="15"/>
      <c r="G504" s="387"/>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c r="AG504" s="15"/>
      <c r="AH504" s="15"/>
    </row>
    <row r="505" ht="16.5" customHeight="1">
      <c r="A505" s="15"/>
      <c r="B505" s="15"/>
      <c r="C505" s="21"/>
      <c r="D505" s="15"/>
      <c r="E505" s="15"/>
      <c r="F505" s="15"/>
      <c r="G505" s="387"/>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c r="AG505" s="15"/>
      <c r="AH505" s="15"/>
    </row>
    <row r="506" ht="16.5" customHeight="1">
      <c r="A506" s="15"/>
      <c r="B506" s="15"/>
      <c r="C506" s="21"/>
      <c r="D506" s="15"/>
      <c r="E506" s="15"/>
      <c r="F506" s="15"/>
      <c r="G506" s="387"/>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c r="AG506" s="15"/>
      <c r="AH506" s="15"/>
    </row>
    <row r="507" ht="16.5" customHeight="1">
      <c r="A507" s="15"/>
      <c r="B507" s="15"/>
      <c r="C507" s="21"/>
      <c r="D507" s="15"/>
      <c r="E507" s="15"/>
      <c r="F507" s="15"/>
      <c r="G507" s="387"/>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c r="AG507" s="15"/>
      <c r="AH507" s="15"/>
    </row>
    <row r="508" ht="16.5" customHeight="1">
      <c r="A508" s="15"/>
      <c r="B508" s="15"/>
      <c r="C508" s="21"/>
      <c r="D508" s="15"/>
      <c r="E508" s="15"/>
      <c r="F508" s="15"/>
      <c r="G508" s="387"/>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c r="AG508" s="15"/>
      <c r="AH508" s="15"/>
    </row>
    <row r="509" ht="16.5" customHeight="1">
      <c r="A509" s="15"/>
      <c r="B509" s="15"/>
      <c r="C509" s="21"/>
      <c r="D509" s="15"/>
      <c r="E509" s="15"/>
      <c r="F509" s="15"/>
      <c r="G509" s="387"/>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c r="AG509" s="15"/>
      <c r="AH509" s="15"/>
    </row>
    <row r="510" ht="16.5" customHeight="1">
      <c r="A510" s="15"/>
      <c r="B510" s="15"/>
      <c r="C510" s="21"/>
      <c r="D510" s="15"/>
      <c r="E510" s="15"/>
      <c r="F510" s="15"/>
      <c r="G510" s="387"/>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c r="AG510" s="15"/>
      <c r="AH510" s="15"/>
    </row>
    <row r="511" ht="16.5" customHeight="1">
      <c r="A511" s="15"/>
      <c r="B511" s="15"/>
      <c r="C511" s="21"/>
      <c r="D511" s="15"/>
      <c r="E511" s="15"/>
      <c r="F511" s="15"/>
      <c r="G511" s="387"/>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c r="AG511" s="15"/>
      <c r="AH511" s="15"/>
    </row>
    <row r="512" ht="16.5" customHeight="1">
      <c r="A512" s="15"/>
      <c r="B512" s="15"/>
      <c r="C512" s="21"/>
      <c r="D512" s="15"/>
      <c r="E512" s="15"/>
      <c r="F512" s="15"/>
      <c r="G512" s="387"/>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c r="AG512" s="15"/>
      <c r="AH512" s="15"/>
    </row>
    <row r="513" ht="16.5" customHeight="1">
      <c r="A513" s="15"/>
      <c r="B513" s="15"/>
      <c r="C513" s="21"/>
      <c r="D513" s="15"/>
      <c r="E513" s="15"/>
      <c r="F513" s="15"/>
      <c r="G513" s="387"/>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c r="AG513" s="15"/>
      <c r="AH513" s="15"/>
    </row>
    <row r="514" ht="16.5" customHeight="1">
      <c r="A514" s="15"/>
      <c r="B514" s="15"/>
      <c r="C514" s="21"/>
      <c r="D514" s="15"/>
      <c r="E514" s="15"/>
      <c r="F514" s="15"/>
      <c r="G514" s="387"/>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c r="AG514" s="15"/>
      <c r="AH514" s="15"/>
    </row>
    <row r="515" ht="16.5" customHeight="1">
      <c r="A515" s="15"/>
      <c r="B515" s="15"/>
      <c r="C515" s="21"/>
      <c r="D515" s="15"/>
      <c r="E515" s="15"/>
      <c r="F515" s="15"/>
      <c r="G515" s="387"/>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c r="AG515" s="15"/>
      <c r="AH515" s="15"/>
    </row>
    <row r="516" ht="16.5" customHeight="1">
      <c r="A516" s="15"/>
      <c r="B516" s="15"/>
      <c r="C516" s="21"/>
      <c r="D516" s="15"/>
      <c r="E516" s="15"/>
      <c r="F516" s="15"/>
      <c r="G516" s="387"/>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c r="AG516" s="15"/>
      <c r="AH516" s="15"/>
    </row>
    <row r="517" ht="16.5" customHeight="1">
      <c r="A517" s="15"/>
      <c r="B517" s="15"/>
      <c r="C517" s="21"/>
      <c r="D517" s="15"/>
      <c r="E517" s="15"/>
      <c r="F517" s="15"/>
      <c r="G517" s="387"/>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c r="AG517" s="15"/>
      <c r="AH517" s="15"/>
    </row>
    <row r="518" ht="16.5" customHeight="1">
      <c r="A518" s="15"/>
      <c r="B518" s="15"/>
      <c r="C518" s="21"/>
      <c r="D518" s="15"/>
      <c r="E518" s="15"/>
      <c r="F518" s="15"/>
      <c r="G518" s="387"/>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c r="AG518" s="15"/>
      <c r="AH518" s="15"/>
    </row>
    <row r="519" ht="16.5" customHeight="1">
      <c r="A519" s="15"/>
      <c r="B519" s="15"/>
      <c r="C519" s="21"/>
      <c r="D519" s="15"/>
      <c r="E519" s="15"/>
      <c r="F519" s="15"/>
      <c r="G519" s="387"/>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c r="AG519" s="15"/>
      <c r="AH519" s="15"/>
    </row>
    <row r="520" ht="16.5" customHeight="1">
      <c r="A520" s="15"/>
      <c r="B520" s="15"/>
      <c r="C520" s="21"/>
      <c r="D520" s="15"/>
      <c r="E520" s="15"/>
      <c r="F520" s="15"/>
      <c r="G520" s="387"/>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c r="AG520" s="15"/>
      <c r="AH520" s="15"/>
    </row>
    <row r="521" ht="16.5" customHeight="1">
      <c r="A521" s="15"/>
      <c r="B521" s="15"/>
      <c r="C521" s="21"/>
      <c r="D521" s="15"/>
      <c r="E521" s="15"/>
      <c r="F521" s="15"/>
      <c r="G521" s="387"/>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c r="AG521" s="15"/>
      <c r="AH521" s="15"/>
    </row>
    <row r="522" ht="16.5" customHeight="1">
      <c r="A522" s="15"/>
      <c r="B522" s="15"/>
      <c r="C522" s="21"/>
      <c r="D522" s="15"/>
      <c r="E522" s="15"/>
      <c r="F522" s="15"/>
      <c r="G522" s="387"/>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c r="AG522" s="15"/>
      <c r="AH522" s="15"/>
    </row>
    <row r="523" ht="16.5" customHeight="1">
      <c r="A523" s="15"/>
      <c r="B523" s="15"/>
      <c r="C523" s="21"/>
      <c r="D523" s="15"/>
      <c r="E523" s="15"/>
      <c r="F523" s="15"/>
      <c r="G523" s="387"/>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c r="AG523" s="15"/>
      <c r="AH523" s="15"/>
    </row>
    <row r="524" ht="16.5" customHeight="1">
      <c r="A524" s="15"/>
      <c r="B524" s="15"/>
      <c r="C524" s="21"/>
      <c r="D524" s="15"/>
      <c r="E524" s="15"/>
      <c r="F524" s="15"/>
      <c r="G524" s="387"/>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c r="AG524" s="15"/>
      <c r="AH524" s="15"/>
    </row>
    <row r="525" ht="16.5" customHeight="1">
      <c r="A525" s="15"/>
      <c r="B525" s="15"/>
      <c r="C525" s="21"/>
      <c r="D525" s="15"/>
      <c r="E525" s="15"/>
      <c r="F525" s="15"/>
      <c r="G525" s="387"/>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c r="AG525" s="15"/>
      <c r="AH525" s="15"/>
    </row>
    <row r="526" ht="16.5" customHeight="1">
      <c r="A526" s="15"/>
      <c r="B526" s="15"/>
      <c r="C526" s="21"/>
      <c r="D526" s="15"/>
      <c r="E526" s="15"/>
      <c r="F526" s="15"/>
      <c r="G526" s="387"/>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c r="AG526" s="15"/>
      <c r="AH526" s="15"/>
    </row>
    <row r="527" ht="16.5" customHeight="1">
      <c r="A527" s="15"/>
      <c r="B527" s="15"/>
      <c r="C527" s="21"/>
      <c r="D527" s="15"/>
      <c r="E527" s="15"/>
      <c r="F527" s="15"/>
      <c r="G527" s="387"/>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c r="AG527" s="15"/>
      <c r="AH527" s="15"/>
    </row>
    <row r="528" ht="16.5" customHeight="1">
      <c r="A528" s="15"/>
      <c r="B528" s="15"/>
      <c r="C528" s="21"/>
      <c r="D528" s="15"/>
      <c r="E528" s="15"/>
      <c r="F528" s="15"/>
      <c r="G528" s="387"/>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c r="AG528" s="15"/>
      <c r="AH528" s="15"/>
    </row>
    <row r="529" ht="16.5" customHeight="1">
      <c r="A529" s="15"/>
      <c r="B529" s="15"/>
      <c r="C529" s="21"/>
      <c r="D529" s="15"/>
      <c r="E529" s="15"/>
      <c r="F529" s="15"/>
      <c r="G529" s="387"/>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c r="AG529" s="15"/>
      <c r="AH529" s="15"/>
    </row>
    <row r="530" ht="16.5" customHeight="1">
      <c r="A530" s="15"/>
      <c r="B530" s="15"/>
      <c r="C530" s="21"/>
      <c r="D530" s="15"/>
      <c r="E530" s="15"/>
      <c r="F530" s="15"/>
      <c r="G530" s="387"/>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c r="AG530" s="15"/>
      <c r="AH530" s="15"/>
    </row>
    <row r="531" ht="16.5" customHeight="1">
      <c r="A531" s="15"/>
      <c r="B531" s="15"/>
      <c r="C531" s="21"/>
      <c r="D531" s="15"/>
      <c r="E531" s="15"/>
      <c r="F531" s="15"/>
      <c r="G531" s="387"/>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c r="AG531" s="15"/>
      <c r="AH531" s="15"/>
    </row>
    <row r="532" ht="16.5" customHeight="1">
      <c r="A532" s="15"/>
      <c r="B532" s="15"/>
      <c r="C532" s="21"/>
      <c r="D532" s="15"/>
      <c r="E532" s="15"/>
      <c r="F532" s="15"/>
      <c r="G532" s="387"/>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c r="AG532" s="15"/>
      <c r="AH532" s="15"/>
    </row>
    <row r="533" ht="16.5" customHeight="1">
      <c r="A533" s="15"/>
      <c r="B533" s="15"/>
      <c r="C533" s="21"/>
      <c r="D533" s="15"/>
      <c r="E533" s="15"/>
      <c r="F533" s="15"/>
      <c r="G533" s="387"/>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c r="AG533" s="15"/>
      <c r="AH533" s="15"/>
    </row>
    <row r="534" ht="16.5" customHeight="1">
      <c r="A534" s="15"/>
      <c r="B534" s="15"/>
      <c r="C534" s="21"/>
      <c r="D534" s="15"/>
      <c r="E534" s="15"/>
      <c r="F534" s="15"/>
      <c r="G534" s="387"/>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c r="AG534" s="15"/>
      <c r="AH534" s="15"/>
    </row>
    <row r="535" ht="16.5" customHeight="1">
      <c r="A535" s="15"/>
      <c r="B535" s="15"/>
      <c r="C535" s="21"/>
      <c r="D535" s="15"/>
      <c r="E535" s="15"/>
      <c r="F535" s="15"/>
      <c r="G535" s="387"/>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c r="AG535" s="15"/>
      <c r="AH535" s="15"/>
    </row>
    <row r="536" ht="16.5" customHeight="1">
      <c r="A536" s="15"/>
      <c r="B536" s="15"/>
      <c r="C536" s="21"/>
      <c r="D536" s="15"/>
      <c r="E536" s="15"/>
      <c r="F536" s="15"/>
      <c r="G536" s="387"/>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c r="AG536" s="15"/>
      <c r="AH536" s="15"/>
    </row>
    <row r="537" ht="16.5" customHeight="1">
      <c r="A537" s="15"/>
      <c r="B537" s="15"/>
      <c r="C537" s="21"/>
      <c r="D537" s="15"/>
      <c r="E537" s="15"/>
      <c r="F537" s="15"/>
      <c r="G537" s="387"/>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c r="AG537" s="15"/>
      <c r="AH537" s="15"/>
    </row>
    <row r="538" ht="16.5" customHeight="1">
      <c r="A538" s="15"/>
      <c r="B538" s="15"/>
      <c r="C538" s="21"/>
      <c r="D538" s="15"/>
      <c r="E538" s="15"/>
      <c r="F538" s="15"/>
      <c r="G538" s="387"/>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c r="AG538" s="15"/>
      <c r="AH538" s="15"/>
    </row>
    <row r="539" ht="16.5" customHeight="1">
      <c r="A539" s="15"/>
      <c r="B539" s="15"/>
      <c r="C539" s="21"/>
      <c r="D539" s="15"/>
      <c r="E539" s="15"/>
      <c r="F539" s="15"/>
      <c r="G539" s="387"/>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c r="AG539" s="15"/>
      <c r="AH539" s="15"/>
    </row>
    <row r="540" ht="16.5" customHeight="1">
      <c r="A540" s="15"/>
      <c r="B540" s="15"/>
      <c r="C540" s="21"/>
      <c r="D540" s="15"/>
      <c r="E540" s="15"/>
      <c r="F540" s="15"/>
      <c r="G540" s="387"/>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c r="AG540" s="15"/>
      <c r="AH540" s="15"/>
    </row>
    <row r="541" ht="16.5" customHeight="1">
      <c r="A541" s="15"/>
      <c r="B541" s="15"/>
      <c r="C541" s="21"/>
      <c r="D541" s="15"/>
      <c r="E541" s="15"/>
      <c r="F541" s="15"/>
      <c r="G541" s="387"/>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c r="AG541" s="15"/>
      <c r="AH541" s="15"/>
    </row>
    <row r="542" ht="16.5" customHeight="1">
      <c r="A542" s="15"/>
      <c r="B542" s="15"/>
      <c r="C542" s="21"/>
      <c r="D542" s="15"/>
      <c r="E542" s="15"/>
      <c r="F542" s="15"/>
      <c r="G542" s="387"/>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c r="AG542" s="15"/>
      <c r="AH542" s="15"/>
    </row>
    <row r="543" ht="16.5" customHeight="1">
      <c r="A543" s="15"/>
      <c r="B543" s="15"/>
      <c r="C543" s="21"/>
      <c r="D543" s="15"/>
      <c r="E543" s="15"/>
      <c r="F543" s="15"/>
      <c r="G543" s="387"/>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c r="AG543" s="15"/>
      <c r="AH543" s="15"/>
    </row>
    <row r="544" ht="16.5" customHeight="1">
      <c r="A544" s="15"/>
      <c r="B544" s="15"/>
      <c r="C544" s="21"/>
      <c r="D544" s="15"/>
      <c r="E544" s="15"/>
      <c r="F544" s="15"/>
      <c r="G544" s="387"/>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c r="AG544" s="15"/>
      <c r="AH544" s="15"/>
    </row>
    <row r="545" ht="16.5" customHeight="1">
      <c r="A545" s="15"/>
      <c r="B545" s="15"/>
      <c r="C545" s="21"/>
      <c r="D545" s="15"/>
      <c r="E545" s="15"/>
      <c r="F545" s="15"/>
      <c r="G545" s="387"/>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c r="AG545" s="15"/>
      <c r="AH545" s="15"/>
    </row>
    <row r="546" ht="16.5" customHeight="1">
      <c r="A546" s="15"/>
      <c r="B546" s="15"/>
      <c r="C546" s="21"/>
      <c r="D546" s="15"/>
      <c r="E546" s="15"/>
      <c r="F546" s="15"/>
      <c r="G546" s="387"/>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c r="AG546" s="15"/>
      <c r="AH546" s="15"/>
    </row>
    <row r="547" ht="16.5" customHeight="1">
      <c r="A547" s="15"/>
      <c r="B547" s="15"/>
      <c r="C547" s="21"/>
      <c r="D547" s="15"/>
      <c r="E547" s="15"/>
      <c r="F547" s="15"/>
      <c r="G547" s="387"/>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c r="AG547" s="15"/>
      <c r="AH547" s="15"/>
    </row>
    <row r="548" ht="16.5" customHeight="1">
      <c r="A548" s="15"/>
      <c r="B548" s="15"/>
      <c r="C548" s="21"/>
      <c r="D548" s="15"/>
      <c r="E548" s="15"/>
      <c r="F548" s="15"/>
      <c r="G548" s="387"/>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c r="AG548" s="15"/>
      <c r="AH548" s="15"/>
    </row>
    <row r="549" ht="16.5" customHeight="1">
      <c r="A549" s="15"/>
      <c r="B549" s="15"/>
      <c r="C549" s="21"/>
      <c r="D549" s="15"/>
      <c r="E549" s="15"/>
      <c r="F549" s="15"/>
      <c r="G549" s="387"/>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c r="AG549" s="15"/>
      <c r="AH549" s="15"/>
    </row>
    <row r="550" ht="16.5" customHeight="1">
      <c r="A550" s="15"/>
      <c r="B550" s="15"/>
      <c r="C550" s="21"/>
      <c r="D550" s="15"/>
      <c r="E550" s="15"/>
      <c r="F550" s="15"/>
      <c r="G550" s="387"/>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c r="AG550" s="15"/>
      <c r="AH550" s="15"/>
    </row>
    <row r="551" ht="16.5" customHeight="1">
      <c r="A551" s="15"/>
      <c r="B551" s="15"/>
      <c r="C551" s="21"/>
      <c r="D551" s="15"/>
      <c r="E551" s="15"/>
      <c r="F551" s="15"/>
      <c r="G551" s="387"/>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c r="AG551" s="15"/>
      <c r="AH551" s="15"/>
    </row>
    <row r="552" ht="16.5" customHeight="1">
      <c r="A552" s="15"/>
      <c r="B552" s="15"/>
      <c r="C552" s="21"/>
      <c r="D552" s="15"/>
      <c r="E552" s="15"/>
      <c r="F552" s="15"/>
      <c r="G552" s="387"/>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c r="AG552" s="15"/>
      <c r="AH552" s="15"/>
    </row>
    <row r="553" ht="16.5" customHeight="1">
      <c r="A553" s="15"/>
      <c r="B553" s="15"/>
      <c r="C553" s="21"/>
      <c r="D553" s="15"/>
      <c r="E553" s="15"/>
      <c r="F553" s="15"/>
      <c r="G553" s="387"/>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c r="AG553" s="15"/>
      <c r="AH553" s="15"/>
    </row>
    <row r="554" ht="16.5" customHeight="1">
      <c r="A554" s="15"/>
      <c r="B554" s="15"/>
      <c r="C554" s="21"/>
      <c r="D554" s="15"/>
      <c r="E554" s="15"/>
      <c r="F554" s="15"/>
      <c r="G554" s="387"/>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c r="AG554" s="15"/>
      <c r="AH554" s="15"/>
    </row>
    <row r="555" ht="16.5" customHeight="1">
      <c r="A555" s="15"/>
      <c r="B555" s="15"/>
      <c r="C555" s="21"/>
      <c r="D555" s="15"/>
      <c r="E555" s="15"/>
      <c r="F555" s="15"/>
      <c r="G555" s="387"/>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c r="AG555" s="15"/>
      <c r="AH555" s="15"/>
    </row>
    <row r="556" ht="16.5" customHeight="1">
      <c r="A556" s="15"/>
      <c r="B556" s="15"/>
      <c r="C556" s="21"/>
      <c r="D556" s="15"/>
      <c r="E556" s="15"/>
      <c r="F556" s="15"/>
      <c r="G556" s="387"/>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c r="AG556" s="15"/>
      <c r="AH556" s="15"/>
    </row>
    <row r="557" ht="16.5" customHeight="1">
      <c r="A557" s="15"/>
      <c r="B557" s="15"/>
      <c r="C557" s="21"/>
      <c r="D557" s="15"/>
      <c r="E557" s="15"/>
      <c r="F557" s="15"/>
      <c r="G557" s="387"/>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c r="AG557" s="15"/>
      <c r="AH557" s="15"/>
    </row>
    <row r="558" ht="16.5" customHeight="1">
      <c r="A558" s="15"/>
      <c r="B558" s="15"/>
      <c r="C558" s="21"/>
      <c r="D558" s="15"/>
      <c r="E558" s="15"/>
      <c r="F558" s="15"/>
      <c r="G558" s="387"/>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c r="AG558" s="15"/>
      <c r="AH558" s="15"/>
    </row>
    <row r="559" ht="16.5" customHeight="1">
      <c r="A559" s="15"/>
      <c r="B559" s="15"/>
      <c r="C559" s="21"/>
      <c r="D559" s="15"/>
      <c r="E559" s="15"/>
      <c r="F559" s="15"/>
      <c r="G559" s="387"/>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c r="AG559" s="15"/>
      <c r="AH559" s="15"/>
    </row>
    <row r="560" ht="16.5" customHeight="1">
      <c r="A560" s="15"/>
      <c r="B560" s="15"/>
      <c r="C560" s="21"/>
      <c r="D560" s="15"/>
      <c r="E560" s="15"/>
      <c r="F560" s="15"/>
      <c r="G560" s="387"/>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c r="AG560" s="15"/>
      <c r="AH560" s="15"/>
    </row>
    <row r="561" ht="16.5" customHeight="1">
      <c r="A561" s="15"/>
      <c r="B561" s="15"/>
      <c r="C561" s="21"/>
      <c r="D561" s="15"/>
      <c r="E561" s="15"/>
      <c r="F561" s="15"/>
      <c r="G561" s="387"/>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c r="AG561" s="15"/>
      <c r="AH561" s="15"/>
    </row>
    <row r="562" ht="16.5" customHeight="1">
      <c r="A562" s="15"/>
      <c r="B562" s="15"/>
      <c r="C562" s="21"/>
      <c r="D562" s="15"/>
      <c r="E562" s="15"/>
      <c r="F562" s="15"/>
      <c r="G562" s="387"/>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c r="AG562" s="15"/>
      <c r="AH562" s="15"/>
    </row>
    <row r="563" ht="16.5" customHeight="1">
      <c r="A563" s="15"/>
      <c r="B563" s="15"/>
      <c r="C563" s="21"/>
      <c r="D563" s="15"/>
      <c r="E563" s="15"/>
      <c r="F563" s="15"/>
      <c r="G563" s="387"/>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c r="AG563" s="15"/>
      <c r="AH563" s="15"/>
    </row>
    <row r="564" ht="16.5" customHeight="1">
      <c r="A564" s="15"/>
      <c r="B564" s="15"/>
      <c r="C564" s="21"/>
      <c r="D564" s="15"/>
      <c r="E564" s="15"/>
      <c r="F564" s="15"/>
      <c r="G564" s="387"/>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c r="AG564" s="15"/>
      <c r="AH564" s="15"/>
    </row>
    <row r="565" ht="16.5" customHeight="1">
      <c r="A565" s="15"/>
      <c r="B565" s="15"/>
      <c r="C565" s="21"/>
      <c r="D565" s="15"/>
      <c r="E565" s="15"/>
      <c r="F565" s="15"/>
      <c r="G565" s="387"/>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c r="AG565" s="15"/>
      <c r="AH565" s="15"/>
    </row>
    <row r="566" ht="16.5" customHeight="1">
      <c r="A566" s="15"/>
      <c r="B566" s="15"/>
      <c r="C566" s="21"/>
      <c r="D566" s="15"/>
      <c r="E566" s="15"/>
      <c r="F566" s="15"/>
      <c r="G566" s="387"/>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c r="AG566" s="15"/>
      <c r="AH566" s="15"/>
    </row>
    <row r="567" ht="16.5" customHeight="1">
      <c r="A567" s="15"/>
      <c r="B567" s="15"/>
      <c r="C567" s="21"/>
      <c r="D567" s="15"/>
      <c r="E567" s="15"/>
      <c r="F567" s="15"/>
      <c r="G567" s="387"/>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c r="AG567" s="15"/>
      <c r="AH567" s="15"/>
    </row>
    <row r="568" ht="16.5" customHeight="1">
      <c r="A568" s="15"/>
      <c r="B568" s="15"/>
      <c r="C568" s="21"/>
      <c r="D568" s="15"/>
      <c r="E568" s="15"/>
      <c r="F568" s="15"/>
      <c r="G568" s="387"/>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c r="AG568" s="15"/>
      <c r="AH568" s="15"/>
    </row>
    <row r="569" ht="16.5" customHeight="1">
      <c r="A569" s="15"/>
      <c r="B569" s="15"/>
      <c r="C569" s="21"/>
      <c r="D569" s="15"/>
      <c r="E569" s="15"/>
      <c r="F569" s="15"/>
      <c r="G569" s="387"/>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c r="AG569" s="15"/>
      <c r="AH569" s="15"/>
    </row>
    <row r="570" ht="16.5" customHeight="1">
      <c r="A570" s="15"/>
      <c r="B570" s="15"/>
      <c r="C570" s="21"/>
      <c r="D570" s="15"/>
      <c r="E570" s="15"/>
      <c r="F570" s="15"/>
      <c r="G570" s="387"/>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c r="AG570" s="15"/>
      <c r="AH570" s="15"/>
    </row>
    <row r="571" ht="16.5" customHeight="1">
      <c r="A571" s="15"/>
      <c r="B571" s="15"/>
      <c r="C571" s="21"/>
      <c r="D571" s="15"/>
      <c r="E571" s="15"/>
      <c r="F571" s="15"/>
      <c r="G571" s="387"/>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c r="AG571" s="15"/>
      <c r="AH571" s="15"/>
    </row>
    <row r="572" ht="16.5" customHeight="1">
      <c r="A572" s="15"/>
      <c r="B572" s="15"/>
      <c r="C572" s="21"/>
      <c r="D572" s="15"/>
      <c r="E572" s="15"/>
      <c r="F572" s="15"/>
      <c r="G572" s="387"/>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c r="AG572" s="15"/>
      <c r="AH572" s="15"/>
    </row>
    <row r="573" ht="16.5" customHeight="1">
      <c r="A573" s="15"/>
      <c r="B573" s="15"/>
      <c r="C573" s="21"/>
      <c r="D573" s="15"/>
      <c r="E573" s="15"/>
      <c r="F573" s="15"/>
      <c r="G573" s="387"/>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c r="AG573" s="15"/>
      <c r="AH573" s="15"/>
    </row>
    <row r="574" ht="16.5" customHeight="1">
      <c r="A574" s="15"/>
      <c r="B574" s="15"/>
      <c r="C574" s="21"/>
      <c r="D574" s="15"/>
      <c r="E574" s="15"/>
      <c r="F574" s="15"/>
      <c r="G574" s="387"/>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c r="AG574" s="15"/>
      <c r="AH574" s="15"/>
    </row>
    <row r="575" ht="16.5" customHeight="1">
      <c r="A575" s="15"/>
      <c r="B575" s="15"/>
      <c r="C575" s="21"/>
      <c r="D575" s="15"/>
      <c r="E575" s="15"/>
      <c r="F575" s="15"/>
      <c r="G575" s="387"/>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c r="AG575" s="15"/>
      <c r="AH575" s="15"/>
    </row>
    <row r="576" ht="16.5" customHeight="1">
      <c r="A576" s="15"/>
      <c r="B576" s="15"/>
      <c r="C576" s="21"/>
      <c r="D576" s="15"/>
      <c r="E576" s="15"/>
      <c r="F576" s="15"/>
      <c r="G576" s="387"/>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c r="AG576" s="15"/>
      <c r="AH576" s="15"/>
    </row>
    <row r="577" ht="16.5" customHeight="1">
      <c r="A577" s="15"/>
      <c r="B577" s="15"/>
      <c r="C577" s="21"/>
      <c r="D577" s="15"/>
      <c r="E577" s="15"/>
      <c r="F577" s="15"/>
      <c r="G577" s="387"/>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c r="AG577" s="15"/>
      <c r="AH577" s="15"/>
    </row>
    <row r="578" ht="16.5" customHeight="1">
      <c r="A578" s="15"/>
      <c r="B578" s="15"/>
      <c r="C578" s="21"/>
      <c r="D578" s="15"/>
      <c r="E578" s="15"/>
      <c r="F578" s="15"/>
      <c r="G578" s="387"/>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c r="AG578" s="15"/>
      <c r="AH578" s="15"/>
    </row>
    <row r="579" ht="16.5" customHeight="1">
      <c r="A579" s="15"/>
      <c r="B579" s="15"/>
      <c r="C579" s="21"/>
      <c r="D579" s="15"/>
      <c r="E579" s="15"/>
      <c r="F579" s="15"/>
      <c r="G579" s="387"/>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c r="AG579" s="15"/>
      <c r="AH579" s="15"/>
    </row>
    <row r="580" ht="16.5" customHeight="1">
      <c r="A580" s="15"/>
      <c r="B580" s="15"/>
      <c r="C580" s="21"/>
      <c r="D580" s="15"/>
      <c r="E580" s="15"/>
      <c r="F580" s="15"/>
      <c r="G580" s="387"/>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c r="AG580" s="15"/>
      <c r="AH580" s="15"/>
    </row>
    <row r="581" ht="16.5" customHeight="1">
      <c r="A581" s="15"/>
      <c r="B581" s="15"/>
      <c r="C581" s="21"/>
      <c r="D581" s="15"/>
      <c r="E581" s="15"/>
      <c r="F581" s="15"/>
      <c r="G581" s="387"/>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c r="AG581" s="15"/>
      <c r="AH581" s="15"/>
    </row>
    <row r="582" ht="16.5" customHeight="1">
      <c r="A582" s="15"/>
      <c r="B582" s="15"/>
      <c r="C582" s="21"/>
      <c r="D582" s="15"/>
      <c r="E582" s="15"/>
      <c r="F582" s="15"/>
      <c r="G582" s="387"/>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c r="AG582" s="15"/>
      <c r="AH582" s="15"/>
    </row>
    <row r="583" ht="16.5" customHeight="1">
      <c r="A583" s="15"/>
      <c r="B583" s="15"/>
      <c r="C583" s="21"/>
      <c r="D583" s="15"/>
      <c r="E583" s="15"/>
      <c r="F583" s="15"/>
      <c r="G583" s="387"/>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c r="AG583" s="15"/>
      <c r="AH583" s="15"/>
    </row>
    <row r="584" ht="16.5" customHeight="1">
      <c r="A584" s="15"/>
      <c r="B584" s="15"/>
      <c r="C584" s="21"/>
      <c r="D584" s="15"/>
      <c r="E584" s="15"/>
      <c r="F584" s="15"/>
      <c r="G584" s="387"/>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c r="AG584" s="15"/>
      <c r="AH584" s="15"/>
    </row>
    <row r="585" ht="16.5" customHeight="1">
      <c r="A585" s="15"/>
      <c r="B585" s="15"/>
      <c r="C585" s="21"/>
      <c r="D585" s="15"/>
      <c r="E585" s="15"/>
      <c r="F585" s="15"/>
      <c r="G585" s="387"/>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c r="AG585" s="15"/>
      <c r="AH585" s="15"/>
    </row>
    <row r="586" ht="16.5" customHeight="1">
      <c r="A586" s="15"/>
      <c r="B586" s="15"/>
      <c r="C586" s="21"/>
      <c r="D586" s="15"/>
      <c r="E586" s="15"/>
      <c r="F586" s="15"/>
      <c r="G586" s="387"/>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c r="AG586" s="15"/>
      <c r="AH586" s="15"/>
    </row>
    <row r="587" ht="16.5" customHeight="1">
      <c r="A587" s="15"/>
      <c r="B587" s="15"/>
      <c r="C587" s="21"/>
      <c r="D587" s="15"/>
      <c r="E587" s="15"/>
      <c r="F587" s="15"/>
      <c r="G587" s="387"/>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c r="AG587" s="15"/>
      <c r="AH587" s="15"/>
    </row>
    <row r="588" ht="16.5" customHeight="1">
      <c r="A588" s="15"/>
      <c r="B588" s="15"/>
      <c r="C588" s="21"/>
      <c r="D588" s="15"/>
      <c r="E588" s="15"/>
      <c r="F588" s="15"/>
      <c r="G588" s="387"/>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c r="AG588" s="15"/>
      <c r="AH588" s="15"/>
    </row>
    <row r="589" ht="16.5" customHeight="1">
      <c r="A589" s="15"/>
      <c r="B589" s="15"/>
      <c r="C589" s="21"/>
      <c r="D589" s="15"/>
      <c r="E589" s="15"/>
      <c r="F589" s="15"/>
      <c r="G589" s="387"/>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c r="AG589" s="15"/>
      <c r="AH589" s="15"/>
    </row>
    <row r="590" ht="16.5" customHeight="1">
      <c r="A590" s="15"/>
      <c r="B590" s="15"/>
      <c r="C590" s="21"/>
      <c r="D590" s="15"/>
      <c r="E590" s="15"/>
      <c r="F590" s="15"/>
      <c r="G590" s="387"/>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c r="AG590" s="15"/>
      <c r="AH590" s="15"/>
    </row>
    <row r="591" ht="16.5" customHeight="1">
      <c r="A591" s="15"/>
      <c r="B591" s="15"/>
      <c r="C591" s="21"/>
      <c r="D591" s="15"/>
      <c r="E591" s="15"/>
      <c r="F591" s="15"/>
      <c r="G591" s="387"/>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c r="AG591" s="15"/>
      <c r="AH591" s="15"/>
    </row>
    <row r="592" ht="16.5" customHeight="1">
      <c r="A592" s="15"/>
      <c r="B592" s="15"/>
      <c r="C592" s="21"/>
      <c r="D592" s="15"/>
      <c r="E592" s="15"/>
      <c r="F592" s="15"/>
      <c r="G592" s="387"/>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c r="AG592" s="15"/>
      <c r="AH592" s="15"/>
    </row>
    <row r="593" ht="16.5" customHeight="1">
      <c r="A593" s="15"/>
      <c r="B593" s="15"/>
      <c r="C593" s="21"/>
      <c r="D593" s="15"/>
      <c r="E593" s="15"/>
      <c r="F593" s="15"/>
      <c r="G593" s="387"/>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c r="AG593" s="15"/>
      <c r="AH593" s="15"/>
    </row>
    <row r="594" ht="16.5" customHeight="1">
      <c r="A594" s="15"/>
      <c r="B594" s="15"/>
      <c r="C594" s="21"/>
      <c r="D594" s="15"/>
      <c r="E594" s="15"/>
      <c r="F594" s="15"/>
      <c r="G594" s="387"/>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c r="AG594" s="15"/>
      <c r="AH594" s="15"/>
    </row>
    <row r="595" ht="16.5" customHeight="1">
      <c r="A595" s="15"/>
      <c r="B595" s="15"/>
      <c r="C595" s="21"/>
      <c r="D595" s="15"/>
      <c r="E595" s="15"/>
      <c r="F595" s="15"/>
      <c r="G595" s="387"/>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c r="AG595" s="15"/>
      <c r="AH595" s="15"/>
    </row>
    <row r="596" ht="16.5" customHeight="1">
      <c r="A596" s="15"/>
      <c r="B596" s="15"/>
      <c r="C596" s="21"/>
      <c r="D596" s="15"/>
      <c r="E596" s="15"/>
      <c r="F596" s="15"/>
      <c r="G596" s="387"/>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c r="AG596" s="15"/>
      <c r="AH596" s="15"/>
    </row>
    <row r="597" ht="16.5" customHeight="1">
      <c r="A597" s="15"/>
      <c r="B597" s="15"/>
      <c r="C597" s="21"/>
      <c r="D597" s="15"/>
      <c r="E597" s="15"/>
      <c r="F597" s="15"/>
      <c r="G597" s="387"/>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c r="AG597" s="15"/>
      <c r="AH597" s="15"/>
    </row>
    <row r="598" ht="16.5" customHeight="1">
      <c r="A598" s="15"/>
      <c r="B598" s="15"/>
      <c r="C598" s="21"/>
      <c r="D598" s="15"/>
      <c r="E598" s="15"/>
      <c r="F598" s="15"/>
      <c r="G598" s="387"/>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c r="AG598" s="15"/>
      <c r="AH598" s="15"/>
    </row>
    <row r="599" ht="16.5" customHeight="1">
      <c r="A599" s="15"/>
      <c r="B599" s="15"/>
      <c r="C599" s="21"/>
      <c r="D599" s="15"/>
      <c r="E599" s="15"/>
      <c r="F599" s="15"/>
      <c r="G599" s="387"/>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c r="AG599" s="15"/>
      <c r="AH599" s="15"/>
    </row>
    <row r="600" ht="16.5" customHeight="1">
      <c r="A600" s="15"/>
      <c r="B600" s="15"/>
      <c r="C600" s="21"/>
      <c r="D600" s="15"/>
      <c r="E600" s="15"/>
      <c r="F600" s="15"/>
      <c r="G600" s="387"/>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c r="AG600" s="15"/>
      <c r="AH600" s="15"/>
    </row>
    <row r="601" ht="16.5" customHeight="1">
      <c r="A601" s="15"/>
      <c r="B601" s="15"/>
      <c r="C601" s="21"/>
      <c r="D601" s="15"/>
      <c r="E601" s="15"/>
      <c r="F601" s="15"/>
      <c r="G601" s="387"/>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c r="AG601" s="15"/>
      <c r="AH601" s="15"/>
    </row>
    <row r="602" ht="16.5" customHeight="1">
      <c r="A602" s="15"/>
      <c r="B602" s="15"/>
      <c r="C602" s="21"/>
      <c r="D602" s="15"/>
      <c r="E602" s="15"/>
      <c r="F602" s="15"/>
      <c r="G602" s="387"/>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c r="AG602" s="15"/>
      <c r="AH602" s="15"/>
    </row>
    <row r="603" ht="16.5" customHeight="1">
      <c r="A603" s="15"/>
      <c r="B603" s="15"/>
      <c r="C603" s="21"/>
      <c r="D603" s="15"/>
      <c r="E603" s="15"/>
      <c r="F603" s="15"/>
      <c r="G603" s="387"/>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c r="AG603" s="15"/>
      <c r="AH603" s="15"/>
    </row>
    <row r="604" ht="16.5" customHeight="1">
      <c r="A604" s="15"/>
      <c r="B604" s="15"/>
      <c r="C604" s="21"/>
      <c r="D604" s="15"/>
      <c r="E604" s="15"/>
      <c r="F604" s="15"/>
      <c r="G604" s="387"/>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c r="AG604" s="15"/>
      <c r="AH604" s="15"/>
    </row>
    <row r="605" ht="16.5" customHeight="1">
      <c r="A605" s="15"/>
      <c r="B605" s="15"/>
      <c r="C605" s="21"/>
      <c r="D605" s="15"/>
      <c r="E605" s="15"/>
      <c r="F605" s="15"/>
      <c r="G605" s="387"/>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c r="AG605" s="15"/>
      <c r="AH605" s="15"/>
    </row>
    <row r="606" ht="16.5" customHeight="1">
      <c r="A606" s="15"/>
      <c r="B606" s="15"/>
      <c r="C606" s="21"/>
      <c r="D606" s="15"/>
      <c r="E606" s="15"/>
      <c r="F606" s="15"/>
      <c r="G606" s="387"/>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c r="AG606" s="15"/>
      <c r="AH606" s="15"/>
    </row>
    <row r="607" ht="16.5" customHeight="1">
      <c r="A607" s="15"/>
      <c r="B607" s="15"/>
      <c r="C607" s="21"/>
      <c r="D607" s="15"/>
      <c r="E607" s="15"/>
      <c r="F607" s="15"/>
      <c r="G607" s="387"/>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c r="AG607" s="15"/>
      <c r="AH607" s="15"/>
    </row>
    <row r="608" ht="16.5" customHeight="1">
      <c r="A608" s="15"/>
      <c r="B608" s="15"/>
      <c r="C608" s="21"/>
      <c r="D608" s="15"/>
      <c r="E608" s="15"/>
      <c r="F608" s="15"/>
      <c r="G608" s="387"/>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c r="AG608" s="15"/>
      <c r="AH608" s="15"/>
    </row>
    <row r="609" ht="16.5" customHeight="1">
      <c r="A609" s="15"/>
      <c r="B609" s="15"/>
      <c r="C609" s="21"/>
      <c r="D609" s="15"/>
      <c r="E609" s="15"/>
      <c r="F609" s="15"/>
      <c r="G609" s="387"/>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c r="AG609" s="15"/>
      <c r="AH609" s="15"/>
    </row>
    <row r="610" ht="16.5" customHeight="1">
      <c r="A610" s="15"/>
      <c r="B610" s="15"/>
      <c r="C610" s="21"/>
      <c r="D610" s="15"/>
      <c r="E610" s="15"/>
      <c r="F610" s="15"/>
      <c r="G610" s="387"/>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c r="AG610" s="15"/>
      <c r="AH610" s="15"/>
    </row>
    <row r="611" ht="16.5" customHeight="1">
      <c r="A611" s="15"/>
      <c r="B611" s="15"/>
      <c r="C611" s="21"/>
      <c r="D611" s="15"/>
      <c r="E611" s="15"/>
      <c r="F611" s="15"/>
      <c r="G611" s="387"/>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c r="AG611" s="15"/>
      <c r="AH611" s="15"/>
    </row>
    <row r="612" ht="16.5" customHeight="1">
      <c r="A612" s="15"/>
      <c r="B612" s="15"/>
      <c r="C612" s="21"/>
      <c r="D612" s="15"/>
      <c r="E612" s="15"/>
      <c r="F612" s="15"/>
      <c r="G612" s="387"/>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c r="AG612" s="15"/>
      <c r="AH612" s="15"/>
    </row>
    <row r="613" ht="16.5" customHeight="1">
      <c r="A613" s="15"/>
      <c r="B613" s="15"/>
      <c r="C613" s="21"/>
      <c r="D613" s="15"/>
      <c r="E613" s="15"/>
      <c r="F613" s="15"/>
      <c r="G613" s="387"/>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c r="AG613" s="15"/>
      <c r="AH613" s="15"/>
    </row>
    <row r="614" ht="16.5" customHeight="1">
      <c r="A614" s="15"/>
      <c r="B614" s="15"/>
      <c r="C614" s="21"/>
      <c r="D614" s="15"/>
      <c r="E614" s="15"/>
      <c r="F614" s="15"/>
      <c r="G614" s="387"/>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c r="AG614" s="15"/>
      <c r="AH614" s="15"/>
    </row>
    <row r="615" ht="16.5" customHeight="1">
      <c r="A615" s="15"/>
      <c r="B615" s="15"/>
      <c r="C615" s="21"/>
      <c r="D615" s="15"/>
      <c r="E615" s="15"/>
      <c r="F615" s="15"/>
      <c r="G615" s="387"/>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c r="AG615" s="15"/>
      <c r="AH615" s="15"/>
    </row>
    <row r="616" ht="16.5" customHeight="1">
      <c r="A616" s="15"/>
      <c r="B616" s="15"/>
      <c r="C616" s="21"/>
      <c r="D616" s="15"/>
      <c r="E616" s="15"/>
      <c r="F616" s="15"/>
      <c r="G616" s="387"/>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c r="AG616" s="15"/>
      <c r="AH616" s="15"/>
    </row>
    <row r="617" ht="16.5" customHeight="1">
      <c r="A617" s="15"/>
      <c r="B617" s="15"/>
      <c r="C617" s="21"/>
      <c r="D617" s="15"/>
      <c r="E617" s="15"/>
      <c r="F617" s="15"/>
      <c r="G617" s="387"/>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c r="AG617" s="15"/>
      <c r="AH617" s="15"/>
    </row>
    <row r="618" ht="16.5" customHeight="1">
      <c r="A618" s="15"/>
      <c r="B618" s="15"/>
      <c r="C618" s="21"/>
      <c r="D618" s="15"/>
      <c r="E618" s="15"/>
      <c r="F618" s="15"/>
      <c r="G618" s="387"/>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c r="AG618" s="15"/>
      <c r="AH618" s="15"/>
    </row>
    <row r="619" ht="16.5" customHeight="1">
      <c r="A619" s="15"/>
      <c r="B619" s="15"/>
      <c r="C619" s="21"/>
      <c r="D619" s="15"/>
      <c r="E619" s="15"/>
      <c r="F619" s="15"/>
      <c r="G619" s="387"/>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c r="AG619" s="15"/>
      <c r="AH619" s="15"/>
    </row>
    <row r="620" ht="16.5" customHeight="1">
      <c r="A620" s="15"/>
      <c r="B620" s="15"/>
      <c r="C620" s="21"/>
      <c r="D620" s="15"/>
      <c r="E620" s="15"/>
      <c r="F620" s="15"/>
      <c r="G620" s="387"/>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c r="AG620" s="15"/>
      <c r="AH620" s="15"/>
    </row>
    <row r="621" ht="16.5" customHeight="1">
      <c r="A621" s="15"/>
      <c r="B621" s="15"/>
      <c r="C621" s="21"/>
      <c r="D621" s="15"/>
      <c r="E621" s="15"/>
      <c r="F621" s="15"/>
      <c r="G621" s="387"/>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c r="AG621" s="15"/>
      <c r="AH621" s="15"/>
    </row>
    <row r="622" ht="16.5" customHeight="1">
      <c r="A622" s="15"/>
      <c r="B622" s="15"/>
      <c r="C622" s="21"/>
      <c r="D622" s="15"/>
      <c r="E622" s="15"/>
      <c r="F622" s="15"/>
      <c r="G622" s="387"/>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c r="AG622" s="15"/>
      <c r="AH622" s="15"/>
    </row>
    <row r="623" ht="16.5" customHeight="1">
      <c r="A623" s="15"/>
      <c r="B623" s="15"/>
      <c r="C623" s="21"/>
      <c r="D623" s="15"/>
      <c r="E623" s="15"/>
      <c r="F623" s="15"/>
      <c r="G623" s="387"/>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c r="AG623" s="15"/>
      <c r="AH623" s="15"/>
    </row>
    <row r="624" ht="16.5" customHeight="1">
      <c r="A624" s="15"/>
      <c r="B624" s="15"/>
      <c r="C624" s="21"/>
      <c r="D624" s="15"/>
      <c r="E624" s="15"/>
      <c r="F624" s="15"/>
      <c r="G624" s="387"/>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c r="AG624" s="15"/>
      <c r="AH624" s="15"/>
    </row>
    <row r="625" ht="16.5" customHeight="1">
      <c r="A625" s="15"/>
      <c r="B625" s="15"/>
      <c r="C625" s="21"/>
      <c r="D625" s="15"/>
      <c r="E625" s="15"/>
      <c r="F625" s="15"/>
      <c r="G625" s="387"/>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c r="AG625" s="15"/>
      <c r="AH625" s="15"/>
    </row>
    <row r="626" ht="16.5" customHeight="1">
      <c r="A626" s="15"/>
      <c r="B626" s="15"/>
      <c r="C626" s="21"/>
      <c r="D626" s="15"/>
      <c r="E626" s="15"/>
      <c r="F626" s="15"/>
      <c r="G626" s="387"/>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c r="AG626" s="15"/>
      <c r="AH626" s="15"/>
    </row>
    <row r="627" ht="16.5" customHeight="1">
      <c r="A627" s="15"/>
      <c r="B627" s="15"/>
      <c r="C627" s="21"/>
      <c r="D627" s="15"/>
      <c r="E627" s="15"/>
      <c r="F627" s="15"/>
      <c r="G627" s="387"/>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c r="AG627" s="15"/>
      <c r="AH627" s="15"/>
    </row>
    <row r="628" ht="16.5" customHeight="1">
      <c r="A628" s="15"/>
      <c r="B628" s="15"/>
      <c r="C628" s="21"/>
      <c r="D628" s="15"/>
      <c r="E628" s="15"/>
      <c r="F628" s="15"/>
      <c r="G628" s="387"/>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c r="AG628" s="15"/>
      <c r="AH628" s="15"/>
    </row>
    <row r="629" ht="16.5" customHeight="1">
      <c r="A629" s="15"/>
      <c r="B629" s="15"/>
      <c r="C629" s="21"/>
      <c r="D629" s="15"/>
      <c r="E629" s="15"/>
      <c r="F629" s="15"/>
      <c r="G629" s="387"/>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c r="AG629" s="15"/>
      <c r="AH629" s="15"/>
    </row>
    <row r="630" ht="16.5" customHeight="1">
      <c r="A630" s="15"/>
      <c r="B630" s="15"/>
      <c r="C630" s="21"/>
      <c r="D630" s="15"/>
      <c r="E630" s="15"/>
      <c r="F630" s="15"/>
      <c r="G630" s="387"/>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c r="AG630" s="15"/>
      <c r="AH630" s="15"/>
    </row>
    <row r="631" ht="16.5" customHeight="1">
      <c r="A631" s="15"/>
      <c r="B631" s="15"/>
      <c r="C631" s="21"/>
      <c r="D631" s="15"/>
      <c r="E631" s="15"/>
      <c r="F631" s="15"/>
      <c r="G631" s="387"/>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c r="AG631" s="15"/>
      <c r="AH631" s="15"/>
    </row>
    <row r="632" ht="16.5" customHeight="1">
      <c r="A632" s="15"/>
      <c r="B632" s="15"/>
      <c r="C632" s="21"/>
      <c r="D632" s="15"/>
      <c r="E632" s="15"/>
      <c r="F632" s="15"/>
      <c r="G632" s="387"/>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c r="AG632" s="15"/>
      <c r="AH632" s="15"/>
    </row>
    <row r="633" ht="16.5" customHeight="1">
      <c r="A633" s="15"/>
      <c r="B633" s="15"/>
      <c r="C633" s="21"/>
      <c r="D633" s="15"/>
      <c r="E633" s="15"/>
      <c r="F633" s="15"/>
      <c r="G633" s="387"/>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c r="AG633" s="15"/>
      <c r="AH633" s="15"/>
    </row>
    <row r="634" ht="16.5" customHeight="1">
      <c r="A634" s="15"/>
      <c r="B634" s="15"/>
      <c r="C634" s="21"/>
      <c r="D634" s="15"/>
      <c r="E634" s="15"/>
      <c r="F634" s="15"/>
      <c r="G634" s="387"/>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c r="AG634" s="15"/>
      <c r="AH634" s="15"/>
    </row>
    <row r="635" ht="16.5" customHeight="1">
      <c r="A635" s="15"/>
      <c r="B635" s="15"/>
      <c r="C635" s="21"/>
      <c r="D635" s="15"/>
      <c r="E635" s="15"/>
      <c r="F635" s="15"/>
      <c r="G635" s="387"/>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c r="AG635" s="15"/>
      <c r="AH635" s="15"/>
    </row>
    <row r="636" ht="16.5" customHeight="1">
      <c r="A636" s="15"/>
      <c r="B636" s="15"/>
      <c r="C636" s="21"/>
      <c r="D636" s="15"/>
      <c r="E636" s="15"/>
      <c r="F636" s="15"/>
      <c r="G636" s="387"/>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c r="AG636" s="15"/>
      <c r="AH636" s="15"/>
    </row>
    <row r="637" ht="16.5" customHeight="1">
      <c r="A637" s="15"/>
      <c r="B637" s="15"/>
      <c r="C637" s="21"/>
      <c r="D637" s="15"/>
      <c r="E637" s="15"/>
      <c r="F637" s="15"/>
      <c r="G637" s="387"/>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c r="AG637" s="15"/>
      <c r="AH637" s="15"/>
    </row>
    <row r="638" ht="16.5" customHeight="1">
      <c r="A638" s="15"/>
      <c r="B638" s="15"/>
      <c r="C638" s="21"/>
      <c r="D638" s="15"/>
      <c r="E638" s="15"/>
      <c r="F638" s="15"/>
      <c r="G638" s="387"/>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c r="AG638" s="15"/>
      <c r="AH638" s="15"/>
    </row>
    <row r="639" ht="16.5" customHeight="1">
      <c r="A639" s="15"/>
      <c r="B639" s="15"/>
      <c r="C639" s="21"/>
      <c r="D639" s="15"/>
      <c r="E639" s="15"/>
      <c r="F639" s="15"/>
      <c r="G639" s="387"/>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c r="AG639" s="15"/>
      <c r="AH639" s="15"/>
    </row>
    <row r="640" ht="16.5" customHeight="1">
      <c r="A640" s="15"/>
      <c r="B640" s="15"/>
      <c r="C640" s="21"/>
      <c r="D640" s="15"/>
      <c r="E640" s="15"/>
      <c r="F640" s="15"/>
      <c r="G640" s="387"/>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c r="AG640" s="15"/>
      <c r="AH640" s="15"/>
    </row>
    <row r="641" ht="16.5" customHeight="1">
      <c r="A641" s="15"/>
      <c r="B641" s="15"/>
      <c r="C641" s="21"/>
      <c r="D641" s="15"/>
      <c r="E641" s="15"/>
      <c r="F641" s="15"/>
      <c r="G641" s="387"/>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c r="AG641" s="15"/>
      <c r="AH641" s="15"/>
    </row>
    <row r="642" ht="16.5" customHeight="1">
      <c r="A642" s="15"/>
      <c r="B642" s="15"/>
      <c r="C642" s="21"/>
      <c r="D642" s="15"/>
      <c r="E642" s="15"/>
      <c r="F642" s="15"/>
      <c r="G642" s="387"/>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c r="AG642" s="15"/>
      <c r="AH642" s="15"/>
    </row>
    <row r="643" ht="16.5" customHeight="1">
      <c r="A643" s="15"/>
      <c r="B643" s="15"/>
      <c r="C643" s="21"/>
      <c r="D643" s="15"/>
      <c r="E643" s="15"/>
      <c r="F643" s="15"/>
      <c r="G643" s="387"/>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c r="AG643" s="15"/>
      <c r="AH643" s="15"/>
    </row>
    <row r="644" ht="16.5" customHeight="1">
      <c r="A644" s="15"/>
      <c r="B644" s="15"/>
      <c r="C644" s="21"/>
      <c r="D644" s="15"/>
      <c r="E644" s="15"/>
      <c r="F644" s="15"/>
      <c r="G644" s="387"/>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c r="AG644" s="15"/>
      <c r="AH644" s="15"/>
    </row>
    <row r="645" ht="16.5" customHeight="1">
      <c r="A645" s="15"/>
      <c r="B645" s="15"/>
      <c r="C645" s="21"/>
      <c r="D645" s="15"/>
      <c r="E645" s="15"/>
      <c r="F645" s="15"/>
      <c r="G645" s="387"/>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c r="AG645" s="15"/>
      <c r="AH645" s="15"/>
    </row>
    <row r="646" ht="16.5" customHeight="1">
      <c r="A646" s="15"/>
      <c r="B646" s="15"/>
      <c r="C646" s="21"/>
      <c r="D646" s="15"/>
      <c r="E646" s="15"/>
      <c r="F646" s="15"/>
      <c r="G646" s="387"/>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c r="AG646" s="15"/>
      <c r="AH646" s="15"/>
    </row>
    <row r="647" ht="16.5" customHeight="1">
      <c r="A647" s="15"/>
      <c r="B647" s="15"/>
      <c r="C647" s="21"/>
      <c r="D647" s="15"/>
      <c r="E647" s="15"/>
      <c r="F647" s="15"/>
      <c r="G647" s="387"/>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c r="AG647" s="15"/>
      <c r="AH647" s="15"/>
    </row>
    <row r="648" ht="16.5" customHeight="1">
      <c r="A648" s="15"/>
      <c r="B648" s="15"/>
      <c r="C648" s="21"/>
      <c r="D648" s="15"/>
      <c r="E648" s="15"/>
      <c r="F648" s="15"/>
      <c r="G648" s="387"/>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c r="AG648" s="15"/>
      <c r="AH648" s="15"/>
    </row>
    <row r="649" ht="16.5" customHeight="1">
      <c r="A649" s="15"/>
      <c r="B649" s="15"/>
      <c r="C649" s="21"/>
      <c r="D649" s="15"/>
      <c r="E649" s="15"/>
      <c r="F649" s="15"/>
      <c r="G649" s="387"/>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c r="AG649" s="15"/>
      <c r="AH649" s="15"/>
    </row>
    <row r="650" ht="16.5" customHeight="1">
      <c r="A650" s="15"/>
      <c r="B650" s="15"/>
      <c r="C650" s="21"/>
      <c r="D650" s="15"/>
      <c r="E650" s="15"/>
      <c r="F650" s="15"/>
      <c r="G650" s="387"/>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c r="AG650" s="15"/>
      <c r="AH650" s="15"/>
    </row>
    <row r="651" ht="16.5" customHeight="1">
      <c r="A651" s="15"/>
      <c r="B651" s="15"/>
      <c r="C651" s="21"/>
      <c r="D651" s="15"/>
      <c r="E651" s="15"/>
      <c r="F651" s="15"/>
      <c r="G651" s="387"/>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c r="AG651" s="15"/>
      <c r="AH651" s="15"/>
    </row>
    <row r="652" ht="16.5" customHeight="1">
      <c r="A652" s="15"/>
      <c r="B652" s="15"/>
      <c r="C652" s="21"/>
      <c r="D652" s="15"/>
      <c r="E652" s="15"/>
      <c r="F652" s="15"/>
      <c r="G652" s="387"/>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c r="AG652" s="15"/>
      <c r="AH652" s="15"/>
    </row>
    <row r="653" ht="16.5" customHeight="1">
      <c r="A653" s="15"/>
      <c r="B653" s="15"/>
      <c r="C653" s="21"/>
      <c r="D653" s="15"/>
      <c r="E653" s="15"/>
      <c r="F653" s="15"/>
      <c r="G653" s="387"/>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c r="AG653" s="15"/>
      <c r="AH653" s="15"/>
    </row>
    <row r="654" ht="16.5" customHeight="1">
      <c r="A654" s="15"/>
      <c r="B654" s="15"/>
      <c r="C654" s="21"/>
      <c r="D654" s="15"/>
      <c r="E654" s="15"/>
      <c r="F654" s="15"/>
      <c r="G654" s="387"/>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c r="AG654" s="15"/>
      <c r="AH654" s="15"/>
    </row>
    <row r="655" ht="16.5" customHeight="1">
      <c r="A655" s="15"/>
      <c r="B655" s="15"/>
      <c r="C655" s="21"/>
      <c r="D655" s="15"/>
      <c r="E655" s="15"/>
      <c r="F655" s="15"/>
      <c r="G655" s="387"/>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c r="AG655" s="15"/>
      <c r="AH655" s="15"/>
    </row>
    <row r="656" ht="16.5" customHeight="1">
      <c r="A656" s="15"/>
      <c r="B656" s="15"/>
      <c r="C656" s="21"/>
      <c r="D656" s="15"/>
      <c r="E656" s="15"/>
      <c r="F656" s="15"/>
      <c r="G656" s="387"/>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c r="AG656" s="15"/>
      <c r="AH656" s="15"/>
    </row>
    <row r="657" ht="16.5" customHeight="1">
      <c r="A657" s="15"/>
      <c r="B657" s="15"/>
      <c r="C657" s="21"/>
      <c r="D657" s="15"/>
      <c r="E657" s="15"/>
      <c r="F657" s="15"/>
      <c r="G657" s="387"/>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c r="AG657" s="15"/>
      <c r="AH657" s="15"/>
    </row>
    <row r="658" ht="16.5" customHeight="1">
      <c r="A658" s="15"/>
      <c r="B658" s="15"/>
      <c r="C658" s="21"/>
      <c r="D658" s="15"/>
      <c r="E658" s="15"/>
      <c r="F658" s="15"/>
      <c r="G658" s="387"/>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c r="AG658" s="15"/>
      <c r="AH658" s="15"/>
    </row>
    <row r="659" ht="16.5" customHeight="1">
      <c r="A659" s="15"/>
      <c r="B659" s="15"/>
      <c r="C659" s="21"/>
      <c r="D659" s="15"/>
      <c r="E659" s="15"/>
      <c r="F659" s="15"/>
      <c r="G659" s="387"/>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c r="AG659" s="15"/>
      <c r="AH659" s="15"/>
    </row>
    <row r="660" ht="16.5" customHeight="1">
      <c r="A660" s="15"/>
      <c r="B660" s="15"/>
      <c r="C660" s="21"/>
      <c r="D660" s="15"/>
      <c r="E660" s="15"/>
      <c r="F660" s="15"/>
      <c r="G660" s="387"/>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c r="AG660" s="15"/>
      <c r="AH660" s="15"/>
    </row>
    <row r="661" ht="16.5" customHeight="1">
      <c r="A661" s="15"/>
      <c r="B661" s="15"/>
      <c r="C661" s="21"/>
      <c r="D661" s="15"/>
      <c r="E661" s="15"/>
      <c r="F661" s="15"/>
      <c r="G661" s="387"/>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c r="AG661" s="15"/>
      <c r="AH661" s="15"/>
    </row>
    <row r="662" ht="16.5" customHeight="1">
      <c r="A662" s="15"/>
      <c r="B662" s="15"/>
      <c r="C662" s="21"/>
      <c r="D662" s="15"/>
      <c r="E662" s="15"/>
      <c r="F662" s="15"/>
      <c r="G662" s="387"/>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c r="AG662" s="15"/>
      <c r="AH662" s="15"/>
    </row>
    <row r="663" ht="16.5" customHeight="1">
      <c r="A663" s="15"/>
      <c r="B663" s="15"/>
      <c r="C663" s="21"/>
      <c r="D663" s="15"/>
      <c r="E663" s="15"/>
      <c r="F663" s="15"/>
      <c r="G663" s="387"/>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c r="AG663" s="15"/>
      <c r="AH663" s="15"/>
    </row>
    <row r="664" ht="16.5" customHeight="1">
      <c r="A664" s="15"/>
      <c r="B664" s="15"/>
      <c r="C664" s="21"/>
      <c r="D664" s="15"/>
      <c r="E664" s="15"/>
      <c r="F664" s="15"/>
      <c r="G664" s="387"/>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c r="AG664" s="15"/>
      <c r="AH664" s="15"/>
    </row>
    <row r="665" ht="16.5" customHeight="1">
      <c r="A665" s="15"/>
      <c r="B665" s="15"/>
      <c r="C665" s="21"/>
      <c r="D665" s="15"/>
      <c r="E665" s="15"/>
      <c r="F665" s="15"/>
      <c r="G665" s="387"/>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c r="AG665" s="15"/>
      <c r="AH665" s="15"/>
    </row>
    <row r="666" ht="16.5" customHeight="1">
      <c r="A666" s="15"/>
      <c r="B666" s="15"/>
      <c r="C666" s="21"/>
      <c r="D666" s="15"/>
      <c r="E666" s="15"/>
      <c r="F666" s="15"/>
      <c r="G666" s="387"/>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c r="AG666" s="15"/>
      <c r="AH666" s="15"/>
    </row>
    <row r="667" ht="16.5" customHeight="1">
      <c r="A667" s="15"/>
      <c r="B667" s="15"/>
      <c r="C667" s="21"/>
      <c r="D667" s="15"/>
      <c r="E667" s="15"/>
      <c r="F667" s="15"/>
      <c r="G667" s="387"/>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c r="AG667" s="15"/>
      <c r="AH667" s="15"/>
    </row>
    <row r="668" ht="16.5" customHeight="1">
      <c r="A668" s="15"/>
      <c r="B668" s="15"/>
      <c r="C668" s="21"/>
      <c r="D668" s="15"/>
      <c r="E668" s="15"/>
      <c r="F668" s="15"/>
      <c r="G668" s="387"/>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c r="AG668" s="15"/>
      <c r="AH668" s="15"/>
    </row>
    <row r="669" ht="16.5" customHeight="1">
      <c r="A669" s="15"/>
      <c r="B669" s="15"/>
      <c r="C669" s="21"/>
      <c r="D669" s="15"/>
      <c r="E669" s="15"/>
      <c r="F669" s="15"/>
      <c r="G669" s="387"/>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c r="AG669" s="15"/>
      <c r="AH669" s="15"/>
    </row>
    <row r="670" ht="16.5" customHeight="1">
      <c r="A670" s="15"/>
      <c r="B670" s="15"/>
      <c r="C670" s="21"/>
      <c r="D670" s="15"/>
      <c r="E670" s="15"/>
      <c r="F670" s="15"/>
      <c r="G670" s="387"/>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c r="AG670" s="15"/>
      <c r="AH670" s="15"/>
    </row>
    <row r="671" ht="16.5" customHeight="1">
      <c r="A671" s="15"/>
      <c r="B671" s="15"/>
      <c r="C671" s="21"/>
      <c r="D671" s="15"/>
      <c r="E671" s="15"/>
      <c r="F671" s="15"/>
      <c r="G671" s="387"/>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c r="AG671" s="15"/>
      <c r="AH671" s="15"/>
    </row>
    <row r="672" ht="16.5" customHeight="1">
      <c r="A672" s="15"/>
      <c r="B672" s="15"/>
      <c r="C672" s="21"/>
      <c r="D672" s="15"/>
      <c r="E672" s="15"/>
      <c r="F672" s="15"/>
      <c r="G672" s="387"/>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c r="AG672" s="15"/>
      <c r="AH672" s="15"/>
    </row>
    <row r="673" ht="16.5" customHeight="1">
      <c r="A673" s="15"/>
      <c r="B673" s="15"/>
      <c r="C673" s="21"/>
      <c r="D673" s="15"/>
      <c r="E673" s="15"/>
      <c r="F673" s="15"/>
      <c r="G673" s="387"/>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c r="AG673" s="15"/>
      <c r="AH673" s="15"/>
    </row>
    <row r="674" ht="16.5" customHeight="1">
      <c r="A674" s="15"/>
      <c r="B674" s="15"/>
      <c r="C674" s="21"/>
      <c r="D674" s="15"/>
      <c r="E674" s="15"/>
      <c r="F674" s="15"/>
      <c r="G674" s="387"/>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c r="AG674" s="15"/>
      <c r="AH674" s="15"/>
    </row>
    <row r="675" ht="16.5" customHeight="1">
      <c r="A675" s="15"/>
      <c r="B675" s="15"/>
      <c r="C675" s="21"/>
      <c r="D675" s="15"/>
      <c r="E675" s="15"/>
      <c r="F675" s="15"/>
      <c r="G675" s="387"/>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c r="AG675" s="15"/>
      <c r="AH675" s="15"/>
    </row>
    <row r="676" ht="16.5" customHeight="1">
      <c r="A676" s="15"/>
      <c r="B676" s="15"/>
      <c r="C676" s="21"/>
      <c r="D676" s="15"/>
      <c r="E676" s="15"/>
      <c r="F676" s="15"/>
      <c r="G676" s="387"/>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c r="AG676" s="15"/>
      <c r="AH676" s="15"/>
    </row>
    <row r="677" ht="16.5" customHeight="1">
      <c r="A677" s="15"/>
      <c r="B677" s="15"/>
      <c r="C677" s="21"/>
      <c r="D677" s="15"/>
      <c r="E677" s="15"/>
      <c r="F677" s="15"/>
      <c r="G677" s="387"/>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c r="AG677" s="15"/>
      <c r="AH677" s="15"/>
    </row>
    <row r="678" ht="16.5" customHeight="1">
      <c r="A678" s="15"/>
      <c r="B678" s="15"/>
      <c r="C678" s="21"/>
      <c r="D678" s="15"/>
      <c r="E678" s="15"/>
      <c r="F678" s="15"/>
      <c r="G678" s="387"/>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c r="AG678" s="15"/>
      <c r="AH678" s="15"/>
    </row>
    <row r="679" ht="16.5" customHeight="1">
      <c r="A679" s="15"/>
      <c r="B679" s="15"/>
      <c r="C679" s="21"/>
      <c r="D679" s="15"/>
      <c r="E679" s="15"/>
      <c r="F679" s="15"/>
      <c r="G679" s="387"/>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c r="AG679" s="15"/>
      <c r="AH679" s="15"/>
    </row>
    <row r="680" ht="16.5" customHeight="1">
      <c r="A680" s="15"/>
      <c r="B680" s="15"/>
      <c r="C680" s="21"/>
      <c r="D680" s="15"/>
      <c r="E680" s="15"/>
      <c r="F680" s="15"/>
      <c r="G680" s="387"/>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c r="AG680" s="15"/>
      <c r="AH680" s="15"/>
    </row>
    <row r="681" ht="16.5" customHeight="1">
      <c r="A681" s="15"/>
      <c r="B681" s="15"/>
      <c r="C681" s="21"/>
      <c r="D681" s="15"/>
      <c r="E681" s="15"/>
      <c r="F681" s="15"/>
      <c r="G681" s="387"/>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c r="AG681" s="15"/>
      <c r="AH681" s="15"/>
    </row>
    <row r="682" ht="16.5" customHeight="1">
      <c r="A682" s="15"/>
      <c r="B682" s="15"/>
      <c r="C682" s="21"/>
      <c r="D682" s="15"/>
      <c r="E682" s="15"/>
      <c r="F682" s="15"/>
      <c r="G682" s="387"/>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c r="AG682" s="15"/>
      <c r="AH682" s="15"/>
    </row>
    <row r="683" ht="16.5" customHeight="1">
      <c r="A683" s="15"/>
      <c r="B683" s="15"/>
      <c r="C683" s="21"/>
      <c r="D683" s="15"/>
      <c r="E683" s="15"/>
      <c r="F683" s="15"/>
      <c r="G683" s="387"/>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c r="AG683" s="15"/>
      <c r="AH683" s="15"/>
    </row>
    <row r="684" ht="16.5" customHeight="1">
      <c r="A684" s="15"/>
      <c r="B684" s="15"/>
      <c r="C684" s="21"/>
      <c r="D684" s="15"/>
      <c r="E684" s="15"/>
      <c r="F684" s="15"/>
      <c r="G684" s="387"/>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c r="AG684" s="15"/>
      <c r="AH684" s="15"/>
    </row>
    <row r="685" ht="16.5" customHeight="1">
      <c r="A685" s="15"/>
      <c r="B685" s="15"/>
      <c r="C685" s="21"/>
      <c r="D685" s="15"/>
      <c r="E685" s="15"/>
      <c r="F685" s="15"/>
      <c r="G685" s="387"/>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c r="AG685" s="15"/>
      <c r="AH685" s="15"/>
    </row>
    <row r="686" ht="16.5" customHeight="1">
      <c r="A686" s="15"/>
      <c r="B686" s="15"/>
      <c r="C686" s="21"/>
      <c r="D686" s="15"/>
      <c r="E686" s="15"/>
      <c r="F686" s="15"/>
      <c r="G686" s="387"/>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c r="AG686" s="15"/>
      <c r="AH686" s="15"/>
    </row>
    <row r="687" ht="16.5" customHeight="1">
      <c r="A687" s="15"/>
      <c r="B687" s="15"/>
      <c r="C687" s="21"/>
      <c r="D687" s="15"/>
      <c r="E687" s="15"/>
      <c r="F687" s="15"/>
      <c r="G687" s="387"/>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c r="AG687" s="15"/>
      <c r="AH687" s="15"/>
    </row>
    <row r="688" ht="16.5" customHeight="1">
      <c r="A688" s="15"/>
      <c r="B688" s="15"/>
      <c r="C688" s="21"/>
      <c r="D688" s="15"/>
      <c r="E688" s="15"/>
      <c r="F688" s="15"/>
      <c r="G688" s="387"/>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c r="AG688" s="15"/>
      <c r="AH688" s="15"/>
    </row>
    <row r="689" ht="16.5" customHeight="1">
      <c r="A689" s="15"/>
      <c r="B689" s="15"/>
      <c r="C689" s="21"/>
      <c r="D689" s="15"/>
      <c r="E689" s="15"/>
      <c r="F689" s="15"/>
      <c r="G689" s="387"/>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c r="AG689" s="15"/>
      <c r="AH689" s="15"/>
    </row>
    <row r="690" ht="16.5" customHeight="1">
      <c r="A690" s="15"/>
      <c r="B690" s="15"/>
      <c r="C690" s="21"/>
      <c r="D690" s="15"/>
      <c r="E690" s="15"/>
      <c r="F690" s="15"/>
      <c r="G690" s="387"/>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c r="AG690" s="15"/>
      <c r="AH690" s="15"/>
    </row>
    <row r="691" ht="16.5" customHeight="1">
      <c r="A691" s="15"/>
      <c r="B691" s="15"/>
      <c r="C691" s="21"/>
      <c r="D691" s="15"/>
      <c r="E691" s="15"/>
      <c r="F691" s="15"/>
      <c r="G691" s="387"/>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c r="AG691" s="15"/>
      <c r="AH691" s="15"/>
    </row>
    <row r="692" ht="16.5" customHeight="1">
      <c r="A692" s="15"/>
      <c r="B692" s="15"/>
      <c r="C692" s="21"/>
      <c r="D692" s="15"/>
      <c r="E692" s="15"/>
      <c r="F692" s="15"/>
      <c r="G692" s="387"/>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c r="AG692" s="15"/>
      <c r="AH692" s="15"/>
    </row>
    <row r="693" ht="16.5" customHeight="1">
      <c r="A693" s="15"/>
      <c r="B693" s="15"/>
      <c r="C693" s="21"/>
      <c r="D693" s="15"/>
      <c r="E693" s="15"/>
      <c r="F693" s="15"/>
      <c r="G693" s="387"/>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c r="AG693" s="15"/>
      <c r="AH693" s="15"/>
    </row>
    <row r="694" ht="16.5" customHeight="1">
      <c r="A694" s="15"/>
      <c r="B694" s="15"/>
      <c r="C694" s="21"/>
      <c r="D694" s="15"/>
      <c r="E694" s="15"/>
      <c r="F694" s="15"/>
      <c r="G694" s="387"/>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c r="AG694" s="15"/>
      <c r="AH694" s="15"/>
    </row>
    <row r="695" ht="16.5" customHeight="1">
      <c r="A695" s="15"/>
      <c r="B695" s="15"/>
      <c r="C695" s="21"/>
      <c r="D695" s="15"/>
      <c r="E695" s="15"/>
      <c r="F695" s="15"/>
      <c r="G695" s="387"/>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c r="AG695" s="15"/>
      <c r="AH695" s="15"/>
    </row>
    <row r="696" ht="16.5" customHeight="1">
      <c r="A696" s="15"/>
      <c r="B696" s="15"/>
      <c r="C696" s="21"/>
      <c r="D696" s="15"/>
      <c r="E696" s="15"/>
      <c r="F696" s="15"/>
      <c r="G696" s="387"/>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c r="AG696" s="15"/>
      <c r="AH696" s="15"/>
    </row>
    <row r="697" ht="16.5" customHeight="1">
      <c r="A697" s="15"/>
      <c r="B697" s="15"/>
      <c r="C697" s="21"/>
      <c r="D697" s="15"/>
      <c r="E697" s="15"/>
      <c r="F697" s="15"/>
      <c r="G697" s="387"/>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c r="AG697" s="15"/>
      <c r="AH697" s="15"/>
    </row>
    <row r="698" ht="16.5" customHeight="1">
      <c r="A698" s="15"/>
      <c r="B698" s="15"/>
      <c r="C698" s="21"/>
      <c r="D698" s="15"/>
      <c r="E698" s="15"/>
      <c r="F698" s="15"/>
      <c r="G698" s="387"/>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c r="AG698" s="15"/>
      <c r="AH698" s="15"/>
    </row>
    <row r="699" ht="16.5" customHeight="1">
      <c r="A699" s="15"/>
      <c r="B699" s="15"/>
      <c r="C699" s="21"/>
      <c r="D699" s="15"/>
      <c r="E699" s="15"/>
      <c r="F699" s="15"/>
      <c r="G699" s="387"/>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c r="AG699" s="15"/>
      <c r="AH699" s="15"/>
    </row>
    <row r="700" ht="16.5" customHeight="1">
      <c r="A700" s="15"/>
      <c r="B700" s="15"/>
      <c r="C700" s="21"/>
      <c r="D700" s="15"/>
      <c r="E700" s="15"/>
      <c r="F700" s="15"/>
      <c r="G700" s="387"/>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c r="AG700" s="15"/>
      <c r="AH700" s="15"/>
    </row>
    <row r="701" ht="16.5" customHeight="1">
      <c r="A701" s="15"/>
      <c r="B701" s="15"/>
      <c r="C701" s="21"/>
      <c r="D701" s="15"/>
      <c r="E701" s="15"/>
      <c r="F701" s="15"/>
      <c r="G701" s="387"/>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c r="AG701" s="15"/>
      <c r="AH701" s="15"/>
    </row>
    <row r="702" ht="16.5" customHeight="1">
      <c r="A702" s="15"/>
      <c r="B702" s="15"/>
      <c r="C702" s="21"/>
      <c r="D702" s="15"/>
      <c r="E702" s="15"/>
      <c r="F702" s="15"/>
      <c r="G702" s="387"/>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c r="AG702" s="15"/>
      <c r="AH702" s="15"/>
    </row>
    <row r="703" ht="16.5" customHeight="1">
      <c r="A703" s="15"/>
      <c r="B703" s="15"/>
      <c r="C703" s="21"/>
      <c r="D703" s="15"/>
      <c r="E703" s="15"/>
      <c r="F703" s="15"/>
      <c r="G703" s="387"/>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c r="AG703" s="15"/>
      <c r="AH703" s="15"/>
    </row>
    <row r="704" ht="16.5" customHeight="1">
      <c r="A704" s="15"/>
      <c r="B704" s="15"/>
      <c r="C704" s="21"/>
      <c r="D704" s="15"/>
      <c r="E704" s="15"/>
      <c r="F704" s="15"/>
      <c r="G704" s="387"/>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c r="AG704" s="15"/>
      <c r="AH704" s="15"/>
    </row>
    <row r="705" ht="16.5" customHeight="1">
      <c r="A705" s="15"/>
      <c r="B705" s="15"/>
      <c r="C705" s="21"/>
      <c r="D705" s="15"/>
      <c r="E705" s="15"/>
      <c r="F705" s="15"/>
      <c r="G705" s="387"/>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c r="AG705" s="15"/>
      <c r="AH705" s="15"/>
    </row>
    <row r="706" ht="16.5" customHeight="1">
      <c r="A706" s="15"/>
      <c r="B706" s="15"/>
      <c r="C706" s="21"/>
      <c r="D706" s="15"/>
      <c r="E706" s="15"/>
      <c r="F706" s="15"/>
      <c r="G706" s="387"/>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c r="AG706" s="15"/>
      <c r="AH706" s="15"/>
    </row>
    <row r="707" ht="16.5" customHeight="1">
      <c r="A707" s="15"/>
      <c r="B707" s="15"/>
      <c r="C707" s="21"/>
      <c r="D707" s="15"/>
      <c r="E707" s="15"/>
      <c r="F707" s="15"/>
      <c r="G707" s="387"/>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c r="AG707" s="15"/>
      <c r="AH707" s="15"/>
    </row>
    <row r="708" ht="16.5" customHeight="1">
      <c r="A708" s="15"/>
      <c r="B708" s="15"/>
      <c r="C708" s="21"/>
      <c r="D708" s="15"/>
      <c r="E708" s="15"/>
      <c r="F708" s="15"/>
      <c r="G708" s="387"/>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c r="AG708" s="15"/>
      <c r="AH708" s="15"/>
    </row>
    <row r="709" ht="16.5" customHeight="1">
      <c r="A709" s="15"/>
      <c r="B709" s="15"/>
      <c r="C709" s="21"/>
      <c r="D709" s="15"/>
      <c r="E709" s="15"/>
      <c r="F709" s="15"/>
      <c r="G709" s="387"/>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c r="AG709" s="15"/>
      <c r="AH709" s="15"/>
    </row>
    <row r="710" ht="16.5" customHeight="1">
      <c r="A710" s="15"/>
      <c r="B710" s="15"/>
      <c r="C710" s="21"/>
      <c r="D710" s="15"/>
      <c r="E710" s="15"/>
      <c r="F710" s="15"/>
      <c r="G710" s="387"/>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c r="AG710" s="15"/>
      <c r="AH710" s="15"/>
    </row>
    <row r="711" ht="16.5" customHeight="1">
      <c r="A711" s="15"/>
      <c r="B711" s="15"/>
      <c r="C711" s="21"/>
      <c r="D711" s="15"/>
      <c r="E711" s="15"/>
      <c r="F711" s="15"/>
      <c r="G711" s="387"/>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c r="AG711" s="15"/>
      <c r="AH711" s="15"/>
    </row>
    <row r="712" ht="16.5" customHeight="1">
      <c r="A712" s="15"/>
      <c r="B712" s="15"/>
      <c r="C712" s="21"/>
      <c r="D712" s="15"/>
      <c r="E712" s="15"/>
      <c r="F712" s="15"/>
      <c r="G712" s="387"/>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c r="AG712" s="15"/>
      <c r="AH712" s="15"/>
    </row>
    <row r="713" ht="16.5" customHeight="1">
      <c r="A713" s="15"/>
      <c r="B713" s="15"/>
      <c r="C713" s="21"/>
      <c r="D713" s="15"/>
      <c r="E713" s="15"/>
      <c r="F713" s="15"/>
      <c r="G713" s="387"/>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c r="AG713" s="15"/>
      <c r="AH713" s="15"/>
    </row>
    <row r="714" ht="16.5" customHeight="1">
      <c r="A714" s="15"/>
      <c r="B714" s="15"/>
      <c r="C714" s="21"/>
      <c r="D714" s="15"/>
      <c r="E714" s="15"/>
      <c r="F714" s="15"/>
      <c r="G714" s="387"/>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c r="AG714" s="15"/>
      <c r="AH714" s="15"/>
    </row>
    <row r="715" ht="16.5" customHeight="1">
      <c r="A715" s="15"/>
      <c r="B715" s="15"/>
      <c r="C715" s="21"/>
      <c r="D715" s="15"/>
      <c r="E715" s="15"/>
      <c r="F715" s="15"/>
      <c r="G715" s="387"/>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c r="AG715" s="15"/>
      <c r="AH715" s="15"/>
    </row>
    <row r="716" ht="16.5" customHeight="1">
      <c r="A716" s="15"/>
      <c r="B716" s="15"/>
      <c r="C716" s="21"/>
      <c r="D716" s="15"/>
      <c r="E716" s="15"/>
      <c r="F716" s="15"/>
      <c r="G716" s="387"/>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c r="AG716" s="15"/>
      <c r="AH716" s="15"/>
    </row>
    <row r="717" ht="16.5" customHeight="1">
      <c r="A717" s="15"/>
      <c r="B717" s="15"/>
      <c r="C717" s="21"/>
      <c r="D717" s="15"/>
      <c r="E717" s="15"/>
      <c r="F717" s="15"/>
      <c r="G717" s="387"/>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c r="AG717" s="15"/>
      <c r="AH717" s="15"/>
    </row>
    <row r="718" ht="16.5" customHeight="1">
      <c r="A718" s="15"/>
      <c r="B718" s="15"/>
      <c r="C718" s="21"/>
      <c r="D718" s="15"/>
      <c r="E718" s="15"/>
      <c r="F718" s="15"/>
      <c r="G718" s="387"/>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c r="AG718" s="15"/>
      <c r="AH718" s="15"/>
    </row>
    <row r="719" ht="16.5" customHeight="1">
      <c r="A719" s="15"/>
      <c r="B719" s="15"/>
      <c r="C719" s="21"/>
      <c r="D719" s="15"/>
      <c r="E719" s="15"/>
      <c r="F719" s="15"/>
      <c r="G719" s="387"/>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c r="AG719" s="15"/>
      <c r="AH719" s="15"/>
    </row>
    <row r="720" ht="16.5" customHeight="1">
      <c r="A720" s="15"/>
      <c r="B720" s="15"/>
      <c r="C720" s="21"/>
      <c r="D720" s="15"/>
      <c r="E720" s="15"/>
      <c r="F720" s="15"/>
      <c r="G720" s="387"/>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c r="AG720" s="15"/>
      <c r="AH720" s="15"/>
    </row>
    <row r="721" ht="16.5" customHeight="1">
      <c r="A721" s="15"/>
      <c r="B721" s="15"/>
      <c r="C721" s="21"/>
      <c r="D721" s="15"/>
      <c r="E721" s="15"/>
      <c r="F721" s="15"/>
      <c r="G721" s="387"/>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c r="AG721" s="15"/>
      <c r="AH721" s="15"/>
    </row>
    <row r="722" ht="16.5" customHeight="1">
      <c r="A722" s="15"/>
      <c r="B722" s="15"/>
      <c r="C722" s="21"/>
      <c r="D722" s="15"/>
      <c r="E722" s="15"/>
      <c r="F722" s="15"/>
      <c r="G722" s="387"/>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c r="AG722" s="15"/>
      <c r="AH722" s="15"/>
    </row>
    <row r="723" ht="16.5" customHeight="1">
      <c r="A723" s="15"/>
      <c r="B723" s="15"/>
      <c r="C723" s="21"/>
      <c r="D723" s="15"/>
      <c r="E723" s="15"/>
      <c r="F723" s="15"/>
      <c r="G723" s="387"/>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c r="AG723" s="15"/>
      <c r="AH723" s="15"/>
    </row>
    <row r="724" ht="16.5" customHeight="1">
      <c r="A724" s="15"/>
      <c r="B724" s="15"/>
      <c r="C724" s="21"/>
      <c r="D724" s="15"/>
      <c r="E724" s="15"/>
      <c r="F724" s="15"/>
      <c r="G724" s="387"/>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c r="AG724" s="15"/>
      <c r="AH724" s="15"/>
    </row>
    <row r="725" ht="16.5" customHeight="1">
      <c r="A725" s="15"/>
      <c r="B725" s="15"/>
      <c r="C725" s="21"/>
      <c r="D725" s="15"/>
      <c r="E725" s="15"/>
      <c r="F725" s="15"/>
      <c r="G725" s="387"/>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c r="AG725" s="15"/>
      <c r="AH725" s="15"/>
    </row>
    <row r="726" ht="16.5" customHeight="1">
      <c r="A726" s="15"/>
      <c r="B726" s="15"/>
      <c r="C726" s="21"/>
      <c r="D726" s="15"/>
      <c r="E726" s="15"/>
      <c r="F726" s="15"/>
      <c r="G726" s="387"/>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c r="AG726" s="15"/>
      <c r="AH726" s="15"/>
    </row>
    <row r="727" ht="16.5" customHeight="1">
      <c r="A727" s="15"/>
      <c r="B727" s="15"/>
      <c r="C727" s="21"/>
      <c r="D727" s="15"/>
      <c r="E727" s="15"/>
      <c r="F727" s="15"/>
      <c r="G727" s="387"/>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c r="AG727" s="15"/>
      <c r="AH727" s="15"/>
    </row>
    <row r="728" ht="16.5" customHeight="1">
      <c r="A728" s="15"/>
      <c r="B728" s="15"/>
      <c r="C728" s="21"/>
      <c r="D728" s="15"/>
      <c r="E728" s="15"/>
      <c r="F728" s="15"/>
      <c r="G728" s="387"/>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c r="AG728" s="15"/>
      <c r="AH728" s="15"/>
    </row>
    <row r="729" ht="16.5" customHeight="1">
      <c r="A729" s="15"/>
      <c r="B729" s="15"/>
      <c r="C729" s="21"/>
      <c r="D729" s="15"/>
      <c r="E729" s="15"/>
      <c r="F729" s="15"/>
      <c r="G729" s="387"/>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c r="AG729" s="15"/>
      <c r="AH729" s="15"/>
    </row>
    <row r="730" ht="16.5" customHeight="1">
      <c r="A730" s="15"/>
      <c r="B730" s="15"/>
      <c r="C730" s="21"/>
      <c r="D730" s="15"/>
      <c r="E730" s="15"/>
      <c r="F730" s="15"/>
      <c r="G730" s="387"/>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c r="AG730" s="15"/>
      <c r="AH730" s="15"/>
    </row>
    <row r="731" ht="16.5" customHeight="1">
      <c r="A731" s="15"/>
      <c r="B731" s="15"/>
      <c r="C731" s="21"/>
      <c r="D731" s="15"/>
      <c r="E731" s="15"/>
      <c r="F731" s="15"/>
      <c r="G731" s="387"/>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c r="AG731" s="15"/>
      <c r="AH731" s="15"/>
    </row>
    <row r="732" ht="16.5" customHeight="1">
      <c r="A732" s="15"/>
      <c r="B732" s="15"/>
      <c r="C732" s="21"/>
      <c r="D732" s="15"/>
      <c r="E732" s="15"/>
      <c r="F732" s="15"/>
      <c r="G732" s="387"/>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c r="AG732" s="15"/>
      <c r="AH732" s="15"/>
    </row>
    <row r="733" ht="16.5" customHeight="1">
      <c r="A733" s="15"/>
      <c r="B733" s="15"/>
      <c r="C733" s="21"/>
      <c r="D733" s="15"/>
      <c r="E733" s="15"/>
      <c r="F733" s="15"/>
      <c r="G733" s="387"/>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c r="AG733" s="15"/>
      <c r="AH733" s="15"/>
    </row>
    <row r="734" ht="16.5" customHeight="1">
      <c r="A734" s="15"/>
      <c r="B734" s="15"/>
      <c r="C734" s="21"/>
      <c r="D734" s="15"/>
      <c r="E734" s="15"/>
      <c r="F734" s="15"/>
      <c r="G734" s="387"/>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c r="AG734" s="15"/>
      <c r="AH734" s="15"/>
    </row>
    <row r="735" ht="16.5" customHeight="1">
      <c r="A735" s="15"/>
      <c r="B735" s="15"/>
      <c r="C735" s="21"/>
      <c r="D735" s="15"/>
      <c r="E735" s="15"/>
      <c r="F735" s="15"/>
      <c r="G735" s="387"/>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c r="AG735" s="15"/>
      <c r="AH735" s="15"/>
    </row>
    <row r="736" ht="16.5" customHeight="1">
      <c r="A736" s="15"/>
      <c r="B736" s="15"/>
      <c r="C736" s="21"/>
      <c r="D736" s="15"/>
      <c r="E736" s="15"/>
      <c r="F736" s="15"/>
      <c r="G736" s="387"/>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c r="AG736" s="15"/>
      <c r="AH736" s="15"/>
    </row>
    <row r="737" ht="16.5" customHeight="1">
      <c r="A737" s="15"/>
      <c r="B737" s="15"/>
      <c r="C737" s="21"/>
      <c r="D737" s="15"/>
      <c r="E737" s="15"/>
      <c r="F737" s="15"/>
      <c r="G737" s="387"/>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c r="AG737" s="15"/>
      <c r="AH737" s="15"/>
    </row>
    <row r="738" ht="16.5" customHeight="1">
      <c r="A738" s="15"/>
      <c r="B738" s="15"/>
      <c r="C738" s="21"/>
      <c r="D738" s="15"/>
      <c r="E738" s="15"/>
      <c r="F738" s="15"/>
      <c r="G738" s="387"/>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c r="AG738" s="15"/>
      <c r="AH738" s="15"/>
    </row>
    <row r="739" ht="16.5" customHeight="1">
      <c r="A739" s="15"/>
      <c r="B739" s="15"/>
      <c r="C739" s="21"/>
      <c r="D739" s="15"/>
      <c r="E739" s="15"/>
      <c r="F739" s="15"/>
      <c r="G739" s="387"/>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c r="AG739" s="15"/>
      <c r="AH739" s="15"/>
    </row>
    <row r="740" ht="16.5" customHeight="1">
      <c r="A740" s="15"/>
      <c r="B740" s="15"/>
      <c r="C740" s="21"/>
      <c r="D740" s="15"/>
      <c r="E740" s="15"/>
      <c r="F740" s="15"/>
      <c r="G740" s="387"/>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c r="AG740" s="15"/>
      <c r="AH740" s="15"/>
    </row>
    <row r="741" ht="16.5" customHeight="1">
      <c r="A741" s="15"/>
      <c r="B741" s="15"/>
      <c r="C741" s="21"/>
      <c r="D741" s="15"/>
      <c r="E741" s="15"/>
      <c r="F741" s="15"/>
      <c r="G741" s="387"/>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c r="AG741" s="15"/>
      <c r="AH741" s="15"/>
    </row>
    <row r="742" ht="16.5" customHeight="1">
      <c r="A742" s="15"/>
      <c r="B742" s="15"/>
      <c r="C742" s="21"/>
      <c r="D742" s="15"/>
      <c r="E742" s="15"/>
      <c r="F742" s="15"/>
      <c r="G742" s="387"/>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c r="AG742" s="15"/>
      <c r="AH742" s="15"/>
    </row>
    <row r="743" ht="16.5" customHeight="1">
      <c r="A743" s="15"/>
      <c r="B743" s="15"/>
      <c r="C743" s="21"/>
      <c r="D743" s="15"/>
      <c r="E743" s="15"/>
      <c r="F743" s="15"/>
      <c r="G743" s="387"/>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c r="AG743" s="15"/>
      <c r="AH743" s="15"/>
    </row>
    <row r="744" ht="16.5" customHeight="1">
      <c r="A744" s="15"/>
      <c r="B744" s="15"/>
      <c r="C744" s="21"/>
      <c r="D744" s="15"/>
      <c r="E744" s="15"/>
      <c r="F744" s="15"/>
      <c r="G744" s="387"/>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c r="AG744" s="15"/>
      <c r="AH744" s="15"/>
    </row>
    <row r="745" ht="16.5" customHeight="1">
      <c r="A745" s="15"/>
      <c r="B745" s="15"/>
      <c r="C745" s="21"/>
      <c r="D745" s="15"/>
      <c r="E745" s="15"/>
      <c r="F745" s="15"/>
      <c r="G745" s="387"/>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c r="AG745" s="15"/>
      <c r="AH745" s="15"/>
    </row>
    <row r="746" ht="16.5" customHeight="1">
      <c r="A746" s="15"/>
      <c r="B746" s="15"/>
      <c r="C746" s="21"/>
      <c r="D746" s="15"/>
      <c r="E746" s="15"/>
      <c r="F746" s="15"/>
      <c r="G746" s="387"/>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c r="AG746" s="15"/>
      <c r="AH746" s="15"/>
    </row>
    <row r="747" ht="16.5" customHeight="1">
      <c r="A747" s="15"/>
      <c r="B747" s="15"/>
      <c r="C747" s="21"/>
      <c r="D747" s="15"/>
      <c r="E747" s="15"/>
      <c r="F747" s="15"/>
      <c r="G747" s="387"/>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c r="AG747" s="15"/>
      <c r="AH747" s="15"/>
    </row>
    <row r="748" ht="16.5" customHeight="1">
      <c r="A748" s="15"/>
      <c r="B748" s="15"/>
      <c r="C748" s="21"/>
      <c r="D748" s="15"/>
      <c r="E748" s="15"/>
      <c r="F748" s="15"/>
      <c r="G748" s="387"/>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c r="AG748" s="15"/>
      <c r="AH748" s="15"/>
    </row>
    <row r="749" ht="16.5" customHeight="1">
      <c r="A749" s="15"/>
      <c r="B749" s="15"/>
      <c r="C749" s="21"/>
      <c r="D749" s="15"/>
      <c r="E749" s="15"/>
      <c r="F749" s="15"/>
      <c r="G749" s="387"/>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c r="AG749" s="15"/>
      <c r="AH749" s="15"/>
    </row>
    <row r="750" ht="16.5" customHeight="1">
      <c r="A750" s="15"/>
      <c r="B750" s="15"/>
      <c r="C750" s="21"/>
      <c r="D750" s="15"/>
      <c r="E750" s="15"/>
      <c r="F750" s="15"/>
      <c r="G750" s="387"/>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c r="AG750" s="15"/>
      <c r="AH750" s="15"/>
    </row>
    <row r="751" ht="16.5" customHeight="1">
      <c r="A751" s="15"/>
      <c r="B751" s="15"/>
      <c r="C751" s="21"/>
      <c r="D751" s="15"/>
      <c r="E751" s="15"/>
      <c r="F751" s="15"/>
      <c r="G751" s="387"/>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c r="AG751" s="15"/>
      <c r="AH751" s="15"/>
    </row>
    <row r="752" ht="16.5" customHeight="1">
      <c r="A752" s="15"/>
      <c r="B752" s="15"/>
      <c r="C752" s="21"/>
      <c r="D752" s="15"/>
      <c r="E752" s="15"/>
      <c r="F752" s="15"/>
      <c r="G752" s="387"/>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c r="AG752" s="15"/>
      <c r="AH752" s="15"/>
    </row>
    <row r="753" ht="16.5" customHeight="1">
      <c r="A753" s="15"/>
      <c r="B753" s="15"/>
      <c r="C753" s="21"/>
      <c r="D753" s="15"/>
      <c r="E753" s="15"/>
      <c r="F753" s="15"/>
      <c r="G753" s="387"/>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c r="AG753" s="15"/>
      <c r="AH753" s="15"/>
    </row>
    <row r="754" ht="16.5" customHeight="1">
      <c r="A754" s="15"/>
      <c r="B754" s="15"/>
      <c r="C754" s="21"/>
      <c r="D754" s="15"/>
      <c r="E754" s="15"/>
      <c r="F754" s="15"/>
      <c r="G754" s="387"/>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c r="AG754" s="15"/>
      <c r="AH754" s="15"/>
    </row>
    <row r="755" ht="16.5" customHeight="1">
      <c r="A755" s="15"/>
      <c r="B755" s="15"/>
      <c r="C755" s="21"/>
      <c r="D755" s="15"/>
      <c r="E755" s="15"/>
      <c r="F755" s="15"/>
      <c r="G755" s="387"/>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c r="AG755" s="15"/>
      <c r="AH755" s="15"/>
    </row>
    <row r="756" ht="16.5" customHeight="1">
      <c r="A756" s="15"/>
      <c r="B756" s="15"/>
      <c r="C756" s="21"/>
      <c r="D756" s="15"/>
      <c r="E756" s="15"/>
      <c r="F756" s="15"/>
      <c r="G756" s="387"/>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c r="AG756" s="15"/>
      <c r="AH756" s="15"/>
    </row>
    <row r="757" ht="16.5" customHeight="1">
      <c r="A757" s="15"/>
      <c r="B757" s="15"/>
      <c r="C757" s="21"/>
      <c r="D757" s="15"/>
      <c r="E757" s="15"/>
      <c r="F757" s="15"/>
      <c r="G757" s="387"/>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c r="AG757" s="15"/>
      <c r="AH757" s="15"/>
    </row>
    <row r="758" ht="16.5" customHeight="1">
      <c r="A758" s="15"/>
      <c r="B758" s="15"/>
      <c r="C758" s="21"/>
      <c r="D758" s="15"/>
      <c r="E758" s="15"/>
      <c r="F758" s="15"/>
      <c r="G758" s="387"/>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c r="AG758" s="15"/>
      <c r="AH758" s="15"/>
    </row>
    <row r="759" ht="16.5" customHeight="1">
      <c r="A759" s="15"/>
      <c r="B759" s="15"/>
      <c r="C759" s="21"/>
      <c r="D759" s="15"/>
      <c r="E759" s="15"/>
      <c r="F759" s="15"/>
      <c r="G759" s="387"/>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c r="AG759" s="15"/>
      <c r="AH759" s="15"/>
    </row>
    <row r="760" ht="16.5" customHeight="1">
      <c r="A760" s="15"/>
      <c r="B760" s="15"/>
      <c r="C760" s="21"/>
      <c r="D760" s="15"/>
      <c r="E760" s="15"/>
      <c r="F760" s="15"/>
      <c r="G760" s="387"/>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c r="AG760" s="15"/>
      <c r="AH760" s="15"/>
    </row>
    <row r="761" ht="16.5" customHeight="1">
      <c r="A761" s="15"/>
      <c r="B761" s="15"/>
      <c r="C761" s="21"/>
      <c r="D761" s="15"/>
      <c r="E761" s="15"/>
      <c r="F761" s="15"/>
      <c r="G761" s="387"/>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c r="AG761" s="15"/>
      <c r="AH761" s="15"/>
    </row>
    <row r="762" ht="16.5" customHeight="1">
      <c r="A762" s="15"/>
      <c r="B762" s="15"/>
      <c r="C762" s="21"/>
      <c r="D762" s="15"/>
      <c r="E762" s="15"/>
      <c r="F762" s="15"/>
      <c r="G762" s="387"/>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c r="AG762" s="15"/>
      <c r="AH762" s="15"/>
    </row>
    <row r="763" ht="16.5" customHeight="1">
      <c r="A763" s="15"/>
      <c r="B763" s="15"/>
      <c r="C763" s="21"/>
      <c r="D763" s="15"/>
      <c r="E763" s="15"/>
      <c r="F763" s="15"/>
      <c r="G763" s="387"/>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c r="AG763" s="15"/>
      <c r="AH763" s="15"/>
    </row>
    <row r="764" ht="16.5" customHeight="1">
      <c r="A764" s="15"/>
      <c r="B764" s="15"/>
      <c r="C764" s="21"/>
      <c r="D764" s="15"/>
      <c r="E764" s="15"/>
      <c r="F764" s="15"/>
      <c r="G764" s="387"/>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c r="AG764" s="15"/>
      <c r="AH764" s="15"/>
    </row>
    <row r="765" ht="16.5" customHeight="1">
      <c r="A765" s="15"/>
      <c r="B765" s="15"/>
      <c r="C765" s="21"/>
      <c r="D765" s="15"/>
      <c r="E765" s="15"/>
      <c r="F765" s="15"/>
      <c r="G765" s="387"/>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c r="AG765" s="15"/>
      <c r="AH765" s="15"/>
    </row>
    <row r="766" ht="16.5" customHeight="1">
      <c r="A766" s="15"/>
      <c r="B766" s="15"/>
      <c r="C766" s="21"/>
      <c r="D766" s="15"/>
      <c r="E766" s="15"/>
      <c r="F766" s="15"/>
      <c r="G766" s="387"/>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c r="AG766" s="15"/>
      <c r="AH766" s="15"/>
    </row>
    <row r="767" ht="16.5" customHeight="1">
      <c r="A767" s="15"/>
      <c r="B767" s="15"/>
      <c r="C767" s="21"/>
      <c r="D767" s="15"/>
      <c r="E767" s="15"/>
      <c r="F767" s="15"/>
      <c r="G767" s="387"/>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c r="AG767" s="15"/>
      <c r="AH767" s="15"/>
    </row>
    <row r="768" ht="16.5" customHeight="1">
      <c r="A768" s="15"/>
      <c r="B768" s="15"/>
      <c r="C768" s="21"/>
      <c r="D768" s="15"/>
      <c r="E768" s="15"/>
      <c r="F768" s="15"/>
      <c r="G768" s="387"/>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c r="AG768" s="15"/>
      <c r="AH768" s="15"/>
    </row>
    <row r="769" ht="16.5" customHeight="1">
      <c r="A769" s="15"/>
      <c r="B769" s="15"/>
      <c r="C769" s="21"/>
      <c r="D769" s="15"/>
      <c r="E769" s="15"/>
      <c r="F769" s="15"/>
      <c r="G769" s="387"/>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c r="AG769" s="15"/>
      <c r="AH769" s="15"/>
    </row>
    <row r="770" ht="16.5" customHeight="1">
      <c r="A770" s="15"/>
      <c r="B770" s="15"/>
      <c r="C770" s="21"/>
      <c r="D770" s="15"/>
      <c r="E770" s="15"/>
      <c r="F770" s="15"/>
      <c r="G770" s="387"/>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c r="AG770" s="15"/>
      <c r="AH770" s="15"/>
    </row>
    <row r="771" ht="16.5" customHeight="1">
      <c r="A771" s="15"/>
      <c r="B771" s="15"/>
      <c r="C771" s="21"/>
      <c r="D771" s="15"/>
      <c r="E771" s="15"/>
      <c r="F771" s="15"/>
      <c r="G771" s="387"/>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c r="AG771" s="15"/>
      <c r="AH771" s="15"/>
    </row>
    <row r="772" ht="16.5" customHeight="1">
      <c r="A772" s="15"/>
      <c r="B772" s="15"/>
      <c r="C772" s="21"/>
      <c r="D772" s="15"/>
      <c r="E772" s="15"/>
      <c r="F772" s="15"/>
      <c r="G772" s="387"/>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c r="AG772" s="15"/>
      <c r="AH772" s="15"/>
    </row>
    <row r="773" ht="16.5" customHeight="1">
      <c r="A773" s="15"/>
      <c r="B773" s="15"/>
      <c r="C773" s="21"/>
      <c r="D773" s="15"/>
      <c r="E773" s="15"/>
      <c r="F773" s="15"/>
      <c r="G773" s="387"/>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c r="AG773" s="15"/>
      <c r="AH773" s="15"/>
    </row>
    <row r="774" ht="16.5" customHeight="1">
      <c r="A774" s="15"/>
      <c r="B774" s="15"/>
      <c r="C774" s="21"/>
      <c r="D774" s="15"/>
      <c r="E774" s="15"/>
      <c r="F774" s="15"/>
      <c r="G774" s="387"/>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c r="AG774" s="15"/>
      <c r="AH774" s="15"/>
    </row>
  </sheetData>
  <mergeCells count="16">
    <mergeCell ref="C3:I3"/>
    <mergeCell ref="B6:B24"/>
    <mergeCell ref="C6:C24"/>
    <mergeCell ref="D6:D24"/>
    <mergeCell ref="B25:B46"/>
    <mergeCell ref="C25:C46"/>
    <mergeCell ref="D25:D46"/>
    <mergeCell ref="C101:C127"/>
    <mergeCell ref="D101:D127"/>
    <mergeCell ref="B47:B72"/>
    <mergeCell ref="C47:C72"/>
    <mergeCell ref="D47:D72"/>
    <mergeCell ref="B73:B100"/>
    <mergeCell ref="C73:C100"/>
    <mergeCell ref="D73:D100"/>
    <mergeCell ref="B101:B127"/>
  </mergeCells>
  <dataValidations>
    <dataValidation type="list" allowBlank="1" sqref="H28:K28">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formula1>
    </dataValidation>
    <dataValidation type="list" allowBlank="1" sqref="H49:K49">
      <formula1>"SetGeneralPreferences,AddMFPreferences,SetMFPreferencesDefaultRule,SetMFPrefFundDistribution,SetMFPrefAccountValues,SetMFPrefFundDefaultRule,SetMFPrefGeneralRule,SetMFPreFundDefaultRule1,UpdateGRAccountValue,UpdateGRDefaultRule,SetMFPrefGeneralRule1,Updat"&amp;"eGRDefaultRule1,SetMFPrefAccountValues1,SetMFPrefFundDefaultRule1,SetMFPrefGeneralRule2,UpdateGRAccountValue1,UpdateGRDefaultRule2,GetDailyCash,UpdateDailyCash,CreateDoneAwayOrder,CheckAllocatedGroups,GetDataClosing,VerifyLongPositionsGrid,VerifyShortPosi"&amp;"tionsGrid,GetDataAllocation,Copy of Data,Copy of Data 1"</formula1>
    </dataValidation>
    <dataValidation type="list" allowBlank="1" sqref="H73:K73">
      <formula1>"CreateDoneAwayOrder,Copy of Data_conflict514882383,SetGeneralPreferences,Copy of Data 1_conflict1635732093,AddMFPreferences,Copy of Data 1_conflict1553274978,Copy of Data 1,SetMFPreferencesDefaultRule,Copy of Data 2,SetMFPrefFundDistribution,SetMFPrefAcco"&amp;"untValues,Copy of Data 3,Copy of Data 4,Copy of Data 5,SetMFPrefFundDefaultRule,Copy of Data 6_conflict1400711061,Copy of Data 6,Copy of Data 6_conflict1882403929,SetMFPrefGeneralRule,ModifyMFPrefGeneralRuleValues,Copy of Data 7,Copy of Data 8,Copy of Dat"&amp;"a 8_conflict2129777289,SaveCloseMFPreference,Copy of Data 9,SelectUnallocatedGroup,Copy of Data 10,EnterAllocatePreference,Copy of Data 11_conflict1846335584,Allocate,Copy of Data 11,CheckAllocatedGroups,GetDataClosing,Copy of Data 12,VerifyLongPositionsG"&amp;"rid,CleanUp,Copy of Data 13_conflict1025066524,GetDailyCash,Copy of Data 13_conflict459406529"</formula1>
    </dataValidation>
    <dataValidation type="list" allowBlank="1" sqref="H79:K79">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2,Copy of Data 3"</formula1>
    </dataValidation>
    <dataValidation type="list" allowBlank="1" sqref="H6:K6">
      <formula1>"SetGeneralPreferences,Copy of Data_conflict1289120413"</formula1>
    </dataValidation>
    <dataValidation type="list" allowBlank="1" sqref="H26:K26">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formula1>
    </dataValidation>
    <dataValidation type="list" allowBlank="1" sqref="F19 F41 F66 F94">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7:F17 F20 F24 F27:F40 F42 F46 F48:F62 F67 F71:F72 F77:F93 F95 F99:F100 F103:F119 F122 F126:F129">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amp;",,,,,,,,,,,,,,,,,,,,,,,,,,,,,,,,,,,,,,,,,,,,,,,,,,,,,,,,,,,,,,,,,,,,,,,,,,,,,,,,,,,,,,,,,,,,,,,,,,,,,,,,,,,,,,,,,,,,,,,,,,,,,,,,,,,,,,,,,,,,,,,,,,,,,,,,,,,,,,,,,,,,,,,,,,,,,,,,,,,,,,,,,,,,,,,,,,,,,,,,,,,,,,,,,,,,,,,,,,,,,,,,,,,,,,,,,,,,,,,,,,,,,,,,,,,,,,,"&amp;",,,,,,,,,,,,,,,,,,,,,,,,,,,,,,,,,,,,,,,,,,,,,,,,,,,,,,,,,,,,,,,,,,,,,,,,,,,,,,,,,,,,,,,,,,,,,,,,,,,,,,,,,,,,,,,,,,,,,"</formula1>
    </dataValidation>
    <dataValidation type="list" allowBlank="1" sqref="H10:K10">
      <formula1>"SetGeneralPreferences,AddMFPreferences,SetMFPreferencesDefaultRule,SetMFPrefFundDistribution,SetMFPrefAccountValues,SetMFPrefFundDefaultRule,SetMFPrefGeneralRule,UpdateGRAccountValue,UpdateGRDefaultRule,SetMFPrefGeneralRule1,UpdateGRDefaultRule1,UpdateGRA"&amp;"ccountValue1,CreateDoneAwayOrder,CheckAllocatedGroups,GetDataClosing,VerifyLongPositionsGrid,VerifyShortPositionsGrid,GetDataAllocation,Copy of Data,Copy of Data 1,Copy of Data 2,Copy of Data 3"</formula1>
    </dataValidation>
    <dataValidation type="list" allowBlank="1" sqref="F63:F64 F74:F75">
      <formula1>"UpdateBeta,UpdateDailyCash,UpdateForexConversion,CleanUp,GetMarkPriceData,GetForwardPoints,GetForexConversion,AddForexConversion,GetNAV,AddNAV,DeleteNAV,GetDailyCash,AddDailyCash,GetDailyBeta,GetDailyVolatility,GetDailyDividendYield,GetDailyTradingVolume,"&amp;"GetDailyOutstandings,GetDailyDelta,UpdateDailyVolatility,UpdateDividendYield,DataManagement.Click(MouseButtons.Left);,UpdateTradingVolume,UpdateDailyDelta,UpdateDailyOutstandings,AddForexConversion,UpdateBeta,UpdateNAV,UpdateDailyCash,UpdateCreditLimt,Upd"&amp;"ateDailyCreditLimt,AddDailyCreditLimit,RemoveDailyCreditLimt,RemoveDailyCreditLimit,RemoveDailyCash,RemoveNAV,UpdateMarkPrice,UpdateForwardPoints,,,,,,,,,,,,,,,,,,,,,,,,,,,,,,,,,,,,,,,,,,,,,,,,,,,,,,,,,,,,,,,,,,,,,,,,,,,,,,,,,,,,,,,,,,,,,,,,,,,,,,,,,,,,,,"&amp;",,,,,,,,,,,,,,,,,,,,,,,,,,,,,,,,,,,,,,,,,,,,,,,,,,,,,,,,,,,,,,,,,,,,,,,,,,,,,,,,,,,,,,,,,,,,,,,,,,,,,,,,,,,,,,,,,,,,,,,,,,,,,,,,,,,,,,,,,,,,,,,,,,,,,,,,,,,,,,,,,,,,,,,,,,,,,,,,,,,,,,,,,,,,,,,,,,,,,,,,,,,,,,,,,,,,,,,,,,,,,,,,,,,,,,,,,,,,,,,,,,,,,,,,,,,,,,,"&amp;",,,,,,,,,,,,,,,,,,,,,,,,,,,,,,,,,,,,,,,,,,,,,,,,,,,,,,,,,,,,,,,,,,,,,,,,,,,,,,,,,,,,,,,,,,,,,,"</formula1>
    </dataValidation>
    <dataValidation type="list" allowBlank="1" sqref="F18 F26 F65 F76 F121">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H78:K78">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formula1>
    </dataValidation>
    <dataValidation type="list" allowBlank="1" sqref="E6:E146 E149:E774">
      <formula1>'_Modules'!$A$4:$A774</formula1>
    </dataValidation>
    <dataValidation type="list" allowBlank="1" sqref="H29:K29">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2,Copy of Data 3"</formula1>
    </dataValidation>
    <dataValidation type="list" allowBlank="1" sqref="H82:K88">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2,Copy of Data 3,Copy of Data 4,Copy of Data 5,Copy of Data 6"</formula1>
    </dataValidation>
    <dataValidation type="list" allowBlank="1" sqref="H89:K89 H91:K92 H94:K94">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2,Copy of Data 3,Copy of Data 4,Copy of Data 5,Copy of Data 6,setmf"</formula1>
    </dataValidation>
    <dataValidation type="list" allowBlank="1" sqref="H25:K25">
      <formula1>"Copy of Data,CreateDoneAwayOrder"</formula1>
    </dataValidation>
    <dataValidation type="list" allowBlank="1" sqref="H32:K32">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2,Copy of Data 3,Copy of Data 4"&amp;",Copy of Data 5,Copy of Data 6"</formula1>
    </dataValidation>
    <dataValidation type="list" allowBlank="1" sqref="H52:K52">
      <formula1>"SetGeneralPreferences,AddMFPreferences,SetMFPreferencesDefaultRule,SetMFPrefFundDistribution,SetMFPrefAccountValues,SetMFPrefFundDefaultRule,SetMFPrefGeneralRule,SetMFPreFundDefaultRule1,UpdateGRAccountValue,UpdateGRDefaultRule,SetMFPrefGeneralRule1,Updat"&amp;"eGRDefaultRule1,SetMFPrefAccountValues1,SetMFPrefFundDefaultRule1,SetMFPrefGeneralRule2,UpdateGRAccountValue1,UpdateGRDefaultRule2,GetDailyCash,UpdateDailyCash,CreateDoneAwayOrder,CheckAllocatedGroups,GetDataClosing,VerifyLongPositionsGrid,VerifyShortPosi"&amp;"tionsGrid,GetDataAllocation,Copy of Data,Copy of Data 1,Copy of Data 2,Copy of Data 3,Copy of Data 3_conflict2139194430"</formula1>
    </dataValidation>
    <dataValidation type="list" allowBlank="1" sqref="H13:K16 H18:K23">
      <formula1>"SetGeneralPreferences,AddMFPreferences,SetMFPreferencesDefaultRule,SetMFPrefFundDistribution,SetMFPrefAccountValues,SetMFPrefFundDefaultRule,SetMFPrefGeneralRule,UpdateGRAccountValue,UpdateGRDefaultRule,SetMFPrefGeneralRule1,UpdateGRDefaultRule1,UpdateGRA"&amp;"ccountValue1,CreateDoneAwayOrder,CheckAllocatedGroups,GetDataClosing,VerifyLongPositionsGrid,VerifyShortPositionsGrid,GetDataAllocation,Copy of Data,Copy of Data 1,Copy of Data 2,Copy of Data 3,Copy of Data 4,Copy of Data 5,Copy of Data 6"</formula1>
    </dataValidation>
    <dataValidation type="list" allowBlank="1" sqref="F6 F25 F47 F73">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StrategyValuesToAllocate,SetGeneralRuleCalculatedPref,CopyCalculatedPreferenceToolbar,EnterAllocatePreference,ExportAllCalculatedPreferences,SaveCalculatedPreferences,CloseCalculatedPreferences,ExportCalculatedPreference,EditUnal"&amp;"locatedGroupSidePanel,ImportCalculatedPreferences,OpenAuditTrailUnallocatedGroup,DeleteCalculatedPreferencesTool,ImportCalculatedPreferencesTool,ExportAllCalculatedPreferTool,CheckFixedPreference,DeleteFixedPreference,OpenSymbolLookupUnallocateGroup,OpenS"&amp;"ymbolLookupAllocatedGroup,GetFixedPreference,CheckAllocatedGroups,CheckUnallocatedGroups,SetGeneralPreferences,EditAllocatedGroupSidePanel,OpenAuditTrailAllocatedGroup,GroupTrades,UngroupTrades,DeleteGroup,CloseOrder,Unallocate,CloseAllocation,GeneralPref"&amp;"CompanyUserWise,SetGeneralRuleCalPreference,UpdateGRAccountValue,UpdateGRStrategyValue,UpdateGRDefaultRule,UpdateGeneralRulePref,ModifyGRPreferenceValues,AddMFPreferences,AddMFPreferenceToolbar,DeleteMFPreferences,DeleteMFPreferenceToolbar,RenameMFPrefere"&amp;"nces,SaveCloseMFPreference,SetMFPrefAccountValues,ModifyMFPrefGeneralRuleValues,SetMFPrefStrategyValues,SetMFPrefFundDistribution,SetMFPreferencesDefaultRule,SetMFPrefGeneralRule,SetMFPrefFundDefaultRule,ClearPrefetchFilters,ExpandCollapseAllUnallocated,E"&amp;"xpandCollapseAllAllocated,GenerateCashTransaction,SaveAllocation,UnallocateWithOutSave,,,,,,,,,,,,,,,,,,,,,,,,,,,,,,,,,,,,,,,,,,,,,,,,,,,,,,,,,,,,,,,,,,,,,,,,,,,,,,,,,,,,,,,,,,,,,,,,,,,,,,,,,,,,,,,,,,,,,,,,,,,,,,,,,,,,,,,,,,,,,,,,,,,,,,,,,,,,,,,,,,,,,,,,,"&amp;",,,,,,,,,,,,,,,,,,,,,,,,,,,,,,,,,,,,,,,,,,,,,,,,,,,,,,,,,,,,,,,,,,,,,,,,,,,,,,,,,,,,,,,,,,,,,,,,,,,,,,,,,,,,,,,,,,,,,,,,,,,,,,,,,,,,,,,,,,,,,,,,,,,,,,,,,,,,,,,,,,,,,,,,,,,,,,,,,,,,,,,,,,,,,,,,,,,,,,,,,,,,,,,,,,,,,,,,,,,,,,,,,,"</formula1>
    </dataValidation>
    <dataValidation type="list" allowBlank="1" sqref="H54:K61 H63:K70">
      <formula1>"SetGeneralPreferences,AddMFPreferences,SetMFPreferencesDefaultRule,SetMFPrefFundDistribution,SetMFPrefAccountValues,SetMFPrefFundDefaultRule,SetMFPrefGeneralRule,SetMFPreFundDefaultRule1,UpdateGRAccountValue,UpdateGRDefaultRule,SetMFPrefGeneralRule1,Updat"&amp;"eGRDefaultRule1,SetMFPrefAccountValues1,SetMFPrefFundDefaultRule1,SetMFPrefGeneralRule2,UpdateGRAccountValue1,UpdateGRDefaultRule2,GetDailyCash,UpdateDailyCash,CreateDoneAwayOrder,CheckAllocatedGroups,GetDataClosing,VerifyLongPositionsGrid,VerifyShortPosi"&amp;"tionsGrid,GetDataAllocation,Copy of Data,Copy of Data 1,Copy of Data 2,Copy of Data 3,Copy of Data 3_conflict2139194430,Copy of Data 4,Copy of Data 5"</formula1>
    </dataValidation>
    <dataValidation type="list" allowBlank="1" sqref="H74:K74">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formula1>
    </dataValidation>
    <dataValidation type="list" allowBlank="1" sqref="H47:K47">
      <formula1>"SetGeneralPreferences,AddMFPreferenceToolbar,SetMFPreferencesDefaultRule,SetMFPrefFundDistribution,SetMFPrefAccountValues,SetMFPrefFundDefaultRule,SetMFPrefGeneralRule,CreateDoneAwayOrder,CheckAllocatedGroups,GetDataClosing,VerifyLongPositionsGrid,VerifyS"&amp;"hortPositionsGrid,SetMFPrefGeneralRule1,SetMFPreferencesDefaultRule1,UpdateGRAccountValue1,UpdateGRAccountValue,Copy of Data,Copy of Data_conflict1619028371,Copy of Data 1,SetMFPrefFundDefaultRule1,Copy of Data 2,AddMFPreferences,Copy of Data 3"</formula1>
    </dataValidation>
    <dataValidation type="list" allowBlank="1" sqref="H27:K27">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formula1>
    </dataValidation>
    <dataValidation type="list" allowBlank="1" sqref="H31:K31">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2,Copy of Data 3,Copy of Data 4"&amp;",Copy of Data 5"</formula1>
    </dataValidation>
    <dataValidation type="list" allowBlank="1" sqref="F101:F102">
      <formula1>"UpdateBeta,UpdateDailyCash,UpdateForexConversion,UpdateMarkPrice,CleanUp,GetMarkPriceData,UpdateForwardPoints,GetForwardPoints,UpdateForwardPoints,GetForexConversion,DeleteNAV,GetDailyCash,GetDailyOutstandings,GetDailyVolatility,GetDailyDividendYield,GetD"&amp;"ailyBeta,GetDailyTradingVolume,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H101:K119 H121:K125">
      <formula1>"GetDailyCash,UpdateDailyCash,SetGeneralPreferences,AddMFPreferences,SetMFPreferencesDefaultRule,SetMFPrefAccountValues,SetMFPrefFundDefaultRule,SetMFPrefGeneralRule,UpdateGRDefaultRule,SetMFPrefGeneralRule1,UpdateGRAccountValue,UpdateGRDefaultRule1,SetMFP"&amp;"refGeneralRule2,UpdateGRDefaultRule2,SetMFPrefAccountValues1,SetMFPrefFundDefaultRule1,SetMFPrefGeneralRule3,UpdateGRAccountValue1,UpdateGRDefaultRule3,SetMFPrefGeneralRule4,UpdateGRDefaultRule4,CreateDoneAwayOrder,CheckAllocatedGroups,GetDataClosing,Veri"&amp;"fyLongPositionsGrid,VerifyShortPositionsGrid"</formula1>
    </dataValidation>
    <dataValidation type="list" allowBlank="1" sqref="H30:K30">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2,Copy of Data 3,Copy of Data 4"</formula1>
    </dataValidation>
    <dataValidation type="list" allowBlank="1" sqref="H41:K45">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2,Copy of Data 3,Copy of Data 4"&amp;",Copy of Data 5,Copy of Data 6,Copy of Data 7,EnterAllocatePerference"</formula1>
    </dataValidation>
    <dataValidation type="list" allowBlank="1" sqref="H128:K128">
      <formula1>"SetGeneralPreferences,Copy of Data"</formula1>
    </dataValidation>
    <dataValidation type="list" allowBlank="1" sqref="H53:K53">
      <formula1>"SetGeneralPreferences,AddMFPreferences,SetMFPreferencesDefaultRule,SetMFPrefFundDistribution,SetMFPrefAccountValues,SetMFPrefFundDefaultRule,SetMFPrefGeneralRule,SetMFPreFundDefaultRule1,UpdateGRAccountValue,UpdateGRDefaultRule,SetMFPrefGeneralRule1,Updat"&amp;"eGRDefaultRule1,SetMFPrefAccountValues1,SetMFPrefFundDefaultRule1,SetMFPrefGeneralRule2,UpdateGRAccountValue1,UpdateGRDefaultRule2,GetDailyCash,UpdateDailyCash,CreateDoneAwayOrder,CheckAllocatedGroups,GetDataClosing,VerifyLongPositionsGrid,VerifyShortPosi"&amp;"tionsGrid,GetDataAllocation,Copy of Data,Copy of Data 1,Copy of Data 2,Copy of Data 3,Copy of Data 3_conflict2139194430,Copy of Data 4"</formula1>
    </dataValidation>
    <dataValidation type="list" allowBlank="1" sqref="H50:K51">
      <formula1>"SetGeneralPreferences,AddMFPreferences,SetMFPreferencesDefaultRule,SetMFPrefFundDistribution,SetMFPrefAccountValues,SetMFPrefFundDefaultRule,SetMFPrefGeneralRule,SetMFPreFundDefaultRule1,UpdateGRAccountValue,UpdateGRDefaultRule,SetMFPrefGeneralRule1,Updat"&amp;"eGRDefaultRule1,SetMFPrefAccountValues1,SetMFPrefFundDefaultRule1,SetMFPrefGeneralRule2,UpdateGRAccountValue1,UpdateGRDefaultRule2,GetDailyCash,UpdateDailyCash,CreateDoneAwayOrder,CheckAllocatedGroups,GetDataClosing,VerifyLongPositionsGrid,VerifyShortPosi"&amp;"tionsGrid,GetDataAllocation,Copy of Data,Copy of Data 1,Copy of Data 2"</formula1>
    </dataValidation>
    <dataValidation type="list" allowBlank="1" sqref="D6 D25 D47 D73 D101 D128:D146 D149:D774">
      <formula1>'_Categories'!$A$4:$A774</formula1>
    </dataValidation>
    <dataValidation type="list" allowBlank="1" sqref="H75:K77">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formula1>
    </dataValidation>
    <dataValidation type="list" allowBlank="1" sqref="F21:F23 F43:F45 F68:F70 F96:F98 F123:F125">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81:K81">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2,Copy of Data 3,Copy of Data 4,Copy of Data 5"</formula1>
    </dataValidation>
    <dataValidation type="list" allowBlank="1" sqref="H12:K12">
      <formula1>"SetGeneralPreferences,AddMFPreferences,SetMFPreferencesDefaultRule,SetMFPrefFundDistribution,SetMFPrefAccountValues,SetMFPrefFundDefaultRule,SetMFPrefGeneralRule,UpdateGRAccountValue,UpdateGRDefaultRule,SetMFPrefGeneralRule1,UpdateGRDefaultRule1,UpdateGRA"&amp;"ccountValue1,CreateDoneAwayOrder,CheckAllocatedGroups,GetDataClosing,VerifyLongPositionsGrid,VerifyShortPositionsGrid,GetDataAllocation,Copy of Data,Copy of Data 1,Copy of Data 2,Copy of Data 3,Copy of Data 4,Copy of Data 5"</formula1>
    </dataValidation>
    <dataValidation type="list" allowBlank="1" sqref="H39:K39">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formula1>
    </dataValidation>
    <dataValidation type="list" allowBlank="1" sqref="H33:K36 H38:K38">
      <formula1>"CreateDoneAwayOrder,SetGeneralPreferences,AddMFPreferences,SetMFPreferencesDefaultRule,SetMFPrefFundDistribution,SetMFPrefAccountValues,SetMFPrefFundDefaultRule,SetMFPrefGeneralRule,UpdateGRAccountValue,UpdateGRDefaultRule,SetMFPrefGeneralRule1,UpdateGRDe"&amp;"faultRule1,UpdateGRAccountValue1,SelectUnallocatedGroup,EnterAllocatePreference,CheckAllocatedGroups,GetDataClosing,VerifyLongPositionsGrid,VerifyShortPositionsGrid,GetDataAllocation,Copy of Data,Copy of Data 1,Copy of Data 2,Copy of Data 3,Copy of Data 4"&amp;",Copy of Data 5,Copy of Data 6,Copy of Data 7"</formula1>
    </dataValidation>
    <dataValidation type="list" allowBlank="1" sqref="H11:K11">
      <formula1>"SetGeneralPreferences,AddMFPreferences,SetMFPreferencesDefaultRule,SetMFPrefFundDistribution,SetMFPrefAccountValues,SetMFPrefFundDefaultRule,SetMFPrefGeneralRule,UpdateGRAccountValue,UpdateGRDefaultRule,SetMFPrefGeneralRule1,UpdateGRDefaultRule1,UpdateGRA"&amp;"ccountValue1,CreateDoneAwayOrder,CheckAllocatedGroups,GetDataClosing,VerifyLongPositionsGrid,VerifyShortPositionsGrid,GetDataAllocation,Copy of Data,Copy of Data 1,Copy of Data 2,Copy of Data 3,Copy of Data 4"</formula1>
    </dataValidation>
    <dataValidation type="list" allowBlank="1" sqref="H48:K48">
      <formula1>"SetGeneralPreferences,AddMFPreferences,SetMFPreferencesDefaultRule,SetMFPrefFundDistribution,SetMFPrefAccountValues,SetMFPrefFundDefaultRule,SetMFPrefGeneralRule,SetMFPreFundDefaultRule1,UpdateGRAccountValue,UpdateGRDefaultRule,SetMFPrefGeneralRule1,Updat"&amp;"eGRDefaultRule1,SetMFPrefAccountValues1,SetMFPrefFundDefaultRule1,SetMFPrefGeneralRule2,UpdateGRAccountValue1,UpdateGRDefaultRule2,GetDailyCash,UpdateDailyCash,CreateDoneAwayOrder,CheckAllocatedGroups,GetDataClosing,VerifyLongPositionsGrid,VerifyShortPosi"&amp;"tionsGrid,GetDataAllocation,Copy of Data"</formula1>
    </dataValidation>
    <dataValidation type="list" allowBlank="1" sqref="H9:K9">
      <formula1>"SetGeneralPreferences,AddMFPreferences,SetMFPreferencesDefaultRule,SetMFPrefFundDistribution,SetMFPrefAccountValues,SetMFPrefFundDefaultRule,SetMFPrefGeneralRule,UpdateGRAccountValue,UpdateGRDefaultRule,SetMFPrefGeneralRule1,UpdateGRDefaultRule1,UpdateGRA"&amp;"ccountValue1,CreateDoneAwayOrder,CheckAllocatedGroups,GetDataClosing,VerifyLongPositionsGrid,VerifyShortPositionsGrid,GetDataAllocation,Copy of Data,Copy of Data 1,Copy of Data 2"</formula1>
    </dataValidation>
    <dataValidation type="list" allowBlank="1" sqref="H7:K8">
      <formula1>"SetGeneralPreferences,AddMFPreferences,SetMFPreferencesDefaultRule,SetMFPrefFundDistribution,SetMFPrefAccountValues,SetMFPrefFundDefaultRule,SetMFPrefGeneralRule,UpdateGRAccountValue,UpdateGRDefaultRule,SetMFPrefGeneralRule1,UpdateGRDefaultRule1,UpdateGRA"&amp;"ccountValue1,CreateDoneAwayOrder,CheckAllocatedGroups,GetDataClosing,VerifyLongPositionsGrid,VerifyShortPositionsGrid,GetDataAllocation,Copy of Data"</formula1>
    </dataValidation>
    <dataValidation type="list" allowBlank="1" sqref="H95:K98">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2,Copy of Data 3,Copy of Data 4,Copy of Data 5,Copy of Data 6,setmf,Copy of Data 7"</formula1>
    </dataValidation>
    <dataValidation type="list" allowBlank="1" sqref="H80:K80">
      <formula1>"GetDailyCash,UpdateDailyCash,CreateDoneAwayOrder,SetGeneralPreferences,AddMFPreferences,SetMFPreferencesDefaultRule,SetMFPrefFundDistribution,SetMFPrefFundDefaultRule,SetMFPrefGeneralRule,UpdateGRAccountValue,UpdateGRDefaultRule,SetMFPrefGeneralRule1,Upda"&amp;"teGRDefaultRule1,SetMFPrefAccountValues,SetMFPrefFundDefaultRule1,SetMFPrefGeneralRule2,UpdateGRAccountValue1,UpdateGRDefaultRule2,SelectUnallocatedGroup,EnterAllocatePreference,CheckAllocatedGroups,GetDataAllocation,GetDataClosing,VerifyLongPositionsGrid"&amp;",VerifyShortPositionsGrid,Copy of Data,Copy of Data 1,Copy of Data 2,Copy of Data 3,Copy of Data 4"</formula1>
    </dataValidation>
  </dataValidations>
  <hyperlinks>
    <hyperlink r:id="rId1" location="gid=395774200" ref="G7"/>
    <hyperlink r:id="rId2" location="gid=1274904681" ref="G8"/>
    <hyperlink r:id="rId3" location="gid=1962271378" ref="G9"/>
    <hyperlink r:id="rId4" location="gid=2122483923" ref="G10"/>
    <hyperlink r:id="rId5" location="gid=642618740" ref="G11"/>
    <hyperlink r:id="rId6" location="gid=309536510" ref="G12"/>
    <hyperlink r:id="rId7" location="gid=1539745011" ref="G13"/>
    <hyperlink r:id="rId8" location="gid=844265064" ref="G14"/>
    <hyperlink r:id="rId9" location="gid=435347949" ref="G15"/>
    <hyperlink r:id="rId10" location="gid=1156536245" ref="G16"/>
    <hyperlink r:id="rId11" location="gid=1974343131" ref="G18"/>
    <hyperlink r:id="rId12" location="gid=1613584657" ref="G19"/>
    <hyperlink r:id="rId13" location="gid=1376054256" ref="G20"/>
    <hyperlink r:id="rId14" location="gid=1100677461" ref="G21"/>
    <hyperlink r:id="rId15" location="gid=720455514" ref="G22"/>
    <hyperlink r:id="rId16" location="gid=1210350681" ref="G23"/>
    <hyperlink r:id="rId17" location="gid=1322620126" ref="G26"/>
    <hyperlink r:id="rId18" location="gid=1183888856" ref="G27"/>
    <hyperlink r:id="rId19" location="gid=1043256824" ref="G28"/>
    <hyperlink r:id="rId20" location="gid=1204280963" ref="G29"/>
    <hyperlink r:id="rId21" location="gid=1118518375" ref="G30"/>
    <hyperlink r:id="rId22" location="gid=1789815751" ref="G31"/>
    <hyperlink r:id="rId23" location="gid=912176319" ref="G32"/>
    <hyperlink r:id="rId24" location="gid=1374077915" ref="G33"/>
    <hyperlink r:id="rId25" location="gid=465893" ref="G34"/>
    <hyperlink r:id="rId26" location="gid=600965185" ref="G35"/>
    <hyperlink r:id="rId27" location="gid=1723072603" ref="G36"/>
    <hyperlink r:id="rId28" location="gid=425354300" ref="G38"/>
    <hyperlink r:id="rId29" location="gid=1289795575" ref="G39"/>
    <hyperlink r:id="rId30" location="gid=1281026777" ref="G41"/>
    <hyperlink r:id="rId31" location="gid=1341845442" ref="G42"/>
    <hyperlink r:id="rId32" location="gid=1766154764" ref="G43"/>
    <hyperlink r:id="rId33" location="gid=448119487" ref="G44"/>
    <hyperlink r:id="rId34" location="gid=1074856480" ref="G45"/>
    <hyperlink r:id="rId35" location="gid=566944329" ref="G48"/>
    <hyperlink r:id="rId36" location="gid=1105070590" ref="G49"/>
    <hyperlink r:id="rId37" location="gid=1858514474" ref="G50"/>
    <hyperlink r:id="rId38" location="gid=589451340" ref="G51"/>
    <hyperlink r:id="rId39" location="gid=655349189" ref="G52"/>
    <hyperlink r:id="rId40" location="gid=1880773244" ref="G53"/>
    <hyperlink r:id="rId41" location="gid=1841386799" ref="G54"/>
    <hyperlink r:id="rId42" location="gid=639518829" ref="G55"/>
    <hyperlink r:id="rId43" location="gid=1104808580" ref="G56"/>
    <hyperlink r:id="rId44" location="gid=344915536" ref="G57"/>
    <hyperlink r:id="rId45" location="gid=160323431" ref="G58"/>
    <hyperlink r:id="rId46" location="gid=331881712" ref="G59"/>
    <hyperlink r:id="rId47" location="gid=203048528" ref="G60"/>
    <hyperlink r:id="rId48" location="gid=1343467336" ref="G61"/>
    <hyperlink r:id="rId49" location="gid=1465727019" ref="G63"/>
    <hyperlink r:id="rId50" location="gid=606779474" ref="G64"/>
    <hyperlink r:id="rId51" location="gid=181358190" ref="G65"/>
    <hyperlink r:id="rId52" location="gid=1528455853" ref="G66"/>
    <hyperlink r:id="rId53" location="gid=1377724533" ref="G67"/>
    <hyperlink r:id="rId54" location="gid=2146873130" ref="G68"/>
    <hyperlink r:id="rId55" location="gid=1542388677" ref="G69"/>
    <hyperlink r:id="rId56" location="gid=1271614454" ref="G70"/>
    <hyperlink r:id="rId57" location="gid=120082103" ref="G74"/>
    <hyperlink r:id="rId58" location="gid=1362171740" ref="G75"/>
    <hyperlink r:id="rId59" location="gid=722404055" ref="G76"/>
    <hyperlink r:id="rId60" location="gid=1265554209" ref="G77"/>
    <hyperlink r:id="rId61" location="gid=963948978" ref="G78"/>
    <hyperlink r:id="rId62" location="gid=1546999583" ref="G79"/>
    <hyperlink r:id="rId63" location="gid=1485938939" ref="G80"/>
    <hyperlink r:id="rId64" location="gid=612368449" ref="G81"/>
    <hyperlink r:id="rId65" location="gid=978920802" ref="G82"/>
    <hyperlink r:id="rId66" location="gid=354864675" ref="G83"/>
    <hyperlink r:id="rId67" location="gid=941633199" ref="G84"/>
    <hyperlink r:id="rId68" location="gid=213889462" ref="G85"/>
    <hyperlink r:id="rId69" location="gid=548846309" ref="G86"/>
    <hyperlink r:id="rId70" location="gid=444742804" ref="G87"/>
    <hyperlink r:id="rId71" location="gid=986532315" ref="G88"/>
    <hyperlink r:id="rId72" location="gid=2046849572" ref="G89"/>
    <hyperlink r:id="rId73" location="gid=245853968" ref="G91"/>
    <hyperlink r:id="rId74" location="gid=830211462" ref="G92"/>
    <hyperlink r:id="rId75" location="gid=1978073121" ref="G94"/>
    <hyperlink r:id="rId76" location="gid=1086173961" ref="G95"/>
    <hyperlink r:id="rId77" location="gid=1304009986" ref="G96"/>
    <hyperlink r:id="rId78" location="gid=190213684" ref="G97"/>
    <hyperlink r:id="rId79" location="gid=270461072" ref="G98"/>
    <hyperlink r:id="rId80" location="gid=1937537478" ref="G101"/>
    <hyperlink r:id="rId81" location="gid=250047000" ref="G102"/>
    <hyperlink r:id="rId82" location="gid=87679042" ref="G103"/>
    <hyperlink r:id="rId83" location="gid=1878069500" ref="G104"/>
    <hyperlink r:id="rId84" location="gid=1424833201" ref="G105"/>
    <hyperlink r:id="rId85" location="gid=1181296071" ref="G106"/>
    <hyperlink r:id="rId86" location="gid=1322230680" ref="G107"/>
    <hyperlink r:id="rId87" location="gid=1166753938" ref="G108"/>
    <hyperlink r:id="rId88" location="gid=148847870" ref="G109"/>
    <hyperlink r:id="rId89" location="gid=591899965" ref="G110"/>
    <hyperlink r:id="rId90" location="gid=2050620058" ref="G111"/>
    <hyperlink r:id="rId91" location="gid=660086404" ref="G112"/>
    <hyperlink r:id="rId92" location="gid=2080032500" ref="G113"/>
    <hyperlink r:id="rId93" location="gid=2072764803" ref="G114"/>
    <hyperlink r:id="rId94" location="gid=827906752" ref="G115"/>
    <hyperlink r:id="rId95" location="gid=784949277" ref="G116"/>
    <hyperlink r:id="rId96" location="gid=567553872" ref="G117"/>
    <hyperlink r:id="rId97" location="gid=977549375" ref="G118"/>
    <hyperlink r:id="rId98" location="gid=965500443" ref="G119"/>
    <hyperlink r:id="rId99" location="gid=546656866" ref="G121"/>
    <hyperlink r:id="rId100" location="gid=1334483789" ref="G122"/>
    <hyperlink r:id="rId101" location="gid=3793790" ref="G123"/>
    <hyperlink r:id="rId102" location="gid=686567907" ref="G124"/>
    <hyperlink r:id="rId103" location="gid=1078538384" ref="G125"/>
    <hyperlink r:id="rId104" location="gid=2020838046" ref="G128"/>
  </hyperlinks>
  <drawing r:id="rId10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7.71"/>
    <col customWidth="1" min="3" max="3" width="42.71"/>
    <col customWidth="1" min="4" max="4" width="13.0"/>
    <col customWidth="1" min="5" max="5" width="20.57"/>
    <col customWidth="1" min="6" max="6" width="34.71"/>
    <col customWidth="1" min="7" max="7" width="110.0"/>
    <col customWidth="1" min="8" max="8" width="38.43"/>
    <col customWidth="1" min="9" max="9" width="25.57"/>
    <col customWidth="1" min="10" max="10" width="23.86"/>
    <col customWidth="1" min="11" max="11" width="24.57"/>
    <col customWidth="1" min="12" max="12" width="18.0"/>
    <col customWidth="1" min="13" max="34" width="14.43"/>
  </cols>
  <sheetData>
    <row r="1" ht="1.5" customHeight="1">
      <c r="A1" s="12"/>
      <c r="B1" s="12"/>
      <c r="C1" s="13"/>
      <c r="D1" s="14"/>
      <c r="E1" s="14"/>
      <c r="F1" s="14"/>
      <c r="G1" s="386"/>
      <c r="H1" s="14"/>
      <c r="I1" s="14"/>
      <c r="J1" s="12"/>
      <c r="K1" s="12"/>
      <c r="L1" s="12"/>
      <c r="M1" s="15"/>
      <c r="N1" s="15"/>
      <c r="O1" s="15"/>
      <c r="P1" s="15"/>
      <c r="Q1" s="15"/>
      <c r="R1" s="15"/>
      <c r="S1" s="15"/>
      <c r="T1" s="15"/>
      <c r="U1" s="15"/>
      <c r="V1" s="15"/>
      <c r="W1" s="15"/>
      <c r="X1" s="15"/>
      <c r="Y1" s="15"/>
      <c r="Z1" s="15"/>
      <c r="AA1" s="15"/>
      <c r="AB1" s="15"/>
      <c r="AC1" s="15"/>
      <c r="AD1" s="15"/>
      <c r="AE1" s="15"/>
      <c r="AF1" s="15"/>
      <c r="AG1" s="15"/>
      <c r="AH1" s="15"/>
    </row>
    <row r="3" ht="1.5" customHeight="1">
      <c r="A3" s="14" t="s">
        <v>5</v>
      </c>
      <c r="B3" s="14" t="s">
        <v>5</v>
      </c>
      <c r="C3" s="13" t="s">
        <v>6</v>
      </c>
      <c r="J3" s="12"/>
      <c r="K3" s="12"/>
      <c r="L3" s="12"/>
      <c r="M3" s="15"/>
      <c r="N3" s="15"/>
      <c r="O3" s="15"/>
      <c r="P3" s="15"/>
      <c r="Q3" s="15"/>
      <c r="R3" s="15"/>
      <c r="S3" s="15"/>
      <c r="T3" s="15"/>
      <c r="U3" s="15"/>
      <c r="V3" s="15"/>
      <c r="W3" s="15"/>
      <c r="X3" s="15"/>
      <c r="Y3" s="15"/>
      <c r="Z3" s="15"/>
      <c r="AA3" s="15"/>
      <c r="AB3" s="15"/>
      <c r="AC3" s="15"/>
      <c r="AD3" s="15"/>
      <c r="AE3" s="15"/>
      <c r="AF3" s="15"/>
      <c r="AG3" s="15"/>
      <c r="AH3" s="15"/>
    </row>
    <row r="4" ht="17.25" customHeight="1">
      <c r="A4" s="20"/>
      <c r="B4" s="20"/>
      <c r="C4" s="21"/>
      <c r="D4" s="20"/>
      <c r="E4" s="20"/>
      <c r="F4" s="20"/>
      <c r="G4" s="387"/>
      <c r="H4" s="20"/>
      <c r="I4" s="20"/>
      <c r="J4" s="20"/>
      <c r="K4" s="20"/>
      <c r="L4" s="20"/>
      <c r="M4" s="15"/>
      <c r="N4" s="15"/>
      <c r="O4" s="15"/>
      <c r="P4" s="15"/>
      <c r="Q4" s="15"/>
      <c r="R4" s="15"/>
      <c r="S4" s="15"/>
      <c r="T4" s="15"/>
      <c r="U4" s="15"/>
      <c r="V4" s="15"/>
      <c r="W4" s="15"/>
      <c r="X4" s="15"/>
      <c r="Y4" s="15"/>
      <c r="Z4" s="15"/>
      <c r="AA4" s="15"/>
      <c r="AB4" s="15"/>
      <c r="AC4" s="15"/>
      <c r="AD4" s="15"/>
      <c r="AE4" s="15"/>
      <c r="AF4" s="15"/>
      <c r="AG4" s="15"/>
      <c r="AH4" s="15"/>
    </row>
    <row r="5" ht="16.5" customHeight="1">
      <c r="A5" s="22" t="s">
        <v>5</v>
      </c>
      <c r="B5" s="22" t="s">
        <v>7</v>
      </c>
      <c r="C5" s="228" t="s">
        <v>8</v>
      </c>
      <c r="D5" s="22" t="s">
        <v>9</v>
      </c>
      <c r="E5" s="22" t="s">
        <v>10</v>
      </c>
      <c r="F5" s="22" t="s">
        <v>11</v>
      </c>
      <c r="G5" s="388" t="s">
        <v>12</v>
      </c>
      <c r="H5" s="229" t="s">
        <v>13</v>
      </c>
      <c r="I5" s="22" t="s">
        <v>14</v>
      </c>
      <c r="J5" s="22" t="s">
        <v>15</v>
      </c>
      <c r="K5" s="22" t="s">
        <v>16</v>
      </c>
      <c r="L5" s="22"/>
      <c r="M5" s="15"/>
      <c r="N5" s="15"/>
      <c r="O5" s="15"/>
      <c r="P5" s="15"/>
      <c r="Q5" s="15"/>
      <c r="R5" s="15"/>
      <c r="S5" s="15"/>
      <c r="T5" s="15"/>
      <c r="U5" s="15"/>
      <c r="V5" s="15"/>
      <c r="W5" s="15"/>
      <c r="X5" s="15"/>
      <c r="Y5" s="15"/>
      <c r="Z5" s="15"/>
      <c r="AA5" s="15"/>
      <c r="AB5" s="15"/>
      <c r="AC5" s="15"/>
      <c r="AD5" s="15"/>
      <c r="AE5" s="15"/>
      <c r="AF5" s="15"/>
      <c r="AG5" s="15"/>
      <c r="AH5" s="15"/>
    </row>
    <row r="6" ht="16.5" customHeight="1">
      <c r="A6" s="32" t="s">
        <v>5</v>
      </c>
      <c r="B6" s="56" t="s">
        <v>1140</v>
      </c>
      <c r="C6" s="87" t="s">
        <v>5</v>
      </c>
      <c r="D6" s="87" t="s">
        <v>20</v>
      </c>
      <c r="E6" s="87" t="s">
        <v>89</v>
      </c>
      <c r="F6" s="446" t="s">
        <v>291</v>
      </c>
      <c r="G6" s="488"/>
      <c r="H6" s="489"/>
      <c r="I6" s="31"/>
      <c r="J6" s="31"/>
      <c r="K6" s="11"/>
      <c r="L6" s="11"/>
      <c r="M6" s="15"/>
      <c r="N6" s="15"/>
      <c r="O6" s="15"/>
      <c r="P6" s="15"/>
      <c r="Q6" s="15"/>
      <c r="R6" s="15"/>
      <c r="S6" s="15"/>
      <c r="T6" s="15"/>
      <c r="U6" s="15"/>
      <c r="V6" s="15"/>
      <c r="W6" s="15"/>
      <c r="X6" s="15"/>
      <c r="Y6" s="15"/>
      <c r="Z6" s="15"/>
      <c r="AA6" s="15"/>
      <c r="AB6" s="15"/>
      <c r="AC6" s="15"/>
      <c r="AD6" s="15"/>
      <c r="AE6" s="15"/>
      <c r="AF6" s="15"/>
      <c r="AG6" s="15"/>
      <c r="AH6" s="15"/>
    </row>
    <row r="7" ht="16.5" customHeight="1">
      <c r="A7" s="32" t="s">
        <v>5</v>
      </c>
      <c r="B7" s="164" t="s">
        <v>4441</v>
      </c>
      <c r="C7" s="164" t="s">
        <v>4442</v>
      </c>
      <c r="D7" s="83" t="s">
        <v>20</v>
      </c>
      <c r="E7" s="8" t="s">
        <v>88</v>
      </c>
      <c r="F7" s="66" t="s">
        <v>521</v>
      </c>
      <c r="G7" s="490" t="s">
        <v>4443</v>
      </c>
      <c r="H7" s="66" t="s">
        <v>521</v>
      </c>
      <c r="I7" s="15"/>
      <c r="J7" s="15"/>
      <c r="K7" s="15"/>
      <c r="L7" s="15"/>
      <c r="M7" s="15"/>
      <c r="N7" s="15"/>
      <c r="O7" s="15"/>
      <c r="P7" s="15"/>
      <c r="Q7" s="15"/>
      <c r="R7" s="15"/>
      <c r="S7" s="15"/>
      <c r="T7" s="15"/>
      <c r="U7" s="15"/>
      <c r="V7" s="15"/>
      <c r="W7" s="15"/>
      <c r="X7" s="15"/>
      <c r="Y7" s="15"/>
      <c r="Z7" s="15"/>
      <c r="AA7" s="15"/>
      <c r="AB7" s="15"/>
      <c r="AC7" s="15"/>
      <c r="AD7" s="15"/>
      <c r="AE7" s="15"/>
      <c r="AF7" s="15"/>
      <c r="AG7" s="15"/>
      <c r="AH7" s="15"/>
    </row>
    <row r="8" ht="16.5" customHeight="1">
      <c r="A8" s="32" t="s">
        <v>5</v>
      </c>
      <c r="E8" s="8" t="s">
        <v>88</v>
      </c>
      <c r="F8" s="66" t="s">
        <v>496</v>
      </c>
      <c r="G8" s="490" t="s">
        <v>4444</v>
      </c>
      <c r="H8" s="66" t="s">
        <v>496</v>
      </c>
      <c r="I8" s="15"/>
      <c r="J8" s="15"/>
      <c r="K8" s="15"/>
      <c r="L8" s="15"/>
      <c r="M8" s="15"/>
      <c r="N8" s="15"/>
      <c r="O8" s="15"/>
      <c r="P8" s="15"/>
      <c r="Q8" s="15"/>
      <c r="R8" s="15"/>
      <c r="S8" s="15"/>
      <c r="T8" s="15"/>
      <c r="U8" s="15"/>
      <c r="V8" s="15"/>
      <c r="W8" s="15"/>
      <c r="X8" s="15"/>
      <c r="Y8" s="15"/>
      <c r="Z8" s="15"/>
      <c r="AA8" s="15"/>
      <c r="AB8" s="15"/>
      <c r="AC8" s="15"/>
      <c r="AD8" s="15"/>
      <c r="AE8" s="15"/>
      <c r="AF8" s="15"/>
      <c r="AG8" s="15"/>
      <c r="AH8" s="15"/>
    </row>
    <row r="9" ht="16.5" customHeight="1">
      <c r="A9" s="32" t="s">
        <v>5</v>
      </c>
      <c r="E9" s="28" t="s">
        <v>88</v>
      </c>
      <c r="F9" s="66" t="s">
        <v>570</v>
      </c>
      <c r="G9" s="21"/>
      <c r="H9" s="36"/>
      <c r="L9" s="15"/>
      <c r="M9" s="15"/>
      <c r="N9" s="15"/>
      <c r="O9" s="15"/>
      <c r="P9" s="15"/>
      <c r="Q9" s="15"/>
      <c r="R9" s="15"/>
      <c r="S9" s="15"/>
      <c r="T9" s="15"/>
      <c r="U9" s="15"/>
      <c r="V9" s="15"/>
      <c r="W9" s="15"/>
      <c r="X9" s="15"/>
      <c r="Y9" s="15"/>
      <c r="Z9" s="15"/>
      <c r="AA9" s="15"/>
      <c r="AB9" s="15"/>
      <c r="AC9" s="15"/>
      <c r="AD9" s="15"/>
      <c r="AE9" s="15"/>
      <c r="AF9" s="15"/>
      <c r="AG9" s="15"/>
      <c r="AH9" s="15"/>
    </row>
    <row r="10" ht="16.5" customHeight="1">
      <c r="A10" s="32" t="s">
        <v>5</v>
      </c>
      <c r="E10" s="87" t="s">
        <v>88</v>
      </c>
      <c r="F10" s="66" t="s">
        <v>598</v>
      </c>
      <c r="G10" s="21"/>
      <c r="H10" s="36"/>
      <c r="L10" s="15"/>
      <c r="M10" s="15"/>
      <c r="N10" s="15"/>
      <c r="O10" s="15"/>
      <c r="P10" s="15"/>
      <c r="Q10" s="15"/>
      <c r="R10" s="15"/>
      <c r="S10" s="15"/>
      <c r="T10" s="15"/>
      <c r="U10" s="15"/>
      <c r="V10" s="15"/>
      <c r="W10" s="15"/>
      <c r="X10" s="15"/>
      <c r="Y10" s="15"/>
      <c r="Z10" s="15"/>
      <c r="AA10" s="15"/>
      <c r="AB10" s="15"/>
      <c r="AC10" s="15"/>
      <c r="AD10" s="15"/>
      <c r="AE10" s="15"/>
      <c r="AF10" s="15"/>
      <c r="AG10" s="15"/>
      <c r="AH10" s="15"/>
    </row>
    <row r="11" ht="16.5" customHeight="1">
      <c r="A11" s="32" t="s">
        <v>5</v>
      </c>
      <c r="E11" s="87" t="s">
        <v>21</v>
      </c>
      <c r="F11" s="66" t="s">
        <v>51</v>
      </c>
      <c r="G11" s="490" t="s">
        <v>4445</v>
      </c>
      <c r="H11" s="66" t="s">
        <v>51</v>
      </c>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row>
    <row r="12" ht="16.5" customHeight="1">
      <c r="A12" s="32" t="s">
        <v>5</v>
      </c>
      <c r="E12" s="87" t="s">
        <v>88</v>
      </c>
      <c r="F12" s="66" t="s">
        <v>95</v>
      </c>
      <c r="G12" s="21"/>
      <c r="H12" s="66"/>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row>
    <row r="13" ht="16.5" customHeight="1">
      <c r="A13" s="32" t="s">
        <v>5</v>
      </c>
      <c r="E13" s="87" t="s">
        <v>88</v>
      </c>
      <c r="F13" s="66" t="s">
        <v>122</v>
      </c>
      <c r="G13" s="490" t="s">
        <v>4446</v>
      </c>
      <c r="H13" s="66" t="s">
        <v>122</v>
      </c>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row>
    <row r="14" ht="16.5" customHeight="1">
      <c r="A14" s="32" t="s">
        <v>5</v>
      </c>
      <c r="E14" s="87" t="s">
        <v>88</v>
      </c>
      <c r="F14" s="66" t="s">
        <v>89</v>
      </c>
      <c r="G14" s="21"/>
      <c r="H14" s="36"/>
      <c r="L14" s="15"/>
      <c r="M14" s="15"/>
      <c r="N14" s="15"/>
      <c r="O14" s="15"/>
      <c r="P14" s="15"/>
      <c r="Q14" s="15"/>
      <c r="R14" s="15"/>
      <c r="S14" s="15"/>
      <c r="T14" s="15"/>
      <c r="U14" s="15"/>
      <c r="V14" s="15"/>
      <c r="W14" s="15"/>
      <c r="X14" s="15"/>
      <c r="Y14" s="15"/>
      <c r="Z14" s="15"/>
      <c r="AA14" s="15"/>
      <c r="AB14" s="15"/>
      <c r="AC14" s="15"/>
      <c r="AD14" s="15"/>
      <c r="AE14" s="15"/>
      <c r="AF14" s="15"/>
      <c r="AG14" s="15"/>
      <c r="AH14" s="15"/>
    </row>
    <row r="15" ht="16.5" customHeight="1">
      <c r="A15" s="32" t="s">
        <v>5</v>
      </c>
      <c r="E15" s="87" t="s">
        <v>88</v>
      </c>
      <c r="F15" s="66" t="s">
        <v>795</v>
      </c>
      <c r="G15" s="21"/>
      <c r="H15" s="36"/>
      <c r="L15" s="15"/>
      <c r="M15" s="15"/>
      <c r="N15" s="15"/>
      <c r="O15" s="15"/>
      <c r="P15" s="15"/>
      <c r="Q15" s="15"/>
      <c r="R15" s="15"/>
      <c r="S15" s="15"/>
      <c r="T15" s="15"/>
      <c r="U15" s="15"/>
      <c r="V15" s="15"/>
      <c r="W15" s="15"/>
      <c r="X15" s="15"/>
      <c r="Y15" s="15"/>
      <c r="Z15" s="15"/>
      <c r="AA15" s="15"/>
      <c r="AB15" s="15"/>
      <c r="AC15" s="15"/>
      <c r="AD15" s="15"/>
      <c r="AE15" s="15"/>
      <c r="AF15" s="15"/>
      <c r="AG15" s="15"/>
      <c r="AH15" s="15"/>
    </row>
    <row r="16" ht="16.5" customHeight="1">
      <c r="A16" s="32" t="s">
        <v>5</v>
      </c>
      <c r="B16" s="164" t="s">
        <v>4447</v>
      </c>
      <c r="C16" s="164" t="s">
        <v>4448</v>
      </c>
      <c r="D16" s="186" t="s">
        <v>20</v>
      </c>
      <c r="E16" s="8" t="s">
        <v>172</v>
      </c>
      <c r="F16" s="66" t="s">
        <v>194</v>
      </c>
      <c r="G16" s="490" t="s">
        <v>4449</v>
      </c>
      <c r="H16" s="66" t="s">
        <v>194</v>
      </c>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row>
    <row r="17" ht="16.5" customHeight="1">
      <c r="A17" s="32" t="s">
        <v>5</v>
      </c>
      <c r="E17" s="8" t="s">
        <v>172</v>
      </c>
      <c r="F17" s="66" t="s">
        <v>195</v>
      </c>
      <c r="G17" s="490" t="s">
        <v>4450</v>
      </c>
      <c r="H17" s="66" t="s">
        <v>195</v>
      </c>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row>
    <row r="18" ht="16.5" customHeight="1">
      <c r="A18" s="32" t="s">
        <v>5</v>
      </c>
      <c r="E18" s="8" t="s">
        <v>88</v>
      </c>
      <c r="F18" s="66" t="s">
        <v>481</v>
      </c>
      <c r="G18" s="490" t="s">
        <v>4451</v>
      </c>
      <c r="H18" s="66" t="s">
        <v>481</v>
      </c>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row>
    <row r="19" ht="16.5" customHeight="1">
      <c r="A19" s="32" t="s">
        <v>5</v>
      </c>
      <c r="E19" s="28" t="s">
        <v>88</v>
      </c>
      <c r="F19" s="66" t="s">
        <v>496</v>
      </c>
      <c r="G19" s="490" t="s">
        <v>4452</v>
      </c>
      <c r="H19" s="66" t="s">
        <v>496</v>
      </c>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row>
    <row r="20" ht="16.5" customHeight="1">
      <c r="A20" s="32" t="s">
        <v>5</v>
      </c>
      <c r="E20" s="87" t="s">
        <v>88</v>
      </c>
      <c r="F20" s="66" t="s">
        <v>570</v>
      </c>
      <c r="G20" s="21"/>
      <c r="H20" s="36"/>
      <c r="L20" s="15"/>
      <c r="M20" s="15"/>
      <c r="N20" s="15"/>
      <c r="O20" s="15"/>
      <c r="P20" s="15"/>
      <c r="Q20" s="15"/>
      <c r="R20" s="15"/>
      <c r="S20" s="15"/>
      <c r="T20" s="15"/>
      <c r="U20" s="15"/>
      <c r="V20" s="15"/>
      <c r="W20" s="15"/>
      <c r="X20" s="15"/>
      <c r="Y20" s="15"/>
      <c r="Z20" s="15"/>
      <c r="AA20" s="15"/>
      <c r="AB20" s="15"/>
      <c r="AC20" s="15"/>
      <c r="AD20" s="15"/>
      <c r="AE20" s="15"/>
      <c r="AF20" s="15"/>
      <c r="AG20" s="15"/>
      <c r="AH20" s="15"/>
    </row>
    <row r="21" ht="16.5" customHeight="1">
      <c r="A21" s="32" t="s">
        <v>5</v>
      </c>
      <c r="E21" s="87" t="s">
        <v>88</v>
      </c>
      <c r="F21" s="66" t="s">
        <v>598</v>
      </c>
      <c r="G21" s="21"/>
      <c r="H21" s="36"/>
      <c r="L21" s="15"/>
      <c r="M21" s="15"/>
      <c r="N21" s="15"/>
      <c r="O21" s="15"/>
      <c r="P21" s="15"/>
      <c r="Q21" s="15"/>
      <c r="R21" s="15"/>
      <c r="S21" s="15"/>
      <c r="T21" s="15"/>
      <c r="U21" s="15"/>
      <c r="V21" s="15"/>
      <c r="W21" s="15"/>
      <c r="X21" s="15"/>
      <c r="Y21" s="15"/>
      <c r="Z21" s="15"/>
      <c r="AA21" s="15"/>
      <c r="AB21" s="15"/>
      <c r="AC21" s="15"/>
      <c r="AD21" s="15"/>
      <c r="AE21" s="15"/>
      <c r="AF21" s="15"/>
      <c r="AG21" s="15"/>
      <c r="AH21" s="15"/>
    </row>
    <row r="22" ht="16.5" customHeight="1">
      <c r="A22" s="32" t="s">
        <v>5</v>
      </c>
      <c r="E22" s="87" t="s">
        <v>21</v>
      </c>
      <c r="F22" s="66" t="s">
        <v>51</v>
      </c>
      <c r="G22" s="490" t="s">
        <v>4453</v>
      </c>
      <c r="H22" s="66" t="s">
        <v>51</v>
      </c>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row>
    <row r="23" ht="16.5" customHeight="1">
      <c r="A23" s="32" t="s">
        <v>5</v>
      </c>
      <c r="E23" s="87" t="s">
        <v>88</v>
      </c>
      <c r="F23" s="66" t="s">
        <v>96</v>
      </c>
      <c r="G23" s="490" t="s">
        <v>4454</v>
      </c>
      <c r="H23" s="66" t="s">
        <v>96</v>
      </c>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row>
    <row r="24" ht="16.5" customHeight="1">
      <c r="A24" s="32" t="s">
        <v>5</v>
      </c>
      <c r="E24" s="87" t="s">
        <v>86</v>
      </c>
      <c r="F24" s="66" t="s">
        <v>90</v>
      </c>
      <c r="G24" s="490" t="s">
        <v>4455</v>
      </c>
      <c r="H24" s="66" t="s">
        <v>90</v>
      </c>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row>
    <row r="25" ht="16.5" customHeight="1">
      <c r="A25" s="32" t="s">
        <v>5</v>
      </c>
      <c r="E25" s="87" t="s">
        <v>86</v>
      </c>
      <c r="F25" s="66" t="s">
        <v>91</v>
      </c>
      <c r="G25" s="490" t="s">
        <v>4456</v>
      </c>
      <c r="H25" s="66" t="s">
        <v>91</v>
      </c>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row>
    <row r="26" ht="16.5" customHeight="1">
      <c r="A26" s="32" t="s">
        <v>5</v>
      </c>
      <c r="E26" s="8" t="s">
        <v>88</v>
      </c>
      <c r="F26" s="66" t="s">
        <v>89</v>
      </c>
      <c r="G26" s="21"/>
      <c r="H26" s="36"/>
      <c r="L26" s="15"/>
      <c r="M26" s="15"/>
      <c r="N26" s="15"/>
      <c r="O26" s="15"/>
      <c r="P26" s="15"/>
      <c r="Q26" s="15"/>
      <c r="R26" s="15"/>
      <c r="S26" s="15"/>
      <c r="T26" s="15"/>
      <c r="U26" s="15"/>
      <c r="V26" s="15"/>
      <c r="W26" s="15"/>
      <c r="X26" s="15"/>
      <c r="Y26" s="15"/>
      <c r="Z26" s="15"/>
      <c r="AA26" s="15"/>
      <c r="AB26" s="15"/>
      <c r="AC26" s="15"/>
      <c r="AD26" s="15"/>
      <c r="AE26" s="15"/>
      <c r="AF26" s="15"/>
      <c r="AG26" s="15"/>
      <c r="AH26" s="15"/>
    </row>
    <row r="27" ht="16.5" customHeight="1">
      <c r="A27" s="32" t="s">
        <v>5</v>
      </c>
      <c r="E27" s="8" t="s">
        <v>88</v>
      </c>
      <c r="F27" s="66" t="s">
        <v>795</v>
      </c>
      <c r="G27" s="21"/>
      <c r="H27" s="36"/>
      <c r="L27" s="15"/>
      <c r="M27" s="15"/>
      <c r="N27" s="15"/>
      <c r="O27" s="15"/>
      <c r="P27" s="15"/>
      <c r="Q27" s="15"/>
      <c r="R27" s="15"/>
      <c r="S27" s="15"/>
      <c r="T27" s="15"/>
      <c r="U27" s="15"/>
      <c r="V27" s="15"/>
      <c r="W27" s="15"/>
      <c r="X27" s="15"/>
      <c r="Y27" s="15"/>
      <c r="Z27" s="15"/>
      <c r="AA27" s="15"/>
      <c r="AB27" s="15"/>
      <c r="AC27" s="15"/>
      <c r="AD27" s="15"/>
      <c r="AE27" s="15"/>
      <c r="AF27" s="15"/>
      <c r="AG27" s="15"/>
      <c r="AH27" s="15"/>
    </row>
    <row r="28" ht="16.5" customHeight="1">
      <c r="A28" s="15"/>
      <c r="B28" s="21"/>
      <c r="C28" s="21"/>
      <c r="D28" s="55"/>
      <c r="E28" s="31"/>
      <c r="F28" s="21"/>
      <c r="G28" s="21"/>
      <c r="H28" s="21"/>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row>
    <row r="29" ht="16.5" customHeight="1">
      <c r="A29" s="15"/>
      <c r="B29" s="21"/>
      <c r="C29" s="21"/>
      <c r="D29" s="55"/>
      <c r="E29" s="37"/>
      <c r="F29" s="21"/>
      <c r="G29" s="21"/>
      <c r="H29" s="21"/>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row>
    <row r="30" ht="16.5" customHeight="1">
      <c r="A30" s="15"/>
      <c r="B30" s="21"/>
      <c r="C30" s="21"/>
      <c r="D30" s="450"/>
      <c r="E30" s="450"/>
      <c r="F30" s="21"/>
      <c r="G30" s="21"/>
      <c r="H30" s="21"/>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row>
    <row r="31" ht="16.5" customHeight="1">
      <c r="A31" s="15"/>
      <c r="B31" s="21"/>
      <c r="C31" s="21"/>
      <c r="D31" s="450"/>
      <c r="E31" s="450"/>
      <c r="F31" s="21"/>
      <c r="G31" s="21"/>
      <c r="H31" s="21"/>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row>
    <row r="32" ht="16.5" customHeight="1">
      <c r="A32" s="15"/>
      <c r="B32" s="21"/>
      <c r="C32" s="21"/>
      <c r="D32" s="450"/>
      <c r="E32" s="450"/>
      <c r="F32" s="21"/>
      <c r="G32" s="21"/>
      <c r="H32" s="21"/>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row>
    <row r="33" ht="16.5" customHeight="1">
      <c r="A33" s="15"/>
      <c r="B33" s="21"/>
      <c r="C33" s="21"/>
      <c r="D33" s="450"/>
      <c r="E33" s="450"/>
      <c r="F33" s="21"/>
      <c r="G33" s="21"/>
      <c r="H33" s="21"/>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row>
    <row r="34" ht="16.5" customHeight="1">
      <c r="A34" s="15"/>
      <c r="B34" s="21"/>
      <c r="C34" s="21"/>
      <c r="D34" s="450"/>
      <c r="E34" s="450"/>
      <c r="F34" s="21"/>
      <c r="G34" s="21"/>
      <c r="H34" s="21"/>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row>
    <row r="35" ht="16.5" customHeight="1">
      <c r="A35" s="15"/>
      <c r="B35" s="21"/>
      <c r="C35" s="21"/>
      <c r="D35" s="450"/>
      <c r="E35" s="450"/>
      <c r="F35" s="21"/>
      <c r="G35" s="21"/>
      <c r="H35" s="21"/>
      <c r="I35" s="15"/>
      <c r="J35" s="15"/>
      <c r="K35" s="15"/>
      <c r="L35" s="15"/>
      <c r="M35" s="15"/>
      <c r="N35" s="15"/>
      <c r="O35" s="15"/>
      <c r="P35" s="15"/>
      <c r="Q35" s="15"/>
      <c r="R35" s="15"/>
      <c r="S35" s="15"/>
      <c r="T35" s="15"/>
      <c r="U35" s="15"/>
      <c r="V35" s="15"/>
      <c r="W35" s="15"/>
      <c r="X35" s="15"/>
      <c r="Y35" s="15"/>
      <c r="Z35" s="15"/>
      <c r="AA35" s="15"/>
      <c r="AB35" s="15"/>
      <c r="AC35" s="15"/>
      <c r="AD35" s="15"/>
      <c r="AE35" s="15"/>
      <c r="AF35" s="15"/>
      <c r="AG35" s="15"/>
      <c r="AH35" s="15"/>
    </row>
    <row r="36" ht="16.5" customHeight="1">
      <c r="A36" s="15"/>
      <c r="B36" s="21"/>
      <c r="C36" s="21"/>
      <c r="D36" s="55"/>
      <c r="E36" s="31"/>
      <c r="F36" s="21"/>
      <c r="G36" s="21"/>
      <c r="H36" s="21"/>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row>
    <row r="37" ht="16.5" customHeight="1">
      <c r="A37" s="15"/>
      <c r="B37" s="21"/>
      <c r="C37" s="21"/>
      <c r="D37" s="55"/>
      <c r="E37" s="31"/>
      <c r="F37" s="21"/>
      <c r="G37" s="21"/>
      <c r="H37" s="21"/>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row>
    <row r="38" ht="16.5" customHeight="1">
      <c r="A38" s="15"/>
      <c r="B38" s="21"/>
      <c r="C38" s="21"/>
      <c r="D38" s="55"/>
      <c r="E38" s="31"/>
      <c r="F38" s="21"/>
      <c r="G38" s="21"/>
      <c r="H38" s="21"/>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row>
    <row r="39" ht="16.5" customHeight="1">
      <c r="A39" s="15"/>
      <c r="B39" s="21"/>
      <c r="C39" s="21"/>
      <c r="D39" s="55"/>
      <c r="E39" s="37"/>
      <c r="F39" s="21"/>
      <c r="G39" s="21"/>
      <c r="H39" s="21"/>
      <c r="I39" s="15"/>
      <c r="J39" s="15"/>
      <c r="K39" s="15"/>
      <c r="L39" s="15"/>
      <c r="M39" s="15"/>
      <c r="N39" s="15"/>
      <c r="O39" s="15"/>
      <c r="P39" s="15"/>
      <c r="Q39" s="15"/>
      <c r="R39" s="15"/>
      <c r="S39" s="15"/>
      <c r="T39" s="15"/>
      <c r="U39" s="15"/>
      <c r="V39" s="15"/>
      <c r="W39" s="15"/>
      <c r="X39" s="15"/>
      <c r="Y39" s="15"/>
      <c r="Z39" s="15"/>
      <c r="AA39" s="15"/>
      <c r="AB39" s="15"/>
      <c r="AC39" s="15"/>
      <c r="AD39" s="15"/>
      <c r="AE39" s="15"/>
      <c r="AF39" s="15"/>
      <c r="AG39" s="15"/>
      <c r="AH39" s="15"/>
    </row>
    <row r="40" ht="16.5" customHeight="1">
      <c r="A40" s="15"/>
      <c r="B40" s="21"/>
      <c r="C40" s="21"/>
      <c r="D40" s="450"/>
      <c r="E40" s="450"/>
      <c r="F40" s="21"/>
      <c r="G40" s="21"/>
      <c r="H40" s="21"/>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row>
    <row r="41" ht="16.5" customHeight="1">
      <c r="A41" s="15"/>
      <c r="B41" s="21"/>
      <c r="C41" s="21"/>
      <c r="D41" s="450"/>
      <c r="E41" s="450"/>
      <c r="F41" s="21"/>
      <c r="G41" s="21"/>
      <c r="H41" s="21"/>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row>
    <row r="42" ht="16.5" customHeight="1">
      <c r="A42" s="15"/>
      <c r="B42" s="21"/>
      <c r="C42" s="21"/>
      <c r="D42" s="450"/>
      <c r="E42" s="450"/>
      <c r="F42" s="21"/>
      <c r="G42" s="21"/>
      <c r="H42" s="21"/>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row>
    <row r="43" ht="16.5" customHeight="1">
      <c r="A43" s="15"/>
      <c r="B43" s="21"/>
      <c r="C43" s="21"/>
      <c r="D43" s="450"/>
      <c r="E43" s="450"/>
      <c r="F43" s="21"/>
      <c r="G43" s="21"/>
      <c r="H43" s="21"/>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row>
    <row r="44" ht="16.5" customHeight="1">
      <c r="A44" s="15"/>
      <c r="B44" s="21"/>
      <c r="C44" s="21"/>
      <c r="D44" s="450"/>
      <c r="E44" s="450"/>
      <c r="F44" s="21"/>
      <c r="G44" s="21"/>
      <c r="H44" s="21"/>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row>
    <row r="45" ht="16.5" customHeight="1">
      <c r="A45" s="15"/>
      <c r="B45" s="21"/>
      <c r="C45" s="21"/>
      <c r="D45" s="450"/>
      <c r="E45" s="450"/>
      <c r="F45" s="21"/>
      <c r="G45" s="21"/>
      <c r="H45" s="21"/>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row>
    <row r="46" ht="16.5" customHeight="1">
      <c r="A46" s="15"/>
      <c r="B46" s="21"/>
      <c r="C46" s="21"/>
      <c r="D46" s="55"/>
      <c r="E46" s="31"/>
      <c r="F46" s="21"/>
      <c r="G46" s="21"/>
      <c r="H46" s="21"/>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row>
    <row r="47" ht="16.5" customHeight="1">
      <c r="A47" s="15"/>
      <c r="B47" s="21"/>
      <c r="C47" s="21"/>
      <c r="D47" s="55"/>
      <c r="E47" s="31"/>
      <c r="F47" s="21"/>
      <c r="G47" s="21"/>
      <c r="H47" s="21"/>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row>
    <row r="48" ht="16.5" customHeight="1">
      <c r="A48" s="15"/>
      <c r="B48" s="21"/>
      <c r="C48" s="21"/>
      <c r="D48" s="55"/>
      <c r="E48" s="31"/>
      <c r="F48" s="21"/>
      <c r="G48" s="21"/>
      <c r="H48" s="21"/>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row>
    <row r="49" ht="16.5" customHeight="1">
      <c r="A49" s="15"/>
      <c r="B49" s="21"/>
      <c r="C49" s="21"/>
      <c r="D49" s="55"/>
      <c r="E49" s="37"/>
      <c r="F49" s="21"/>
      <c r="G49" s="21"/>
      <c r="H49" s="21"/>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row>
    <row r="50" ht="16.5" customHeight="1">
      <c r="A50" s="15"/>
      <c r="B50" s="21"/>
      <c r="C50" s="21"/>
      <c r="D50" s="21"/>
      <c r="E50" s="21"/>
      <c r="F50" s="21"/>
      <c r="G50" s="21"/>
      <c r="H50" s="21"/>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row>
    <row r="51" ht="16.5" customHeight="1">
      <c r="A51" s="15"/>
      <c r="B51" s="21"/>
      <c r="C51" s="21"/>
      <c r="D51" s="21"/>
      <c r="E51" s="21"/>
      <c r="F51" s="21"/>
      <c r="G51" s="21"/>
      <c r="H51" s="21"/>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row>
    <row r="52" ht="16.5" customHeight="1">
      <c r="A52" s="15"/>
      <c r="B52" s="21"/>
      <c r="C52" s="21"/>
      <c r="D52" s="21"/>
      <c r="E52" s="21"/>
      <c r="F52" s="21"/>
      <c r="G52" s="21"/>
      <c r="H52" s="21"/>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row>
    <row r="53" ht="16.5" customHeight="1">
      <c r="A53" s="15"/>
      <c r="B53" s="21"/>
      <c r="C53" s="21"/>
      <c r="D53" s="21"/>
      <c r="E53" s="21"/>
      <c r="F53" s="21"/>
      <c r="G53" s="21"/>
      <c r="H53" s="21"/>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row>
    <row r="54" ht="16.5" customHeight="1">
      <c r="A54" s="15"/>
      <c r="B54" s="21"/>
      <c r="C54" s="21"/>
      <c r="D54" s="21"/>
      <c r="E54" s="21"/>
      <c r="F54" s="21"/>
      <c r="G54" s="21"/>
      <c r="H54" s="21"/>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row>
    <row r="55" ht="16.5" customHeight="1">
      <c r="A55" s="15"/>
      <c r="B55" s="21"/>
      <c r="C55" s="21"/>
      <c r="D55" s="21"/>
      <c r="E55" s="21"/>
      <c r="F55" s="21"/>
      <c r="G55" s="21"/>
      <c r="H55" s="21"/>
      <c r="I55" s="15"/>
      <c r="J55" s="15"/>
      <c r="K55" s="15"/>
      <c r="L55" s="15"/>
      <c r="M55" s="15"/>
      <c r="N55" s="15"/>
      <c r="O55" s="15"/>
      <c r="P55" s="15"/>
      <c r="Q55" s="15"/>
      <c r="R55" s="15"/>
      <c r="S55" s="15"/>
      <c r="T55" s="15"/>
      <c r="U55" s="15"/>
      <c r="V55" s="15"/>
      <c r="W55" s="15"/>
      <c r="X55" s="15"/>
      <c r="Y55" s="15"/>
      <c r="Z55" s="15"/>
      <c r="AA55" s="15"/>
      <c r="AB55" s="15"/>
      <c r="AC55" s="15"/>
      <c r="AD55" s="15"/>
      <c r="AE55" s="15"/>
      <c r="AF55" s="15"/>
      <c r="AG55" s="15"/>
      <c r="AH55" s="15"/>
    </row>
    <row r="56" ht="16.5" customHeight="1">
      <c r="A56" s="15"/>
      <c r="B56" s="21"/>
      <c r="C56" s="21"/>
      <c r="D56" s="21"/>
      <c r="E56" s="21"/>
      <c r="F56" s="21"/>
      <c r="G56" s="21"/>
      <c r="H56" s="21"/>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row>
    <row r="57" ht="16.5" customHeight="1">
      <c r="A57" s="15"/>
      <c r="B57" s="21"/>
      <c r="C57" s="21"/>
      <c r="D57" s="21"/>
      <c r="E57" s="21"/>
      <c r="F57" s="21"/>
      <c r="G57" s="21"/>
      <c r="H57" s="21"/>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row>
    <row r="58" ht="16.5" customHeight="1">
      <c r="A58" s="15"/>
      <c r="B58" s="21"/>
      <c r="C58" s="21"/>
      <c r="D58" s="21"/>
      <c r="E58" s="21"/>
      <c r="F58" s="21"/>
      <c r="G58" s="21"/>
      <c r="H58" s="21"/>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row>
    <row r="59" ht="16.5" customHeight="1">
      <c r="A59" s="15"/>
      <c r="B59" s="21"/>
      <c r="C59" s="21"/>
      <c r="D59" s="21"/>
      <c r="E59" s="21"/>
      <c r="F59" s="21"/>
      <c r="G59" s="21"/>
      <c r="H59" s="21"/>
      <c r="I59" s="15"/>
      <c r="J59" s="15"/>
      <c r="K59" s="15"/>
      <c r="L59" s="15"/>
      <c r="M59" s="15"/>
      <c r="N59" s="15"/>
      <c r="O59" s="15"/>
      <c r="P59" s="15"/>
      <c r="Q59" s="15"/>
      <c r="R59" s="15"/>
      <c r="S59" s="15"/>
      <c r="T59" s="15"/>
      <c r="U59" s="15"/>
      <c r="V59" s="15"/>
      <c r="W59" s="15"/>
      <c r="X59" s="15"/>
      <c r="Y59" s="15"/>
      <c r="Z59" s="15"/>
      <c r="AA59" s="15"/>
      <c r="AB59" s="15"/>
      <c r="AC59" s="15"/>
      <c r="AD59" s="15"/>
      <c r="AE59" s="15"/>
      <c r="AF59" s="15"/>
      <c r="AG59" s="15"/>
      <c r="AH59" s="15"/>
    </row>
    <row r="60" ht="16.5" customHeight="1">
      <c r="A60" s="15"/>
      <c r="B60" s="21"/>
      <c r="C60" s="21"/>
      <c r="D60" s="21"/>
      <c r="E60" s="21"/>
      <c r="F60" s="21"/>
      <c r="G60" s="21"/>
      <c r="H60" s="21"/>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row>
    <row r="61" ht="16.5" customHeight="1">
      <c r="A61" s="15"/>
      <c r="B61" s="21"/>
      <c r="C61" s="21"/>
      <c r="D61" s="21"/>
      <c r="E61" s="21"/>
      <c r="F61" s="21"/>
      <c r="G61" s="21"/>
      <c r="H61" s="21"/>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row>
    <row r="62" ht="16.5" customHeight="1">
      <c r="A62" s="15"/>
      <c r="B62" s="21"/>
      <c r="C62" s="21"/>
      <c r="D62" s="21"/>
      <c r="E62" s="21"/>
      <c r="F62" s="21"/>
      <c r="G62" s="21"/>
      <c r="H62" s="21"/>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row>
    <row r="63" ht="16.5" customHeight="1">
      <c r="A63" s="15"/>
      <c r="B63" s="21"/>
      <c r="C63" s="21"/>
      <c r="D63" s="21"/>
      <c r="E63" s="21"/>
      <c r="F63" s="21"/>
      <c r="G63" s="21"/>
      <c r="H63" s="21"/>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row>
    <row r="64" ht="16.5" customHeight="1">
      <c r="A64" s="15"/>
      <c r="B64" s="21"/>
      <c r="C64" s="21"/>
      <c r="D64" s="21"/>
      <c r="E64" s="21"/>
      <c r="F64" s="21"/>
      <c r="G64" s="21"/>
      <c r="H64" s="21"/>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row>
    <row r="65" ht="16.5" customHeight="1">
      <c r="A65" s="15"/>
      <c r="B65" s="21"/>
      <c r="C65" s="21"/>
      <c r="D65" s="21"/>
      <c r="E65" s="21"/>
      <c r="F65" s="21"/>
      <c r="G65" s="21"/>
      <c r="H65" s="21"/>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row>
    <row r="66" ht="16.5" customHeight="1">
      <c r="A66" s="15"/>
      <c r="B66" s="21"/>
      <c r="C66" s="21"/>
      <c r="D66" s="21"/>
      <c r="E66" s="21"/>
      <c r="F66" s="21"/>
      <c r="G66" s="21"/>
      <c r="H66" s="21"/>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row>
    <row r="67" ht="16.5" customHeight="1">
      <c r="A67" s="15"/>
      <c r="B67" s="21"/>
      <c r="C67" s="21"/>
      <c r="D67" s="21"/>
      <c r="E67" s="21"/>
      <c r="F67" s="21"/>
      <c r="G67" s="21"/>
      <c r="H67" s="21"/>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row>
    <row r="68" ht="16.5" customHeight="1">
      <c r="A68" s="15"/>
      <c r="B68" s="21"/>
      <c r="C68" s="21"/>
      <c r="D68" s="21"/>
      <c r="E68" s="21"/>
      <c r="F68" s="21"/>
      <c r="G68" s="21"/>
      <c r="H68" s="21"/>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row>
    <row r="69" ht="16.5" customHeight="1">
      <c r="A69" s="15"/>
      <c r="B69" s="21"/>
      <c r="C69" s="21"/>
      <c r="D69" s="21"/>
      <c r="E69" s="21"/>
      <c r="F69" s="21"/>
      <c r="G69" s="21"/>
      <c r="H69" s="21"/>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row>
    <row r="70" ht="16.5" customHeight="1">
      <c r="A70" s="15"/>
      <c r="B70" s="21"/>
      <c r="C70" s="21"/>
      <c r="D70" s="21"/>
      <c r="E70" s="21"/>
      <c r="F70" s="21"/>
      <c r="G70" s="21"/>
      <c r="H70" s="21"/>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row>
    <row r="71" ht="16.5" customHeight="1">
      <c r="A71" s="15"/>
      <c r="B71" s="21"/>
      <c r="C71" s="21"/>
      <c r="D71" s="21"/>
      <c r="E71" s="21"/>
      <c r="F71" s="21"/>
      <c r="G71" s="21"/>
      <c r="H71" s="21"/>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row>
    <row r="72" ht="16.5" customHeight="1">
      <c r="A72" s="15"/>
      <c r="B72" s="21"/>
      <c r="C72" s="21"/>
      <c r="D72" s="21"/>
      <c r="E72" s="21"/>
      <c r="F72" s="21"/>
      <c r="G72" s="21"/>
      <c r="H72" s="21"/>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row>
    <row r="73" ht="16.5" customHeight="1">
      <c r="A73" s="15"/>
      <c r="B73" s="21"/>
      <c r="C73" s="21"/>
      <c r="D73" s="21"/>
      <c r="E73" s="21"/>
      <c r="F73" s="21"/>
      <c r="G73" s="21"/>
      <c r="H73" s="21"/>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row>
    <row r="74" ht="16.5" customHeight="1">
      <c r="A74" s="15"/>
      <c r="B74" s="21"/>
      <c r="C74" s="21"/>
      <c r="D74" s="21"/>
      <c r="E74" s="21"/>
      <c r="F74" s="21"/>
      <c r="G74" s="21"/>
      <c r="H74" s="21"/>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row>
    <row r="75" ht="16.5" customHeight="1">
      <c r="A75" s="15"/>
      <c r="B75" s="21"/>
      <c r="C75" s="21"/>
      <c r="D75" s="21"/>
      <c r="E75" s="21"/>
      <c r="F75" s="21"/>
      <c r="G75" s="21"/>
      <c r="H75" s="21"/>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row>
    <row r="76" ht="16.5" customHeight="1">
      <c r="A76" s="15"/>
      <c r="B76" s="21"/>
      <c r="C76" s="21"/>
      <c r="D76" s="21"/>
      <c r="E76" s="21"/>
      <c r="F76" s="21"/>
      <c r="G76" s="21"/>
      <c r="H76" s="21"/>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row>
    <row r="77" ht="16.5" customHeight="1">
      <c r="A77" s="15"/>
      <c r="B77" s="21"/>
      <c r="C77" s="21"/>
      <c r="D77" s="21"/>
      <c r="E77" s="21"/>
      <c r="F77" s="21"/>
      <c r="G77" s="21"/>
      <c r="H77" s="21"/>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row>
    <row r="78" ht="16.5" customHeight="1">
      <c r="A78" s="15"/>
      <c r="B78" s="21"/>
      <c r="C78" s="21"/>
      <c r="D78" s="21"/>
      <c r="E78" s="21"/>
      <c r="F78" s="21"/>
      <c r="G78" s="21"/>
      <c r="H78" s="21"/>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row>
    <row r="79" ht="16.5" customHeight="1">
      <c r="A79" s="15"/>
      <c r="B79" s="21"/>
      <c r="C79" s="21"/>
      <c r="D79" s="21"/>
      <c r="E79" s="21"/>
      <c r="F79" s="21"/>
      <c r="G79" s="21"/>
      <c r="H79" s="21"/>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row>
    <row r="80" ht="16.5" customHeight="1">
      <c r="A80" s="15"/>
      <c r="B80" s="491"/>
      <c r="C80" s="450"/>
      <c r="D80" s="450"/>
      <c r="E80" s="450"/>
      <c r="F80" s="450"/>
      <c r="G80" s="488"/>
      <c r="H80" s="450"/>
      <c r="I80" s="9"/>
      <c r="J80" s="9"/>
      <c r="K80" s="11"/>
      <c r="L80" s="11"/>
      <c r="M80" s="15"/>
      <c r="N80" s="15"/>
      <c r="O80" s="15"/>
      <c r="P80" s="15"/>
      <c r="Q80" s="15"/>
      <c r="R80" s="15"/>
      <c r="S80" s="15"/>
      <c r="T80" s="15"/>
      <c r="U80" s="15"/>
      <c r="V80" s="15"/>
      <c r="W80" s="15"/>
      <c r="X80" s="15"/>
      <c r="Y80" s="15"/>
      <c r="Z80" s="15"/>
      <c r="AA80" s="15"/>
      <c r="AB80" s="15"/>
      <c r="AC80" s="15"/>
      <c r="AD80" s="15"/>
      <c r="AE80" s="15"/>
      <c r="AF80" s="15"/>
      <c r="AG80" s="15"/>
      <c r="AH80" s="15"/>
    </row>
    <row r="81" ht="16.5" customHeight="1">
      <c r="A81" s="15"/>
      <c r="B81" s="491"/>
      <c r="C81" s="450"/>
      <c r="D81" s="450"/>
      <c r="E81" s="450"/>
      <c r="F81" s="450"/>
      <c r="G81" s="488"/>
      <c r="H81" s="450"/>
      <c r="I81" s="9"/>
      <c r="J81" s="9"/>
      <c r="K81" s="11"/>
      <c r="L81" s="11"/>
      <c r="M81" s="15"/>
      <c r="N81" s="15"/>
      <c r="O81" s="15"/>
      <c r="P81" s="15"/>
      <c r="Q81" s="15"/>
      <c r="R81" s="15"/>
      <c r="S81" s="15"/>
      <c r="T81" s="15"/>
      <c r="U81" s="15"/>
      <c r="V81" s="15"/>
      <c r="W81" s="15"/>
      <c r="X81" s="15"/>
      <c r="Y81" s="15"/>
      <c r="Z81" s="15"/>
      <c r="AA81" s="15"/>
      <c r="AB81" s="15"/>
      <c r="AC81" s="15"/>
      <c r="AD81" s="15"/>
      <c r="AE81" s="15"/>
      <c r="AF81" s="15"/>
      <c r="AG81" s="15"/>
      <c r="AH81" s="15"/>
    </row>
    <row r="82" ht="16.5" customHeight="1">
      <c r="A82" s="15"/>
      <c r="B82" s="491"/>
      <c r="C82" s="450"/>
      <c r="D82" s="450"/>
      <c r="E82" s="450"/>
      <c r="F82" s="450"/>
      <c r="G82" s="488"/>
      <c r="H82" s="450"/>
      <c r="I82" s="9"/>
      <c r="J82" s="9"/>
      <c r="K82" s="11"/>
      <c r="L82" s="11"/>
      <c r="M82" s="15"/>
      <c r="N82" s="15"/>
      <c r="O82" s="15"/>
      <c r="P82" s="15"/>
      <c r="Q82" s="15"/>
      <c r="R82" s="15"/>
      <c r="S82" s="15"/>
      <c r="T82" s="15"/>
      <c r="U82" s="15"/>
      <c r="V82" s="15"/>
      <c r="W82" s="15"/>
      <c r="X82" s="15"/>
      <c r="Y82" s="15"/>
      <c r="Z82" s="15"/>
      <c r="AA82" s="15"/>
      <c r="AB82" s="15"/>
      <c r="AC82" s="15"/>
      <c r="AD82" s="15"/>
      <c r="AE82" s="15"/>
      <c r="AF82" s="15"/>
      <c r="AG82" s="15"/>
      <c r="AH82" s="15"/>
    </row>
    <row r="83" ht="16.5" customHeight="1">
      <c r="A83" s="15"/>
      <c r="B83" s="491"/>
      <c r="C83" s="450"/>
      <c r="D83" s="450"/>
      <c r="E83" s="450"/>
      <c r="F83" s="489"/>
      <c r="G83" s="488"/>
      <c r="H83" s="489"/>
      <c r="I83" s="9"/>
      <c r="J83" s="9"/>
      <c r="K83" s="11"/>
      <c r="L83" s="11"/>
      <c r="M83" s="15"/>
      <c r="N83" s="15"/>
      <c r="O83" s="15"/>
      <c r="P83" s="15"/>
      <c r="Q83" s="15"/>
      <c r="R83" s="15"/>
      <c r="S83" s="15"/>
      <c r="T83" s="15"/>
      <c r="U83" s="15"/>
      <c r="V83" s="15"/>
      <c r="W83" s="15"/>
      <c r="X83" s="15"/>
      <c r="Y83" s="15"/>
      <c r="Z83" s="15"/>
      <c r="AA83" s="15"/>
      <c r="AB83" s="15"/>
      <c r="AC83" s="15"/>
      <c r="AD83" s="15"/>
      <c r="AE83" s="15"/>
      <c r="AF83" s="15"/>
      <c r="AG83" s="15"/>
      <c r="AH83" s="15"/>
    </row>
    <row r="84" ht="16.5" customHeight="1">
      <c r="A84" s="15"/>
      <c r="B84" s="491"/>
      <c r="C84" s="450"/>
      <c r="D84" s="450"/>
      <c r="E84" s="450"/>
      <c r="F84" s="450"/>
      <c r="G84" s="488"/>
      <c r="H84" s="489"/>
      <c r="I84" s="31"/>
      <c r="J84" s="9"/>
      <c r="K84" s="11"/>
      <c r="L84" s="11"/>
      <c r="M84" s="15"/>
      <c r="N84" s="15"/>
      <c r="O84" s="15"/>
      <c r="P84" s="15"/>
      <c r="Q84" s="15"/>
      <c r="R84" s="15"/>
      <c r="S84" s="15"/>
      <c r="T84" s="15"/>
      <c r="U84" s="15"/>
      <c r="V84" s="15"/>
      <c r="W84" s="15"/>
      <c r="X84" s="15"/>
      <c r="Y84" s="15"/>
      <c r="Z84" s="15"/>
      <c r="AA84" s="15"/>
      <c r="AB84" s="15"/>
      <c r="AC84" s="15"/>
      <c r="AD84" s="15"/>
      <c r="AE84" s="15"/>
      <c r="AF84" s="15"/>
      <c r="AG84" s="15"/>
      <c r="AH84" s="15"/>
    </row>
    <row r="85" ht="16.5" customHeight="1">
      <c r="A85" s="15"/>
      <c r="B85" s="491"/>
      <c r="C85" s="450"/>
      <c r="D85" s="450"/>
      <c r="E85" s="450"/>
      <c r="F85" s="450"/>
      <c r="G85" s="488"/>
      <c r="H85" s="450"/>
      <c r="I85" s="31"/>
      <c r="J85" s="9"/>
      <c r="K85" s="11"/>
      <c r="L85" s="11"/>
      <c r="M85" s="15"/>
      <c r="N85" s="15"/>
      <c r="O85" s="15"/>
      <c r="P85" s="15"/>
      <c r="Q85" s="15"/>
      <c r="R85" s="15"/>
      <c r="S85" s="15"/>
      <c r="T85" s="15"/>
      <c r="U85" s="15"/>
      <c r="V85" s="15"/>
      <c r="W85" s="15"/>
      <c r="X85" s="15"/>
      <c r="Y85" s="15"/>
      <c r="Z85" s="15"/>
      <c r="AA85" s="15"/>
      <c r="AB85" s="15"/>
      <c r="AC85" s="15"/>
      <c r="AD85" s="15"/>
      <c r="AE85" s="15"/>
      <c r="AF85" s="15"/>
      <c r="AG85" s="15"/>
      <c r="AH85" s="15"/>
    </row>
    <row r="86" ht="16.5" customHeight="1">
      <c r="A86" s="15"/>
      <c r="B86" s="449"/>
      <c r="C86" s="482"/>
      <c r="D86" s="55"/>
      <c r="E86" s="31"/>
      <c r="F86" s="31"/>
      <c r="G86" s="69"/>
      <c r="H86" s="31"/>
      <c r="I86" s="9"/>
      <c r="J86" s="9"/>
      <c r="K86" s="11"/>
      <c r="L86" s="11"/>
      <c r="M86" s="15"/>
      <c r="N86" s="15"/>
      <c r="O86" s="15"/>
      <c r="P86" s="15"/>
      <c r="Q86" s="15"/>
      <c r="R86" s="15"/>
      <c r="S86" s="15"/>
      <c r="T86" s="15"/>
      <c r="U86" s="15"/>
      <c r="V86" s="15"/>
      <c r="W86" s="15"/>
      <c r="X86" s="15"/>
      <c r="Y86" s="15"/>
      <c r="Z86" s="15"/>
      <c r="AA86" s="15"/>
      <c r="AB86" s="15"/>
      <c r="AC86" s="15"/>
      <c r="AD86" s="15"/>
      <c r="AE86" s="15"/>
      <c r="AF86" s="15"/>
      <c r="AG86" s="15"/>
      <c r="AH86" s="15"/>
    </row>
    <row r="87" ht="16.5" customHeight="1">
      <c r="A87" s="15"/>
      <c r="B87" s="449"/>
      <c r="C87" s="482"/>
      <c r="D87" s="55"/>
      <c r="E87" s="31"/>
      <c r="F87" s="31"/>
      <c r="G87" s="69"/>
      <c r="H87" s="31"/>
      <c r="I87" s="9"/>
      <c r="J87" s="9"/>
      <c r="K87" s="11"/>
      <c r="L87" s="11"/>
      <c r="M87" s="15"/>
      <c r="N87" s="15"/>
      <c r="O87" s="15"/>
      <c r="P87" s="15"/>
      <c r="Q87" s="15"/>
      <c r="R87" s="15"/>
      <c r="S87" s="15"/>
      <c r="T87" s="15"/>
      <c r="U87" s="15"/>
      <c r="V87" s="15"/>
      <c r="W87" s="15"/>
      <c r="X87" s="15"/>
      <c r="Y87" s="15"/>
      <c r="Z87" s="15"/>
      <c r="AA87" s="15"/>
      <c r="AB87" s="15"/>
      <c r="AC87" s="15"/>
      <c r="AD87" s="15"/>
      <c r="AE87" s="15"/>
      <c r="AF87" s="15"/>
      <c r="AG87" s="15"/>
      <c r="AH87" s="15"/>
    </row>
    <row r="88" ht="16.5" customHeight="1">
      <c r="A88" s="15"/>
      <c r="B88" s="449"/>
      <c r="C88" s="482"/>
      <c r="D88" s="55"/>
      <c r="E88" s="31"/>
      <c r="F88" s="31"/>
      <c r="G88" s="69"/>
      <c r="H88" s="31"/>
      <c r="I88" s="9"/>
      <c r="J88" s="9"/>
      <c r="K88" s="11"/>
      <c r="L88" s="11"/>
      <c r="M88" s="15"/>
      <c r="N88" s="15"/>
      <c r="O88" s="15"/>
      <c r="P88" s="15"/>
      <c r="Q88" s="15"/>
      <c r="R88" s="15"/>
      <c r="S88" s="15"/>
      <c r="T88" s="15"/>
      <c r="U88" s="15"/>
      <c r="V88" s="15"/>
      <c r="W88" s="15"/>
      <c r="X88" s="15"/>
      <c r="Y88" s="15"/>
      <c r="Z88" s="15"/>
      <c r="AA88" s="15"/>
      <c r="AB88" s="15"/>
      <c r="AC88" s="15"/>
      <c r="AD88" s="15"/>
      <c r="AE88" s="15"/>
      <c r="AF88" s="15"/>
      <c r="AG88" s="15"/>
      <c r="AH88" s="15"/>
    </row>
    <row r="89" ht="16.5" customHeight="1">
      <c r="A89" s="15"/>
      <c r="B89" s="449"/>
      <c r="C89" s="482"/>
      <c r="D89" s="55"/>
      <c r="E89" s="37"/>
      <c r="F89" s="31"/>
      <c r="G89" s="69"/>
      <c r="H89" s="31"/>
      <c r="I89" s="9"/>
      <c r="J89" s="9"/>
      <c r="K89" s="11"/>
      <c r="L89" s="11"/>
      <c r="M89" s="15"/>
      <c r="N89" s="15"/>
      <c r="O89" s="15"/>
      <c r="P89" s="15"/>
      <c r="Q89" s="15"/>
      <c r="R89" s="15"/>
      <c r="S89" s="15"/>
      <c r="T89" s="15"/>
      <c r="U89" s="15"/>
      <c r="V89" s="15"/>
      <c r="W89" s="15"/>
      <c r="X89" s="15"/>
      <c r="Y89" s="15"/>
      <c r="Z89" s="15"/>
      <c r="AA89" s="15"/>
      <c r="AB89" s="15"/>
      <c r="AC89" s="15"/>
      <c r="AD89" s="15"/>
      <c r="AE89" s="15"/>
      <c r="AF89" s="15"/>
      <c r="AG89" s="15"/>
      <c r="AH89" s="15"/>
    </row>
    <row r="90" ht="16.5" customHeight="1">
      <c r="A90" s="15"/>
      <c r="B90" s="449"/>
      <c r="C90" s="482"/>
      <c r="D90" s="55"/>
      <c r="E90" s="37"/>
      <c r="F90" s="30"/>
      <c r="G90" s="69"/>
      <c r="H90" s="30"/>
      <c r="I90" s="9"/>
      <c r="J90" s="9"/>
      <c r="K90" s="11"/>
      <c r="L90" s="11"/>
      <c r="M90" s="15"/>
      <c r="N90" s="15"/>
      <c r="O90" s="15"/>
      <c r="P90" s="15"/>
      <c r="Q90" s="15"/>
      <c r="R90" s="15"/>
      <c r="S90" s="15"/>
      <c r="T90" s="15"/>
      <c r="U90" s="15"/>
      <c r="V90" s="15"/>
      <c r="W90" s="15"/>
      <c r="X90" s="15"/>
      <c r="Y90" s="15"/>
      <c r="Z90" s="15"/>
      <c r="AA90" s="15"/>
      <c r="AB90" s="15"/>
      <c r="AC90" s="15"/>
      <c r="AD90" s="15"/>
      <c r="AE90" s="15"/>
      <c r="AF90" s="15"/>
      <c r="AG90" s="15"/>
      <c r="AH90" s="15"/>
    </row>
    <row r="91" ht="16.5" customHeight="1">
      <c r="A91" s="15"/>
      <c r="B91" s="449"/>
      <c r="C91" s="482"/>
      <c r="D91" s="55"/>
      <c r="E91" s="37"/>
      <c r="F91" s="37"/>
      <c r="G91" s="69"/>
      <c r="H91" s="30"/>
      <c r="I91" s="9"/>
      <c r="J91" s="9"/>
      <c r="K91" s="11"/>
      <c r="L91" s="11"/>
      <c r="M91" s="15"/>
      <c r="N91" s="15"/>
      <c r="O91" s="15"/>
      <c r="P91" s="15"/>
      <c r="Q91" s="15"/>
      <c r="R91" s="15"/>
      <c r="S91" s="15"/>
      <c r="T91" s="15"/>
      <c r="U91" s="15"/>
      <c r="V91" s="15"/>
      <c r="W91" s="15"/>
      <c r="X91" s="15"/>
      <c r="Y91" s="15"/>
      <c r="Z91" s="15"/>
      <c r="AA91" s="15"/>
      <c r="AB91" s="15"/>
      <c r="AC91" s="15"/>
      <c r="AD91" s="15"/>
      <c r="AE91" s="15"/>
      <c r="AF91" s="15"/>
      <c r="AG91" s="15"/>
      <c r="AH91" s="15"/>
    </row>
    <row r="92" ht="16.5" customHeight="1">
      <c r="A92" s="15"/>
      <c r="B92" s="449"/>
      <c r="C92" s="482"/>
      <c r="D92" s="55"/>
      <c r="E92" s="31"/>
      <c r="F92" s="31"/>
      <c r="G92" s="69"/>
      <c r="H92" s="31"/>
      <c r="I92" s="31"/>
      <c r="J92" s="9"/>
      <c r="K92" s="11"/>
      <c r="L92" s="11"/>
      <c r="M92" s="15"/>
      <c r="N92" s="15"/>
      <c r="O92" s="15"/>
      <c r="P92" s="15"/>
      <c r="Q92" s="15"/>
      <c r="R92" s="15"/>
      <c r="S92" s="15"/>
      <c r="T92" s="15"/>
      <c r="U92" s="15"/>
      <c r="V92" s="15"/>
      <c r="W92" s="15"/>
      <c r="X92" s="15"/>
      <c r="Y92" s="15"/>
      <c r="Z92" s="15"/>
      <c r="AA92" s="15"/>
      <c r="AB92" s="15"/>
      <c r="AC92" s="15"/>
      <c r="AD92" s="15"/>
      <c r="AE92" s="15"/>
      <c r="AF92" s="15"/>
      <c r="AG92" s="15"/>
      <c r="AH92" s="15"/>
    </row>
    <row r="93" ht="16.5" customHeight="1">
      <c r="A93" s="15"/>
      <c r="B93" s="449"/>
      <c r="C93" s="482"/>
      <c r="D93" s="55"/>
      <c r="E93" s="31"/>
      <c r="F93" s="31"/>
      <c r="G93" s="69"/>
      <c r="H93" s="31"/>
      <c r="I93" s="31"/>
      <c r="J93" s="9"/>
      <c r="K93" s="11"/>
      <c r="L93" s="11"/>
      <c r="M93" s="15"/>
      <c r="N93" s="15"/>
      <c r="O93" s="15"/>
      <c r="P93" s="15"/>
      <c r="Q93" s="15"/>
      <c r="R93" s="15"/>
      <c r="S93" s="15"/>
      <c r="T93" s="15"/>
      <c r="U93" s="15"/>
      <c r="V93" s="15"/>
      <c r="W93" s="15"/>
      <c r="X93" s="15"/>
      <c r="Y93" s="15"/>
      <c r="Z93" s="15"/>
      <c r="AA93" s="15"/>
      <c r="AB93" s="15"/>
      <c r="AC93" s="15"/>
      <c r="AD93" s="15"/>
      <c r="AE93" s="15"/>
      <c r="AF93" s="15"/>
      <c r="AG93" s="15"/>
      <c r="AH93" s="15"/>
    </row>
    <row r="94" ht="16.5" customHeight="1">
      <c r="A94" s="15"/>
      <c r="B94" s="449"/>
      <c r="C94" s="482"/>
      <c r="D94" s="55"/>
      <c r="E94" s="31"/>
      <c r="F94" s="31"/>
      <c r="G94" s="69"/>
      <c r="H94" s="31"/>
      <c r="I94" s="9"/>
      <c r="J94" s="9"/>
      <c r="K94" s="11"/>
      <c r="L94" s="11"/>
      <c r="M94" s="15"/>
      <c r="N94" s="15"/>
      <c r="O94" s="15"/>
      <c r="P94" s="15"/>
      <c r="Q94" s="15"/>
      <c r="R94" s="15"/>
      <c r="S94" s="15"/>
      <c r="T94" s="15"/>
      <c r="U94" s="15"/>
      <c r="V94" s="15"/>
      <c r="W94" s="15"/>
      <c r="X94" s="15"/>
      <c r="Y94" s="15"/>
      <c r="Z94" s="15"/>
      <c r="AA94" s="15"/>
      <c r="AB94" s="15"/>
      <c r="AC94" s="15"/>
      <c r="AD94" s="15"/>
      <c r="AE94" s="15"/>
      <c r="AF94" s="15"/>
      <c r="AG94" s="15"/>
      <c r="AH94" s="15"/>
    </row>
    <row r="95" ht="16.5" customHeight="1">
      <c r="A95" s="15"/>
      <c r="B95" s="449"/>
      <c r="C95" s="482"/>
      <c r="D95" s="55"/>
      <c r="E95" s="31"/>
      <c r="F95" s="31"/>
      <c r="G95" s="69"/>
      <c r="H95" s="31"/>
      <c r="I95" s="9"/>
      <c r="J95" s="9"/>
      <c r="K95" s="11"/>
      <c r="L95" s="11"/>
      <c r="M95" s="15"/>
      <c r="N95" s="15"/>
      <c r="O95" s="15"/>
      <c r="P95" s="15"/>
      <c r="Q95" s="15"/>
      <c r="R95" s="15"/>
      <c r="S95" s="15"/>
      <c r="T95" s="15"/>
      <c r="U95" s="15"/>
      <c r="V95" s="15"/>
      <c r="W95" s="15"/>
      <c r="X95" s="15"/>
      <c r="Y95" s="15"/>
      <c r="Z95" s="15"/>
      <c r="AA95" s="15"/>
      <c r="AB95" s="15"/>
      <c r="AC95" s="15"/>
      <c r="AD95" s="15"/>
      <c r="AE95" s="15"/>
      <c r="AF95" s="15"/>
      <c r="AG95" s="15"/>
      <c r="AH95" s="15"/>
    </row>
    <row r="96" ht="16.5" customHeight="1">
      <c r="A96" s="15"/>
      <c r="B96" s="449"/>
      <c r="C96" s="482"/>
      <c r="D96" s="55"/>
      <c r="E96" s="31"/>
      <c r="F96" s="31"/>
      <c r="G96" s="69"/>
      <c r="H96" s="31"/>
      <c r="I96" s="9"/>
      <c r="J96" s="9"/>
      <c r="K96" s="11"/>
      <c r="L96" s="11"/>
      <c r="M96" s="15"/>
      <c r="N96" s="15"/>
      <c r="O96" s="15"/>
      <c r="P96" s="15"/>
      <c r="Q96" s="15"/>
      <c r="R96" s="15"/>
      <c r="S96" s="15"/>
      <c r="T96" s="15"/>
      <c r="U96" s="15"/>
      <c r="V96" s="15"/>
      <c r="W96" s="15"/>
      <c r="X96" s="15"/>
      <c r="Y96" s="15"/>
      <c r="Z96" s="15"/>
      <c r="AA96" s="15"/>
      <c r="AB96" s="15"/>
      <c r="AC96" s="15"/>
      <c r="AD96" s="15"/>
      <c r="AE96" s="15"/>
      <c r="AF96" s="15"/>
      <c r="AG96" s="15"/>
      <c r="AH96" s="15"/>
    </row>
    <row r="97" ht="16.5" customHeight="1">
      <c r="A97" s="15"/>
      <c r="B97" s="449"/>
      <c r="C97" s="482"/>
      <c r="D97" s="55"/>
      <c r="E97" s="37"/>
      <c r="F97" s="31"/>
      <c r="G97" s="69"/>
      <c r="H97" s="31"/>
      <c r="I97" s="9"/>
      <c r="J97" s="9"/>
      <c r="K97" s="11"/>
      <c r="L97" s="11"/>
      <c r="M97" s="15"/>
      <c r="N97" s="15"/>
      <c r="O97" s="15"/>
      <c r="P97" s="15"/>
      <c r="Q97" s="15"/>
      <c r="R97" s="15"/>
      <c r="S97" s="15"/>
      <c r="T97" s="15"/>
      <c r="U97" s="15"/>
      <c r="V97" s="15"/>
      <c r="W97" s="15"/>
      <c r="X97" s="15"/>
      <c r="Y97" s="15"/>
      <c r="Z97" s="15"/>
      <c r="AA97" s="15"/>
      <c r="AB97" s="15"/>
      <c r="AC97" s="15"/>
      <c r="AD97" s="15"/>
      <c r="AE97" s="15"/>
      <c r="AF97" s="15"/>
      <c r="AG97" s="15"/>
      <c r="AH97" s="15"/>
    </row>
    <row r="98" ht="16.5" customHeight="1">
      <c r="A98" s="15"/>
      <c r="B98" s="449"/>
      <c r="C98" s="482"/>
      <c r="D98" s="55"/>
      <c r="E98" s="37"/>
      <c r="F98" s="30"/>
      <c r="G98" s="69"/>
      <c r="H98" s="30"/>
      <c r="I98" s="9"/>
      <c r="J98" s="9"/>
      <c r="K98" s="11"/>
      <c r="L98" s="11"/>
      <c r="M98" s="15"/>
      <c r="N98" s="15"/>
      <c r="O98" s="15"/>
      <c r="P98" s="15"/>
      <c r="Q98" s="15"/>
      <c r="R98" s="15"/>
      <c r="S98" s="15"/>
      <c r="T98" s="15"/>
      <c r="U98" s="15"/>
      <c r="V98" s="15"/>
      <c r="W98" s="15"/>
      <c r="X98" s="15"/>
      <c r="Y98" s="15"/>
      <c r="Z98" s="15"/>
      <c r="AA98" s="15"/>
      <c r="AB98" s="15"/>
      <c r="AC98" s="15"/>
      <c r="AD98" s="15"/>
      <c r="AE98" s="15"/>
      <c r="AF98" s="15"/>
      <c r="AG98" s="15"/>
      <c r="AH98" s="15"/>
    </row>
    <row r="99" ht="16.5" customHeight="1">
      <c r="A99" s="15"/>
      <c r="B99" s="449"/>
      <c r="C99" s="482"/>
      <c r="D99" s="55"/>
      <c r="E99" s="37"/>
      <c r="F99" s="37"/>
      <c r="G99" s="69"/>
      <c r="H99" s="30"/>
      <c r="I99" s="9"/>
      <c r="J99" s="9"/>
      <c r="K99" s="11"/>
      <c r="L99" s="11"/>
      <c r="M99" s="15"/>
      <c r="N99" s="15"/>
      <c r="O99" s="15"/>
      <c r="P99" s="15"/>
      <c r="Q99" s="15"/>
      <c r="R99" s="15"/>
      <c r="S99" s="15"/>
      <c r="T99" s="15"/>
      <c r="U99" s="15"/>
      <c r="V99" s="15"/>
      <c r="W99" s="15"/>
      <c r="X99" s="15"/>
      <c r="Y99" s="15"/>
      <c r="Z99" s="15"/>
      <c r="AA99" s="15"/>
      <c r="AB99" s="15"/>
      <c r="AC99" s="15"/>
      <c r="AD99" s="15"/>
      <c r="AE99" s="15"/>
      <c r="AF99" s="15"/>
      <c r="AG99" s="15"/>
      <c r="AH99" s="15"/>
    </row>
    <row r="100" ht="16.5" customHeight="1">
      <c r="A100" s="15"/>
      <c r="B100" s="449"/>
      <c r="C100" s="482"/>
      <c r="D100" s="55"/>
      <c r="E100" s="31"/>
      <c r="F100" s="31"/>
      <c r="G100" s="69"/>
      <c r="H100" s="31"/>
      <c r="I100" s="31"/>
      <c r="J100" s="9"/>
      <c r="K100" s="11"/>
      <c r="L100" s="11"/>
      <c r="M100" s="15"/>
      <c r="N100" s="15"/>
      <c r="O100" s="15"/>
      <c r="P100" s="15"/>
      <c r="Q100" s="15"/>
      <c r="R100" s="15"/>
      <c r="S100" s="15"/>
      <c r="T100" s="15"/>
      <c r="U100" s="15"/>
      <c r="V100" s="15"/>
      <c r="W100" s="15"/>
      <c r="X100" s="15"/>
      <c r="Y100" s="15"/>
      <c r="Z100" s="15"/>
      <c r="AA100" s="15"/>
      <c r="AB100" s="15"/>
      <c r="AC100" s="15"/>
      <c r="AD100" s="15"/>
      <c r="AE100" s="15"/>
      <c r="AF100" s="15"/>
      <c r="AG100" s="15"/>
      <c r="AH100" s="15"/>
    </row>
    <row r="101" ht="16.5" customHeight="1">
      <c r="A101" s="15"/>
      <c r="B101" s="449"/>
      <c r="C101" s="482"/>
      <c r="D101" s="55"/>
      <c r="E101" s="31"/>
      <c r="F101" s="31"/>
      <c r="G101" s="69"/>
      <c r="H101" s="31"/>
      <c r="I101" s="31"/>
      <c r="J101" s="9"/>
      <c r="K101" s="11"/>
      <c r="L101" s="11"/>
      <c r="M101" s="15"/>
      <c r="N101" s="15"/>
      <c r="O101" s="15"/>
      <c r="P101" s="15"/>
      <c r="Q101" s="15"/>
      <c r="R101" s="15"/>
      <c r="S101" s="15"/>
      <c r="T101" s="15"/>
      <c r="U101" s="15"/>
      <c r="V101" s="15"/>
      <c r="W101" s="15"/>
      <c r="X101" s="15"/>
      <c r="Y101" s="15"/>
      <c r="Z101" s="15"/>
      <c r="AA101" s="15"/>
      <c r="AB101" s="15"/>
      <c r="AC101" s="15"/>
      <c r="AD101" s="15"/>
      <c r="AE101" s="15"/>
      <c r="AF101" s="15"/>
      <c r="AG101" s="15"/>
      <c r="AH101" s="15"/>
    </row>
    <row r="102" ht="16.5" customHeight="1">
      <c r="A102" s="15"/>
      <c r="B102" s="449"/>
      <c r="C102" s="482"/>
      <c r="D102" s="55"/>
      <c r="E102" s="31"/>
      <c r="F102" s="31"/>
      <c r="G102" s="69"/>
      <c r="H102" s="31"/>
      <c r="I102" s="9"/>
      <c r="J102" s="9"/>
      <c r="K102" s="11"/>
      <c r="L102" s="11"/>
      <c r="M102" s="15"/>
      <c r="N102" s="15"/>
      <c r="O102" s="15"/>
      <c r="P102" s="15"/>
      <c r="Q102" s="15"/>
      <c r="R102" s="15"/>
      <c r="S102" s="15"/>
      <c r="T102" s="15"/>
      <c r="U102" s="15"/>
      <c r="V102" s="15"/>
      <c r="W102" s="15"/>
      <c r="X102" s="15"/>
      <c r="Y102" s="15"/>
      <c r="Z102" s="15"/>
      <c r="AA102" s="15"/>
      <c r="AB102" s="15"/>
      <c r="AC102" s="15"/>
      <c r="AD102" s="15"/>
      <c r="AE102" s="15"/>
      <c r="AF102" s="15"/>
      <c r="AG102" s="15"/>
      <c r="AH102" s="15"/>
    </row>
    <row r="103" ht="16.5" customHeight="1">
      <c r="A103" s="15"/>
      <c r="B103" s="449"/>
      <c r="C103" s="482"/>
      <c r="D103" s="55"/>
      <c r="E103" s="31"/>
      <c r="F103" s="31"/>
      <c r="G103" s="69"/>
      <c r="H103" s="31"/>
      <c r="I103" s="9"/>
      <c r="J103" s="9"/>
      <c r="K103" s="11"/>
      <c r="L103" s="11"/>
      <c r="M103" s="15"/>
      <c r="N103" s="15"/>
      <c r="O103" s="15"/>
      <c r="P103" s="15"/>
      <c r="Q103" s="15"/>
      <c r="R103" s="15"/>
      <c r="S103" s="15"/>
      <c r="T103" s="15"/>
      <c r="U103" s="15"/>
      <c r="V103" s="15"/>
      <c r="W103" s="15"/>
      <c r="X103" s="15"/>
      <c r="Y103" s="15"/>
      <c r="Z103" s="15"/>
      <c r="AA103" s="15"/>
      <c r="AB103" s="15"/>
      <c r="AC103" s="15"/>
      <c r="AD103" s="15"/>
      <c r="AE103" s="15"/>
      <c r="AF103" s="15"/>
      <c r="AG103" s="15"/>
      <c r="AH103" s="15"/>
    </row>
    <row r="104" ht="16.5" customHeight="1">
      <c r="A104" s="15"/>
      <c r="B104" s="449"/>
      <c r="C104" s="482"/>
      <c r="D104" s="55"/>
      <c r="E104" s="31"/>
      <c r="F104" s="31"/>
      <c r="G104" s="69"/>
      <c r="H104" s="31"/>
      <c r="I104" s="9"/>
      <c r="J104" s="9"/>
      <c r="K104" s="11"/>
      <c r="L104" s="11"/>
      <c r="M104" s="15"/>
      <c r="N104" s="15"/>
      <c r="O104" s="15"/>
      <c r="P104" s="15"/>
      <c r="Q104" s="15"/>
      <c r="R104" s="15"/>
      <c r="S104" s="15"/>
      <c r="T104" s="15"/>
      <c r="U104" s="15"/>
      <c r="V104" s="15"/>
      <c r="W104" s="15"/>
      <c r="X104" s="15"/>
      <c r="Y104" s="15"/>
      <c r="Z104" s="15"/>
      <c r="AA104" s="15"/>
      <c r="AB104" s="15"/>
      <c r="AC104" s="15"/>
      <c r="AD104" s="15"/>
      <c r="AE104" s="15"/>
      <c r="AF104" s="15"/>
      <c r="AG104" s="15"/>
      <c r="AH104" s="15"/>
    </row>
    <row r="105" ht="16.5" customHeight="1">
      <c r="A105" s="15"/>
      <c r="B105" s="449"/>
      <c r="C105" s="482"/>
      <c r="D105" s="55"/>
      <c r="E105" s="37"/>
      <c r="F105" s="31"/>
      <c r="G105" s="69"/>
      <c r="H105" s="31"/>
      <c r="I105" s="9"/>
      <c r="J105" s="9"/>
      <c r="K105" s="11"/>
      <c r="L105" s="11"/>
      <c r="M105" s="15"/>
      <c r="N105" s="15"/>
      <c r="O105" s="15"/>
      <c r="P105" s="15"/>
      <c r="Q105" s="15"/>
      <c r="R105" s="15"/>
      <c r="S105" s="15"/>
      <c r="T105" s="15"/>
      <c r="U105" s="15"/>
      <c r="V105" s="15"/>
      <c r="W105" s="15"/>
      <c r="X105" s="15"/>
      <c r="Y105" s="15"/>
      <c r="Z105" s="15"/>
      <c r="AA105" s="15"/>
      <c r="AB105" s="15"/>
      <c r="AC105" s="15"/>
      <c r="AD105" s="15"/>
      <c r="AE105" s="15"/>
      <c r="AF105" s="15"/>
      <c r="AG105" s="15"/>
      <c r="AH105" s="15"/>
    </row>
    <row r="106" ht="16.5" customHeight="1">
      <c r="A106" s="15"/>
      <c r="B106" s="449"/>
      <c r="C106" s="482"/>
      <c r="D106" s="55"/>
      <c r="E106" s="37"/>
      <c r="F106" s="30"/>
      <c r="G106" s="69"/>
      <c r="H106" s="30"/>
      <c r="I106" s="9"/>
      <c r="J106" s="9"/>
      <c r="K106" s="11"/>
      <c r="L106" s="11"/>
      <c r="M106" s="15"/>
      <c r="N106" s="15"/>
      <c r="O106" s="15"/>
      <c r="P106" s="15"/>
      <c r="Q106" s="15"/>
      <c r="R106" s="15"/>
      <c r="S106" s="15"/>
      <c r="T106" s="15"/>
      <c r="U106" s="15"/>
      <c r="V106" s="15"/>
      <c r="W106" s="15"/>
      <c r="X106" s="15"/>
      <c r="Y106" s="15"/>
      <c r="Z106" s="15"/>
      <c r="AA106" s="15"/>
      <c r="AB106" s="15"/>
      <c r="AC106" s="15"/>
      <c r="AD106" s="15"/>
      <c r="AE106" s="15"/>
      <c r="AF106" s="15"/>
      <c r="AG106" s="15"/>
      <c r="AH106" s="15"/>
    </row>
    <row r="107" ht="16.5" customHeight="1">
      <c r="A107" s="15"/>
      <c r="B107" s="449"/>
      <c r="C107" s="482"/>
      <c r="D107" s="55"/>
      <c r="E107" s="37"/>
      <c r="F107" s="37"/>
      <c r="G107" s="69"/>
      <c r="H107" s="30"/>
      <c r="I107" s="9"/>
      <c r="J107" s="9"/>
      <c r="K107" s="11"/>
      <c r="L107" s="11"/>
      <c r="M107" s="15"/>
      <c r="N107" s="15"/>
      <c r="O107" s="15"/>
      <c r="P107" s="15"/>
      <c r="Q107" s="15"/>
      <c r="R107" s="15"/>
      <c r="S107" s="15"/>
      <c r="T107" s="15"/>
      <c r="U107" s="15"/>
      <c r="V107" s="15"/>
      <c r="W107" s="15"/>
      <c r="X107" s="15"/>
      <c r="Y107" s="15"/>
      <c r="Z107" s="15"/>
      <c r="AA107" s="15"/>
      <c r="AB107" s="15"/>
      <c r="AC107" s="15"/>
      <c r="AD107" s="15"/>
      <c r="AE107" s="15"/>
      <c r="AF107" s="15"/>
      <c r="AG107" s="15"/>
      <c r="AH107" s="15"/>
    </row>
    <row r="108" ht="16.5" customHeight="1">
      <c r="A108" s="15"/>
      <c r="B108" s="449"/>
      <c r="C108" s="482"/>
      <c r="D108" s="55"/>
      <c r="E108" s="31"/>
      <c r="F108" s="31"/>
      <c r="G108" s="69"/>
      <c r="H108" s="31"/>
      <c r="I108" s="9"/>
      <c r="J108" s="9"/>
      <c r="K108" s="11"/>
      <c r="L108" s="11"/>
      <c r="M108" s="15"/>
      <c r="N108" s="15"/>
      <c r="O108" s="15"/>
      <c r="P108" s="15"/>
      <c r="Q108" s="15"/>
      <c r="R108" s="15"/>
      <c r="S108" s="15"/>
      <c r="T108" s="15"/>
      <c r="U108" s="15"/>
      <c r="V108" s="15"/>
      <c r="W108" s="15"/>
      <c r="X108" s="15"/>
      <c r="Y108" s="15"/>
      <c r="Z108" s="15"/>
      <c r="AA108" s="15"/>
      <c r="AB108" s="15"/>
      <c r="AC108" s="15"/>
      <c r="AD108" s="15"/>
      <c r="AE108" s="15"/>
      <c r="AF108" s="15"/>
      <c r="AG108" s="15"/>
      <c r="AH108" s="15"/>
    </row>
    <row r="109" ht="16.5" customHeight="1">
      <c r="A109" s="15"/>
      <c r="B109" s="449"/>
      <c r="C109" s="482"/>
      <c r="D109" s="55"/>
      <c r="E109" s="31"/>
      <c r="F109" s="31"/>
      <c r="G109" s="69"/>
      <c r="H109" s="31"/>
      <c r="I109" s="9"/>
      <c r="J109" s="9"/>
      <c r="K109" s="11"/>
      <c r="L109" s="11"/>
      <c r="M109" s="15"/>
      <c r="N109" s="15"/>
      <c r="O109" s="15"/>
      <c r="P109" s="15"/>
      <c r="Q109" s="15"/>
      <c r="R109" s="15"/>
      <c r="S109" s="15"/>
      <c r="T109" s="15"/>
      <c r="U109" s="15"/>
      <c r="V109" s="15"/>
      <c r="W109" s="15"/>
      <c r="X109" s="15"/>
      <c r="Y109" s="15"/>
      <c r="Z109" s="15"/>
      <c r="AA109" s="15"/>
      <c r="AB109" s="15"/>
      <c r="AC109" s="15"/>
      <c r="AD109" s="15"/>
      <c r="AE109" s="15"/>
      <c r="AF109" s="15"/>
      <c r="AG109" s="15"/>
      <c r="AH109" s="15"/>
    </row>
    <row r="110" ht="16.5" customHeight="1">
      <c r="A110" s="15"/>
      <c r="B110" s="449"/>
      <c r="C110" s="482"/>
      <c r="D110" s="55"/>
      <c r="E110" s="31"/>
      <c r="F110" s="31"/>
      <c r="G110" s="69"/>
      <c r="H110" s="31"/>
      <c r="I110" s="9"/>
      <c r="J110" s="9"/>
      <c r="K110" s="11"/>
      <c r="L110" s="11"/>
      <c r="M110" s="15"/>
      <c r="N110" s="15"/>
      <c r="O110" s="15"/>
      <c r="P110" s="15"/>
      <c r="Q110" s="15"/>
      <c r="R110" s="15"/>
      <c r="S110" s="15"/>
      <c r="T110" s="15"/>
      <c r="U110" s="15"/>
      <c r="V110" s="15"/>
      <c r="W110" s="15"/>
      <c r="X110" s="15"/>
      <c r="Y110" s="15"/>
      <c r="Z110" s="15"/>
      <c r="AA110" s="15"/>
      <c r="AB110" s="15"/>
      <c r="AC110" s="15"/>
      <c r="AD110" s="15"/>
      <c r="AE110" s="15"/>
      <c r="AF110" s="15"/>
      <c r="AG110" s="15"/>
      <c r="AH110" s="15"/>
    </row>
    <row r="111" ht="16.5" customHeight="1">
      <c r="A111" s="15"/>
      <c r="B111" s="449"/>
      <c r="C111" s="482"/>
      <c r="D111" s="55"/>
      <c r="E111" s="31"/>
      <c r="F111" s="31"/>
      <c r="G111" s="69"/>
      <c r="H111" s="31"/>
      <c r="I111" s="9"/>
      <c r="J111" s="9"/>
      <c r="K111" s="11"/>
      <c r="L111" s="11"/>
      <c r="M111" s="15"/>
      <c r="N111" s="15"/>
      <c r="O111" s="15"/>
      <c r="P111" s="15"/>
      <c r="Q111" s="15"/>
      <c r="R111" s="15"/>
      <c r="S111" s="15"/>
      <c r="T111" s="15"/>
      <c r="U111" s="15"/>
      <c r="V111" s="15"/>
      <c r="W111" s="15"/>
      <c r="X111" s="15"/>
      <c r="Y111" s="15"/>
      <c r="Z111" s="15"/>
      <c r="AA111" s="15"/>
      <c r="AB111" s="15"/>
      <c r="AC111" s="15"/>
      <c r="AD111" s="15"/>
      <c r="AE111" s="15"/>
      <c r="AF111" s="15"/>
      <c r="AG111" s="15"/>
      <c r="AH111" s="15"/>
    </row>
    <row r="112" ht="16.5" customHeight="1">
      <c r="A112" s="15"/>
      <c r="B112" s="449"/>
      <c r="C112" s="482"/>
      <c r="D112" s="55"/>
      <c r="E112" s="31"/>
      <c r="F112" s="31"/>
      <c r="G112" s="69"/>
      <c r="H112" s="31"/>
      <c r="I112" s="9"/>
      <c r="J112" s="9"/>
      <c r="K112" s="11"/>
      <c r="L112" s="11"/>
      <c r="M112" s="15"/>
      <c r="N112" s="15"/>
      <c r="O112" s="15"/>
      <c r="P112" s="15"/>
      <c r="Q112" s="15"/>
      <c r="R112" s="15"/>
      <c r="S112" s="15"/>
      <c r="T112" s="15"/>
      <c r="U112" s="15"/>
      <c r="V112" s="15"/>
      <c r="W112" s="15"/>
      <c r="X112" s="15"/>
      <c r="Y112" s="15"/>
      <c r="Z112" s="15"/>
      <c r="AA112" s="15"/>
      <c r="AB112" s="15"/>
      <c r="AC112" s="15"/>
      <c r="AD112" s="15"/>
      <c r="AE112" s="15"/>
      <c r="AF112" s="15"/>
      <c r="AG112" s="15"/>
      <c r="AH112" s="15"/>
    </row>
    <row r="113" ht="16.5" customHeight="1">
      <c r="A113" s="15"/>
      <c r="B113" s="449"/>
      <c r="C113" s="482"/>
      <c r="D113" s="55"/>
      <c r="E113" s="31"/>
      <c r="F113" s="31"/>
      <c r="G113" s="69"/>
      <c r="H113" s="31"/>
      <c r="I113" s="9"/>
      <c r="J113" s="9"/>
      <c r="K113" s="11"/>
      <c r="L113" s="11"/>
      <c r="M113" s="15"/>
      <c r="N113" s="15"/>
      <c r="O113" s="15"/>
      <c r="P113" s="15"/>
      <c r="Q113" s="15"/>
      <c r="R113" s="15"/>
      <c r="S113" s="15"/>
      <c r="T113" s="15"/>
      <c r="U113" s="15"/>
      <c r="V113" s="15"/>
      <c r="W113" s="15"/>
      <c r="X113" s="15"/>
      <c r="Y113" s="15"/>
      <c r="Z113" s="15"/>
      <c r="AA113" s="15"/>
      <c r="AB113" s="15"/>
      <c r="AC113" s="15"/>
      <c r="AD113" s="15"/>
      <c r="AE113" s="15"/>
      <c r="AF113" s="15"/>
      <c r="AG113" s="15"/>
      <c r="AH113" s="15"/>
    </row>
    <row r="114" ht="16.5" customHeight="1">
      <c r="A114" s="15"/>
      <c r="B114" s="449"/>
      <c r="C114" s="482"/>
      <c r="D114" s="55"/>
      <c r="E114" s="37"/>
      <c r="F114" s="31"/>
      <c r="G114" s="69"/>
      <c r="H114" s="31"/>
      <c r="I114" s="9"/>
      <c r="J114" s="9"/>
      <c r="K114" s="11"/>
      <c r="L114" s="11"/>
      <c r="M114" s="15"/>
      <c r="N114" s="15"/>
      <c r="O114" s="15"/>
      <c r="P114" s="15"/>
      <c r="Q114" s="15"/>
      <c r="R114" s="15"/>
      <c r="S114" s="15"/>
      <c r="T114" s="15"/>
      <c r="U114" s="15"/>
      <c r="V114" s="15"/>
      <c r="W114" s="15"/>
      <c r="X114" s="15"/>
      <c r="Y114" s="15"/>
      <c r="Z114" s="15"/>
      <c r="AA114" s="15"/>
      <c r="AB114" s="15"/>
      <c r="AC114" s="15"/>
      <c r="AD114" s="15"/>
      <c r="AE114" s="15"/>
      <c r="AF114" s="15"/>
      <c r="AG114" s="15"/>
      <c r="AH114" s="15"/>
    </row>
    <row r="115" ht="16.5" customHeight="1">
      <c r="A115" s="15"/>
      <c r="B115" s="449"/>
      <c r="C115" s="482"/>
      <c r="D115" s="55"/>
      <c r="E115" s="37"/>
      <c r="F115" s="30"/>
      <c r="G115" s="69"/>
      <c r="H115" s="30"/>
      <c r="I115" s="31"/>
      <c r="J115" s="9"/>
      <c r="K115" s="11"/>
      <c r="L115" s="11"/>
      <c r="M115" s="15"/>
      <c r="N115" s="15"/>
      <c r="O115" s="15"/>
      <c r="P115" s="15"/>
      <c r="Q115" s="15"/>
      <c r="R115" s="15"/>
      <c r="S115" s="15"/>
      <c r="T115" s="15"/>
      <c r="U115" s="15"/>
      <c r="V115" s="15"/>
      <c r="W115" s="15"/>
      <c r="X115" s="15"/>
      <c r="Y115" s="15"/>
      <c r="Z115" s="15"/>
      <c r="AA115" s="15"/>
      <c r="AB115" s="15"/>
      <c r="AC115" s="15"/>
      <c r="AD115" s="15"/>
      <c r="AE115" s="15"/>
      <c r="AF115" s="15"/>
      <c r="AG115" s="15"/>
      <c r="AH115" s="15"/>
    </row>
    <row r="116" ht="16.5" customHeight="1">
      <c r="A116" s="15"/>
      <c r="B116" s="449"/>
      <c r="C116" s="482"/>
      <c r="D116" s="55"/>
      <c r="E116" s="37"/>
      <c r="F116" s="37"/>
      <c r="G116" s="69"/>
      <c r="H116" s="30"/>
      <c r="I116" s="31"/>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c r="AG116" s="15"/>
      <c r="AH116" s="15"/>
    </row>
    <row r="117" ht="16.5" customHeight="1">
      <c r="A117" s="15"/>
      <c r="B117" s="449"/>
      <c r="C117" s="482"/>
      <c r="D117" s="55"/>
      <c r="E117" s="31"/>
      <c r="F117" s="59"/>
      <c r="G117" s="69"/>
      <c r="H117" s="59"/>
      <c r="I117" s="9"/>
      <c r="J117" s="9"/>
      <c r="K117" s="11"/>
      <c r="L117" s="11"/>
      <c r="M117" s="15"/>
      <c r="N117" s="15"/>
      <c r="O117" s="15"/>
      <c r="P117" s="15"/>
      <c r="Q117" s="15"/>
      <c r="R117" s="15"/>
      <c r="S117" s="15"/>
      <c r="T117" s="15"/>
      <c r="U117" s="15"/>
      <c r="V117" s="15"/>
      <c r="W117" s="15"/>
      <c r="X117" s="15"/>
      <c r="Y117" s="15"/>
      <c r="Z117" s="15"/>
      <c r="AA117" s="15"/>
      <c r="AB117" s="15"/>
      <c r="AC117" s="15"/>
      <c r="AD117" s="15"/>
      <c r="AE117" s="15"/>
      <c r="AF117" s="15"/>
      <c r="AG117" s="15"/>
      <c r="AH117" s="15"/>
    </row>
    <row r="118" ht="16.5" customHeight="1">
      <c r="A118" s="15"/>
      <c r="B118" s="449"/>
      <c r="C118" s="482"/>
      <c r="D118" s="55"/>
      <c r="E118" s="31"/>
      <c r="F118" s="31"/>
      <c r="G118" s="69"/>
      <c r="H118" s="31"/>
      <c r="I118" s="9"/>
      <c r="J118" s="9"/>
      <c r="K118" s="11"/>
      <c r="L118" s="11"/>
      <c r="M118" s="15"/>
      <c r="N118" s="15"/>
      <c r="O118" s="15"/>
      <c r="P118" s="15"/>
      <c r="Q118" s="15"/>
      <c r="R118" s="15"/>
      <c r="S118" s="15"/>
      <c r="T118" s="15"/>
      <c r="U118" s="15"/>
      <c r="V118" s="15"/>
      <c r="W118" s="15"/>
      <c r="X118" s="15"/>
      <c r="Y118" s="15"/>
      <c r="Z118" s="15"/>
      <c r="AA118" s="15"/>
      <c r="AB118" s="15"/>
      <c r="AC118" s="15"/>
      <c r="AD118" s="15"/>
      <c r="AE118" s="15"/>
      <c r="AF118" s="15"/>
      <c r="AG118" s="15"/>
      <c r="AH118" s="15"/>
    </row>
    <row r="119" ht="16.5" customHeight="1">
      <c r="A119" s="15"/>
      <c r="B119" s="449"/>
      <c r="C119" s="450"/>
      <c r="D119" s="31"/>
      <c r="E119" s="31"/>
      <c r="F119" s="31"/>
      <c r="G119" s="69"/>
      <c r="H119" s="31"/>
      <c r="I119" s="9"/>
      <c r="J119" s="9"/>
      <c r="K119" s="11"/>
      <c r="L119" s="11"/>
      <c r="M119" s="15"/>
      <c r="N119" s="15"/>
      <c r="O119" s="15"/>
      <c r="P119" s="15"/>
      <c r="Q119" s="15"/>
      <c r="R119" s="15"/>
      <c r="S119" s="15"/>
      <c r="T119" s="15"/>
      <c r="U119" s="15"/>
      <c r="V119" s="15"/>
      <c r="W119" s="15"/>
      <c r="X119" s="15"/>
      <c r="Y119" s="15"/>
      <c r="Z119" s="15"/>
      <c r="AA119" s="15"/>
      <c r="AB119" s="15"/>
      <c r="AC119" s="15"/>
      <c r="AD119" s="15"/>
      <c r="AE119" s="15"/>
      <c r="AF119" s="15"/>
      <c r="AG119" s="15"/>
      <c r="AH119" s="15"/>
    </row>
    <row r="120" ht="16.5" customHeight="1">
      <c r="A120" s="15"/>
      <c r="B120" s="449"/>
      <c r="C120" s="450"/>
      <c r="D120" s="31"/>
      <c r="E120" s="31"/>
      <c r="F120" s="31"/>
      <c r="G120" s="69"/>
      <c r="H120" s="31"/>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c r="AG120" s="15"/>
      <c r="AH120" s="15"/>
    </row>
    <row r="121" ht="16.5" customHeight="1">
      <c r="A121" s="15"/>
      <c r="B121" s="449"/>
      <c r="C121" s="450"/>
      <c r="D121" s="31"/>
      <c r="E121" s="31"/>
      <c r="F121" s="31"/>
      <c r="G121" s="69"/>
      <c r="H121" s="31"/>
      <c r="I121" s="9"/>
      <c r="J121" s="9"/>
      <c r="K121" s="11"/>
      <c r="L121" s="11"/>
      <c r="M121" s="15"/>
      <c r="N121" s="15"/>
      <c r="O121" s="15"/>
      <c r="P121" s="15"/>
      <c r="Q121" s="15"/>
      <c r="R121" s="15"/>
      <c r="S121" s="15"/>
      <c r="T121" s="15"/>
      <c r="U121" s="15"/>
      <c r="V121" s="15"/>
      <c r="W121" s="15"/>
      <c r="X121" s="15"/>
      <c r="Y121" s="15"/>
      <c r="Z121" s="15"/>
      <c r="AA121" s="15"/>
      <c r="AB121" s="15"/>
      <c r="AC121" s="15"/>
      <c r="AD121" s="15"/>
      <c r="AE121" s="15"/>
      <c r="AF121" s="15"/>
      <c r="AG121" s="15"/>
      <c r="AH121" s="15"/>
    </row>
    <row r="122" ht="16.5" customHeight="1">
      <c r="A122" s="15"/>
      <c r="B122" s="449"/>
      <c r="C122" s="450"/>
      <c r="D122" s="31"/>
      <c r="E122" s="31"/>
      <c r="F122" s="31"/>
      <c r="G122" s="69"/>
      <c r="H122" s="31"/>
      <c r="I122" s="31"/>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c r="AG122" s="15"/>
      <c r="AH122" s="15"/>
    </row>
    <row r="123" ht="16.5" customHeight="1">
      <c r="A123" s="15"/>
      <c r="B123" s="449"/>
      <c r="C123" s="450"/>
      <c r="D123" s="31"/>
      <c r="E123" s="37"/>
      <c r="F123" s="31"/>
      <c r="G123" s="69"/>
      <c r="H123" s="31"/>
      <c r="I123" s="31"/>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c r="AG123" s="15"/>
      <c r="AH123" s="15"/>
    </row>
    <row r="124" ht="16.5" customHeight="1">
      <c r="A124" s="15"/>
      <c r="B124" s="449"/>
      <c r="C124" s="450"/>
      <c r="D124" s="31"/>
      <c r="E124" s="37"/>
      <c r="F124" s="30"/>
      <c r="G124" s="69"/>
      <c r="H124" s="30"/>
      <c r="I124" s="9"/>
      <c r="J124" s="9"/>
      <c r="K124" s="11"/>
      <c r="L124" s="11"/>
      <c r="M124" s="15"/>
      <c r="N124" s="15"/>
      <c r="O124" s="15"/>
      <c r="P124" s="15"/>
      <c r="Q124" s="15"/>
      <c r="R124" s="15"/>
      <c r="S124" s="15"/>
      <c r="T124" s="15"/>
      <c r="U124" s="15"/>
      <c r="V124" s="15"/>
      <c r="W124" s="15"/>
      <c r="X124" s="15"/>
      <c r="Y124" s="15"/>
      <c r="Z124" s="15"/>
      <c r="AA124" s="15"/>
      <c r="AB124" s="15"/>
      <c r="AC124" s="15"/>
      <c r="AD124" s="15"/>
      <c r="AE124" s="15"/>
      <c r="AF124" s="15"/>
      <c r="AG124" s="15"/>
      <c r="AH124" s="15"/>
    </row>
    <row r="125" ht="16.5" customHeight="1">
      <c r="A125" s="15"/>
      <c r="B125" s="449"/>
      <c r="C125" s="450"/>
      <c r="D125" s="31"/>
      <c r="E125" s="37"/>
      <c r="F125" s="37"/>
      <c r="G125" s="69"/>
      <c r="H125" s="30"/>
      <c r="I125" s="9"/>
      <c r="J125" s="9"/>
      <c r="K125" s="11"/>
      <c r="L125" s="11"/>
      <c r="M125" s="15"/>
      <c r="N125" s="15"/>
      <c r="O125" s="15"/>
      <c r="P125" s="15"/>
      <c r="Q125" s="15"/>
      <c r="R125" s="15"/>
      <c r="S125" s="15"/>
      <c r="T125" s="15"/>
      <c r="U125" s="15"/>
      <c r="V125" s="15"/>
      <c r="W125" s="15"/>
      <c r="X125" s="15"/>
      <c r="Y125" s="15"/>
      <c r="Z125" s="15"/>
      <c r="AA125" s="15"/>
      <c r="AB125" s="15"/>
      <c r="AC125" s="15"/>
      <c r="AD125" s="15"/>
      <c r="AE125" s="15"/>
      <c r="AF125" s="15"/>
      <c r="AG125" s="15"/>
      <c r="AH125" s="15"/>
    </row>
    <row r="126" ht="16.5" customHeight="1">
      <c r="A126" s="15"/>
      <c r="B126" s="449"/>
      <c r="C126" s="450"/>
      <c r="D126" s="31"/>
      <c r="E126" s="31"/>
      <c r="F126" s="59"/>
      <c r="G126" s="69"/>
      <c r="H126" s="59"/>
      <c r="I126" s="9"/>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c r="AG126" s="15"/>
      <c r="AH126" s="15"/>
    </row>
    <row r="127" ht="16.5" customHeight="1">
      <c r="A127" s="15"/>
      <c r="B127" s="449"/>
      <c r="C127" s="482"/>
      <c r="D127" s="55"/>
      <c r="E127" s="31"/>
      <c r="F127" s="31"/>
      <c r="G127" s="69"/>
      <c r="H127" s="31"/>
      <c r="I127" s="9"/>
      <c r="J127" s="9"/>
      <c r="K127" s="11"/>
      <c r="L127" s="11"/>
      <c r="M127" s="15"/>
      <c r="N127" s="15"/>
      <c r="O127" s="15"/>
      <c r="P127" s="15"/>
      <c r="Q127" s="15"/>
      <c r="R127" s="15"/>
      <c r="S127" s="15"/>
      <c r="T127" s="15"/>
      <c r="U127" s="15"/>
      <c r="V127" s="15"/>
      <c r="W127" s="15"/>
      <c r="X127" s="15"/>
      <c r="Y127" s="15"/>
      <c r="Z127" s="15"/>
      <c r="AA127" s="15"/>
      <c r="AB127" s="15"/>
      <c r="AC127" s="15"/>
      <c r="AD127" s="15"/>
      <c r="AE127" s="15"/>
      <c r="AF127" s="15"/>
      <c r="AG127" s="15"/>
      <c r="AH127" s="15"/>
    </row>
    <row r="128" ht="16.5" customHeight="1">
      <c r="A128" s="15"/>
      <c r="B128" s="449"/>
      <c r="C128" s="482"/>
      <c r="D128" s="55"/>
      <c r="E128" s="31"/>
      <c r="F128" s="31"/>
      <c r="G128" s="69"/>
      <c r="H128" s="31"/>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c r="AG128" s="15"/>
      <c r="AH128" s="15"/>
    </row>
    <row r="129" ht="16.5" customHeight="1">
      <c r="A129" s="15"/>
      <c r="B129" s="449"/>
      <c r="C129" s="482"/>
      <c r="D129" s="55"/>
      <c r="E129" s="31"/>
      <c r="F129" s="31"/>
      <c r="G129" s="69"/>
      <c r="H129" s="31"/>
      <c r="I129" s="31"/>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c r="AG129" s="15"/>
      <c r="AH129" s="15"/>
    </row>
    <row r="130" ht="16.5" customHeight="1">
      <c r="A130" s="15"/>
      <c r="B130" s="449"/>
      <c r="C130" s="482"/>
      <c r="D130" s="55"/>
      <c r="E130" s="31"/>
      <c r="F130" s="31"/>
      <c r="G130" s="69"/>
      <c r="H130" s="31"/>
      <c r="I130" s="31"/>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c r="AG130" s="15"/>
      <c r="AH130" s="15"/>
    </row>
    <row r="131" ht="16.5" customHeight="1">
      <c r="A131" s="15"/>
      <c r="B131" s="449"/>
      <c r="C131" s="482"/>
      <c r="D131" s="55"/>
      <c r="E131" s="37"/>
      <c r="F131" s="31"/>
      <c r="G131" s="69"/>
      <c r="H131" s="31"/>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c r="AG131" s="15"/>
      <c r="AH131" s="15"/>
    </row>
    <row r="132" ht="16.5" customHeight="1">
      <c r="A132" s="15"/>
      <c r="B132" s="449"/>
      <c r="C132" s="482"/>
      <c r="D132" s="55"/>
      <c r="E132" s="37"/>
      <c r="F132" s="30"/>
      <c r="G132" s="69"/>
      <c r="H132" s="30"/>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c r="AG132" s="15"/>
      <c r="AH132" s="15"/>
    </row>
    <row r="133" ht="16.5" customHeight="1">
      <c r="A133" s="15"/>
      <c r="B133" s="449"/>
      <c r="C133" s="482"/>
      <c r="D133" s="55"/>
      <c r="E133" s="37"/>
      <c r="F133" s="37"/>
      <c r="G133" s="69"/>
      <c r="H133" s="30"/>
      <c r="I133" s="9"/>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c r="AG133" s="15"/>
      <c r="AH133" s="15"/>
    </row>
    <row r="134" ht="16.5" customHeight="1">
      <c r="A134" s="15"/>
      <c r="B134" s="449"/>
      <c r="C134" s="482"/>
      <c r="D134" s="55"/>
      <c r="E134" s="31"/>
      <c r="F134" s="59"/>
      <c r="G134" s="69"/>
      <c r="H134" s="59"/>
      <c r="I134" s="9"/>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c r="AG134" s="15"/>
      <c r="AH134" s="15"/>
    </row>
    <row r="135" ht="16.5" customHeight="1">
      <c r="A135" s="15"/>
      <c r="B135" s="449"/>
      <c r="C135" s="450"/>
      <c r="D135" s="31"/>
      <c r="E135" s="37"/>
      <c r="F135" s="31"/>
      <c r="G135" s="351"/>
      <c r="H135" s="31"/>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c r="AG135" s="15"/>
      <c r="AH135" s="15"/>
    </row>
    <row r="136" ht="16.5" customHeight="1">
      <c r="A136" s="15"/>
      <c r="B136" s="219"/>
      <c r="C136" s="482"/>
      <c r="D136" s="55"/>
      <c r="E136" s="31"/>
      <c r="F136" s="31"/>
      <c r="G136" s="149"/>
      <c r="H136" s="31"/>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c r="AG136" s="15"/>
      <c r="AH136" s="15"/>
    </row>
    <row r="137" ht="16.5" customHeight="1">
      <c r="A137" s="15"/>
      <c r="B137" s="219"/>
      <c r="C137" s="482"/>
      <c r="D137" s="55"/>
      <c r="E137" s="31"/>
      <c r="F137" s="31"/>
      <c r="G137" s="149"/>
      <c r="H137" s="31"/>
      <c r="I137" s="9"/>
      <c r="J137" s="9"/>
      <c r="K137" s="61"/>
      <c r="L137" s="11"/>
      <c r="M137" s="15"/>
      <c r="N137" s="15"/>
      <c r="O137" s="15"/>
      <c r="P137" s="15"/>
      <c r="Q137" s="15"/>
      <c r="R137" s="15"/>
      <c r="S137" s="15"/>
      <c r="T137" s="15"/>
      <c r="U137" s="15"/>
      <c r="V137" s="15"/>
      <c r="W137" s="15"/>
      <c r="X137" s="15"/>
      <c r="Y137" s="15"/>
      <c r="Z137" s="15"/>
      <c r="AA137" s="15"/>
      <c r="AB137" s="15"/>
      <c r="AC137" s="15"/>
      <c r="AD137" s="15"/>
      <c r="AE137" s="15"/>
      <c r="AF137" s="15"/>
      <c r="AG137" s="15"/>
      <c r="AH137" s="15"/>
    </row>
    <row r="138" ht="16.5" customHeight="1">
      <c r="A138" s="15"/>
      <c r="B138" s="219"/>
      <c r="C138" s="482"/>
      <c r="D138" s="55"/>
      <c r="E138" s="31"/>
      <c r="F138" s="31"/>
      <c r="G138" s="149"/>
      <c r="H138" s="31"/>
      <c r="I138" s="31"/>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c r="AG138" s="15"/>
      <c r="AH138" s="15"/>
    </row>
    <row r="139" ht="16.5" customHeight="1">
      <c r="A139" s="15"/>
      <c r="B139" s="219"/>
      <c r="C139" s="482"/>
      <c r="D139" s="55"/>
      <c r="E139" s="37"/>
      <c r="F139" s="31"/>
      <c r="G139" s="149"/>
      <c r="H139" s="31"/>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c r="AG139" s="15"/>
      <c r="AH139" s="15"/>
    </row>
    <row r="140" ht="16.5" customHeight="1">
      <c r="A140" s="15"/>
      <c r="B140" s="219"/>
      <c r="C140" s="482"/>
      <c r="D140" s="55"/>
      <c r="E140" s="37"/>
      <c r="F140" s="30"/>
      <c r="G140" s="149"/>
      <c r="H140" s="30"/>
      <c r="I140" s="31"/>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c r="AG140" s="15"/>
      <c r="AH140" s="15"/>
    </row>
    <row r="141" ht="16.5" customHeight="1">
      <c r="A141" s="15"/>
      <c r="B141" s="219"/>
      <c r="C141" s="482"/>
      <c r="D141" s="55"/>
      <c r="E141" s="37"/>
      <c r="F141" s="37"/>
      <c r="G141" s="149"/>
      <c r="H141" s="30"/>
      <c r="I141" s="9"/>
      <c r="J141" s="9"/>
      <c r="K141" s="11"/>
      <c r="L141" s="11"/>
      <c r="M141" s="15"/>
      <c r="N141" s="15"/>
      <c r="O141" s="15"/>
      <c r="P141" s="15"/>
      <c r="Q141" s="15"/>
      <c r="R141" s="15"/>
      <c r="S141" s="15"/>
      <c r="T141" s="15"/>
      <c r="U141" s="15"/>
      <c r="V141" s="15"/>
      <c r="W141" s="15"/>
      <c r="X141" s="15"/>
      <c r="Y141" s="15"/>
      <c r="Z141" s="15"/>
      <c r="AA141" s="15"/>
      <c r="AB141" s="15"/>
      <c r="AC141" s="15"/>
      <c r="AD141" s="15"/>
      <c r="AE141" s="15"/>
      <c r="AF141" s="15"/>
      <c r="AG141" s="15"/>
      <c r="AH141" s="15"/>
    </row>
    <row r="142" ht="16.5" customHeight="1">
      <c r="A142" s="15"/>
      <c r="B142" s="219"/>
      <c r="C142" s="482"/>
      <c r="D142" s="55"/>
      <c r="E142" s="31"/>
      <c r="F142" s="31"/>
      <c r="G142" s="149"/>
      <c r="H142" s="31"/>
      <c r="I142" s="9"/>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c r="AG142" s="15"/>
      <c r="AH142" s="15"/>
    </row>
    <row r="143" ht="16.5" customHeight="1">
      <c r="A143" s="15"/>
      <c r="B143" s="219"/>
      <c r="C143" s="482"/>
      <c r="D143" s="55"/>
      <c r="E143" s="31"/>
      <c r="F143" s="62"/>
      <c r="G143" s="149"/>
      <c r="H143" s="62"/>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c r="AG143" s="15"/>
      <c r="AH143" s="15"/>
    </row>
    <row r="144" ht="16.5" customHeight="1">
      <c r="A144" s="15"/>
      <c r="B144" s="219"/>
      <c r="C144" s="482"/>
      <c r="D144" s="55"/>
      <c r="E144" s="31"/>
      <c r="F144" s="31"/>
      <c r="G144" s="149"/>
      <c r="H144" s="31"/>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c r="AG144" s="15"/>
      <c r="AH144" s="15"/>
    </row>
    <row r="145" ht="16.5" customHeight="1">
      <c r="A145" s="15"/>
      <c r="B145" s="219"/>
      <c r="C145" s="450"/>
      <c r="D145" s="31"/>
      <c r="E145" s="31"/>
      <c r="F145" s="31"/>
      <c r="G145" s="149"/>
      <c r="H145" s="31"/>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c r="AG145" s="15"/>
      <c r="AH145" s="15"/>
    </row>
    <row r="146" ht="16.5" customHeight="1">
      <c r="A146" s="15"/>
      <c r="B146" s="219"/>
      <c r="C146" s="450"/>
      <c r="D146" s="31"/>
      <c r="E146" s="31"/>
      <c r="F146" s="31"/>
      <c r="G146" s="149"/>
      <c r="H146" s="31"/>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c r="AG146" s="15"/>
      <c r="AH146" s="15"/>
    </row>
    <row r="147" ht="16.5" customHeight="1">
      <c r="A147" s="15"/>
      <c r="B147" s="219"/>
      <c r="C147" s="450"/>
      <c r="D147" s="31"/>
      <c r="E147" s="31"/>
      <c r="F147" s="31"/>
      <c r="G147" s="149"/>
      <c r="H147" s="31"/>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c r="AG147" s="15"/>
      <c r="AH147" s="15"/>
    </row>
    <row r="148" ht="16.5" customHeight="1">
      <c r="A148" s="15"/>
      <c r="B148" s="219"/>
      <c r="C148" s="450"/>
      <c r="D148" s="31"/>
      <c r="E148" s="37"/>
      <c r="F148" s="31"/>
      <c r="G148" s="149"/>
      <c r="H148" s="31"/>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c r="AG148" s="15"/>
      <c r="AH148" s="15"/>
    </row>
    <row r="149" ht="16.5" customHeight="1">
      <c r="A149" s="15"/>
      <c r="B149" s="219"/>
      <c r="C149" s="450"/>
      <c r="D149" s="31"/>
      <c r="E149" s="37"/>
      <c r="F149" s="30"/>
      <c r="G149" s="149"/>
      <c r="H149" s="30"/>
      <c r="I149" s="9"/>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c r="AG149" s="15"/>
      <c r="AH149" s="15"/>
    </row>
    <row r="150" ht="16.5" customHeight="1">
      <c r="A150" s="15"/>
      <c r="B150" s="219"/>
      <c r="C150" s="450"/>
      <c r="D150" s="31"/>
      <c r="E150" s="37"/>
      <c r="F150" s="37"/>
      <c r="G150" s="149"/>
      <c r="H150" s="30"/>
      <c r="I150" s="9"/>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c r="AG150" s="15"/>
      <c r="AH150" s="15"/>
    </row>
    <row r="151" ht="16.5" customHeight="1">
      <c r="A151" s="15"/>
      <c r="B151" s="219"/>
      <c r="C151" s="450"/>
      <c r="D151" s="31"/>
      <c r="E151" s="31"/>
      <c r="F151" s="31"/>
      <c r="G151" s="149"/>
      <c r="H151" s="31"/>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c r="AG151" s="15"/>
      <c r="AH151" s="15"/>
    </row>
    <row r="152" ht="16.5" customHeight="1">
      <c r="A152" s="15"/>
      <c r="B152" s="219"/>
      <c r="C152" s="450"/>
      <c r="D152" s="31"/>
      <c r="E152" s="31"/>
      <c r="F152" s="62"/>
      <c r="G152" s="149"/>
      <c r="H152" s="62"/>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c r="AG152" s="15"/>
      <c r="AH152" s="15"/>
    </row>
    <row r="153" ht="16.5" customHeight="1">
      <c r="A153" s="15"/>
      <c r="B153" s="219"/>
      <c r="C153" s="450"/>
      <c r="D153" s="31"/>
      <c r="E153" s="31"/>
      <c r="F153" s="31"/>
      <c r="G153" s="149"/>
      <c r="H153" s="31"/>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c r="AG153" s="15"/>
      <c r="AH153" s="15"/>
    </row>
    <row r="154" ht="16.5" customHeight="1">
      <c r="A154" s="15"/>
      <c r="B154" s="219"/>
      <c r="C154" s="450"/>
      <c r="D154" s="31"/>
      <c r="E154" s="31"/>
      <c r="F154" s="31"/>
      <c r="G154" s="149"/>
      <c r="H154" s="31"/>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c r="AG154" s="15"/>
      <c r="AH154" s="15"/>
    </row>
    <row r="155" ht="16.5" customHeight="1">
      <c r="A155" s="15"/>
      <c r="B155" s="219"/>
      <c r="C155" s="450"/>
      <c r="D155" s="31"/>
      <c r="E155" s="31"/>
      <c r="F155" s="31"/>
      <c r="G155" s="149"/>
      <c r="H155" s="31"/>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c r="AG155" s="15"/>
      <c r="AH155" s="15"/>
    </row>
    <row r="156" ht="16.5" customHeight="1">
      <c r="A156" s="15"/>
      <c r="B156" s="219"/>
      <c r="C156" s="450"/>
      <c r="D156" s="31"/>
      <c r="E156" s="31"/>
      <c r="F156" s="31"/>
      <c r="G156" s="149"/>
      <c r="H156" s="31"/>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c r="AG156" s="15"/>
      <c r="AH156" s="15"/>
    </row>
    <row r="157" ht="16.5" customHeight="1">
      <c r="A157" s="15"/>
      <c r="B157" s="219"/>
      <c r="C157" s="450"/>
      <c r="D157" s="31"/>
      <c r="E157" s="37"/>
      <c r="F157" s="31"/>
      <c r="G157" s="149"/>
      <c r="H157" s="31"/>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c r="AG157" s="15"/>
      <c r="AH157" s="15"/>
    </row>
    <row r="158" ht="16.5" customHeight="1">
      <c r="A158" s="15"/>
      <c r="B158" s="219"/>
      <c r="C158" s="450"/>
      <c r="D158" s="31"/>
      <c r="E158" s="37"/>
      <c r="F158" s="30"/>
      <c r="G158" s="149"/>
      <c r="H158" s="30"/>
      <c r="I158" s="9"/>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c r="AG158" s="15"/>
      <c r="AH158" s="15"/>
    </row>
    <row r="159" ht="16.5" customHeight="1">
      <c r="A159" s="15"/>
      <c r="B159" s="219"/>
      <c r="C159" s="450"/>
      <c r="D159" s="31"/>
      <c r="E159" s="37"/>
      <c r="F159" s="37"/>
      <c r="G159" s="149"/>
      <c r="H159" s="30"/>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c r="AG159" s="15"/>
      <c r="AH159" s="15"/>
    </row>
    <row r="160" ht="16.5" customHeight="1">
      <c r="A160" s="15"/>
      <c r="B160" s="219"/>
      <c r="C160" s="450"/>
      <c r="D160" s="31"/>
      <c r="E160" s="31"/>
      <c r="F160" s="31"/>
      <c r="G160" s="149"/>
      <c r="H160" s="31"/>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c r="AG160" s="15"/>
      <c r="AH160" s="15"/>
    </row>
    <row r="161" ht="16.5" customHeight="1">
      <c r="A161" s="15"/>
      <c r="B161" s="219"/>
      <c r="C161" s="450"/>
      <c r="D161" s="31"/>
      <c r="E161" s="31"/>
      <c r="F161" s="62"/>
      <c r="G161" s="149"/>
      <c r="H161" s="62"/>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c r="AG161" s="15"/>
      <c r="AH161" s="15"/>
    </row>
    <row r="162" ht="16.5" customHeight="1">
      <c r="A162" s="15"/>
      <c r="B162" s="219"/>
      <c r="C162" s="87"/>
      <c r="D162" s="31"/>
      <c r="E162" s="31"/>
      <c r="F162" s="31"/>
      <c r="G162" s="149"/>
      <c r="H162" s="31"/>
      <c r="I162" s="9"/>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c r="AG162" s="15"/>
      <c r="AH162" s="15"/>
    </row>
    <row r="163" ht="16.5" customHeight="1">
      <c r="A163" s="15"/>
      <c r="B163" s="219"/>
      <c r="C163" s="87"/>
      <c r="D163" s="31"/>
      <c r="E163" s="31"/>
      <c r="F163" s="31"/>
      <c r="G163" s="149"/>
      <c r="H163" s="31"/>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c r="AG163" s="15"/>
      <c r="AH163" s="15"/>
    </row>
    <row r="164" ht="16.5" customHeight="1">
      <c r="A164" s="15"/>
      <c r="B164" s="219"/>
      <c r="C164" s="87"/>
      <c r="D164" s="31"/>
      <c r="E164" s="31"/>
      <c r="F164" s="31"/>
      <c r="G164" s="149"/>
      <c r="H164" s="31"/>
      <c r="I164" s="9"/>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c r="AG164" s="15"/>
      <c r="AH164" s="15"/>
    </row>
    <row r="165" ht="16.5" customHeight="1">
      <c r="A165" s="15"/>
      <c r="B165" s="219"/>
      <c r="C165" s="87"/>
      <c r="D165" s="31"/>
      <c r="E165" s="31"/>
      <c r="F165" s="31"/>
      <c r="G165" s="149"/>
      <c r="H165" s="31"/>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c r="AG165" s="15"/>
      <c r="AH165" s="15"/>
    </row>
    <row r="166" ht="16.5" customHeight="1">
      <c r="A166" s="15"/>
      <c r="B166" s="219"/>
      <c r="C166" s="87"/>
      <c r="D166" s="31"/>
      <c r="E166" s="37"/>
      <c r="F166" s="31"/>
      <c r="G166" s="149"/>
      <c r="H166" s="31"/>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c r="AG166" s="15"/>
      <c r="AH166" s="15"/>
    </row>
    <row r="167" ht="16.5" customHeight="1">
      <c r="A167" s="15"/>
      <c r="B167" s="219"/>
      <c r="C167" s="87"/>
      <c r="D167" s="31"/>
      <c r="E167" s="37"/>
      <c r="F167" s="30"/>
      <c r="G167" s="149"/>
      <c r="H167" s="30"/>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c r="AG167" s="15"/>
      <c r="AH167" s="15"/>
    </row>
    <row r="168" ht="16.5" customHeight="1">
      <c r="A168" s="15"/>
      <c r="B168" s="219"/>
      <c r="C168" s="87"/>
      <c r="D168" s="31"/>
      <c r="E168" s="37"/>
      <c r="F168" s="37"/>
      <c r="G168" s="149"/>
      <c r="H168" s="30"/>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c r="AG168" s="15"/>
      <c r="AH168" s="15"/>
    </row>
    <row r="169" ht="16.5" customHeight="1">
      <c r="A169" s="15"/>
      <c r="B169" s="219"/>
      <c r="C169" s="87"/>
      <c r="D169" s="31"/>
      <c r="E169" s="31"/>
      <c r="F169" s="31"/>
      <c r="G169" s="149"/>
      <c r="H169" s="31"/>
      <c r="I169" s="9"/>
      <c r="J169" s="11"/>
      <c r="K169" s="11"/>
      <c r="L169" s="11"/>
      <c r="M169" s="15"/>
      <c r="N169" s="15"/>
      <c r="O169" s="15"/>
      <c r="P169" s="15"/>
      <c r="Q169" s="15"/>
      <c r="R169" s="15"/>
      <c r="S169" s="15"/>
      <c r="T169" s="15"/>
      <c r="U169" s="15"/>
      <c r="V169" s="15"/>
      <c r="W169" s="15"/>
      <c r="X169" s="15"/>
      <c r="Y169" s="15"/>
      <c r="Z169" s="15"/>
      <c r="AA169" s="15"/>
      <c r="AB169" s="15"/>
      <c r="AC169" s="15"/>
      <c r="AD169" s="15"/>
      <c r="AE169" s="15"/>
      <c r="AF169" s="15"/>
      <c r="AG169" s="15"/>
      <c r="AH169" s="15"/>
    </row>
    <row r="170" ht="16.5" customHeight="1">
      <c r="A170" s="15"/>
      <c r="B170" s="219"/>
      <c r="C170" s="87"/>
      <c r="D170" s="31"/>
      <c r="E170" s="31"/>
      <c r="F170" s="62"/>
      <c r="G170" s="149"/>
      <c r="H170" s="62"/>
      <c r="I170" s="9"/>
      <c r="J170" s="11"/>
      <c r="K170" s="11"/>
      <c r="L170" s="11"/>
      <c r="M170" s="15"/>
      <c r="N170" s="15"/>
      <c r="O170" s="15"/>
      <c r="P170" s="15"/>
      <c r="Q170" s="15"/>
      <c r="R170" s="15"/>
      <c r="S170" s="15"/>
      <c r="T170" s="15"/>
      <c r="U170" s="15"/>
      <c r="V170" s="15"/>
      <c r="W170" s="15"/>
      <c r="X170" s="15"/>
      <c r="Y170" s="15"/>
      <c r="Z170" s="15"/>
      <c r="AA170" s="15"/>
      <c r="AB170" s="15"/>
      <c r="AC170" s="15"/>
      <c r="AD170" s="15"/>
      <c r="AE170" s="15"/>
      <c r="AF170" s="15"/>
      <c r="AG170" s="15"/>
      <c r="AH170" s="15"/>
    </row>
    <row r="171" ht="16.5" customHeight="1">
      <c r="A171" s="15"/>
      <c r="B171" s="219"/>
      <c r="C171" s="209"/>
      <c r="D171" s="9"/>
      <c r="E171" s="45"/>
      <c r="F171" s="9"/>
      <c r="G171" s="443"/>
      <c r="H171" s="9"/>
      <c r="I171" s="9"/>
      <c r="J171" s="11"/>
      <c r="K171" s="11"/>
      <c r="L171" s="11"/>
      <c r="M171" s="15"/>
      <c r="N171" s="15"/>
      <c r="O171" s="15"/>
      <c r="P171" s="15"/>
      <c r="Q171" s="15"/>
      <c r="R171" s="15"/>
      <c r="S171" s="15"/>
      <c r="T171" s="15"/>
      <c r="U171" s="15"/>
      <c r="V171" s="15"/>
      <c r="W171" s="15"/>
      <c r="X171" s="15"/>
      <c r="Y171" s="15"/>
      <c r="Z171" s="15"/>
      <c r="AA171" s="15"/>
      <c r="AB171" s="15"/>
      <c r="AC171" s="15"/>
      <c r="AD171" s="15"/>
      <c r="AE171" s="15"/>
      <c r="AF171" s="15"/>
      <c r="AG171" s="15"/>
      <c r="AH171" s="15"/>
    </row>
    <row r="172" ht="16.5" customHeight="1">
      <c r="A172" s="15"/>
      <c r="B172" s="35"/>
      <c r="C172" s="483"/>
      <c r="G172" s="453"/>
      <c r="I172" s="11"/>
      <c r="J172" s="11"/>
      <c r="K172" s="11"/>
      <c r="L172" s="11"/>
      <c r="M172" s="15"/>
      <c r="N172" s="15"/>
      <c r="O172" s="15"/>
      <c r="P172" s="15"/>
      <c r="Q172" s="15"/>
      <c r="R172" s="15"/>
      <c r="S172" s="15"/>
      <c r="T172" s="15"/>
      <c r="U172" s="15"/>
      <c r="V172" s="15"/>
      <c r="W172" s="15"/>
      <c r="X172" s="15"/>
      <c r="Y172" s="15"/>
      <c r="Z172" s="15"/>
      <c r="AA172" s="15"/>
      <c r="AB172" s="15"/>
      <c r="AC172" s="15"/>
      <c r="AD172" s="15"/>
      <c r="AE172" s="15"/>
      <c r="AF172" s="15"/>
      <c r="AG172" s="15"/>
      <c r="AH172" s="15"/>
    </row>
    <row r="173" ht="16.5" customHeight="1">
      <c r="A173" s="15"/>
      <c r="B173" s="219"/>
      <c r="C173" s="483"/>
      <c r="G173" s="453"/>
      <c r="I173" s="11"/>
      <c r="J173" s="11"/>
      <c r="K173" s="11"/>
      <c r="L173" s="11"/>
      <c r="M173" s="15"/>
      <c r="N173" s="15"/>
      <c r="O173" s="15"/>
      <c r="P173" s="15"/>
      <c r="Q173" s="15"/>
      <c r="R173" s="15"/>
      <c r="S173" s="15"/>
      <c r="T173" s="15"/>
      <c r="U173" s="15"/>
      <c r="V173" s="15"/>
      <c r="W173" s="15"/>
      <c r="X173" s="15"/>
      <c r="Y173" s="15"/>
      <c r="Z173" s="15"/>
      <c r="AA173" s="15"/>
      <c r="AB173" s="15"/>
      <c r="AC173" s="15"/>
      <c r="AD173" s="15"/>
      <c r="AE173" s="15"/>
      <c r="AF173" s="15"/>
      <c r="AG173" s="15"/>
      <c r="AH173" s="15"/>
    </row>
    <row r="174" ht="16.5" customHeight="1">
      <c r="A174" s="15"/>
      <c r="B174" s="35"/>
      <c r="C174" s="483"/>
      <c r="G174" s="453"/>
      <c r="I174" s="11"/>
      <c r="J174" s="11"/>
      <c r="K174" s="11"/>
      <c r="L174" s="11"/>
      <c r="M174" s="15"/>
      <c r="N174" s="15"/>
      <c r="O174" s="15"/>
      <c r="P174" s="15"/>
      <c r="Q174" s="15"/>
      <c r="R174" s="15"/>
      <c r="S174" s="15"/>
      <c r="T174" s="15"/>
      <c r="U174" s="15"/>
      <c r="V174" s="15"/>
      <c r="W174" s="15"/>
      <c r="X174" s="15"/>
      <c r="Y174" s="15"/>
      <c r="Z174" s="15"/>
      <c r="AA174" s="15"/>
      <c r="AB174" s="15"/>
      <c r="AC174" s="15"/>
      <c r="AD174" s="15"/>
      <c r="AE174" s="15"/>
      <c r="AF174" s="15"/>
      <c r="AG174" s="15"/>
      <c r="AH174" s="15"/>
    </row>
    <row r="175" ht="16.5" customHeight="1">
      <c r="A175" s="15"/>
      <c r="B175" s="219"/>
      <c r="C175" s="483"/>
      <c r="G175" s="453"/>
      <c r="I175" s="11"/>
      <c r="J175" s="11"/>
      <c r="K175" s="11"/>
      <c r="L175" s="11"/>
      <c r="M175" s="15"/>
      <c r="N175" s="15"/>
      <c r="O175" s="15"/>
      <c r="P175" s="15"/>
      <c r="Q175" s="15"/>
      <c r="R175" s="15"/>
      <c r="S175" s="15"/>
      <c r="T175" s="15"/>
      <c r="U175" s="15"/>
      <c r="V175" s="15"/>
      <c r="W175" s="15"/>
      <c r="X175" s="15"/>
      <c r="Y175" s="15"/>
      <c r="Z175" s="15"/>
      <c r="AA175" s="15"/>
      <c r="AB175" s="15"/>
      <c r="AC175" s="15"/>
      <c r="AD175" s="15"/>
      <c r="AE175" s="15"/>
      <c r="AF175" s="15"/>
      <c r="AG175" s="15"/>
      <c r="AH175" s="15"/>
    </row>
    <row r="176" ht="16.5" customHeight="1">
      <c r="A176" s="15"/>
      <c r="B176" s="35"/>
      <c r="C176" s="450"/>
      <c r="D176" s="31"/>
      <c r="E176" s="31"/>
      <c r="F176" s="31"/>
      <c r="G176" s="149"/>
      <c r="H176" s="9"/>
      <c r="I176" s="11"/>
      <c r="J176" s="11"/>
      <c r="K176" s="11"/>
      <c r="L176" s="11"/>
      <c r="M176" s="15"/>
      <c r="N176" s="15"/>
      <c r="O176" s="15"/>
      <c r="P176" s="15"/>
      <c r="Q176" s="15"/>
      <c r="R176" s="15"/>
      <c r="S176" s="15"/>
      <c r="T176" s="15"/>
      <c r="U176" s="15"/>
      <c r="V176" s="15"/>
      <c r="W176" s="15"/>
      <c r="X176" s="15"/>
      <c r="Y176" s="15"/>
      <c r="Z176" s="15"/>
      <c r="AA176" s="15"/>
      <c r="AB176" s="15"/>
      <c r="AC176" s="15"/>
      <c r="AD176" s="15"/>
      <c r="AE176" s="15"/>
      <c r="AF176" s="15"/>
      <c r="AG176" s="15"/>
      <c r="AH176" s="15"/>
    </row>
    <row r="177" ht="16.5" customHeight="1">
      <c r="A177" s="15"/>
      <c r="B177" s="219"/>
      <c r="C177" s="450"/>
      <c r="D177" s="31"/>
      <c r="E177" s="31"/>
      <c r="F177" s="31"/>
      <c r="G177" s="149"/>
      <c r="H177" s="31"/>
      <c r="I177" s="11"/>
      <c r="J177" s="11"/>
      <c r="K177" s="11"/>
      <c r="L177" s="11"/>
      <c r="M177" s="15"/>
      <c r="N177" s="15"/>
      <c r="O177" s="15"/>
      <c r="P177" s="15"/>
      <c r="Q177" s="15"/>
      <c r="R177" s="15"/>
      <c r="S177" s="15"/>
      <c r="T177" s="15"/>
      <c r="U177" s="15"/>
      <c r="V177" s="15"/>
      <c r="W177" s="15"/>
      <c r="X177" s="15"/>
      <c r="Y177" s="15"/>
      <c r="Z177" s="15"/>
      <c r="AA177" s="15"/>
      <c r="AB177" s="15"/>
      <c r="AC177" s="15"/>
      <c r="AD177" s="15"/>
      <c r="AE177" s="15"/>
      <c r="AF177" s="15"/>
      <c r="AG177" s="15"/>
      <c r="AH177" s="15"/>
    </row>
    <row r="178" ht="16.5" customHeight="1">
      <c r="A178" s="15"/>
      <c r="B178" s="219"/>
      <c r="C178" s="450"/>
      <c r="D178" s="31"/>
      <c r="E178" s="31"/>
      <c r="F178" s="31"/>
      <c r="G178" s="149"/>
      <c r="H178" s="31"/>
      <c r="I178" s="11"/>
      <c r="J178" s="11"/>
      <c r="K178" s="11"/>
      <c r="L178" s="11"/>
      <c r="M178" s="15"/>
      <c r="N178" s="15"/>
      <c r="O178" s="15"/>
      <c r="P178" s="15"/>
      <c r="Q178" s="15"/>
      <c r="R178" s="15"/>
      <c r="S178" s="15"/>
      <c r="T178" s="15"/>
      <c r="U178" s="15"/>
      <c r="V178" s="15"/>
      <c r="W178" s="15"/>
      <c r="X178" s="15"/>
      <c r="Y178" s="15"/>
      <c r="Z178" s="15"/>
      <c r="AA178" s="15"/>
      <c r="AB178" s="15"/>
      <c r="AC178" s="15"/>
      <c r="AD178" s="15"/>
      <c r="AE178" s="15"/>
      <c r="AF178" s="15"/>
      <c r="AG178" s="15"/>
      <c r="AH178" s="15"/>
    </row>
    <row r="179" ht="16.5" customHeight="1">
      <c r="A179" s="15"/>
      <c r="B179" s="35"/>
      <c r="C179" s="450"/>
      <c r="D179" s="31"/>
      <c r="E179" s="37"/>
      <c r="F179" s="31"/>
      <c r="G179" s="149"/>
      <c r="H179" s="31"/>
      <c r="I179" s="11"/>
      <c r="J179" s="11"/>
      <c r="K179" s="11"/>
      <c r="L179" s="11"/>
      <c r="M179" s="15"/>
      <c r="N179" s="15"/>
      <c r="O179" s="15"/>
      <c r="P179" s="15"/>
      <c r="Q179" s="15"/>
      <c r="R179" s="15"/>
      <c r="S179" s="15"/>
      <c r="T179" s="15"/>
      <c r="U179" s="15"/>
      <c r="V179" s="15"/>
      <c r="W179" s="15"/>
      <c r="X179" s="15"/>
      <c r="Y179" s="15"/>
      <c r="Z179" s="15"/>
      <c r="AA179" s="15"/>
      <c r="AB179" s="15"/>
      <c r="AC179" s="15"/>
      <c r="AD179" s="15"/>
      <c r="AE179" s="15"/>
      <c r="AF179" s="15"/>
      <c r="AG179" s="15"/>
      <c r="AH179" s="15"/>
    </row>
    <row r="180" ht="16.5" customHeight="1">
      <c r="A180" s="15"/>
      <c r="B180" s="219"/>
      <c r="C180" s="450"/>
      <c r="D180" s="31"/>
      <c r="E180" s="37"/>
      <c r="F180" s="30"/>
      <c r="G180" s="149"/>
      <c r="H180" s="30"/>
      <c r="I180" s="11"/>
      <c r="J180" s="11"/>
      <c r="K180" s="11"/>
      <c r="L180" s="11"/>
      <c r="M180" s="15"/>
      <c r="N180" s="15"/>
      <c r="O180" s="15"/>
      <c r="P180" s="15"/>
      <c r="Q180" s="15"/>
      <c r="R180" s="15"/>
      <c r="S180" s="15"/>
      <c r="T180" s="15"/>
      <c r="U180" s="15"/>
      <c r="V180" s="15"/>
      <c r="W180" s="15"/>
      <c r="X180" s="15"/>
      <c r="Y180" s="15"/>
      <c r="Z180" s="15"/>
      <c r="AA180" s="15"/>
      <c r="AB180" s="15"/>
      <c r="AC180" s="15"/>
      <c r="AD180" s="15"/>
      <c r="AE180" s="15"/>
      <c r="AF180" s="15"/>
      <c r="AG180" s="15"/>
      <c r="AH180" s="15"/>
    </row>
    <row r="181" ht="16.5" customHeight="1">
      <c r="A181" s="15"/>
      <c r="B181" s="219"/>
      <c r="C181" s="87"/>
      <c r="D181" s="8"/>
      <c r="E181" s="28"/>
      <c r="F181" s="38"/>
      <c r="G181" s="149"/>
      <c r="H181" s="35"/>
      <c r="I181" s="11"/>
      <c r="J181" s="11"/>
      <c r="K181" s="11"/>
      <c r="L181" s="11"/>
      <c r="M181" s="15"/>
      <c r="N181" s="15"/>
      <c r="O181" s="15"/>
      <c r="P181" s="15"/>
      <c r="Q181" s="15"/>
      <c r="R181" s="15"/>
      <c r="S181" s="15"/>
      <c r="T181" s="15"/>
      <c r="U181" s="15"/>
      <c r="V181" s="15"/>
      <c r="W181" s="15"/>
      <c r="X181" s="15"/>
      <c r="Y181" s="15"/>
      <c r="Z181" s="15"/>
      <c r="AA181" s="15"/>
      <c r="AB181" s="15"/>
      <c r="AC181" s="15"/>
      <c r="AD181" s="15"/>
      <c r="AE181" s="15"/>
      <c r="AF181" s="15"/>
      <c r="AG181" s="15"/>
      <c r="AH181" s="15"/>
    </row>
    <row r="182" ht="16.5" customHeight="1">
      <c r="A182" s="15"/>
      <c r="B182" s="219"/>
      <c r="C182" s="87"/>
      <c r="D182" s="8"/>
      <c r="E182" s="8"/>
      <c r="F182" s="38"/>
      <c r="G182" s="149"/>
      <c r="H182" s="35"/>
      <c r="I182" s="11"/>
      <c r="J182" s="11"/>
      <c r="K182" s="11"/>
      <c r="L182" s="11"/>
      <c r="M182" s="15"/>
      <c r="N182" s="15"/>
      <c r="O182" s="15"/>
      <c r="P182" s="15"/>
      <c r="Q182" s="15"/>
      <c r="R182" s="15"/>
      <c r="S182" s="15"/>
      <c r="T182" s="15"/>
      <c r="U182" s="15"/>
      <c r="V182" s="15"/>
      <c r="W182" s="15"/>
      <c r="X182" s="15"/>
      <c r="Y182" s="15"/>
      <c r="Z182" s="15"/>
      <c r="AA182" s="15"/>
      <c r="AB182" s="15"/>
      <c r="AC182" s="15"/>
      <c r="AD182" s="15"/>
      <c r="AE182" s="15"/>
      <c r="AF182" s="15"/>
      <c r="AG182" s="15"/>
      <c r="AH182" s="15"/>
    </row>
    <row r="183" ht="16.5" customHeight="1">
      <c r="A183" s="15"/>
      <c r="B183" s="219"/>
      <c r="C183" s="87"/>
      <c r="D183" s="8"/>
      <c r="E183" s="35"/>
      <c r="F183" s="35"/>
      <c r="G183" s="149"/>
      <c r="H183" s="35"/>
      <c r="I183" s="11"/>
      <c r="J183" s="11"/>
      <c r="K183" s="11"/>
      <c r="L183" s="11"/>
      <c r="M183" s="15"/>
      <c r="N183" s="15"/>
      <c r="O183" s="15"/>
      <c r="P183" s="15"/>
      <c r="Q183" s="15"/>
      <c r="R183" s="15"/>
      <c r="S183" s="15"/>
      <c r="T183" s="15"/>
      <c r="U183" s="15"/>
      <c r="V183" s="15"/>
      <c r="W183" s="15"/>
      <c r="X183" s="15"/>
      <c r="Y183" s="15"/>
      <c r="Z183" s="15"/>
      <c r="AA183" s="15"/>
      <c r="AB183" s="15"/>
      <c r="AC183" s="15"/>
      <c r="AD183" s="15"/>
      <c r="AE183" s="15"/>
      <c r="AF183" s="15"/>
      <c r="AG183" s="15"/>
      <c r="AH183" s="15"/>
    </row>
    <row r="184" ht="16.5" customHeight="1">
      <c r="A184" s="15"/>
      <c r="B184" s="219"/>
      <c r="C184" s="87"/>
      <c r="D184" s="8"/>
      <c r="E184" s="32"/>
      <c r="F184" s="35"/>
      <c r="G184" s="149"/>
      <c r="H184" s="62"/>
      <c r="I184" s="11"/>
      <c r="J184" s="11"/>
      <c r="K184" s="11"/>
      <c r="L184" s="11"/>
      <c r="M184" s="15"/>
      <c r="N184" s="15"/>
      <c r="O184" s="15"/>
      <c r="P184" s="15"/>
      <c r="Q184" s="15"/>
      <c r="R184" s="15"/>
      <c r="S184" s="15"/>
      <c r="T184" s="15"/>
      <c r="U184" s="15"/>
      <c r="V184" s="15"/>
      <c r="W184" s="15"/>
      <c r="X184" s="15"/>
      <c r="Y184" s="15"/>
      <c r="Z184" s="15"/>
      <c r="AA184" s="15"/>
      <c r="AB184" s="15"/>
      <c r="AC184" s="15"/>
      <c r="AD184" s="15"/>
      <c r="AE184" s="15"/>
      <c r="AF184" s="15"/>
      <c r="AG184" s="15"/>
      <c r="AH184" s="15"/>
    </row>
    <row r="185" ht="16.5" customHeight="1">
      <c r="A185" s="15"/>
      <c r="B185" s="32"/>
      <c r="C185" s="66"/>
      <c r="D185" s="32"/>
      <c r="E185" s="32"/>
      <c r="F185" s="35"/>
      <c r="G185" s="439"/>
      <c r="H185" s="35"/>
      <c r="I185" s="11"/>
      <c r="J185" s="11"/>
      <c r="K185" s="11"/>
      <c r="L185" s="11"/>
      <c r="M185" s="15"/>
      <c r="N185" s="15"/>
      <c r="O185" s="15"/>
      <c r="P185" s="15"/>
      <c r="Q185" s="15"/>
      <c r="R185" s="15"/>
      <c r="S185" s="15"/>
      <c r="T185" s="15"/>
      <c r="U185" s="15"/>
      <c r="V185" s="15"/>
      <c r="W185" s="15"/>
      <c r="X185" s="15"/>
      <c r="Y185" s="15"/>
      <c r="Z185" s="15"/>
      <c r="AA185" s="15"/>
      <c r="AB185" s="15"/>
      <c r="AC185" s="15"/>
      <c r="AD185" s="15"/>
      <c r="AE185" s="15"/>
      <c r="AF185" s="15"/>
      <c r="AG185" s="15"/>
      <c r="AH185" s="15"/>
    </row>
    <row r="186" ht="16.5" customHeight="1">
      <c r="A186" s="15"/>
      <c r="B186" s="32"/>
      <c r="C186" s="66"/>
      <c r="D186" s="32"/>
      <c r="E186" s="65"/>
      <c r="F186" s="35"/>
      <c r="G186" s="439"/>
      <c r="H186" s="35"/>
      <c r="I186" s="11"/>
      <c r="J186" s="11"/>
      <c r="K186" s="11"/>
      <c r="L186" s="11"/>
      <c r="M186" s="15"/>
      <c r="N186" s="15"/>
      <c r="O186" s="15"/>
      <c r="P186" s="15"/>
      <c r="Q186" s="15"/>
      <c r="R186" s="15"/>
      <c r="S186" s="15"/>
      <c r="T186" s="15"/>
      <c r="U186" s="15"/>
      <c r="V186" s="15"/>
      <c r="W186" s="15"/>
      <c r="X186" s="15"/>
      <c r="Y186" s="15"/>
      <c r="Z186" s="15"/>
      <c r="AA186" s="15"/>
      <c r="AB186" s="15"/>
      <c r="AC186" s="15"/>
      <c r="AD186" s="15"/>
      <c r="AE186" s="15"/>
      <c r="AF186" s="15"/>
      <c r="AG186" s="15"/>
      <c r="AH186" s="15"/>
    </row>
    <row r="187" ht="16.5" customHeight="1">
      <c r="A187" s="15"/>
      <c r="B187" s="456"/>
      <c r="C187" s="484"/>
      <c r="D187" s="31"/>
      <c r="E187" s="31"/>
      <c r="F187" s="31"/>
      <c r="G187" s="69"/>
      <c r="H187" s="31"/>
      <c r="I187" s="11"/>
      <c r="J187" s="11"/>
      <c r="K187" s="11"/>
      <c r="L187" s="11"/>
      <c r="M187" s="15"/>
      <c r="N187" s="15"/>
      <c r="O187" s="15"/>
      <c r="P187" s="15"/>
      <c r="Q187" s="15"/>
      <c r="R187" s="15"/>
      <c r="S187" s="15"/>
      <c r="T187" s="15"/>
      <c r="U187" s="15"/>
      <c r="V187" s="15"/>
      <c r="W187" s="15"/>
      <c r="X187" s="15"/>
      <c r="Y187" s="15"/>
      <c r="Z187" s="15"/>
      <c r="AA187" s="15"/>
      <c r="AB187" s="15"/>
      <c r="AC187" s="15"/>
      <c r="AD187" s="15"/>
      <c r="AE187" s="15"/>
      <c r="AF187" s="15"/>
      <c r="AG187" s="15"/>
      <c r="AH187" s="15"/>
    </row>
    <row r="188" ht="16.5" customHeight="1">
      <c r="A188" s="15"/>
      <c r="B188" s="456"/>
      <c r="C188" s="484"/>
      <c r="D188" s="31"/>
      <c r="E188" s="31"/>
      <c r="F188" s="31"/>
      <c r="G188" s="351"/>
      <c r="H188" s="31"/>
      <c r="I188" s="11"/>
      <c r="J188" s="11"/>
      <c r="K188" s="11"/>
      <c r="L188" s="11"/>
      <c r="M188" s="15"/>
      <c r="N188" s="15"/>
      <c r="O188" s="15"/>
      <c r="P188" s="15"/>
      <c r="Q188" s="15"/>
      <c r="R188" s="15"/>
      <c r="S188" s="15"/>
      <c r="T188" s="15"/>
      <c r="U188" s="15"/>
      <c r="V188" s="15"/>
      <c r="W188" s="15"/>
      <c r="X188" s="15"/>
      <c r="Y188" s="15"/>
      <c r="Z188" s="15"/>
      <c r="AA188" s="15"/>
      <c r="AB188" s="15"/>
      <c r="AC188" s="15"/>
      <c r="AD188" s="15"/>
      <c r="AE188" s="15"/>
      <c r="AF188" s="15"/>
      <c r="AG188" s="15"/>
      <c r="AH188" s="15"/>
    </row>
    <row r="189" ht="16.5" customHeight="1">
      <c r="A189" s="15"/>
      <c r="B189" s="456"/>
      <c r="C189" s="484"/>
      <c r="D189" s="31"/>
      <c r="E189" s="31"/>
      <c r="F189" s="31"/>
      <c r="G189" s="351"/>
      <c r="H189" s="31"/>
      <c r="I189" s="11"/>
      <c r="J189" s="11"/>
      <c r="K189" s="11"/>
      <c r="L189" s="11"/>
      <c r="M189" s="15"/>
      <c r="N189" s="15"/>
      <c r="O189" s="15"/>
      <c r="P189" s="15"/>
      <c r="Q189" s="15"/>
      <c r="R189" s="15"/>
      <c r="S189" s="15"/>
      <c r="T189" s="15"/>
      <c r="U189" s="15"/>
      <c r="V189" s="15"/>
      <c r="W189" s="15"/>
      <c r="X189" s="15"/>
      <c r="Y189" s="15"/>
      <c r="Z189" s="15"/>
      <c r="AA189" s="15"/>
      <c r="AB189" s="15"/>
      <c r="AC189" s="15"/>
      <c r="AD189" s="15"/>
      <c r="AE189" s="15"/>
      <c r="AF189" s="15"/>
      <c r="AG189" s="15"/>
      <c r="AH189" s="15"/>
    </row>
    <row r="190" ht="16.5" customHeight="1">
      <c r="A190" s="15"/>
      <c r="B190" s="15"/>
      <c r="C190" s="21"/>
      <c r="D190" s="15"/>
      <c r="E190" s="15"/>
      <c r="F190" s="15"/>
      <c r="G190" s="387"/>
      <c r="H190" s="15"/>
      <c r="I190" s="11"/>
      <c r="J190" s="11"/>
      <c r="K190" s="11"/>
      <c r="L190" s="11"/>
      <c r="M190" s="15"/>
      <c r="N190" s="15"/>
      <c r="O190" s="15"/>
      <c r="P190" s="15"/>
      <c r="Q190" s="15"/>
      <c r="R190" s="15"/>
      <c r="S190" s="15"/>
      <c r="T190" s="15"/>
      <c r="U190" s="15"/>
      <c r="V190" s="15"/>
      <c r="W190" s="15"/>
      <c r="X190" s="15"/>
      <c r="Y190" s="15"/>
      <c r="Z190" s="15"/>
      <c r="AA190" s="15"/>
      <c r="AB190" s="15"/>
      <c r="AC190" s="15"/>
      <c r="AD190" s="15"/>
      <c r="AE190" s="15"/>
      <c r="AF190" s="15"/>
      <c r="AG190" s="15"/>
      <c r="AH190" s="15"/>
    </row>
    <row r="191" ht="16.5" customHeight="1">
      <c r="A191" s="15"/>
      <c r="B191" s="15"/>
      <c r="C191" s="21"/>
      <c r="D191" s="15"/>
      <c r="E191" s="15"/>
      <c r="F191" s="15"/>
      <c r="G191" s="387"/>
      <c r="H191" s="15"/>
      <c r="I191" s="11"/>
      <c r="J191" s="11"/>
      <c r="K191" s="11"/>
      <c r="L191" s="11"/>
      <c r="M191" s="15"/>
      <c r="N191" s="15"/>
      <c r="O191" s="15"/>
      <c r="P191" s="15"/>
      <c r="Q191" s="15"/>
      <c r="R191" s="15"/>
      <c r="S191" s="15"/>
      <c r="T191" s="15"/>
      <c r="U191" s="15"/>
      <c r="V191" s="15"/>
      <c r="W191" s="15"/>
      <c r="X191" s="15"/>
      <c r="Y191" s="15"/>
      <c r="Z191" s="15"/>
      <c r="AA191" s="15"/>
      <c r="AB191" s="15"/>
      <c r="AC191" s="15"/>
      <c r="AD191" s="15"/>
      <c r="AE191" s="15"/>
      <c r="AF191" s="15"/>
      <c r="AG191" s="15"/>
      <c r="AH191" s="15"/>
    </row>
    <row r="192" ht="16.5" customHeight="1">
      <c r="A192" s="15"/>
      <c r="B192" s="15"/>
      <c r="C192" s="21"/>
      <c r="D192" s="15"/>
      <c r="E192" s="15"/>
      <c r="F192" s="15"/>
      <c r="G192" s="387"/>
      <c r="H192" s="15"/>
      <c r="I192" s="11"/>
      <c r="J192" s="11"/>
      <c r="K192" s="11"/>
      <c r="L192" s="11"/>
      <c r="M192" s="15"/>
      <c r="N192" s="15"/>
      <c r="O192" s="15"/>
      <c r="P192" s="15"/>
      <c r="Q192" s="15"/>
      <c r="R192" s="15"/>
      <c r="S192" s="15"/>
      <c r="T192" s="15"/>
      <c r="U192" s="15"/>
      <c r="V192" s="15"/>
      <c r="W192" s="15"/>
      <c r="X192" s="15"/>
      <c r="Y192" s="15"/>
      <c r="Z192" s="15"/>
      <c r="AA192" s="15"/>
      <c r="AB192" s="15"/>
      <c r="AC192" s="15"/>
      <c r="AD192" s="15"/>
      <c r="AE192" s="15"/>
      <c r="AF192" s="15"/>
      <c r="AG192" s="15"/>
      <c r="AH192" s="15"/>
    </row>
    <row r="193" ht="16.5" customHeight="1">
      <c r="A193" s="15"/>
      <c r="B193" s="15"/>
      <c r="C193" s="21"/>
      <c r="D193" s="15"/>
      <c r="E193" s="15"/>
      <c r="F193" s="15"/>
      <c r="G193" s="387"/>
      <c r="H193" s="15"/>
      <c r="I193" s="11"/>
      <c r="J193" s="11"/>
      <c r="K193" s="11"/>
      <c r="L193" s="11"/>
      <c r="M193" s="15"/>
      <c r="N193" s="15"/>
      <c r="O193" s="15"/>
      <c r="P193" s="15"/>
      <c r="Q193" s="15"/>
      <c r="R193" s="15"/>
      <c r="S193" s="15"/>
      <c r="T193" s="15"/>
      <c r="U193" s="15"/>
      <c r="V193" s="15"/>
      <c r="W193" s="15"/>
      <c r="X193" s="15"/>
      <c r="Y193" s="15"/>
      <c r="Z193" s="15"/>
      <c r="AA193" s="15"/>
      <c r="AB193" s="15"/>
      <c r="AC193" s="15"/>
      <c r="AD193" s="15"/>
      <c r="AE193" s="15"/>
      <c r="AF193" s="15"/>
      <c r="AG193" s="15"/>
      <c r="AH193" s="15"/>
    </row>
    <row r="194" ht="16.5" customHeight="1">
      <c r="A194" s="15"/>
      <c r="B194" s="15"/>
      <c r="C194" s="21"/>
      <c r="D194" s="15"/>
      <c r="E194" s="15"/>
      <c r="F194" s="15"/>
      <c r="G194" s="387"/>
      <c r="H194" s="15"/>
      <c r="I194" s="11"/>
      <c r="J194" s="11"/>
      <c r="K194" s="11"/>
      <c r="L194" s="11"/>
      <c r="M194" s="15"/>
      <c r="N194" s="15"/>
      <c r="O194" s="15"/>
      <c r="P194" s="15"/>
      <c r="Q194" s="15"/>
      <c r="R194" s="15"/>
      <c r="S194" s="15"/>
      <c r="T194" s="15"/>
      <c r="U194" s="15"/>
      <c r="V194" s="15"/>
      <c r="W194" s="15"/>
      <c r="X194" s="15"/>
      <c r="Y194" s="15"/>
      <c r="Z194" s="15"/>
      <c r="AA194" s="15"/>
      <c r="AB194" s="15"/>
      <c r="AC194" s="15"/>
      <c r="AD194" s="15"/>
      <c r="AE194" s="15"/>
      <c r="AF194" s="15"/>
      <c r="AG194" s="15"/>
      <c r="AH194" s="15"/>
    </row>
    <row r="195" ht="16.5" customHeight="1">
      <c r="A195" s="15"/>
      <c r="B195" s="15"/>
      <c r="C195" s="21"/>
      <c r="D195" s="15"/>
      <c r="E195" s="15"/>
      <c r="F195" s="15"/>
      <c r="G195" s="387"/>
      <c r="H195" s="15"/>
      <c r="I195" s="11"/>
      <c r="J195" s="11"/>
      <c r="K195" s="11"/>
      <c r="L195" s="11"/>
      <c r="M195" s="15"/>
      <c r="N195" s="15"/>
      <c r="O195" s="15"/>
      <c r="P195" s="15"/>
      <c r="Q195" s="15"/>
      <c r="R195" s="15"/>
      <c r="S195" s="15"/>
      <c r="T195" s="15"/>
      <c r="U195" s="15"/>
      <c r="V195" s="15"/>
      <c r="W195" s="15"/>
      <c r="X195" s="15"/>
      <c r="Y195" s="15"/>
      <c r="Z195" s="15"/>
      <c r="AA195" s="15"/>
      <c r="AB195" s="15"/>
      <c r="AC195" s="15"/>
      <c r="AD195" s="15"/>
      <c r="AE195" s="15"/>
      <c r="AF195" s="15"/>
      <c r="AG195" s="15"/>
      <c r="AH195" s="15"/>
    </row>
    <row r="196" ht="16.5" customHeight="1">
      <c r="A196" s="15"/>
      <c r="B196" s="15"/>
      <c r="C196" s="21"/>
      <c r="D196" s="15"/>
      <c r="E196" s="15"/>
      <c r="F196" s="15"/>
      <c r="G196" s="387"/>
      <c r="H196" s="15"/>
      <c r="I196" s="11"/>
      <c r="J196" s="11"/>
      <c r="K196" s="11"/>
      <c r="L196" s="11"/>
      <c r="M196" s="15"/>
      <c r="N196" s="15"/>
      <c r="O196" s="15"/>
      <c r="P196" s="15"/>
      <c r="Q196" s="15"/>
      <c r="R196" s="15"/>
      <c r="S196" s="15"/>
      <c r="T196" s="15"/>
      <c r="U196" s="15"/>
      <c r="V196" s="15"/>
      <c r="W196" s="15"/>
      <c r="X196" s="15"/>
      <c r="Y196" s="15"/>
      <c r="Z196" s="15"/>
      <c r="AA196" s="15"/>
      <c r="AB196" s="15"/>
      <c r="AC196" s="15"/>
      <c r="AD196" s="15"/>
      <c r="AE196" s="15"/>
      <c r="AF196" s="15"/>
      <c r="AG196" s="15"/>
      <c r="AH196" s="15"/>
    </row>
    <row r="197" ht="16.5" customHeight="1">
      <c r="A197" s="15"/>
      <c r="B197" s="15"/>
      <c r="C197" s="21"/>
      <c r="D197" s="15"/>
      <c r="E197" s="15"/>
      <c r="F197" s="15"/>
      <c r="G197" s="387"/>
      <c r="H197" s="15"/>
      <c r="I197" s="11"/>
      <c r="J197" s="11"/>
      <c r="K197" s="11"/>
      <c r="L197" s="11"/>
      <c r="M197" s="15"/>
      <c r="N197" s="15"/>
      <c r="O197" s="15"/>
      <c r="P197" s="15"/>
      <c r="Q197" s="15"/>
      <c r="R197" s="15"/>
      <c r="S197" s="15"/>
      <c r="T197" s="15"/>
      <c r="U197" s="15"/>
      <c r="V197" s="15"/>
      <c r="W197" s="15"/>
      <c r="X197" s="15"/>
      <c r="Y197" s="15"/>
      <c r="Z197" s="15"/>
      <c r="AA197" s="15"/>
      <c r="AB197" s="15"/>
      <c r="AC197" s="15"/>
      <c r="AD197" s="15"/>
      <c r="AE197" s="15"/>
      <c r="AF197" s="15"/>
      <c r="AG197" s="15"/>
      <c r="AH197" s="15"/>
    </row>
    <row r="198" ht="16.5" customHeight="1">
      <c r="A198" s="15"/>
      <c r="B198" s="15"/>
      <c r="C198" s="21"/>
      <c r="D198" s="15"/>
      <c r="E198" s="15"/>
      <c r="F198" s="15"/>
      <c r="G198" s="387"/>
      <c r="H198" s="15"/>
      <c r="I198" s="11"/>
      <c r="J198" s="11"/>
      <c r="K198" s="11"/>
      <c r="L198" s="11"/>
      <c r="M198" s="15"/>
      <c r="N198" s="15"/>
      <c r="O198" s="15"/>
      <c r="P198" s="15"/>
      <c r="Q198" s="15"/>
      <c r="R198" s="15"/>
      <c r="S198" s="15"/>
      <c r="T198" s="15"/>
      <c r="U198" s="15"/>
      <c r="V198" s="15"/>
      <c r="W198" s="15"/>
      <c r="X198" s="15"/>
      <c r="Y198" s="15"/>
      <c r="Z198" s="15"/>
      <c r="AA198" s="15"/>
      <c r="AB198" s="15"/>
      <c r="AC198" s="15"/>
      <c r="AD198" s="15"/>
      <c r="AE198" s="15"/>
      <c r="AF198" s="15"/>
      <c r="AG198" s="15"/>
      <c r="AH198" s="15"/>
    </row>
    <row r="199" ht="16.5" customHeight="1">
      <c r="A199" s="15"/>
      <c r="B199" s="15"/>
      <c r="C199" s="21"/>
      <c r="D199" s="15"/>
      <c r="E199" s="15"/>
      <c r="F199" s="15"/>
      <c r="G199" s="387"/>
      <c r="H199" s="15"/>
      <c r="I199" s="11"/>
      <c r="J199" s="11"/>
      <c r="K199" s="11"/>
      <c r="L199" s="11"/>
      <c r="M199" s="15"/>
      <c r="N199" s="15"/>
      <c r="O199" s="15"/>
      <c r="P199" s="15"/>
      <c r="Q199" s="15"/>
      <c r="R199" s="15"/>
      <c r="S199" s="15"/>
      <c r="T199" s="15"/>
      <c r="U199" s="15"/>
      <c r="V199" s="15"/>
      <c r="W199" s="15"/>
      <c r="X199" s="15"/>
      <c r="Y199" s="15"/>
      <c r="Z199" s="15"/>
      <c r="AA199" s="15"/>
      <c r="AB199" s="15"/>
      <c r="AC199" s="15"/>
      <c r="AD199" s="15"/>
      <c r="AE199" s="15"/>
      <c r="AF199" s="15"/>
      <c r="AG199" s="15"/>
      <c r="AH199" s="15"/>
    </row>
    <row r="200" ht="16.5" customHeight="1">
      <c r="A200" s="15"/>
      <c r="B200" s="15"/>
      <c r="C200" s="21"/>
      <c r="D200" s="15"/>
      <c r="E200" s="15"/>
      <c r="F200" s="15"/>
      <c r="G200" s="387"/>
      <c r="H200" s="15"/>
      <c r="I200" s="11"/>
      <c r="J200" s="11"/>
      <c r="K200" s="11"/>
      <c r="L200" s="11"/>
      <c r="M200" s="15"/>
      <c r="N200" s="15"/>
      <c r="O200" s="15"/>
      <c r="P200" s="15"/>
      <c r="Q200" s="15"/>
      <c r="R200" s="15"/>
      <c r="S200" s="15"/>
      <c r="T200" s="15"/>
      <c r="U200" s="15"/>
      <c r="V200" s="15"/>
      <c r="W200" s="15"/>
      <c r="X200" s="15"/>
      <c r="Y200" s="15"/>
      <c r="Z200" s="15"/>
      <c r="AA200" s="15"/>
      <c r="AB200" s="15"/>
      <c r="AC200" s="15"/>
      <c r="AD200" s="15"/>
      <c r="AE200" s="15"/>
      <c r="AF200" s="15"/>
      <c r="AG200" s="15"/>
      <c r="AH200" s="15"/>
    </row>
    <row r="201" ht="16.5" customHeight="1">
      <c r="A201" s="15"/>
      <c r="B201" s="15"/>
      <c r="C201" s="21"/>
      <c r="D201" s="15"/>
      <c r="E201" s="15"/>
      <c r="F201" s="15"/>
      <c r="G201" s="387"/>
      <c r="H201" s="15"/>
      <c r="I201" s="11"/>
      <c r="J201" s="11"/>
      <c r="K201" s="11"/>
      <c r="L201" s="11"/>
      <c r="M201" s="15"/>
      <c r="N201" s="15"/>
      <c r="O201" s="15"/>
      <c r="P201" s="15"/>
      <c r="Q201" s="15"/>
      <c r="R201" s="15"/>
      <c r="S201" s="15"/>
      <c r="T201" s="15"/>
      <c r="U201" s="15"/>
      <c r="V201" s="15"/>
      <c r="W201" s="15"/>
      <c r="X201" s="15"/>
      <c r="Y201" s="15"/>
      <c r="Z201" s="15"/>
      <c r="AA201" s="15"/>
      <c r="AB201" s="15"/>
      <c r="AC201" s="15"/>
      <c r="AD201" s="15"/>
      <c r="AE201" s="15"/>
      <c r="AF201" s="15"/>
      <c r="AG201" s="15"/>
      <c r="AH201" s="15"/>
    </row>
    <row r="202" ht="16.5" customHeight="1">
      <c r="A202" s="15"/>
      <c r="B202" s="15"/>
      <c r="C202" s="21"/>
      <c r="D202" s="15"/>
      <c r="E202" s="15"/>
      <c r="F202" s="15"/>
      <c r="G202" s="387"/>
      <c r="H202" s="15"/>
      <c r="I202" s="11"/>
      <c r="J202" s="11"/>
      <c r="K202" s="11"/>
      <c r="L202" s="11"/>
      <c r="M202" s="15"/>
      <c r="N202" s="15"/>
      <c r="O202" s="15"/>
      <c r="P202" s="15"/>
      <c r="Q202" s="15"/>
      <c r="R202" s="15"/>
      <c r="S202" s="15"/>
      <c r="T202" s="15"/>
      <c r="U202" s="15"/>
      <c r="V202" s="15"/>
      <c r="W202" s="15"/>
      <c r="X202" s="15"/>
      <c r="Y202" s="15"/>
      <c r="Z202" s="15"/>
      <c r="AA202" s="15"/>
      <c r="AB202" s="15"/>
      <c r="AC202" s="15"/>
      <c r="AD202" s="15"/>
      <c r="AE202" s="15"/>
      <c r="AF202" s="15"/>
      <c r="AG202" s="15"/>
      <c r="AH202" s="15"/>
    </row>
    <row r="203" ht="16.5" customHeight="1">
      <c r="A203" s="15"/>
      <c r="B203" s="15"/>
      <c r="C203" s="21"/>
      <c r="D203" s="15"/>
      <c r="E203" s="15"/>
      <c r="F203" s="15"/>
      <c r="G203" s="387"/>
      <c r="H203" s="15"/>
      <c r="I203" s="11"/>
      <c r="J203" s="11"/>
      <c r="K203" s="11"/>
      <c r="L203" s="11"/>
      <c r="M203" s="15"/>
      <c r="N203" s="15"/>
      <c r="O203" s="15"/>
      <c r="P203" s="15"/>
      <c r="Q203" s="15"/>
      <c r="R203" s="15"/>
      <c r="S203" s="15"/>
      <c r="T203" s="15"/>
      <c r="U203" s="15"/>
      <c r="V203" s="15"/>
      <c r="W203" s="15"/>
      <c r="X203" s="15"/>
      <c r="Y203" s="15"/>
      <c r="Z203" s="15"/>
      <c r="AA203" s="15"/>
      <c r="AB203" s="15"/>
      <c r="AC203" s="15"/>
      <c r="AD203" s="15"/>
      <c r="AE203" s="15"/>
      <c r="AF203" s="15"/>
      <c r="AG203" s="15"/>
      <c r="AH203" s="15"/>
    </row>
    <row r="204" ht="16.5" customHeight="1">
      <c r="A204" s="15"/>
      <c r="B204" s="15"/>
      <c r="C204" s="21"/>
      <c r="D204" s="15"/>
      <c r="E204" s="15"/>
      <c r="F204" s="15"/>
      <c r="G204" s="387"/>
      <c r="H204" s="15"/>
      <c r="I204" s="11"/>
      <c r="J204" s="11"/>
      <c r="K204" s="11"/>
      <c r="L204" s="11"/>
      <c r="M204" s="15"/>
      <c r="N204" s="15"/>
      <c r="O204" s="15"/>
      <c r="P204" s="15"/>
      <c r="Q204" s="15"/>
      <c r="R204" s="15"/>
      <c r="S204" s="15"/>
      <c r="T204" s="15"/>
      <c r="U204" s="15"/>
      <c r="V204" s="15"/>
      <c r="W204" s="15"/>
      <c r="X204" s="15"/>
      <c r="Y204" s="15"/>
      <c r="Z204" s="15"/>
      <c r="AA204" s="15"/>
      <c r="AB204" s="15"/>
      <c r="AC204" s="15"/>
      <c r="AD204" s="15"/>
      <c r="AE204" s="15"/>
      <c r="AF204" s="15"/>
      <c r="AG204" s="15"/>
      <c r="AH204" s="15"/>
    </row>
    <row r="205" ht="16.5" customHeight="1">
      <c r="A205" s="15"/>
      <c r="B205" s="15"/>
      <c r="C205" s="21"/>
      <c r="D205" s="15"/>
      <c r="E205" s="15"/>
      <c r="F205" s="15"/>
      <c r="G205" s="387"/>
      <c r="H205" s="15"/>
      <c r="I205" s="11"/>
      <c r="J205" s="11"/>
      <c r="K205" s="11"/>
      <c r="L205" s="11"/>
      <c r="M205" s="15"/>
      <c r="N205" s="15"/>
      <c r="O205" s="15"/>
      <c r="P205" s="15"/>
      <c r="Q205" s="15"/>
      <c r="R205" s="15"/>
      <c r="S205" s="15"/>
      <c r="T205" s="15"/>
      <c r="U205" s="15"/>
      <c r="V205" s="15"/>
      <c r="W205" s="15"/>
      <c r="X205" s="15"/>
      <c r="Y205" s="15"/>
      <c r="Z205" s="15"/>
      <c r="AA205" s="15"/>
      <c r="AB205" s="15"/>
      <c r="AC205" s="15"/>
      <c r="AD205" s="15"/>
      <c r="AE205" s="15"/>
      <c r="AF205" s="15"/>
      <c r="AG205" s="15"/>
      <c r="AH205" s="15"/>
    </row>
    <row r="206" ht="16.5" customHeight="1">
      <c r="A206" s="15"/>
      <c r="B206" s="15"/>
      <c r="C206" s="21"/>
      <c r="D206" s="15"/>
      <c r="E206" s="15"/>
      <c r="F206" s="15"/>
      <c r="G206" s="387"/>
      <c r="H206" s="15"/>
      <c r="I206" s="11"/>
      <c r="J206" s="11"/>
      <c r="K206" s="11"/>
      <c r="L206" s="11"/>
      <c r="M206" s="15"/>
      <c r="N206" s="15"/>
      <c r="O206" s="15"/>
      <c r="P206" s="15"/>
      <c r="Q206" s="15"/>
      <c r="R206" s="15"/>
      <c r="S206" s="15"/>
      <c r="T206" s="15"/>
      <c r="U206" s="15"/>
      <c r="V206" s="15"/>
      <c r="W206" s="15"/>
      <c r="X206" s="15"/>
      <c r="Y206" s="15"/>
      <c r="Z206" s="15"/>
      <c r="AA206" s="15"/>
      <c r="AB206" s="15"/>
      <c r="AC206" s="15"/>
      <c r="AD206" s="15"/>
      <c r="AE206" s="15"/>
      <c r="AF206" s="15"/>
      <c r="AG206" s="15"/>
      <c r="AH206" s="15"/>
    </row>
    <row r="207" ht="16.5" customHeight="1">
      <c r="A207" s="15"/>
      <c r="B207" s="15"/>
      <c r="C207" s="21"/>
      <c r="D207" s="15"/>
      <c r="E207" s="15"/>
      <c r="F207" s="15"/>
      <c r="G207" s="387"/>
      <c r="H207" s="15"/>
      <c r="I207" s="11"/>
      <c r="J207" s="11"/>
      <c r="K207" s="11"/>
      <c r="L207" s="11"/>
      <c r="M207" s="15"/>
      <c r="N207" s="15"/>
      <c r="O207" s="15"/>
      <c r="P207" s="15"/>
      <c r="Q207" s="15"/>
      <c r="R207" s="15"/>
      <c r="S207" s="15"/>
      <c r="T207" s="15"/>
      <c r="U207" s="15"/>
      <c r="V207" s="15"/>
      <c r="W207" s="15"/>
      <c r="X207" s="15"/>
      <c r="Y207" s="15"/>
      <c r="Z207" s="15"/>
      <c r="AA207" s="15"/>
      <c r="AB207" s="15"/>
      <c r="AC207" s="15"/>
      <c r="AD207" s="15"/>
      <c r="AE207" s="15"/>
      <c r="AF207" s="15"/>
      <c r="AG207" s="15"/>
      <c r="AH207" s="15"/>
    </row>
    <row r="208" ht="16.5" customHeight="1">
      <c r="A208" s="15"/>
      <c r="B208" s="15"/>
      <c r="C208" s="21"/>
      <c r="D208" s="15"/>
      <c r="E208" s="15"/>
      <c r="F208" s="15"/>
      <c r="G208" s="387"/>
      <c r="H208" s="15"/>
      <c r="I208" s="11"/>
      <c r="J208" s="11"/>
      <c r="K208" s="11"/>
      <c r="L208" s="11"/>
      <c r="M208" s="15"/>
      <c r="N208" s="15"/>
      <c r="O208" s="15"/>
      <c r="P208" s="15"/>
      <c r="Q208" s="15"/>
      <c r="R208" s="15"/>
      <c r="S208" s="15"/>
      <c r="T208" s="15"/>
      <c r="U208" s="15"/>
      <c r="V208" s="15"/>
      <c r="W208" s="15"/>
      <c r="X208" s="15"/>
      <c r="Y208" s="15"/>
      <c r="Z208" s="15"/>
      <c r="AA208" s="15"/>
      <c r="AB208" s="15"/>
      <c r="AC208" s="15"/>
      <c r="AD208" s="15"/>
      <c r="AE208" s="15"/>
      <c r="AF208" s="15"/>
      <c r="AG208" s="15"/>
      <c r="AH208" s="15"/>
    </row>
    <row r="209" ht="16.5" customHeight="1">
      <c r="A209" s="15"/>
      <c r="B209" s="15"/>
      <c r="C209" s="21"/>
      <c r="D209" s="15"/>
      <c r="E209" s="15"/>
      <c r="F209" s="15"/>
      <c r="G209" s="387"/>
      <c r="H209" s="15"/>
      <c r="I209" s="11"/>
      <c r="J209" s="11"/>
      <c r="K209" s="11"/>
      <c r="L209" s="11"/>
      <c r="M209" s="15"/>
      <c r="N209" s="15"/>
      <c r="O209" s="15"/>
      <c r="P209" s="15"/>
      <c r="Q209" s="15"/>
      <c r="R209" s="15"/>
      <c r="S209" s="15"/>
      <c r="T209" s="15"/>
      <c r="U209" s="15"/>
      <c r="V209" s="15"/>
      <c r="W209" s="15"/>
      <c r="X209" s="15"/>
      <c r="Y209" s="15"/>
      <c r="Z209" s="15"/>
      <c r="AA209" s="15"/>
      <c r="AB209" s="15"/>
      <c r="AC209" s="15"/>
      <c r="AD209" s="15"/>
      <c r="AE209" s="15"/>
      <c r="AF209" s="15"/>
      <c r="AG209" s="15"/>
      <c r="AH209" s="15"/>
    </row>
    <row r="210" ht="16.5" customHeight="1">
      <c r="A210" s="15"/>
      <c r="B210" s="15"/>
      <c r="C210" s="21"/>
      <c r="D210" s="15"/>
      <c r="E210" s="15"/>
      <c r="F210" s="15"/>
      <c r="G210" s="387"/>
      <c r="H210" s="15"/>
      <c r="I210" s="11"/>
      <c r="J210" s="11"/>
      <c r="K210" s="11"/>
      <c r="L210" s="11"/>
      <c r="M210" s="15"/>
      <c r="N210" s="15"/>
      <c r="O210" s="15"/>
      <c r="P210" s="15"/>
      <c r="Q210" s="15"/>
      <c r="R210" s="15"/>
      <c r="S210" s="15"/>
      <c r="T210" s="15"/>
      <c r="U210" s="15"/>
      <c r="V210" s="15"/>
      <c r="W210" s="15"/>
      <c r="X210" s="15"/>
      <c r="Y210" s="15"/>
      <c r="Z210" s="15"/>
      <c r="AA210" s="15"/>
      <c r="AB210" s="15"/>
      <c r="AC210" s="15"/>
      <c r="AD210" s="15"/>
      <c r="AE210" s="15"/>
      <c r="AF210" s="15"/>
      <c r="AG210" s="15"/>
      <c r="AH210" s="15"/>
    </row>
    <row r="211" ht="16.5" customHeight="1">
      <c r="A211" s="15"/>
      <c r="B211" s="15"/>
      <c r="C211" s="21"/>
      <c r="D211" s="15"/>
      <c r="E211" s="15"/>
      <c r="F211" s="15"/>
      <c r="G211" s="387"/>
      <c r="H211" s="15"/>
      <c r="I211" s="11"/>
      <c r="J211" s="11"/>
      <c r="K211" s="11"/>
      <c r="L211" s="11"/>
      <c r="M211" s="15"/>
      <c r="N211" s="15"/>
      <c r="O211" s="15"/>
      <c r="P211" s="15"/>
      <c r="Q211" s="15"/>
      <c r="R211" s="15"/>
      <c r="S211" s="15"/>
      <c r="T211" s="15"/>
      <c r="U211" s="15"/>
      <c r="V211" s="15"/>
      <c r="W211" s="15"/>
      <c r="X211" s="15"/>
      <c r="Y211" s="15"/>
      <c r="Z211" s="15"/>
      <c r="AA211" s="15"/>
      <c r="AB211" s="15"/>
      <c r="AC211" s="15"/>
      <c r="AD211" s="15"/>
      <c r="AE211" s="15"/>
      <c r="AF211" s="15"/>
      <c r="AG211" s="15"/>
      <c r="AH211" s="15"/>
    </row>
    <row r="212" ht="16.5" customHeight="1">
      <c r="A212" s="15"/>
      <c r="B212" s="15"/>
      <c r="C212" s="21"/>
      <c r="D212" s="15"/>
      <c r="E212" s="15"/>
      <c r="F212" s="15"/>
      <c r="G212" s="387"/>
      <c r="H212" s="15"/>
      <c r="I212" s="11"/>
      <c r="J212" s="11"/>
      <c r="K212" s="11"/>
      <c r="L212" s="11"/>
      <c r="M212" s="15"/>
      <c r="N212" s="15"/>
      <c r="O212" s="15"/>
      <c r="P212" s="15"/>
      <c r="Q212" s="15"/>
      <c r="R212" s="15"/>
      <c r="S212" s="15"/>
      <c r="T212" s="15"/>
      <c r="U212" s="15"/>
      <c r="V212" s="15"/>
      <c r="W212" s="15"/>
      <c r="X212" s="15"/>
      <c r="Y212" s="15"/>
      <c r="Z212" s="15"/>
      <c r="AA212" s="15"/>
      <c r="AB212" s="15"/>
      <c r="AC212" s="15"/>
      <c r="AD212" s="15"/>
      <c r="AE212" s="15"/>
      <c r="AF212" s="15"/>
      <c r="AG212" s="15"/>
      <c r="AH212" s="15"/>
    </row>
    <row r="213" ht="16.5" customHeight="1">
      <c r="A213" s="15"/>
      <c r="B213" s="15"/>
      <c r="C213" s="21"/>
      <c r="D213" s="15"/>
      <c r="E213" s="15"/>
      <c r="F213" s="15"/>
      <c r="G213" s="387"/>
      <c r="H213" s="15"/>
      <c r="I213" s="11"/>
      <c r="J213" s="11"/>
      <c r="K213" s="11"/>
      <c r="L213" s="11"/>
      <c r="M213" s="15"/>
      <c r="N213" s="15"/>
      <c r="O213" s="15"/>
      <c r="P213" s="15"/>
      <c r="Q213" s="15"/>
      <c r="R213" s="15"/>
      <c r="S213" s="15"/>
      <c r="T213" s="15"/>
      <c r="U213" s="15"/>
      <c r="V213" s="15"/>
      <c r="W213" s="15"/>
      <c r="X213" s="15"/>
      <c r="Y213" s="15"/>
      <c r="Z213" s="15"/>
      <c r="AA213" s="15"/>
      <c r="AB213" s="15"/>
      <c r="AC213" s="15"/>
      <c r="AD213" s="15"/>
      <c r="AE213" s="15"/>
      <c r="AF213" s="15"/>
      <c r="AG213" s="15"/>
      <c r="AH213" s="15"/>
    </row>
    <row r="214" ht="16.5" customHeight="1">
      <c r="A214" s="15"/>
      <c r="B214" s="15"/>
      <c r="C214" s="21"/>
      <c r="D214" s="15"/>
      <c r="E214" s="15"/>
      <c r="F214" s="15"/>
      <c r="G214" s="387"/>
      <c r="H214" s="15"/>
      <c r="I214" s="11"/>
      <c r="J214" s="11"/>
      <c r="K214" s="11"/>
      <c r="L214" s="11"/>
      <c r="M214" s="15"/>
      <c r="N214" s="15"/>
      <c r="O214" s="15"/>
      <c r="P214" s="15"/>
      <c r="Q214" s="15"/>
      <c r="R214" s="15"/>
      <c r="S214" s="15"/>
      <c r="T214" s="15"/>
      <c r="U214" s="15"/>
      <c r="V214" s="15"/>
      <c r="W214" s="15"/>
      <c r="X214" s="15"/>
      <c r="Y214" s="15"/>
      <c r="Z214" s="15"/>
      <c r="AA214" s="15"/>
      <c r="AB214" s="15"/>
      <c r="AC214" s="15"/>
      <c r="AD214" s="15"/>
      <c r="AE214" s="15"/>
      <c r="AF214" s="15"/>
      <c r="AG214" s="15"/>
      <c r="AH214" s="15"/>
    </row>
    <row r="215" ht="16.5" customHeight="1">
      <c r="A215" s="15"/>
      <c r="B215" s="15"/>
      <c r="C215" s="21"/>
      <c r="D215" s="15"/>
      <c r="E215" s="15"/>
      <c r="F215" s="15"/>
      <c r="G215" s="387"/>
      <c r="H215" s="15"/>
      <c r="I215" s="11"/>
      <c r="J215" s="11"/>
      <c r="K215" s="11"/>
      <c r="L215" s="11"/>
      <c r="M215" s="15"/>
      <c r="N215" s="15"/>
      <c r="O215" s="15"/>
      <c r="P215" s="15"/>
      <c r="Q215" s="15"/>
      <c r="R215" s="15"/>
      <c r="S215" s="15"/>
      <c r="T215" s="15"/>
      <c r="U215" s="15"/>
      <c r="V215" s="15"/>
      <c r="W215" s="15"/>
      <c r="X215" s="15"/>
      <c r="Y215" s="15"/>
      <c r="Z215" s="15"/>
      <c r="AA215" s="15"/>
      <c r="AB215" s="15"/>
      <c r="AC215" s="15"/>
      <c r="AD215" s="15"/>
      <c r="AE215" s="15"/>
      <c r="AF215" s="15"/>
      <c r="AG215" s="15"/>
      <c r="AH215" s="15"/>
    </row>
    <row r="216" ht="16.5" customHeight="1">
      <c r="A216" s="15"/>
      <c r="B216" s="15"/>
      <c r="C216" s="21"/>
      <c r="D216" s="15"/>
      <c r="E216" s="15"/>
      <c r="F216" s="15"/>
      <c r="G216" s="387"/>
      <c r="H216" s="15"/>
      <c r="I216" s="11"/>
      <c r="J216" s="11"/>
      <c r="K216" s="11"/>
      <c r="L216" s="11"/>
      <c r="M216" s="15"/>
      <c r="N216" s="15"/>
      <c r="O216" s="15"/>
      <c r="P216" s="15"/>
      <c r="Q216" s="15"/>
      <c r="R216" s="15"/>
      <c r="S216" s="15"/>
      <c r="T216" s="15"/>
      <c r="U216" s="15"/>
      <c r="V216" s="15"/>
      <c r="W216" s="15"/>
      <c r="X216" s="15"/>
      <c r="Y216" s="15"/>
      <c r="Z216" s="15"/>
      <c r="AA216" s="15"/>
      <c r="AB216" s="15"/>
      <c r="AC216" s="15"/>
      <c r="AD216" s="15"/>
      <c r="AE216" s="15"/>
      <c r="AF216" s="15"/>
      <c r="AG216" s="15"/>
      <c r="AH216" s="15"/>
    </row>
    <row r="217" ht="16.5" customHeight="1">
      <c r="A217" s="15"/>
      <c r="B217" s="15"/>
      <c r="C217" s="21"/>
      <c r="D217" s="15"/>
      <c r="E217" s="15"/>
      <c r="F217" s="15"/>
      <c r="G217" s="387"/>
      <c r="H217" s="15"/>
      <c r="I217" s="11"/>
      <c r="J217" s="11"/>
      <c r="K217" s="11"/>
      <c r="L217" s="11"/>
      <c r="M217" s="15"/>
      <c r="N217" s="15"/>
      <c r="O217" s="15"/>
      <c r="P217" s="15"/>
      <c r="Q217" s="15"/>
      <c r="R217" s="15"/>
      <c r="S217" s="15"/>
      <c r="T217" s="15"/>
      <c r="U217" s="15"/>
      <c r="V217" s="15"/>
      <c r="W217" s="15"/>
      <c r="X217" s="15"/>
      <c r="Y217" s="15"/>
      <c r="Z217" s="15"/>
      <c r="AA217" s="15"/>
      <c r="AB217" s="15"/>
      <c r="AC217" s="15"/>
      <c r="AD217" s="15"/>
      <c r="AE217" s="15"/>
      <c r="AF217" s="15"/>
      <c r="AG217" s="15"/>
      <c r="AH217" s="15"/>
    </row>
    <row r="218" ht="16.5" customHeight="1">
      <c r="A218" s="15"/>
      <c r="B218" s="15"/>
      <c r="C218" s="21"/>
      <c r="D218" s="15"/>
      <c r="E218" s="15"/>
      <c r="F218" s="15"/>
      <c r="G218" s="387"/>
      <c r="H218" s="15"/>
      <c r="I218" s="11"/>
      <c r="J218" s="11"/>
      <c r="K218" s="11"/>
      <c r="L218" s="11"/>
      <c r="M218" s="15"/>
      <c r="N218" s="15"/>
      <c r="O218" s="15"/>
      <c r="P218" s="15"/>
      <c r="Q218" s="15"/>
      <c r="R218" s="15"/>
      <c r="S218" s="15"/>
      <c r="T218" s="15"/>
      <c r="U218" s="15"/>
      <c r="V218" s="15"/>
      <c r="W218" s="15"/>
      <c r="X218" s="15"/>
      <c r="Y218" s="15"/>
      <c r="Z218" s="15"/>
      <c r="AA218" s="15"/>
      <c r="AB218" s="15"/>
      <c r="AC218" s="15"/>
      <c r="AD218" s="15"/>
      <c r="AE218" s="15"/>
      <c r="AF218" s="15"/>
      <c r="AG218" s="15"/>
      <c r="AH218" s="15"/>
    </row>
    <row r="219" ht="16.5" customHeight="1">
      <c r="A219" s="15"/>
      <c r="B219" s="15"/>
      <c r="C219" s="21"/>
      <c r="D219" s="15"/>
      <c r="E219" s="15"/>
      <c r="F219" s="15"/>
      <c r="G219" s="387"/>
      <c r="H219" s="15"/>
      <c r="I219" s="11"/>
      <c r="J219" s="11"/>
      <c r="K219" s="11"/>
      <c r="L219" s="11"/>
      <c r="M219" s="15"/>
      <c r="N219" s="15"/>
      <c r="O219" s="15"/>
      <c r="P219" s="15"/>
      <c r="Q219" s="15"/>
      <c r="R219" s="15"/>
      <c r="S219" s="15"/>
      <c r="T219" s="15"/>
      <c r="U219" s="15"/>
      <c r="V219" s="15"/>
      <c r="W219" s="15"/>
      <c r="X219" s="15"/>
      <c r="Y219" s="15"/>
      <c r="Z219" s="15"/>
      <c r="AA219" s="15"/>
      <c r="AB219" s="15"/>
      <c r="AC219" s="15"/>
      <c r="AD219" s="15"/>
      <c r="AE219" s="15"/>
      <c r="AF219" s="15"/>
      <c r="AG219" s="15"/>
      <c r="AH219" s="15"/>
    </row>
    <row r="220" ht="16.5" customHeight="1">
      <c r="A220" s="15"/>
      <c r="B220" s="15"/>
      <c r="C220" s="21"/>
      <c r="D220" s="15"/>
      <c r="E220" s="15"/>
      <c r="F220" s="15"/>
      <c r="G220" s="387"/>
      <c r="H220" s="15"/>
      <c r="I220" s="11"/>
      <c r="J220" s="11"/>
      <c r="K220" s="11"/>
      <c r="L220" s="11"/>
      <c r="M220" s="15"/>
      <c r="N220" s="15"/>
      <c r="O220" s="15"/>
      <c r="P220" s="15"/>
      <c r="Q220" s="15"/>
      <c r="R220" s="15"/>
      <c r="S220" s="15"/>
      <c r="T220" s="15"/>
      <c r="U220" s="15"/>
      <c r="V220" s="15"/>
      <c r="W220" s="15"/>
      <c r="X220" s="15"/>
      <c r="Y220" s="15"/>
      <c r="Z220" s="15"/>
      <c r="AA220" s="15"/>
      <c r="AB220" s="15"/>
      <c r="AC220" s="15"/>
      <c r="AD220" s="15"/>
      <c r="AE220" s="15"/>
      <c r="AF220" s="15"/>
      <c r="AG220" s="15"/>
      <c r="AH220" s="15"/>
    </row>
    <row r="221" ht="16.5" customHeight="1">
      <c r="A221" s="15"/>
      <c r="B221" s="15"/>
      <c r="C221" s="21"/>
      <c r="D221" s="15"/>
      <c r="E221" s="15"/>
      <c r="F221" s="15"/>
      <c r="G221" s="387"/>
      <c r="H221" s="15"/>
      <c r="I221" s="11"/>
      <c r="J221" s="11"/>
      <c r="K221" s="11"/>
      <c r="L221" s="11"/>
      <c r="M221" s="15"/>
      <c r="N221" s="15"/>
      <c r="O221" s="15"/>
      <c r="P221" s="15"/>
      <c r="Q221" s="15"/>
      <c r="R221" s="15"/>
      <c r="S221" s="15"/>
      <c r="T221" s="15"/>
      <c r="U221" s="15"/>
      <c r="V221" s="15"/>
      <c r="W221" s="15"/>
      <c r="X221" s="15"/>
      <c r="Y221" s="15"/>
      <c r="Z221" s="15"/>
      <c r="AA221" s="15"/>
      <c r="AB221" s="15"/>
      <c r="AC221" s="15"/>
      <c r="AD221" s="15"/>
      <c r="AE221" s="15"/>
      <c r="AF221" s="15"/>
      <c r="AG221" s="15"/>
      <c r="AH221" s="15"/>
    </row>
    <row r="222" ht="16.5" customHeight="1">
      <c r="A222" s="15"/>
      <c r="B222" s="15"/>
      <c r="C222" s="21"/>
      <c r="D222" s="15"/>
      <c r="E222" s="15"/>
      <c r="F222" s="15"/>
      <c r="G222" s="387"/>
      <c r="H222" s="15"/>
      <c r="I222" s="11"/>
      <c r="J222" s="11"/>
      <c r="K222" s="11"/>
      <c r="L222" s="11"/>
      <c r="M222" s="15"/>
      <c r="N222" s="15"/>
      <c r="O222" s="15"/>
      <c r="P222" s="15"/>
      <c r="Q222" s="15"/>
      <c r="R222" s="15"/>
      <c r="S222" s="15"/>
      <c r="T222" s="15"/>
      <c r="U222" s="15"/>
      <c r="V222" s="15"/>
      <c r="W222" s="15"/>
      <c r="X222" s="15"/>
      <c r="Y222" s="15"/>
      <c r="Z222" s="15"/>
      <c r="AA222" s="15"/>
      <c r="AB222" s="15"/>
      <c r="AC222" s="15"/>
      <c r="AD222" s="15"/>
      <c r="AE222" s="15"/>
      <c r="AF222" s="15"/>
      <c r="AG222" s="15"/>
      <c r="AH222" s="15"/>
    </row>
    <row r="223" ht="16.5" customHeight="1">
      <c r="A223" s="15"/>
      <c r="B223" s="15"/>
      <c r="C223" s="21"/>
      <c r="D223" s="15"/>
      <c r="E223" s="15"/>
      <c r="F223" s="15"/>
      <c r="G223" s="387"/>
      <c r="H223" s="15"/>
      <c r="I223" s="11"/>
      <c r="J223" s="11"/>
      <c r="K223" s="11"/>
      <c r="L223" s="11"/>
      <c r="M223" s="15"/>
      <c r="N223" s="15"/>
      <c r="O223" s="15"/>
      <c r="P223" s="15"/>
      <c r="Q223" s="15"/>
      <c r="R223" s="15"/>
      <c r="S223" s="15"/>
      <c r="T223" s="15"/>
      <c r="U223" s="15"/>
      <c r="V223" s="15"/>
      <c r="W223" s="15"/>
      <c r="X223" s="15"/>
      <c r="Y223" s="15"/>
      <c r="Z223" s="15"/>
      <c r="AA223" s="15"/>
      <c r="AB223" s="15"/>
      <c r="AC223" s="15"/>
      <c r="AD223" s="15"/>
      <c r="AE223" s="15"/>
      <c r="AF223" s="15"/>
      <c r="AG223" s="15"/>
      <c r="AH223" s="15"/>
    </row>
    <row r="224" ht="16.5" customHeight="1">
      <c r="A224" s="15"/>
      <c r="B224" s="15"/>
      <c r="C224" s="21"/>
      <c r="D224" s="15"/>
      <c r="E224" s="15"/>
      <c r="F224" s="15"/>
      <c r="G224" s="387"/>
      <c r="H224" s="15"/>
      <c r="I224" s="11"/>
      <c r="J224" s="11"/>
      <c r="K224" s="11"/>
      <c r="L224" s="11"/>
      <c r="M224" s="15"/>
      <c r="N224" s="15"/>
      <c r="O224" s="15"/>
      <c r="P224" s="15"/>
      <c r="Q224" s="15"/>
      <c r="R224" s="15"/>
      <c r="S224" s="15"/>
      <c r="T224" s="15"/>
      <c r="U224" s="15"/>
      <c r="V224" s="15"/>
      <c r="W224" s="15"/>
      <c r="X224" s="15"/>
      <c r="Y224" s="15"/>
      <c r="Z224" s="15"/>
      <c r="AA224" s="15"/>
      <c r="AB224" s="15"/>
      <c r="AC224" s="15"/>
      <c r="AD224" s="15"/>
      <c r="AE224" s="15"/>
      <c r="AF224" s="15"/>
      <c r="AG224" s="15"/>
      <c r="AH224" s="15"/>
    </row>
    <row r="225" ht="16.5" customHeight="1">
      <c r="A225" s="15"/>
      <c r="B225" s="15"/>
      <c r="C225" s="21"/>
      <c r="D225" s="15"/>
      <c r="E225" s="15"/>
      <c r="F225" s="15"/>
      <c r="G225" s="387"/>
      <c r="H225" s="15"/>
      <c r="I225" s="11"/>
      <c r="J225" s="11"/>
      <c r="K225" s="11"/>
      <c r="L225" s="11"/>
      <c r="M225" s="15"/>
      <c r="N225" s="15"/>
      <c r="O225" s="15"/>
      <c r="P225" s="15"/>
      <c r="Q225" s="15"/>
      <c r="R225" s="15"/>
      <c r="S225" s="15"/>
      <c r="T225" s="15"/>
      <c r="U225" s="15"/>
      <c r="V225" s="15"/>
      <c r="W225" s="15"/>
      <c r="X225" s="15"/>
      <c r="Y225" s="15"/>
      <c r="Z225" s="15"/>
      <c r="AA225" s="15"/>
      <c r="AB225" s="15"/>
      <c r="AC225" s="15"/>
      <c r="AD225" s="15"/>
      <c r="AE225" s="15"/>
      <c r="AF225" s="15"/>
      <c r="AG225" s="15"/>
      <c r="AH225" s="15"/>
    </row>
    <row r="226" ht="16.5" customHeight="1">
      <c r="A226" s="15"/>
      <c r="B226" s="15"/>
      <c r="C226" s="21"/>
      <c r="D226" s="15"/>
      <c r="E226" s="15"/>
      <c r="F226" s="15"/>
      <c r="G226" s="387"/>
      <c r="H226" s="15"/>
      <c r="I226" s="11"/>
      <c r="J226" s="11"/>
      <c r="K226" s="11"/>
      <c r="L226" s="11"/>
      <c r="M226" s="15"/>
      <c r="N226" s="15"/>
      <c r="O226" s="15"/>
      <c r="P226" s="15"/>
      <c r="Q226" s="15"/>
      <c r="R226" s="15"/>
      <c r="S226" s="15"/>
      <c r="T226" s="15"/>
      <c r="U226" s="15"/>
      <c r="V226" s="15"/>
      <c r="W226" s="15"/>
      <c r="X226" s="15"/>
      <c r="Y226" s="15"/>
      <c r="Z226" s="15"/>
      <c r="AA226" s="15"/>
      <c r="AB226" s="15"/>
      <c r="AC226" s="15"/>
      <c r="AD226" s="15"/>
      <c r="AE226" s="15"/>
      <c r="AF226" s="15"/>
      <c r="AG226" s="15"/>
      <c r="AH226" s="15"/>
    </row>
    <row r="227" ht="16.5" customHeight="1">
      <c r="A227" s="15"/>
      <c r="B227" s="15"/>
      <c r="C227" s="21"/>
      <c r="D227" s="15"/>
      <c r="E227" s="15"/>
      <c r="F227" s="15"/>
      <c r="G227" s="387"/>
      <c r="H227" s="15"/>
      <c r="I227" s="11"/>
      <c r="J227" s="11"/>
      <c r="K227" s="11"/>
      <c r="L227" s="11"/>
      <c r="M227" s="15"/>
      <c r="N227" s="15"/>
      <c r="O227" s="15"/>
      <c r="P227" s="15"/>
      <c r="Q227" s="15"/>
      <c r="R227" s="15"/>
      <c r="S227" s="15"/>
      <c r="T227" s="15"/>
      <c r="U227" s="15"/>
      <c r="V227" s="15"/>
      <c r="W227" s="15"/>
      <c r="X227" s="15"/>
      <c r="Y227" s="15"/>
      <c r="Z227" s="15"/>
      <c r="AA227" s="15"/>
      <c r="AB227" s="15"/>
      <c r="AC227" s="15"/>
      <c r="AD227" s="15"/>
      <c r="AE227" s="15"/>
      <c r="AF227" s="15"/>
      <c r="AG227" s="15"/>
      <c r="AH227" s="15"/>
    </row>
    <row r="228" ht="16.5" customHeight="1">
      <c r="A228" s="15"/>
      <c r="B228" s="15"/>
      <c r="C228" s="21"/>
      <c r="D228" s="15"/>
      <c r="E228" s="15"/>
      <c r="F228" s="15"/>
      <c r="G228" s="387"/>
      <c r="H228" s="15"/>
      <c r="I228" s="11"/>
      <c r="J228" s="11"/>
      <c r="K228" s="11"/>
      <c r="L228" s="11"/>
      <c r="M228" s="15"/>
      <c r="N228" s="15"/>
      <c r="O228" s="15"/>
      <c r="P228" s="15"/>
      <c r="Q228" s="15"/>
      <c r="R228" s="15"/>
      <c r="S228" s="15"/>
      <c r="T228" s="15"/>
      <c r="U228" s="15"/>
      <c r="V228" s="15"/>
      <c r="W228" s="15"/>
      <c r="X228" s="15"/>
      <c r="Y228" s="15"/>
      <c r="Z228" s="15"/>
      <c r="AA228" s="15"/>
      <c r="AB228" s="15"/>
      <c r="AC228" s="15"/>
      <c r="AD228" s="15"/>
      <c r="AE228" s="15"/>
      <c r="AF228" s="15"/>
      <c r="AG228" s="15"/>
      <c r="AH228" s="15"/>
    </row>
    <row r="229" ht="16.5" customHeight="1">
      <c r="A229" s="15"/>
      <c r="B229" s="15"/>
      <c r="C229" s="21"/>
      <c r="D229" s="15"/>
      <c r="E229" s="15"/>
      <c r="F229" s="15"/>
      <c r="G229" s="387"/>
      <c r="H229" s="15"/>
      <c r="I229" s="11"/>
      <c r="J229" s="11"/>
      <c r="K229" s="11"/>
      <c r="L229" s="11"/>
      <c r="M229" s="15"/>
      <c r="N229" s="15"/>
      <c r="O229" s="15"/>
      <c r="P229" s="15"/>
      <c r="Q229" s="15"/>
      <c r="R229" s="15"/>
      <c r="S229" s="15"/>
      <c r="T229" s="15"/>
      <c r="U229" s="15"/>
      <c r="V229" s="15"/>
      <c r="W229" s="15"/>
      <c r="X229" s="15"/>
      <c r="Y229" s="15"/>
      <c r="Z229" s="15"/>
      <c r="AA229" s="15"/>
      <c r="AB229" s="15"/>
      <c r="AC229" s="15"/>
      <c r="AD229" s="15"/>
      <c r="AE229" s="15"/>
      <c r="AF229" s="15"/>
      <c r="AG229" s="15"/>
      <c r="AH229" s="15"/>
    </row>
    <row r="230" ht="16.5" customHeight="1">
      <c r="A230" s="15"/>
      <c r="B230" s="15"/>
      <c r="C230" s="21"/>
      <c r="D230" s="15"/>
      <c r="E230" s="15"/>
      <c r="F230" s="15"/>
      <c r="G230" s="387"/>
      <c r="H230" s="15"/>
      <c r="I230" s="11"/>
      <c r="J230" s="11"/>
      <c r="K230" s="11"/>
      <c r="L230" s="11"/>
      <c r="M230" s="15"/>
      <c r="N230" s="15"/>
      <c r="O230" s="15"/>
      <c r="P230" s="15"/>
      <c r="Q230" s="15"/>
      <c r="R230" s="15"/>
      <c r="S230" s="15"/>
      <c r="T230" s="15"/>
      <c r="U230" s="15"/>
      <c r="V230" s="15"/>
      <c r="W230" s="15"/>
      <c r="X230" s="15"/>
      <c r="Y230" s="15"/>
      <c r="Z230" s="15"/>
      <c r="AA230" s="15"/>
      <c r="AB230" s="15"/>
      <c r="AC230" s="15"/>
      <c r="AD230" s="15"/>
      <c r="AE230" s="15"/>
      <c r="AF230" s="15"/>
      <c r="AG230" s="15"/>
      <c r="AH230" s="15"/>
    </row>
    <row r="231" ht="16.5" customHeight="1">
      <c r="A231" s="15"/>
      <c r="B231" s="15"/>
      <c r="C231" s="21"/>
      <c r="D231" s="15"/>
      <c r="E231" s="15"/>
      <c r="F231" s="15"/>
      <c r="G231" s="387"/>
      <c r="H231" s="15"/>
      <c r="I231" s="11"/>
      <c r="J231" s="11"/>
      <c r="K231" s="11"/>
      <c r="L231" s="11"/>
      <c r="M231" s="15"/>
      <c r="N231" s="15"/>
      <c r="O231" s="15"/>
      <c r="P231" s="15"/>
      <c r="Q231" s="15"/>
      <c r="R231" s="15"/>
      <c r="S231" s="15"/>
      <c r="T231" s="15"/>
      <c r="U231" s="15"/>
      <c r="V231" s="15"/>
      <c r="W231" s="15"/>
      <c r="X231" s="15"/>
      <c r="Y231" s="15"/>
      <c r="Z231" s="15"/>
      <c r="AA231" s="15"/>
      <c r="AB231" s="15"/>
      <c r="AC231" s="15"/>
      <c r="AD231" s="15"/>
      <c r="AE231" s="15"/>
      <c r="AF231" s="15"/>
      <c r="AG231" s="15"/>
      <c r="AH231" s="15"/>
    </row>
    <row r="232" ht="16.5" customHeight="1">
      <c r="A232" s="15"/>
      <c r="B232" s="15"/>
      <c r="C232" s="21"/>
      <c r="D232" s="15"/>
      <c r="E232" s="15"/>
      <c r="F232" s="15"/>
      <c r="G232" s="387"/>
      <c r="H232" s="15"/>
      <c r="I232" s="11"/>
      <c r="J232" s="11"/>
      <c r="K232" s="11"/>
      <c r="L232" s="11"/>
      <c r="M232" s="15"/>
      <c r="N232" s="15"/>
      <c r="O232" s="15"/>
      <c r="P232" s="15"/>
      <c r="Q232" s="15"/>
      <c r="R232" s="15"/>
      <c r="S232" s="15"/>
      <c r="T232" s="15"/>
      <c r="U232" s="15"/>
      <c r="V232" s="15"/>
      <c r="W232" s="15"/>
      <c r="X232" s="15"/>
      <c r="Y232" s="15"/>
      <c r="Z232" s="15"/>
      <c r="AA232" s="15"/>
      <c r="AB232" s="15"/>
      <c r="AC232" s="15"/>
      <c r="AD232" s="15"/>
      <c r="AE232" s="15"/>
      <c r="AF232" s="15"/>
      <c r="AG232" s="15"/>
      <c r="AH232" s="15"/>
    </row>
    <row r="233" ht="16.5" customHeight="1">
      <c r="A233" s="15"/>
      <c r="B233" s="15"/>
      <c r="C233" s="21"/>
      <c r="D233" s="15"/>
      <c r="E233" s="15"/>
      <c r="F233" s="15"/>
      <c r="G233" s="387"/>
      <c r="H233" s="15"/>
      <c r="I233" s="11"/>
      <c r="J233" s="11"/>
      <c r="K233" s="11"/>
      <c r="L233" s="11"/>
      <c r="M233" s="15"/>
      <c r="N233" s="15"/>
      <c r="O233" s="15"/>
      <c r="P233" s="15"/>
      <c r="Q233" s="15"/>
      <c r="R233" s="15"/>
      <c r="S233" s="15"/>
      <c r="T233" s="15"/>
      <c r="U233" s="15"/>
      <c r="V233" s="15"/>
      <c r="W233" s="15"/>
      <c r="X233" s="15"/>
      <c r="Y233" s="15"/>
      <c r="Z233" s="15"/>
      <c r="AA233" s="15"/>
      <c r="AB233" s="15"/>
      <c r="AC233" s="15"/>
      <c r="AD233" s="15"/>
      <c r="AE233" s="15"/>
      <c r="AF233" s="15"/>
      <c r="AG233" s="15"/>
      <c r="AH233" s="15"/>
    </row>
    <row r="234" ht="16.5" customHeight="1">
      <c r="A234" s="15"/>
      <c r="B234" s="15"/>
      <c r="C234" s="21"/>
      <c r="D234" s="15"/>
      <c r="E234" s="15"/>
      <c r="F234" s="15"/>
      <c r="G234" s="387"/>
      <c r="H234" s="15"/>
      <c r="I234" s="11"/>
      <c r="J234" s="11"/>
      <c r="K234" s="11"/>
      <c r="L234" s="11"/>
      <c r="M234" s="15"/>
      <c r="N234" s="15"/>
      <c r="O234" s="15"/>
      <c r="P234" s="15"/>
      <c r="Q234" s="15"/>
      <c r="R234" s="15"/>
      <c r="S234" s="15"/>
      <c r="T234" s="15"/>
      <c r="U234" s="15"/>
      <c r="V234" s="15"/>
      <c r="W234" s="15"/>
      <c r="X234" s="15"/>
      <c r="Y234" s="15"/>
      <c r="Z234" s="15"/>
      <c r="AA234" s="15"/>
      <c r="AB234" s="15"/>
      <c r="AC234" s="15"/>
      <c r="AD234" s="15"/>
      <c r="AE234" s="15"/>
      <c r="AF234" s="15"/>
      <c r="AG234" s="15"/>
      <c r="AH234" s="15"/>
    </row>
    <row r="235" ht="16.5" customHeight="1">
      <c r="A235" s="15"/>
      <c r="B235" s="15"/>
      <c r="C235" s="21"/>
      <c r="D235" s="15"/>
      <c r="E235" s="15"/>
      <c r="F235" s="15"/>
      <c r="G235" s="387"/>
      <c r="H235" s="15"/>
      <c r="I235" s="11"/>
      <c r="J235" s="11"/>
      <c r="K235" s="11"/>
      <c r="L235" s="11"/>
      <c r="M235" s="15"/>
      <c r="N235" s="15"/>
      <c r="O235" s="15"/>
      <c r="P235" s="15"/>
      <c r="Q235" s="15"/>
      <c r="R235" s="15"/>
      <c r="S235" s="15"/>
      <c r="T235" s="15"/>
      <c r="U235" s="15"/>
      <c r="V235" s="15"/>
      <c r="W235" s="15"/>
      <c r="X235" s="15"/>
      <c r="Y235" s="15"/>
      <c r="Z235" s="15"/>
      <c r="AA235" s="15"/>
      <c r="AB235" s="15"/>
      <c r="AC235" s="15"/>
      <c r="AD235" s="15"/>
      <c r="AE235" s="15"/>
      <c r="AF235" s="15"/>
      <c r="AG235" s="15"/>
      <c r="AH235" s="15"/>
    </row>
    <row r="236" ht="16.5" customHeight="1">
      <c r="A236" s="15"/>
      <c r="B236" s="15"/>
      <c r="C236" s="21"/>
      <c r="D236" s="15"/>
      <c r="E236" s="15"/>
      <c r="F236" s="15"/>
      <c r="G236" s="387"/>
      <c r="H236" s="15"/>
      <c r="I236" s="11"/>
      <c r="J236" s="11"/>
      <c r="K236" s="11"/>
      <c r="L236" s="11"/>
      <c r="M236" s="15"/>
      <c r="N236" s="15"/>
      <c r="O236" s="15"/>
      <c r="P236" s="15"/>
      <c r="Q236" s="15"/>
      <c r="R236" s="15"/>
      <c r="S236" s="15"/>
      <c r="T236" s="15"/>
      <c r="U236" s="15"/>
      <c r="V236" s="15"/>
      <c r="W236" s="15"/>
      <c r="X236" s="15"/>
      <c r="Y236" s="15"/>
      <c r="Z236" s="15"/>
      <c r="AA236" s="15"/>
      <c r="AB236" s="15"/>
      <c r="AC236" s="15"/>
      <c r="AD236" s="15"/>
      <c r="AE236" s="15"/>
      <c r="AF236" s="15"/>
      <c r="AG236" s="15"/>
      <c r="AH236" s="15"/>
    </row>
    <row r="237" ht="16.5" customHeight="1">
      <c r="A237" s="15"/>
      <c r="B237" s="15"/>
      <c r="C237" s="21"/>
      <c r="D237" s="15"/>
      <c r="E237" s="15"/>
      <c r="F237" s="15"/>
      <c r="G237" s="387"/>
      <c r="H237" s="15"/>
      <c r="I237" s="11"/>
      <c r="J237" s="11"/>
      <c r="K237" s="11"/>
      <c r="L237" s="11"/>
      <c r="M237" s="15"/>
      <c r="N237" s="15"/>
      <c r="O237" s="15"/>
      <c r="P237" s="15"/>
      <c r="Q237" s="15"/>
      <c r="R237" s="15"/>
      <c r="S237" s="15"/>
      <c r="T237" s="15"/>
      <c r="U237" s="15"/>
      <c r="V237" s="15"/>
      <c r="W237" s="15"/>
      <c r="X237" s="15"/>
      <c r="Y237" s="15"/>
      <c r="Z237" s="15"/>
      <c r="AA237" s="15"/>
      <c r="AB237" s="15"/>
      <c r="AC237" s="15"/>
      <c r="AD237" s="15"/>
      <c r="AE237" s="15"/>
      <c r="AF237" s="15"/>
      <c r="AG237" s="15"/>
      <c r="AH237" s="15"/>
    </row>
    <row r="238" ht="16.5" customHeight="1">
      <c r="A238" s="15"/>
      <c r="B238" s="15"/>
      <c r="C238" s="21"/>
      <c r="D238" s="15"/>
      <c r="E238" s="15"/>
      <c r="F238" s="15"/>
      <c r="G238" s="387"/>
      <c r="H238" s="15"/>
      <c r="I238" s="11"/>
      <c r="J238" s="11"/>
      <c r="K238" s="11"/>
      <c r="L238" s="11"/>
      <c r="M238" s="15"/>
      <c r="N238" s="15"/>
      <c r="O238" s="15"/>
      <c r="P238" s="15"/>
      <c r="Q238" s="15"/>
      <c r="R238" s="15"/>
      <c r="S238" s="15"/>
      <c r="T238" s="15"/>
      <c r="U238" s="15"/>
      <c r="V238" s="15"/>
      <c r="W238" s="15"/>
      <c r="X238" s="15"/>
      <c r="Y238" s="15"/>
      <c r="Z238" s="15"/>
      <c r="AA238" s="15"/>
      <c r="AB238" s="15"/>
      <c r="AC238" s="15"/>
      <c r="AD238" s="15"/>
      <c r="AE238" s="15"/>
      <c r="AF238" s="15"/>
      <c r="AG238" s="15"/>
      <c r="AH238" s="15"/>
    </row>
    <row r="239" ht="16.5" customHeight="1">
      <c r="A239" s="15"/>
      <c r="B239" s="15"/>
      <c r="C239" s="21"/>
      <c r="D239" s="15"/>
      <c r="E239" s="15"/>
      <c r="F239" s="15"/>
      <c r="G239" s="387"/>
      <c r="H239" s="15"/>
      <c r="I239" s="11"/>
      <c r="J239" s="11"/>
      <c r="K239" s="11"/>
      <c r="L239" s="11"/>
      <c r="M239" s="15"/>
      <c r="N239" s="15"/>
      <c r="O239" s="15"/>
      <c r="P239" s="15"/>
      <c r="Q239" s="15"/>
      <c r="R239" s="15"/>
      <c r="S239" s="15"/>
      <c r="T239" s="15"/>
      <c r="U239" s="15"/>
      <c r="V239" s="15"/>
      <c r="W239" s="15"/>
      <c r="X239" s="15"/>
      <c r="Y239" s="15"/>
      <c r="Z239" s="15"/>
      <c r="AA239" s="15"/>
      <c r="AB239" s="15"/>
      <c r="AC239" s="15"/>
      <c r="AD239" s="15"/>
      <c r="AE239" s="15"/>
      <c r="AF239" s="15"/>
      <c r="AG239" s="15"/>
      <c r="AH239" s="15"/>
    </row>
    <row r="240" ht="16.5" customHeight="1">
      <c r="A240" s="15"/>
      <c r="B240" s="15"/>
      <c r="C240" s="21"/>
      <c r="D240" s="15"/>
      <c r="E240" s="15"/>
      <c r="F240" s="15"/>
      <c r="G240" s="387"/>
      <c r="H240" s="15"/>
      <c r="I240" s="11"/>
      <c r="J240" s="11"/>
      <c r="K240" s="11"/>
      <c r="L240" s="11"/>
      <c r="M240" s="15"/>
      <c r="N240" s="15"/>
      <c r="O240" s="15"/>
      <c r="P240" s="15"/>
      <c r="Q240" s="15"/>
      <c r="R240" s="15"/>
      <c r="S240" s="15"/>
      <c r="T240" s="15"/>
      <c r="U240" s="15"/>
      <c r="V240" s="15"/>
      <c r="W240" s="15"/>
      <c r="X240" s="15"/>
      <c r="Y240" s="15"/>
      <c r="Z240" s="15"/>
      <c r="AA240" s="15"/>
      <c r="AB240" s="15"/>
      <c r="AC240" s="15"/>
      <c r="AD240" s="15"/>
      <c r="AE240" s="15"/>
      <c r="AF240" s="15"/>
      <c r="AG240" s="15"/>
      <c r="AH240" s="15"/>
    </row>
    <row r="241" ht="16.5" customHeight="1">
      <c r="A241" s="15"/>
      <c r="B241" s="15"/>
      <c r="C241" s="21"/>
      <c r="D241" s="15"/>
      <c r="E241" s="15"/>
      <c r="F241" s="15"/>
      <c r="G241" s="387"/>
      <c r="H241" s="15"/>
      <c r="I241" s="11"/>
      <c r="J241" s="11"/>
      <c r="K241" s="11"/>
      <c r="L241" s="11"/>
      <c r="M241" s="15"/>
      <c r="N241" s="15"/>
      <c r="O241" s="15"/>
      <c r="P241" s="15"/>
      <c r="Q241" s="15"/>
      <c r="R241" s="15"/>
      <c r="S241" s="15"/>
      <c r="T241" s="15"/>
      <c r="U241" s="15"/>
      <c r="V241" s="15"/>
      <c r="W241" s="15"/>
      <c r="X241" s="15"/>
      <c r="Y241" s="15"/>
      <c r="Z241" s="15"/>
      <c r="AA241" s="15"/>
      <c r="AB241" s="15"/>
      <c r="AC241" s="15"/>
      <c r="AD241" s="15"/>
      <c r="AE241" s="15"/>
      <c r="AF241" s="15"/>
      <c r="AG241" s="15"/>
      <c r="AH241" s="15"/>
    </row>
    <row r="242" ht="16.5" customHeight="1">
      <c r="A242" s="15"/>
      <c r="B242" s="15"/>
      <c r="C242" s="21"/>
      <c r="D242" s="15"/>
      <c r="E242" s="15"/>
      <c r="F242" s="15"/>
      <c r="G242" s="387"/>
      <c r="H242" s="15"/>
      <c r="I242" s="11"/>
      <c r="J242" s="11"/>
      <c r="K242" s="11"/>
      <c r="L242" s="11"/>
      <c r="M242" s="15"/>
      <c r="N242" s="15"/>
      <c r="O242" s="15"/>
      <c r="P242" s="15"/>
      <c r="Q242" s="15"/>
      <c r="R242" s="15"/>
      <c r="S242" s="15"/>
      <c r="T242" s="15"/>
      <c r="U242" s="15"/>
      <c r="V242" s="15"/>
      <c r="W242" s="15"/>
      <c r="X242" s="15"/>
      <c r="Y242" s="15"/>
      <c r="Z242" s="15"/>
      <c r="AA242" s="15"/>
      <c r="AB242" s="15"/>
      <c r="AC242" s="15"/>
      <c r="AD242" s="15"/>
      <c r="AE242" s="15"/>
      <c r="AF242" s="15"/>
      <c r="AG242" s="15"/>
      <c r="AH242" s="15"/>
    </row>
    <row r="243" ht="16.5" customHeight="1">
      <c r="A243" s="15"/>
      <c r="B243" s="15"/>
      <c r="C243" s="21"/>
      <c r="D243" s="15"/>
      <c r="E243" s="15"/>
      <c r="F243" s="15"/>
      <c r="G243" s="387"/>
      <c r="H243" s="15"/>
      <c r="I243" s="11"/>
      <c r="J243" s="11"/>
      <c r="K243" s="11"/>
      <c r="L243" s="11"/>
      <c r="M243" s="15"/>
      <c r="N243" s="15"/>
      <c r="O243" s="15"/>
      <c r="P243" s="15"/>
      <c r="Q243" s="15"/>
      <c r="R243" s="15"/>
      <c r="S243" s="15"/>
      <c r="T243" s="15"/>
      <c r="U243" s="15"/>
      <c r="V243" s="15"/>
      <c r="W243" s="15"/>
      <c r="X243" s="15"/>
      <c r="Y243" s="15"/>
      <c r="Z243" s="15"/>
      <c r="AA243" s="15"/>
      <c r="AB243" s="15"/>
      <c r="AC243" s="15"/>
      <c r="AD243" s="15"/>
      <c r="AE243" s="15"/>
      <c r="AF243" s="15"/>
      <c r="AG243" s="15"/>
      <c r="AH243" s="15"/>
    </row>
    <row r="244" ht="16.5" customHeight="1">
      <c r="A244" s="15"/>
      <c r="B244" s="15"/>
      <c r="C244" s="21"/>
      <c r="D244" s="15"/>
      <c r="E244" s="15"/>
      <c r="F244" s="15"/>
      <c r="G244" s="387"/>
      <c r="H244" s="15"/>
      <c r="I244" s="11"/>
      <c r="J244" s="11"/>
      <c r="K244" s="11"/>
      <c r="L244" s="11"/>
      <c r="M244" s="15"/>
      <c r="N244" s="15"/>
      <c r="O244" s="15"/>
      <c r="P244" s="15"/>
      <c r="Q244" s="15"/>
      <c r="R244" s="15"/>
      <c r="S244" s="15"/>
      <c r="T244" s="15"/>
      <c r="U244" s="15"/>
      <c r="V244" s="15"/>
      <c r="W244" s="15"/>
      <c r="X244" s="15"/>
      <c r="Y244" s="15"/>
      <c r="Z244" s="15"/>
      <c r="AA244" s="15"/>
      <c r="AB244" s="15"/>
      <c r="AC244" s="15"/>
      <c r="AD244" s="15"/>
      <c r="AE244" s="15"/>
      <c r="AF244" s="15"/>
      <c r="AG244" s="15"/>
      <c r="AH244" s="15"/>
    </row>
    <row r="245" ht="16.5" customHeight="1">
      <c r="A245" s="15"/>
      <c r="B245" s="15"/>
      <c r="C245" s="21"/>
      <c r="D245" s="15"/>
      <c r="E245" s="15"/>
      <c r="F245" s="15"/>
      <c r="G245" s="387"/>
      <c r="H245" s="15"/>
      <c r="I245" s="11"/>
      <c r="J245" s="11"/>
      <c r="K245" s="11"/>
      <c r="L245" s="11"/>
      <c r="M245" s="15"/>
      <c r="N245" s="15"/>
      <c r="O245" s="15"/>
      <c r="P245" s="15"/>
      <c r="Q245" s="15"/>
      <c r="R245" s="15"/>
      <c r="S245" s="15"/>
      <c r="T245" s="15"/>
      <c r="U245" s="15"/>
      <c r="V245" s="15"/>
      <c r="W245" s="15"/>
      <c r="X245" s="15"/>
      <c r="Y245" s="15"/>
      <c r="Z245" s="15"/>
      <c r="AA245" s="15"/>
      <c r="AB245" s="15"/>
      <c r="AC245" s="15"/>
      <c r="AD245" s="15"/>
      <c r="AE245" s="15"/>
      <c r="AF245" s="15"/>
      <c r="AG245" s="15"/>
      <c r="AH245" s="15"/>
    </row>
    <row r="246" ht="16.5" customHeight="1">
      <c r="A246" s="15"/>
      <c r="B246" s="15"/>
      <c r="C246" s="21"/>
      <c r="D246" s="15"/>
      <c r="E246" s="15"/>
      <c r="F246" s="15"/>
      <c r="G246" s="387"/>
      <c r="H246" s="15"/>
      <c r="I246" s="11"/>
      <c r="J246" s="11"/>
      <c r="K246" s="11"/>
      <c r="L246" s="11"/>
      <c r="M246" s="15"/>
      <c r="N246" s="15"/>
      <c r="O246" s="15"/>
      <c r="P246" s="15"/>
      <c r="Q246" s="15"/>
      <c r="R246" s="15"/>
      <c r="S246" s="15"/>
      <c r="T246" s="15"/>
      <c r="U246" s="15"/>
      <c r="V246" s="15"/>
      <c r="W246" s="15"/>
      <c r="X246" s="15"/>
      <c r="Y246" s="15"/>
      <c r="Z246" s="15"/>
      <c r="AA246" s="15"/>
      <c r="AB246" s="15"/>
      <c r="AC246" s="15"/>
      <c r="AD246" s="15"/>
      <c r="AE246" s="15"/>
      <c r="AF246" s="15"/>
      <c r="AG246" s="15"/>
      <c r="AH246" s="15"/>
    </row>
    <row r="247" ht="16.5" customHeight="1">
      <c r="A247" s="15"/>
      <c r="B247" s="15"/>
      <c r="C247" s="21"/>
      <c r="D247" s="15"/>
      <c r="E247" s="15"/>
      <c r="F247" s="15"/>
      <c r="G247" s="387"/>
      <c r="H247" s="15"/>
      <c r="I247" s="11"/>
      <c r="J247" s="11"/>
      <c r="K247" s="11"/>
      <c r="L247" s="11"/>
      <c r="M247" s="15"/>
      <c r="N247" s="15"/>
      <c r="O247" s="15"/>
      <c r="P247" s="15"/>
      <c r="Q247" s="15"/>
      <c r="R247" s="15"/>
      <c r="S247" s="15"/>
      <c r="T247" s="15"/>
      <c r="U247" s="15"/>
      <c r="V247" s="15"/>
      <c r="W247" s="15"/>
      <c r="X247" s="15"/>
      <c r="Y247" s="15"/>
      <c r="Z247" s="15"/>
      <c r="AA247" s="15"/>
      <c r="AB247" s="15"/>
      <c r="AC247" s="15"/>
      <c r="AD247" s="15"/>
      <c r="AE247" s="15"/>
      <c r="AF247" s="15"/>
      <c r="AG247" s="15"/>
      <c r="AH247" s="15"/>
    </row>
    <row r="248" ht="16.5" customHeight="1">
      <c r="A248" s="15"/>
      <c r="B248" s="15"/>
      <c r="C248" s="21"/>
      <c r="D248" s="15"/>
      <c r="E248" s="15"/>
      <c r="F248" s="15"/>
      <c r="G248" s="387"/>
      <c r="H248" s="15"/>
      <c r="I248" s="11"/>
      <c r="J248" s="11"/>
      <c r="K248" s="11"/>
      <c r="L248" s="11"/>
      <c r="M248" s="15"/>
      <c r="N248" s="15"/>
      <c r="O248" s="15"/>
      <c r="P248" s="15"/>
      <c r="Q248" s="15"/>
      <c r="R248" s="15"/>
      <c r="S248" s="15"/>
      <c r="T248" s="15"/>
      <c r="U248" s="15"/>
      <c r="V248" s="15"/>
      <c r="W248" s="15"/>
      <c r="X248" s="15"/>
      <c r="Y248" s="15"/>
      <c r="Z248" s="15"/>
      <c r="AA248" s="15"/>
      <c r="AB248" s="15"/>
      <c r="AC248" s="15"/>
      <c r="AD248" s="15"/>
      <c r="AE248" s="15"/>
      <c r="AF248" s="15"/>
      <c r="AG248" s="15"/>
      <c r="AH248" s="15"/>
    </row>
    <row r="249" ht="16.5" customHeight="1">
      <c r="A249" s="15"/>
      <c r="B249" s="15"/>
      <c r="C249" s="21"/>
      <c r="D249" s="15"/>
      <c r="E249" s="15"/>
      <c r="F249" s="15"/>
      <c r="G249" s="387"/>
      <c r="H249" s="15"/>
      <c r="I249" s="11"/>
      <c r="J249" s="11"/>
      <c r="K249" s="11"/>
      <c r="L249" s="11"/>
      <c r="M249" s="15"/>
      <c r="N249" s="15"/>
      <c r="O249" s="15"/>
      <c r="P249" s="15"/>
      <c r="Q249" s="15"/>
      <c r="R249" s="15"/>
      <c r="S249" s="15"/>
      <c r="T249" s="15"/>
      <c r="U249" s="15"/>
      <c r="V249" s="15"/>
      <c r="W249" s="15"/>
      <c r="X249" s="15"/>
      <c r="Y249" s="15"/>
      <c r="Z249" s="15"/>
      <c r="AA249" s="15"/>
      <c r="AB249" s="15"/>
      <c r="AC249" s="15"/>
      <c r="AD249" s="15"/>
      <c r="AE249" s="15"/>
      <c r="AF249" s="15"/>
      <c r="AG249" s="15"/>
      <c r="AH249" s="15"/>
    </row>
    <row r="250" ht="16.5" customHeight="1">
      <c r="A250" s="15"/>
      <c r="B250" s="15"/>
      <c r="C250" s="21"/>
      <c r="D250" s="15"/>
      <c r="E250" s="15"/>
      <c r="F250" s="15"/>
      <c r="G250" s="387"/>
      <c r="H250" s="15"/>
      <c r="I250" s="11"/>
      <c r="J250" s="11"/>
      <c r="K250" s="11"/>
      <c r="L250" s="11"/>
      <c r="M250" s="15"/>
      <c r="N250" s="15"/>
      <c r="O250" s="15"/>
      <c r="P250" s="15"/>
      <c r="Q250" s="15"/>
      <c r="R250" s="15"/>
      <c r="S250" s="15"/>
      <c r="T250" s="15"/>
      <c r="U250" s="15"/>
      <c r="V250" s="15"/>
      <c r="W250" s="15"/>
      <c r="X250" s="15"/>
      <c r="Y250" s="15"/>
      <c r="Z250" s="15"/>
      <c r="AA250" s="15"/>
      <c r="AB250" s="15"/>
      <c r="AC250" s="15"/>
      <c r="AD250" s="15"/>
      <c r="AE250" s="15"/>
      <c r="AF250" s="15"/>
      <c r="AG250" s="15"/>
      <c r="AH250" s="15"/>
    </row>
    <row r="251" ht="16.5" customHeight="1">
      <c r="A251" s="15"/>
      <c r="B251" s="15"/>
      <c r="C251" s="21"/>
      <c r="D251" s="15"/>
      <c r="E251" s="15"/>
      <c r="F251" s="15"/>
      <c r="G251" s="387"/>
      <c r="H251" s="15"/>
      <c r="I251" s="11"/>
      <c r="J251" s="11"/>
      <c r="K251" s="11"/>
      <c r="L251" s="11"/>
      <c r="M251" s="15"/>
      <c r="N251" s="15"/>
      <c r="O251" s="15"/>
      <c r="P251" s="15"/>
      <c r="Q251" s="15"/>
      <c r="R251" s="15"/>
      <c r="S251" s="15"/>
      <c r="T251" s="15"/>
      <c r="U251" s="15"/>
      <c r="V251" s="15"/>
      <c r="W251" s="15"/>
      <c r="X251" s="15"/>
      <c r="Y251" s="15"/>
      <c r="Z251" s="15"/>
      <c r="AA251" s="15"/>
      <c r="AB251" s="15"/>
      <c r="AC251" s="15"/>
      <c r="AD251" s="15"/>
      <c r="AE251" s="15"/>
      <c r="AF251" s="15"/>
      <c r="AG251" s="15"/>
      <c r="AH251" s="15"/>
    </row>
    <row r="252" ht="16.5" customHeight="1">
      <c r="A252" s="15"/>
      <c r="B252" s="15"/>
      <c r="C252" s="21"/>
      <c r="D252" s="15"/>
      <c r="E252" s="15"/>
      <c r="F252" s="15"/>
      <c r="G252" s="387"/>
      <c r="H252" s="15"/>
      <c r="I252" s="11"/>
      <c r="J252" s="11"/>
      <c r="K252" s="11"/>
      <c r="L252" s="11"/>
      <c r="M252" s="15"/>
      <c r="N252" s="15"/>
      <c r="O252" s="15"/>
      <c r="P252" s="15"/>
      <c r="Q252" s="15"/>
      <c r="R252" s="15"/>
      <c r="S252" s="15"/>
      <c r="T252" s="15"/>
      <c r="U252" s="15"/>
      <c r="V252" s="15"/>
      <c r="W252" s="15"/>
      <c r="X252" s="15"/>
      <c r="Y252" s="15"/>
      <c r="Z252" s="15"/>
      <c r="AA252" s="15"/>
      <c r="AB252" s="15"/>
      <c r="AC252" s="15"/>
      <c r="AD252" s="15"/>
      <c r="AE252" s="15"/>
      <c r="AF252" s="15"/>
      <c r="AG252" s="15"/>
      <c r="AH252" s="15"/>
    </row>
    <row r="253" ht="16.5" customHeight="1">
      <c r="A253" s="15"/>
      <c r="B253" s="15"/>
      <c r="C253" s="21"/>
      <c r="D253" s="15"/>
      <c r="E253" s="15"/>
      <c r="F253" s="15"/>
      <c r="G253" s="387"/>
      <c r="H253" s="15"/>
      <c r="I253" s="11"/>
      <c r="J253" s="11"/>
      <c r="K253" s="11"/>
      <c r="L253" s="11"/>
      <c r="M253" s="15"/>
      <c r="N253" s="15"/>
      <c r="O253" s="15"/>
      <c r="P253" s="15"/>
      <c r="Q253" s="15"/>
      <c r="R253" s="15"/>
      <c r="S253" s="15"/>
      <c r="T253" s="15"/>
      <c r="U253" s="15"/>
      <c r="V253" s="15"/>
      <c r="W253" s="15"/>
      <c r="X253" s="15"/>
      <c r="Y253" s="15"/>
      <c r="Z253" s="15"/>
      <c r="AA253" s="15"/>
      <c r="AB253" s="15"/>
      <c r="AC253" s="15"/>
      <c r="AD253" s="15"/>
      <c r="AE253" s="15"/>
      <c r="AF253" s="15"/>
      <c r="AG253" s="15"/>
      <c r="AH253" s="15"/>
    </row>
    <row r="254" ht="16.5" customHeight="1">
      <c r="A254" s="15"/>
      <c r="B254" s="15"/>
      <c r="C254" s="21"/>
      <c r="D254" s="15"/>
      <c r="E254" s="15"/>
      <c r="F254" s="15"/>
      <c r="G254" s="387"/>
      <c r="H254" s="15"/>
      <c r="I254" s="11"/>
      <c r="J254" s="11"/>
      <c r="K254" s="11"/>
      <c r="L254" s="11"/>
      <c r="M254" s="15"/>
      <c r="N254" s="15"/>
      <c r="O254" s="15"/>
      <c r="P254" s="15"/>
      <c r="Q254" s="15"/>
      <c r="R254" s="15"/>
      <c r="S254" s="15"/>
      <c r="T254" s="15"/>
      <c r="U254" s="15"/>
      <c r="V254" s="15"/>
      <c r="W254" s="15"/>
      <c r="X254" s="15"/>
      <c r="Y254" s="15"/>
      <c r="Z254" s="15"/>
      <c r="AA254" s="15"/>
      <c r="AB254" s="15"/>
      <c r="AC254" s="15"/>
      <c r="AD254" s="15"/>
      <c r="AE254" s="15"/>
      <c r="AF254" s="15"/>
      <c r="AG254" s="15"/>
      <c r="AH254" s="15"/>
    </row>
    <row r="255" ht="16.5" customHeight="1">
      <c r="A255" s="15"/>
      <c r="B255" s="15"/>
      <c r="C255" s="21"/>
      <c r="D255" s="15"/>
      <c r="E255" s="15"/>
      <c r="F255" s="15"/>
      <c r="G255" s="387"/>
      <c r="H255" s="15"/>
      <c r="I255" s="11"/>
      <c r="J255" s="11"/>
      <c r="K255" s="11"/>
      <c r="L255" s="11"/>
      <c r="M255" s="15"/>
      <c r="N255" s="15"/>
      <c r="O255" s="15"/>
      <c r="P255" s="15"/>
      <c r="Q255" s="15"/>
      <c r="R255" s="15"/>
      <c r="S255" s="15"/>
      <c r="T255" s="15"/>
      <c r="U255" s="15"/>
      <c r="V255" s="15"/>
      <c r="W255" s="15"/>
      <c r="X255" s="15"/>
      <c r="Y255" s="15"/>
      <c r="Z255" s="15"/>
      <c r="AA255" s="15"/>
      <c r="AB255" s="15"/>
      <c r="AC255" s="15"/>
      <c r="AD255" s="15"/>
      <c r="AE255" s="15"/>
      <c r="AF255" s="15"/>
      <c r="AG255" s="15"/>
      <c r="AH255" s="15"/>
    </row>
    <row r="256" ht="16.5" customHeight="1">
      <c r="A256" s="15"/>
      <c r="B256" s="15"/>
      <c r="C256" s="21"/>
      <c r="D256" s="15"/>
      <c r="E256" s="15"/>
      <c r="F256" s="15"/>
      <c r="G256" s="387"/>
      <c r="H256" s="15"/>
      <c r="I256" s="11"/>
      <c r="J256" s="11"/>
      <c r="K256" s="11"/>
      <c r="L256" s="11"/>
      <c r="M256" s="15"/>
      <c r="N256" s="15"/>
      <c r="O256" s="15"/>
      <c r="P256" s="15"/>
      <c r="Q256" s="15"/>
      <c r="R256" s="15"/>
      <c r="S256" s="15"/>
      <c r="T256" s="15"/>
      <c r="U256" s="15"/>
      <c r="V256" s="15"/>
      <c r="W256" s="15"/>
      <c r="X256" s="15"/>
      <c r="Y256" s="15"/>
      <c r="Z256" s="15"/>
      <c r="AA256" s="15"/>
      <c r="AB256" s="15"/>
      <c r="AC256" s="15"/>
      <c r="AD256" s="15"/>
      <c r="AE256" s="15"/>
      <c r="AF256" s="15"/>
      <c r="AG256" s="15"/>
      <c r="AH256" s="15"/>
    </row>
    <row r="257" ht="16.5" customHeight="1">
      <c r="A257" s="15"/>
      <c r="B257" s="15"/>
      <c r="C257" s="21"/>
      <c r="D257" s="15"/>
      <c r="E257" s="15"/>
      <c r="F257" s="15"/>
      <c r="G257" s="387"/>
      <c r="H257" s="15"/>
      <c r="I257" s="11"/>
      <c r="J257" s="11"/>
      <c r="K257" s="11"/>
      <c r="L257" s="11"/>
      <c r="M257" s="15"/>
      <c r="N257" s="15"/>
      <c r="O257" s="15"/>
      <c r="P257" s="15"/>
      <c r="Q257" s="15"/>
      <c r="R257" s="15"/>
      <c r="S257" s="15"/>
      <c r="T257" s="15"/>
      <c r="U257" s="15"/>
      <c r="V257" s="15"/>
      <c r="W257" s="15"/>
      <c r="X257" s="15"/>
      <c r="Y257" s="15"/>
      <c r="Z257" s="15"/>
      <c r="AA257" s="15"/>
      <c r="AB257" s="15"/>
      <c r="AC257" s="15"/>
      <c r="AD257" s="15"/>
      <c r="AE257" s="15"/>
      <c r="AF257" s="15"/>
      <c r="AG257" s="15"/>
      <c r="AH257" s="15"/>
    </row>
    <row r="258" ht="16.5" customHeight="1">
      <c r="A258" s="15"/>
      <c r="B258" s="15"/>
      <c r="C258" s="21"/>
      <c r="D258" s="15"/>
      <c r="E258" s="15"/>
      <c r="F258" s="15"/>
      <c r="G258" s="387"/>
      <c r="H258" s="15"/>
      <c r="I258" s="11"/>
      <c r="J258" s="11"/>
      <c r="K258" s="11"/>
      <c r="L258" s="11"/>
      <c r="M258" s="15"/>
      <c r="N258" s="15"/>
      <c r="O258" s="15"/>
      <c r="P258" s="15"/>
      <c r="Q258" s="15"/>
      <c r="R258" s="15"/>
      <c r="S258" s="15"/>
      <c r="T258" s="15"/>
      <c r="U258" s="15"/>
      <c r="V258" s="15"/>
      <c r="W258" s="15"/>
      <c r="X258" s="15"/>
      <c r="Y258" s="15"/>
      <c r="Z258" s="15"/>
      <c r="AA258" s="15"/>
      <c r="AB258" s="15"/>
      <c r="AC258" s="15"/>
      <c r="AD258" s="15"/>
      <c r="AE258" s="15"/>
      <c r="AF258" s="15"/>
      <c r="AG258" s="15"/>
      <c r="AH258" s="15"/>
    </row>
    <row r="259" ht="16.5" customHeight="1">
      <c r="A259" s="15"/>
      <c r="B259" s="15"/>
      <c r="C259" s="21"/>
      <c r="D259" s="15"/>
      <c r="E259" s="15"/>
      <c r="F259" s="15"/>
      <c r="G259" s="387"/>
      <c r="H259" s="15"/>
      <c r="I259" s="11"/>
      <c r="J259" s="11"/>
      <c r="K259" s="11"/>
      <c r="L259" s="11"/>
      <c r="M259" s="15"/>
      <c r="N259" s="15"/>
      <c r="O259" s="15"/>
      <c r="P259" s="15"/>
      <c r="Q259" s="15"/>
      <c r="R259" s="15"/>
      <c r="S259" s="15"/>
      <c r="T259" s="15"/>
      <c r="U259" s="15"/>
      <c r="V259" s="15"/>
      <c r="W259" s="15"/>
      <c r="X259" s="15"/>
      <c r="Y259" s="15"/>
      <c r="Z259" s="15"/>
      <c r="AA259" s="15"/>
      <c r="AB259" s="15"/>
      <c r="AC259" s="15"/>
      <c r="AD259" s="15"/>
      <c r="AE259" s="15"/>
      <c r="AF259" s="15"/>
      <c r="AG259" s="15"/>
      <c r="AH259" s="15"/>
    </row>
    <row r="260" ht="16.5" customHeight="1">
      <c r="A260" s="15"/>
      <c r="B260" s="15"/>
      <c r="C260" s="21"/>
      <c r="D260" s="15"/>
      <c r="E260" s="15"/>
      <c r="F260" s="15"/>
      <c r="G260" s="387"/>
      <c r="H260" s="15"/>
      <c r="I260" s="11"/>
      <c r="J260" s="11"/>
      <c r="K260" s="11"/>
      <c r="L260" s="11"/>
      <c r="M260" s="15"/>
      <c r="N260" s="15"/>
      <c r="O260" s="15"/>
      <c r="P260" s="15"/>
      <c r="Q260" s="15"/>
      <c r="R260" s="15"/>
      <c r="S260" s="15"/>
      <c r="T260" s="15"/>
      <c r="U260" s="15"/>
      <c r="V260" s="15"/>
      <c r="W260" s="15"/>
      <c r="X260" s="15"/>
      <c r="Y260" s="15"/>
      <c r="Z260" s="15"/>
      <c r="AA260" s="15"/>
      <c r="AB260" s="15"/>
      <c r="AC260" s="15"/>
      <c r="AD260" s="15"/>
      <c r="AE260" s="15"/>
      <c r="AF260" s="15"/>
      <c r="AG260" s="15"/>
      <c r="AH260" s="15"/>
    </row>
    <row r="261" ht="16.5" customHeight="1">
      <c r="A261" s="15"/>
      <c r="B261" s="15"/>
      <c r="C261" s="21"/>
      <c r="D261" s="15"/>
      <c r="E261" s="15"/>
      <c r="F261" s="15"/>
      <c r="G261" s="387"/>
      <c r="H261" s="15"/>
      <c r="I261" s="11"/>
      <c r="J261" s="11"/>
      <c r="K261" s="11"/>
      <c r="L261" s="11"/>
      <c r="M261" s="15"/>
      <c r="N261" s="15"/>
      <c r="O261" s="15"/>
      <c r="P261" s="15"/>
      <c r="Q261" s="15"/>
      <c r="R261" s="15"/>
      <c r="S261" s="15"/>
      <c r="T261" s="15"/>
      <c r="U261" s="15"/>
      <c r="V261" s="15"/>
      <c r="W261" s="15"/>
      <c r="X261" s="15"/>
      <c r="Y261" s="15"/>
      <c r="Z261" s="15"/>
      <c r="AA261" s="15"/>
      <c r="AB261" s="15"/>
      <c r="AC261" s="15"/>
      <c r="AD261" s="15"/>
      <c r="AE261" s="15"/>
      <c r="AF261" s="15"/>
      <c r="AG261" s="15"/>
      <c r="AH261" s="15"/>
    </row>
    <row r="262" ht="16.5" customHeight="1">
      <c r="A262" s="15"/>
      <c r="B262" s="15"/>
      <c r="C262" s="21"/>
      <c r="D262" s="15"/>
      <c r="E262" s="15"/>
      <c r="F262" s="15"/>
      <c r="G262" s="387"/>
      <c r="H262" s="15"/>
      <c r="I262" s="11"/>
      <c r="J262" s="11"/>
      <c r="K262" s="11"/>
      <c r="L262" s="11"/>
      <c r="M262" s="15"/>
      <c r="N262" s="15"/>
      <c r="O262" s="15"/>
      <c r="P262" s="15"/>
      <c r="Q262" s="15"/>
      <c r="R262" s="15"/>
      <c r="S262" s="15"/>
      <c r="T262" s="15"/>
      <c r="U262" s="15"/>
      <c r="V262" s="15"/>
      <c r="W262" s="15"/>
      <c r="X262" s="15"/>
      <c r="Y262" s="15"/>
      <c r="Z262" s="15"/>
      <c r="AA262" s="15"/>
      <c r="AB262" s="15"/>
      <c r="AC262" s="15"/>
      <c r="AD262" s="15"/>
      <c r="AE262" s="15"/>
      <c r="AF262" s="15"/>
      <c r="AG262" s="15"/>
      <c r="AH262" s="15"/>
    </row>
    <row r="263" ht="16.5" customHeight="1">
      <c r="A263" s="15"/>
      <c r="B263" s="15"/>
      <c r="C263" s="21"/>
      <c r="D263" s="15"/>
      <c r="E263" s="15"/>
      <c r="F263" s="15"/>
      <c r="G263" s="387"/>
      <c r="H263" s="15"/>
      <c r="I263" s="11"/>
      <c r="J263" s="11"/>
      <c r="K263" s="11"/>
      <c r="L263" s="11"/>
      <c r="M263" s="15"/>
      <c r="N263" s="15"/>
      <c r="O263" s="15"/>
      <c r="P263" s="15"/>
      <c r="Q263" s="15"/>
      <c r="R263" s="15"/>
      <c r="S263" s="15"/>
      <c r="T263" s="15"/>
      <c r="U263" s="15"/>
      <c r="V263" s="15"/>
      <c r="W263" s="15"/>
      <c r="X263" s="15"/>
      <c r="Y263" s="15"/>
      <c r="Z263" s="15"/>
      <c r="AA263" s="15"/>
      <c r="AB263" s="15"/>
      <c r="AC263" s="15"/>
      <c r="AD263" s="15"/>
      <c r="AE263" s="15"/>
      <c r="AF263" s="15"/>
      <c r="AG263" s="15"/>
      <c r="AH263" s="15"/>
    </row>
    <row r="264" ht="16.5" customHeight="1">
      <c r="A264" s="15"/>
      <c r="B264" s="15"/>
      <c r="C264" s="21"/>
      <c r="D264" s="15"/>
      <c r="E264" s="15"/>
      <c r="F264" s="15"/>
      <c r="G264" s="387"/>
      <c r="H264" s="15"/>
      <c r="I264" s="11"/>
      <c r="J264" s="11"/>
      <c r="K264" s="11"/>
      <c r="L264" s="11"/>
      <c r="M264" s="15"/>
      <c r="N264" s="15"/>
      <c r="O264" s="15"/>
      <c r="P264" s="15"/>
      <c r="Q264" s="15"/>
      <c r="R264" s="15"/>
      <c r="S264" s="15"/>
      <c r="T264" s="15"/>
      <c r="U264" s="15"/>
      <c r="V264" s="15"/>
      <c r="W264" s="15"/>
      <c r="X264" s="15"/>
      <c r="Y264" s="15"/>
      <c r="Z264" s="15"/>
      <c r="AA264" s="15"/>
      <c r="AB264" s="15"/>
      <c r="AC264" s="15"/>
      <c r="AD264" s="15"/>
      <c r="AE264" s="15"/>
      <c r="AF264" s="15"/>
      <c r="AG264" s="15"/>
      <c r="AH264" s="15"/>
    </row>
    <row r="265" ht="16.5" customHeight="1">
      <c r="A265" s="15"/>
      <c r="B265" s="15"/>
      <c r="C265" s="21"/>
      <c r="D265" s="15"/>
      <c r="E265" s="15"/>
      <c r="F265" s="15"/>
      <c r="G265" s="387"/>
      <c r="H265" s="15"/>
      <c r="I265" s="11"/>
      <c r="J265" s="11"/>
      <c r="K265" s="11"/>
      <c r="L265" s="11"/>
      <c r="M265" s="15"/>
      <c r="N265" s="15"/>
      <c r="O265" s="15"/>
      <c r="P265" s="15"/>
      <c r="Q265" s="15"/>
      <c r="R265" s="15"/>
      <c r="S265" s="15"/>
      <c r="T265" s="15"/>
      <c r="U265" s="15"/>
      <c r="V265" s="15"/>
      <c r="W265" s="15"/>
      <c r="X265" s="15"/>
      <c r="Y265" s="15"/>
      <c r="Z265" s="15"/>
      <c r="AA265" s="15"/>
      <c r="AB265" s="15"/>
      <c r="AC265" s="15"/>
      <c r="AD265" s="15"/>
      <c r="AE265" s="15"/>
      <c r="AF265" s="15"/>
      <c r="AG265" s="15"/>
      <c r="AH265" s="15"/>
    </row>
    <row r="266" ht="16.5" customHeight="1">
      <c r="A266" s="15"/>
      <c r="B266" s="15"/>
      <c r="C266" s="21"/>
      <c r="D266" s="15"/>
      <c r="E266" s="15"/>
      <c r="F266" s="15"/>
      <c r="G266" s="387"/>
      <c r="H266" s="15"/>
      <c r="I266" s="11"/>
      <c r="J266" s="11"/>
      <c r="K266" s="11"/>
      <c r="L266" s="11"/>
      <c r="M266" s="15"/>
      <c r="N266" s="15"/>
      <c r="O266" s="15"/>
      <c r="P266" s="15"/>
      <c r="Q266" s="15"/>
      <c r="R266" s="15"/>
      <c r="S266" s="15"/>
      <c r="T266" s="15"/>
      <c r="U266" s="15"/>
      <c r="V266" s="15"/>
      <c r="W266" s="15"/>
      <c r="X266" s="15"/>
      <c r="Y266" s="15"/>
      <c r="Z266" s="15"/>
      <c r="AA266" s="15"/>
      <c r="AB266" s="15"/>
      <c r="AC266" s="15"/>
      <c r="AD266" s="15"/>
      <c r="AE266" s="15"/>
      <c r="AF266" s="15"/>
      <c r="AG266" s="15"/>
      <c r="AH266" s="15"/>
    </row>
    <row r="267" ht="16.5" customHeight="1">
      <c r="A267" s="15"/>
      <c r="B267" s="15"/>
      <c r="C267" s="21"/>
      <c r="D267" s="15"/>
      <c r="E267" s="15"/>
      <c r="F267" s="15"/>
      <c r="G267" s="387"/>
      <c r="H267" s="15"/>
      <c r="I267" s="11"/>
      <c r="J267" s="11"/>
      <c r="K267" s="11"/>
      <c r="L267" s="11"/>
      <c r="M267" s="15"/>
      <c r="N267" s="15"/>
      <c r="O267" s="15"/>
      <c r="P267" s="15"/>
      <c r="Q267" s="15"/>
      <c r="R267" s="15"/>
      <c r="S267" s="15"/>
      <c r="T267" s="15"/>
      <c r="U267" s="15"/>
      <c r="V267" s="15"/>
      <c r="W267" s="15"/>
      <c r="X267" s="15"/>
      <c r="Y267" s="15"/>
      <c r="Z267" s="15"/>
      <c r="AA267" s="15"/>
      <c r="AB267" s="15"/>
      <c r="AC267" s="15"/>
      <c r="AD267" s="15"/>
      <c r="AE267" s="15"/>
      <c r="AF267" s="15"/>
      <c r="AG267" s="15"/>
      <c r="AH267" s="15"/>
    </row>
    <row r="268" ht="16.5" customHeight="1">
      <c r="A268" s="15"/>
      <c r="B268" s="15"/>
      <c r="C268" s="21"/>
      <c r="D268" s="15"/>
      <c r="E268" s="15"/>
      <c r="F268" s="15"/>
      <c r="G268" s="387"/>
      <c r="H268" s="15"/>
      <c r="I268" s="11"/>
      <c r="J268" s="11"/>
      <c r="K268" s="11"/>
      <c r="L268" s="11"/>
      <c r="M268" s="15"/>
      <c r="N268" s="15"/>
      <c r="O268" s="15"/>
      <c r="P268" s="15"/>
      <c r="Q268" s="15"/>
      <c r="R268" s="15"/>
      <c r="S268" s="15"/>
      <c r="T268" s="15"/>
      <c r="U268" s="15"/>
      <c r="V268" s="15"/>
      <c r="W268" s="15"/>
      <c r="X268" s="15"/>
      <c r="Y268" s="15"/>
      <c r="Z268" s="15"/>
      <c r="AA268" s="15"/>
      <c r="AB268" s="15"/>
      <c r="AC268" s="15"/>
      <c r="AD268" s="15"/>
      <c r="AE268" s="15"/>
      <c r="AF268" s="15"/>
      <c r="AG268" s="15"/>
      <c r="AH268" s="15"/>
    </row>
    <row r="269" ht="16.5" customHeight="1">
      <c r="A269" s="15"/>
      <c r="B269" s="15"/>
      <c r="C269" s="21"/>
      <c r="D269" s="15"/>
      <c r="E269" s="15"/>
      <c r="F269" s="15"/>
      <c r="G269" s="387"/>
      <c r="H269" s="15"/>
      <c r="I269" s="11"/>
      <c r="J269" s="11"/>
      <c r="K269" s="11"/>
      <c r="L269" s="11"/>
      <c r="M269" s="15"/>
      <c r="N269" s="15"/>
      <c r="O269" s="15"/>
      <c r="P269" s="15"/>
      <c r="Q269" s="15"/>
      <c r="R269" s="15"/>
      <c r="S269" s="15"/>
      <c r="T269" s="15"/>
      <c r="U269" s="15"/>
      <c r="V269" s="15"/>
      <c r="W269" s="15"/>
      <c r="X269" s="15"/>
      <c r="Y269" s="15"/>
      <c r="Z269" s="15"/>
      <c r="AA269" s="15"/>
      <c r="AB269" s="15"/>
      <c r="AC269" s="15"/>
      <c r="AD269" s="15"/>
      <c r="AE269" s="15"/>
      <c r="AF269" s="15"/>
      <c r="AG269" s="15"/>
      <c r="AH269" s="15"/>
    </row>
    <row r="270" ht="16.5" customHeight="1">
      <c r="A270" s="15"/>
      <c r="B270" s="15"/>
      <c r="C270" s="21"/>
      <c r="D270" s="15"/>
      <c r="E270" s="15"/>
      <c r="F270" s="15"/>
      <c r="G270" s="387"/>
      <c r="H270" s="15"/>
      <c r="I270" s="11"/>
      <c r="J270" s="11"/>
      <c r="K270" s="11"/>
      <c r="L270" s="11"/>
      <c r="M270" s="15"/>
      <c r="N270" s="15"/>
      <c r="O270" s="15"/>
      <c r="P270" s="15"/>
      <c r="Q270" s="15"/>
      <c r="R270" s="15"/>
      <c r="S270" s="15"/>
      <c r="T270" s="15"/>
      <c r="U270" s="15"/>
      <c r="V270" s="15"/>
      <c r="W270" s="15"/>
      <c r="X270" s="15"/>
      <c r="Y270" s="15"/>
      <c r="Z270" s="15"/>
      <c r="AA270" s="15"/>
      <c r="AB270" s="15"/>
      <c r="AC270" s="15"/>
      <c r="AD270" s="15"/>
      <c r="AE270" s="15"/>
      <c r="AF270" s="15"/>
      <c r="AG270" s="15"/>
      <c r="AH270" s="15"/>
    </row>
    <row r="271" ht="16.5" customHeight="1">
      <c r="A271" s="15"/>
      <c r="B271" s="15"/>
      <c r="C271" s="21"/>
      <c r="D271" s="15"/>
      <c r="E271" s="15"/>
      <c r="F271" s="15"/>
      <c r="G271" s="387"/>
      <c r="H271" s="15"/>
      <c r="I271" s="11"/>
      <c r="J271" s="11"/>
      <c r="K271" s="11"/>
      <c r="L271" s="11"/>
      <c r="M271" s="15"/>
      <c r="N271" s="15"/>
      <c r="O271" s="15"/>
      <c r="P271" s="15"/>
      <c r="Q271" s="15"/>
      <c r="R271" s="15"/>
      <c r="S271" s="15"/>
      <c r="T271" s="15"/>
      <c r="U271" s="15"/>
      <c r="V271" s="15"/>
      <c r="W271" s="15"/>
      <c r="X271" s="15"/>
      <c r="Y271" s="15"/>
      <c r="Z271" s="15"/>
      <c r="AA271" s="15"/>
      <c r="AB271" s="15"/>
      <c r="AC271" s="15"/>
      <c r="AD271" s="15"/>
      <c r="AE271" s="15"/>
      <c r="AF271" s="15"/>
      <c r="AG271" s="15"/>
      <c r="AH271" s="15"/>
    </row>
    <row r="272" ht="16.5" customHeight="1">
      <c r="A272" s="15"/>
      <c r="B272" s="15"/>
      <c r="C272" s="21"/>
      <c r="D272" s="15"/>
      <c r="E272" s="15"/>
      <c r="F272" s="15"/>
      <c r="G272" s="387"/>
      <c r="H272" s="15"/>
      <c r="I272" s="11"/>
      <c r="J272" s="11"/>
      <c r="K272" s="11"/>
      <c r="L272" s="11"/>
      <c r="M272" s="15"/>
      <c r="N272" s="15"/>
      <c r="O272" s="15"/>
      <c r="P272" s="15"/>
      <c r="Q272" s="15"/>
      <c r="R272" s="15"/>
      <c r="S272" s="15"/>
      <c r="T272" s="15"/>
      <c r="U272" s="15"/>
      <c r="V272" s="15"/>
      <c r="W272" s="15"/>
      <c r="X272" s="15"/>
      <c r="Y272" s="15"/>
      <c r="Z272" s="15"/>
      <c r="AA272" s="15"/>
      <c r="AB272" s="15"/>
      <c r="AC272" s="15"/>
      <c r="AD272" s="15"/>
      <c r="AE272" s="15"/>
      <c r="AF272" s="15"/>
      <c r="AG272" s="15"/>
      <c r="AH272" s="15"/>
    </row>
    <row r="273" ht="16.5" customHeight="1">
      <c r="A273" s="15"/>
      <c r="B273" s="15"/>
      <c r="C273" s="21"/>
      <c r="D273" s="15"/>
      <c r="E273" s="15"/>
      <c r="F273" s="15"/>
      <c r="G273" s="387"/>
      <c r="H273" s="15"/>
      <c r="I273" s="11"/>
      <c r="J273" s="11"/>
      <c r="K273" s="11"/>
      <c r="L273" s="11"/>
      <c r="M273" s="15"/>
      <c r="N273" s="15"/>
      <c r="O273" s="15"/>
      <c r="P273" s="15"/>
      <c r="Q273" s="15"/>
      <c r="R273" s="15"/>
      <c r="S273" s="15"/>
      <c r="T273" s="15"/>
      <c r="U273" s="15"/>
      <c r="V273" s="15"/>
      <c r="W273" s="15"/>
      <c r="X273" s="15"/>
      <c r="Y273" s="15"/>
      <c r="Z273" s="15"/>
      <c r="AA273" s="15"/>
      <c r="AB273" s="15"/>
      <c r="AC273" s="15"/>
      <c r="AD273" s="15"/>
      <c r="AE273" s="15"/>
      <c r="AF273" s="15"/>
      <c r="AG273" s="15"/>
      <c r="AH273" s="15"/>
    </row>
    <row r="274" ht="16.5" customHeight="1">
      <c r="A274" s="15"/>
      <c r="B274" s="15"/>
      <c r="C274" s="21"/>
      <c r="D274" s="15"/>
      <c r="E274" s="15"/>
      <c r="F274" s="15"/>
      <c r="G274" s="387"/>
      <c r="H274" s="15"/>
      <c r="I274" s="11"/>
      <c r="J274" s="11"/>
      <c r="K274" s="11"/>
      <c r="L274" s="11"/>
      <c r="M274" s="15"/>
      <c r="N274" s="15"/>
      <c r="O274" s="15"/>
      <c r="P274" s="15"/>
      <c r="Q274" s="15"/>
      <c r="R274" s="15"/>
      <c r="S274" s="15"/>
      <c r="T274" s="15"/>
      <c r="U274" s="15"/>
      <c r="V274" s="15"/>
      <c r="W274" s="15"/>
      <c r="X274" s="15"/>
      <c r="Y274" s="15"/>
      <c r="Z274" s="15"/>
      <c r="AA274" s="15"/>
      <c r="AB274" s="15"/>
      <c r="AC274" s="15"/>
      <c r="AD274" s="15"/>
      <c r="AE274" s="15"/>
      <c r="AF274" s="15"/>
      <c r="AG274" s="15"/>
      <c r="AH274" s="15"/>
    </row>
    <row r="275" ht="16.5" customHeight="1">
      <c r="A275" s="15"/>
      <c r="B275" s="15"/>
      <c r="C275" s="21"/>
      <c r="D275" s="15"/>
      <c r="E275" s="15"/>
      <c r="F275" s="15"/>
      <c r="G275" s="387"/>
      <c r="H275" s="15"/>
      <c r="I275" s="11"/>
      <c r="J275" s="11"/>
      <c r="K275" s="11"/>
      <c r="L275" s="11"/>
      <c r="M275" s="15"/>
      <c r="N275" s="15"/>
      <c r="O275" s="15"/>
      <c r="P275" s="15"/>
      <c r="Q275" s="15"/>
      <c r="R275" s="15"/>
      <c r="S275" s="15"/>
      <c r="T275" s="15"/>
      <c r="U275" s="15"/>
      <c r="V275" s="15"/>
      <c r="W275" s="15"/>
      <c r="X275" s="15"/>
      <c r="Y275" s="15"/>
      <c r="Z275" s="15"/>
      <c r="AA275" s="15"/>
      <c r="AB275" s="15"/>
      <c r="AC275" s="15"/>
      <c r="AD275" s="15"/>
      <c r="AE275" s="15"/>
      <c r="AF275" s="15"/>
      <c r="AG275" s="15"/>
      <c r="AH275" s="15"/>
    </row>
    <row r="276" ht="16.5" customHeight="1">
      <c r="A276" s="15"/>
      <c r="B276" s="15"/>
      <c r="C276" s="21"/>
      <c r="D276" s="15"/>
      <c r="E276" s="15"/>
      <c r="F276" s="15"/>
      <c r="G276" s="387"/>
      <c r="H276" s="15"/>
      <c r="I276" s="11"/>
      <c r="J276" s="11"/>
      <c r="K276" s="11"/>
      <c r="L276" s="11"/>
      <c r="M276" s="15"/>
      <c r="N276" s="15"/>
      <c r="O276" s="15"/>
      <c r="P276" s="15"/>
      <c r="Q276" s="15"/>
      <c r="R276" s="15"/>
      <c r="S276" s="15"/>
      <c r="T276" s="15"/>
      <c r="U276" s="15"/>
      <c r="V276" s="15"/>
      <c r="W276" s="15"/>
      <c r="X276" s="15"/>
      <c r="Y276" s="15"/>
      <c r="Z276" s="15"/>
      <c r="AA276" s="15"/>
      <c r="AB276" s="15"/>
      <c r="AC276" s="15"/>
      <c r="AD276" s="15"/>
      <c r="AE276" s="15"/>
      <c r="AF276" s="15"/>
      <c r="AG276" s="15"/>
      <c r="AH276" s="15"/>
    </row>
    <row r="277" ht="16.5" customHeight="1">
      <c r="A277" s="15"/>
      <c r="B277" s="15"/>
      <c r="C277" s="21"/>
      <c r="D277" s="15"/>
      <c r="E277" s="15"/>
      <c r="F277" s="15"/>
      <c r="G277" s="387"/>
      <c r="H277" s="15"/>
      <c r="I277" s="11"/>
      <c r="J277" s="11"/>
      <c r="K277" s="11"/>
      <c r="L277" s="11"/>
      <c r="M277" s="15"/>
      <c r="N277" s="15"/>
      <c r="O277" s="15"/>
      <c r="P277" s="15"/>
      <c r="Q277" s="15"/>
      <c r="R277" s="15"/>
      <c r="S277" s="15"/>
      <c r="T277" s="15"/>
      <c r="U277" s="15"/>
      <c r="V277" s="15"/>
      <c r="W277" s="15"/>
      <c r="X277" s="15"/>
      <c r="Y277" s="15"/>
      <c r="Z277" s="15"/>
      <c r="AA277" s="15"/>
      <c r="AB277" s="15"/>
      <c r="AC277" s="15"/>
      <c r="AD277" s="15"/>
      <c r="AE277" s="15"/>
      <c r="AF277" s="15"/>
      <c r="AG277" s="15"/>
      <c r="AH277" s="15"/>
    </row>
    <row r="278" ht="16.5" customHeight="1">
      <c r="A278" s="15"/>
      <c r="B278" s="15"/>
      <c r="C278" s="21"/>
      <c r="D278" s="15"/>
      <c r="E278" s="15"/>
      <c r="F278" s="15"/>
      <c r="G278" s="387"/>
      <c r="H278" s="15"/>
      <c r="I278" s="11"/>
      <c r="J278" s="11"/>
      <c r="K278" s="11"/>
      <c r="L278" s="11"/>
      <c r="M278" s="15"/>
      <c r="N278" s="15"/>
      <c r="O278" s="15"/>
      <c r="P278" s="15"/>
      <c r="Q278" s="15"/>
      <c r="R278" s="15"/>
      <c r="S278" s="15"/>
      <c r="T278" s="15"/>
      <c r="U278" s="15"/>
      <c r="V278" s="15"/>
      <c r="W278" s="15"/>
      <c r="X278" s="15"/>
      <c r="Y278" s="15"/>
      <c r="Z278" s="15"/>
      <c r="AA278" s="15"/>
      <c r="AB278" s="15"/>
      <c r="AC278" s="15"/>
      <c r="AD278" s="15"/>
      <c r="AE278" s="15"/>
      <c r="AF278" s="15"/>
      <c r="AG278" s="15"/>
      <c r="AH278" s="15"/>
    </row>
    <row r="279" ht="16.5" customHeight="1">
      <c r="A279" s="15"/>
      <c r="B279" s="15"/>
      <c r="C279" s="21"/>
      <c r="D279" s="15"/>
      <c r="E279" s="15"/>
      <c r="F279" s="15"/>
      <c r="G279" s="387"/>
      <c r="H279" s="15"/>
      <c r="I279" s="11"/>
      <c r="J279" s="11"/>
      <c r="K279" s="11"/>
      <c r="L279" s="11"/>
      <c r="M279" s="15"/>
      <c r="N279" s="15"/>
      <c r="O279" s="15"/>
      <c r="P279" s="15"/>
      <c r="Q279" s="15"/>
      <c r="R279" s="15"/>
      <c r="S279" s="15"/>
      <c r="T279" s="15"/>
      <c r="U279" s="15"/>
      <c r="V279" s="15"/>
      <c r="W279" s="15"/>
      <c r="X279" s="15"/>
      <c r="Y279" s="15"/>
      <c r="Z279" s="15"/>
      <c r="AA279" s="15"/>
      <c r="AB279" s="15"/>
      <c r="AC279" s="15"/>
      <c r="AD279" s="15"/>
      <c r="AE279" s="15"/>
      <c r="AF279" s="15"/>
      <c r="AG279" s="15"/>
      <c r="AH279" s="15"/>
    </row>
    <row r="280" ht="16.5" customHeight="1">
      <c r="A280" s="15"/>
      <c r="B280" s="15"/>
      <c r="C280" s="21"/>
      <c r="D280" s="15"/>
      <c r="E280" s="15"/>
      <c r="F280" s="15"/>
      <c r="G280" s="387"/>
      <c r="H280" s="15"/>
      <c r="I280" s="11"/>
      <c r="J280" s="11"/>
      <c r="K280" s="11"/>
      <c r="L280" s="11"/>
      <c r="M280" s="15"/>
      <c r="N280" s="15"/>
      <c r="O280" s="15"/>
      <c r="P280" s="15"/>
      <c r="Q280" s="15"/>
      <c r="R280" s="15"/>
      <c r="S280" s="15"/>
      <c r="T280" s="15"/>
      <c r="U280" s="15"/>
      <c r="V280" s="15"/>
      <c r="W280" s="15"/>
      <c r="X280" s="15"/>
      <c r="Y280" s="15"/>
      <c r="Z280" s="15"/>
      <c r="AA280" s="15"/>
      <c r="AB280" s="15"/>
      <c r="AC280" s="15"/>
      <c r="AD280" s="15"/>
      <c r="AE280" s="15"/>
      <c r="AF280" s="15"/>
      <c r="AG280" s="15"/>
      <c r="AH280" s="15"/>
    </row>
    <row r="281" ht="16.5" customHeight="1">
      <c r="A281" s="15"/>
      <c r="B281" s="15"/>
      <c r="C281" s="21"/>
      <c r="D281" s="15"/>
      <c r="E281" s="15"/>
      <c r="F281" s="15"/>
      <c r="G281" s="387"/>
      <c r="H281" s="15"/>
      <c r="I281" s="11"/>
      <c r="J281" s="11"/>
      <c r="K281" s="11"/>
      <c r="L281" s="11"/>
      <c r="M281" s="15"/>
      <c r="N281" s="15"/>
      <c r="O281" s="15"/>
      <c r="P281" s="15"/>
      <c r="Q281" s="15"/>
      <c r="R281" s="15"/>
      <c r="S281" s="15"/>
      <c r="T281" s="15"/>
      <c r="U281" s="15"/>
      <c r="V281" s="15"/>
      <c r="W281" s="15"/>
      <c r="X281" s="15"/>
      <c r="Y281" s="15"/>
      <c r="Z281" s="15"/>
      <c r="AA281" s="15"/>
      <c r="AB281" s="15"/>
      <c r="AC281" s="15"/>
      <c r="AD281" s="15"/>
      <c r="AE281" s="15"/>
      <c r="AF281" s="15"/>
      <c r="AG281" s="15"/>
      <c r="AH281" s="15"/>
    </row>
    <row r="282" ht="16.5" customHeight="1">
      <c r="A282" s="15"/>
      <c r="B282" s="15"/>
      <c r="C282" s="21"/>
      <c r="D282" s="15"/>
      <c r="E282" s="15"/>
      <c r="F282" s="15"/>
      <c r="G282" s="387"/>
      <c r="H282" s="15"/>
      <c r="I282" s="11"/>
      <c r="J282" s="11"/>
      <c r="K282" s="11"/>
      <c r="L282" s="11"/>
      <c r="M282" s="15"/>
      <c r="N282" s="15"/>
      <c r="O282" s="15"/>
      <c r="P282" s="15"/>
      <c r="Q282" s="15"/>
      <c r="R282" s="15"/>
      <c r="S282" s="15"/>
      <c r="T282" s="15"/>
      <c r="U282" s="15"/>
      <c r="V282" s="15"/>
      <c r="W282" s="15"/>
      <c r="X282" s="15"/>
      <c r="Y282" s="15"/>
      <c r="Z282" s="15"/>
      <c r="AA282" s="15"/>
      <c r="AB282" s="15"/>
      <c r="AC282" s="15"/>
      <c r="AD282" s="15"/>
      <c r="AE282" s="15"/>
      <c r="AF282" s="15"/>
      <c r="AG282" s="15"/>
      <c r="AH282" s="15"/>
    </row>
    <row r="283" ht="16.5" customHeight="1">
      <c r="A283" s="15"/>
      <c r="B283" s="15"/>
      <c r="C283" s="21"/>
      <c r="D283" s="15"/>
      <c r="E283" s="15"/>
      <c r="F283" s="15"/>
      <c r="G283" s="387"/>
      <c r="H283" s="15"/>
      <c r="I283" s="11"/>
      <c r="J283" s="11"/>
      <c r="K283" s="11"/>
      <c r="L283" s="11"/>
      <c r="M283" s="15"/>
      <c r="N283" s="15"/>
      <c r="O283" s="15"/>
      <c r="P283" s="15"/>
      <c r="Q283" s="15"/>
      <c r="R283" s="15"/>
      <c r="S283" s="15"/>
      <c r="T283" s="15"/>
      <c r="U283" s="15"/>
      <c r="V283" s="15"/>
      <c r="W283" s="15"/>
      <c r="X283" s="15"/>
      <c r="Y283" s="15"/>
      <c r="Z283" s="15"/>
      <c r="AA283" s="15"/>
      <c r="AB283" s="15"/>
      <c r="AC283" s="15"/>
      <c r="AD283" s="15"/>
      <c r="AE283" s="15"/>
      <c r="AF283" s="15"/>
      <c r="AG283" s="15"/>
      <c r="AH283" s="15"/>
    </row>
    <row r="284" ht="16.5" customHeight="1">
      <c r="A284" s="15"/>
      <c r="B284" s="15"/>
      <c r="C284" s="21"/>
      <c r="D284" s="15"/>
      <c r="E284" s="15"/>
      <c r="F284" s="15"/>
      <c r="G284" s="387"/>
      <c r="H284" s="15"/>
      <c r="I284" s="11"/>
      <c r="J284" s="11"/>
      <c r="K284" s="11"/>
      <c r="L284" s="11"/>
      <c r="M284" s="15"/>
      <c r="N284" s="15"/>
      <c r="O284" s="15"/>
      <c r="P284" s="15"/>
      <c r="Q284" s="15"/>
      <c r="R284" s="15"/>
      <c r="S284" s="15"/>
      <c r="T284" s="15"/>
      <c r="U284" s="15"/>
      <c r="V284" s="15"/>
      <c r="W284" s="15"/>
      <c r="X284" s="15"/>
      <c r="Y284" s="15"/>
      <c r="Z284" s="15"/>
      <c r="AA284" s="15"/>
      <c r="AB284" s="15"/>
      <c r="AC284" s="15"/>
      <c r="AD284" s="15"/>
      <c r="AE284" s="15"/>
      <c r="AF284" s="15"/>
      <c r="AG284" s="15"/>
      <c r="AH284" s="15"/>
    </row>
    <row r="285" ht="16.5" customHeight="1">
      <c r="A285" s="15"/>
      <c r="B285" s="15"/>
      <c r="C285" s="21"/>
      <c r="D285" s="15"/>
      <c r="E285" s="15"/>
      <c r="F285" s="15"/>
      <c r="G285" s="387"/>
      <c r="H285" s="15"/>
      <c r="I285" s="11"/>
      <c r="J285" s="11"/>
      <c r="K285" s="11"/>
      <c r="L285" s="11"/>
      <c r="M285" s="15"/>
      <c r="N285" s="15"/>
      <c r="O285" s="15"/>
      <c r="P285" s="15"/>
      <c r="Q285" s="15"/>
      <c r="R285" s="15"/>
      <c r="S285" s="15"/>
      <c r="T285" s="15"/>
      <c r="U285" s="15"/>
      <c r="V285" s="15"/>
      <c r="W285" s="15"/>
      <c r="X285" s="15"/>
      <c r="Y285" s="15"/>
      <c r="Z285" s="15"/>
      <c r="AA285" s="15"/>
      <c r="AB285" s="15"/>
      <c r="AC285" s="15"/>
      <c r="AD285" s="15"/>
      <c r="AE285" s="15"/>
      <c r="AF285" s="15"/>
      <c r="AG285" s="15"/>
      <c r="AH285" s="15"/>
    </row>
    <row r="286" ht="16.5" customHeight="1">
      <c r="A286" s="15"/>
      <c r="B286" s="15"/>
      <c r="C286" s="21"/>
      <c r="D286" s="15"/>
      <c r="E286" s="15"/>
      <c r="F286" s="15"/>
      <c r="G286" s="387"/>
      <c r="H286" s="15"/>
      <c r="I286" s="11"/>
      <c r="J286" s="11"/>
      <c r="K286" s="11"/>
      <c r="L286" s="11"/>
      <c r="M286" s="15"/>
      <c r="N286" s="15"/>
      <c r="O286" s="15"/>
      <c r="P286" s="15"/>
      <c r="Q286" s="15"/>
      <c r="R286" s="15"/>
      <c r="S286" s="15"/>
      <c r="T286" s="15"/>
      <c r="U286" s="15"/>
      <c r="V286" s="15"/>
      <c r="W286" s="15"/>
      <c r="X286" s="15"/>
      <c r="Y286" s="15"/>
      <c r="Z286" s="15"/>
      <c r="AA286" s="15"/>
      <c r="AB286" s="15"/>
      <c r="AC286" s="15"/>
      <c r="AD286" s="15"/>
      <c r="AE286" s="15"/>
      <c r="AF286" s="15"/>
      <c r="AG286" s="15"/>
      <c r="AH286" s="15"/>
    </row>
    <row r="287" ht="16.5" customHeight="1">
      <c r="A287" s="15"/>
      <c r="B287" s="15"/>
      <c r="C287" s="21"/>
      <c r="D287" s="15"/>
      <c r="E287" s="15"/>
      <c r="F287" s="15"/>
      <c r="G287" s="387"/>
      <c r="H287" s="15"/>
      <c r="I287" s="11"/>
      <c r="J287" s="11"/>
      <c r="K287" s="11"/>
      <c r="L287" s="11"/>
      <c r="M287" s="15"/>
      <c r="N287" s="15"/>
      <c r="O287" s="15"/>
      <c r="P287" s="15"/>
      <c r="Q287" s="15"/>
      <c r="R287" s="15"/>
      <c r="S287" s="15"/>
      <c r="T287" s="15"/>
      <c r="U287" s="15"/>
      <c r="V287" s="15"/>
      <c r="W287" s="15"/>
      <c r="X287" s="15"/>
      <c r="Y287" s="15"/>
      <c r="Z287" s="15"/>
      <c r="AA287" s="15"/>
      <c r="AB287" s="15"/>
      <c r="AC287" s="15"/>
      <c r="AD287" s="15"/>
      <c r="AE287" s="15"/>
      <c r="AF287" s="15"/>
      <c r="AG287" s="15"/>
      <c r="AH287" s="15"/>
    </row>
    <row r="288" ht="16.5" customHeight="1">
      <c r="A288" s="15"/>
      <c r="B288" s="15"/>
      <c r="C288" s="21"/>
      <c r="D288" s="15"/>
      <c r="E288" s="15"/>
      <c r="F288" s="15"/>
      <c r="G288" s="387"/>
      <c r="H288" s="15"/>
      <c r="I288" s="11"/>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c r="AG288" s="15"/>
      <c r="AH288" s="15"/>
    </row>
    <row r="289" ht="16.5" customHeight="1">
      <c r="A289" s="15"/>
      <c r="B289" s="15"/>
      <c r="C289" s="21"/>
      <c r="D289" s="15"/>
      <c r="E289" s="15"/>
      <c r="F289" s="15"/>
      <c r="G289" s="387"/>
      <c r="H289" s="15"/>
      <c r="I289" s="11"/>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c r="AG289" s="15"/>
      <c r="AH289" s="15"/>
    </row>
    <row r="290" ht="16.5" customHeight="1">
      <c r="A290" s="15"/>
      <c r="B290" s="15"/>
      <c r="C290" s="21"/>
      <c r="D290" s="15"/>
      <c r="E290" s="15"/>
      <c r="F290" s="15"/>
      <c r="G290" s="387"/>
      <c r="H290" s="15"/>
      <c r="I290" s="11"/>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c r="AG290" s="15"/>
      <c r="AH290" s="15"/>
    </row>
    <row r="291" ht="16.5" customHeight="1">
      <c r="A291" s="15"/>
      <c r="B291" s="15"/>
      <c r="C291" s="21"/>
      <c r="D291" s="15"/>
      <c r="E291" s="15"/>
      <c r="F291" s="15"/>
      <c r="G291" s="387"/>
      <c r="H291" s="15"/>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c r="AG291" s="15"/>
      <c r="AH291" s="15"/>
    </row>
    <row r="292" ht="16.5" customHeight="1">
      <c r="A292" s="15"/>
      <c r="B292" s="15"/>
      <c r="C292" s="21"/>
      <c r="D292" s="15"/>
      <c r="E292" s="15"/>
      <c r="F292" s="15"/>
      <c r="G292" s="387"/>
      <c r="H292" s="15"/>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c r="AG292" s="15"/>
      <c r="AH292" s="15"/>
    </row>
    <row r="293" ht="16.5" customHeight="1">
      <c r="A293" s="15"/>
      <c r="B293" s="15"/>
      <c r="C293" s="21"/>
      <c r="D293" s="15"/>
      <c r="E293" s="15"/>
      <c r="F293" s="15"/>
      <c r="G293" s="387"/>
      <c r="H293" s="15"/>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c r="AG293" s="15"/>
      <c r="AH293" s="15"/>
    </row>
    <row r="294" ht="16.5" customHeight="1">
      <c r="A294" s="15"/>
      <c r="B294" s="15"/>
      <c r="C294" s="21"/>
      <c r="D294" s="15"/>
      <c r="E294" s="15"/>
      <c r="F294" s="15"/>
      <c r="G294" s="387"/>
      <c r="H294" s="15"/>
      <c r="I294" s="11"/>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c r="AG294" s="15"/>
      <c r="AH294" s="15"/>
    </row>
    <row r="295" ht="16.5" customHeight="1">
      <c r="A295" s="15"/>
      <c r="B295" s="15"/>
      <c r="C295" s="21"/>
      <c r="D295" s="15"/>
      <c r="E295" s="15"/>
      <c r="F295" s="15"/>
      <c r="G295" s="387"/>
      <c r="H295" s="15"/>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c r="AG295" s="15"/>
      <c r="AH295" s="15"/>
    </row>
    <row r="296" ht="16.5" customHeight="1">
      <c r="A296" s="15"/>
      <c r="B296" s="15"/>
      <c r="C296" s="21"/>
      <c r="D296" s="15"/>
      <c r="E296" s="15"/>
      <c r="F296" s="15"/>
      <c r="G296" s="387"/>
      <c r="H296" s="15"/>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c r="AG296" s="15"/>
      <c r="AH296" s="15"/>
    </row>
    <row r="297" ht="16.5" customHeight="1">
      <c r="A297" s="15"/>
      <c r="B297" s="15"/>
      <c r="C297" s="21"/>
      <c r="D297" s="15"/>
      <c r="E297" s="15"/>
      <c r="F297" s="15"/>
      <c r="G297" s="387"/>
      <c r="H297" s="15"/>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c r="AG297" s="15"/>
      <c r="AH297" s="15"/>
    </row>
    <row r="298" ht="16.5" customHeight="1">
      <c r="A298" s="15"/>
      <c r="B298" s="15"/>
      <c r="C298" s="21"/>
      <c r="D298" s="15"/>
      <c r="E298" s="15"/>
      <c r="F298" s="15"/>
      <c r="G298" s="387"/>
      <c r="H298" s="15"/>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c r="AG298" s="15"/>
      <c r="AH298" s="15"/>
    </row>
    <row r="299" ht="16.5" customHeight="1">
      <c r="A299" s="15"/>
      <c r="B299" s="15"/>
      <c r="C299" s="21"/>
      <c r="D299" s="15"/>
      <c r="E299" s="15"/>
      <c r="F299" s="15"/>
      <c r="G299" s="387"/>
      <c r="H299" s="15"/>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c r="AG299" s="15"/>
      <c r="AH299" s="15"/>
    </row>
    <row r="300" ht="16.5" customHeight="1">
      <c r="A300" s="15"/>
      <c r="B300" s="15"/>
      <c r="C300" s="21"/>
      <c r="D300" s="15"/>
      <c r="E300" s="15"/>
      <c r="F300" s="15"/>
      <c r="G300" s="387"/>
      <c r="H300" s="15"/>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c r="AG300" s="15"/>
      <c r="AH300" s="15"/>
    </row>
    <row r="301" ht="16.5" customHeight="1">
      <c r="A301" s="15"/>
      <c r="B301" s="15"/>
      <c r="C301" s="21"/>
      <c r="D301" s="15"/>
      <c r="E301" s="15"/>
      <c r="F301" s="15"/>
      <c r="G301" s="387"/>
      <c r="H301" s="15"/>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c r="AG301" s="15"/>
      <c r="AH301" s="15"/>
    </row>
    <row r="302" ht="16.5" customHeight="1">
      <c r="A302" s="15"/>
      <c r="B302" s="15"/>
      <c r="C302" s="21"/>
      <c r="D302" s="15"/>
      <c r="E302" s="15"/>
      <c r="F302" s="15"/>
      <c r="G302" s="387"/>
      <c r="H302" s="15"/>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c r="AG302" s="15"/>
      <c r="AH302" s="15"/>
    </row>
    <row r="303" ht="16.5" customHeight="1">
      <c r="A303" s="15"/>
      <c r="B303" s="15"/>
      <c r="C303" s="21"/>
      <c r="D303" s="15"/>
      <c r="E303" s="15"/>
      <c r="F303" s="15"/>
      <c r="G303" s="387"/>
      <c r="H303" s="15"/>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c r="AG303" s="15"/>
      <c r="AH303" s="15"/>
    </row>
    <row r="304" ht="16.5" customHeight="1">
      <c r="A304" s="15"/>
      <c r="B304" s="15"/>
      <c r="C304" s="21"/>
      <c r="D304" s="15"/>
      <c r="E304" s="15"/>
      <c r="F304" s="15"/>
      <c r="G304" s="387"/>
      <c r="H304" s="1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c r="AG304" s="15"/>
      <c r="AH304" s="15"/>
    </row>
    <row r="305" ht="16.5" customHeight="1">
      <c r="A305" s="15"/>
      <c r="B305" s="15"/>
      <c r="C305" s="21"/>
      <c r="D305" s="15"/>
      <c r="E305" s="15"/>
      <c r="F305" s="15"/>
      <c r="G305" s="387"/>
      <c r="H305" s="1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c r="AG305" s="15"/>
      <c r="AH305" s="15"/>
    </row>
    <row r="306" ht="16.5" customHeight="1">
      <c r="A306" s="15"/>
      <c r="B306" s="15"/>
      <c r="C306" s="21"/>
      <c r="D306" s="15"/>
      <c r="E306" s="15"/>
      <c r="F306" s="15"/>
      <c r="G306" s="387"/>
      <c r="H306" s="15"/>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c r="AG306" s="15"/>
      <c r="AH306" s="15"/>
    </row>
    <row r="307" ht="16.5" customHeight="1">
      <c r="A307" s="15"/>
      <c r="B307" s="15"/>
      <c r="C307" s="21"/>
      <c r="D307" s="15"/>
      <c r="E307" s="15"/>
      <c r="F307" s="15"/>
      <c r="G307" s="387"/>
      <c r="H307" s="15"/>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c r="AG307" s="15"/>
      <c r="AH307" s="15"/>
    </row>
    <row r="308" ht="16.5" customHeight="1">
      <c r="A308" s="15"/>
      <c r="B308" s="15"/>
      <c r="C308" s="21"/>
      <c r="D308" s="15"/>
      <c r="E308" s="15"/>
      <c r="F308" s="15"/>
      <c r="G308" s="387"/>
      <c r="H308" s="15"/>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c r="AG308" s="15"/>
      <c r="AH308" s="15"/>
    </row>
    <row r="309" ht="16.5" customHeight="1">
      <c r="A309" s="15"/>
      <c r="B309" s="15"/>
      <c r="C309" s="21"/>
      <c r="D309" s="15"/>
      <c r="E309" s="15"/>
      <c r="F309" s="15"/>
      <c r="G309" s="387"/>
      <c r="H309" s="15"/>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c r="AG309" s="15"/>
      <c r="AH309" s="15"/>
    </row>
    <row r="310" ht="16.5" customHeight="1">
      <c r="A310" s="15"/>
      <c r="B310" s="15"/>
      <c r="C310" s="21"/>
      <c r="D310" s="15"/>
      <c r="E310" s="15"/>
      <c r="F310" s="15"/>
      <c r="G310" s="387"/>
      <c r="H310" s="15"/>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c r="AG310" s="15"/>
      <c r="AH310" s="15"/>
    </row>
    <row r="311" ht="16.5" customHeight="1">
      <c r="A311" s="15"/>
      <c r="B311" s="15"/>
      <c r="C311" s="21"/>
      <c r="D311" s="15"/>
      <c r="E311" s="15"/>
      <c r="F311" s="15"/>
      <c r="G311" s="387"/>
      <c r="H311" s="15"/>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c r="AG311" s="15"/>
      <c r="AH311" s="15"/>
    </row>
    <row r="312" ht="16.5" customHeight="1">
      <c r="A312" s="15"/>
      <c r="B312" s="15"/>
      <c r="C312" s="21"/>
      <c r="D312" s="15"/>
      <c r="E312" s="15"/>
      <c r="F312" s="15"/>
      <c r="G312" s="387"/>
      <c r="H312" s="15"/>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c r="AG312" s="15"/>
      <c r="AH312" s="15"/>
    </row>
    <row r="313" ht="16.5" customHeight="1">
      <c r="A313" s="15"/>
      <c r="B313" s="15"/>
      <c r="C313" s="21"/>
      <c r="D313" s="15"/>
      <c r="E313" s="15"/>
      <c r="F313" s="15"/>
      <c r="G313" s="387"/>
      <c r="H313" s="15"/>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c r="AG313" s="15"/>
      <c r="AH313" s="15"/>
    </row>
    <row r="314" ht="16.5" customHeight="1">
      <c r="A314" s="15"/>
      <c r="B314" s="15"/>
      <c r="C314" s="21"/>
      <c r="D314" s="15"/>
      <c r="E314" s="15"/>
      <c r="F314" s="15"/>
      <c r="G314" s="387"/>
      <c r="H314" s="15"/>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c r="AG314" s="15"/>
      <c r="AH314" s="15"/>
    </row>
    <row r="315" ht="16.5" customHeight="1">
      <c r="A315" s="15"/>
      <c r="B315" s="15"/>
      <c r="C315" s="21"/>
      <c r="D315" s="15"/>
      <c r="E315" s="15"/>
      <c r="F315" s="15"/>
      <c r="G315" s="387"/>
      <c r="H315" s="15"/>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c r="AG315" s="15"/>
      <c r="AH315" s="15"/>
    </row>
    <row r="316" ht="16.5" customHeight="1">
      <c r="A316" s="15"/>
      <c r="B316" s="15"/>
      <c r="C316" s="21"/>
      <c r="D316" s="15"/>
      <c r="E316" s="15"/>
      <c r="F316" s="15"/>
      <c r="G316" s="387"/>
      <c r="H316" s="15"/>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c r="AG316" s="15"/>
      <c r="AH316" s="15"/>
    </row>
    <row r="317" ht="16.5" customHeight="1">
      <c r="A317" s="15"/>
      <c r="B317" s="15"/>
      <c r="C317" s="21"/>
      <c r="D317" s="15"/>
      <c r="E317" s="15"/>
      <c r="F317" s="15"/>
      <c r="G317" s="387"/>
      <c r="H317" s="15"/>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c r="AG317" s="15"/>
      <c r="AH317" s="15"/>
    </row>
    <row r="318" ht="16.5" customHeight="1">
      <c r="A318" s="15"/>
      <c r="B318" s="15"/>
      <c r="C318" s="21"/>
      <c r="D318" s="15"/>
      <c r="E318" s="15"/>
      <c r="F318" s="15"/>
      <c r="G318" s="387"/>
      <c r="H318" s="15"/>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c r="AG318" s="15"/>
      <c r="AH318" s="15"/>
    </row>
    <row r="319" ht="16.5" customHeight="1">
      <c r="A319" s="15"/>
      <c r="B319" s="15"/>
      <c r="C319" s="21"/>
      <c r="D319" s="15"/>
      <c r="E319" s="15"/>
      <c r="F319" s="15"/>
      <c r="G319" s="387"/>
      <c r="H319" s="15"/>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c r="AG319" s="15"/>
      <c r="AH319" s="15"/>
    </row>
    <row r="320" ht="16.5" customHeight="1">
      <c r="A320" s="15"/>
      <c r="B320" s="15"/>
      <c r="C320" s="21"/>
      <c r="D320" s="15"/>
      <c r="E320" s="15"/>
      <c r="F320" s="15"/>
      <c r="G320" s="387"/>
      <c r="H320" s="15"/>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c r="AG320" s="15"/>
      <c r="AH320" s="15"/>
    </row>
    <row r="321" ht="16.5" customHeight="1">
      <c r="A321" s="15"/>
      <c r="B321" s="15"/>
      <c r="C321" s="21"/>
      <c r="D321" s="15"/>
      <c r="E321" s="15"/>
      <c r="F321" s="15"/>
      <c r="G321" s="387"/>
      <c r="H321" s="1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c r="AG321" s="15"/>
      <c r="AH321" s="15"/>
    </row>
    <row r="322" ht="16.5" customHeight="1">
      <c r="A322" s="15"/>
      <c r="B322" s="15"/>
      <c r="C322" s="21"/>
      <c r="D322" s="15"/>
      <c r="E322" s="15"/>
      <c r="F322" s="15"/>
      <c r="G322" s="387"/>
      <c r="H322" s="1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c r="AG322" s="15"/>
      <c r="AH322" s="15"/>
    </row>
    <row r="323" ht="16.5" customHeight="1">
      <c r="A323" s="15"/>
      <c r="B323" s="15"/>
      <c r="C323" s="21"/>
      <c r="D323" s="15"/>
      <c r="E323" s="15"/>
      <c r="F323" s="15"/>
      <c r="G323" s="387"/>
      <c r="H323" s="1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c r="AG323" s="15"/>
      <c r="AH323" s="15"/>
    </row>
    <row r="324" ht="16.5" customHeight="1">
      <c r="A324" s="15"/>
      <c r="B324" s="15"/>
      <c r="C324" s="21"/>
      <c r="D324" s="15"/>
      <c r="E324" s="15"/>
      <c r="F324" s="15"/>
      <c r="G324" s="387"/>
      <c r="H324" s="15"/>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c r="AG324" s="15"/>
      <c r="AH324" s="15"/>
    </row>
    <row r="325" ht="16.5" customHeight="1">
      <c r="A325" s="15"/>
      <c r="B325" s="15"/>
      <c r="C325" s="21"/>
      <c r="D325" s="15"/>
      <c r="E325" s="15"/>
      <c r="F325" s="15"/>
      <c r="G325" s="387"/>
      <c r="H325" s="1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c r="AG325" s="15"/>
      <c r="AH325" s="15"/>
    </row>
    <row r="326" ht="16.5" customHeight="1">
      <c r="A326" s="15"/>
      <c r="B326" s="15"/>
      <c r="C326" s="21"/>
      <c r="D326" s="15"/>
      <c r="E326" s="15"/>
      <c r="F326" s="15"/>
      <c r="G326" s="387"/>
      <c r="H326" s="15"/>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c r="AG326" s="15"/>
      <c r="AH326" s="15"/>
    </row>
    <row r="327" ht="16.5" customHeight="1">
      <c r="A327" s="15"/>
      <c r="B327" s="15"/>
      <c r="C327" s="21"/>
      <c r="D327" s="15"/>
      <c r="E327" s="15"/>
      <c r="F327" s="15"/>
      <c r="G327" s="387"/>
      <c r="H327" s="15"/>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c r="AG327" s="15"/>
      <c r="AH327" s="15"/>
    </row>
    <row r="328" ht="16.5" customHeight="1">
      <c r="A328" s="15"/>
      <c r="B328" s="15"/>
      <c r="C328" s="21"/>
      <c r="D328" s="15"/>
      <c r="E328" s="15"/>
      <c r="F328" s="15"/>
      <c r="G328" s="387"/>
      <c r="H328" s="15"/>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c r="AG328" s="15"/>
      <c r="AH328" s="15"/>
    </row>
    <row r="329" ht="16.5" customHeight="1">
      <c r="A329" s="15"/>
      <c r="B329" s="15"/>
      <c r="C329" s="21"/>
      <c r="D329" s="15"/>
      <c r="E329" s="15"/>
      <c r="F329" s="15"/>
      <c r="G329" s="387"/>
      <c r="H329" s="15"/>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c r="AG329" s="15"/>
      <c r="AH329" s="15"/>
    </row>
    <row r="330" ht="16.5" customHeight="1">
      <c r="A330" s="15"/>
      <c r="B330" s="15"/>
      <c r="C330" s="21"/>
      <c r="D330" s="15"/>
      <c r="E330" s="15"/>
      <c r="F330" s="15"/>
      <c r="G330" s="387"/>
      <c r="H330" s="15"/>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c r="AG330" s="15"/>
      <c r="AH330" s="15"/>
    </row>
    <row r="331" ht="16.5" customHeight="1">
      <c r="A331" s="15"/>
      <c r="B331" s="15"/>
      <c r="C331" s="21"/>
      <c r="D331" s="15"/>
      <c r="E331" s="15"/>
      <c r="F331" s="15"/>
      <c r="G331" s="387"/>
      <c r="H331" s="15"/>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c r="AG331" s="15"/>
      <c r="AH331" s="15"/>
    </row>
    <row r="332" ht="16.5" customHeight="1">
      <c r="A332" s="15"/>
      <c r="B332" s="15"/>
      <c r="C332" s="21"/>
      <c r="D332" s="15"/>
      <c r="E332" s="15"/>
      <c r="F332" s="15"/>
      <c r="G332" s="387"/>
      <c r="H332" s="15"/>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c r="AG332" s="15"/>
      <c r="AH332" s="15"/>
    </row>
    <row r="333" ht="16.5" customHeight="1">
      <c r="A333" s="15"/>
      <c r="B333" s="15"/>
      <c r="C333" s="21"/>
      <c r="D333" s="15"/>
      <c r="E333" s="15"/>
      <c r="F333" s="15"/>
      <c r="G333" s="387"/>
      <c r="H333" s="15"/>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c r="AG333" s="15"/>
      <c r="AH333" s="15"/>
    </row>
    <row r="334" ht="16.5" customHeight="1">
      <c r="A334" s="15"/>
      <c r="B334" s="15"/>
      <c r="C334" s="21"/>
      <c r="D334" s="15"/>
      <c r="E334" s="15"/>
      <c r="F334" s="15"/>
      <c r="G334" s="387"/>
      <c r="H334" s="15"/>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c r="AG334" s="15"/>
      <c r="AH334" s="15"/>
    </row>
    <row r="335" ht="16.5" customHeight="1">
      <c r="A335" s="15"/>
      <c r="B335" s="15"/>
      <c r="C335" s="21"/>
      <c r="D335" s="15"/>
      <c r="E335" s="15"/>
      <c r="F335" s="15"/>
      <c r="G335" s="387"/>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c r="AG335" s="15"/>
      <c r="AH335" s="15"/>
    </row>
    <row r="336" ht="16.5" customHeight="1">
      <c r="A336" s="15"/>
      <c r="B336" s="15"/>
      <c r="C336" s="21"/>
      <c r="D336" s="15"/>
      <c r="E336" s="15"/>
      <c r="F336" s="15"/>
      <c r="G336" s="387"/>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c r="AG336" s="15"/>
      <c r="AH336" s="15"/>
    </row>
    <row r="337" ht="16.5" customHeight="1">
      <c r="A337" s="15"/>
      <c r="B337" s="15"/>
      <c r="C337" s="21"/>
      <c r="D337" s="15"/>
      <c r="E337" s="15"/>
      <c r="F337" s="15"/>
      <c r="G337" s="387"/>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c r="AG337" s="15"/>
      <c r="AH337" s="15"/>
    </row>
    <row r="338" ht="16.5" customHeight="1">
      <c r="A338" s="15"/>
      <c r="B338" s="15"/>
      <c r="C338" s="21"/>
      <c r="D338" s="15"/>
      <c r="E338" s="15"/>
      <c r="F338" s="15"/>
      <c r="G338" s="387"/>
      <c r="H338" s="15"/>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c r="AG338" s="15"/>
      <c r="AH338" s="15"/>
    </row>
    <row r="339" ht="16.5" customHeight="1">
      <c r="A339" s="15"/>
      <c r="B339" s="15"/>
      <c r="C339" s="21"/>
      <c r="D339" s="15"/>
      <c r="E339" s="15"/>
      <c r="F339" s="15"/>
      <c r="G339" s="387"/>
      <c r="H339" s="15"/>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c r="AG339" s="15"/>
      <c r="AH339" s="15"/>
    </row>
    <row r="340" ht="16.5" customHeight="1">
      <c r="A340" s="15"/>
      <c r="B340" s="15"/>
      <c r="C340" s="21"/>
      <c r="D340" s="15"/>
      <c r="E340" s="15"/>
      <c r="F340" s="15"/>
      <c r="G340" s="387"/>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c r="AG340" s="15"/>
      <c r="AH340" s="15"/>
    </row>
    <row r="341" ht="16.5" customHeight="1">
      <c r="A341" s="15"/>
      <c r="B341" s="15"/>
      <c r="C341" s="21"/>
      <c r="D341" s="15"/>
      <c r="E341" s="15"/>
      <c r="F341" s="15"/>
      <c r="G341" s="387"/>
      <c r="H341" s="15"/>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c r="AG341" s="15"/>
      <c r="AH341" s="15"/>
    </row>
    <row r="342" ht="16.5" customHeight="1">
      <c r="A342" s="15"/>
      <c r="B342" s="15"/>
      <c r="C342" s="21"/>
      <c r="D342" s="15"/>
      <c r="E342" s="15"/>
      <c r="F342" s="15"/>
      <c r="G342" s="387"/>
      <c r="H342" s="15"/>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c r="AG342" s="15"/>
      <c r="AH342" s="15"/>
    </row>
    <row r="343" ht="16.5" customHeight="1">
      <c r="A343" s="15"/>
      <c r="B343" s="15"/>
      <c r="C343" s="21"/>
      <c r="D343" s="15"/>
      <c r="E343" s="15"/>
      <c r="F343" s="15"/>
      <c r="G343" s="387"/>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c r="AG343" s="15"/>
      <c r="AH343" s="15"/>
    </row>
    <row r="344" ht="16.5" customHeight="1">
      <c r="A344" s="15"/>
      <c r="B344" s="15"/>
      <c r="C344" s="21"/>
      <c r="D344" s="15"/>
      <c r="E344" s="15"/>
      <c r="F344" s="15"/>
      <c r="G344" s="387"/>
      <c r="H344" s="15"/>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c r="AG344" s="15"/>
      <c r="AH344" s="15"/>
    </row>
    <row r="345" ht="16.5" customHeight="1">
      <c r="A345" s="15"/>
      <c r="B345" s="15"/>
      <c r="C345" s="21"/>
      <c r="D345" s="15"/>
      <c r="E345" s="15"/>
      <c r="F345" s="15"/>
      <c r="G345" s="387"/>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c r="AG345" s="15"/>
      <c r="AH345" s="15"/>
    </row>
    <row r="346" ht="16.5" customHeight="1">
      <c r="A346" s="15"/>
      <c r="B346" s="15"/>
      <c r="C346" s="21"/>
      <c r="D346" s="15"/>
      <c r="E346" s="15"/>
      <c r="F346" s="15"/>
      <c r="G346" s="387"/>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c r="AG346" s="15"/>
      <c r="AH346" s="15"/>
    </row>
    <row r="347" ht="16.5" customHeight="1">
      <c r="A347" s="15"/>
      <c r="B347" s="15"/>
      <c r="C347" s="21"/>
      <c r="D347" s="15"/>
      <c r="E347" s="15"/>
      <c r="F347" s="15"/>
      <c r="G347" s="387"/>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c r="AG347" s="15"/>
      <c r="AH347" s="15"/>
    </row>
    <row r="348" ht="16.5" customHeight="1">
      <c r="A348" s="15"/>
      <c r="B348" s="15"/>
      <c r="C348" s="21"/>
      <c r="D348" s="15"/>
      <c r="E348" s="15"/>
      <c r="F348" s="15"/>
      <c r="G348" s="387"/>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c r="AG348" s="15"/>
      <c r="AH348" s="15"/>
    </row>
    <row r="349" ht="16.5" customHeight="1">
      <c r="A349" s="15"/>
      <c r="B349" s="15"/>
      <c r="C349" s="21"/>
      <c r="D349" s="15"/>
      <c r="E349" s="15"/>
      <c r="F349" s="15"/>
      <c r="G349" s="387"/>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c r="AG349" s="15"/>
      <c r="AH349" s="15"/>
    </row>
    <row r="350" ht="16.5" customHeight="1">
      <c r="A350" s="15"/>
      <c r="B350" s="15"/>
      <c r="C350" s="21"/>
      <c r="D350" s="15"/>
      <c r="E350" s="15"/>
      <c r="F350" s="15"/>
      <c r="G350" s="387"/>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c r="AG350" s="15"/>
      <c r="AH350" s="15"/>
    </row>
    <row r="351" ht="16.5" customHeight="1">
      <c r="A351" s="15"/>
      <c r="B351" s="15"/>
      <c r="C351" s="21"/>
      <c r="D351" s="15"/>
      <c r="E351" s="15"/>
      <c r="F351" s="15"/>
      <c r="G351" s="387"/>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c r="AG351" s="15"/>
      <c r="AH351" s="15"/>
    </row>
    <row r="352" ht="16.5" customHeight="1">
      <c r="A352" s="15"/>
      <c r="B352" s="15"/>
      <c r="C352" s="21"/>
      <c r="D352" s="15"/>
      <c r="E352" s="15"/>
      <c r="F352" s="15"/>
      <c r="G352" s="387"/>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c r="AG352" s="15"/>
      <c r="AH352" s="15"/>
    </row>
    <row r="353" ht="16.5" customHeight="1">
      <c r="A353" s="15"/>
      <c r="B353" s="15"/>
      <c r="C353" s="21"/>
      <c r="D353" s="15"/>
      <c r="E353" s="15"/>
      <c r="F353" s="15"/>
      <c r="G353" s="387"/>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c r="AG353" s="15"/>
      <c r="AH353" s="15"/>
    </row>
    <row r="354" ht="16.5" customHeight="1">
      <c r="A354" s="15"/>
      <c r="B354" s="15"/>
      <c r="C354" s="21"/>
      <c r="D354" s="15"/>
      <c r="E354" s="15"/>
      <c r="F354" s="15"/>
      <c r="G354" s="387"/>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c r="AG354" s="15"/>
      <c r="AH354" s="15"/>
    </row>
    <row r="355" ht="16.5" customHeight="1">
      <c r="A355" s="15"/>
      <c r="B355" s="15"/>
      <c r="C355" s="21"/>
      <c r="D355" s="15"/>
      <c r="E355" s="15"/>
      <c r="F355" s="15"/>
      <c r="G355" s="387"/>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c r="AG355" s="15"/>
      <c r="AH355" s="15"/>
    </row>
    <row r="356" ht="16.5" customHeight="1">
      <c r="A356" s="15"/>
      <c r="B356" s="15"/>
      <c r="C356" s="21"/>
      <c r="D356" s="15"/>
      <c r="E356" s="15"/>
      <c r="F356" s="15"/>
      <c r="G356" s="387"/>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c r="AG356" s="15"/>
      <c r="AH356" s="15"/>
    </row>
    <row r="357" ht="16.5" customHeight="1">
      <c r="A357" s="15"/>
      <c r="B357" s="15"/>
      <c r="C357" s="21"/>
      <c r="D357" s="15"/>
      <c r="E357" s="15"/>
      <c r="F357" s="15"/>
      <c r="G357" s="387"/>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c r="AG357" s="15"/>
      <c r="AH357" s="15"/>
    </row>
    <row r="358" ht="16.5" customHeight="1">
      <c r="A358" s="15"/>
      <c r="B358" s="15"/>
      <c r="C358" s="21"/>
      <c r="D358" s="15"/>
      <c r="E358" s="15"/>
      <c r="F358" s="15"/>
      <c r="G358" s="387"/>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c r="AG358" s="15"/>
      <c r="AH358" s="15"/>
    </row>
    <row r="359" ht="16.5" customHeight="1">
      <c r="A359" s="15"/>
      <c r="B359" s="15"/>
      <c r="C359" s="21"/>
      <c r="D359" s="15"/>
      <c r="E359" s="15"/>
      <c r="F359" s="15"/>
      <c r="G359" s="387"/>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c r="AG359" s="15"/>
      <c r="AH359" s="15"/>
    </row>
    <row r="360" ht="16.5" customHeight="1">
      <c r="A360" s="15"/>
      <c r="B360" s="15"/>
      <c r="C360" s="21"/>
      <c r="D360" s="15"/>
      <c r="E360" s="15"/>
      <c r="F360" s="15"/>
      <c r="G360" s="387"/>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c r="AG360" s="15"/>
      <c r="AH360" s="15"/>
    </row>
    <row r="361" ht="16.5" customHeight="1">
      <c r="A361" s="15"/>
      <c r="B361" s="15"/>
      <c r="C361" s="21"/>
      <c r="D361" s="15"/>
      <c r="E361" s="15"/>
      <c r="F361" s="15"/>
      <c r="G361" s="387"/>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c r="AG361" s="15"/>
      <c r="AH361" s="15"/>
    </row>
    <row r="362" ht="16.5" customHeight="1">
      <c r="A362" s="15"/>
      <c r="B362" s="15"/>
      <c r="C362" s="21"/>
      <c r="D362" s="15"/>
      <c r="E362" s="15"/>
      <c r="F362" s="15"/>
      <c r="G362" s="387"/>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c r="AG362" s="15"/>
      <c r="AH362" s="15"/>
    </row>
    <row r="363" ht="16.5" customHeight="1">
      <c r="A363" s="15"/>
      <c r="B363" s="15"/>
      <c r="C363" s="21"/>
      <c r="D363" s="15"/>
      <c r="E363" s="15"/>
      <c r="F363" s="15"/>
      <c r="G363" s="387"/>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c r="AG363" s="15"/>
      <c r="AH363" s="15"/>
    </row>
    <row r="364" ht="16.5" customHeight="1">
      <c r="A364" s="15"/>
      <c r="B364" s="15"/>
      <c r="C364" s="21"/>
      <c r="D364" s="15"/>
      <c r="E364" s="15"/>
      <c r="F364" s="15"/>
      <c r="G364" s="387"/>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c r="AG364" s="15"/>
      <c r="AH364" s="15"/>
    </row>
    <row r="365" ht="16.5" customHeight="1">
      <c r="A365" s="15"/>
      <c r="B365" s="15"/>
      <c r="C365" s="21"/>
      <c r="D365" s="15"/>
      <c r="E365" s="15"/>
      <c r="F365" s="15"/>
      <c r="G365" s="387"/>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c r="AG365" s="15"/>
      <c r="AH365" s="15"/>
    </row>
    <row r="366" ht="16.5" customHeight="1">
      <c r="A366" s="15"/>
      <c r="B366" s="15"/>
      <c r="C366" s="21"/>
      <c r="D366" s="15"/>
      <c r="E366" s="15"/>
      <c r="F366" s="15"/>
      <c r="G366" s="387"/>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c r="AG366" s="15"/>
      <c r="AH366" s="15"/>
    </row>
    <row r="367" ht="16.5" customHeight="1">
      <c r="A367" s="15"/>
      <c r="B367" s="15"/>
      <c r="C367" s="21"/>
      <c r="D367" s="15"/>
      <c r="E367" s="15"/>
      <c r="F367" s="15"/>
      <c r="G367" s="387"/>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c r="AG367" s="15"/>
      <c r="AH367" s="15"/>
    </row>
    <row r="368" ht="16.5" customHeight="1">
      <c r="A368" s="15"/>
      <c r="B368" s="15"/>
      <c r="C368" s="21"/>
      <c r="D368" s="15"/>
      <c r="E368" s="15"/>
      <c r="F368" s="15"/>
      <c r="G368" s="387"/>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c r="AG368" s="15"/>
      <c r="AH368" s="15"/>
    </row>
    <row r="369" ht="16.5" customHeight="1">
      <c r="A369" s="15"/>
      <c r="B369" s="15"/>
      <c r="C369" s="21"/>
      <c r="D369" s="15"/>
      <c r="E369" s="15"/>
      <c r="F369" s="15"/>
      <c r="G369" s="387"/>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c r="AG369" s="15"/>
      <c r="AH369" s="15"/>
    </row>
    <row r="370" ht="16.5" customHeight="1">
      <c r="A370" s="15"/>
      <c r="B370" s="15"/>
      <c r="C370" s="21"/>
      <c r="D370" s="15"/>
      <c r="E370" s="15"/>
      <c r="F370" s="15"/>
      <c r="G370" s="387"/>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c r="AG370" s="15"/>
      <c r="AH370" s="15"/>
    </row>
    <row r="371" ht="16.5" customHeight="1">
      <c r="A371" s="15"/>
      <c r="B371" s="15"/>
      <c r="C371" s="21"/>
      <c r="D371" s="15"/>
      <c r="E371" s="15"/>
      <c r="F371" s="15"/>
      <c r="G371" s="387"/>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c r="AG371" s="15"/>
      <c r="AH371" s="15"/>
    </row>
    <row r="372" ht="16.5" customHeight="1">
      <c r="A372" s="15"/>
      <c r="B372" s="15"/>
      <c r="C372" s="21"/>
      <c r="D372" s="15"/>
      <c r="E372" s="15"/>
      <c r="F372" s="15"/>
      <c r="G372" s="387"/>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c r="AG372" s="15"/>
      <c r="AH372" s="15"/>
    </row>
    <row r="373" ht="16.5" customHeight="1">
      <c r="A373" s="15"/>
      <c r="B373" s="15"/>
      <c r="C373" s="21"/>
      <c r="D373" s="15"/>
      <c r="E373" s="15"/>
      <c r="F373" s="15"/>
      <c r="G373" s="387"/>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c r="AG373" s="15"/>
      <c r="AH373" s="15"/>
    </row>
    <row r="374" ht="16.5" customHeight="1">
      <c r="A374" s="15"/>
      <c r="B374" s="15"/>
      <c r="C374" s="21"/>
      <c r="D374" s="15"/>
      <c r="E374" s="15"/>
      <c r="F374" s="15"/>
      <c r="G374" s="387"/>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c r="AG374" s="15"/>
      <c r="AH374" s="15"/>
    </row>
    <row r="375" ht="16.5" customHeight="1">
      <c r="A375" s="15"/>
      <c r="B375" s="15"/>
      <c r="C375" s="21"/>
      <c r="D375" s="15"/>
      <c r="E375" s="15"/>
      <c r="F375" s="15"/>
      <c r="G375" s="387"/>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c r="AG375" s="15"/>
      <c r="AH375" s="15"/>
    </row>
    <row r="376" ht="16.5" customHeight="1">
      <c r="A376" s="15"/>
      <c r="B376" s="15"/>
      <c r="C376" s="21"/>
      <c r="D376" s="15"/>
      <c r="E376" s="15"/>
      <c r="F376" s="15"/>
      <c r="G376" s="387"/>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c r="AG376" s="15"/>
      <c r="AH376" s="15"/>
    </row>
    <row r="377" ht="16.5" customHeight="1">
      <c r="A377" s="15"/>
      <c r="B377" s="15"/>
      <c r="C377" s="21"/>
      <c r="D377" s="15"/>
      <c r="E377" s="15"/>
      <c r="F377" s="15"/>
      <c r="G377" s="387"/>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c r="AG377" s="15"/>
      <c r="AH377" s="15"/>
    </row>
    <row r="378" ht="16.5" customHeight="1">
      <c r="A378" s="15"/>
      <c r="B378" s="15"/>
      <c r="C378" s="21"/>
      <c r="D378" s="15"/>
      <c r="E378" s="15"/>
      <c r="F378" s="15"/>
      <c r="G378" s="387"/>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c r="AG378" s="15"/>
      <c r="AH378" s="15"/>
    </row>
    <row r="379" ht="16.5" customHeight="1">
      <c r="A379" s="15"/>
      <c r="B379" s="15"/>
      <c r="C379" s="21"/>
      <c r="D379" s="15"/>
      <c r="E379" s="15"/>
      <c r="F379" s="15"/>
      <c r="G379" s="387"/>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c r="AG379" s="15"/>
      <c r="AH379" s="15"/>
    </row>
    <row r="380" ht="16.5" customHeight="1">
      <c r="A380" s="15"/>
      <c r="B380" s="15"/>
      <c r="C380" s="21"/>
      <c r="D380" s="15"/>
      <c r="E380" s="15"/>
      <c r="F380" s="15"/>
      <c r="G380" s="387"/>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c r="AG380" s="15"/>
      <c r="AH380" s="15"/>
    </row>
    <row r="381" ht="16.5" customHeight="1">
      <c r="A381" s="15"/>
      <c r="B381" s="15"/>
      <c r="C381" s="21"/>
      <c r="D381" s="15"/>
      <c r="E381" s="15"/>
      <c r="F381" s="15"/>
      <c r="G381" s="387"/>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c r="AG381" s="15"/>
      <c r="AH381" s="15"/>
    </row>
    <row r="382" ht="16.5" customHeight="1">
      <c r="A382" s="15"/>
      <c r="B382" s="15"/>
      <c r="C382" s="21"/>
      <c r="D382" s="15"/>
      <c r="E382" s="15"/>
      <c r="F382" s="15"/>
      <c r="G382" s="387"/>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c r="AG382" s="15"/>
      <c r="AH382" s="15"/>
    </row>
    <row r="383" ht="16.5" customHeight="1">
      <c r="A383" s="15"/>
      <c r="B383" s="15"/>
      <c r="C383" s="21"/>
      <c r="D383" s="15"/>
      <c r="E383" s="15"/>
      <c r="F383" s="15"/>
      <c r="G383" s="387"/>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c r="AG383" s="15"/>
      <c r="AH383" s="15"/>
    </row>
    <row r="384" ht="16.5" customHeight="1">
      <c r="A384" s="15"/>
      <c r="B384" s="15"/>
      <c r="C384" s="21"/>
      <c r="D384" s="15"/>
      <c r="E384" s="15"/>
      <c r="F384" s="15"/>
      <c r="G384" s="387"/>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c r="AG384" s="15"/>
      <c r="AH384" s="15"/>
    </row>
    <row r="385" ht="16.5" customHeight="1">
      <c r="A385" s="15"/>
      <c r="B385" s="15"/>
      <c r="C385" s="21"/>
      <c r="D385" s="15"/>
      <c r="E385" s="15"/>
      <c r="F385" s="15"/>
      <c r="G385" s="387"/>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c r="AG385" s="15"/>
      <c r="AH385" s="15"/>
    </row>
    <row r="386" ht="16.5" customHeight="1">
      <c r="A386" s="15"/>
      <c r="B386" s="15"/>
      <c r="C386" s="21"/>
      <c r="D386" s="15"/>
      <c r="E386" s="15"/>
      <c r="F386" s="15"/>
      <c r="G386" s="387"/>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c r="AG386" s="15"/>
      <c r="AH386" s="15"/>
    </row>
    <row r="387" ht="16.5" customHeight="1">
      <c r="A387" s="15"/>
      <c r="B387" s="15"/>
      <c r="C387" s="21"/>
      <c r="D387" s="15"/>
      <c r="E387" s="15"/>
      <c r="F387" s="15"/>
      <c r="G387" s="387"/>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c r="AG387" s="15"/>
      <c r="AH387" s="15"/>
    </row>
    <row r="388" ht="16.5" customHeight="1">
      <c r="A388" s="15"/>
      <c r="B388" s="15"/>
      <c r="C388" s="21"/>
      <c r="D388" s="15"/>
      <c r="E388" s="15"/>
      <c r="F388" s="15"/>
      <c r="G388" s="387"/>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c r="AG388" s="15"/>
      <c r="AH388" s="15"/>
    </row>
    <row r="389" ht="16.5" customHeight="1">
      <c r="A389" s="15"/>
      <c r="B389" s="15"/>
      <c r="C389" s="21"/>
      <c r="D389" s="15"/>
      <c r="E389" s="15"/>
      <c r="F389" s="15"/>
      <c r="G389" s="387"/>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c r="AG389" s="15"/>
      <c r="AH389" s="15"/>
    </row>
    <row r="390" ht="16.5" customHeight="1">
      <c r="A390" s="15"/>
      <c r="B390" s="15"/>
      <c r="C390" s="21"/>
      <c r="D390" s="15"/>
      <c r="E390" s="15"/>
      <c r="F390" s="15"/>
      <c r="G390" s="387"/>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c r="AG390" s="15"/>
      <c r="AH390" s="15"/>
    </row>
    <row r="391" ht="16.5" customHeight="1">
      <c r="A391" s="15"/>
      <c r="B391" s="15"/>
      <c r="C391" s="21"/>
      <c r="D391" s="15"/>
      <c r="E391" s="15"/>
      <c r="F391" s="15"/>
      <c r="G391" s="387"/>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c r="AG391" s="15"/>
      <c r="AH391" s="15"/>
    </row>
    <row r="392" ht="16.5" customHeight="1">
      <c r="A392" s="15"/>
      <c r="B392" s="15"/>
      <c r="C392" s="21"/>
      <c r="D392" s="15"/>
      <c r="E392" s="15"/>
      <c r="F392" s="15"/>
      <c r="G392" s="387"/>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c r="AG392" s="15"/>
      <c r="AH392" s="15"/>
    </row>
    <row r="393" ht="16.5" customHeight="1">
      <c r="A393" s="15"/>
      <c r="B393" s="15"/>
      <c r="C393" s="21"/>
      <c r="D393" s="15"/>
      <c r="E393" s="15"/>
      <c r="F393" s="15"/>
      <c r="G393" s="387"/>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c r="AG393" s="15"/>
      <c r="AH393" s="15"/>
    </row>
    <row r="394" ht="16.5" customHeight="1">
      <c r="A394" s="15"/>
      <c r="B394" s="15"/>
      <c r="C394" s="21"/>
      <c r="D394" s="15"/>
      <c r="E394" s="15"/>
      <c r="F394" s="15"/>
      <c r="G394" s="387"/>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c r="AG394" s="15"/>
      <c r="AH394" s="15"/>
    </row>
    <row r="395" ht="16.5" customHeight="1">
      <c r="A395" s="15"/>
      <c r="B395" s="15"/>
      <c r="C395" s="21"/>
      <c r="D395" s="15"/>
      <c r="E395" s="15"/>
      <c r="F395" s="15"/>
      <c r="G395" s="387"/>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c r="AG395" s="15"/>
      <c r="AH395" s="15"/>
    </row>
    <row r="396" ht="16.5" customHeight="1">
      <c r="A396" s="15"/>
      <c r="B396" s="15"/>
      <c r="C396" s="21"/>
      <c r="D396" s="15"/>
      <c r="E396" s="15"/>
      <c r="F396" s="15"/>
      <c r="G396" s="387"/>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c r="AG396" s="15"/>
      <c r="AH396" s="15"/>
    </row>
    <row r="397" ht="16.5" customHeight="1">
      <c r="A397" s="15"/>
      <c r="B397" s="15"/>
      <c r="C397" s="21"/>
      <c r="D397" s="15"/>
      <c r="E397" s="15"/>
      <c r="F397" s="15"/>
      <c r="G397" s="387"/>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c r="AG397" s="15"/>
      <c r="AH397" s="15"/>
    </row>
    <row r="398" ht="16.5" customHeight="1">
      <c r="A398" s="15"/>
      <c r="B398" s="15"/>
      <c r="C398" s="21"/>
      <c r="D398" s="15"/>
      <c r="E398" s="15"/>
      <c r="F398" s="15"/>
      <c r="G398" s="387"/>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c r="AG398" s="15"/>
      <c r="AH398" s="15"/>
    </row>
    <row r="399" ht="16.5" customHeight="1">
      <c r="A399" s="15"/>
      <c r="B399" s="15"/>
      <c r="C399" s="21"/>
      <c r="D399" s="15"/>
      <c r="E399" s="15"/>
      <c r="F399" s="15"/>
      <c r="G399" s="387"/>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c r="AG399" s="15"/>
      <c r="AH399" s="15"/>
    </row>
    <row r="400" ht="16.5" customHeight="1">
      <c r="A400" s="15"/>
      <c r="B400" s="15"/>
      <c r="C400" s="21"/>
      <c r="D400" s="15"/>
      <c r="E400" s="15"/>
      <c r="F400" s="15"/>
      <c r="G400" s="387"/>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c r="AG400" s="15"/>
      <c r="AH400" s="15"/>
    </row>
    <row r="401" ht="16.5" customHeight="1">
      <c r="A401" s="15"/>
      <c r="B401" s="15"/>
      <c r="C401" s="21"/>
      <c r="D401" s="15"/>
      <c r="E401" s="15"/>
      <c r="F401" s="15"/>
      <c r="G401" s="387"/>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c r="AG401" s="15"/>
      <c r="AH401" s="15"/>
    </row>
    <row r="402" ht="16.5" customHeight="1">
      <c r="A402" s="15"/>
      <c r="B402" s="15"/>
      <c r="C402" s="21"/>
      <c r="D402" s="15"/>
      <c r="E402" s="15"/>
      <c r="F402" s="15"/>
      <c r="G402" s="387"/>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c r="AG402" s="15"/>
      <c r="AH402" s="15"/>
    </row>
    <row r="403" ht="16.5" customHeight="1">
      <c r="A403" s="15"/>
      <c r="B403" s="15"/>
      <c r="C403" s="21"/>
      <c r="D403" s="15"/>
      <c r="E403" s="15"/>
      <c r="F403" s="15"/>
      <c r="G403" s="387"/>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c r="AG403" s="15"/>
      <c r="AH403" s="15"/>
    </row>
    <row r="404" ht="16.5" customHeight="1">
      <c r="A404" s="15"/>
      <c r="B404" s="15"/>
      <c r="C404" s="21"/>
      <c r="D404" s="15"/>
      <c r="E404" s="15"/>
      <c r="F404" s="15"/>
      <c r="G404" s="387"/>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c r="AG404" s="15"/>
      <c r="AH404" s="15"/>
    </row>
    <row r="405" ht="16.5" customHeight="1">
      <c r="A405" s="15"/>
      <c r="B405" s="15"/>
      <c r="C405" s="21"/>
      <c r="D405" s="15"/>
      <c r="E405" s="15"/>
      <c r="F405" s="15"/>
      <c r="G405" s="387"/>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c r="AG405" s="15"/>
      <c r="AH405" s="15"/>
    </row>
    <row r="406" ht="16.5" customHeight="1">
      <c r="A406" s="15"/>
      <c r="B406" s="15"/>
      <c r="C406" s="21"/>
      <c r="D406" s="15"/>
      <c r="E406" s="15"/>
      <c r="F406" s="15"/>
      <c r="G406" s="387"/>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c r="AG406" s="15"/>
      <c r="AH406" s="15"/>
    </row>
    <row r="407" ht="16.5" customHeight="1">
      <c r="A407" s="15"/>
      <c r="B407" s="15"/>
      <c r="C407" s="21"/>
      <c r="D407" s="15"/>
      <c r="E407" s="15"/>
      <c r="F407" s="15"/>
      <c r="G407" s="387"/>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c r="AG407" s="15"/>
      <c r="AH407" s="15"/>
    </row>
    <row r="408" ht="16.5" customHeight="1">
      <c r="A408" s="15"/>
      <c r="B408" s="15"/>
      <c r="C408" s="21"/>
      <c r="D408" s="15"/>
      <c r="E408" s="15"/>
      <c r="F408" s="15"/>
      <c r="G408" s="387"/>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c r="AG408" s="15"/>
      <c r="AH408" s="15"/>
    </row>
    <row r="409" ht="16.5" customHeight="1">
      <c r="A409" s="15"/>
      <c r="B409" s="15"/>
      <c r="C409" s="21"/>
      <c r="D409" s="15"/>
      <c r="E409" s="15"/>
      <c r="F409" s="15"/>
      <c r="G409" s="387"/>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c r="AG409" s="15"/>
      <c r="AH409" s="15"/>
    </row>
    <row r="410" ht="16.5" customHeight="1">
      <c r="A410" s="15"/>
      <c r="B410" s="15"/>
      <c r="C410" s="21"/>
      <c r="D410" s="15"/>
      <c r="E410" s="15"/>
      <c r="F410" s="15"/>
      <c r="G410" s="387"/>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c r="AG410" s="15"/>
      <c r="AH410" s="15"/>
    </row>
    <row r="411" ht="16.5" customHeight="1">
      <c r="A411" s="15"/>
      <c r="B411" s="15"/>
      <c r="C411" s="21"/>
      <c r="D411" s="15"/>
      <c r="E411" s="15"/>
      <c r="F411" s="15"/>
      <c r="G411" s="387"/>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c r="AG411" s="15"/>
      <c r="AH411" s="15"/>
    </row>
    <row r="412" ht="16.5" customHeight="1">
      <c r="A412" s="15"/>
      <c r="B412" s="15"/>
      <c r="C412" s="21"/>
      <c r="D412" s="15"/>
      <c r="E412" s="15"/>
      <c r="F412" s="15"/>
      <c r="G412" s="387"/>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c r="AG412" s="15"/>
      <c r="AH412" s="15"/>
    </row>
    <row r="413" ht="16.5" customHeight="1">
      <c r="A413" s="15"/>
      <c r="B413" s="15"/>
      <c r="C413" s="21"/>
      <c r="D413" s="15"/>
      <c r="E413" s="15"/>
      <c r="F413" s="15"/>
      <c r="G413" s="387"/>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c r="AG413" s="15"/>
      <c r="AH413" s="15"/>
    </row>
    <row r="414" ht="16.5" customHeight="1">
      <c r="A414" s="15"/>
      <c r="B414" s="15"/>
      <c r="C414" s="21"/>
      <c r="D414" s="15"/>
      <c r="E414" s="15"/>
      <c r="F414" s="15"/>
      <c r="G414" s="387"/>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c r="AG414" s="15"/>
      <c r="AH414" s="15"/>
    </row>
    <row r="415" ht="16.5" customHeight="1">
      <c r="A415" s="15"/>
      <c r="B415" s="15"/>
      <c r="C415" s="21"/>
      <c r="D415" s="15"/>
      <c r="E415" s="15"/>
      <c r="F415" s="15"/>
      <c r="G415" s="387"/>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c r="AG415" s="15"/>
      <c r="AH415" s="15"/>
    </row>
    <row r="416" ht="16.5" customHeight="1">
      <c r="A416" s="15"/>
      <c r="B416" s="15"/>
      <c r="C416" s="21"/>
      <c r="D416" s="15"/>
      <c r="E416" s="15"/>
      <c r="F416" s="15"/>
      <c r="G416" s="387"/>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c r="AG416" s="15"/>
      <c r="AH416" s="15"/>
    </row>
    <row r="417" ht="16.5" customHeight="1">
      <c r="A417" s="15"/>
      <c r="B417" s="15"/>
      <c r="C417" s="21"/>
      <c r="D417" s="15"/>
      <c r="E417" s="15"/>
      <c r="F417" s="15"/>
      <c r="G417" s="387"/>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c r="AG417" s="15"/>
      <c r="AH417" s="15"/>
    </row>
    <row r="418" ht="16.5" customHeight="1">
      <c r="A418" s="15"/>
      <c r="B418" s="15"/>
      <c r="C418" s="21"/>
      <c r="D418" s="15"/>
      <c r="E418" s="15"/>
      <c r="F418" s="15"/>
      <c r="G418" s="387"/>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c r="AG418" s="15"/>
      <c r="AH418" s="15"/>
    </row>
    <row r="419" ht="16.5" customHeight="1">
      <c r="A419" s="15"/>
      <c r="B419" s="15"/>
      <c r="C419" s="21"/>
      <c r="D419" s="15"/>
      <c r="E419" s="15"/>
      <c r="F419" s="15"/>
      <c r="G419" s="387"/>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c r="AG419" s="15"/>
      <c r="AH419" s="15"/>
    </row>
    <row r="420" ht="16.5" customHeight="1">
      <c r="A420" s="15"/>
      <c r="B420" s="15"/>
      <c r="C420" s="21"/>
      <c r="D420" s="15"/>
      <c r="E420" s="15"/>
      <c r="F420" s="15"/>
      <c r="G420" s="387"/>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c r="AG420" s="15"/>
      <c r="AH420" s="15"/>
    </row>
    <row r="421" ht="16.5" customHeight="1">
      <c r="A421" s="15"/>
      <c r="B421" s="15"/>
      <c r="C421" s="21"/>
      <c r="D421" s="15"/>
      <c r="E421" s="15"/>
      <c r="F421" s="15"/>
      <c r="G421" s="387"/>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c r="AG421" s="15"/>
      <c r="AH421" s="15"/>
    </row>
    <row r="422" ht="16.5" customHeight="1">
      <c r="A422" s="15"/>
      <c r="B422" s="15"/>
      <c r="C422" s="21"/>
      <c r="D422" s="15"/>
      <c r="E422" s="15"/>
      <c r="F422" s="15"/>
      <c r="G422" s="387"/>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c r="AG422" s="15"/>
      <c r="AH422" s="15"/>
    </row>
    <row r="423" ht="16.5" customHeight="1">
      <c r="A423" s="15"/>
      <c r="B423" s="15"/>
      <c r="C423" s="21"/>
      <c r="D423" s="15"/>
      <c r="E423" s="15"/>
      <c r="F423" s="15"/>
      <c r="G423" s="387"/>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c r="AG423" s="15"/>
      <c r="AH423" s="15"/>
    </row>
    <row r="424" ht="16.5" customHeight="1">
      <c r="A424" s="15"/>
      <c r="B424" s="15"/>
      <c r="C424" s="21"/>
      <c r="D424" s="15"/>
      <c r="E424" s="15"/>
      <c r="F424" s="15"/>
      <c r="G424" s="387"/>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c r="AG424" s="15"/>
      <c r="AH424" s="15"/>
    </row>
    <row r="425" ht="16.5" customHeight="1">
      <c r="A425" s="15"/>
      <c r="B425" s="15"/>
      <c r="C425" s="21"/>
      <c r="D425" s="15"/>
      <c r="E425" s="15"/>
      <c r="F425" s="15"/>
      <c r="G425" s="387"/>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c r="AG425" s="15"/>
      <c r="AH425" s="15"/>
    </row>
    <row r="426" ht="16.5" customHeight="1">
      <c r="A426" s="15"/>
      <c r="B426" s="15"/>
      <c r="C426" s="21"/>
      <c r="D426" s="15"/>
      <c r="E426" s="15"/>
      <c r="F426" s="15"/>
      <c r="G426" s="387"/>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c r="AG426" s="15"/>
      <c r="AH426" s="15"/>
    </row>
    <row r="427" ht="16.5" customHeight="1">
      <c r="A427" s="15"/>
      <c r="B427" s="15"/>
      <c r="C427" s="21"/>
      <c r="D427" s="15"/>
      <c r="E427" s="15"/>
      <c r="F427" s="15"/>
      <c r="G427" s="387"/>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c r="AG427" s="15"/>
      <c r="AH427" s="15"/>
    </row>
    <row r="428" ht="16.5" customHeight="1">
      <c r="A428" s="15"/>
      <c r="B428" s="15"/>
      <c r="C428" s="21"/>
      <c r="D428" s="15"/>
      <c r="E428" s="15"/>
      <c r="F428" s="15"/>
      <c r="G428" s="387"/>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c r="AG428" s="15"/>
      <c r="AH428" s="15"/>
    </row>
    <row r="429" ht="16.5" customHeight="1">
      <c r="A429" s="15"/>
      <c r="B429" s="15"/>
      <c r="C429" s="21"/>
      <c r="D429" s="15"/>
      <c r="E429" s="15"/>
      <c r="F429" s="15"/>
      <c r="G429" s="387"/>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c r="AG429" s="15"/>
      <c r="AH429" s="15"/>
    </row>
    <row r="430" ht="16.5" customHeight="1">
      <c r="A430" s="15"/>
      <c r="B430" s="15"/>
      <c r="C430" s="21"/>
      <c r="D430" s="15"/>
      <c r="E430" s="15"/>
      <c r="F430" s="15"/>
      <c r="G430" s="387"/>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c r="AG430" s="15"/>
      <c r="AH430" s="15"/>
    </row>
    <row r="431" ht="16.5" customHeight="1">
      <c r="A431" s="15"/>
      <c r="B431" s="15"/>
      <c r="C431" s="21"/>
      <c r="D431" s="15"/>
      <c r="E431" s="15"/>
      <c r="F431" s="15"/>
      <c r="G431" s="387"/>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c r="AG431" s="15"/>
      <c r="AH431" s="15"/>
    </row>
    <row r="432" ht="16.5" customHeight="1">
      <c r="A432" s="15"/>
      <c r="B432" s="15"/>
      <c r="C432" s="21"/>
      <c r="D432" s="15"/>
      <c r="E432" s="15"/>
      <c r="F432" s="15"/>
      <c r="G432" s="387"/>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c r="AG432" s="15"/>
      <c r="AH432" s="15"/>
    </row>
    <row r="433" ht="16.5" customHeight="1">
      <c r="A433" s="15"/>
      <c r="B433" s="15"/>
      <c r="C433" s="21"/>
      <c r="D433" s="15"/>
      <c r="E433" s="15"/>
      <c r="F433" s="15"/>
      <c r="G433" s="387"/>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c r="AG433" s="15"/>
      <c r="AH433" s="15"/>
    </row>
    <row r="434" ht="16.5" customHeight="1">
      <c r="A434" s="15"/>
      <c r="B434" s="15"/>
      <c r="C434" s="21"/>
      <c r="D434" s="15"/>
      <c r="E434" s="15"/>
      <c r="F434" s="15"/>
      <c r="G434" s="387"/>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c r="AG434" s="15"/>
      <c r="AH434" s="15"/>
    </row>
    <row r="435" ht="16.5" customHeight="1">
      <c r="A435" s="15"/>
      <c r="B435" s="15"/>
      <c r="C435" s="21"/>
      <c r="D435" s="15"/>
      <c r="E435" s="15"/>
      <c r="F435" s="15"/>
      <c r="G435" s="387"/>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c r="AG435" s="15"/>
      <c r="AH435" s="15"/>
    </row>
    <row r="436" ht="16.5" customHeight="1">
      <c r="A436" s="15"/>
      <c r="B436" s="15"/>
      <c r="C436" s="21"/>
      <c r="D436" s="15"/>
      <c r="E436" s="15"/>
      <c r="F436" s="15"/>
      <c r="G436" s="387"/>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c r="AG436" s="15"/>
      <c r="AH436" s="15"/>
    </row>
    <row r="437" ht="16.5" customHeight="1">
      <c r="A437" s="15"/>
      <c r="B437" s="15"/>
      <c r="C437" s="21"/>
      <c r="D437" s="15"/>
      <c r="E437" s="15"/>
      <c r="F437" s="15"/>
      <c r="G437" s="387"/>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c r="AG437" s="15"/>
      <c r="AH437" s="15"/>
    </row>
    <row r="438" ht="16.5" customHeight="1">
      <c r="A438" s="15"/>
      <c r="B438" s="15"/>
      <c r="C438" s="21"/>
      <c r="D438" s="15"/>
      <c r="E438" s="15"/>
      <c r="F438" s="15"/>
      <c r="G438" s="387"/>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c r="AG438" s="15"/>
      <c r="AH438" s="15"/>
    </row>
    <row r="439" ht="16.5" customHeight="1">
      <c r="A439" s="15"/>
      <c r="B439" s="15"/>
      <c r="C439" s="21"/>
      <c r="D439" s="15"/>
      <c r="E439" s="15"/>
      <c r="F439" s="15"/>
      <c r="G439" s="387"/>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c r="AG439" s="15"/>
      <c r="AH439" s="15"/>
    </row>
    <row r="440" ht="16.5" customHeight="1">
      <c r="A440" s="15"/>
      <c r="B440" s="15"/>
      <c r="C440" s="21"/>
      <c r="D440" s="15"/>
      <c r="E440" s="15"/>
      <c r="F440" s="15"/>
      <c r="G440" s="387"/>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c r="AG440" s="15"/>
      <c r="AH440" s="15"/>
    </row>
    <row r="441" ht="16.5" customHeight="1">
      <c r="A441" s="15"/>
      <c r="B441" s="15"/>
      <c r="C441" s="21"/>
      <c r="D441" s="15"/>
      <c r="E441" s="15"/>
      <c r="F441" s="15"/>
      <c r="G441" s="387"/>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c r="AG441" s="15"/>
      <c r="AH441" s="15"/>
    </row>
    <row r="442" ht="16.5" customHeight="1">
      <c r="A442" s="15"/>
      <c r="B442" s="15"/>
      <c r="C442" s="21"/>
      <c r="D442" s="15"/>
      <c r="E442" s="15"/>
      <c r="F442" s="15"/>
      <c r="G442" s="387"/>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c r="AG442" s="15"/>
      <c r="AH442" s="15"/>
    </row>
    <row r="443" ht="16.5" customHeight="1">
      <c r="A443" s="15"/>
      <c r="B443" s="15"/>
      <c r="C443" s="21"/>
      <c r="D443" s="15"/>
      <c r="E443" s="15"/>
      <c r="F443" s="15"/>
      <c r="G443" s="387"/>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c r="AG443" s="15"/>
      <c r="AH443" s="15"/>
    </row>
    <row r="444" ht="16.5" customHeight="1">
      <c r="A444" s="15"/>
      <c r="B444" s="15"/>
      <c r="C444" s="21"/>
      <c r="D444" s="15"/>
      <c r="E444" s="15"/>
      <c r="F444" s="15"/>
      <c r="G444" s="387"/>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c r="AG444" s="15"/>
      <c r="AH444" s="15"/>
    </row>
    <row r="445" ht="16.5" customHeight="1">
      <c r="A445" s="15"/>
      <c r="B445" s="15"/>
      <c r="C445" s="21"/>
      <c r="D445" s="15"/>
      <c r="E445" s="15"/>
      <c r="F445" s="15"/>
      <c r="G445" s="387"/>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c r="AG445" s="15"/>
      <c r="AH445" s="15"/>
    </row>
    <row r="446" ht="16.5" customHeight="1">
      <c r="A446" s="15"/>
      <c r="B446" s="15"/>
      <c r="C446" s="21"/>
      <c r="D446" s="15"/>
      <c r="E446" s="15"/>
      <c r="F446" s="15"/>
      <c r="G446" s="387"/>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c r="AG446" s="15"/>
      <c r="AH446" s="15"/>
    </row>
    <row r="447" ht="16.5" customHeight="1">
      <c r="A447" s="15"/>
      <c r="B447" s="15"/>
      <c r="C447" s="21"/>
      <c r="D447" s="15"/>
      <c r="E447" s="15"/>
      <c r="F447" s="15"/>
      <c r="G447" s="387"/>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c r="AG447" s="15"/>
      <c r="AH447" s="15"/>
    </row>
    <row r="448" ht="16.5" customHeight="1">
      <c r="A448" s="15"/>
      <c r="B448" s="15"/>
      <c r="C448" s="21"/>
      <c r="D448" s="15"/>
      <c r="E448" s="15"/>
      <c r="F448" s="15"/>
      <c r="G448" s="387"/>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c r="AG448" s="15"/>
      <c r="AH448" s="15"/>
    </row>
    <row r="449" ht="16.5" customHeight="1">
      <c r="A449" s="15"/>
      <c r="B449" s="15"/>
      <c r="C449" s="21"/>
      <c r="D449" s="15"/>
      <c r="E449" s="15"/>
      <c r="F449" s="15"/>
      <c r="G449" s="387"/>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c r="AG449" s="15"/>
      <c r="AH449" s="15"/>
    </row>
    <row r="450" ht="16.5" customHeight="1">
      <c r="A450" s="15"/>
      <c r="B450" s="15"/>
      <c r="C450" s="21"/>
      <c r="D450" s="15"/>
      <c r="E450" s="15"/>
      <c r="F450" s="15"/>
      <c r="G450" s="387"/>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c r="AG450" s="15"/>
      <c r="AH450" s="15"/>
    </row>
    <row r="451" ht="16.5" customHeight="1">
      <c r="A451" s="15"/>
      <c r="B451" s="15"/>
      <c r="C451" s="21"/>
      <c r="D451" s="15"/>
      <c r="E451" s="15"/>
      <c r="F451" s="15"/>
      <c r="G451" s="387"/>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c r="AG451" s="15"/>
      <c r="AH451" s="15"/>
    </row>
    <row r="452" ht="16.5" customHeight="1">
      <c r="A452" s="15"/>
      <c r="B452" s="15"/>
      <c r="C452" s="21"/>
      <c r="D452" s="15"/>
      <c r="E452" s="15"/>
      <c r="F452" s="15"/>
      <c r="G452" s="387"/>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c r="AG452" s="15"/>
      <c r="AH452" s="15"/>
    </row>
    <row r="453" ht="16.5" customHeight="1">
      <c r="A453" s="15"/>
      <c r="B453" s="15"/>
      <c r="C453" s="21"/>
      <c r="D453" s="15"/>
      <c r="E453" s="15"/>
      <c r="F453" s="15"/>
      <c r="G453" s="387"/>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c r="AG453" s="15"/>
      <c r="AH453" s="15"/>
    </row>
    <row r="454" ht="16.5" customHeight="1">
      <c r="A454" s="15"/>
      <c r="B454" s="15"/>
      <c r="C454" s="21"/>
      <c r="D454" s="15"/>
      <c r="E454" s="15"/>
      <c r="F454" s="15"/>
      <c r="G454" s="387"/>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c r="AG454" s="15"/>
      <c r="AH454" s="15"/>
    </row>
    <row r="455" ht="16.5" customHeight="1">
      <c r="A455" s="15"/>
      <c r="B455" s="15"/>
      <c r="C455" s="21"/>
      <c r="D455" s="15"/>
      <c r="E455" s="15"/>
      <c r="F455" s="15"/>
      <c r="G455" s="387"/>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c r="AG455" s="15"/>
      <c r="AH455" s="15"/>
    </row>
    <row r="456" ht="16.5" customHeight="1">
      <c r="A456" s="15"/>
      <c r="B456" s="15"/>
      <c r="C456" s="21"/>
      <c r="D456" s="15"/>
      <c r="E456" s="15"/>
      <c r="F456" s="15"/>
      <c r="G456" s="387"/>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c r="AG456" s="15"/>
      <c r="AH456" s="15"/>
    </row>
    <row r="457" ht="16.5" customHeight="1">
      <c r="A457" s="15"/>
      <c r="B457" s="15"/>
      <c r="C457" s="21"/>
      <c r="D457" s="15"/>
      <c r="E457" s="15"/>
      <c r="F457" s="15"/>
      <c r="G457" s="387"/>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c r="AG457" s="15"/>
      <c r="AH457" s="15"/>
    </row>
    <row r="458" ht="16.5" customHeight="1">
      <c r="A458" s="15"/>
      <c r="B458" s="15"/>
      <c r="C458" s="21"/>
      <c r="D458" s="15"/>
      <c r="E458" s="15"/>
      <c r="F458" s="15"/>
      <c r="G458" s="387"/>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c r="AG458" s="15"/>
      <c r="AH458" s="15"/>
    </row>
    <row r="459" ht="16.5" customHeight="1">
      <c r="A459" s="15"/>
      <c r="B459" s="15"/>
      <c r="C459" s="21"/>
      <c r="D459" s="15"/>
      <c r="E459" s="15"/>
      <c r="F459" s="15"/>
      <c r="G459" s="387"/>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c r="AG459" s="15"/>
      <c r="AH459" s="15"/>
    </row>
    <row r="460" ht="16.5" customHeight="1">
      <c r="A460" s="15"/>
      <c r="B460" s="15"/>
      <c r="C460" s="21"/>
      <c r="D460" s="15"/>
      <c r="E460" s="15"/>
      <c r="F460" s="15"/>
      <c r="G460" s="387"/>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c r="AG460" s="15"/>
      <c r="AH460" s="15"/>
    </row>
    <row r="461" ht="16.5" customHeight="1">
      <c r="A461" s="15"/>
      <c r="B461" s="15"/>
      <c r="C461" s="21"/>
      <c r="D461" s="15"/>
      <c r="E461" s="15"/>
      <c r="F461" s="15"/>
      <c r="G461" s="387"/>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c r="AG461" s="15"/>
      <c r="AH461" s="15"/>
    </row>
    <row r="462" ht="16.5" customHeight="1">
      <c r="A462" s="15"/>
      <c r="B462" s="15"/>
      <c r="C462" s="21"/>
      <c r="D462" s="15"/>
      <c r="E462" s="15"/>
      <c r="F462" s="15"/>
      <c r="G462" s="387"/>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c r="AG462" s="15"/>
      <c r="AH462" s="15"/>
    </row>
    <row r="463" ht="16.5" customHeight="1">
      <c r="A463" s="15"/>
      <c r="B463" s="15"/>
      <c r="C463" s="21"/>
      <c r="D463" s="15"/>
      <c r="E463" s="15"/>
      <c r="F463" s="15"/>
      <c r="G463" s="387"/>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c r="AG463" s="15"/>
      <c r="AH463" s="15"/>
    </row>
    <row r="464" ht="16.5" customHeight="1">
      <c r="A464" s="15"/>
      <c r="B464" s="15"/>
      <c r="C464" s="21"/>
      <c r="D464" s="15"/>
      <c r="E464" s="15"/>
      <c r="F464" s="15"/>
      <c r="G464" s="387"/>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c r="AG464" s="15"/>
      <c r="AH464" s="15"/>
    </row>
    <row r="465" ht="16.5" customHeight="1">
      <c r="A465" s="15"/>
      <c r="B465" s="15"/>
      <c r="C465" s="21"/>
      <c r="D465" s="15"/>
      <c r="E465" s="15"/>
      <c r="F465" s="15"/>
      <c r="G465" s="387"/>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c r="AG465" s="15"/>
      <c r="AH465" s="15"/>
    </row>
    <row r="466" ht="16.5" customHeight="1">
      <c r="A466" s="15"/>
      <c r="B466" s="15"/>
      <c r="C466" s="21"/>
      <c r="D466" s="15"/>
      <c r="E466" s="15"/>
      <c r="F466" s="15"/>
      <c r="G466" s="387"/>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c r="AG466" s="15"/>
      <c r="AH466" s="15"/>
    </row>
    <row r="467" ht="16.5" customHeight="1">
      <c r="A467" s="15"/>
      <c r="B467" s="15"/>
      <c r="C467" s="21"/>
      <c r="D467" s="15"/>
      <c r="E467" s="15"/>
      <c r="F467" s="15"/>
      <c r="G467" s="387"/>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c r="AG467" s="15"/>
      <c r="AH467" s="15"/>
    </row>
    <row r="468" ht="16.5" customHeight="1">
      <c r="A468" s="15"/>
      <c r="B468" s="15"/>
      <c r="C468" s="21"/>
      <c r="D468" s="15"/>
      <c r="E468" s="15"/>
      <c r="F468" s="15"/>
      <c r="G468" s="387"/>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c r="AG468" s="15"/>
      <c r="AH468" s="15"/>
    </row>
    <row r="469" ht="16.5" customHeight="1">
      <c r="A469" s="15"/>
      <c r="B469" s="15"/>
      <c r="C469" s="21"/>
      <c r="D469" s="15"/>
      <c r="E469" s="15"/>
      <c r="F469" s="15"/>
      <c r="G469" s="387"/>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c r="AG469" s="15"/>
      <c r="AH469" s="15"/>
    </row>
    <row r="470" ht="16.5" customHeight="1">
      <c r="A470" s="15"/>
      <c r="B470" s="15"/>
      <c r="C470" s="21"/>
      <c r="D470" s="15"/>
      <c r="E470" s="15"/>
      <c r="F470" s="15"/>
      <c r="G470" s="387"/>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c r="AG470" s="15"/>
      <c r="AH470" s="15"/>
    </row>
    <row r="471" ht="16.5" customHeight="1">
      <c r="A471" s="15"/>
      <c r="B471" s="15"/>
      <c r="C471" s="21"/>
      <c r="D471" s="15"/>
      <c r="E471" s="15"/>
      <c r="F471" s="15"/>
      <c r="G471" s="387"/>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c r="AG471" s="15"/>
      <c r="AH471" s="15"/>
    </row>
    <row r="472" ht="16.5" customHeight="1">
      <c r="A472" s="15"/>
      <c r="B472" s="15"/>
      <c r="C472" s="21"/>
      <c r="D472" s="15"/>
      <c r="E472" s="15"/>
      <c r="F472" s="15"/>
      <c r="G472" s="387"/>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c r="AG472" s="15"/>
      <c r="AH472" s="15"/>
    </row>
    <row r="473" ht="16.5" customHeight="1">
      <c r="A473" s="15"/>
      <c r="B473" s="15"/>
      <c r="C473" s="21"/>
      <c r="D473" s="15"/>
      <c r="E473" s="15"/>
      <c r="F473" s="15"/>
      <c r="G473" s="387"/>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c r="AG473" s="15"/>
      <c r="AH473" s="15"/>
    </row>
    <row r="474" ht="16.5" customHeight="1">
      <c r="A474" s="15"/>
      <c r="B474" s="15"/>
      <c r="C474" s="21"/>
      <c r="D474" s="15"/>
      <c r="E474" s="15"/>
      <c r="F474" s="15"/>
      <c r="G474" s="387"/>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c r="AG474" s="15"/>
      <c r="AH474" s="15"/>
    </row>
    <row r="475" ht="16.5" customHeight="1">
      <c r="A475" s="15"/>
      <c r="B475" s="15"/>
      <c r="C475" s="21"/>
      <c r="D475" s="15"/>
      <c r="E475" s="15"/>
      <c r="F475" s="15"/>
      <c r="G475" s="387"/>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c r="AG475" s="15"/>
      <c r="AH475" s="15"/>
    </row>
    <row r="476" ht="16.5" customHeight="1">
      <c r="A476" s="15"/>
      <c r="B476" s="15"/>
      <c r="C476" s="21"/>
      <c r="D476" s="15"/>
      <c r="E476" s="15"/>
      <c r="F476" s="15"/>
      <c r="G476" s="387"/>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c r="AG476" s="15"/>
      <c r="AH476" s="15"/>
    </row>
    <row r="477" ht="16.5" customHeight="1">
      <c r="A477" s="15"/>
      <c r="B477" s="15"/>
      <c r="C477" s="21"/>
      <c r="D477" s="15"/>
      <c r="E477" s="15"/>
      <c r="F477" s="15"/>
      <c r="G477" s="387"/>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c r="AG477" s="15"/>
      <c r="AH477" s="15"/>
    </row>
    <row r="478" ht="16.5" customHeight="1">
      <c r="A478" s="15"/>
      <c r="B478" s="15"/>
      <c r="C478" s="21"/>
      <c r="D478" s="15"/>
      <c r="E478" s="15"/>
      <c r="F478" s="15"/>
      <c r="G478" s="387"/>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c r="AG478" s="15"/>
      <c r="AH478" s="15"/>
    </row>
    <row r="479" ht="16.5" customHeight="1">
      <c r="A479" s="15"/>
      <c r="B479" s="15"/>
      <c r="C479" s="21"/>
      <c r="D479" s="15"/>
      <c r="E479" s="15"/>
      <c r="F479" s="15"/>
      <c r="G479" s="387"/>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c r="AG479" s="15"/>
      <c r="AH479" s="15"/>
    </row>
    <row r="480" ht="16.5" customHeight="1">
      <c r="A480" s="15"/>
      <c r="B480" s="15"/>
      <c r="C480" s="21"/>
      <c r="D480" s="15"/>
      <c r="E480" s="15"/>
      <c r="F480" s="15"/>
      <c r="G480" s="387"/>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c r="AG480" s="15"/>
      <c r="AH480" s="15"/>
    </row>
    <row r="481" ht="16.5" customHeight="1">
      <c r="A481" s="15"/>
      <c r="B481" s="15"/>
      <c r="C481" s="21"/>
      <c r="D481" s="15"/>
      <c r="E481" s="15"/>
      <c r="F481" s="15"/>
      <c r="G481" s="387"/>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c r="AG481" s="15"/>
      <c r="AH481" s="15"/>
    </row>
    <row r="482" ht="16.5" customHeight="1">
      <c r="A482" s="15"/>
      <c r="B482" s="15"/>
      <c r="C482" s="21"/>
      <c r="D482" s="15"/>
      <c r="E482" s="15"/>
      <c r="F482" s="15"/>
      <c r="G482" s="387"/>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c r="AG482" s="15"/>
      <c r="AH482" s="15"/>
    </row>
    <row r="483" ht="16.5" customHeight="1">
      <c r="A483" s="15"/>
      <c r="B483" s="15"/>
      <c r="C483" s="21"/>
      <c r="D483" s="15"/>
      <c r="E483" s="15"/>
      <c r="F483" s="15"/>
      <c r="G483" s="387"/>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c r="AG483" s="15"/>
      <c r="AH483" s="15"/>
    </row>
    <row r="484" ht="16.5" customHeight="1">
      <c r="A484" s="15"/>
      <c r="B484" s="15"/>
      <c r="C484" s="21"/>
      <c r="D484" s="15"/>
      <c r="E484" s="15"/>
      <c r="F484" s="15"/>
      <c r="G484" s="387"/>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c r="AG484" s="15"/>
      <c r="AH484" s="15"/>
    </row>
    <row r="485" ht="16.5" customHeight="1">
      <c r="A485" s="15"/>
      <c r="B485" s="15"/>
      <c r="C485" s="21"/>
      <c r="D485" s="15"/>
      <c r="E485" s="15"/>
      <c r="F485" s="15"/>
      <c r="G485" s="387"/>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c r="AG485" s="15"/>
      <c r="AH485" s="15"/>
    </row>
    <row r="486" ht="16.5" customHeight="1">
      <c r="A486" s="15"/>
      <c r="B486" s="15"/>
      <c r="C486" s="21"/>
      <c r="D486" s="15"/>
      <c r="E486" s="15"/>
      <c r="F486" s="15"/>
      <c r="G486" s="387"/>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c r="AG486" s="15"/>
      <c r="AH486" s="15"/>
    </row>
    <row r="487" ht="16.5" customHeight="1">
      <c r="A487" s="15"/>
      <c r="B487" s="15"/>
      <c r="C487" s="21"/>
      <c r="D487" s="15"/>
      <c r="E487" s="15"/>
      <c r="F487" s="15"/>
      <c r="G487" s="387"/>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c r="AG487" s="15"/>
      <c r="AH487" s="15"/>
    </row>
    <row r="488" ht="16.5" customHeight="1">
      <c r="A488" s="15"/>
      <c r="B488" s="15"/>
      <c r="C488" s="21"/>
      <c r="D488" s="15"/>
      <c r="E488" s="15"/>
      <c r="F488" s="15"/>
      <c r="G488" s="387"/>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c r="AG488" s="15"/>
      <c r="AH488" s="15"/>
    </row>
    <row r="489" ht="16.5" customHeight="1">
      <c r="A489" s="15"/>
      <c r="B489" s="15"/>
      <c r="C489" s="21"/>
      <c r="D489" s="15"/>
      <c r="E489" s="15"/>
      <c r="F489" s="15"/>
      <c r="G489" s="387"/>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c r="AG489" s="15"/>
      <c r="AH489" s="15"/>
    </row>
    <row r="490" ht="16.5" customHeight="1">
      <c r="A490" s="15"/>
      <c r="B490" s="15"/>
      <c r="C490" s="21"/>
      <c r="D490" s="15"/>
      <c r="E490" s="15"/>
      <c r="F490" s="15"/>
      <c r="G490" s="387"/>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c r="AG490" s="15"/>
      <c r="AH490" s="15"/>
    </row>
    <row r="491" ht="16.5" customHeight="1">
      <c r="A491" s="15"/>
      <c r="B491" s="15"/>
      <c r="C491" s="21"/>
      <c r="D491" s="15"/>
      <c r="E491" s="15"/>
      <c r="F491" s="15"/>
      <c r="G491" s="387"/>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c r="AG491" s="15"/>
      <c r="AH491" s="15"/>
    </row>
    <row r="492" ht="16.5" customHeight="1">
      <c r="A492" s="15"/>
      <c r="B492" s="15"/>
      <c r="C492" s="21"/>
      <c r="D492" s="15"/>
      <c r="E492" s="15"/>
      <c r="F492" s="15"/>
      <c r="G492" s="387"/>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c r="AG492" s="15"/>
      <c r="AH492" s="15"/>
    </row>
    <row r="493" ht="16.5" customHeight="1">
      <c r="A493" s="15"/>
      <c r="B493" s="15"/>
      <c r="C493" s="21"/>
      <c r="D493" s="15"/>
      <c r="E493" s="15"/>
      <c r="F493" s="15"/>
      <c r="G493" s="387"/>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c r="AG493" s="15"/>
      <c r="AH493" s="15"/>
    </row>
    <row r="494" ht="16.5" customHeight="1">
      <c r="A494" s="15"/>
      <c r="B494" s="15"/>
      <c r="C494" s="21"/>
      <c r="D494" s="15"/>
      <c r="E494" s="15"/>
      <c r="F494" s="15"/>
      <c r="G494" s="387"/>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c r="AG494" s="15"/>
      <c r="AH494" s="15"/>
    </row>
    <row r="495" ht="16.5" customHeight="1">
      <c r="A495" s="15"/>
      <c r="B495" s="15"/>
      <c r="C495" s="21"/>
      <c r="D495" s="15"/>
      <c r="E495" s="15"/>
      <c r="F495" s="15"/>
      <c r="G495" s="387"/>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c r="AG495" s="15"/>
      <c r="AH495" s="15"/>
    </row>
    <row r="496" ht="16.5" customHeight="1">
      <c r="A496" s="15"/>
      <c r="B496" s="15"/>
      <c r="C496" s="21"/>
      <c r="D496" s="15"/>
      <c r="E496" s="15"/>
      <c r="F496" s="15"/>
      <c r="G496" s="387"/>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c r="AG496" s="15"/>
      <c r="AH496" s="15"/>
    </row>
    <row r="497" ht="16.5" customHeight="1">
      <c r="A497" s="15"/>
      <c r="B497" s="15"/>
      <c r="C497" s="21"/>
      <c r="D497" s="15"/>
      <c r="E497" s="15"/>
      <c r="F497" s="15"/>
      <c r="G497" s="387"/>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c r="AG497" s="15"/>
      <c r="AH497" s="15"/>
    </row>
    <row r="498" ht="16.5" customHeight="1">
      <c r="A498" s="15"/>
      <c r="B498" s="15"/>
      <c r="C498" s="21"/>
      <c r="D498" s="15"/>
      <c r="E498" s="15"/>
      <c r="F498" s="15"/>
      <c r="G498" s="387"/>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c r="AG498" s="15"/>
      <c r="AH498" s="15"/>
    </row>
    <row r="499" ht="16.5" customHeight="1">
      <c r="A499" s="15"/>
      <c r="B499" s="15"/>
      <c r="C499" s="21"/>
      <c r="D499" s="15"/>
      <c r="E499" s="15"/>
      <c r="F499" s="15"/>
      <c r="G499" s="387"/>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c r="AG499" s="15"/>
      <c r="AH499" s="15"/>
    </row>
    <row r="500" ht="16.5" customHeight="1">
      <c r="A500" s="15"/>
      <c r="B500" s="15"/>
      <c r="C500" s="21"/>
      <c r="D500" s="15"/>
      <c r="E500" s="15"/>
      <c r="F500" s="15"/>
      <c r="G500" s="387"/>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c r="AG500" s="15"/>
      <c r="AH500" s="15"/>
    </row>
    <row r="501" ht="16.5" customHeight="1">
      <c r="A501" s="15"/>
      <c r="B501" s="15"/>
      <c r="C501" s="21"/>
      <c r="D501" s="15"/>
      <c r="E501" s="15"/>
      <c r="F501" s="15"/>
      <c r="G501" s="387"/>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c r="AG501" s="15"/>
      <c r="AH501" s="15"/>
    </row>
    <row r="502" ht="16.5" customHeight="1">
      <c r="A502" s="15"/>
      <c r="B502" s="15"/>
      <c r="C502" s="21"/>
      <c r="D502" s="15"/>
      <c r="E502" s="15"/>
      <c r="F502" s="15"/>
      <c r="G502" s="387"/>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c r="AG502" s="15"/>
      <c r="AH502" s="15"/>
    </row>
    <row r="503" ht="16.5" customHeight="1">
      <c r="A503" s="15"/>
      <c r="B503" s="15"/>
      <c r="C503" s="21"/>
      <c r="D503" s="15"/>
      <c r="E503" s="15"/>
      <c r="F503" s="15"/>
      <c r="G503" s="387"/>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c r="AG503" s="15"/>
      <c r="AH503" s="15"/>
    </row>
    <row r="504" ht="16.5" customHeight="1">
      <c r="A504" s="15"/>
      <c r="B504" s="15"/>
      <c r="C504" s="21"/>
      <c r="D504" s="15"/>
      <c r="E504" s="15"/>
      <c r="F504" s="15"/>
      <c r="G504" s="387"/>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c r="AG504" s="15"/>
      <c r="AH504" s="15"/>
    </row>
    <row r="505" ht="16.5" customHeight="1">
      <c r="A505" s="15"/>
      <c r="B505" s="15"/>
      <c r="C505" s="21"/>
      <c r="D505" s="15"/>
      <c r="E505" s="15"/>
      <c r="F505" s="15"/>
      <c r="G505" s="387"/>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c r="AG505" s="15"/>
      <c r="AH505" s="15"/>
    </row>
    <row r="506" ht="16.5" customHeight="1">
      <c r="A506" s="15"/>
      <c r="B506" s="15"/>
      <c r="C506" s="21"/>
      <c r="D506" s="15"/>
      <c r="E506" s="15"/>
      <c r="F506" s="15"/>
      <c r="G506" s="387"/>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c r="AG506" s="15"/>
      <c r="AH506" s="15"/>
    </row>
    <row r="507" ht="16.5" customHeight="1">
      <c r="A507" s="15"/>
      <c r="B507" s="15"/>
      <c r="C507" s="21"/>
      <c r="D507" s="15"/>
      <c r="E507" s="15"/>
      <c r="F507" s="15"/>
      <c r="G507" s="387"/>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c r="AG507" s="15"/>
      <c r="AH507" s="15"/>
    </row>
    <row r="508" ht="16.5" customHeight="1">
      <c r="A508" s="15"/>
      <c r="B508" s="15"/>
      <c r="C508" s="21"/>
      <c r="D508" s="15"/>
      <c r="E508" s="15"/>
      <c r="F508" s="15"/>
      <c r="G508" s="387"/>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c r="AG508" s="15"/>
      <c r="AH508" s="15"/>
    </row>
    <row r="509" ht="16.5" customHeight="1">
      <c r="A509" s="15"/>
      <c r="B509" s="15"/>
      <c r="C509" s="21"/>
      <c r="D509" s="15"/>
      <c r="E509" s="15"/>
      <c r="F509" s="15"/>
      <c r="G509" s="387"/>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c r="AG509" s="15"/>
      <c r="AH509" s="15"/>
    </row>
    <row r="510" ht="16.5" customHeight="1">
      <c r="A510" s="15"/>
      <c r="B510" s="15"/>
      <c r="C510" s="21"/>
      <c r="D510" s="15"/>
      <c r="E510" s="15"/>
      <c r="F510" s="15"/>
      <c r="G510" s="387"/>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c r="AG510" s="15"/>
      <c r="AH510" s="15"/>
    </row>
    <row r="511" ht="16.5" customHeight="1">
      <c r="A511" s="15"/>
      <c r="B511" s="15"/>
      <c r="C511" s="21"/>
      <c r="D511" s="15"/>
      <c r="E511" s="15"/>
      <c r="F511" s="15"/>
      <c r="G511" s="387"/>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c r="AG511" s="15"/>
      <c r="AH511" s="15"/>
    </row>
    <row r="512" ht="16.5" customHeight="1">
      <c r="A512" s="15"/>
      <c r="B512" s="15"/>
      <c r="C512" s="21"/>
      <c r="D512" s="15"/>
      <c r="E512" s="15"/>
      <c r="F512" s="15"/>
      <c r="G512" s="387"/>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c r="AG512" s="15"/>
      <c r="AH512" s="15"/>
    </row>
    <row r="513" ht="16.5" customHeight="1">
      <c r="A513" s="15"/>
      <c r="B513" s="15"/>
      <c r="C513" s="21"/>
      <c r="D513" s="15"/>
      <c r="E513" s="15"/>
      <c r="F513" s="15"/>
      <c r="G513" s="387"/>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c r="AG513" s="15"/>
      <c r="AH513" s="15"/>
    </row>
    <row r="514" ht="16.5" customHeight="1">
      <c r="A514" s="15"/>
      <c r="B514" s="15"/>
      <c r="C514" s="21"/>
      <c r="D514" s="15"/>
      <c r="E514" s="15"/>
      <c r="F514" s="15"/>
      <c r="G514" s="387"/>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c r="AG514" s="15"/>
      <c r="AH514" s="15"/>
    </row>
    <row r="515" ht="16.5" customHeight="1">
      <c r="A515" s="15"/>
      <c r="B515" s="15"/>
      <c r="C515" s="21"/>
      <c r="D515" s="15"/>
      <c r="E515" s="15"/>
      <c r="F515" s="15"/>
      <c r="G515" s="387"/>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c r="AG515" s="15"/>
      <c r="AH515" s="15"/>
    </row>
    <row r="516" ht="16.5" customHeight="1">
      <c r="A516" s="15"/>
      <c r="B516" s="15"/>
      <c r="C516" s="21"/>
      <c r="D516" s="15"/>
      <c r="E516" s="15"/>
      <c r="F516" s="15"/>
      <c r="G516" s="387"/>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c r="AG516" s="15"/>
      <c r="AH516" s="15"/>
    </row>
    <row r="517" ht="16.5" customHeight="1">
      <c r="A517" s="15"/>
      <c r="B517" s="15"/>
      <c r="C517" s="21"/>
      <c r="D517" s="15"/>
      <c r="E517" s="15"/>
      <c r="F517" s="15"/>
      <c r="G517" s="387"/>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c r="AG517" s="15"/>
      <c r="AH517" s="15"/>
    </row>
    <row r="518" ht="16.5" customHeight="1">
      <c r="A518" s="15"/>
      <c r="B518" s="15"/>
      <c r="C518" s="21"/>
      <c r="D518" s="15"/>
      <c r="E518" s="15"/>
      <c r="F518" s="15"/>
      <c r="G518" s="387"/>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c r="AG518" s="15"/>
      <c r="AH518" s="15"/>
    </row>
    <row r="519" ht="16.5" customHeight="1">
      <c r="A519" s="15"/>
      <c r="B519" s="15"/>
      <c r="C519" s="21"/>
      <c r="D519" s="15"/>
      <c r="E519" s="15"/>
      <c r="F519" s="15"/>
      <c r="G519" s="387"/>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c r="AG519" s="15"/>
      <c r="AH519" s="15"/>
    </row>
    <row r="520" ht="16.5" customHeight="1">
      <c r="A520" s="15"/>
      <c r="B520" s="15"/>
      <c r="C520" s="21"/>
      <c r="D520" s="15"/>
      <c r="E520" s="15"/>
      <c r="F520" s="15"/>
      <c r="G520" s="387"/>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c r="AG520" s="15"/>
      <c r="AH520" s="15"/>
    </row>
    <row r="521" ht="16.5" customHeight="1">
      <c r="A521" s="15"/>
      <c r="B521" s="15"/>
      <c r="C521" s="21"/>
      <c r="D521" s="15"/>
      <c r="E521" s="15"/>
      <c r="F521" s="15"/>
      <c r="G521" s="387"/>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c r="AG521" s="15"/>
      <c r="AH521" s="15"/>
    </row>
    <row r="522" ht="16.5" customHeight="1">
      <c r="A522" s="15"/>
      <c r="B522" s="15"/>
      <c r="C522" s="21"/>
      <c r="D522" s="15"/>
      <c r="E522" s="15"/>
      <c r="F522" s="15"/>
      <c r="G522" s="387"/>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c r="AG522" s="15"/>
      <c r="AH522" s="15"/>
    </row>
    <row r="523" ht="16.5" customHeight="1">
      <c r="A523" s="15"/>
      <c r="B523" s="15"/>
      <c r="C523" s="21"/>
      <c r="D523" s="15"/>
      <c r="E523" s="15"/>
      <c r="F523" s="15"/>
      <c r="G523" s="387"/>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c r="AG523" s="15"/>
      <c r="AH523" s="15"/>
    </row>
    <row r="524" ht="16.5" customHeight="1">
      <c r="A524" s="15"/>
      <c r="B524" s="15"/>
      <c r="C524" s="21"/>
      <c r="D524" s="15"/>
      <c r="E524" s="15"/>
      <c r="F524" s="15"/>
      <c r="G524" s="387"/>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c r="AG524" s="15"/>
      <c r="AH524" s="15"/>
    </row>
    <row r="525" ht="16.5" customHeight="1">
      <c r="A525" s="15"/>
      <c r="B525" s="15"/>
      <c r="C525" s="21"/>
      <c r="D525" s="15"/>
      <c r="E525" s="15"/>
      <c r="F525" s="15"/>
      <c r="G525" s="387"/>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c r="AG525" s="15"/>
      <c r="AH525" s="15"/>
    </row>
    <row r="526" ht="16.5" customHeight="1">
      <c r="A526" s="15"/>
      <c r="B526" s="15"/>
      <c r="C526" s="21"/>
      <c r="D526" s="15"/>
      <c r="E526" s="15"/>
      <c r="F526" s="15"/>
      <c r="G526" s="387"/>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c r="AG526" s="15"/>
      <c r="AH526" s="15"/>
    </row>
    <row r="527" ht="16.5" customHeight="1">
      <c r="A527" s="15"/>
      <c r="B527" s="15"/>
      <c r="C527" s="21"/>
      <c r="D527" s="15"/>
      <c r="E527" s="15"/>
      <c r="F527" s="15"/>
      <c r="G527" s="387"/>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c r="AG527" s="15"/>
      <c r="AH527" s="15"/>
    </row>
    <row r="528" ht="16.5" customHeight="1">
      <c r="A528" s="15"/>
      <c r="B528" s="15"/>
      <c r="C528" s="21"/>
      <c r="D528" s="15"/>
      <c r="E528" s="15"/>
      <c r="F528" s="15"/>
      <c r="G528" s="387"/>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c r="AG528" s="15"/>
      <c r="AH528" s="15"/>
    </row>
    <row r="529" ht="16.5" customHeight="1">
      <c r="A529" s="15"/>
      <c r="B529" s="15"/>
      <c r="C529" s="21"/>
      <c r="D529" s="15"/>
      <c r="E529" s="15"/>
      <c r="F529" s="15"/>
      <c r="G529" s="387"/>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c r="AG529" s="15"/>
      <c r="AH529" s="15"/>
    </row>
    <row r="530" ht="16.5" customHeight="1">
      <c r="A530" s="15"/>
      <c r="B530" s="15"/>
      <c r="C530" s="21"/>
      <c r="D530" s="15"/>
      <c r="E530" s="15"/>
      <c r="F530" s="15"/>
      <c r="G530" s="387"/>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c r="AG530" s="15"/>
      <c r="AH530" s="15"/>
    </row>
    <row r="531" ht="16.5" customHeight="1">
      <c r="A531" s="15"/>
      <c r="B531" s="15"/>
      <c r="C531" s="21"/>
      <c r="D531" s="15"/>
      <c r="E531" s="15"/>
      <c r="F531" s="15"/>
      <c r="G531" s="387"/>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c r="AG531" s="15"/>
      <c r="AH531" s="15"/>
    </row>
    <row r="532" ht="16.5" customHeight="1">
      <c r="A532" s="15"/>
      <c r="B532" s="15"/>
      <c r="C532" s="21"/>
      <c r="D532" s="15"/>
      <c r="E532" s="15"/>
      <c r="F532" s="15"/>
      <c r="G532" s="387"/>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c r="AG532" s="15"/>
      <c r="AH532" s="15"/>
    </row>
    <row r="533" ht="16.5" customHeight="1">
      <c r="A533" s="15"/>
      <c r="B533" s="15"/>
      <c r="C533" s="21"/>
      <c r="D533" s="15"/>
      <c r="E533" s="15"/>
      <c r="F533" s="15"/>
      <c r="G533" s="387"/>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c r="AG533" s="15"/>
      <c r="AH533" s="15"/>
    </row>
    <row r="534" ht="16.5" customHeight="1">
      <c r="A534" s="15"/>
      <c r="B534" s="15"/>
      <c r="C534" s="21"/>
      <c r="D534" s="15"/>
      <c r="E534" s="15"/>
      <c r="F534" s="15"/>
      <c r="G534" s="387"/>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c r="AG534" s="15"/>
      <c r="AH534" s="15"/>
    </row>
    <row r="535" ht="16.5" customHeight="1">
      <c r="A535" s="15"/>
      <c r="B535" s="15"/>
      <c r="C535" s="21"/>
      <c r="D535" s="15"/>
      <c r="E535" s="15"/>
      <c r="F535" s="15"/>
      <c r="G535" s="387"/>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c r="AG535" s="15"/>
      <c r="AH535" s="15"/>
    </row>
    <row r="536" ht="16.5" customHeight="1">
      <c r="A536" s="15"/>
      <c r="B536" s="15"/>
      <c r="C536" s="21"/>
      <c r="D536" s="15"/>
      <c r="E536" s="15"/>
      <c r="F536" s="15"/>
      <c r="G536" s="387"/>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c r="AG536" s="15"/>
      <c r="AH536" s="15"/>
    </row>
    <row r="537" ht="16.5" customHeight="1">
      <c r="A537" s="15"/>
      <c r="B537" s="15"/>
      <c r="C537" s="21"/>
      <c r="D537" s="15"/>
      <c r="E537" s="15"/>
      <c r="F537" s="15"/>
      <c r="G537" s="387"/>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c r="AG537" s="15"/>
      <c r="AH537" s="15"/>
    </row>
    <row r="538" ht="16.5" customHeight="1">
      <c r="A538" s="15"/>
      <c r="B538" s="15"/>
      <c r="C538" s="21"/>
      <c r="D538" s="15"/>
      <c r="E538" s="15"/>
      <c r="F538" s="15"/>
      <c r="G538" s="387"/>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c r="AG538" s="15"/>
      <c r="AH538" s="15"/>
    </row>
    <row r="539" ht="16.5" customHeight="1">
      <c r="A539" s="15"/>
      <c r="B539" s="15"/>
      <c r="C539" s="21"/>
      <c r="D539" s="15"/>
      <c r="E539" s="15"/>
      <c r="F539" s="15"/>
      <c r="G539" s="387"/>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c r="AG539" s="15"/>
      <c r="AH539" s="15"/>
    </row>
    <row r="540" ht="16.5" customHeight="1">
      <c r="A540" s="15"/>
      <c r="B540" s="15"/>
      <c r="C540" s="21"/>
      <c r="D540" s="15"/>
      <c r="E540" s="15"/>
      <c r="F540" s="15"/>
      <c r="G540" s="387"/>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c r="AG540" s="15"/>
      <c r="AH540" s="15"/>
    </row>
    <row r="541" ht="16.5" customHeight="1">
      <c r="A541" s="15"/>
      <c r="B541" s="15"/>
      <c r="C541" s="21"/>
      <c r="D541" s="15"/>
      <c r="E541" s="15"/>
      <c r="F541" s="15"/>
      <c r="G541" s="387"/>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c r="AG541" s="15"/>
      <c r="AH541" s="15"/>
    </row>
    <row r="542" ht="16.5" customHeight="1">
      <c r="A542" s="15"/>
      <c r="B542" s="15"/>
      <c r="C542" s="21"/>
      <c r="D542" s="15"/>
      <c r="E542" s="15"/>
      <c r="F542" s="15"/>
      <c r="G542" s="387"/>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c r="AG542" s="15"/>
      <c r="AH542" s="15"/>
    </row>
    <row r="543" ht="16.5" customHeight="1">
      <c r="A543" s="15"/>
      <c r="B543" s="15"/>
      <c r="C543" s="21"/>
      <c r="D543" s="15"/>
      <c r="E543" s="15"/>
      <c r="F543" s="15"/>
      <c r="G543" s="387"/>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c r="AG543" s="15"/>
      <c r="AH543" s="15"/>
    </row>
    <row r="544" ht="16.5" customHeight="1">
      <c r="A544" s="15"/>
      <c r="B544" s="15"/>
      <c r="C544" s="21"/>
      <c r="D544" s="15"/>
      <c r="E544" s="15"/>
      <c r="F544" s="15"/>
      <c r="G544" s="387"/>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c r="AG544" s="15"/>
      <c r="AH544" s="15"/>
    </row>
    <row r="545" ht="16.5" customHeight="1">
      <c r="A545" s="15"/>
      <c r="B545" s="15"/>
      <c r="C545" s="21"/>
      <c r="D545" s="15"/>
      <c r="E545" s="15"/>
      <c r="F545" s="15"/>
      <c r="G545" s="387"/>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c r="AG545" s="15"/>
      <c r="AH545" s="15"/>
    </row>
    <row r="546" ht="16.5" customHeight="1">
      <c r="A546" s="15"/>
      <c r="B546" s="15"/>
      <c r="C546" s="21"/>
      <c r="D546" s="15"/>
      <c r="E546" s="15"/>
      <c r="F546" s="15"/>
      <c r="G546" s="387"/>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c r="AG546" s="15"/>
      <c r="AH546" s="15"/>
    </row>
    <row r="547" ht="16.5" customHeight="1">
      <c r="A547" s="15"/>
      <c r="B547" s="15"/>
      <c r="C547" s="21"/>
      <c r="D547" s="15"/>
      <c r="E547" s="15"/>
      <c r="F547" s="15"/>
      <c r="G547" s="387"/>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c r="AG547" s="15"/>
      <c r="AH547" s="15"/>
    </row>
    <row r="548" ht="16.5" customHeight="1">
      <c r="A548" s="15"/>
      <c r="B548" s="15"/>
      <c r="C548" s="21"/>
      <c r="D548" s="15"/>
      <c r="E548" s="15"/>
      <c r="F548" s="15"/>
      <c r="G548" s="387"/>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c r="AG548" s="15"/>
      <c r="AH548" s="15"/>
    </row>
    <row r="549" ht="16.5" customHeight="1">
      <c r="A549" s="15"/>
      <c r="B549" s="15"/>
      <c r="C549" s="21"/>
      <c r="D549" s="15"/>
      <c r="E549" s="15"/>
      <c r="F549" s="15"/>
      <c r="G549" s="387"/>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c r="AG549" s="15"/>
      <c r="AH549" s="15"/>
    </row>
    <row r="550" ht="16.5" customHeight="1">
      <c r="A550" s="15"/>
      <c r="B550" s="15"/>
      <c r="C550" s="21"/>
      <c r="D550" s="15"/>
      <c r="E550" s="15"/>
      <c r="F550" s="15"/>
      <c r="G550" s="387"/>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c r="AG550" s="15"/>
      <c r="AH550" s="15"/>
    </row>
    <row r="551" ht="16.5" customHeight="1">
      <c r="A551" s="15"/>
      <c r="B551" s="15"/>
      <c r="C551" s="21"/>
      <c r="D551" s="15"/>
      <c r="E551" s="15"/>
      <c r="F551" s="15"/>
      <c r="G551" s="387"/>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c r="AG551" s="15"/>
      <c r="AH551" s="15"/>
    </row>
    <row r="552" ht="16.5" customHeight="1">
      <c r="A552" s="15"/>
      <c r="B552" s="15"/>
      <c r="C552" s="21"/>
      <c r="D552" s="15"/>
      <c r="E552" s="15"/>
      <c r="F552" s="15"/>
      <c r="G552" s="387"/>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c r="AG552" s="15"/>
      <c r="AH552" s="15"/>
    </row>
    <row r="553" ht="16.5" customHeight="1">
      <c r="A553" s="15"/>
      <c r="B553" s="15"/>
      <c r="C553" s="21"/>
      <c r="D553" s="15"/>
      <c r="E553" s="15"/>
      <c r="F553" s="15"/>
      <c r="G553" s="387"/>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c r="AG553" s="15"/>
      <c r="AH553" s="15"/>
    </row>
    <row r="554" ht="16.5" customHeight="1">
      <c r="A554" s="15"/>
      <c r="B554" s="15"/>
      <c r="C554" s="21"/>
      <c r="D554" s="15"/>
      <c r="E554" s="15"/>
      <c r="F554" s="15"/>
      <c r="G554" s="387"/>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c r="AG554" s="15"/>
      <c r="AH554" s="15"/>
    </row>
    <row r="555" ht="16.5" customHeight="1">
      <c r="A555" s="15"/>
      <c r="B555" s="15"/>
      <c r="C555" s="21"/>
      <c r="D555" s="15"/>
      <c r="E555" s="15"/>
      <c r="F555" s="15"/>
      <c r="G555" s="387"/>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c r="AG555" s="15"/>
      <c r="AH555" s="15"/>
    </row>
    <row r="556" ht="16.5" customHeight="1">
      <c r="A556" s="15"/>
      <c r="B556" s="15"/>
      <c r="C556" s="21"/>
      <c r="D556" s="15"/>
      <c r="E556" s="15"/>
      <c r="F556" s="15"/>
      <c r="G556" s="387"/>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c r="AG556" s="15"/>
      <c r="AH556" s="15"/>
    </row>
    <row r="557" ht="16.5" customHeight="1">
      <c r="A557" s="15"/>
      <c r="B557" s="15"/>
      <c r="C557" s="21"/>
      <c r="D557" s="15"/>
      <c r="E557" s="15"/>
      <c r="F557" s="15"/>
      <c r="G557" s="387"/>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c r="AG557" s="15"/>
      <c r="AH557" s="15"/>
    </row>
    <row r="558" ht="16.5" customHeight="1">
      <c r="A558" s="15"/>
      <c r="B558" s="15"/>
      <c r="C558" s="21"/>
      <c r="D558" s="15"/>
      <c r="E558" s="15"/>
      <c r="F558" s="15"/>
      <c r="G558" s="387"/>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c r="AG558" s="15"/>
      <c r="AH558" s="15"/>
    </row>
    <row r="559" ht="16.5" customHeight="1">
      <c r="A559" s="15"/>
      <c r="B559" s="15"/>
      <c r="C559" s="21"/>
      <c r="D559" s="15"/>
      <c r="E559" s="15"/>
      <c r="F559" s="15"/>
      <c r="G559" s="387"/>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c r="AG559" s="15"/>
      <c r="AH559" s="15"/>
    </row>
    <row r="560" ht="16.5" customHeight="1">
      <c r="A560" s="15"/>
      <c r="B560" s="15"/>
      <c r="C560" s="21"/>
      <c r="D560" s="15"/>
      <c r="E560" s="15"/>
      <c r="F560" s="15"/>
      <c r="G560" s="387"/>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c r="AG560" s="15"/>
      <c r="AH560" s="15"/>
    </row>
    <row r="561" ht="16.5" customHeight="1">
      <c r="A561" s="15"/>
      <c r="B561" s="15"/>
      <c r="C561" s="21"/>
      <c r="D561" s="15"/>
      <c r="E561" s="15"/>
      <c r="F561" s="15"/>
      <c r="G561" s="387"/>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c r="AG561" s="15"/>
      <c r="AH561" s="15"/>
    </row>
    <row r="562" ht="16.5" customHeight="1">
      <c r="A562" s="15"/>
      <c r="B562" s="15"/>
      <c r="C562" s="21"/>
      <c r="D562" s="15"/>
      <c r="E562" s="15"/>
      <c r="F562" s="15"/>
      <c r="G562" s="387"/>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c r="AG562" s="15"/>
      <c r="AH562" s="15"/>
    </row>
    <row r="563" ht="16.5" customHeight="1">
      <c r="A563" s="15"/>
      <c r="B563" s="15"/>
      <c r="C563" s="21"/>
      <c r="D563" s="15"/>
      <c r="E563" s="15"/>
      <c r="F563" s="15"/>
      <c r="G563" s="387"/>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c r="AG563" s="15"/>
      <c r="AH563" s="15"/>
    </row>
    <row r="564" ht="16.5" customHeight="1">
      <c r="A564" s="15"/>
      <c r="B564" s="15"/>
      <c r="C564" s="21"/>
      <c r="D564" s="15"/>
      <c r="E564" s="15"/>
      <c r="F564" s="15"/>
      <c r="G564" s="387"/>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c r="AG564" s="15"/>
      <c r="AH564" s="15"/>
    </row>
    <row r="565" ht="16.5" customHeight="1">
      <c r="A565" s="15"/>
      <c r="B565" s="15"/>
      <c r="C565" s="21"/>
      <c r="D565" s="15"/>
      <c r="E565" s="15"/>
      <c r="F565" s="15"/>
      <c r="G565" s="387"/>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c r="AG565" s="15"/>
      <c r="AH565" s="15"/>
    </row>
    <row r="566" ht="16.5" customHeight="1">
      <c r="A566" s="15"/>
      <c r="B566" s="15"/>
      <c r="C566" s="21"/>
      <c r="D566" s="15"/>
      <c r="E566" s="15"/>
      <c r="F566" s="15"/>
      <c r="G566" s="387"/>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c r="AG566" s="15"/>
      <c r="AH566" s="15"/>
    </row>
    <row r="567" ht="16.5" customHeight="1">
      <c r="A567" s="15"/>
      <c r="B567" s="15"/>
      <c r="C567" s="21"/>
      <c r="D567" s="15"/>
      <c r="E567" s="15"/>
      <c r="F567" s="15"/>
      <c r="G567" s="387"/>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c r="AG567" s="15"/>
      <c r="AH567" s="15"/>
    </row>
    <row r="568" ht="16.5" customHeight="1">
      <c r="A568" s="15"/>
      <c r="B568" s="15"/>
      <c r="C568" s="21"/>
      <c r="D568" s="15"/>
      <c r="E568" s="15"/>
      <c r="F568" s="15"/>
      <c r="G568" s="387"/>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c r="AG568" s="15"/>
      <c r="AH568" s="15"/>
    </row>
    <row r="569" ht="16.5" customHeight="1">
      <c r="A569" s="15"/>
      <c r="B569" s="15"/>
      <c r="C569" s="21"/>
      <c r="D569" s="15"/>
      <c r="E569" s="15"/>
      <c r="F569" s="15"/>
      <c r="G569" s="387"/>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c r="AG569" s="15"/>
      <c r="AH569" s="15"/>
    </row>
    <row r="570" ht="16.5" customHeight="1">
      <c r="A570" s="15"/>
      <c r="B570" s="15"/>
      <c r="C570" s="21"/>
      <c r="D570" s="15"/>
      <c r="E570" s="15"/>
      <c r="F570" s="15"/>
      <c r="G570" s="387"/>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c r="AG570" s="15"/>
      <c r="AH570" s="15"/>
    </row>
    <row r="571" ht="16.5" customHeight="1">
      <c r="A571" s="15"/>
      <c r="B571" s="15"/>
      <c r="C571" s="21"/>
      <c r="D571" s="15"/>
      <c r="E571" s="15"/>
      <c r="F571" s="15"/>
      <c r="G571" s="387"/>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c r="AG571" s="15"/>
      <c r="AH571" s="15"/>
    </row>
    <row r="572" ht="16.5" customHeight="1">
      <c r="A572" s="15"/>
      <c r="B572" s="15"/>
      <c r="C572" s="21"/>
      <c r="D572" s="15"/>
      <c r="E572" s="15"/>
      <c r="F572" s="15"/>
      <c r="G572" s="387"/>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c r="AG572" s="15"/>
      <c r="AH572" s="15"/>
    </row>
    <row r="573" ht="16.5" customHeight="1">
      <c r="A573" s="15"/>
      <c r="B573" s="15"/>
      <c r="C573" s="21"/>
      <c r="D573" s="15"/>
      <c r="E573" s="15"/>
      <c r="F573" s="15"/>
      <c r="G573" s="387"/>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c r="AG573" s="15"/>
      <c r="AH573" s="15"/>
    </row>
    <row r="574" ht="16.5" customHeight="1">
      <c r="A574" s="15"/>
      <c r="B574" s="15"/>
      <c r="C574" s="21"/>
      <c r="D574" s="15"/>
      <c r="E574" s="15"/>
      <c r="F574" s="15"/>
      <c r="G574" s="387"/>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c r="AG574" s="15"/>
      <c r="AH574" s="15"/>
    </row>
    <row r="575" ht="16.5" customHeight="1">
      <c r="A575" s="15"/>
      <c r="B575" s="15"/>
      <c r="C575" s="21"/>
      <c r="D575" s="15"/>
      <c r="E575" s="15"/>
      <c r="F575" s="15"/>
      <c r="G575" s="387"/>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c r="AG575" s="15"/>
      <c r="AH575" s="15"/>
    </row>
    <row r="576" ht="16.5" customHeight="1">
      <c r="A576" s="15"/>
      <c r="B576" s="15"/>
      <c r="C576" s="21"/>
      <c r="D576" s="15"/>
      <c r="E576" s="15"/>
      <c r="F576" s="15"/>
      <c r="G576" s="387"/>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c r="AG576" s="15"/>
      <c r="AH576" s="15"/>
    </row>
    <row r="577" ht="16.5" customHeight="1">
      <c r="A577" s="15"/>
      <c r="B577" s="15"/>
      <c r="C577" s="21"/>
      <c r="D577" s="15"/>
      <c r="E577" s="15"/>
      <c r="F577" s="15"/>
      <c r="G577" s="387"/>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c r="AG577" s="15"/>
      <c r="AH577" s="15"/>
    </row>
    <row r="578" ht="16.5" customHeight="1">
      <c r="A578" s="15"/>
      <c r="B578" s="15"/>
      <c r="C578" s="21"/>
      <c r="D578" s="15"/>
      <c r="E578" s="15"/>
      <c r="F578" s="15"/>
      <c r="G578" s="387"/>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c r="AG578" s="15"/>
      <c r="AH578" s="15"/>
    </row>
    <row r="579" ht="16.5" customHeight="1">
      <c r="A579" s="15"/>
      <c r="B579" s="15"/>
      <c r="C579" s="21"/>
      <c r="D579" s="15"/>
      <c r="E579" s="15"/>
      <c r="F579" s="15"/>
      <c r="G579" s="387"/>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c r="AG579" s="15"/>
      <c r="AH579" s="15"/>
    </row>
    <row r="580" ht="16.5" customHeight="1">
      <c r="A580" s="15"/>
      <c r="B580" s="15"/>
      <c r="C580" s="21"/>
      <c r="D580" s="15"/>
      <c r="E580" s="15"/>
      <c r="F580" s="15"/>
      <c r="G580" s="387"/>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c r="AG580" s="15"/>
      <c r="AH580" s="15"/>
    </row>
    <row r="581" ht="16.5" customHeight="1">
      <c r="A581" s="15"/>
      <c r="B581" s="15"/>
      <c r="C581" s="21"/>
      <c r="D581" s="15"/>
      <c r="E581" s="15"/>
      <c r="F581" s="15"/>
      <c r="G581" s="387"/>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c r="AG581" s="15"/>
      <c r="AH581" s="15"/>
    </row>
    <row r="582" ht="16.5" customHeight="1">
      <c r="A582" s="15"/>
      <c r="B582" s="15"/>
      <c r="C582" s="21"/>
      <c r="D582" s="15"/>
      <c r="E582" s="15"/>
      <c r="F582" s="15"/>
      <c r="G582" s="387"/>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c r="AG582" s="15"/>
      <c r="AH582" s="15"/>
    </row>
    <row r="583" ht="16.5" customHeight="1">
      <c r="A583" s="15"/>
      <c r="B583" s="15"/>
      <c r="C583" s="21"/>
      <c r="D583" s="15"/>
      <c r="E583" s="15"/>
      <c r="F583" s="15"/>
      <c r="G583" s="387"/>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c r="AG583" s="15"/>
      <c r="AH583" s="15"/>
    </row>
    <row r="584" ht="16.5" customHeight="1">
      <c r="A584" s="15"/>
      <c r="B584" s="15"/>
      <c r="C584" s="21"/>
      <c r="D584" s="15"/>
      <c r="E584" s="15"/>
      <c r="F584" s="15"/>
      <c r="G584" s="387"/>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c r="AG584" s="15"/>
      <c r="AH584" s="15"/>
    </row>
    <row r="585" ht="16.5" customHeight="1">
      <c r="A585" s="15"/>
      <c r="B585" s="15"/>
      <c r="C585" s="21"/>
      <c r="D585" s="15"/>
      <c r="E585" s="15"/>
      <c r="F585" s="15"/>
      <c r="G585" s="387"/>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c r="AG585" s="15"/>
      <c r="AH585" s="15"/>
    </row>
    <row r="586" ht="16.5" customHeight="1">
      <c r="A586" s="15"/>
      <c r="B586" s="15"/>
      <c r="C586" s="21"/>
      <c r="D586" s="15"/>
      <c r="E586" s="15"/>
      <c r="F586" s="15"/>
      <c r="G586" s="387"/>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c r="AG586" s="15"/>
      <c r="AH586" s="15"/>
    </row>
    <row r="587" ht="16.5" customHeight="1">
      <c r="A587" s="15"/>
      <c r="B587" s="15"/>
      <c r="C587" s="21"/>
      <c r="D587" s="15"/>
      <c r="E587" s="15"/>
      <c r="F587" s="15"/>
      <c r="G587" s="387"/>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c r="AG587" s="15"/>
      <c r="AH587" s="15"/>
    </row>
    <row r="588" ht="16.5" customHeight="1">
      <c r="A588" s="15"/>
      <c r="B588" s="15"/>
      <c r="C588" s="21"/>
      <c r="D588" s="15"/>
      <c r="E588" s="15"/>
      <c r="F588" s="15"/>
      <c r="G588" s="387"/>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c r="AG588" s="15"/>
      <c r="AH588" s="15"/>
    </row>
    <row r="589" ht="16.5" customHeight="1">
      <c r="A589" s="15"/>
      <c r="B589" s="15"/>
      <c r="C589" s="21"/>
      <c r="D589" s="15"/>
      <c r="E589" s="15"/>
      <c r="F589" s="15"/>
      <c r="G589" s="387"/>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c r="AG589" s="15"/>
      <c r="AH589" s="15"/>
    </row>
    <row r="590" ht="16.5" customHeight="1">
      <c r="A590" s="15"/>
      <c r="B590" s="15"/>
      <c r="C590" s="21"/>
      <c r="D590" s="15"/>
      <c r="E590" s="15"/>
      <c r="F590" s="15"/>
      <c r="G590" s="387"/>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c r="AG590" s="15"/>
      <c r="AH590" s="15"/>
    </row>
    <row r="591" ht="16.5" customHeight="1">
      <c r="A591" s="15"/>
      <c r="B591" s="15"/>
      <c r="C591" s="21"/>
      <c r="D591" s="15"/>
      <c r="E591" s="15"/>
      <c r="F591" s="15"/>
      <c r="G591" s="387"/>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c r="AG591" s="15"/>
      <c r="AH591" s="15"/>
    </row>
    <row r="592" ht="16.5" customHeight="1">
      <c r="A592" s="15"/>
      <c r="B592" s="15"/>
      <c r="C592" s="21"/>
      <c r="D592" s="15"/>
      <c r="E592" s="15"/>
      <c r="F592" s="15"/>
      <c r="G592" s="387"/>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c r="AG592" s="15"/>
      <c r="AH592" s="15"/>
    </row>
    <row r="593" ht="16.5" customHeight="1">
      <c r="A593" s="15"/>
      <c r="B593" s="15"/>
      <c r="C593" s="21"/>
      <c r="D593" s="15"/>
      <c r="E593" s="15"/>
      <c r="F593" s="15"/>
      <c r="G593" s="387"/>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c r="AG593" s="15"/>
      <c r="AH593" s="15"/>
    </row>
    <row r="594" ht="16.5" customHeight="1">
      <c r="A594" s="15"/>
      <c r="B594" s="15"/>
      <c r="C594" s="21"/>
      <c r="D594" s="15"/>
      <c r="E594" s="15"/>
      <c r="F594" s="15"/>
      <c r="G594" s="387"/>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c r="AG594" s="15"/>
      <c r="AH594" s="15"/>
    </row>
    <row r="595" ht="16.5" customHeight="1">
      <c r="A595" s="15"/>
      <c r="B595" s="15"/>
      <c r="C595" s="21"/>
      <c r="D595" s="15"/>
      <c r="E595" s="15"/>
      <c r="F595" s="15"/>
      <c r="G595" s="387"/>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c r="AG595" s="15"/>
      <c r="AH595" s="15"/>
    </row>
    <row r="596" ht="16.5" customHeight="1">
      <c r="A596" s="15"/>
      <c r="B596" s="15"/>
      <c r="C596" s="21"/>
      <c r="D596" s="15"/>
      <c r="E596" s="15"/>
      <c r="F596" s="15"/>
      <c r="G596" s="387"/>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c r="AG596" s="15"/>
      <c r="AH596" s="15"/>
    </row>
    <row r="597" ht="16.5" customHeight="1">
      <c r="A597" s="15"/>
      <c r="B597" s="15"/>
      <c r="C597" s="21"/>
      <c r="D597" s="15"/>
      <c r="E597" s="15"/>
      <c r="F597" s="15"/>
      <c r="G597" s="387"/>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c r="AG597" s="15"/>
      <c r="AH597" s="15"/>
    </row>
    <row r="598" ht="16.5" customHeight="1">
      <c r="A598" s="15"/>
      <c r="B598" s="15"/>
      <c r="C598" s="21"/>
      <c r="D598" s="15"/>
      <c r="E598" s="15"/>
      <c r="F598" s="15"/>
      <c r="G598" s="387"/>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c r="AG598" s="15"/>
      <c r="AH598" s="15"/>
    </row>
    <row r="599" ht="16.5" customHeight="1">
      <c r="A599" s="15"/>
      <c r="B599" s="15"/>
      <c r="C599" s="21"/>
      <c r="D599" s="15"/>
      <c r="E599" s="15"/>
      <c r="F599" s="15"/>
      <c r="G599" s="387"/>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c r="AG599" s="15"/>
      <c r="AH599" s="15"/>
    </row>
    <row r="600" ht="16.5" customHeight="1">
      <c r="A600" s="15"/>
      <c r="B600" s="15"/>
      <c r="C600" s="21"/>
      <c r="D600" s="15"/>
      <c r="E600" s="15"/>
      <c r="F600" s="15"/>
      <c r="G600" s="387"/>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c r="AG600" s="15"/>
      <c r="AH600" s="15"/>
    </row>
    <row r="601" ht="16.5" customHeight="1">
      <c r="A601" s="15"/>
      <c r="B601" s="15"/>
      <c r="C601" s="21"/>
      <c r="D601" s="15"/>
      <c r="E601" s="15"/>
      <c r="F601" s="15"/>
      <c r="G601" s="387"/>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c r="AG601" s="15"/>
      <c r="AH601" s="15"/>
    </row>
    <row r="602" ht="16.5" customHeight="1">
      <c r="A602" s="15"/>
      <c r="B602" s="15"/>
      <c r="C602" s="21"/>
      <c r="D602" s="15"/>
      <c r="E602" s="15"/>
      <c r="F602" s="15"/>
      <c r="G602" s="387"/>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c r="AG602" s="15"/>
      <c r="AH602" s="15"/>
    </row>
    <row r="603" ht="16.5" customHeight="1">
      <c r="A603" s="15"/>
      <c r="B603" s="15"/>
      <c r="C603" s="21"/>
      <c r="D603" s="15"/>
      <c r="E603" s="15"/>
      <c r="F603" s="15"/>
      <c r="G603" s="387"/>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c r="AG603" s="15"/>
      <c r="AH603" s="15"/>
    </row>
    <row r="604" ht="16.5" customHeight="1">
      <c r="A604" s="15"/>
      <c r="B604" s="15"/>
      <c r="C604" s="21"/>
      <c r="D604" s="15"/>
      <c r="E604" s="15"/>
      <c r="F604" s="15"/>
      <c r="G604" s="387"/>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c r="AG604" s="15"/>
      <c r="AH604" s="15"/>
    </row>
    <row r="605" ht="16.5" customHeight="1">
      <c r="A605" s="15"/>
      <c r="B605" s="15"/>
      <c r="C605" s="21"/>
      <c r="D605" s="15"/>
      <c r="E605" s="15"/>
      <c r="F605" s="15"/>
      <c r="G605" s="387"/>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c r="AG605" s="15"/>
      <c r="AH605" s="15"/>
    </row>
    <row r="606" ht="16.5" customHeight="1">
      <c r="A606" s="15"/>
      <c r="B606" s="15"/>
      <c r="C606" s="21"/>
      <c r="D606" s="15"/>
      <c r="E606" s="15"/>
      <c r="F606" s="15"/>
      <c r="G606" s="387"/>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c r="AG606" s="15"/>
      <c r="AH606" s="15"/>
    </row>
    <row r="607" ht="16.5" customHeight="1">
      <c r="A607" s="15"/>
      <c r="B607" s="15"/>
      <c r="C607" s="21"/>
      <c r="D607" s="15"/>
      <c r="E607" s="15"/>
      <c r="F607" s="15"/>
      <c r="G607" s="387"/>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c r="AG607" s="15"/>
      <c r="AH607" s="15"/>
    </row>
    <row r="608" ht="16.5" customHeight="1">
      <c r="A608" s="15"/>
      <c r="B608" s="15"/>
      <c r="C608" s="21"/>
      <c r="D608" s="15"/>
      <c r="E608" s="15"/>
      <c r="F608" s="15"/>
      <c r="G608" s="387"/>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c r="AG608" s="15"/>
      <c r="AH608" s="15"/>
    </row>
    <row r="609" ht="16.5" customHeight="1">
      <c r="A609" s="15"/>
      <c r="B609" s="15"/>
      <c r="C609" s="21"/>
      <c r="D609" s="15"/>
      <c r="E609" s="15"/>
      <c r="F609" s="15"/>
      <c r="G609" s="387"/>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c r="AG609" s="15"/>
      <c r="AH609" s="15"/>
    </row>
    <row r="610" ht="16.5" customHeight="1">
      <c r="A610" s="15"/>
      <c r="B610" s="15"/>
      <c r="C610" s="21"/>
      <c r="D610" s="15"/>
      <c r="E610" s="15"/>
      <c r="F610" s="15"/>
      <c r="G610" s="387"/>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c r="AG610" s="15"/>
      <c r="AH610" s="15"/>
    </row>
    <row r="611" ht="16.5" customHeight="1">
      <c r="A611" s="15"/>
      <c r="B611" s="15"/>
      <c r="C611" s="21"/>
      <c r="D611" s="15"/>
      <c r="E611" s="15"/>
      <c r="F611" s="15"/>
      <c r="G611" s="387"/>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c r="AG611" s="15"/>
      <c r="AH611" s="15"/>
    </row>
    <row r="612" ht="16.5" customHeight="1">
      <c r="A612" s="15"/>
      <c r="B612" s="15"/>
      <c r="C612" s="21"/>
      <c r="D612" s="15"/>
      <c r="E612" s="15"/>
      <c r="F612" s="15"/>
      <c r="G612" s="387"/>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c r="AG612" s="15"/>
      <c r="AH612" s="15"/>
    </row>
    <row r="613" ht="16.5" customHeight="1">
      <c r="A613" s="15"/>
      <c r="B613" s="15"/>
      <c r="C613" s="21"/>
      <c r="D613" s="15"/>
      <c r="E613" s="15"/>
      <c r="F613" s="15"/>
      <c r="G613" s="387"/>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c r="AG613" s="15"/>
      <c r="AH613" s="15"/>
    </row>
    <row r="614" ht="16.5" customHeight="1">
      <c r="A614" s="15"/>
      <c r="B614" s="15"/>
      <c r="C614" s="21"/>
      <c r="D614" s="15"/>
      <c r="E614" s="15"/>
      <c r="F614" s="15"/>
      <c r="G614" s="387"/>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c r="AG614" s="15"/>
      <c r="AH614" s="15"/>
    </row>
    <row r="615" ht="16.5" customHeight="1">
      <c r="A615" s="15"/>
      <c r="B615" s="15"/>
      <c r="C615" s="21"/>
      <c r="D615" s="15"/>
      <c r="E615" s="15"/>
      <c r="F615" s="15"/>
      <c r="G615" s="387"/>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c r="AG615" s="15"/>
      <c r="AH615" s="15"/>
    </row>
    <row r="616" ht="16.5" customHeight="1">
      <c r="A616" s="15"/>
      <c r="B616" s="15"/>
      <c r="C616" s="21"/>
      <c r="D616" s="15"/>
      <c r="E616" s="15"/>
      <c r="F616" s="15"/>
      <c r="G616" s="387"/>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c r="AG616" s="15"/>
      <c r="AH616" s="15"/>
    </row>
    <row r="617" ht="16.5" customHeight="1">
      <c r="A617" s="15"/>
      <c r="B617" s="15"/>
      <c r="C617" s="21"/>
      <c r="D617" s="15"/>
      <c r="E617" s="15"/>
      <c r="F617" s="15"/>
      <c r="G617" s="387"/>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c r="AG617" s="15"/>
      <c r="AH617" s="15"/>
    </row>
    <row r="618" ht="16.5" customHeight="1">
      <c r="A618" s="15"/>
      <c r="B618" s="15"/>
      <c r="C618" s="21"/>
      <c r="D618" s="15"/>
      <c r="E618" s="15"/>
      <c r="F618" s="15"/>
      <c r="G618" s="387"/>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c r="AG618" s="15"/>
      <c r="AH618" s="15"/>
    </row>
    <row r="619" ht="16.5" customHeight="1">
      <c r="A619" s="15"/>
      <c r="B619" s="15"/>
      <c r="C619" s="21"/>
      <c r="D619" s="15"/>
      <c r="E619" s="15"/>
      <c r="F619" s="15"/>
      <c r="G619" s="387"/>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c r="AG619" s="15"/>
      <c r="AH619" s="15"/>
    </row>
    <row r="620" ht="16.5" customHeight="1">
      <c r="A620" s="15"/>
      <c r="B620" s="15"/>
      <c r="C620" s="21"/>
      <c r="D620" s="15"/>
      <c r="E620" s="15"/>
      <c r="F620" s="15"/>
      <c r="G620" s="387"/>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c r="AG620" s="15"/>
      <c r="AH620" s="15"/>
    </row>
    <row r="621" ht="16.5" customHeight="1">
      <c r="A621" s="15"/>
      <c r="B621" s="15"/>
      <c r="C621" s="21"/>
      <c r="D621" s="15"/>
      <c r="E621" s="15"/>
      <c r="F621" s="15"/>
      <c r="G621" s="387"/>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c r="AG621" s="15"/>
      <c r="AH621" s="15"/>
    </row>
    <row r="622" ht="16.5" customHeight="1">
      <c r="A622" s="15"/>
      <c r="B622" s="15"/>
      <c r="C622" s="21"/>
      <c r="D622" s="15"/>
      <c r="E622" s="15"/>
      <c r="F622" s="15"/>
      <c r="G622" s="387"/>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c r="AG622" s="15"/>
      <c r="AH622" s="15"/>
    </row>
    <row r="623" ht="16.5" customHeight="1">
      <c r="A623" s="15"/>
      <c r="B623" s="15"/>
      <c r="C623" s="21"/>
      <c r="D623" s="15"/>
      <c r="E623" s="15"/>
      <c r="F623" s="15"/>
      <c r="G623" s="387"/>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c r="AG623" s="15"/>
      <c r="AH623" s="15"/>
    </row>
    <row r="624" ht="16.5" customHeight="1">
      <c r="A624" s="15"/>
      <c r="B624" s="15"/>
      <c r="C624" s="21"/>
      <c r="D624" s="15"/>
      <c r="E624" s="15"/>
      <c r="F624" s="15"/>
      <c r="G624" s="387"/>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c r="AG624" s="15"/>
      <c r="AH624" s="15"/>
    </row>
    <row r="625" ht="16.5" customHeight="1">
      <c r="A625" s="15"/>
      <c r="B625" s="15"/>
      <c r="C625" s="21"/>
      <c r="D625" s="15"/>
      <c r="E625" s="15"/>
      <c r="F625" s="15"/>
      <c r="G625" s="387"/>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c r="AG625" s="15"/>
      <c r="AH625" s="15"/>
    </row>
    <row r="626" ht="16.5" customHeight="1">
      <c r="A626" s="15"/>
      <c r="B626" s="15"/>
      <c r="C626" s="21"/>
      <c r="D626" s="15"/>
      <c r="E626" s="15"/>
      <c r="F626" s="15"/>
      <c r="G626" s="387"/>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c r="AG626" s="15"/>
      <c r="AH626" s="15"/>
    </row>
    <row r="627" ht="16.5" customHeight="1">
      <c r="A627" s="15"/>
      <c r="B627" s="15"/>
      <c r="C627" s="21"/>
      <c r="D627" s="15"/>
      <c r="E627" s="15"/>
      <c r="F627" s="15"/>
      <c r="G627" s="387"/>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c r="AG627" s="15"/>
      <c r="AH627" s="15"/>
    </row>
    <row r="628" ht="16.5" customHeight="1">
      <c r="A628" s="15"/>
      <c r="B628" s="15"/>
      <c r="C628" s="21"/>
      <c r="D628" s="15"/>
      <c r="E628" s="15"/>
      <c r="F628" s="15"/>
      <c r="G628" s="387"/>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c r="AG628" s="15"/>
      <c r="AH628" s="15"/>
    </row>
    <row r="629" ht="16.5" customHeight="1">
      <c r="A629" s="15"/>
      <c r="B629" s="15"/>
      <c r="C629" s="21"/>
      <c r="D629" s="15"/>
      <c r="E629" s="15"/>
      <c r="F629" s="15"/>
      <c r="G629" s="387"/>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c r="AG629" s="15"/>
      <c r="AH629" s="15"/>
    </row>
    <row r="630" ht="16.5" customHeight="1">
      <c r="A630" s="15"/>
      <c r="B630" s="15"/>
      <c r="C630" s="21"/>
      <c r="D630" s="15"/>
      <c r="E630" s="15"/>
      <c r="F630" s="15"/>
      <c r="G630" s="387"/>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c r="AG630" s="15"/>
      <c r="AH630" s="15"/>
    </row>
    <row r="631" ht="16.5" customHeight="1">
      <c r="A631" s="15"/>
      <c r="B631" s="15"/>
      <c r="C631" s="21"/>
      <c r="D631" s="15"/>
      <c r="E631" s="15"/>
      <c r="F631" s="15"/>
      <c r="G631" s="387"/>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c r="AG631" s="15"/>
      <c r="AH631" s="15"/>
    </row>
    <row r="632" ht="16.5" customHeight="1">
      <c r="A632" s="15"/>
      <c r="B632" s="15"/>
      <c r="C632" s="21"/>
      <c r="D632" s="15"/>
      <c r="E632" s="15"/>
      <c r="F632" s="15"/>
      <c r="G632" s="387"/>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c r="AG632" s="15"/>
      <c r="AH632" s="15"/>
    </row>
    <row r="633" ht="16.5" customHeight="1">
      <c r="A633" s="15"/>
      <c r="B633" s="15"/>
      <c r="C633" s="21"/>
      <c r="D633" s="15"/>
      <c r="E633" s="15"/>
      <c r="F633" s="15"/>
      <c r="G633" s="387"/>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c r="AG633" s="15"/>
      <c r="AH633" s="15"/>
    </row>
    <row r="634" ht="16.5" customHeight="1">
      <c r="A634" s="15"/>
      <c r="B634" s="15"/>
      <c r="C634" s="21"/>
      <c r="D634" s="15"/>
      <c r="E634" s="15"/>
      <c r="F634" s="15"/>
      <c r="G634" s="387"/>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c r="AG634" s="15"/>
      <c r="AH634" s="15"/>
    </row>
    <row r="635" ht="16.5" customHeight="1">
      <c r="A635" s="15"/>
      <c r="B635" s="15"/>
      <c r="C635" s="21"/>
      <c r="D635" s="15"/>
      <c r="E635" s="15"/>
      <c r="F635" s="15"/>
      <c r="G635" s="387"/>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c r="AG635" s="15"/>
      <c r="AH635" s="15"/>
    </row>
    <row r="636" ht="16.5" customHeight="1">
      <c r="A636" s="15"/>
      <c r="B636" s="15"/>
      <c r="C636" s="21"/>
      <c r="D636" s="15"/>
      <c r="E636" s="15"/>
      <c r="F636" s="15"/>
      <c r="G636" s="387"/>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c r="AG636" s="15"/>
      <c r="AH636" s="15"/>
    </row>
    <row r="637" ht="16.5" customHeight="1">
      <c r="A637" s="15"/>
      <c r="B637" s="15"/>
      <c r="C637" s="21"/>
      <c r="D637" s="15"/>
      <c r="E637" s="15"/>
      <c r="F637" s="15"/>
      <c r="G637" s="387"/>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c r="AG637" s="15"/>
      <c r="AH637" s="15"/>
    </row>
    <row r="638" ht="16.5" customHeight="1">
      <c r="A638" s="15"/>
      <c r="B638" s="15"/>
      <c r="C638" s="21"/>
      <c r="D638" s="15"/>
      <c r="E638" s="15"/>
      <c r="F638" s="15"/>
      <c r="G638" s="387"/>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c r="AG638" s="15"/>
      <c r="AH638" s="15"/>
    </row>
    <row r="639" ht="16.5" customHeight="1">
      <c r="A639" s="15"/>
      <c r="B639" s="15"/>
      <c r="C639" s="21"/>
      <c r="D639" s="15"/>
      <c r="E639" s="15"/>
      <c r="F639" s="15"/>
      <c r="G639" s="387"/>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c r="AG639" s="15"/>
      <c r="AH639" s="15"/>
    </row>
    <row r="640" ht="16.5" customHeight="1">
      <c r="A640" s="15"/>
      <c r="B640" s="15"/>
      <c r="C640" s="21"/>
      <c r="D640" s="15"/>
      <c r="E640" s="15"/>
      <c r="F640" s="15"/>
      <c r="G640" s="387"/>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c r="AG640" s="15"/>
      <c r="AH640" s="15"/>
    </row>
    <row r="641" ht="16.5" customHeight="1">
      <c r="A641" s="15"/>
      <c r="B641" s="15"/>
      <c r="C641" s="21"/>
      <c r="D641" s="15"/>
      <c r="E641" s="15"/>
      <c r="F641" s="15"/>
      <c r="G641" s="387"/>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c r="AG641" s="15"/>
      <c r="AH641" s="15"/>
    </row>
    <row r="642" ht="16.5" customHeight="1">
      <c r="A642" s="15"/>
      <c r="B642" s="15"/>
      <c r="C642" s="21"/>
      <c r="D642" s="15"/>
      <c r="E642" s="15"/>
      <c r="F642" s="15"/>
      <c r="G642" s="387"/>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c r="AG642" s="15"/>
      <c r="AH642" s="15"/>
    </row>
    <row r="643" ht="16.5" customHeight="1">
      <c r="A643" s="15"/>
      <c r="B643" s="15"/>
      <c r="C643" s="21"/>
      <c r="D643" s="15"/>
      <c r="E643" s="15"/>
      <c r="F643" s="15"/>
      <c r="G643" s="387"/>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c r="AG643" s="15"/>
      <c r="AH643" s="15"/>
    </row>
    <row r="644" ht="16.5" customHeight="1">
      <c r="A644" s="15"/>
      <c r="B644" s="15"/>
      <c r="C644" s="21"/>
      <c r="D644" s="15"/>
      <c r="E644" s="15"/>
      <c r="F644" s="15"/>
      <c r="G644" s="387"/>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c r="AG644" s="15"/>
      <c r="AH644" s="15"/>
    </row>
    <row r="645" ht="16.5" customHeight="1">
      <c r="A645" s="15"/>
      <c r="B645" s="15"/>
      <c r="C645" s="21"/>
      <c r="D645" s="15"/>
      <c r="E645" s="15"/>
      <c r="F645" s="15"/>
      <c r="G645" s="387"/>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c r="AG645" s="15"/>
      <c r="AH645" s="15"/>
    </row>
    <row r="646" ht="16.5" customHeight="1">
      <c r="A646" s="15"/>
      <c r="B646" s="15"/>
      <c r="C646" s="21"/>
      <c r="D646" s="15"/>
      <c r="E646" s="15"/>
      <c r="F646" s="15"/>
      <c r="G646" s="387"/>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c r="AG646" s="15"/>
      <c r="AH646" s="15"/>
    </row>
    <row r="647" ht="16.5" customHeight="1">
      <c r="A647" s="15"/>
      <c r="B647" s="15"/>
      <c r="C647" s="21"/>
      <c r="D647" s="15"/>
      <c r="E647" s="15"/>
      <c r="F647" s="15"/>
      <c r="G647" s="387"/>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c r="AG647" s="15"/>
      <c r="AH647" s="15"/>
    </row>
    <row r="648" ht="16.5" customHeight="1">
      <c r="A648" s="15"/>
      <c r="B648" s="15"/>
      <c r="C648" s="21"/>
      <c r="D648" s="15"/>
      <c r="E648" s="15"/>
      <c r="F648" s="15"/>
      <c r="G648" s="387"/>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c r="AG648" s="15"/>
      <c r="AH648" s="15"/>
    </row>
    <row r="649" ht="16.5" customHeight="1">
      <c r="A649" s="15"/>
      <c r="B649" s="15"/>
      <c r="C649" s="21"/>
      <c r="D649" s="15"/>
      <c r="E649" s="15"/>
      <c r="F649" s="15"/>
      <c r="G649" s="387"/>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c r="AG649" s="15"/>
      <c r="AH649" s="15"/>
    </row>
    <row r="650" ht="16.5" customHeight="1">
      <c r="A650" s="15"/>
      <c r="B650" s="15"/>
      <c r="C650" s="21"/>
      <c r="D650" s="15"/>
      <c r="E650" s="15"/>
      <c r="F650" s="15"/>
      <c r="G650" s="387"/>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c r="AG650" s="15"/>
      <c r="AH650" s="15"/>
    </row>
    <row r="651" ht="16.5" customHeight="1">
      <c r="A651" s="15"/>
      <c r="B651" s="15"/>
      <c r="C651" s="21"/>
      <c r="D651" s="15"/>
      <c r="E651" s="15"/>
      <c r="F651" s="15"/>
      <c r="G651" s="387"/>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c r="AG651" s="15"/>
      <c r="AH651" s="15"/>
    </row>
    <row r="652" ht="16.5" customHeight="1">
      <c r="A652" s="15"/>
      <c r="B652" s="15"/>
      <c r="C652" s="21"/>
      <c r="D652" s="15"/>
      <c r="E652" s="15"/>
      <c r="F652" s="15"/>
      <c r="G652" s="387"/>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c r="AG652" s="15"/>
      <c r="AH652" s="15"/>
    </row>
    <row r="653" ht="16.5" customHeight="1">
      <c r="A653" s="15"/>
      <c r="B653" s="15"/>
      <c r="C653" s="21"/>
      <c r="D653" s="15"/>
      <c r="E653" s="15"/>
      <c r="F653" s="15"/>
      <c r="G653" s="387"/>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c r="AG653" s="15"/>
      <c r="AH653" s="15"/>
    </row>
    <row r="654" ht="16.5" customHeight="1">
      <c r="A654" s="15"/>
      <c r="B654" s="15"/>
      <c r="C654" s="21"/>
      <c r="D654" s="15"/>
      <c r="E654" s="15"/>
      <c r="F654" s="15"/>
      <c r="G654" s="387"/>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c r="AG654" s="15"/>
      <c r="AH654" s="15"/>
    </row>
    <row r="655" ht="16.5" customHeight="1">
      <c r="A655" s="15"/>
      <c r="B655" s="15"/>
      <c r="C655" s="21"/>
      <c r="D655" s="15"/>
      <c r="E655" s="15"/>
      <c r="F655" s="15"/>
      <c r="G655" s="387"/>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c r="AG655" s="15"/>
      <c r="AH655" s="15"/>
    </row>
    <row r="656" ht="16.5" customHeight="1">
      <c r="A656" s="15"/>
      <c r="B656" s="15"/>
      <c r="C656" s="21"/>
      <c r="D656" s="15"/>
      <c r="E656" s="15"/>
      <c r="F656" s="15"/>
      <c r="G656" s="387"/>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c r="AG656" s="15"/>
      <c r="AH656" s="15"/>
    </row>
    <row r="657" ht="16.5" customHeight="1">
      <c r="A657" s="15"/>
      <c r="B657" s="15"/>
      <c r="C657" s="21"/>
      <c r="D657" s="15"/>
      <c r="E657" s="15"/>
      <c r="F657" s="15"/>
      <c r="G657" s="387"/>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c r="AG657" s="15"/>
      <c r="AH657" s="15"/>
    </row>
    <row r="658" ht="16.5" customHeight="1">
      <c r="A658" s="15"/>
      <c r="B658" s="15"/>
      <c r="C658" s="21"/>
      <c r="D658" s="15"/>
      <c r="E658" s="15"/>
      <c r="F658" s="15"/>
      <c r="G658" s="387"/>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c r="AG658" s="15"/>
      <c r="AH658" s="15"/>
    </row>
    <row r="659" ht="16.5" customHeight="1">
      <c r="A659" s="15"/>
      <c r="B659" s="15"/>
      <c r="C659" s="21"/>
      <c r="D659" s="15"/>
      <c r="E659" s="15"/>
      <c r="F659" s="15"/>
      <c r="G659" s="387"/>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c r="AG659" s="15"/>
      <c r="AH659" s="15"/>
    </row>
    <row r="660" ht="16.5" customHeight="1">
      <c r="A660" s="15"/>
      <c r="B660" s="15"/>
      <c r="C660" s="21"/>
      <c r="D660" s="15"/>
      <c r="E660" s="15"/>
      <c r="F660" s="15"/>
      <c r="G660" s="387"/>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c r="AG660" s="15"/>
      <c r="AH660" s="15"/>
    </row>
    <row r="661" ht="16.5" customHeight="1">
      <c r="A661" s="15"/>
      <c r="B661" s="15"/>
      <c r="C661" s="21"/>
      <c r="D661" s="15"/>
      <c r="E661" s="15"/>
      <c r="F661" s="15"/>
      <c r="G661" s="387"/>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c r="AG661" s="15"/>
      <c r="AH661" s="15"/>
    </row>
    <row r="662" ht="16.5" customHeight="1">
      <c r="A662" s="15"/>
      <c r="B662" s="15"/>
      <c r="C662" s="21"/>
      <c r="D662" s="15"/>
      <c r="E662" s="15"/>
      <c r="F662" s="15"/>
      <c r="G662" s="387"/>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c r="AG662" s="15"/>
      <c r="AH662" s="15"/>
    </row>
    <row r="663" ht="16.5" customHeight="1">
      <c r="A663" s="15"/>
      <c r="B663" s="15"/>
      <c r="C663" s="21"/>
      <c r="D663" s="15"/>
      <c r="E663" s="15"/>
      <c r="F663" s="15"/>
      <c r="G663" s="387"/>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c r="AG663" s="15"/>
      <c r="AH663" s="15"/>
    </row>
    <row r="664" ht="16.5" customHeight="1">
      <c r="A664" s="15"/>
      <c r="B664" s="15"/>
      <c r="C664" s="21"/>
      <c r="D664" s="15"/>
      <c r="E664" s="15"/>
      <c r="F664" s="15"/>
      <c r="G664" s="387"/>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c r="AG664" s="15"/>
      <c r="AH664" s="15"/>
    </row>
    <row r="665" ht="16.5" customHeight="1">
      <c r="A665" s="15"/>
      <c r="B665" s="15"/>
      <c r="C665" s="21"/>
      <c r="D665" s="15"/>
      <c r="E665" s="15"/>
      <c r="F665" s="15"/>
      <c r="G665" s="387"/>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c r="AG665" s="15"/>
      <c r="AH665" s="15"/>
    </row>
    <row r="666" ht="16.5" customHeight="1">
      <c r="A666" s="15"/>
      <c r="B666" s="15"/>
      <c r="C666" s="21"/>
      <c r="D666" s="15"/>
      <c r="E666" s="15"/>
      <c r="F666" s="15"/>
      <c r="G666" s="387"/>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c r="AG666" s="15"/>
      <c r="AH666" s="15"/>
    </row>
    <row r="667" ht="16.5" customHeight="1">
      <c r="A667" s="15"/>
      <c r="B667" s="15"/>
      <c r="C667" s="21"/>
      <c r="D667" s="15"/>
      <c r="E667" s="15"/>
      <c r="F667" s="15"/>
      <c r="G667" s="387"/>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c r="AG667" s="15"/>
      <c r="AH667" s="15"/>
    </row>
    <row r="668" ht="16.5" customHeight="1">
      <c r="A668" s="15"/>
      <c r="B668" s="15"/>
      <c r="C668" s="21"/>
      <c r="D668" s="15"/>
      <c r="E668" s="15"/>
      <c r="F668" s="15"/>
      <c r="G668" s="387"/>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c r="AG668" s="15"/>
      <c r="AH668" s="15"/>
    </row>
    <row r="669" ht="16.5" customHeight="1">
      <c r="A669" s="15"/>
      <c r="B669" s="15"/>
      <c r="C669" s="21"/>
      <c r="D669" s="15"/>
      <c r="E669" s="15"/>
      <c r="F669" s="15"/>
      <c r="G669" s="387"/>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c r="AG669" s="15"/>
      <c r="AH669" s="15"/>
    </row>
    <row r="670" ht="16.5" customHeight="1">
      <c r="A670" s="15"/>
      <c r="B670" s="15"/>
      <c r="C670" s="21"/>
      <c r="D670" s="15"/>
      <c r="E670" s="15"/>
      <c r="F670" s="15"/>
      <c r="G670" s="387"/>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c r="AG670" s="15"/>
      <c r="AH670" s="15"/>
    </row>
    <row r="671" ht="16.5" customHeight="1">
      <c r="A671" s="15"/>
      <c r="B671" s="15"/>
      <c r="C671" s="21"/>
      <c r="D671" s="15"/>
      <c r="E671" s="15"/>
      <c r="F671" s="15"/>
      <c r="G671" s="387"/>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c r="AG671" s="15"/>
      <c r="AH671" s="15"/>
    </row>
    <row r="672" ht="16.5" customHeight="1">
      <c r="A672" s="15"/>
      <c r="B672" s="15"/>
      <c r="C672" s="21"/>
      <c r="D672" s="15"/>
      <c r="E672" s="15"/>
      <c r="F672" s="15"/>
      <c r="G672" s="387"/>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c r="AG672" s="15"/>
      <c r="AH672" s="15"/>
    </row>
    <row r="673" ht="16.5" customHeight="1">
      <c r="A673" s="15"/>
      <c r="B673" s="15"/>
      <c r="C673" s="21"/>
      <c r="D673" s="15"/>
      <c r="E673" s="15"/>
      <c r="F673" s="15"/>
      <c r="G673" s="387"/>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c r="AG673" s="15"/>
      <c r="AH673" s="15"/>
    </row>
    <row r="674" ht="16.5" customHeight="1">
      <c r="A674" s="15"/>
      <c r="B674" s="15"/>
      <c r="C674" s="21"/>
      <c r="D674" s="15"/>
      <c r="E674" s="15"/>
      <c r="F674" s="15"/>
      <c r="G674" s="387"/>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c r="AG674" s="15"/>
      <c r="AH674" s="15"/>
    </row>
    <row r="675" ht="16.5" customHeight="1">
      <c r="A675" s="15"/>
      <c r="B675" s="15"/>
      <c r="C675" s="21"/>
      <c r="D675" s="15"/>
      <c r="E675" s="15"/>
      <c r="F675" s="15"/>
      <c r="G675" s="387"/>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c r="AG675" s="15"/>
      <c r="AH675" s="15"/>
    </row>
    <row r="676" ht="16.5" customHeight="1">
      <c r="A676" s="15"/>
      <c r="B676" s="15"/>
      <c r="C676" s="21"/>
      <c r="D676" s="15"/>
      <c r="E676" s="15"/>
      <c r="F676" s="15"/>
      <c r="G676" s="387"/>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c r="AG676" s="15"/>
      <c r="AH676" s="15"/>
    </row>
    <row r="677" ht="16.5" customHeight="1">
      <c r="A677" s="15"/>
      <c r="B677" s="15"/>
      <c r="C677" s="21"/>
      <c r="D677" s="15"/>
      <c r="E677" s="15"/>
      <c r="F677" s="15"/>
      <c r="G677" s="387"/>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c r="AG677" s="15"/>
      <c r="AH677" s="15"/>
    </row>
    <row r="678" ht="16.5" customHeight="1">
      <c r="A678" s="15"/>
      <c r="B678" s="15"/>
      <c r="C678" s="21"/>
      <c r="D678" s="15"/>
      <c r="E678" s="15"/>
      <c r="F678" s="15"/>
      <c r="G678" s="387"/>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c r="AG678" s="15"/>
      <c r="AH678" s="15"/>
    </row>
    <row r="679" ht="16.5" customHeight="1">
      <c r="A679" s="15"/>
      <c r="B679" s="15"/>
      <c r="C679" s="21"/>
      <c r="D679" s="15"/>
      <c r="E679" s="15"/>
      <c r="F679" s="15"/>
      <c r="G679" s="387"/>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c r="AG679" s="15"/>
      <c r="AH679" s="15"/>
    </row>
    <row r="680" ht="16.5" customHeight="1">
      <c r="A680" s="15"/>
      <c r="B680" s="15"/>
      <c r="C680" s="21"/>
      <c r="D680" s="15"/>
      <c r="E680" s="15"/>
      <c r="F680" s="15"/>
      <c r="G680" s="387"/>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c r="AG680" s="15"/>
      <c r="AH680" s="15"/>
    </row>
    <row r="681" ht="16.5" customHeight="1">
      <c r="A681" s="15"/>
      <c r="B681" s="15"/>
      <c r="C681" s="21"/>
      <c r="D681" s="15"/>
      <c r="E681" s="15"/>
      <c r="F681" s="15"/>
      <c r="G681" s="387"/>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c r="AG681" s="15"/>
      <c r="AH681" s="15"/>
    </row>
    <row r="682" ht="16.5" customHeight="1">
      <c r="A682" s="15"/>
      <c r="B682" s="15"/>
      <c r="C682" s="21"/>
      <c r="D682" s="15"/>
      <c r="E682" s="15"/>
      <c r="F682" s="15"/>
      <c r="G682" s="387"/>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c r="AG682" s="15"/>
      <c r="AH682" s="15"/>
    </row>
    <row r="683" ht="16.5" customHeight="1">
      <c r="A683" s="15"/>
      <c r="B683" s="15"/>
      <c r="C683" s="21"/>
      <c r="D683" s="15"/>
      <c r="E683" s="15"/>
      <c r="F683" s="15"/>
      <c r="G683" s="387"/>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c r="AG683" s="15"/>
      <c r="AH683" s="15"/>
    </row>
    <row r="684" ht="16.5" customHeight="1">
      <c r="A684" s="15"/>
      <c r="B684" s="15"/>
      <c r="C684" s="21"/>
      <c r="D684" s="15"/>
      <c r="E684" s="15"/>
      <c r="F684" s="15"/>
      <c r="G684" s="387"/>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c r="AG684" s="15"/>
      <c r="AH684" s="15"/>
    </row>
    <row r="685" ht="16.5" customHeight="1">
      <c r="A685" s="15"/>
      <c r="B685" s="15"/>
      <c r="C685" s="21"/>
      <c r="D685" s="15"/>
      <c r="E685" s="15"/>
      <c r="F685" s="15"/>
      <c r="G685" s="387"/>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c r="AG685" s="15"/>
      <c r="AH685" s="15"/>
    </row>
    <row r="686" ht="16.5" customHeight="1">
      <c r="A686" s="15"/>
      <c r="B686" s="15"/>
      <c r="C686" s="21"/>
      <c r="D686" s="15"/>
      <c r="E686" s="15"/>
      <c r="F686" s="15"/>
      <c r="G686" s="387"/>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c r="AG686" s="15"/>
      <c r="AH686" s="15"/>
    </row>
    <row r="687" ht="16.5" customHeight="1">
      <c r="A687" s="15"/>
      <c r="B687" s="15"/>
      <c r="C687" s="21"/>
      <c r="D687" s="15"/>
      <c r="E687" s="15"/>
      <c r="F687" s="15"/>
      <c r="G687" s="387"/>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c r="AG687" s="15"/>
      <c r="AH687" s="15"/>
    </row>
    <row r="688" ht="16.5" customHeight="1">
      <c r="A688" s="15"/>
      <c r="B688" s="15"/>
      <c r="C688" s="21"/>
      <c r="D688" s="15"/>
      <c r="E688" s="15"/>
      <c r="F688" s="15"/>
      <c r="G688" s="387"/>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c r="AG688" s="15"/>
      <c r="AH688" s="15"/>
    </row>
    <row r="689" ht="16.5" customHeight="1">
      <c r="A689" s="15"/>
      <c r="B689" s="15"/>
      <c r="C689" s="21"/>
      <c r="D689" s="15"/>
      <c r="E689" s="15"/>
      <c r="F689" s="15"/>
      <c r="G689" s="387"/>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c r="AG689" s="15"/>
      <c r="AH689" s="15"/>
    </row>
    <row r="690" ht="16.5" customHeight="1">
      <c r="A690" s="15"/>
      <c r="B690" s="15"/>
      <c r="C690" s="21"/>
      <c r="D690" s="15"/>
      <c r="E690" s="15"/>
      <c r="F690" s="15"/>
      <c r="G690" s="387"/>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c r="AG690" s="15"/>
      <c r="AH690" s="15"/>
    </row>
    <row r="691" ht="16.5" customHeight="1">
      <c r="A691" s="15"/>
      <c r="B691" s="15"/>
      <c r="C691" s="21"/>
      <c r="D691" s="15"/>
      <c r="E691" s="15"/>
      <c r="F691" s="15"/>
      <c r="G691" s="387"/>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c r="AG691" s="15"/>
      <c r="AH691" s="15"/>
    </row>
    <row r="692" ht="16.5" customHeight="1">
      <c r="A692" s="15"/>
      <c r="B692" s="15"/>
      <c r="C692" s="21"/>
      <c r="D692" s="15"/>
      <c r="E692" s="15"/>
      <c r="F692" s="15"/>
      <c r="G692" s="387"/>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c r="AG692" s="15"/>
      <c r="AH692" s="15"/>
    </row>
    <row r="693" ht="16.5" customHeight="1">
      <c r="A693" s="15"/>
      <c r="B693" s="15"/>
      <c r="C693" s="21"/>
      <c r="D693" s="15"/>
      <c r="E693" s="15"/>
      <c r="F693" s="15"/>
      <c r="G693" s="387"/>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c r="AG693" s="15"/>
      <c r="AH693" s="15"/>
    </row>
    <row r="694" ht="16.5" customHeight="1">
      <c r="A694" s="15"/>
      <c r="B694" s="15"/>
      <c r="C694" s="21"/>
      <c r="D694" s="15"/>
      <c r="E694" s="15"/>
      <c r="F694" s="15"/>
      <c r="G694" s="387"/>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c r="AG694" s="15"/>
      <c r="AH694" s="15"/>
    </row>
    <row r="695" ht="16.5" customHeight="1">
      <c r="A695" s="15"/>
      <c r="B695" s="15"/>
      <c r="C695" s="21"/>
      <c r="D695" s="15"/>
      <c r="E695" s="15"/>
      <c r="F695" s="15"/>
      <c r="G695" s="387"/>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c r="AG695" s="15"/>
      <c r="AH695" s="15"/>
    </row>
    <row r="696" ht="16.5" customHeight="1">
      <c r="A696" s="15"/>
      <c r="B696" s="15"/>
      <c r="C696" s="21"/>
      <c r="D696" s="15"/>
      <c r="E696" s="15"/>
      <c r="F696" s="15"/>
      <c r="G696" s="387"/>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c r="AG696" s="15"/>
      <c r="AH696" s="15"/>
    </row>
    <row r="697" ht="16.5" customHeight="1">
      <c r="A697" s="15"/>
      <c r="B697" s="15"/>
      <c r="C697" s="21"/>
      <c r="D697" s="15"/>
      <c r="E697" s="15"/>
      <c r="F697" s="15"/>
      <c r="G697" s="387"/>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c r="AG697" s="15"/>
      <c r="AH697" s="15"/>
    </row>
    <row r="698" ht="16.5" customHeight="1">
      <c r="A698" s="15"/>
      <c r="B698" s="15"/>
      <c r="C698" s="21"/>
      <c r="D698" s="15"/>
      <c r="E698" s="15"/>
      <c r="F698" s="15"/>
      <c r="G698" s="387"/>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c r="AG698" s="15"/>
      <c r="AH698" s="15"/>
    </row>
    <row r="699" ht="16.5" customHeight="1">
      <c r="A699" s="15"/>
      <c r="B699" s="15"/>
      <c r="C699" s="21"/>
      <c r="D699" s="15"/>
      <c r="E699" s="15"/>
      <c r="F699" s="15"/>
      <c r="G699" s="387"/>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c r="AG699" s="15"/>
      <c r="AH699" s="15"/>
    </row>
    <row r="700" ht="16.5" customHeight="1">
      <c r="A700" s="15"/>
      <c r="B700" s="15"/>
      <c r="C700" s="21"/>
      <c r="D700" s="15"/>
      <c r="E700" s="15"/>
      <c r="F700" s="15"/>
      <c r="G700" s="387"/>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c r="AG700" s="15"/>
      <c r="AH700" s="15"/>
    </row>
    <row r="701" ht="16.5" customHeight="1">
      <c r="A701" s="15"/>
      <c r="B701" s="15"/>
      <c r="C701" s="21"/>
      <c r="D701" s="15"/>
      <c r="E701" s="15"/>
      <c r="F701" s="15"/>
      <c r="G701" s="387"/>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c r="AG701" s="15"/>
      <c r="AH701" s="15"/>
    </row>
    <row r="702" ht="16.5" customHeight="1">
      <c r="A702" s="15"/>
      <c r="B702" s="15"/>
      <c r="C702" s="21"/>
      <c r="D702" s="15"/>
      <c r="E702" s="15"/>
      <c r="F702" s="15"/>
      <c r="G702" s="387"/>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c r="AG702" s="15"/>
      <c r="AH702" s="15"/>
    </row>
    <row r="703" ht="16.5" customHeight="1">
      <c r="A703" s="15"/>
      <c r="B703" s="15"/>
      <c r="C703" s="21"/>
      <c r="D703" s="15"/>
      <c r="E703" s="15"/>
      <c r="F703" s="15"/>
      <c r="G703" s="387"/>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c r="AG703" s="15"/>
      <c r="AH703" s="15"/>
    </row>
    <row r="704" ht="16.5" customHeight="1">
      <c r="A704" s="15"/>
      <c r="B704" s="15"/>
      <c r="C704" s="21"/>
      <c r="D704" s="15"/>
      <c r="E704" s="15"/>
      <c r="F704" s="15"/>
      <c r="G704" s="387"/>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c r="AG704" s="15"/>
      <c r="AH704" s="15"/>
    </row>
    <row r="705" ht="16.5" customHeight="1">
      <c r="A705" s="15"/>
      <c r="B705" s="15"/>
      <c r="C705" s="21"/>
      <c r="D705" s="15"/>
      <c r="E705" s="15"/>
      <c r="F705" s="15"/>
      <c r="G705" s="387"/>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c r="AG705" s="15"/>
      <c r="AH705" s="15"/>
    </row>
    <row r="706" ht="16.5" customHeight="1">
      <c r="A706" s="15"/>
      <c r="B706" s="15"/>
      <c r="C706" s="21"/>
      <c r="D706" s="15"/>
      <c r="E706" s="15"/>
      <c r="F706" s="15"/>
      <c r="G706" s="387"/>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c r="AG706" s="15"/>
      <c r="AH706" s="15"/>
    </row>
    <row r="707" ht="16.5" customHeight="1">
      <c r="A707" s="15"/>
      <c r="B707" s="15"/>
      <c r="C707" s="21"/>
      <c r="D707" s="15"/>
      <c r="E707" s="15"/>
      <c r="F707" s="15"/>
      <c r="G707" s="387"/>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c r="AG707" s="15"/>
      <c r="AH707" s="15"/>
    </row>
    <row r="708" ht="16.5" customHeight="1">
      <c r="A708" s="15"/>
      <c r="B708" s="15"/>
      <c r="C708" s="21"/>
      <c r="D708" s="15"/>
      <c r="E708" s="15"/>
      <c r="F708" s="15"/>
      <c r="G708" s="387"/>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c r="AG708" s="15"/>
      <c r="AH708" s="15"/>
    </row>
    <row r="709" ht="16.5" customHeight="1">
      <c r="A709" s="15"/>
      <c r="B709" s="15"/>
      <c r="C709" s="21"/>
      <c r="D709" s="15"/>
      <c r="E709" s="15"/>
      <c r="F709" s="15"/>
      <c r="G709" s="387"/>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c r="AG709" s="15"/>
      <c r="AH709" s="15"/>
    </row>
    <row r="710" ht="16.5" customHeight="1">
      <c r="A710" s="15"/>
      <c r="B710" s="15"/>
      <c r="C710" s="21"/>
      <c r="D710" s="15"/>
      <c r="E710" s="15"/>
      <c r="F710" s="15"/>
      <c r="G710" s="387"/>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c r="AG710" s="15"/>
      <c r="AH710" s="15"/>
    </row>
    <row r="711" ht="16.5" customHeight="1">
      <c r="A711" s="15"/>
      <c r="B711" s="15"/>
      <c r="C711" s="21"/>
      <c r="D711" s="15"/>
      <c r="E711" s="15"/>
      <c r="F711" s="15"/>
      <c r="G711" s="387"/>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c r="AG711" s="15"/>
      <c r="AH711" s="15"/>
    </row>
    <row r="712" ht="16.5" customHeight="1">
      <c r="A712" s="15"/>
      <c r="B712" s="15"/>
      <c r="C712" s="21"/>
      <c r="D712" s="15"/>
      <c r="E712" s="15"/>
      <c r="F712" s="15"/>
      <c r="G712" s="387"/>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c r="AG712" s="15"/>
      <c r="AH712" s="15"/>
    </row>
    <row r="713" ht="16.5" customHeight="1">
      <c r="A713" s="15"/>
      <c r="B713" s="15"/>
      <c r="C713" s="21"/>
      <c r="D713" s="15"/>
      <c r="E713" s="15"/>
      <c r="F713" s="15"/>
      <c r="G713" s="387"/>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c r="AG713" s="15"/>
      <c r="AH713" s="15"/>
    </row>
    <row r="714" ht="16.5" customHeight="1">
      <c r="A714" s="15"/>
      <c r="B714" s="15"/>
      <c r="C714" s="21"/>
      <c r="D714" s="15"/>
      <c r="E714" s="15"/>
      <c r="F714" s="15"/>
      <c r="G714" s="387"/>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c r="AG714" s="15"/>
      <c r="AH714" s="15"/>
    </row>
    <row r="715" ht="16.5" customHeight="1">
      <c r="A715" s="15"/>
      <c r="B715" s="15"/>
      <c r="C715" s="21"/>
      <c r="D715" s="15"/>
      <c r="E715" s="15"/>
      <c r="F715" s="15"/>
      <c r="G715" s="387"/>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c r="AG715" s="15"/>
      <c r="AH715" s="15"/>
    </row>
    <row r="716" ht="16.5" customHeight="1">
      <c r="A716" s="15"/>
      <c r="B716" s="15"/>
      <c r="C716" s="21"/>
      <c r="D716" s="15"/>
      <c r="E716" s="15"/>
      <c r="F716" s="15"/>
      <c r="G716" s="387"/>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c r="AG716" s="15"/>
      <c r="AH716" s="15"/>
    </row>
    <row r="717" ht="16.5" customHeight="1">
      <c r="A717" s="15"/>
      <c r="B717" s="15"/>
      <c r="C717" s="21"/>
      <c r="D717" s="15"/>
      <c r="E717" s="15"/>
      <c r="F717" s="15"/>
      <c r="G717" s="387"/>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c r="AG717" s="15"/>
      <c r="AH717" s="15"/>
    </row>
    <row r="718" ht="16.5" customHeight="1">
      <c r="A718" s="15"/>
      <c r="B718" s="15"/>
      <c r="C718" s="21"/>
      <c r="D718" s="15"/>
      <c r="E718" s="15"/>
      <c r="F718" s="15"/>
      <c r="G718" s="387"/>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c r="AG718" s="15"/>
      <c r="AH718" s="15"/>
    </row>
    <row r="719" ht="16.5" customHeight="1">
      <c r="A719" s="15"/>
      <c r="B719" s="15"/>
      <c r="C719" s="21"/>
      <c r="D719" s="15"/>
      <c r="E719" s="15"/>
      <c r="F719" s="15"/>
      <c r="G719" s="387"/>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c r="AG719" s="15"/>
      <c r="AH719" s="15"/>
    </row>
    <row r="720" ht="16.5" customHeight="1">
      <c r="A720" s="15"/>
      <c r="B720" s="15"/>
      <c r="C720" s="21"/>
      <c r="D720" s="15"/>
      <c r="E720" s="15"/>
      <c r="F720" s="15"/>
      <c r="G720" s="387"/>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c r="AG720" s="15"/>
      <c r="AH720" s="15"/>
    </row>
    <row r="721" ht="16.5" customHeight="1">
      <c r="A721" s="15"/>
      <c r="B721" s="15"/>
      <c r="C721" s="21"/>
      <c r="D721" s="15"/>
      <c r="E721" s="15"/>
      <c r="F721" s="15"/>
      <c r="G721" s="387"/>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c r="AG721" s="15"/>
      <c r="AH721" s="15"/>
    </row>
    <row r="722" ht="16.5" customHeight="1">
      <c r="A722" s="15"/>
      <c r="B722" s="15"/>
      <c r="C722" s="21"/>
      <c r="D722" s="15"/>
      <c r="E722" s="15"/>
      <c r="F722" s="15"/>
      <c r="G722" s="387"/>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c r="AG722" s="15"/>
      <c r="AH722" s="15"/>
    </row>
    <row r="723" ht="16.5" customHeight="1">
      <c r="A723" s="15"/>
      <c r="B723" s="15"/>
      <c r="C723" s="21"/>
      <c r="D723" s="15"/>
      <c r="E723" s="15"/>
      <c r="F723" s="15"/>
      <c r="G723" s="387"/>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c r="AG723" s="15"/>
      <c r="AH723" s="15"/>
    </row>
    <row r="724" ht="16.5" customHeight="1">
      <c r="A724" s="15"/>
      <c r="B724" s="15"/>
      <c r="C724" s="21"/>
      <c r="D724" s="15"/>
      <c r="E724" s="15"/>
      <c r="F724" s="15"/>
      <c r="G724" s="387"/>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c r="AG724" s="15"/>
      <c r="AH724" s="15"/>
    </row>
    <row r="725" ht="16.5" customHeight="1">
      <c r="A725" s="15"/>
      <c r="B725" s="15"/>
      <c r="C725" s="21"/>
      <c r="D725" s="15"/>
      <c r="E725" s="15"/>
      <c r="F725" s="15"/>
      <c r="G725" s="387"/>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c r="AG725" s="15"/>
      <c r="AH725" s="15"/>
    </row>
    <row r="726" ht="16.5" customHeight="1">
      <c r="A726" s="15"/>
      <c r="B726" s="15"/>
      <c r="C726" s="21"/>
      <c r="D726" s="15"/>
      <c r="E726" s="15"/>
      <c r="F726" s="15"/>
      <c r="G726" s="387"/>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c r="AG726" s="15"/>
      <c r="AH726" s="15"/>
    </row>
    <row r="727" ht="16.5" customHeight="1">
      <c r="A727" s="15"/>
      <c r="B727" s="15"/>
      <c r="C727" s="21"/>
      <c r="D727" s="15"/>
      <c r="E727" s="15"/>
      <c r="F727" s="15"/>
      <c r="G727" s="387"/>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c r="AG727" s="15"/>
      <c r="AH727" s="15"/>
    </row>
    <row r="728" ht="16.5" customHeight="1">
      <c r="A728" s="15"/>
      <c r="B728" s="15"/>
      <c r="C728" s="21"/>
      <c r="D728" s="15"/>
      <c r="E728" s="15"/>
      <c r="F728" s="15"/>
      <c r="G728" s="387"/>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c r="AG728" s="15"/>
      <c r="AH728" s="15"/>
    </row>
    <row r="729" ht="16.5" customHeight="1">
      <c r="A729" s="15"/>
      <c r="B729" s="15"/>
      <c r="C729" s="21"/>
      <c r="D729" s="15"/>
      <c r="E729" s="15"/>
      <c r="F729" s="15"/>
      <c r="G729" s="387"/>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c r="AG729" s="15"/>
      <c r="AH729" s="15"/>
    </row>
    <row r="730" ht="16.5" customHeight="1">
      <c r="A730" s="15"/>
      <c r="B730" s="15"/>
      <c r="C730" s="21"/>
      <c r="D730" s="15"/>
      <c r="E730" s="15"/>
      <c r="F730" s="15"/>
      <c r="G730" s="387"/>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c r="AG730" s="15"/>
      <c r="AH730" s="15"/>
    </row>
    <row r="731" ht="16.5" customHeight="1">
      <c r="A731" s="15"/>
      <c r="B731" s="15"/>
      <c r="C731" s="21"/>
      <c r="D731" s="15"/>
      <c r="E731" s="15"/>
      <c r="F731" s="15"/>
      <c r="G731" s="387"/>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c r="AG731" s="15"/>
      <c r="AH731" s="15"/>
    </row>
    <row r="732" ht="16.5" customHeight="1">
      <c r="A732" s="15"/>
      <c r="B732" s="15"/>
      <c r="C732" s="21"/>
      <c r="D732" s="15"/>
      <c r="E732" s="15"/>
      <c r="F732" s="15"/>
      <c r="G732" s="387"/>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c r="AG732" s="15"/>
      <c r="AH732" s="15"/>
    </row>
    <row r="733" ht="16.5" customHeight="1">
      <c r="A733" s="15"/>
      <c r="B733" s="15"/>
      <c r="C733" s="21"/>
      <c r="D733" s="15"/>
      <c r="E733" s="15"/>
      <c r="F733" s="15"/>
      <c r="G733" s="387"/>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c r="AG733" s="15"/>
      <c r="AH733" s="15"/>
    </row>
    <row r="734" ht="16.5" customHeight="1">
      <c r="A734" s="15"/>
      <c r="B734" s="15"/>
      <c r="C734" s="21"/>
      <c r="D734" s="15"/>
      <c r="E734" s="15"/>
      <c r="F734" s="15"/>
      <c r="G734" s="387"/>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c r="AG734" s="15"/>
      <c r="AH734" s="15"/>
    </row>
    <row r="735" ht="16.5" customHeight="1">
      <c r="A735" s="15"/>
      <c r="B735" s="15"/>
      <c r="C735" s="21"/>
      <c r="D735" s="15"/>
      <c r="E735" s="15"/>
      <c r="F735" s="15"/>
      <c r="G735" s="387"/>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c r="AG735" s="15"/>
      <c r="AH735" s="15"/>
    </row>
    <row r="736" ht="16.5" customHeight="1">
      <c r="A736" s="15"/>
      <c r="B736" s="15"/>
      <c r="C736" s="21"/>
      <c r="D736" s="15"/>
      <c r="E736" s="15"/>
      <c r="F736" s="15"/>
      <c r="G736" s="387"/>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c r="AG736" s="15"/>
      <c r="AH736" s="15"/>
    </row>
    <row r="737" ht="16.5" customHeight="1">
      <c r="A737" s="15"/>
      <c r="B737" s="15"/>
      <c r="C737" s="21"/>
      <c r="D737" s="15"/>
      <c r="E737" s="15"/>
      <c r="F737" s="15"/>
      <c r="G737" s="387"/>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c r="AG737" s="15"/>
      <c r="AH737" s="15"/>
    </row>
    <row r="738" ht="16.5" customHeight="1">
      <c r="A738" s="15"/>
      <c r="B738" s="15"/>
      <c r="C738" s="21"/>
      <c r="D738" s="15"/>
      <c r="E738" s="15"/>
      <c r="F738" s="15"/>
      <c r="G738" s="387"/>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c r="AG738" s="15"/>
      <c r="AH738" s="15"/>
    </row>
    <row r="739" ht="16.5" customHeight="1">
      <c r="A739" s="15"/>
      <c r="B739" s="15"/>
      <c r="C739" s="21"/>
      <c r="D739" s="15"/>
      <c r="E739" s="15"/>
      <c r="F739" s="15"/>
      <c r="G739" s="387"/>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c r="AG739" s="15"/>
      <c r="AH739" s="15"/>
    </row>
    <row r="740" ht="16.5" customHeight="1">
      <c r="A740" s="15"/>
      <c r="B740" s="15"/>
      <c r="C740" s="21"/>
      <c r="D740" s="15"/>
      <c r="E740" s="15"/>
      <c r="F740" s="15"/>
      <c r="G740" s="387"/>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c r="AG740" s="15"/>
      <c r="AH740" s="15"/>
    </row>
    <row r="741" ht="16.5" customHeight="1">
      <c r="A741" s="15"/>
      <c r="B741" s="15"/>
      <c r="C741" s="21"/>
      <c r="D741" s="15"/>
      <c r="E741" s="15"/>
      <c r="F741" s="15"/>
      <c r="G741" s="387"/>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c r="AG741" s="15"/>
      <c r="AH741" s="15"/>
    </row>
    <row r="742" ht="16.5" customHeight="1">
      <c r="A742" s="15"/>
      <c r="B742" s="15"/>
      <c r="C742" s="21"/>
      <c r="D742" s="15"/>
      <c r="E742" s="15"/>
      <c r="F742" s="15"/>
      <c r="G742" s="387"/>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c r="AG742" s="15"/>
      <c r="AH742" s="15"/>
    </row>
  </sheetData>
  <mergeCells count="7">
    <mergeCell ref="C3:I3"/>
    <mergeCell ref="B7:B15"/>
    <mergeCell ref="C7:C15"/>
    <mergeCell ref="D7:D15"/>
    <mergeCell ref="B16:B27"/>
    <mergeCell ref="C16:C27"/>
    <mergeCell ref="D16:D27"/>
  </mergeCells>
  <dataValidations>
    <dataValidation type="list" allowBlank="1" sqref="H17:K17">
      <formula1>"Copy of Data,GetDailyCash,Copy of Data 1,UpdateDailyCash"</formula1>
    </dataValidation>
    <dataValidation type="list" allowBlank="1" sqref="F12">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7:F10 F13:F15 F18:F21 F23 F26:F27">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amp;",,,,,,,,,,,,,,,,,,,,,,,,,,,,,,,,,,,,,,,,,,,,,,,,,,,,,,,,,,,,,,,,,,,,,,,,,,,,,,,,,,,,,,,,,,,,,,,,,,,,,,,,,,,,,,,,,,,,,,,,,,,,,,,,,,,,,,,,,,,,,,,,,,,,,,,,,,,,,,,,,,,,,,,,,,,,,,,,,,,,,,,,,,,,,,,,,,,,,,,,,,,,,,,,,,,,,,,,,,,,,,,,,,,,,,,,,,,,,,,,,,,,,,,,,,,,,,,"&amp;",,,,,,,,,,,,,,,,,,,,,,,,,,,,,,,,,,,,,,,,,,,,,,,,,,,,,,,,,,,,,,,,,,,,,,,,,,,,,,,,,,,,,,,,,,,,,,,,,,,,,,,,,,,,,,,,,,,,,"</formula1>
    </dataValidation>
    <dataValidation type="list" allowBlank="1" sqref="H18:K18">
      <formula1>"Copy of Data,GetDailyCash,Copy of Data 1,UpdateDailyCash,AddCalculatedPreferences"</formula1>
    </dataValidation>
    <dataValidation type="list" allowBlank="1" sqref="F16:F17">
      <formula1>"UpdateBeta,UpdateDailyCash,UpdateForexConversion,CleanUp,GetMarkPriceData,GetForwardPoints,GetForexConversion,AddForexConversion,GetNAV,AddNAV,DeleteNAV,GetDailyCash,AddDailyCash,GetDailyBeta,GetDailyVolatility,GetDailyDividendYield,GetDailyTradingVolume,"&amp;"GetDailyOutstandings,GetDailyDelta,UpdateDailyVolatility,UpdateDividendYield,DataManagement.Click(MouseButtons.Left);,UpdateTradingVolume,UpdateDailyDelta,UpdateDailyOutstandings,AddForexConversion,UpdateBeta,UpdateNAV,UpdateDailyCash,UpdateCreditLimt,Upd"&amp;"ateDailyCreditLimt,AddDailyCreditLimit,RemoveDailyCreditLimt,RemoveDailyCreditLimit,RemoveDailyCash,RemoveNAV,UpdateMarkPrice,UpdateForwardPoints,,,,,,,,,,,,,,,,,,,,,,,,,,,,,,,,,,,,,,,,,,,,,,,,,,,,,,,,,,,,,,,,,,,,,,,,,,,,,,,,,,,,,,,,,,,,,,,,,,,,,,,,,,,,,,"&amp;",,,,,,,,,,,,,,,,,,,,,,,,,,,,,,,,,,,,,,,,,,,,,,,,,,,,,,,,,,,,,,,,,,,,,,,,,,,,,,,,,,,,,,,,,,,,,,,,,,,,,,,,,,,,,,,,,,,,,,,,,,,,,,,,,,,,,,,,,,,,,,,,,,,,,,,,,,,,,,,,,,,,,,,,,,,,,,,,,,,,,,,,,,,,,,,,,,,,,,,,,,,,,,,,,,,,,,,,,,,,,,,,,,,,,,,,,,,,,,,,,,,,,,,,,,,,,,,"&amp;",,,,,,,,,,,,,,,,,,,,,,,,,,,,,,,,,,,,,,,,,,,,,,,,,,,,,,,,,,,,,,,,,,,,,,,,,,,,,,,,,,,,,,,,,,,,,,"</formula1>
    </dataValidation>
    <dataValidation type="list" allowBlank="1" sqref="F11 F22">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H11:K11">
      <formula1>"Copy of Data,AddCalculatedPreferenceToolbar,SetDefaultRuleCalculatedPref,Copy of Data 1_conflict120532561,SaveCalculatedPreferences,Copy of Data 1,CloseCalculatedPreferences,Copy of Data 2_conflict1666846989,Copy of Data 2,CreateDoneAwayOrder"</formula1>
    </dataValidation>
    <dataValidation type="list" allowBlank="1" sqref="E6:E49 E80:E742">
      <formula1>'_Modules'!$A$4:$A742</formula1>
    </dataValidation>
    <dataValidation type="list" allowBlank="1" sqref="F6">
      <formula1>"DeleteClientDataUsingScript,DeleteClientData,,,,,,,,,,,,,,,,,,,,,,,,,,,,,,,,,,,,,,,,,,,,,,,,,,,,,,,,,,,,,,,,,,,,,,,,,,,,,,,,,,,,,,,,,,,,,,,,,,,,,,,,,,,,,,,,,,,,,,,,,,,,,,,,,,,,,,,,,,,,,,,,,,,,,,,,,,,,,,,,,,,,,,,,,,,,,,,,,,,,,,,,,,,,,,,,,,,,,,,,,,,,,,,,,,,"&amp;",,,,,,,,,,,,,,,,,,,,,,,,,,,,,,,,,,,,,,,,,,,,,,,,,,,,,,,,,,,,,,,,,,,,,,,,,,,,,,,,,,,,,,,,,,,,,,,,,,,,,,,,,,,,,,,,,,,,,,,,,,,,,,,,,,,,,,,,,,,,,,,,,,,,,,,,,,,,,,,,,,,,,,,,,,,,,,,,,,,,,,,,,,,,,,,,,,,,,,,,,,,,,,,,,,,,,,,,,,,,,,,,,,,,,,,,,,,,,,,,,,,,,,,,,,,,,,,"&amp;",,,,,,,,,,,,,,,,,,,,,,,,,,,,,"</formula1>
    </dataValidation>
    <dataValidation type="list" allowBlank="1" sqref="D6:D7 D16 D28:D49 D80:D742">
      <formula1>'_Categories'!$A$4:$A742</formula1>
    </dataValidation>
    <dataValidation type="list" allowBlank="1" sqref="H16:K16">
      <formula1>"Copy of Data,GetDailyCash"</formula1>
    </dataValidation>
    <dataValidation type="list" allowBlank="1" sqref="H22:K22">
      <formula1>"Copy of Data,GetDailyCash,Copy of Data 1,UpdateDailyCash,AddCalculatedPreferences,Copy of Data 2,SetDefaultRuleCalculatedPref,Copy of Data 3,SaveCalculatedPreferences,CloseCalculatedPreferences,Copy of Data 4,CreateDoneAwayOrder,Copy of Data 5_conflict684"&amp;"80977"</formula1>
    </dataValidation>
    <dataValidation type="list" allowBlank="1" sqref="F24:F25">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19:K19">
      <formula1>"Copy of Data,GetDailyCash,Copy of Data 1,UpdateDailyCash,AddCalculatedPreferences,Copy of Data 2,SetDefaultRuleCalculatedPref"</formula1>
    </dataValidation>
    <dataValidation type="list" allowBlank="1" sqref="H24:K24">
      <formula1>"Copy of Data,GetDailyCash,Copy of Data 1,UpdateDailyCash,AddCalculatedPreferences,Copy of Data 2,SetDefaultRuleCalculatedPref,Copy of Data 3,SaveCalculatedPreferences,CloseCalculatedPreferences,Copy of Data 4,CreateDoneAwayOrder,Copy of Data 5_conflict684"&amp;"80977,Copy of Data 5,CheckAllocatedGroups,Copy of Data 6,GetDataClosing"</formula1>
    </dataValidation>
    <dataValidation type="list" allowBlank="1" sqref="H7:K7">
      <formula1>"Copy of Data,AddCalculatedPreferenceToolbar"</formula1>
    </dataValidation>
    <dataValidation type="list" allowBlank="1" sqref="H12:K13">
      <formula1>"Copy of Data,AddCalculatedPreferenceToolbar,SetDefaultRuleCalculatedPref,Copy of Data 1_conflict120532561,SaveCalculatedPreferences,Copy of Data 1,CloseCalculatedPreferences,Copy of Data 2_conflict1666846989,Copy of Data 2,CreateDoneAwayOrder,CheckUnalloc"&amp;"atedGroups,Copy of Data 3_conflict795616226"</formula1>
    </dataValidation>
    <dataValidation type="list" allowBlank="1" sqref="H8:K8">
      <formula1>"Copy of Data,AddCalculatedPreferenceToolbar,SetDefaultRuleCalculatedPref,Copy of Data 1_conflict120532561"</formula1>
    </dataValidation>
    <dataValidation type="list" allowBlank="1" sqref="H23:K23">
      <formula1>"Copy of Data,GetDailyCash,Copy of Data 1,UpdateDailyCash,AddCalculatedPreferences,Copy of Data 2,SetDefaultRuleCalculatedPref,Copy of Data 3,SaveCalculatedPreferences,CloseCalculatedPreferences,Copy of Data 4,CreateDoneAwayOrder,Copy of Data 5_conflict684"&amp;"80977,Copy of Data 5,CheckAllocatedGroups"</formula1>
    </dataValidation>
    <dataValidation type="list" allowBlank="1" sqref="H25:K25">
      <formula1>"Copy of Data,GetDailyCash,Copy of Data 1,UpdateDailyCash,AddCalculatedPreferences,Copy of Data 2,SetDefaultRuleCalculatedPref,Copy of Data 3,SaveCalculatedPreferences,CloseCalculatedPreferences,Copy of Data 4,CreateDoneAwayOrder,Copy of Data 5_conflict684"&amp;"80977,Copy of Data 5,CheckAllocatedGroups,Copy of Data 6,GetDataClosing,VerifyLongPositionsGrid,Copy of Data 7_conflict1143781869"</formula1>
    </dataValidation>
  </dataValidations>
  <hyperlinks>
    <hyperlink r:id="rId1" location="gid=1676990255" ref="G7"/>
    <hyperlink r:id="rId2" location="gid=142132434" ref="G8"/>
    <hyperlink r:id="rId3" location="gid=9070865" ref="G11"/>
    <hyperlink r:id="rId4" location="gid=1403301041" ref="G13"/>
    <hyperlink r:id="rId5" location="gid=1521058979" ref="G16"/>
    <hyperlink r:id="rId6" location="gid=1318681053" ref="G17"/>
    <hyperlink r:id="rId7" location="gid=286259872" ref="G18"/>
    <hyperlink r:id="rId8" location="gid=388000458" ref="G19"/>
    <hyperlink r:id="rId9" location="gid=552698292" ref="G22"/>
    <hyperlink r:id="rId10" location="gid=2145773627" ref="G23"/>
    <hyperlink r:id="rId11" location="gid=1581382668" ref="G24"/>
    <hyperlink r:id="rId12" location="gid=262530429" ref="G25"/>
  </hyperlinks>
  <drawing r:id="rId1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4.0"/>
    <col customWidth="1" min="3" max="3" width="38.29"/>
    <col customWidth="1" min="4" max="4" width="15.43"/>
    <col customWidth="1" min="5" max="5" width="24.43"/>
    <col customWidth="1" min="6" max="6" width="30.43"/>
    <col customWidth="1" min="7" max="7" width="79.86"/>
    <col customWidth="1" min="8" max="8" width="33.14"/>
    <col customWidth="1" min="9" max="11" width="18.0"/>
    <col customWidth="1" min="12" max="12" width="19.0"/>
    <col customWidth="1" min="13" max="32" width="14.43"/>
  </cols>
  <sheetData>
    <row r="1" ht="1.5" customHeight="1">
      <c r="A1" s="492"/>
      <c r="B1" s="492"/>
      <c r="C1" s="139"/>
      <c r="D1" s="139"/>
      <c r="E1" s="139"/>
      <c r="F1" s="139"/>
      <c r="G1" s="139"/>
      <c r="H1" s="139"/>
      <c r="I1" s="139"/>
      <c r="J1" s="492"/>
      <c r="K1" s="492"/>
      <c r="L1" s="492"/>
      <c r="M1" s="144"/>
      <c r="N1" s="144"/>
      <c r="O1" s="144"/>
      <c r="P1" s="144"/>
      <c r="Q1" s="144"/>
      <c r="R1" s="144"/>
      <c r="S1" s="144"/>
      <c r="T1" s="144"/>
      <c r="U1" s="144"/>
      <c r="V1" s="144"/>
      <c r="W1" s="144"/>
      <c r="X1" s="144"/>
      <c r="Y1" s="144"/>
      <c r="Z1" s="144"/>
      <c r="AA1" s="144"/>
      <c r="AB1" s="144"/>
      <c r="AC1" s="144"/>
      <c r="AD1" s="144"/>
      <c r="AE1" s="144"/>
      <c r="AF1" s="144"/>
    </row>
    <row r="2" ht="1.5" customHeight="1">
      <c r="A2" s="492"/>
      <c r="B2" s="492"/>
      <c r="C2" s="139"/>
      <c r="D2" s="139"/>
      <c r="E2" s="139"/>
      <c r="F2" s="139"/>
      <c r="G2" s="139"/>
      <c r="H2" s="139"/>
      <c r="I2" s="139"/>
      <c r="J2" s="492"/>
      <c r="K2" s="492"/>
      <c r="L2" s="492"/>
      <c r="M2" s="144"/>
      <c r="N2" s="144"/>
      <c r="O2" s="144"/>
      <c r="P2" s="144"/>
      <c r="Q2" s="144"/>
      <c r="R2" s="144"/>
      <c r="S2" s="144"/>
      <c r="T2" s="144"/>
      <c r="U2" s="144"/>
      <c r="V2" s="144"/>
      <c r="W2" s="144"/>
      <c r="X2" s="144"/>
      <c r="Y2" s="144"/>
      <c r="Z2" s="144"/>
      <c r="AA2" s="144"/>
      <c r="AB2" s="144"/>
      <c r="AC2" s="144"/>
      <c r="AD2" s="144"/>
      <c r="AE2" s="144"/>
      <c r="AF2" s="144"/>
    </row>
    <row r="3" ht="1.5" customHeight="1">
      <c r="A3" s="139" t="s">
        <v>5</v>
      </c>
      <c r="B3" s="139" t="s">
        <v>5</v>
      </c>
      <c r="C3" s="139" t="s">
        <v>6</v>
      </c>
      <c r="J3" s="492"/>
      <c r="K3" s="492"/>
      <c r="L3" s="492"/>
      <c r="M3" s="144"/>
      <c r="N3" s="144"/>
      <c r="O3" s="144"/>
      <c r="P3" s="144"/>
      <c r="Q3" s="144"/>
      <c r="R3" s="144"/>
      <c r="S3" s="144"/>
      <c r="T3" s="144"/>
      <c r="U3" s="144"/>
      <c r="V3" s="144"/>
      <c r="W3" s="144"/>
      <c r="X3" s="144"/>
      <c r="Y3" s="144"/>
      <c r="Z3" s="144"/>
      <c r="AA3" s="144"/>
      <c r="AB3" s="144"/>
      <c r="AC3" s="144"/>
      <c r="AD3" s="144"/>
      <c r="AE3" s="144"/>
      <c r="AF3" s="144"/>
    </row>
    <row r="4" ht="17.25" customHeight="1">
      <c r="A4" s="144"/>
      <c r="B4" s="144"/>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row>
    <row r="5" ht="16.5" customHeight="1">
      <c r="A5" s="493" t="s">
        <v>5</v>
      </c>
      <c r="B5" s="493" t="s">
        <v>7</v>
      </c>
      <c r="C5" s="493" t="s">
        <v>8</v>
      </c>
      <c r="D5" s="493" t="s">
        <v>9</v>
      </c>
      <c r="E5" s="493" t="s">
        <v>10</v>
      </c>
      <c r="F5" s="493" t="s">
        <v>11</v>
      </c>
      <c r="G5" s="494" t="s">
        <v>12</v>
      </c>
      <c r="H5" s="145" t="s">
        <v>13</v>
      </c>
      <c r="I5" s="493" t="s">
        <v>14</v>
      </c>
      <c r="J5" s="493" t="s">
        <v>15</v>
      </c>
      <c r="K5" s="493" t="s">
        <v>16</v>
      </c>
      <c r="L5" s="22" t="s">
        <v>17</v>
      </c>
      <c r="M5" s="144"/>
      <c r="N5" s="144"/>
      <c r="O5" s="144"/>
      <c r="P5" s="144"/>
      <c r="Q5" s="144"/>
      <c r="R5" s="144"/>
      <c r="S5" s="144"/>
      <c r="T5" s="144"/>
      <c r="U5" s="144"/>
      <c r="V5" s="144"/>
      <c r="W5" s="144"/>
      <c r="X5" s="144"/>
      <c r="Y5" s="144"/>
      <c r="Z5" s="144"/>
      <c r="AA5" s="144"/>
      <c r="AB5" s="144"/>
      <c r="AC5" s="144"/>
      <c r="AD5" s="144"/>
      <c r="AE5" s="144"/>
      <c r="AF5" s="144"/>
    </row>
    <row r="6" ht="16.5" customHeight="1">
      <c r="A6" s="164" t="s">
        <v>5</v>
      </c>
      <c r="B6" s="56" t="s">
        <v>152</v>
      </c>
      <c r="C6" s="57" t="s">
        <v>153</v>
      </c>
      <c r="D6" s="83" t="s">
        <v>20</v>
      </c>
      <c r="E6" s="83" t="s">
        <v>149</v>
      </c>
      <c r="F6" s="151" t="s">
        <v>895</v>
      </c>
      <c r="G6" s="495" t="s">
        <v>4457</v>
      </c>
      <c r="H6" s="151" t="s">
        <v>895</v>
      </c>
      <c r="I6" s="352"/>
      <c r="J6" s="352"/>
      <c r="K6" s="496"/>
      <c r="L6" s="496"/>
      <c r="M6" s="144"/>
      <c r="N6" s="144"/>
      <c r="O6" s="144"/>
      <c r="P6" s="144"/>
      <c r="Q6" s="144"/>
      <c r="R6" s="144"/>
      <c r="S6" s="144"/>
      <c r="T6" s="144"/>
      <c r="U6" s="144"/>
      <c r="V6" s="144"/>
      <c r="W6" s="144"/>
      <c r="X6" s="144"/>
      <c r="Y6" s="144"/>
      <c r="Z6" s="144"/>
      <c r="AA6" s="144"/>
      <c r="AB6" s="144"/>
      <c r="AC6" s="144"/>
      <c r="AD6" s="144"/>
      <c r="AE6" s="144"/>
      <c r="AF6" s="144"/>
    </row>
    <row r="7" ht="16.5" customHeight="1">
      <c r="A7" s="164" t="s">
        <v>5</v>
      </c>
      <c r="B7" s="56" t="s">
        <v>4458</v>
      </c>
      <c r="C7" s="57" t="s">
        <v>4459</v>
      </c>
      <c r="D7" s="83" t="s">
        <v>20</v>
      </c>
      <c r="E7" s="83" t="s">
        <v>397</v>
      </c>
      <c r="F7" s="440" t="s">
        <v>397</v>
      </c>
      <c r="G7" s="495" t="s">
        <v>4460</v>
      </c>
      <c r="H7" s="35" t="s">
        <v>397</v>
      </c>
      <c r="I7" s="36"/>
      <c r="J7" s="36"/>
      <c r="L7" s="496"/>
      <c r="M7" s="144"/>
      <c r="N7" s="144"/>
      <c r="O7" s="144"/>
      <c r="P7" s="144"/>
      <c r="Q7" s="144"/>
      <c r="R7" s="144"/>
      <c r="S7" s="144"/>
      <c r="T7" s="144"/>
      <c r="U7" s="144"/>
      <c r="V7" s="144"/>
      <c r="W7" s="144"/>
      <c r="X7" s="144"/>
      <c r="Y7" s="144"/>
      <c r="Z7" s="144"/>
      <c r="AA7" s="144"/>
      <c r="AB7" s="144"/>
      <c r="AC7" s="144"/>
      <c r="AD7" s="144"/>
      <c r="AE7" s="144"/>
      <c r="AF7" s="144"/>
    </row>
    <row r="8" ht="16.5" customHeight="1">
      <c r="A8" s="164" t="s">
        <v>5</v>
      </c>
      <c r="E8" s="83" t="s">
        <v>88</v>
      </c>
      <c r="F8" s="440" t="s">
        <v>95</v>
      </c>
      <c r="G8" s="495" t="s">
        <v>4461</v>
      </c>
      <c r="H8" s="440" t="s">
        <v>95</v>
      </c>
      <c r="I8" s="352"/>
      <c r="J8" s="352"/>
      <c r="K8" s="496"/>
      <c r="L8" s="496"/>
      <c r="M8" s="144"/>
      <c r="N8" s="144"/>
      <c r="O8" s="144"/>
      <c r="P8" s="144"/>
      <c r="Q8" s="144"/>
      <c r="R8" s="144"/>
      <c r="S8" s="144"/>
      <c r="T8" s="144"/>
      <c r="U8" s="144"/>
      <c r="V8" s="144"/>
      <c r="W8" s="144"/>
      <c r="X8" s="144"/>
      <c r="Y8" s="144"/>
      <c r="Z8" s="144"/>
      <c r="AA8" s="144"/>
      <c r="AB8" s="144"/>
      <c r="AC8" s="144"/>
      <c r="AD8" s="144"/>
      <c r="AE8" s="144"/>
      <c r="AF8" s="144"/>
    </row>
    <row r="9" ht="17.25" customHeight="1">
      <c r="A9" s="164" t="s">
        <v>5</v>
      </c>
      <c r="E9" s="83" t="s">
        <v>88</v>
      </c>
      <c r="F9" s="440" t="s">
        <v>122</v>
      </c>
      <c r="G9" s="495" t="s">
        <v>4462</v>
      </c>
      <c r="H9" s="440" t="s">
        <v>122</v>
      </c>
      <c r="I9" s="352"/>
      <c r="J9" s="352"/>
      <c r="K9" s="496"/>
      <c r="L9" s="496"/>
      <c r="M9" s="144"/>
      <c r="N9" s="144"/>
      <c r="O9" s="144"/>
      <c r="P9" s="144"/>
      <c r="Q9" s="144"/>
      <c r="R9" s="144"/>
      <c r="S9" s="144"/>
      <c r="T9" s="144"/>
      <c r="U9" s="144"/>
      <c r="V9" s="144"/>
      <c r="W9" s="144"/>
      <c r="X9" s="144"/>
      <c r="Y9" s="144"/>
      <c r="Z9" s="144"/>
      <c r="AA9" s="144"/>
      <c r="AB9" s="144"/>
      <c r="AC9" s="144"/>
      <c r="AD9" s="144"/>
      <c r="AE9" s="144"/>
      <c r="AF9" s="144"/>
    </row>
    <row r="10" ht="16.5" customHeight="1">
      <c r="A10" s="164" t="s">
        <v>5</v>
      </c>
      <c r="E10" s="83" t="s">
        <v>88</v>
      </c>
      <c r="F10" s="440" t="s">
        <v>96</v>
      </c>
      <c r="G10" s="495" t="s">
        <v>4463</v>
      </c>
      <c r="H10" s="440" t="s">
        <v>96</v>
      </c>
      <c r="I10" s="352"/>
      <c r="J10" s="497"/>
      <c r="K10" s="496"/>
      <c r="L10" s="496"/>
      <c r="M10" s="144"/>
      <c r="N10" s="144"/>
      <c r="O10" s="144"/>
      <c r="P10" s="144"/>
      <c r="Q10" s="144"/>
      <c r="R10" s="144"/>
      <c r="S10" s="144"/>
      <c r="T10" s="144"/>
      <c r="U10" s="144"/>
      <c r="V10" s="144"/>
      <c r="W10" s="144"/>
      <c r="X10" s="144"/>
      <c r="Y10" s="144"/>
      <c r="Z10" s="144"/>
      <c r="AA10" s="144"/>
      <c r="AB10" s="144"/>
      <c r="AC10" s="144"/>
      <c r="AD10" s="144"/>
      <c r="AE10" s="144"/>
      <c r="AF10" s="144"/>
    </row>
    <row r="11" ht="16.5" customHeight="1">
      <c r="A11" s="164" t="s">
        <v>5</v>
      </c>
      <c r="E11" s="83" t="s">
        <v>86</v>
      </c>
      <c r="F11" s="440" t="s">
        <v>90</v>
      </c>
      <c r="G11" s="495" t="s">
        <v>4464</v>
      </c>
      <c r="H11" s="440" t="s">
        <v>90</v>
      </c>
      <c r="I11" s="352"/>
      <c r="J11" s="497"/>
      <c r="K11" s="496"/>
      <c r="L11" s="496"/>
      <c r="M11" s="144"/>
      <c r="N11" s="144"/>
      <c r="O11" s="144"/>
      <c r="P11" s="144"/>
      <c r="Q11" s="144"/>
      <c r="R11" s="144"/>
      <c r="S11" s="144"/>
      <c r="T11" s="144"/>
      <c r="U11" s="144"/>
      <c r="V11" s="144"/>
      <c r="W11" s="144"/>
      <c r="X11" s="144"/>
      <c r="Y11" s="144"/>
      <c r="Z11" s="144"/>
      <c r="AA11" s="144"/>
      <c r="AB11" s="144"/>
      <c r="AC11" s="144"/>
      <c r="AD11" s="144"/>
      <c r="AE11" s="144"/>
      <c r="AF11" s="144"/>
    </row>
    <row r="12" ht="16.5" customHeight="1">
      <c r="A12" s="164" t="s">
        <v>5</v>
      </c>
      <c r="E12" s="83" t="s">
        <v>86</v>
      </c>
      <c r="F12" s="440" t="s">
        <v>91</v>
      </c>
      <c r="G12" s="495" t="s">
        <v>4465</v>
      </c>
      <c r="H12" s="440" t="s">
        <v>91</v>
      </c>
      <c r="I12" s="352"/>
      <c r="J12" s="497"/>
      <c r="K12" s="496"/>
      <c r="L12" s="496"/>
      <c r="M12" s="144"/>
      <c r="N12" s="144"/>
      <c r="O12" s="144"/>
      <c r="P12" s="144"/>
      <c r="Q12" s="144"/>
      <c r="R12" s="144"/>
      <c r="S12" s="144"/>
      <c r="T12" s="144"/>
      <c r="U12" s="144"/>
      <c r="V12" s="144"/>
      <c r="W12" s="144"/>
      <c r="X12" s="144"/>
      <c r="Y12" s="144"/>
      <c r="Z12" s="144"/>
      <c r="AA12" s="144"/>
      <c r="AB12" s="144"/>
      <c r="AC12" s="144"/>
      <c r="AD12" s="144"/>
      <c r="AE12" s="144"/>
      <c r="AF12" s="144"/>
    </row>
    <row r="13" ht="16.5" customHeight="1">
      <c r="A13" s="164" t="s">
        <v>5</v>
      </c>
      <c r="E13" s="83" t="s">
        <v>104</v>
      </c>
      <c r="F13" s="440" t="s">
        <v>250</v>
      </c>
      <c r="G13" s="495" t="s">
        <v>4466</v>
      </c>
      <c r="H13" s="440" t="s">
        <v>250</v>
      </c>
      <c r="I13" s="352"/>
      <c r="J13" s="497"/>
      <c r="K13" s="496"/>
      <c r="L13" s="496"/>
      <c r="M13" s="144"/>
      <c r="N13" s="144"/>
      <c r="O13" s="144"/>
      <c r="P13" s="144"/>
      <c r="Q13" s="144"/>
      <c r="R13" s="144"/>
      <c r="S13" s="144"/>
      <c r="T13" s="144"/>
      <c r="U13" s="144"/>
      <c r="V13" s="144"/>
      <c r="W13" s="144"/>
      <c r="X13" s="144"/>
      <c r="Y13" s="144"/>
      <c r="Z13" s="144"/>
      <c r="AA13" s="144"/>
      <c r="AB13" s="144"/>
      <c r="AC13" s="144"/>
      <c r="AD13" s="144"/>
      <c r="AE13" s="144"/>
      <c r="AF13" s="144"/>
    </row>
    <row r="14" ht="16.5" customHeight="1">
      <c r="A14" s="164" t="s">
        <v>5</v>
      </c>
      <c r="E14" s="83" t="s">
        <v>178</v>
      </c>
      <c r="F14" s="440" t="s">
        <v>209</v>
      </c>
      <c r="G14" s="495" t="s">
        <v>4467</v>
      </c>
      <c r="H14" s="440" t="s">
        <v>209</v>
      </c>
      <c r="I14" s="352"/>
      <c r="J14" s="497"/>
      <c r="K14" s="496"/>
      <c r="L14" s="496"/>
      <c r="M14" s="144"/>
      <c r="N14" s="144"/>
      <c r="O14" s="144"/>
      <c r="P14" s="144"/>
      <c r="Q14" s="144"/>
      <c r="R14" s="144"/>
      <c r="S14" s="144"/>
      <c r="T14" s="144"/>
      <c r="U14" s="144"/>
      <c r="V14" s="144"/>
      <c r="W14" s="144"/>
      <c r="X14" s="144"/>
      <c r="Y14" s="144"/>
      <c r="Z14" s="144"/>
      <c r="AA14" s="144"/>
      <c r="AB14" s="144"/>
      <c r="AC14" s="144"/>
      <c r="AD14" s="144"/>
      <c r="AE14" s="144"/>
      <c r="AF14" s="144"/>
    </row>
    <row r="15" ht="16.5" customHeight="1">
      <c r="A15" s="164" t="s">
        <v>5</v>
      </c>
      <c r="E15" s="83" t="s">
        <v>178</v>
      </c>
      <c r="F15" s="440" t="s">
        <v>210</v>
      </c>
      <c r="G15" s="495" t="s">
        <v>4468</v>
      </c>
      <c r="H15" s="440" t="s">
        <v>210</v>
      </c>
      <c r="I15" s="352"/>
      <c r="J15" s="497"/>
      <c r="K15" s="496"/>
      <c r="L15" s="496"/>
      <c r="M15" s="144"/>
      <c r="N15" s="144"/>
      <c r="O15" s="144"/>
      <c r="P15" s="144"/>
      <c r="Q15" s="144"/>
      <c r="R15" s="144"/>
      <c r="S15" s="144"/>
      <c r="T15" s="144"/>
      <c r="U15" s="144"/>
      <c r="V15" s="144"/>
      <c r="W15" s="144"/>
      <c r="X15" s="144"/>
      <c r="Y15" s="144"/>
      <c r="Z15" s="144"/>
      <c r="AA15" s="144"/>
      <c r="AB15" s="144"/>
      <c r="AC15" s="144"/>
      <c r="AD15" s="144"/>
      <c r="AE15" s="144"/>
      <c r="AF15" s="144"/>
    </row>
    <row r="16" ht="16.5" customHeight="1">
      <c r="A16" s="164" t="s">
        <v>5</v>
      </c>
      <c r="E16" s="83" t="s">
        <v>88</v>
      </c>
      <c r="F16" s="440" t="s">
        <v>89</v>
      </c>
      <c r="G16" s="498"/>
      <c r="H16" s="36"/>
      <c r="L16" s="496"/>
      <c r="M16" s="144"/>
      <c r="N16" s="144"/>
      <c r="O16" s="144"/>
      <c r="P16" s="144"/>
      <c r="Q16" s="144"/>
      <c r="R16" s="144"/>
      <c r="S16" s="144"/>
      <c r="T16" s="144"/>
      <c r="U16" s="144"/>
      <c r="V16" s="144"/>
      <c r="W16" s="144"/>
      <c r="X16" s="144"/>
      <c r="Y16" s="144"/>
      <c r="Z16" s="144"/>
      <c r="AA16" s="144"/>
      <c r="AB16" s="144"/>
      <c r="AC16" s="144"/>
      <c r="AD16" s="144"/>
      <c r="AE16" s="144"/>
      <c r="AF16" s="144"/>
    </row>
    <row r="17" ht="16.5" customHeight="1">
      <c r="A17" s="164" t="s">
        <v>5</v>
      </c>
      <c r="B17" s="83" t="s">
        <v>4469</v>
      </c>
      <c r="C17" s="57" t="s">
        <v>4470</v>
      </c>
      <c r="D17" s="83" t="s">
        <v>20</v>
      </c>
      <c r="E17" s="83" t="s">
        <v>88</v>
      </c>
      <c r="F17" s="440" t="s">
        <v>89</v>
      </c>
      <c r="G17" s="499"/>
      <c r="H17" s="36"/>
      <c r="L17" s="496"/>
      <c r="M17" s="144"/>
      <c r="N17" s="144"/>
      <c r="O17" s="144"/>
      <c r="P17" s="144"/>
      <c r="Q17" s="144"/>
      <c r="R17" s="144"/>
      <c r="S17" s="144"/>
      <c r="T17" s="144"/>
      <c r="U17" s="144"/>
      <c r="V17" s="144"/>
      <c r="W17" s="144"/>
      <c r="X17" s="144"/>
      <c r="Y17" s="144"/>
      <c r="Z17" s="144"/>
      <c r="AA17" s="144"/>
      <c r="AB17" s="144"/>
      <c r="AC17" s="144"/>
      <c r="AD17" s="144"/>
      <c r="AE17" s="144"/>
      <c r="AF17" s="144"/>
    </row>
    <row r="18" ht="16.5" customHeight="1">
      <c r="A18" s="164" t="s">
        <v>5</v>
      </c>
      <c r="E18" s="83" t="s">
        <v>88</v>
      </c>
      <c r="F18" s="500" t="s">
        <v>481</v>
      </c>
      <c r="G18" s="495" t="s">
        <v>4471</v>
      </c>
      <c r="H18" s="500" t="s">
        <v>481</v>
      </c>
      <c r="I18" s="497"/>
      <c r="J18" s="497"/>
      <c r="K18" s="496"/>
      <c r="L18" s="496"/>
      <c r="M18" s="144"/>
      <c r="N18" s="144"/>
      <c r="O18" s="144"/>
      <c r="P18" s="144"/>
      <c r="Q18" s="144"/>
      <c r="R18" s="144"/>
      <c r="S18" s="144"/>
      <c r="T18" s="144"/>
      <c r="U18" s="144"/>
      <c r="V18" s="144"/>
      <c r="W18" s="144"/>
      <c r="X18" s="144"/>
      <c r="Y18" s="144"/>
      <c r="Z18" s="144"/>
      <c r="AA18" s="144"/>
      <c r="AB18" s="144"/>
      <c r="AC18" s="144"/>
      <c r="AD18" s="144"/>
      <c r="AE18" s="144"/>
      <c r="AF18" s="144"/>
    </row>
    <row r="19" ht="16.5" customHeight="1">
      <c r="A19" s="164" t="s">
        <v>5</v>
      </c>
      <c r="E19" s="83" t="s">
        <v>88</v>
      </c>
      <c r="F19" s="440" t="s">
        <v>515</v>
      </c>
      <c r="G19" s="495" t="s">
        <v>4472</v>
      </c>
      <c r="H19" s="440" t="s">
        <v>515</v>
      </c>
      <c r="I19" s="497"/>
      <c r="J19" s="497"/>
      <c r="K19" s="496"/>
      <c r="L19" s="496"/>
      <c r="M19" s="144"/>
      <c r="N19" s="144"/>
      <c r="O19" s="144"/>
      <c r="P19" s="144"/>
      <c r="Q19" s="144"/>
      <c r="R19" s="144"/>
      <c r="S19" s="144"/>
      <c r="T19" s="144"/>
      <c r="U19" s="144"/>
      <c r="V19" s="144"/>
      <c r="W19" s="144"/>
      <c r="X19" s="144"/>
      <c r="Y19" s="144"/>
      <c r="Z19" s="144"/>
      <c r="AA19" s="144"/>
      <c r="AB19" s="144"/>
      <c r="AC19" s="144"/>
      <c r="AD19" s="144"/>
      <c r="AE19" s="144"/>
      <c r="AF19" s="144"/>
    </row>
    <row r="20" ht="16.5" customHeight="1">
      <c r="A20" s="164" t="s">
        <v>5</v>
      </c>
      <c r="E20" s="83" t="s">
        <v>88</v>
      </c>
      <c r="F20" s="500" t="s">
        <v>570</v>
      </c>
      <c r="G20" s="498"/>
      <c r="H20" s="499"/>
      <c r="I20" s="497"/>
      <c r="J20" s="497"/>
      <c r="K20" s="496"/>
      <c r="L20" s="496"/>
      <c r="M20" s="144"/>
      <c r="N20" s="144"/>
      <c r="O20" s="144"/>
      <c r="P20" s="144"/>
      <c r="Q20" s="144"/>
      <c r="R20" s="144"/>
      <c r="S20" s="144"/>
      <c r="T20" s="144"/>
      <c r="U20" s="144"/>
      <c r="V20" s="144"/>
      <c r="W20" s="144"/>
      <c r="X20" s="144"/>
      <c r="Y20" s="144"/>
      <c r="Z20" s="144"/>
      <c r="AA20" s="144"/>
      <c r="AB20" s="144"/>
      <c r="AC20" s="144"/>
      <c r="AD20" s="144"/>
      <c r="AE20" s="144"/>
      <c r="AF20" s="144"/>
    </row>
    <row r="21" ht="16.5" customHeight="1">
      <c r="A21" s="164" t="s">
        <v>5</v>
      </c>
      <c r="E21" s="83" t="s">
        <v>88</v>
      </c>
      <c r="F21" s="440" t="s">
        <v>598</v>
      </c>
      <c r="G21" s="498"/>
      <c r="H21" s="36"/>
      <c r="L21" s="496"/>
      <c r="M21" s="144"/>
      <c r="N21" s="144"/>
      <c r="O21" s="144"/>
      <c r="P21" s="144"/>
      <c r="Q21" s="144"/>
      <c r="R21" s="144"/>
      <c r="S21" s="144"/>
      <c r="T21" s="144"/>
      <c r="U21" s="144"/>
      <c r="V21" s="144"/>
      <c r="W21" s="144"/>
      <c r="X21" s="144"/>
      <c r="Y21" s="144"/>
      <c r="Z21" s="144"/>
      <c r="AA21" s="144"/>
      <c r="AB21" s="144"/>
      <c r="AC21" s="144"/>
      <c r="AD21" s="144"/>
      <c r="AE21" s="144"/>
      <c r="AF21" s="144"/>
    </row>
    <row r="22" ht="16.5" customHeight="1">
      <c r="A22" s="164" t="s">
        <v>5</v>
      </c>
      <c r="E22" s="83" t="s">
        <v>397</v>
      </c>
      <c r="F22" s="500" t="s">
        <v>397</v>
      </c>
      <c r="G22" s="495" t="s">
        <v>4473</v>
      </c>
      <c r="H22" s="500" t="s">
        <v>397</v>
      </c>
      <c r="I22" s="352"/>
      <c r="J22" s="497"/>
      <c r="K22" s="496"/>
      <c r="L22" s="496"/>
      <c r="M22" s="144"/>
      <c r="N22" s="144"/>
      <c r="O22" s="144"/>
      <c r="P22" s="144"/>
      <c r="Q22" s="144"/>
      <c r="R22" s="144"/>
      <c r="S22" s="144"/>
      <c r="T22" s="144"/>
      <c r="U22" s="144"/>
      <c r="V22" s="144"/>
      <c r="W22" s="144"/>
      <c r="X22" s="144"/>
      <c r="Y22" s="144"/>
      <c r="Z22" s="144"/>
      <c r="AA22" s="144"/>
      <c r="AB22" s="144"/>
      <c r="AC22" s="144"/>
      <c r="AD22" s="144"/>
      <c r="AE22" s="144"/>
      <c r="AF22" s="144"/>
    </row>
    <row r="23" ht="16.5" customHeight="1">
      <c r="A23" s="164" t="s">
        <v>5</v>
      </c>
      <c r="E23" s="83" t="s">
        <v>88</v>
      </c>
      <c r="F23" s="440" t="s">
        <v>96</v>
      </c>
      <c r="G23" s="495" t="s">
        <v>4474</v>
      </c>
      <c r="H23" s="440" t="s">
        <v>96</v>
      </c>
      <c r="I23" s="352"/>
      <c r="J23" s="352"/>
      <c r="K23" s="496"/>
      <c r="L23" s="496"/>
      <c r="M23" s="144"/>
      <c r="N23" s="144"/>
      <c r="O23" s="144"/>
      <c r="P23" s="144"/>
      <c r="Q23" s="144"/>
      <c r="R23" s="144"/>
      <c r="S23" s="144"/>
      <c r="T23" s="144"/>
      <c r="U23" s="144"/>
      <c r="V23" s="144"/>
      <c r="W23" s="144"/>
      <c r="X23" s="144"/>
      <c r="Y23" s="144"/>
      <c r="Z23" s="144"/>
      <c r="AA23" s="144"/>
      <c r="AB23" s="144"/>
      <c r="AC23" s="144"/>
      <c r="AD23" s="144"/>
      <c r="AE23" s="144"/>
      <c r="AF23" s="144"/>
    </row>
    <row r="24" ht="16.5" customHeight="1">
      <c r="A24" s="164" t="s">
        <v>5</v>
      </c>
      <c r="E24" s="83" t="s">
        <v>86</v>
      </c>
      <c r="F24" s="440" t="s">
        <v>90</v>
      </c>
      <c r="G24" s="495" t="s">
        <v>4475</v>
      </c>
      <c r="H24" s="440" t="s">
        <v>90</v>
      </c>
      <c r="I24" s="352"/>
      <c r="J24" s="352"/>
      <c r="K24" s="496"/>
      <c r="L24" s="496"/>
      <c r="M24" s="144"/>
      <c r="N24" s="144"/>
      <c r="O24" s="144"/>
      <c r="P24" s="144"/>
      <c r="Q24" s="144"/>
      <c r="R24" s="144"/>
      <c r="S24" s="144"/>
      <c r="T24" s="144"/>
      <c r="U24" s="144"/>
      <c r="V24" s="144"/>
      <c r="W24" s="144"/>
      <c r="X24" s="144"/>
      <c r="Y24" s="144"/>
      <c r="Z24" s="144"/>
      <c r="AA24" s="144"/>
      <c r="AB24" s="144"/>
      <c r="AC24" s="144"/>
      <c r="AD24" s="144"/>
      <c r="AE24" s="144"/>
      <c r="AF24" s="144"/>
    </row>
    <row r="25" ht="16.5" customHeight="1">
      <c r="A25" s="164" t="s">
        <v>5</v>
      </c>
      <c r="E25" s="83" t="s">
        <v>86</v>
      </c>
      <c r="F25" s="440" t="s">
        <v>91</v>
      </c>
      <c r="G25" s="495" t="s">
        <v>4476</v>
      </c>
      <c r="H25" s="440" t="s">
        <v>91</v>
      </c>
      <c r="I25" s="352"/>
      <c r="J25" s="352"/>
      <c r="K25" s="496"/>
      <c r="L25" s="496"/>
      <c r="M25" s="144"/>
      <c r="N25" s="144"/>
      <c r="O25" s="144"/>
      <c r="P25" s="144"/>
      <c r="Q25" s="144"/>
      <c r="R25" s="144"/>
      <c r="S25" s="144"/>
      <c r="T25" s="144"/>
      <c r="U25" s="144"/>
      <c r="V25" s="144"/>
      <c r="W25" s="144"/>
      <c r="X25" s="144"/>
      <c r="Y25" s="144"/>
      <c r="Z25" s="144"/>
      <c r="AA25" s="144"/>
      <c r="AB25" s="144"/>
      <c r="AC25" s="144"/>
      <c r="AD25" s="144"/>
      <c r="AE25" s="144"/>
      <c r="AF25" s="144"/>
    </row>
    <row r="26" ht="16.5" customHeight="1">
      <c r="A26" s="164" t="s">
        <v>5</v>
      </c>
      <c r="E26" s="83" t="s">
        <v>178</v>
      </c>
      <c r="F26" s="440" t="s">
        <v>209</v>
      </c>
      <c r="G26" s="495" t="s">
        <v>4477</v>
      </c>
      <c r="H26" s="440" t="s">
        <v>209</v>
      </c>
      <c r="I26" s="352"/>
      <c r="J26" s="352"/>
      <c r="K26" s="496"/>
      <c r="L26" s="496"/>
      <c r="M26" s="144"/>
      <c r="N26" s="144"/>
      <c r="O26" s="144"/>
      <c r="P26" s="144"/>
      <c r="Q26" s="144"/>
      <c r="R26" s="144"/>
      <c r="S26" s="144"/>
      <c r="T26" s="144"/>
      <c r="U26" s="144"/>
      <c r="V26" s="144"/>
      <c r="W26" s="144"/>
      <c r="X26" s="144"/>
      <c r="Y26" s="144"/>
      <c r="Z26" s="144"/>
      <c r="AA26" s="144"/>
      <c r="AB26" s="144"/>
      <c r="AC26" s="144"/>
      <c r="AD26" s="144"/>
      <c r="AE26" s="144"/>
      <c r="AF26" s="144"/>
    </row>
    <row r="27" ht="16.5" customHeight="1">
      <c r="A27" s="164" t="s">
        <v>5</v>
      </c>
      <c r="E27" s="83" t="s">
        <v>178</v>
      </c>
      <c r="F27" s="440" t="s">
        <v>210</v>
      </c>
      <c r="G27" s="495" t="s">
        <v>4478</v>
      </c>
      <c r="H27" s="440" t="s">
        <v>210</v>
      </c>
      <c r="I27" s="352"/>
      <c r="J27" s="352"/>
      <c r="K27" s="496"/>
      <c r="L27" s="496"/>
      <c r="M27" s="144"/>
      <c r="N27" s="144"/>
      <c r="O27" s="144"/>
      <c r="P27" s="144"/>
      <c r="Q27" s="144"/>
      <c r="R27" s="144"/>
      <c r="S27" s="144"/>
      <c r="T27" s="144"/>
      <c r="U27" s="144"/>
      <c r="V27" s="144"/>
      <c r="W27" s="144"/>
      <c r="X27" s="144"/>
      <c r="Y27" s="144"/>
      <c r="Z27" s="144"/>
      <c r="AA27" s="144"/>
      <c r="AB27" s="144"/>
      <c r="AC27" s="144"/>
      <c r="AD27" s="144"/>
      <c r="AE27" s="144"/>
      <c r="AF27" s="144"/>
    </row>
    <row r="28" ht="16.5" customHeight="1">
      <c r="A28" s="164" t="s">
        <v>5</v>
      </c>
      <c r="E28" s="83" t="s">
        <v>104</v>
      </c>
      <c r="F28" s="440" t="s">
        <v>250</v>
      </c>
      <c r="G28" s="495" t="s">
        <v>4479</v>
      </c>
      <c r="H28" s="440" t="s">
        <v>250</v>
      </c>
      <c r="I28" s="352"/>
      <c r="J28" s="352"/>
      <c r="K28" s="496"/>
      <c r="L28" s="496"/>
      <c r="M28" s="144"/>
      <c r="N28" s="144"/>
      <c r="O28" s="144"/>
      <c r="P28" s="144"/>
      <c r="Q28" s="144"/>
      <c r="R28" s="144"/>
      <c r="S28" s="144"/>
      <c r="T28" s="144"/>
      <c r="U28" s="144"/>
      <c r="V28" s="144"/>
      <c r="W28" s="144"/>
      <c r="X28" s="144"/>
      <c r="Y28" s="144"/>
      <c r="Z28" s="144"/>
      <c r="AA28" s="144"/>
      <c r="AB28" s="144"/>
      <c r="AC28" s="144"/>
      <c r="AD28" s="144"/>
      <c r="AE28" s="144"/>
      <c r="AF28" s="144"/>
    </row>
    <row r="29" ht="16.5" customHeight="1">
      <c r="A29" s="164" t="s">
        <v>5</v>
      </c>
      <c r="B29" s="56" t="s">
        <v>4480</v>
      </c>
      <c r="C29" s="57" t="s">
        <v>4481</v>
      </c>
      <c r="D29" s="83" t="s">
        <v>20</v>
      </c>
      <c r="E29" s="83" t="s">
        <v>88</v>
      </c>
      <c r="F29" s="440" t="s">
        <v>89</v>
      </c>
      <c r="G29" s="498"/>
      <c r="H29" s="36"/>
      <c r="I29" s="36"/>
      <c r="L29" s="496"/>
      <c r="M29" s="144"/>
      <c r="N29" s="144"/>
      <c r="O29" s="144"/>
      <c r="P29" s="144"/>
      <c r="Q29" s="144"/>
      <c r="R29" s="144"/>
      <c r="S29" s="144"/>
      <c r="T29" s="144"/>
      <c r="U29" s="144"/>
      <c r="V29" s="144"/>
      <c r="W29" s="144"/>
      <c r="X29" s="144"/>
      <c r="Y29" s="144"/>
      <c r="Z29" s="144"/>
      <c r="AA29" s="144"/>
      <c r="AB29" s="144"/>
      <c r="AC29" s="144"/>
      <c r="AD29" s="144"/>
      <c r="AE29" s="144"/>
      <c r="AF29" s="144"/>
    </row>
    <row r="30" ht="16.5" customHeight="1">
      <c r="A30" s="164" t="s">
        <v>5</v>
      </c>
      <c r="E30" s="83" t="s">
        <v>21</v>
      </c>
      <c r="F30" s="440" t="s">
        <v>51</v>
      </c>
      <c r="G30" s="495" t="s">
        <v>4482</v>
      </c>
      <c r="H30" s="35" t="s">
        <v>51</v>
      </c>
      <c r="I30" s="36"/>
      <c r="L30" s="496"/>
      <c r="M30" s="144"/>
      <c r="N30" s="144"/>
      <c r="O30" s="144"/>
      <c r="P30" s="144"/>
      <c r="Q30" s="144"/>
      <c r="R30" s="144"/>
      <c r="S30" s="144"/>
      <c r="T30" s="144"/>
      <c r="U30" s="144"/>
      <c r="V30" s="144"/>
      <c r="W30" s="144"/>
      <c r="X30" s="144"/>
      <c r="Y30" s="144"/>
      <c r="Z30" s="144"/>
      <c r="AA30" s="144"/>
      <c r="AB30" s="144"/>
      <c r="AC30" s="144"/>
      <c r="AD30" s="144"/>
      <c r="AE30" s="144"/>
      <c r="AF30" s="144"/>
    </row>
    <row r="31" ht="16.5" customHeight="1">
      <c r="A31" s="164" t="s">
        <v>5</v>
      </c>
      <c r="E31" s="83" t="s">
        <v>88</v>
      </c>
      <c r="F31" s="440" t="s">
        <v>154</v>
      </c>
      <c r="G31" s="495" t="s">
        <v>4483</v>
      </c>
      <c r="H31" s="35" t="s">
        <v>154</v>
      </c>
      <c r="L31" s="496"/>
      <c r="M31" s="144"/>
      <c r="N31" s="144"/>
      <c r="O31" s="144"/>
      <c r="P31" s="144"/>
      <c r="Q31" s="144"/>
      <c r="R31" s="144"/>
      <c r="S31" s="144"/>
      <c r="T31" s="144"/>
      <c r="U31" s="144"/>
      <c r="V31" s="144"/>
      <c r="W31" s="144"/>
      <c r="X31" s="144"/>
      <c r="Y31" s="144"/>
      <c r="Z31" s="144"/>
      <c r="AA31" s="144"/>
      <c r="AB31" s="144"/>
      <c r="AC31" s="144"/>
      <c r="AD31" s="144"/>
      <c r="AE31" s="144"/>
      <c r="AF31" s="144"/>
    </row>
    <row r="32" ht="16.5" customHeight="1">
      <c r="A32" s="164" t="s">
        <v>5</v>
      </c>
      <c r="E32" s="83" t="s">
        <v>88</v>
      </c>
      <c r="F32" s="500" t="s">
        <v>521</v>
      </c>
      <c r="G32" s="495" t="s">
        <v>4484</v>
      </c>
      <c r="H32" s="35" t="s">
        <v>521</v>
      </c>
      <c r="L32" s="496"/>
      <c r="M32" s="144"/>
      <c r="N32" s="144"/>
      <c r="O32" s="144"/>
      <c r="P32" s="144"/>
      <c r="Q32" s="144"/>
      <c r="R32" s="144"/>
      <c r="S32" s="144"/>
      <c r="T32" s="144"/>
      <c r="U32" s="144"/>
      <c r="V32" s="144"/>
      <c r="W32" s="144"/>
      <c r="X32" s="144"/>
      <c r="Y32" s="144"/>
      <c r="Z32" s="144"/>
      <c r="AA32" s="144"/>
      <c r="AB32" s="144"/>
      <c r="AC32" s="144"/>
      <c r="AD32" s="144"/>
      <c r="AE32" s="144"/>
      <c r="AF32" s="144"/>
    </row>
    <row r="33" ht="16.5" customHeight="1">
      <c r="A33" s="164" t="s">
        <v>5</v>
      </c>
      <c r="E33" s="83" t="s">
        <v>88</v>
      </c>
      <c r="F33" s="83" t="s">
        <v>496</v>
      </c>
      <c r="G33" s="495" t="s">
        <v>4485</v>
      </c>
      <c r="H33" s="35" t="s">
        <v>496</v>
      </c>
      <c r="L33" s="496"/>
      <c r="M33" s="144"/>
      <c r="N33" s="144"/>
      <c r="O33" s="144"/>
      <c r="P33" s="144"/>
      <c r="Q33" s="144"/>
      <c r="R33" s="144"/>
      <c r="S33" s="144"/>
      <c r="T33" s="144"/>
      <c r="U33" s="144"/>
      <c r="V33" s="144"/>
      <c r="W33" s="144"/>
      <c r="X33" s="144"/>
      <c r="Y33" s="144"/>
      <c r="Z33" s="144"/>
      <c r="AA33" s="144"/>
      <c r="AB33" s="144"/>
      <c r="AC33" s="144"/>
      <c r="AD33" s="144"/>
      <c r="AE33" s="144"/>
      <c r="AF33" s="144"/>
    </row>
    <row r="34" ht="16.5" customHeight="1">
      <c r="A34" s="164" t="s">
        <v>5</v>
      </c>
      <c r="E34" s="83" t="s">
        <v>88</v>
      </c>
      <c r="F34" s="501" t="s">
        <v>515</v>
      </c>
      <c r="G34" s="495" t="s">
        <v>4486</v>
      </c>
      <c r="H34" s="35" t="s">
        <v>515</v>
      </c>
      <c r="L34" s="496"/>
      <c r="M34" s="144"/>
      <c r="N34" s="144"/>
      <c r="O34" s="144"/>
      <c r="P34" s="144"/>
      <c r="Q34" s="144"/>
      <c r="R34" s="144"/>
      <c r="S34" s="144"/>
      <c r="T34" s="144"/>
      <c r="U34" s="144"/>
      <c r="V34" s="144"/>
      <c r="W34" s="144"/>
      <c r="X34" s="144"/>
      <c r="Y34" s="144"/>
      <c r="Z34" s="144"/>
      <c r="AA34" s="144"/>
      <c r="AB34" s="144"/>
      <c r="AC34" s="144"/>
      <c r="AD34" s="144"/>
      <c r="AE34" s="144"/>
      <c r="AF34" s="144"/>
    </row>
    <row r="35" ht="16.5" customHeight="1">
      <c r="A35" s="164" t="s">
        <v>5</v>
      </c>
      <c r="E35" s="83" t="s">
        <v>88</v>
      </c>
      <c r="F35" s="83" t="s">
        <v>559</v>
      </c>
      <c r="G35" s="495" t="s">
        <v>4487</v>
      </c>
      <c r="H35" s="35" t="s">
        <v>559</v>
      </c>
      <c r="L35" s="496"/>
      <c r="M35" s="144"/>
      <c r="N35" s="144"/>
      <c r="O35" s="144"/>
      <c r="P35" s="144"/>
      <c r="Q35" s="144"/>
      <c r="R35" s="144"/>
      <c r="S35" s="144"/>
      <c r="T35" s="144"/>
      <c r="U35" s="144"/>
      <c r="V35" s="144"/>
      <c r="W35" s="144"/>
      <c r="X35" s="144"/>
      <c r="Y35" s="144"/>
      <c r="Z35" s="144"/>
      <c r="AA35" s="144"/>
      <c r="AB35" s="144"/>
      <c r="AC35" s="144"/>
      <c r="AD35" s="144"/>
      <c r="AE35" s="144"/>
      <c r="AF35" s="144"/>
    </row>
    <row r="36" ht="16.5" customHeight="1">
      <c r="A36" s="164" t="s">
        <v>5</v>
      </c>
      <c r="E36" s="83" t="s">
        <v>88</v>
      </c>
      <c r="F36" s="501" t="s">
        <v>858</v>
      </c>
      <c r="G36" s="495" t="s">
        <v>4488</v>
      </c>
      <c r="H36" s="35" t="s">
        <v>1119</v>
      </c>
      <c r="L36" s="496"/>
      <c r="M36" s="144"/>
      <c r="N36" s="144"/>
      <c r="O36" s="144"/>
      <c r="P36" s="144"/>
      <c r="Q36" s="144"/>
      <c r="R36" s="144"/>
      <c r="S36" s="144"/>
      <c r="T36" s="144"/>
      <c r="U36" s="144"/>
      <c r="V36" s="144"/>
      <c r="W36" s="144"/>
      <c r="X36" s="144"/>
      <c r="Y36" s="144"/>
      <c r="Z36" s="144"/>
      <c r="AA36" s="144"/>
      <c r="AB36" s="144"/>
      <c r="AC36" s="144"/>
      <c r="AD36" s="144"/>
      <c r="AE36" s="144"/>
      <c r="AF36" s="144"/>
    </row>
    <row r="37" ht="16.5" customHeight="1">
      <c r="A37" s="164" t="s">
        <v>5</v>
      </c>
      <c r="E37" s="83" t="s">
        <v>88</v>
      </c>
      <c r="F37" s="83" t="s">
        <v>559</v>
      </c>
      <c r="G37" s="495" t="s">
        <v>4489</v>
      </c>
      <c r="H37" s="35" t="s">
        <v>1073</v>
      </c>
      <c r="L37" s="496"/>
      <c r="M37" s="144"/>
      <c r="N37" s="144"/>
      <c r="O37" s="144"/>
      <c r="P37" s="144"/>
      <c r="Q37" s="144"/>
      <c r="R37" s="144"/>
      <c r="S37" s="144"/>
      <c r="T37" s="144"/>
      <c r="U37" s="144"/>
      <c r="V37" s="144"/>
      <c r="W37" s="144"/>
      <c r="X37" s="144"/>
      <c r="Y37" s="144"/>
      <c r="Z37" s="144"/>
      <c r="AA37" s="144"/>
      <c r="AB37" s="144"/>
      <c r="AC37" s="144"/>
      <c r="AD37" s="144"/>
      <c r="AE37" s="144"/>
      <c r="AF37" s="144"/>
    </row>
    <row r="38" ht="16.5" customHeight="1">
      <c r="A38" s="164" t="s">
        <v>5</v>
      </c>
      <c r="E38" s="83" t="s">
        <v>88</v>
      </c>
      <c r="F38" s="83" t="s">
        <v>858</v>
      </c>
      <c r="G38" s="495" t="s">
        <v>4490</v>
      </c>
      <c r="H38" s="35" t="s">
        <v>4491</v>
      </c>
      <c r="L38" s="496"/>
      <c r="M38" s="144"/>
      <c r="N38" s="144"/>
      <c r="O38" s="144"/>
      <c r="P38" s="144"/>
      <c r="Q38" s="144"/>
      <c r="R38" s="144"/>
      <c r="S38" s="144"/>
      <c r="T38" s="144"/>
      <c r="U38" s="144"/>
      <c r="V38" s="144"/>
      <c r="W38" s="144"/>
      <c r="X38" s="144"/>
      <c r="Y38" s="144"/>
      <c r="Z38" s="144"/>
      <c r="AA38" s="144"/>
      <c r="AB38" s="144"/>
      <c r="AC38" s="144"/>
      <c r="AD38" s="144"/>
      <c r="AE38" s="144"/>
      <c r="AF38" s="144"/>
    </row>
    <row r="39" ht="16.5" customHeight="1">
      <c r="A39" s="164" t="s">
        <v>5</v>
      </c>
      <c r="E39" s="83" t="s">
        <v>88</v>
      </c>
      <c r="F39" s="83" t="s">
        <v>559</v>
      </c>
      <c r="G39" s="502" t="s">
        <v>4492</v>
      </c>
      <c r="H39" s="35" t="s">
        <v>1078</v>
      </c>
      <c r="L39" s="496"/>
      <c r="M39" s="144"/>
      <c r="N39" s="144"/>
      <c r="O39" s="144"/>
      <c r="P39" s="144"/>
      <c r="Q39" s="144"/>
      <c r="R39" s="144"/>
      <c r="S39" s="144"/>
      <c r="T39" s="144"/>
      <c r="U39" s="144"/>
      <c r="V39" s="144"/>
      <c r="W39" s="144"/>
      <c r="X39" s="144"/>
      <c r="Y39" s="144"/>
      <c r="Z39" s="144"/>
      <c r="AA39" s="144"/>
      <c r="AB39" s="144"/>
      <c r="AC39" s="144"/>
      <c r="AD39" s="144"/>
      <c r="AE39" s="144"/>
      <c r="AF39" s="144"/>
    </row>
    <row r="40" ht="16.5" customHeight="1">
      <c r="A40" s="164" t="s">
        <v>5</v>
      </c>
      <c r="E40" s="83" t="s">
        <v>88</v>
      </c>
      <c r="F40" s="83" t="s">
        <v>858</v>
      </c>
      <c r="G40" s="495" t="s">
        <v>4493</v>
      </c>
      <c r="H40" s="35" t="s">
        <v>4494</v>
      </c>
      <c r="L40" s="496"/>
      <c r="M40" s="144"/>
      <c r="N40" s="144"/>
      <c r="O40" s="144"/>
      <c r="P40" s="144"/>
      <c r="Q40" s="144"/>
      <c r="R40" s="144"/>
      <c r="S40" s="144"/>
      <c r="T40" s="144"/>
      <c r="U40" s="144"/>
      <c r="V40" s="144"/>
      <c r="W40" s="144"/>
      <c r="X40" s="144"/>
      <c r="Y40" s="144"/>
      <c r="Z40" s="144"/>
      <c r="AA40" s="144"/>
      <c r="AB40" s="144"/>
      <c r="AC40" s="144"/>
      <c r="AD40" s="144"/>
      <c r="AE40" s="144"/>
      <c r="AF40" s="144"/>
    </row>
    <row r="41" ht="16.5" customHeight="1">
      <c r="A41" s="164" t="s">
        <v>5</v>
      </c>
      <c r="E41" s="83" t="s">
        <v>88</v>
      </c>
      <c r="F41" s="83" t="s">
        <v>559</v>
      </c>
      <c r="G41" s="495" t="s">
        <v>4495</v>
      </c>
      <c r="H41" s="35" t="s">
        <v>1083</v>
      </c>
      <c r="L41" s="496"/>
      <c r="M41" s="144"/>
      <c r="N41" s="144"/>
      <c r="O41" s="144"/>
      <c r="P41" s="144"/>
      <c r="Q41" s="144"/>
      <c r="R41" s="144"/>
      <c r="S41" s="144"/>
      <c r="T41" s="144"/>
      <c r="U41" s="144"/>
      <c r="V41" s="144"/>
      <c r="W41" s="144"/>
      <c r="X41" s="144"/>
      <c r="Y41" s="144"/>
      <c r="Z41" s="144"/>
      <c r="AA41" s="144"/>
      <c r="AB41" s="144"/>
      <c r="AC41" s="144"/>
      <c r="AD41" s="144"/>
      <c r="AE41" s="144"/>
      <c r="AF41" s="144"/>
    </row>
    <row r="42" ht="16.5" customHeight="1">
      <c r="A42" s="164" t="s">
        <v>5</v>
      </c>
      <c r="E42" s="83" t="s">
        <v>88</v>
      </c>
      <c r="F42" s="83" t="s">
        <v>858</v>
      </c>
      <c r="G42" s="495" t="s">
        <v>4496</v>
      </c>
      <c r="H42" s="35" t="s">
        <v>4497</v>
      </c>
      <c r="L42" s="496"/>
      <c r="M42" s="144"/>
      <c r="N42" s="144"/>
      <c r="O42" s="144"/>
      <c r="P42" s="144"/>
      <c r="Q42" s="144"/>
      <c r="R42" s="144"/>
      <c r="S42" s="144"/>
      <c r="T42" s="144"/>
      <c r="U42" s="144"/>
      <c r="V42" s="144"/>
      <c r="W42" s="144"/>
      <c r="X42" s="144"/>
      <c r="Y42" s="144"/>
      <c r="Z42" s="144"/>
      <c r="AA42" s="144"/>
      <c r="AB42" s="144"/>
      <c r="AC42" s="144"/>
      <c r="AD42" s="144"/>
      <c r="AE42" s="144"/>
      <c r="AF42" s="144"/>
    </row>
    <row r="43" ht="16.5" customHeight="1">
      <c r="A43" s="164" t="s">
        <v>5</v>
      </c>
      <c r="E43" s="83" t="s">
        <v>88</v>
      </c>
      <c r="F43" s="83" t="s">
        <v>570</v>
      </c>
      <c r="G43" s="498"/>
      <c r="H43" s="36"/>
      <c r="L43" s="496"/>
      <c r="M43" s="144"/>
      <c r="N43" s="144"/>
      <c r="O43" s="144"/>
      <c r="P43" s="144"/>
      <c r="Q43" s="144"/>
      <c r="R43" s="144"/>
      <c r="S43" s="144"/>
      <c r="T43" s="144"/>
      <c r="U43" s="144"/>
      <c r="V43" s="144"/>
      <c r="W43" s="144"/>
      <c r="X43" s="144"/>
      <c r="Y43" s="144"/>
      <c r="Z43" s="144"/>
      <c r="AA43" s="144"/>
      <c r="AB43" s="144"/>
      <c r="AC43" s="144"/>
      <c r="AD43" s="144"/>
      <c r="AE43" s="144"/>
      <c r="AF43" s="144"/>
    </row>
    <row r="44" ht="16.5" customHeight="1">
      <c r="A44" s="164" t="s">
        <v>5</v>
      </c>
      <c r="E44" s="83" t="s">
        <v>88</v>
      </c>
      <c r="F44" s="501" t="s">
        <v>598</v>
      </c>
      <c r="G44" s="498"/>
      <c r="H44" s="36"/>
      <c r="I44" s="36"/>
      <c r="L44" s="496"/>
      <c r="M44" s="144"/>
      <c r="N44" s="144"/>
      <c r="O44" s="144"/>
      <c r="P44" s="144"/>
      <c r="Q44" s="144"/>
      <c r="R44" s="144"/>
      <c r="S44" s="144"/>
      <c r="T44" s="144"/>
      <c r="U44" s="144"/>
      <c r="V44" s="144"/>
      <c r="W44" s="144"/>
      <c r="X44" s="144"/>
      <c r="Y44" s="144"/>
      <c r="Z44" s="144"/>
      <c r="AA44" s="144"/>
      <c r="AB44" s="144"/>
      <c r="AC44" s="144"/>
      <c r="AD44" s="144"/>
      <c r="AE44" s="144"/>
      <c r="AF44" s="144"/>
    </row>
    <row r="45" ht="16.5" customHeight="1">
      <c r="A45" s="164" t="s">
        <v>5</v>
      </c>
      <c r="E45" s="83" t="s">
        <v>88</v>
      </c>
      <c r="F45" s="83" t="s">
        <v>120</v>
      </c>
      <c r="G45" s="495" t="s">
        <v>4498</v>
      </c>
      <c r="H45" s="35" t="s">
        <v>120</v>
      </c>
      <c r="L45" s="496"/>
      <c r="M45" s="144"/>
      <c r="N45" s="144"/>
      <c r="O45" s="144"/>
      <c r="P45" s="144"/>
      <c r="Q45" s="144"/>
      <c r="R45" s="144"/>
      <c r="S45" s="144"/>
      <c r="T45" s="144"/>
      <c r="U45" s="144"/>
      <c r="V45" s="144"/>
      <c r="W45" s="144"/>
      <c r="X45" s="144"/>
      <c r="Y45" s="144"/>
      <c r="Z45" s="144"/>
      <c r="AA45" s="144"/>
      <c r="AB45" s="144"/>
      <c r="AC45" s="144"/>
      <c r="AD45" s="144"/>
      <c r="AE45" s="144"/>
      <c r="AF45" s="144"/>
    </row>
    <row r="46" ht="16.5" customHeight="1">
      <c r="A46" s="164" t="s">
        <v>5</v>
      </c>
      <c r="E46" s="83" t="s">
        <v>88</v>
      </c>
      <c r="F46" s="83" t="s">
        <v>246</v>
      </c>
      <c r="G46" s="502" t="s">
        <v>4499</v>
      </c>
      <c r="H46" s="35" t="s">
        <v>246</v>
      </c>
      <c r="L46" s="496"/>
      <c r="M46" s="144"/>
      <c r="N46" s="144"/>
      <c r="O46" s="144"/>
      <c r="P46" s="144"/>
      <c r="Q46" s="144"/>
      <c r="R46" s="144"/>
      <c r="S46" s="144"/>
      <c r="T46" s="144"/>
      <c r="U46" s="144"/>
      <c r="V46" s="144"/>
      <c r="W46" s="144"/>
      <c r="X46" s="144"/>
      <c r="Y46" s="144"/>
      <c r="Z46" s="144"/>
      <c r="AA46" s="144"/>
      <c r="AB46" s="144"/>
      <c r="AC46" s="144"/>
      <c r="AD46" s="144"/>
      <c r="AE46" s="144"/>
      <c r="AF46" s="144"/>
    </row>
    <row r="47" ht="16.5" customHeight="1">
      <c r="A47" s="164" t="s">
        <v>5</v>
      </c>
      <c r="E47" s="83" t="s">
        <v>88</v>
      </c>
      <c r="F47" s="83" t="s">
        <v>247</v>
      </c>
      <c r="G47" s="498"/>
      <c r="H47" s="36"/>
      <c r="L47" s="496"/>
      <c r="M47" s="144"/>
      <c r="N47" s="144"/>
      <c r="O47" s="144"/>
      <c r="P47" s="144"/>
      <c r="Q47" s="144"/>
      <c r="R47" s="144"/>
      <c r="S47" s="144"/>
      <c r="T47" s="144"/>
      <c r="U47" s="144"/>
      <c r="V47" s="144"/>
      <c r="W47" s="144"/>
      <c r="X47" s="144"/>
      <c r="Y47" s="144"/>
      <c r="Z47" s="144"/>
      <c r="AA47" s="144"/>
      <c r="AB47" s="144"/>
      <c r="AC47" s="144"/>
      <c r="AD47" s="144"/>
      <c r="AE47" s="144"/>
      <c r="AF47" s="144"/>
    </row>
    <row r="48" ht="16.5" customHeight="1">
      <c r="A48" s="164" t="s">
        <v>5</v>
      </c>
      <c r="E48" s="83" t="s">
        <v>88</v>
      </c>
      <c r="F48" s="83" t="s">
        <v>120</v>
      </c>
      <c r="G48" s="495" t="s">
        <v>4500</v>
      </c>
      <c r="H48" s="35" t="s">
        <v>1845</v>
      </c>
      <c r="L48" s="496"/>
      <c r="M48" s="144"/>
      <c r="N48" s="144"/>
      <c r="O48" s="144"/>
      <c r="P48" s="144"/>
      <c r="Q48" s="144"/>
      <c r="R48" s="144"/>
      <c r="S48" s="144"/>
      <c r="T48" s="144"/>
      <c r="U48" s="144"/>
      <c r="V48" s="144"/>
      <c r="W48" s="144"/>
      <c r="X48" s="144"/>
      <c r="Y48" s="144"/>
      <c r="Z48" s="144"/>
      <c r="AA48" s="144"/>
      <c r="AB48" s="144"/>
      <c r="AC48" s="144"/>
      <c r="AD48" s="144"/>
      <c r="AE48" s="144"/>
      <c r="AF48" s="144"/>
    </row>
    <row r="49" ht="16.5" customHeight="1">
      <c r="A49" s="164" t="s">
        <v>5</v>
      </c>
      <c r="E49" s="83" t="s">
        <v>88</v>
      </c>
      <c r="F49" s="83" t="s">
        <v>246</v>
      </c>
      <c r="G49" s="495" t="s">
        <v>4501</v>
      </c>
      <c r="H49" s="35" t="s">
        <v>1953</v>
      </c>
      <c r="L49" s="496"/>
      <c r="M49" s="144"/>
      <c r="N49" s="144"/>
      <c r="O49" s="144"/>
      <c r="P49" s="144"/>
      <c r="Q49" s="144"/>
      <c r="R49" s="144"/>
      <c r="S49" s="144"/>
      <c r="T49" s="144"/>
      <c r="U49" s="144"/>
      <c r="V49" s="144"/>
      <c r="W49" s="144"/>
      <c r="X49" s="144"/>
      <c r="Y49" s="144"/>
      <c r="Z49" s="144"/>
      <c r="AA49" s="144"/>
      <c r="AB49" s="144"/>
      <c r="AC49" s="144"/>
      <c r="AD49" s="144"/>
      <c r="AE49" s="144"/>
      <c r="AF49" s="144"/>
    </row>
    <row r="50" ht="16.5" customHeight="1">
      <c r="A50" s="164" t="s">
        <v>5</v>
      </c>
      <c r="E50" s="83" t="s">
        <v>88</v>
      </c>
      <c r="F50" s="83" t="s">
        <v>247</v>
      </c>
      <c r="G50" s="498"/>
      <c r="H50" s="36"/>
      <c r="L50" s="496"/>
      <c r="M50" s="144"/>
      <c r="N50" s="144"/>
      <c r="O50" s="144"/>
      <c r="P50" s="144"/>
      <c r="Q50" s="144"/>
      <c r="R50" s="144"/>
      <c r="S50" s="144"/>
      <c r="T50" s="144"/>
      <c r="U50" s="144"/>
      <c r="V50" s="144"/>
      <c r="W50" s="144"/>
      <c r="X50" s="144"/>
      <c r="Y50" s="144"/>
      <c r="Z50" s="144"/>
      <c r="AA50" s="144"/>
      <c r="AB50" s="144"/>
      <c r="AC50" s="144"/>
      <c r="AD50" s="144"/>
      <c r="AE50" s="144"/>
      <c r="AF50" s="144"/>
    </row>
    <row r="51" ht="16.5" customHeight="1">
      <c r="A51" s="164" t="s">
        <v>5</v>
      </c>
      <c r="E51" s="83" t="s">
        <v>88</v>
      </c>
      <c r="F51" s="83" t="s">
        <v>154</v>
      </c>
      <c r="G51" s="495" t="s">
        <v>4502</v>
      </c>
      <c r="H51" s="35" t="s">
        <v>1819</v>
      </c>
      <c r="L51" s="496"/>
      <c r="M51" s="144"/>
      <c r="N51" s="144"/>
      <c r="O51" s="144"/>
      <c r="P51" s="144"/>
      <c r="Q51" s="144"/>
      <c r="R51" s="144"/>
      <c r="S51" s="144"/>
      <c r="T51" s="144"/>
      <c r="U51" s="144"/>
      <c r="V51" s="144"/>
      <c r="W51" s="144"/>
      <c r="X51" s="144"/>
      <c r="Y51" s="144"/>
      <c r="Z51" s="144"/>
      <c r="AA51" s="144"/>
      <c r="AB51" s="144"/>
      <c r="AC51" s="144"/>
      <c r="AD51" s="144"/>
      <c r="AE51" s="144"/>
      <c r="AF51" s="144"/>
    </row>
    <row r="52" ht="16.5" customHeight="1">
      <c r="A52" s="164" t="s">
        <v>5</v>
      </c>
      <c r="E52" s="83" t="s">
        <v>88</v>
      </c>
      <c r="F52" s="83" t="s">
        <v>120</v>
      </c>
      <c r="G52" s="495" t="s">
        <v>4503</v>
      </c>
      <c r="H52" s="35" t="s">
        <v>1824</v>
      </c>
      <c r="L52" s="496"/>
      <c r="M52" s="144"/>
      <c r="N52" s="144"/>
      <c r="O52" s="144"/>
      <c r="P52" s="144"/>
      <c r="Q52" s="144"/>
      <c r="R52" s="144"/>
      <c r="S52" s="144"/>
      <c r="T52" s="144"/>
      <c r="U52" s="144"/>
      <c r="V52" s="144"/>
      <c r="W52" s="144"/>
      <c r="X52" s="144"/>
      <c r="Y52" s="144"/>
      <c r="Z52" s="144"/>
      <c r="AA52" s="144"/>
      <c r="AB52" s="144"/>
      <c r="AC52" s="144"/>
      <c r="AD52" s="144"/>
      <c r="AE52" s="144"/>
      <c r="AF52" s="144"/>
    </row>
    <row r="53" ht="16.5" customHeight="1">
      <c r="A53" s="164" t="s">
        <v>5</v>
      </c>
      <c r="E53" s="83" t="s">
        <v>88</v>
      </c>
      <c r="F53" s="83" t="s">
        <v>544</v>
      </c>
      <c r="G53" s="495" t="s">
        <v>4504</v>
      </c>
      <c r="H53" s="35" t="s">
        <v>544</v>
      </c>
      <c r="L53" s="496"/>
      <c r="M53" s="144"/>
      <c r="N53" s="144"/>
      <c r="O53" s="144"/>
      <c r="P53" s="144"/>
      <c r="Q53" s="144"/>
      <c r="R53" s="144"/>
      <c r="S53" s="144"/>
      <c r="T53" s="144"/>
      <c r="U53" s="144"/>
      <c r="V53" s="144"/>
      <c r="W53" s="144"/>
      <c r="X53" s="144"/>
      <c r="Y53" s="144"/>
      <c r="Z53" s="144"/>
      <c r="AA53" s="144"/>
      <c r="AB53" s="144"/>
      <c r="AC53" s="144"/>
      <c r="AD53" s="144"/>
      <c r="AE53" s="144"/>
      <c r="AF53" s="144"/>
    </row>
    <row r="54" ht="16.5" customHeight="1">
      <c r="A54" s="164" t="s">
        <v>5</v>
      </c>
      <c r="E54" s="83" t="s">
        <v>88</v>
      </c>
      <c r="F54" s="83" t="s">
        <v>247</v>
      </c>
      <c r="G54" s="498"/>
      <c r="H54" s="36"/>
      <c r="L54" s="496"/>
      <c r="M54" s="144"/>
      <c r="N54" s="144"/>
      <c r="O54" s="144"/>
      <c r="P54" s="144"/>
      <c r="Q54" s="144"/>
      <c r="R54" s="144"/>
      <c r="S54" s="144"/>
      <c r="T54" s="144"/>
      <c r="U54" s="144"/>
      <c r="V54" s="144"/>
      <c r="W54" s="144"/>
      <c r="X54" s="144"/>
      <c r="Y54" s="144"/>
      <c r="Z54" s="144"/>
      <c r="AA54" s="144"/>
      <c r="AB54" s="144"/>
      <c r="AC54" s="144"/>
      <c r="AD54" s="144"/>
      <c r="AE54" s="144"/>
      <c r="AF54" s="144"/>
    </row>
    <row r="55" ht="16.5" customHeight="1">
      <c r="A55" s="164" t="s">
        <v>5</v>
      </c>
      <c r="E55" s="83" t="s">
        <v>88</v>
      </c>
      <c r="F55" s="83" t="s">
        <v>95</v>
      </c>
      <c r="G55" s="495" t="s">
        <v>4505</v>
      </c>
      <c r="H55" s="35" t="s">
        <v>95</v>
      </c>
      <c r="L55" s="496"/>
      <c r="M55" s="144"/>
      <c r="N55" s="144"/>
      <c r="O55" s="144"/>
      <c r="P55" s="144"/>
      <c r="Q55" s="144"/>
      <c r="R55" s="144"/>
      <c r="S55" s="144"/>
      <c r="T55" s="144"/>
      <c r="U55" s="144"/>
      <c r="V55" s="144"/>
      <c r="W55" s="144"/>
      <c r="X55" s="144"/>
      <c r="Y55" s="144"/>
      <c r="Z55" s="144"/>
      <c r="AA55" s="144"/>
      <c r="AB55" s="144"/>
      <c r="AC55" s="144"/>
      <c r="AD55" s="144"/>
      <c r="AE55" s="144"/>
      <c r="AF55" s="144"/>
    </row>
    <row r="56" ht="16.5" customHeight="1">
      <c r="A56" s="164" t="s">
        <v>5</v>
      </c>
      <c r="E56" s="83" t="s">
        <v>88</v>
      </c>
      <c r="F56" s="83" t="s">
        <v>96</v>
      </c>
      <c r="G56" s="495" t="s">
        <v>4506</v>
      </c>
      <c r="H56" s="35" t="s">
        <v>96</v>
      </c>
      <c r="L56" s="496"/>
      <c r="M56" s="144"/>
      <c r="N56" s="144"/>
      <c r="O56" s="144"/>
      <c r="P56" s="144"/>
      <c r="Q56" s="144"/>
      <c r="R56" s="144"/>
      <c r="S56" s="144"/>
      <c r="T56" s="144"/>
      <c r="U56" s="144"/>
      <c r="V56" s="144"/>
      <c r="W56" s="144"/>
      <c r="X56" s="144"/>
      <c r="Y56" s="144"/>
      <c r="Z56" s="144"/>
      <c r="AA56" s="144"/>
      <c r="AB56" s="144"/>
      <c r="AC56" s="144"/>
      <c r="AD56" s="144"/>
      <c r="AE56" s="144"/>
      <c r="AF56" s="144"/>
    </row>
    <row r="57" ht="16.5" customHeight="1">
      <c r="A57" s="164" t="s">
        <v>5</v>
      </c>
      <c r="E57" s="83" t="s">
        <v>88</v>
      </c>
      <c r="F57" s="83" t="s">
        <v>122</v>
      </c>
      <c r="G57" s="495" t="s">
        <v>4507</v>
      </c>
      <c r="H57" s="35" t="s">
        <v>122</v>
      </c>
      <c r="L57" s="496"/>
      <c r="M57" s="144"/>
      <c r="N57" s="144"/>
      <c r="O57" s="144"/>
      <c r="P57" s="144"/>
      <c r="Q57" s="144"/>
      <c r="R57" s="144"/>
      <c r="S57" s="144"/>
      <c r="T57" s="144"/>
      <c r="U57" s="144"/>
      <c r="V57" s="144"/>
      <c r="W57" s="144"/>
      <c r="X57" s="144"/>
      <c r="Y57" s="144"/>
      <c r="Z57" s="144"/>
      <c r="AA57" s="144"/>
      <c r="AB57" s="144"/>
      <c r="AC57" s="144"/>
      <c r="AD57" s="144"/>
      <c r="AE57" s="144"/>
      <c r="AF57" s="144"/>
    </row>
    <row r="58" ht="16.5" customHeight="1">
      <c r="A58" s="164" t="s">
        <v>5</v>
      </c>
      <c r="E58" s="83" t="s">
        <v>86</v>
      </c>
      <c r="F58" s="83" t="s">
        <v>90</v>
      </c>
      <c r="G58" s="495" t="s">
        <v>4508</v>
      </c>
      <c r="H58" s="35" t="s">
        <v>90</v>
      </c>
      <c r="L58" s="496"/>
      <c r="M58" s="144"/>
      <c r="N58" s="144"/>
      <c r="O58" s="144"/>
      <c r="P58" s="144"/>
      <c r="Q58" s="144"/>
      <c r="R58" s="144"/>
      <c r="S58" s="144"/>
      <c r="T58" s="144"/>
      <c r="U58" s="144"/>
      <c r="V58" s="144"/>
      <c r="W58" s="144"/>
      <c r="X58" s="144"/>
      <c r="Y58" s="144"/>
      <c r="Z58" s="144"/>
      <c r="AA58" s="144"/>
      <c r="AB58" s="144"/>
      <c r="AC58" s="144"/>
      <c r="AD58" s="144"/>
      <c r="AE58" s="144"/>
      <c r="AF58" s="144"/>
    </row>
    <row r="59" ht="16.5" customHeight="1">
      <c r="A59" s="164" t="s">
        <v>5</v>
      </c>
      <c r="E59" s="83" t="s">
        <v>86</v>
      </c>
      <c r="F59" s="83" t="s">
        <v>91</v>
      </c>
      <c r="G59" s="495" t="s">
        <v>4509</v>
      </c>
      <c r="H59" s="35" t="s">
        <v>91</v>
      </c>
      <c r="L59" s="496"/>
      <c r="M59" s="144"/>
      <c r="N59" s="144"/>
      <c r="O59" s="144"/>
      <c r="P59" s="144"/>
      <c r="Q59" s="144"/>
      <c r="R59" s="144"/>
      <c r="S59" s="144"/>
      <c r="T59" s="144"/>
      <c r="U59" s="144"/>
      <c r="V59" s="144"/>
      <c r="W59" s="144"/>
      <c r="X59" s="144"/>
      <c r="Y59" s="144"/>
      <c r="Z59" s="144"/>
      <c r="AA59" s="144"/>
      <c r="AB59" s="144"/>
      <c r="AC59" s="144"/>
      <c r="AD59" s="144"/>
      <c r="AE59" s="144"/>
      <c r="AF59" s="144"/>
    </row>
    <row r="60" ht="16.5" customHeight="1">
      <c r="A60" s="164" t="s">
        <v>5</v>
      </c>
      <c r="E60" s="83" t="s">
        <v>178</v>
      </c>
      <c r="F60" s="501" t="s">
        <v>209</v>
      </c>
      <c r="G60" s="495" t="s">
        <v>4510</v>
      </c>
      <c r="H60" s="35" t="s">
        <v>209</v>
      </c>
      <c r="I60" s="36"/>
      <c r="L60" s="496"/>
      <c r="M60" s="144"/>
      <c r="N60" s="144"/>
      <c r="O60" s="144"/>
      <c r="P60" s="144"/>
      <c r="Q60" s="144"/>
      <c r="R60" s="144"/>
      <c r="S60" s="144"/>
      <c r="T60" s="144"/>
      <c r="U60" s="144"/>
      <c r="V60" s="144"/>
      <c r="W60" s="144"/>
      <c r="X60" s="144"/>
      <c r="Y60" s="144"/>
      <c r="Z60" s="144"/>
      <c r="AA60" s="144"/>
      <c r="AB60" s="144"/>
      <c r="AC60" s="144"/>
      <c r="AD60" s="144"/>
      <c r="AE60" s="144"/>
      <c r="AF60" s="144"/>
    </row>
    <row r="61" ht="16.5" customHeight="1">
      <c r="A61" s="164" t="s">
        <v>5</v>
      </c>
      <c r="E61" s="83" t="s">
        <v>178</v>
      </c>
      <c r="F61" s="83" t="s">
        <v>210</v>
      </c>
      <c r="G61" s="495" t="s">
        <v>4511</v>
      </c>
      <c r="H61" s="35" t="s">
        <v>210</v>
      </c>
      <c r="I61" s="36"/>
      <c r="L61" s="496"/>
      <c r="M61" s="144"/>
      <c r="N61" s="144"/>
      <c r="O61" s="144"/>
      <c r="P61" s="144"/>
      <c r="Q61" s="144"/>
      <c r="R61" s="144"/>
      <c r="S61" s="144"/>
      <c r="T61" s="144"/>
      <c r="U61" s="144"/>
      <c r="V61" s="144"/>
      <c r="W61" s="144"/>
      <c r="X61" s="144"/>
      <c r="Y61" s="144"/>
      <c r="Z61" s="144"/>
      <c r="AA61" s="144"/>
      <c r="AB61" s="144"/>
      <c r="AC61" s="144"/>
      <c r="AD61" s="144"/>
      <c r="AE61" s="144"/>
      <c r="AF61" s="144"/>
    </row>
    <row r="62" ht="16.5" customHeight="1">
      <c r="A62" s="164" t="s">
        <v>5</v>
      </c>
      <c r="E62" s="83" t="s">
        <v>104</v>
      </c>
      <c r="F62" s="83" t="s">
        <v>250</v>
      </c>
      <c r="G62" s="495" t="s">
        <v>4512</v>
      </c>
      <c r="H62" s="35" t="s">
        <v>250</v>
      </c>
      <c r="L62" s="496"/>
      <c r="M62" s="144"/>
      <c r="N62" s="144"/>
      <c r="O62" s="144"/>
      <c r="P62" s="144"/>
      <c r="Q62" s="144"/>
      <c r="R62" s="144"/>
      <c r="S62" s="144"/>
      <c r="T62" s="144"/>
      <c r="U62" s="144"/>
      <c r="V62" s="144"/>
      <c r="W62" s="144"/>
      <c r="X62" s="144"/>
      <c r="Y62" s="144"/>
      <c r="Z62" s="144"/>
      <c r="AA62" s="144"/>
      <c r="AB62" s="144"/>
      <c r="AC62" s="144"/>
      <c r="AD62" s="144"/>
      <c r="AE62" s="144"/>
      <c r="AF62" s="144"/>
    </row>
    <row r="63" ht="16.5" customHeight="1">
      <c r="A63" s="164" t="s">
        <v>5</v>
      </c>
      <c r="B63" s="56" t="s">
        <v>4513</v>
      </c>
      <c r="C63" s="57" t="s">
        <v>4514</v>
      </c>
      <c r="D63" s="83" t="s">
        <v>20</v>
      </c>
      <c r="E63" s="83" t="s">
        <v>88</v>
      </c>
      <c r="F63" s="440" t="s">
        <v>89</v>
      </c>
      <c r="G63" s="498"/>
      <c r="H63" s="36"/>
      <c r="L63" s="496"/>
      <c r="M63" s="144"/>
      <c r="N63" s="144"/>
      <c r="O63" s="144"/>
      <c r="P63" s="144"/>
      <c r="Q63" s="144"/>
      <c r="R63" s="144"/>
      <c r="S63" s="144"/>
      <c r="T63" s="144"/>
      <c r="U63" s="144"/>
      <c r="V63" s="144"/>
      <c r="W63" s="144"/>
      <c r="X63" s="144"/>
      <c r="Y63" s="144"/>
      <c r="Z63" s="144"/>
      <c r="AA63" s="144"/>
      <c r="AB63" s="144"/>
      <c r="AC63" s="144"/>
      <c r="AD63" s="144"/>
      <c r="AE63" s="144"/>
      <c r="AF63" s="144"/>
    </row>
    <row r="64" ht="16.5" customHeight="1">
      <c r="A64" s="164" t="s">
        <v>5</v>
      </c>
      <c r="E64" s="83" t="s">
        <v>21</v>
      </c>
      <c r="F64" s="440" t="s">
        <v>51</v>
      </c>
      <c r="G64" s="495" t="s">
        <v>4515</v>
      </c>
      <c r="H64" s="35" t="s">
        <v>51</v>
      </c>
      <c r="L64" s="496"/>
      <c r="M64" s="144"/>
      <c r="N64" s="144"/>
      <c r="O64" s="144"/>
      <c r="P64" s="144"/>
      <c r="Q64" s="144"/>
      <c r="R64" s="144"/>
      <c r="S64" s="144"/>
      <c r="T64" s="144"/>
      <c r="U64" s="144"/>
      <c r="V64" s="144"/>
      <c r="W64" s="144"/>
      <c r="X64" s="144"/>
      <c r="Y64" s="144"/>
      <c r="Z64" s="144"/>
      <c r="AA64" s="144"/>
      <c r="AB64" s="144"/>
      <c r="AC64" s="144"/>
      <c r="AD64" s="144"/>
      <c r="AE64" s="144"/>
      <c r="AF64" s="144"/>
    </row>
    <row r="65" ht="16.5" customHeight="1">
      <c r="A65" s="164" t="s">
        <v>5</v>
      </c>
      <c r="E65" s="83" t="s">
        <v>88</v>
      </c>
      <c r="F65" s="440" t="s">
        <v>154</v>
      </c>
      <c r="G65" s="495" t="s">
        <v>4516</v>
      </c>
      <c r="H65" s="440" t="s">
        <v>154</v>
      </c>
      <c r="I65" s="497"/>
      <c r="J65" s="497"/>
      <c r="K65" s="496"/>
      <c r="L65" s="496"/>
      <c r="M65" s="144"/>
      <c r="N65" s="144"/>
      <c r="O65" s="144"/>
      <c r="P65" s="144"/>
      <c r="Q65" s="144"/>
      <c r="R65" s="144"/>
      <c r="S65" s="144"/>
      <c r="T65" s="144"/>
      <c r="U65" s="144"/>
      <c r="V65" s="144"/>
      <c r="W65" s="144"/>
      <c r="X65" s="144"/>
      <c r="Y65" s="144"/>
      <c r="Z65" s="144"/>
      <c r="AA65" s="144"/>
      <c r="AB65" s="144"/>
      <c r="AC65" s="144"/>
      <c r="AD65" s="144"/>
      <c r="AE65" s="144"/>
      <c r="AF65" s="144"/>
    </row>
    <row r="66" ht="16.5" customHeight="1">
      <c r="A66" s="164" t="s">
        <v>5</v>
      </c>
      <c r="E66" s="83" t="s">
        <v>88</v>
      </c>
      <c r="F66" s="500" t="s">
        <v>521</v>
      </c>
      <c r="G66" s="495" t="s">
        <v>4517</v>
      </c>
      <c r="H66" s="500" t="s">
        <v>521</v>
      </c>
      <c r="I66" s="497"/>
      <c r="J66" s="497"/>
      <c r="K66" s="496"/>
      <c r="L66" s="496"/>
      <c r="M66" s="144"/>
      <c r="N66" s="144"/>
      <c r="O66" s="144"/>
      <c r="P66" s="144"/>
      <c r="Q66" s="144"/>
      <c r="R66" s="144"/>
      <c r="S66" s="144"/>
      <c r="T66" s="144"/>
      <c r="U66" s="144"/>
      <c r="V66" s="144"/>
      <c r="W66" s="144"/>
      <c r="X66" s="144"/>
      <c r="Y66" s="144"/>
      <c r="Z66" s="144"/>
      <c r="AA66" s="144"/>
      <c r="AB66" s="144"/>
      <c r="AC66" s="144"/>
      <c r="AD66" s="144"/>
      <c r="AE66" s="144"/>
      <c r="AF66" s="144"/>
    </row>
    <row r="67" ht="16.5" customHeight="1">
      <c r="A67" s="164" t="s">
        <v>5</v>
      </c>
      <c r="E67" s="83" t="s">
        <v>88</v>
      </c>
      <c r="F67" s="83" t="s">
        <v>496</v>
      </c>
      <c r="G67" s="495" t="s">
        <v>4518</v>
      </c>
      <c r="H67" s="83" t="s">
        <v>496</v>
      </c>
      <c r="I67" s="497"/>
      <c r="J67" s="497"/>
      <c r="K67" s="496"/>
      <c r="L67" s="496"/>
      <c r="M67" s="144"/>
      <c r="N67" s="144"/>
      <c r="O67" s="144"/>
      <c r="P67" s="144"/>
      <c r="Q67" s="144"/>
      <c r="R67" s="144"/>
      <c r="S67" s="144"/>
      <c r="T67" s="144"/>
      <c r="U67" s="144"/>
      <c r="V67" s="144"/>
      <c r="W67" s="144"/>
      <c r="X67" s="144"/>
      <c r="Y67" s="144"/>
      <c r="Z67" s="144"/>
      <c r="AA67" s="144"/>
      <c r="AB67" s="144"/>
      <c r="AC67" s="144"/>
      <c r="AD67" s="144"/>
      <c r="AE67" s="144"/>
      <c r="AF67" s="144"/>
    </row>
    <row r="68" ht="16.5" customHeight="1">
      <c r="A68" s="164" t="s">
        <v>5</v>
      </c>
      <c r="E68" s="83" t="s">
        <v>88</v>
      </c>
      <c r="F68" s="501" t="s">
        <v>515</v>
      </c>
      <c r="G68" s="495" t="s">
        <v>4519</v>
      </c>
      <c r="H68" s="501" t="s">
        <v>515</v>
      </c>
      <c r="I68" s="352"/>
      <c r="J68" s="497"/>
      <c r="K68" s="496"/>
      <c r="L68" s="496"/>
      <c r="M68" s="144"/>
      <c r="N68" s="144"/>
      <c r="O68" s="144"/>
      <c r="P68" s="144"/>
      <c r="Q68" s="144"/>
      <c r="R68" s="144"/>
      <c r="S68" s="144"/>
      <c r="T68" s="144"/>
      <c r="U68" s="144"/>
      <c r="V68" s="144"/>
      <c r="W68" s="144"/>
      <c r="X68" s="144"/>
      <c r="Y68" s="144"/>
      <c r="Z68" s="144"/>
      <c r="AA68" s="144"/>
      <c r="AB68" s="144"/>
      <c r="AC68" s="144"/>
      <c r="AD68" s="144"/>
      <c r="AE68" s="144"/>
      <c r="AF68" s="144"/>
    </row>
    <row r="69" ht="16.5" customHeight="1">
      <c r="A69" s="164" t="s">
        <v>5</v>
      </c>
      <c r="E69" s="83" t="s">
        <v>88</v>
      </c>
      <c r="F69" s="83" t="s">
        <v>559</v>
      </c>
      <c r="G69" s="495" t="s">
        <v>4520</v>
      </c>
      <c r="H69" s="83" t="s">
        <v>559</v>
      </c>
      <c r="I69" s="352"/>
      <c r="J69" s="497"/>
      <c r="K69" s="496"/>
      <c r="L69" s="496"/>
      <c r="M69" s="144"/>
      <c r="N69" s="144"/>
      <c r="O69" s="144"/>
      <c r="P69" s="144"/>
      <c r="Q69" s="144"/>
      <c r="R69" s="144"/>
      <c r="S69" s="144"/>
      <c r="T69" s="144"/>
      <c r="U69" s="144"/>
      <c r="V69" s="144"/>
      <c r="W69" s="144"/>
      <c r="X69" s="144"/>
      <c r="Y69" s="144"/>
      <c r="Z69" s="144"/>
      <c r="AA69" s="144"/>
      <c r="AB69" s="144"/>
      <c r="AC69" s="144"/>
      <c r="AD69" s="144"/>
      <c r="AE69" s="144"/>
      <c r="AF69" s="144"/>
    </row>
    <row r="70" ht="16.5" customHeight="1">
      <c r="A70" s="164" t="s">
        <v>5</v>
      </c>
      <c r="E70" s="83" t="s">
        <v>88</v>
      </c>
      <c r="F70" s="501" t="s">
        <v>858</v>
      </c>
      <c r="G70" s="495" t="s">
        <v>4521</v>
      </c>
      <c r="H70" s="35" t="s">
        <v>1119</v>
      </c>
      <c r="L70" s="496"/>
      <c r="M70" s="144"/>
      <c r="N70" s="144"/>
      <c r="O70" s="144"/>
      <c r="P70" s="144"/>
      <c r="Q70" s="144"/>
      <c r="R70" s="144"/>
      <c r="S70" s="144"/>
      <c r="T70" s="144"/>
      <c r="U70" s="144"/>
      <c r="V70" s="144"/>
      <c r="W70" s="144"/>
      <c r="X70" s="144"/>
      <c r="Y70" s="144"/>
      <c r="Z70" s="144"/>
      <c r="AA70" s="144"/>
      <c r="AB70" s="144"/>
      <c r="AC70" s="144"/>
      <c r="AD70" s="144"/>
      <c r="AE70" s="144"/>
      <c r="AF70" s="144"/>
    </row>
    <row r="71" ht="16.5" customHeight="1">
      <c r="A71" s="164" t="s">
        <v>5</v>
      </c>
      <c r="E71" s="83" t="s">
        <v>88</v>
      </c>
      <c r="F71" s="83" t="s">
        <v>570</v>
      </c>
      <c r="G71" s="498"/>
      <c r="H71" s="352"/>
      <c r="I71" s="497"/>
      <c r="J71" s="497"/>
      <c r="K71" s="496"/>
      <c r="L71" s="496"/>
      <c r="M71" s="144"/>
      <c r="N71" s="144"/>
      <c r="O71" s="144"/>
      <c r="P71" s="144"/>
      <c r="Q71" s="144"/>
      <c r="R71" s="144"/>
      <c r="S71" s="144"/>
      <c r="T71" s="144"/>
      <c r="U71" s="144"/>
      <c r="V71" s="144"/>
      <c r="W71" s="144"/>
      <c r="X71" s="144"/>
      <c r="Y71" s="144"/>
      <c r="Z71" s="144"/>
      <c r="AA71" s="144"/>
      <c r="AB71" s="144"/>
      <c r="AC71" s="144"/>
      <c r="AD71" s="144"/>
      <c r="AE71" s="144"/>
      <c r="AF71" s="144"/>
    </row>
    <row r="72" ht="16.5" customHeight="1">
      <c r="A72" s="164" t="s">
        <v>5</v>
      </c>
      <c r="E72" s="83" t="s">
        <v>88</v>
      </c>
      <c r="F72" s="501" t="s">
        <v>598</v>
      </c>
      <c r="G72" s="499"/>
      <c r="H72" s="352"/>
      <c r="I72" s="497"/>
      <c r="J72" s="497"/>
      <c r="K72" s="496"/>
      <c r="L72" s="496"/>
      <c r="M72" s="144"/>
      <c r="N72" s="144"/>
      <c r="O72" s="144"/>
      <c r="P72" s="144"/>
      <c r="Q72" s="144"/>
      <c r="R72" s="144"/>
      <c r="S72" s="144"/>
      <c r="T72" s="144"/>
      <c r="U72" s="144"/>
      <c r="V72" s="144"/>
      <c r="W72" s="144"/>
      <c r="X72" s="144"/>
      <c r="Y72" s="144"/>
      <c r="Z72" s="144"/>
      <c r="AA72" s="144"/>
      <c r="AB72" s="144"/>
      <c r="AC72" s="144"/>
      <c r="AD72" s="144"/>
      <c r="AE72" s="144"/>
      <c r="AF72" s="144"/>
    </row>
    <row r="73" ht="16.5" customHeight="1">
      <c r="A73" s="164" t="s">
        <v>5</v>
      </c>
      <c r="E73" s="83" t="s">
        <v>88</v>
      </c>
      <c r="F73" s="83" t="s">
        <v>120</v>
      </c>
      <c r="G73" s="495" t="s">
        <v>4522</v>
      </c>
      <c r="H73" s="83" t="s">
        <v>120</v>
      </c>
      <c r="I73" s="497"/>
      <c r="J73" s="497"/>
      <c r="K73" s="496"/>
      <c r="L73" s="496"/>
      <c r="M73" s="144"/>
      <c r="N73" s="144"/>
      <c r="O73" s="144"/>
      <c r="P73" s="144"/>
      <c r="Q73" s="144"/>
      <c r="R73" s="144"/>
      <c r="S73" s="144"/>
      <c r="T73" s="144"/>
      <c r="U73" s="144"/>
      <c r="V73" s="144"/>
      <c r="W73" s="144"/>
      <c r="X73" s="144"/>
      <c r="Y73" s="144"/>
      <c r="Z73" s="144"/>
      <c r="AA73" s="144"/>
      <c r="AB73" s="144"/>
      <c r="AC73" s="144"/>
      <c r="AD73" s="144"/>
      <c r="AE73" s="144"/>
      <c r="AF73" s="144"/>
    </row>
    <row r="74" ht="16.5" customHeight="1">
      <c r="A74" s="164" t="s">
        <v>5</v>
      </c>
      <c r="E74" s="83" t="s">
        <v>88</v>
      </c>
      <c r="F74" s="83" t="s">
        <v>246</v>
      </c>
      <c r="G74" s="495" t="s">
        <v>4523</v>
      </c>
      <c r="H74" s="83" t="s">
        <v>246</v>
      </c>
      <c r="I74" s="497"/>
      <c r="J74" s="497"/>
      <c r="K74" s="496"/>
      <c r="L74" s="496"/>
      <c r="M74" s="144"/>
      <c r="N74" s="144"/>
      <c r="O74" s="144"/>
      <c r="P74" s="144"/>
      <c r="Q74" s="144"/>
      <c r="R74" s="144"/>
      <c r="S74" s="144"/>
      <c r="T74" s="144"/>
      <c r="U74" s="144"/>
      <c r="V74" s="144"/>
      <c r="W74" s="144"/>
      <c r="X74" s="144"/>
      <c r="Y74" s="144"/>
      <c r="Z74" s="144"/>
      <c r="AA74" s="144"/>
      <c r="AB74" s="144"/>
      <c r="AC74" s="144"/>
      <c r="AD74" s="144"/>
      <c r="AE74" s="144"/>
      <c r="AF74" s="144"/>
    </row>
    <row r="75" ht="16.5" customHeight="1">
      <c r="A75" s="164" t="s">
        <v>5</v>
      </c>
      <c r="E75" s="83" t="s">
        <v>88</v>
      </c>
      <c r="F75" s="83" t="s">
        <v>247</v>
      </c>
      <c r="G75" s="498"/>
      <c r="H75" s="36"/>
      <c r="I75" s="497"/>
      <c r="J75" s="497"/>
      <c r="K75" s="496"/>
      <c r="L75" s="496"/>
      <c r="M75" s="144"/>
      <c r="N75" s="144"/>
      <c r="O75" s="144"/>
      <c r="P75" s="144"/>
      <c r="Q75" s="144"/>
      <c r="R75" s="144"/>
      <c r="S75" s="144"/>
      <c r="T75" s="144"/>
      <c r="U75" s="144"/>
      <c r="V75" s="144"/>
      <c r="W75" s="144"/>
      <c r="X75" s="144"/>
      <c r="Y75" s="144"/>
      <c r="Z75" s="144"/>
      <c r="AA75" s="144"/>
      <c r="AB75" s="144"/>
      <c r="AC75" s="144"/>
      <c r="AD75" s="144"/>
      <c r="AE75" s="144"/>
      <c r="AF75" s="144"/>
    </row>
    <row r="76" ht="16.5" customHeight="1">
      <c r="A76" s="164" t="s">
        <v>5</v>
      </c>
      <c r="E76" s="83" t="s">
        <v>88</v>
      </c>
      <c r="F76" s="83" t="s">
        <v>120</v>
      </c>
      <c r="G76" s="495" t="s">
        <v>4524</v>
      </c>
      <c r="H76" s="35" t="s">
        <v>1845</v>
      </c>
      <c r="I76" s="36"/>
      <c r="L76" s="496"/>
      <c r="M76" s="144"/>
      <c r="N76" s="144"/>
      <c r="O76" s="144"/>
      <c r="P76" s="144"/>
      <c r="Q76" s="144"/>
      <c r="R76" s="144"/>
      <c r="S76" s="144"/>
      <c r="T76" s="144"/>
      <c r="U76" s="144"/>
      <c r="V76" s="144"/>
      <c r="W76" s="144"/>
      <c r="X76" s="144"/>
      <c r="Y76" s="144"/>
      <c r="Z76" s="144"/>
      <c r="AA76" s="144"/>
      <c r="AB76" s="144"/>
      <c r="AC76" s="144"/>
      <c r="AD76" s="144"/>
      <c r="AE76" s="144"/>
      <c r="AF76" s="144"/>
    </row>
    <row r="77" ht="16.5" customHeight="1">
      <c r="A77" s="164" t="s">
        <v>5</v>
      </c>
      <c r="E77" s="83" t="s">
        <v>88</v>
      </c>
      <c r="F77" s="83" t="s">
        <v>246</v>
      </c>
      <c r="G77" s="495" t="s">
        <v>4525</v>
      </c>
      <c r="H77" s="35" t="s">
        <v>1953</v>
      </c>
      <c r="I77" s="36"/>
      <c r="L77" s="496"/>
      <c r="M77" s="144"/>
      <c r="N77" s="144"/>
      <c r="O77" s="144"/>
      <c r="P77" s="144"/>
      <c r="Q77" s="144"/>
      <c r="R77" s="144"/>
      <c r="S77" s="144"/>
      <c r="T77" s="144"/>
      <c r="U77" s="144"/>
      <c r="V77" s="144"/>
      <c r="W77" s="144"/>
      <c r="X77" s="144"/>
      <c r="Y77" s="144"/>
      <c r="Z77" s="144"/>
      <c r="AA77" s="144"/>
      <c r="AB77" s="144"/>
      <c r="AC77" s="144"/>
      <c r="AD77" s="144"/>
      <c r="AE77" s="144"/>
      <c r="AF77" s="144"/>
    </row>
    <row r="78" ht="16.5" customHeight="1">
      <c r="A78" s="164" t="s">
        <v>5</v>
      </c>
      <c r="E78" s="83" t="s">
        <v>88</v>
      </c>
      <c r="F78" s="83" t="s">
        <v>247</v>
      </c>
      <c r="G78" s="498"/>
      <c r="H78" s="36"/>
      <c r="I78" s="497"/>
      <c r="J78" s="497"/>
      <c r="K78" s="496"/>
      <c r="L78" s="496"/>
      <c r="M78" s="144"/>
      <c r="N78" s="144"/>
      <c r="O78" s="144"/>
      <c r="P78" s="144"/>
      <c r="Q78" s="144"/>
      <c r="R78" s="144"/>
      <c r="S78" s="144"/>
      <c r="T78" s="144"/>
      <c r="U78" s="144"/>
      <c r="V78" s="144"/>
      <c r="W78" s="144"/>
      <c r="X78" s="144"/>
      <c r="Y78" s="144"/>
      <c r="Z78" s="144"/>
      <c r="AA78" s="144"/>
      <c r="AB78" s="144"/>
      <c r="AC78" s="144"/>
      <c r="AD78" s="144"/>
      <c r="AE78" s="144"/>
      <c r="AF78" s="144"/>
    </row>
    <row r="79" ht="16.5" customHeight="1">
      <c r="A79" s="164" t="s">
        <v>5</v>
      </c>
      <c r="E79" s="83" t="s">
        <v>88</v>
      </c>
      <c r="F79" s="83" t="s">
        <v>154</v>
      </c>
      <c r="G79" s="495" t="s">
        <v>4526</v>
      </c>
      <c r="H79" s="35" t="s">
        <v>1819</v>
      </c>
      <c r="L79" s="496"/>
      <c r="M79" s="144"/>
      <c r="N79" s="144"/>
      <c r="O79" s="144"/>
      <c r="P79" s="144"/>
      <c r="Q79" s="144"/>
      <c r="R79" s="144"/>
      <c r="S79" s="144"/>
      <c r="T79" s="144"/>
      <c r="U79" s="144"/>
      <c r="V79" s="144"/>
      <c r="W79" s="144"/>
      <c r="X79" s="144"/>
      <c r="Y79" s="144"/>
      <c r="Z79" s="144"/>
      <c r="AA79" s="144"/>
      <c r="AB79" s="144"/>
      <c r="AC79" s="144"/>
      <c r="AD79" s="144"/>
      <c r="AE79" s="144"/>
      <c r="AF79" s="144"/>
    </row>
    <row r="80" ht="16.5" customHeight="1">
      <c r="A80" s="164" t="s">
        <v>5</v>
      </c>
      <c r="E80" s="83" t="s">
        <v>88</v>
      </c>
      <c r="F80" s="83" t="s">
        <v>120</v>
      </c>
      <c r="G80" s="495" t="s">
        <v>4527</v>
      </c>
      <c r="H80" s="35" t="s">
        <v>1824</v>
      </c>
      <c r="L80" s="496"/>
      <c r="M80" s="144"/>
      <c r="N80" s="144"/>
      <c r="O80" s="144"/>
      <c r="P80" s="144"/>
      <c r="Q80" s="144"/>
      <c r="R80" s="144"/>
      <c r="S80" s="144"/>
      <c r="T80" s="144"/>
      <c r="U80" s="144"/>
      <c r="V80" s="144"/>
      <c r="W80" s="144"/>
      <c r="X80" s="144"/>
      <c r="Y80" s="144"/>
      <c r="Z80" s="144"/>
      <c r="AA80" s="144"/>
      <c r="AB80" s="144"/>
      <c r="AC80" s="144"/>
      <c r="AD80" s="144"/>
      <c r="AE80" s="144"/>
      <c r="AF80" s="144"/>
    </row>
    <row r="81" ht="16.5" customHeight="1">
      <c r="A81" s="164" t="s">
        <v>5</v>
      </c>
      <c r="E81" s="83" t="s">
        <v>88</v>
      </c>
      <c r="F81" s="83" t="s">
        <v>544</v>
      </c>
      <c r="G81" s="495" t="s">
        <v>4528</v>
      </c>
      <c r="H81" s="35" t="s">
        <v>544</v>
      </c>
      <c r="L81" s="496"/>
      <c r="M81" s="144"/>
      <c r="N81" s="144"/>
      <c r="O81" s="144"/>
      <c r="P81" s="144"/>
      <c r="Q81" s="144"/>
      <c r="R81" s="144"/>
      <c r="S81" s="144"/>
      <c r="T81" s="144"/>
      <c r="U81" s="144"/>
      <c r="V81" s="144"/>
      <c r="W81" s="144"/>
      <c r="X81" s="144"/>
      <c r="Y81" s="144"/>
      <c r="Z81" s="144"/>
      <c r="AA81" s="144"/>
      <c r="AB81" s="144"/>
      <c r="AC81" s="144"/>
      <c r="AD81" s="144"/>
      <c r="AE81" s="144"/>
      <c r="AF81" s="144"/>
    </row>
    <row r="82" ht="16.5" customHeight="1">
      <c r="A82" s="164" t="s">
        <v>5</v>
      </c>
      <c r="E82" s="83" t="s">
        <v>88</v>
      </c>
      <c r="F82" s="83" t="s">
        <v>247</v>
      </c>
      <c r="G82" s="498"/>
      <c r="H82" s="36"/>
      <c r="I82" s="497"/>
      <c r="J82" s="497"/>
      <c r="K82" s="496"/>
      <c r="L82" s="496"/>
      <c r="M82" s="144"/>
      <c r="N82" s="144"/>
      <c r="O82" s="144"/>
      <c r="P82" s="144"/>
      <c r="Q82" s="144"/>
      <c r="R82" s="144"/>
      <c r="S82" s="144"/>
      <c r="T82" s="144"/>
      <c r="U82" s="144"/>
      <c r="V82" s="144"/>
      <c r="W82" s="144"/>
      <c r="X82" s="144"/>
      <c r="Y82" s="144"/>
      <c r="Z82" s="144"/>
      <c r="AA82" s="144"/>
      <c r="AB82" s="144"/>
      <c r="AC82" s="144"/>
      <c r="AD82" s="144"/>
      <c r="AE82" s="144"/>
      <c r="AF82" s="144"/>
    </row>
    <row r="83" ht="16.5" customHeight="1">
      <c r="A83" s="164" t="s">
        <v>5</v>
      </c>
      <c r="E83" s="83" t="s">
        <v>88</v>
      </c>
      <c r="F83" s="83" t="s">
        <v>95</v>
      </c>
      <c r="G83" s="495" t="s">
        <v>4529</v>
      </c>
      <c r="H83" s="83" t="s">
        <v>95</v>
      </c>
      <c r="I83" s="497"/>
      <c r="J83" s="497"/>
      <c r="K83" s="496"/>
      <c r="L83" s="496"/>
      <c r="M83" s="144"/>
      <c r="N83" s="144"/>
      <c r="O83" s="144"/>
      <c r="P83" s="144"/>
      <c r="Q83" s="144"/>
      <c r="R83" s="144"/>
      <c r="S83" s="144"/>
      <c r="T83" s="144"/>
      <c r="U83" s="144"/>
      <c r="V83" s="144"/>
      <c r="W83" s="144"/>
      <c r="X83" s="144"/>
      <c r="Y83" s="144"/>
      <c r="Z83" s="144"/>
      <c r="AA83" s="144"/>
      <c r="AB83" s="144"/>
      <c r="AC83" s="144"/>
      <c r="AD83" s="144"/>
      <c r="AE83" s="144"/>
      <c r="AF83" s="144"/>
    </row>
    <row r="84" ht="16.5" customHeight="1">
      <c r="A84" s="164" t="s">
        <v>5</v>
      </c>
      <c r="E84" s="83" t="s">
        <v>88</v>
      </c>
      <c r="F84" s="83" t="s">
        <v>96</v>
      </c>
      <c r="G84" s="495" t="s">
        <v>4530</v>
      </c>
      <c r="H84" s="83" t="s">
        <v>96</v>
      </c>
      <c r="I84" s="352"/>
      <c r="J84" s="497"/>
      <c r="K84" s="496"/>
      <c r="L84" s="496"/>
      <c r="M84" s="144"/>
      <c r="N84" s="144"/>
      <c r="O84" s="144"/>
      <c r="P84" s="144"/>
      <c r="Q84" s="144"/>
      <c r="R84" s="144"/>
      <c r="S84" s="144"/>
      <c r="T84" s="144"/>
      <c r="U84" s="144"/>
      <c r="V84" s="144"/>
      <c r="W84" s="144"/>
      <c r="X84" s="144"/>
      <c r="Y84" s="144"/>
      <c r="Z84" s="144"/>
      <c r="AA84" s="144"/>
      <c r="AB84" s="144"/>
      <c r="AC84" s="144"/>
      <c r="AD84" s="144"/>
      <c r="AE84" s="144"/>
      <c r="AF84" s="144"/>
    </row>
    <row r="85" ht="16.5" customHeight="1">
      <c r="A85" s="164" t="s">
        <v>5</v>
      </c>
      <c r="E85" s="83" t="s">
        <v>88</v>
      </c>
      <c r="F85" s="83" t="s">
        <v>122</v>
      </c>
      <c r="G85" s="495" t="s">
        <v>4531</v>
      </c>
      <c r="H85" s="83" t="s">
        <v>122</v>
      </c>
      <c r="I85" s="352"/>
      <c r="J85" s="497"/>
      <c r="K85" s="496"/>
      <c r="L85" s="496"/>
      <c r="M85" s="144"/>
      <c r="N85" s="144"/>
      <c r="O85" s="144"/>
      <c r="P85" s="144"/>
      <c r="Q85" s="144"/>
      <c r="R85" s="144"/>
      <c r="S85" s="144"/>
      <c r="T85" s="144"/>
      <c r="U85" s="144"/>
      <c r="V85" s="144"/>
      <c r="W85" s="144"/>
      <c r="X85" s="144"/>
      <c r="Y85" s="144"/>
      <c r="Z85" s="144"/>
      <c r="AA85" s="144"/>
      <c r="AB85" s="144"/>
      <c r="AC85" s="144"/>
      <c r="AD85" s="144"/>
      <c r="AE85" s="144"/>
      <c r="AF85" s="144"/>
    </row>
    <row r="86" ht="16.5" customHeight="1">
      <c r="A86" s="164" t="s">
        <v>5</v>
      </c>
      <c r="E86" s="83" t="s">
        <v>86</v>
      </c>
      <c r="F86" s="83" t="s">
        <v>90</v>
      </c>
      <c r="G86" s="495" t="s">
        <v>4532</v>
      </c>
      <c r="H86" s="83" t="s">
        <v>90</v>
      </c>
      <c r="I86" s="497"/>
      <c r="J86" s="497"/>
      <c r="K86" s="496"/>
      <c r="L86" s="496"/>
      <c r="M86" s="144"/>
      <c r="N86" s="144"/>
      <c r="O86" s="144"/>
      <c r="P86" s="144"/>
      <c r="Q86" s="144"/>
      <c r="R86" s="144"/>
      <c r="S86" s="144"/>
      <c r="T86" s="144"/>
      <c r="U86" s="144"/>
      <c r="V86" s="144"/>
      <c r="W86" s="144"/>
      <c r="X86" s="144"/>
      <c r="Y86" s="144"/>
      <c r="Z86" s="144"/>
      <c r="AA86" s="144"/>
      <c r="AB86" s="144"/>
      <c r="AC86" s="144"/>
      <c r="AD86" s="144"/>
      <c r="AE86" s="144"/>
      <c r="AF86" s="144"/>
    </row>
    <row r="87" ht="16.5" customHeight="1">
      <c r="A87" s="164" t="s">
        <v>5</v>
      </c>
      <c r="E87" s="83" t="s">
        <v>86</v>
      </c>
      <c r="F87" s="83" t="s">
        <v>91</v>
      </c>
      <c r="G87" s="495" t="s">
        <v>4533</v>
      </c>
      <c r="H87" s="83" t="s">
        <v>91</v>
      </c>
      <c r="I87" s="497"/>
      <c r="J87" s="497"/>
      <c r="K87" s="496"/>
      <c r="L87" s="496"/>
      <c r="M87" s="144"/>
      <c r="N87" s="144"/>
      <c r="O87" s="144"/>
      <c r="P87" s="144"/>
      <c r="Q87" s="144"/>
      <c r="R87" s="144"/>
      <c r="S87" s="144"/>
      <c r="T87" s="144"/>
      <c r="U87" s="144"/>
      <c r="V87" s="144"/>
      <c r="W87" s="144"/>
      <c r="X87" s="144"/>
      <c r="Y87" s="144"/>
      <c r="Z87" s="144"/>
      <c r="AA87" s="144"/>
      <c r="AB87" s="144"/>
      <c r="AC87" s="144"/>
      <c r="AD87" s="144"/>
      <c r="AE87" s="144"/>
      <c r="AF87" s="144"/>
    </row>
    <row r="88" ht="16.5" customHeight="1">
      <c r="A88" s="164" t="s">
        <v>5</v>
      </c>
      <c r="E88" s="83" t="s">
        <v>178</v>
      </c>
      <c r="F88" s="501" t="s">
        <v>209</v>
      </c>
      <c r="G88" s="495" t="s">
        <v>4534</v>
      </c>
      <c r="H88" s="501" t="s">
        <v>209</v>
      </c>
      <c r="I88" s="497"/>
      <c r="J88" s="497"/>
      <c r="K88" s="496"/>
      <c r="L88" s="496"/>
      <c r="M88" s="144"/>
      <c r="N88" s="144"/>
      <c r="O88" s="144"/>
      <c r="P88" s="144"/>
      <c r="Q88" s="144"/>
      <c r="R88" s="144"/>
      <c r="S88" s="144"/>
      <c r="T88" s="144"/>
      <c r="U88" s="144"/>
      <c r="V88" s="144"/>
      <c r="W88" s="144"/>
      <c r="X88" s="144"/>
      <c r="Y88" s="144"/>
      <c r="Z88" s="144"/>
      <c r="AA88" s="144"/>
      <c r="AB88" s="144"/>
      <c r="AC88" s="144"/>
      <c r="AD88" s="144"/>
      <c r="AE88" s="144"/>
      <c r="AF88" s="144"/>
    </row>
    <row r="89" ht="16.5" customHeight="1">
      <c r="A89" s="164" t="s">
        <v>5</v>
      </c>
      <c r="E89" s="83" t="s">
        <v>178</v>
      </c>
      <c r="F89" s="83" t="s">
        <v>210</v>
      </c>
      <c r="G89" s="495" t="s">
        <v>4535</v>
      </c>
      <c r="H89" s="83" t="s">
        <v>210</v>
      </c>
      <c r="I89" s="497"/>
      <c r="J89" s="497"/>
      <c r="K89" s="496"/>
      <c r="L89" s="496"/>
      <c r="M89" s="144"/>
      <c r="N89" s="144"/>
      <c r="O89" s="144"/>
      <c r="P89" s="144"/>
      <c r="Q89" s="144"/>
      <c r="R89" s="144"/>
      <c r="S89" s="144"/>
      <c r="T89" s="144"/>
      <c r="U89" s="144"/>
      <c r="V89" s="144"/>
      <c r="W89" s="144"/>
      <c r="X89" s="144"/>
      <c r="Y89" s="144"/>
      <c r="Z89" s="144"/>
      <c r="AA89" s="144"/>
      <c r="AB89" s="144"/>
      <c r="AC89" s="144"/>
      <c r="AD89" s="144"/>
      <c r="AE89" s="144"/>
      <c r="AF89" s="144"/>
    </row>
    <row r="90" ht="16.5" customHeight="1">
      <c r="A90" s="164" t="s">
        <v>5</v>
      </c>
      <c r="E90" s="83" t="s">
        <v>104</v>
      </c>
      <c r="F90" s="83" t="s">
        <v>250</v>
      </c>
      <c r="G90" s="495" t="s">
        <v>4536</v>
      </c>
      <c r="H90" s="83" t="s">
        <v>250</v>
      </c>
      <c r="I90" s="497"/>
      <c r="J90" s="497"/>
      <c r="K90" s="496"/>
      <c r="L90" s="496"/>
      <c r="M90" s="144"/>
      <c r="N90" s="144"/>
      <c r="O90" s="144"/>
      <c r="P90" s="144"/>
      <c r="Q90" s="144"/>
      <c r="R90" s="144"/>
      <c r="S90" s="144"/>
      <c r="T90" s="144"/>
      <c r="U90" s="144"/>
      <c r="V90" s="144"/>
      <c r="W90" s="144"/>
      <c r="X90" s="144"/>
      <c r="Y90" s="144"/>
      <c r="Z90" s="144"/>
      <c r="AA90" s="144"/>
      <c r="AB90" s="144"/>
      <c r="AC90" s="144"/>
      <c r="AD90" s="144"/>
      <c r="AE90" s="144"/>
      <c r="AF90" s="144"/>
    </row>
    <row r="91" ht="16.5" customHeight="1">
      <c r="A91" s="164" t="s">
        <v>5</v>
      </c>
      <c r="B91" s="56" t="s">
        <v>4537</v>
      </c>
      <c r="C91" s="57" t="s">
        <v>4538</v>
      </c>
      <c r="D91" s="83" t="s">
        <v>20</v>
      </c>
      <c r="E91" s="83" t="s">
        <v>88</v>
      </c>
      <c r="F91" s="83" t="s">
        <v>89</v>
      </c>
      <c r="G91" s="498"/>
      <c r="H91" s="36"/>
      <c r="L91" s="496"/>
      <c r="M91" s="144"/>
      <c r="N91" s="144"/>
      <c r="O91" s="144"/>
      <c r="P91" s="144"/>
      <c r="Q91" s="144"/>
      <c r="R91" s="144"/>
      <c r="S91" s="144"/>
      <c r="T91" s="144"/>
      <c r="U91" s="144"/>
      <c r="V91" s="144"/>
      <c r="W91" s="144"/>
      <c r="X91" s="144"/>
      <c r="Y91" s="144"/>
      <c r="Z91" s="144"/>
      <c r="AA91" s="144"/>
      <c r="AB91" s="144"/>
      <c r="AC91" s="144"/>
      <c r="AD91" s="144"/>
      <c r="AE91" s="144"/>
      <c r="AF91" s="144"/>
    </row>
    <row r="92" ht="16.5" customHeight="1">
      <c r="A92" s="164" t="s">
        <v>5</v>
      </c>
      <c r="E92" s="83" t="s">
        <v>21</v>
      </c>
      <c r="F92" s="83" t="s">
        <v>51</v>
      </c>
      <c r="G92" s="495" t="s">
        <v>4539</v>
      </c>
      <c r="H92" s="35" t="s">
        <v>51</v>
      </c>
      <c r="L92" s="496"/>
      <c r="M92" s="144"/>
      <c r="N92" s="144"/>
      <c r="O92" s="144"/>
      <c r="P92" s="144"/>
      <c r="Q92" s="144"/>
      <c r="R92" s="144"/>
      <c r="S92" s="144"/>
      <c r="T92" s="144"/>
      <c r="U92" s="144"/>
      <c r="V92" s="144"/>
      <c r="W92" s="144"/>
      <c r="X92" s="144"/>
      <c r="Y92" s="144"/>
      <c r="Z92" s="144"/>
      <c r="AA92" s="144"/>
      <c r="AB92" s="144"/>
      <c r="AC92" s="144"/>
      <c r="AD92" s="144"/>
      <c r="AE92" s="144"/>
      <c r="AF92" s="144"/>
    </row>
    <row r="93" ht="16.5" customHeight="1">
      <c r="A93" s="164" t="s">
        <v>5</v>
      </c>
      <c r="E93" s="83" t="s">
        <v>88</v>
      </c>
      <c r="F93" s="83" t="s">
        <v>154</v>
      </c>
      <c r="G93" s="495" t="s">
        <v>4540</v>
      </c>
      <c r="H93" s="83" t="s">
        <v>154</v>
      </c>
      <c r="I93" s="497"/>
      <c r="J93" s="497"/>
      <c r="K93" s="496"/>
      <c r="L93" s="496"/>
      <c r="M93" s="144"/>
      <c r="N93" s="144"/>
      <c r="O93" s="144"/>
      <c r="P93" s="144"/>
      <c r="Q93" s="144"/>
      <c r="R93" s="144"/>
      <c r="S93" s="144"/>
      <c r="T93" s="144"/>
      <c r="U93" s="144"/>
      <c r="V93" s="144"/>
      <c r="W93" s="144"/>
      <c r="X93" s="144"/>
      <c r="Y93" s="144"/>
      <c r="Z93" s="144"/>
      <c r="AA93" s="144"/>
      <c r="AB93" s="144"/>
      <c r="AC93" s="144"/>
      <c r="AD93" s="144"/>
      <c r="AE93" s="144"/>
      <c r="AF93" s="144"/>
    </row>
    <row r="94" ht="16.5" customHeight="1">
      <c r="A94" s="164" t="s">
        <v>5</v>
      </c>
      <c r="E94" s="83" t="s">
        <v>88</v>
      </c>
      <c r="F94" s="83" t="s">
        <v>120</v>
      </c>
      <c r="G94" s="495" t="s">
        <v>4541</v>
      </c>
      <c r="H94" s="83" t="s">
        <v>120</v>
      </c>
      <c r="I94" s="497"/>
      <c r="J94" s="497"/>
      <c r="K94" s="496"/>
      <c r="L94" s="496"/>
      <c r="M94" s="144"/>
      <c r="N94" s="144"/>
      <c r="O94" s="144"/>
      <c r="P94" s="144"/>
      <c r="Q94" s="144"/>
      <c r="R94" s="144"/>
      <c r="S94" s="144"/>
      <c r="T94" s="144"/>
      <c r="U94" s="144"/>
      <c r="V94" s="144"/>
      <c r="W94" s="144"/>
      <c r="X94" s="144"/>
      <c r="Y94" s="144"/>
      <c r="Z94" s="144"/>
      <c r="AA94" s="144"/>
      <c r="AB94" s="144"/>
      <c r="AC94" s="144"/>
      <c r="AD94" s="144"/>
      <c r="AE94" s="144"/>
      <c r="AF94" s="144"/>
    </row>
    <row r="95" ht="16.5" customHeight="1">
      <c r="A95" s="164" t="s">
        <v>5</v>
      </c>
      <c r="E95" s="83" t="s">
        <v>88</v>
      </c>
      <c r="F95" s="83" t="s">
        <v>246</v>
      </c>
      <c r="G95" s="495" t="s">
        <v>4542</v>
      </c>
      <c r="H95" s="35" t="s">
        <v>246</v>
      </c>
      <c r="I95" s="36"/>
      <c r="L95" s="496"/>
      <c r="M95" s="144"/>
      <c r="N95" s="144"/>
      <c r="O95" s="144"/>
      <c r="P95" s="144"/>
      <c r="Q95" s="144"/>
      <c r="R95" s="144"/>
      <c r="S95" s="144"/>
      <c r="T95" s="144"/>
      <c r="U95" s="144"/>
      <c r="V95" s="144"/>
      <c r="W95" s="144"/>
      <c r="X95" s="144"/>
      <c r="Y95" s="144"/>
      <c r="Z95" s="144"/>
      <c r="AA95" s="144"/>
      <c r="AB95" s="144"/>
      <c r="AC95" s="144"/>
      <c r="AD95" s="144"/>
      <c r="AE95" s="144"/>
      <c r="AF95" s="144"/>
    </row>
    <row r="96" ht="16.5" customHeight="1">
      <c r="A96" s="164" t="s">
        <v>5</v>
      </c>
      <c r="E96" s="83" t="s">
        <v>88</v>
      </c>
      <c r="F96" s="501" t="s">
        <v>247</v>
      </c>
      <c r="G96" s="498"/>
      <c r="H96" s="36"/>
      <c r="L96" s="496"/>
      <c r="M96" s="144"/>
      <c r="N96" s="144"/>
      <c r="O96" s="144"/>
      <c r="P96" s="144"/>
      <c r="Q96" s="144"/>
      <c r="R96" s="144"/>
      <c r="S96" s="144"/>
      <c r="T96" s="144"/>
      <c r="U96" s="144"/>
      <c r="V96" s="144"/>
      <c r="W96" s="144"/>
      <c r="X96" s="144"/>
      <c r="Y96" s="144"/>
      <c r="Z96" s="144"/>
      <c r="AA96" s="144"/>
      <c r="AB96" s="144"/>
      <c r="AC96" s="144"/>
      <c r="AD96" s="144"/>
      <c r="AE96" s="144"/>
      <c r="AF96" s="144"/>
    </row>
    <row r="97" ht="16.5" customHeight="1">
      <c r="A97" s="164" t="s">
        <v>5</v>
      </c>
      <c r="E97" s="83" t="s">
        <v>88</v>
      </c>
      <c r="F97" s="83" t="s">
        <v>120</v>
      </c>
      <c r="G97" s="495" t="s">
        <v>4543</v>
      </c>
      <c r="H97" s="35" t="s">
        <v>1845</v>
      </c>
      <c r="L97" s="496"/>
      <c r="M97" s="144"/>
      <c r="N97" s="144"/>
      <c r="O97" s="144"/>
      <c r="P97" s="144"/>
      <c r="Q97" s="144"/>
      <c r="R97" s="144"/>
      <c r="S97" s="144"/>
      <c r="T97" s="144"/>
      <c r="U97" s="144"/>
      <c r="V97" s="144"/>
      <c r="W97" s="144"/>
      <c r="X97" s="144"/>
      <c r="Y97" s="144"/>
      <c r="Z97" s="144"/>
      <c r="AA97" s="144"/>
      <c r="AB97" s="144"/>
      <c r="AC97" s="144"/>
      <c r="AD97" s="144"/>
      <c r="AE97" s="144"/>
      <c r="AF97" s="144"/>
    </row>
    <row r="98" ht="16.5" customHeight="1">
      <c r="A98" s="164" t="s">
        <v>5</v>
      </c>
      <c r="E98" s="83" t="s">
        <v>88</v>
      </c>
      <c r="F98" s="83" t="s">
        <v>246</v>
      </c>
      <c r="G98" s="495" t="s">
        <v>4544</v>
      </c>
      <c r="H98" s="35" t="s">
        <v>1953</v>
      </c>
      <c r="L98" s="496"/>
      <c r="M98" s="144"/>
      <c r="N98" s="144"/>
      <c r="O98" s="144"/>
      <c r="P98" s="144"/>
      <c r="Q98" s="144"/>
      <c r="R98" s="144"/>
      <c r="S98" s="144"/>
      <c r="T98" s="144"/>
      <c r="U98" s="144"/>
      <c r="V98" s="144"/>
      <c r="W98" s="144"/>
      <c r="X98" s="144"/>
      <c r="Y98" s="144"/>
      <c r="Z98" s="144"/>
      <c r="AA98" s="144"/>
      <c r="AB98" s="144"/>
      <c r="AC98" s="144"/>
      <c r="AD98" s="144"/>
      <c r="AE98" s="144"/>
      <c r="AF98" s="144"/>
    </row>
    <row r="99" ht="16.5" customHeight="1">
      <c r="A99" s="164" t="s">
        <v>5</v>
      </c>
      <c r="E99" s="83" t="s">
        <v>88</v>
      </c>
      <c r="F99" s="83" t="s">
        <v>247</v>
      </c>
      <c r="G99" s="498"/>
      <c r="H99" s="36"/>
      <c r="L99" s="496"/>
      <c r="M99" s="144"/>
      <c r="N99" s="144"/>
      <c r="O99" s="144"/>
      <c r="P99" s="144"/>
      <c r="Q99" s="144"/>
      <c r="R99" s="144"/>
      <c r="S99" s="144"/>
      <c r="T99" s="144"/>
      <c r="U99" s="144"/>
      <c r="V99" s="144"/>
      <c r="W99" s="144"/>
      <c r="X99" s="144"/>
      <c r="Y99" s="144"/>
      <c r="Z99" s="144"/>
      <c r="AA99" s="144"/>
      <c r="AB99" s="144"/>
      <c r="AC99" s="144"/>
      <c r="AD99" s="144"/>
      <c r="AE99" s="144"/>
      <c r="AF99" s="144"/>
    </row>
    <row r="100" ht="16.5" customHeight="1">
      <c r="A100" s="164" t="s">
        <v>5</v>
      </c>
      <c r="E100" s="83" t="s">
        <v>88</v>
      </c>
      <c r="F100" s="83" t="s">
        <v>154</v>
      </c>
      <c r="G100" s="495" t="s">
        <v>4545</v>
      </c>
      <c r="H100" s="35" t="s">
        <v>1819</v>
      </c>
      <c r="L100" s="496"/>
      <c r="M100" s="144"/>
      <c r="N100" s="144"/>
      <c r="O100" s="144"/>
      <c r="P100" s="144"/>
      <c r="Q100" s="144"/>
      <c r="R100" s="144"/>
      <c r="S100" s="144"/>
      <c r="T100" s="144"/>
      <c r="U100" s="144"/>
      <c r="V100" s="144"/>
      <c r="W100" s="144"/>
      <c r="X100" s="144"/>
      <c r="Y100" s="144"/>
      <c r="Z100" s="144"/>
      <c r="AA100" s="144"/>
      <c r="AB100" s="144"/>
      <c r="AC100" s="144"/>
      <c r="AD100" s="144"/>
      <c r="AE100" s="144"/>
      <c r="AF100" s="144"/>
    </row>
    <row r="101" ht="16.5" customHeight="1">
      <c r="A101" s="164" t="s">
        <v>5</v>
      </c>
      <c r="E101" s="83" t="s">
        <v>88</v>
      </c>
      <c r="F101" s="83" t="s">
        <v>120</v>
      </c>
      <c r="G101" s="495" t="s">
        <v>4546</v>
      </c>
      <c r="H101" s="35" t="s">
        <v>1824</v>
      </c>
      <c r="L101" s="496"/>
      <c r="M101" s="144"/>
      <c r="N101" s="144"/>
      <c r="O101" s="144"/>
      <c r="P101" s="144"/>
      <c r="Q101" s="144"/>
      <c r="R101" s="144"/>
      <c r="S101" s="144"/>
      <c r="T101" s="144"/>
      <c r="U101" s="144"/>
      <c r="V101" s="144"/>
      <c r="W101" s="144"/>
      <c r="X101" s="144"/>
      <c r="Y101" s="144"/>
      <c r="Z101" s="144"/>
      <c r="AA101" s="144"/>
      <c r="AB101" s="144"/>
      <c r="AC101" s="144"/>
      <c r="AD101" s="144"/>
      <c r="AE101" s="144"/>
      <c r="AF101" s="144"/>
    </row>
    <row r="102" ht="16.5" customHeight="1">
      <c r="A102" s="164" t="s">
        <v>5</v>
      </c>
      <c r="E102" s="83" t="s">
        <v>88</v>
      </c>
      <c r="F102" s="83" t="s">
        <v>246</v>
      </c>
      <c r="G102" s="495" t="s">
        <v>4547</v>
      </c>
      <c r="H102" s="35" t="s">
        <v>1954</v>
      </c>
      <c r="I102" s="36"/>
      <c r="L102" s="496"/>
      <c r="M102" s="144"/>
      <c r="N102" s="144"/>
      <c r="O102" s="144"/>
      <c r="P102" s="144"/>
      <c r="Q102" s="144"/>
      <c r="R102" s="144"/>
      <c r="S102" s="144"/>
      <c r="T102" s="144"/>
      <c r="U102" s="144"/>
      <c r="V102" s="144"/>
      <c r="W102" s="144"/>
      <c r="X102" s="144"/>
      <c r="Y102" s="144"/>
      <c r="Z102" s="144"/>
      <c r="AA102" s="144"/>
      <c r="AB102" s="144"/>
      <c r="AC102" s="144"/>
      <c r="AD102" s="144"/>
      <c r="AE102" s="144"/>
      <c r="AF102" s="144"/>
    </row>
    <row r="103" ht="16.5" customHeight="1">
      <c r="A103" s="164" t="s">
        <v>5</v>
      </c>
      <c r="E103" s="83" t="s">
        <v>88</v>
      </c>
      <c r="F103" s="501" t="s">
        <v>247</v>
      </c>
      <c r="G103" s="498"/>
      <c r="H103" s="36"/>
      <c r="I103" s="36"/>
      <c r="L103" s="496"/>
      <c r="M103" s="144"/>
      <c r="N103" s="144"/>
      <c r="O103" s="144"/>
      <c r="P103" s="144"/>
      <c r="Q103" s="144"/>
      <c r="R103" s="144"/>
      <c r="S103" s="144"/>
      <c r="T103" s="144"/>
      <c r="U103" s="144"/>
      <c r="V103" s="144"/>
      <c r="W103" s="144"/>
      <c r="X103" s="144"/>
      <c r="Y103" s="144"/>
      <c r="Z103" s="144"/>
      <c r="AA103" s="144"/>
      <c r="AB103" s="144"/>
      <c r="AC103" s="144"/>
      <c r="AD103" s="144"/>
      <c r="AE103" s="144"/>
      <c r="AF103" s="144"/>
    </row>
    <row r="104" ht="16.5" customHeight="1">
      <c r="A104" s="164" t="s">
        <v>5</v>
      </c>
      <c r="E104" s="83" t="s">
        <v>88</v>
      </c>
      <c r="F104" s="83" t="s">
        <v>95</v>
      </c>
      <c r="G104" s="495" t="s">
        <v>4548</v>
      </c>
      <c r="H104" s="501" t="s">
        <v>95</v>
      </c>
      <c r="I104" s="497"/>
      <c r="J104" s="497"/>
      <c r="K104" s="496"/>
      <c r="L104" s="496"/>
      <c r="M104" s="144"/>
      <c r="N104" s="144"/>
      <c r="O104" s="144"/>
      <c r="P104" s="144"/>
      <c r="Q104" s="144"/>
      <c r="R104" s="144"/>
      <c r="S104" s="144"/>
      <c r="T104" s="144"/>
      <c r="U104" s="144"/>
      <c r="V104" s="144"/>
      <c r="W104" s="144"/>
      <c r="X104" s="144"/>
      <c r="Y104" s="144"/>
      <c r="Z104" s="144"/>
      <c r="AA104" s="144"/>
      <c r="AB104" s="144"/>
      <c r="AC104" s="144"/>
      <c r="AD104" s="144"/>
      <c r="AE104" s="144"/>
      <c r="AF104" s="144"/>
    </row>
    <row r="105" ht="16.5" customHeight="1">
      <c r="A105" s="164" t="s">
        <v>5</v>
      </c>
      <c r="E105" s="83" t="s">
        <v>88</v>
      </c>
      <c r="F105" s="83" t="s">
        <v>96</v>
      </c>
      <c r="G105" s="495" t="s">
        <v>4549</v>
      </c>
      <c r="H105" s="501" t="s">
        <v>96</v>
      </c>
      <c r="I105" s="497"/>
      <c r="J105" s="497"/>
      <c r="K105" s="496"/>
      <c r="L105" s="496"/>
      <c r="M105" s="144"/>
      <c r="N105" s="144"/>
      <c r="O105" s="144"/>
      <c r="P105" s="144"/>
      <c r="Q105" s="144"/>
      <c r="R105" s="144"/>
      <c r="S105" s="144"/>
      <c r="T105" s="144"/>
      <c r="U105" s="144"/>
      <c r="V105" s="144"/>
      <c r="W105" s="144"/>
      <c r="X105" s="144"/>
      <c r="Y105" s="144"/>
      <c r="Z105" s="144"/>
      <c r="AA105" s="144"/>
      <c r="AB105" s="144"/>
      <c r="AC105" s="144"/>
      <c r="AD105" s="144"/>
      <c r="AE105" s="144"/>
      <c r="AF105" s="144"/>
    </row>
    <row r="106" ht="16.5" customHeight="1">
      <c r="A106" s="164" t="s">
        <v>5</v>
      </c>
      <c r="E106" s="83" t="s">
        <v>88</v>
      </c>
      <c r="F106" s="83" t="s">
        <v>122</v>
      </c>
      <c r="G106" s="495" t="s">
        <v>4550</v>
      </c>
      <c r="H106" s="501" t="s">
        <v>122</v>
      </c>
      <c r="I106" s="497"/>
      <c r="J106" s="497"/>
      <c r="K106" s="496"/>
      <c r="L106" s="496"/>
      <c r="M106" s="144"/>
      <c r="N106" s="144"/>
      <c r="O106" s="144"/>
      <c r="P106" s="144"/>
      <c r="Q106" s="144"/>
      <c r="R106" s="144"/>
      <c r="S106" s="144"/>
      <c r="T106" s="144"/>
      <c r="U106" s="144"/>
      <c r="V106" s="144"/>
      <c r="W106" s="144"/>
      <c r="X106" s="144"/>
      <c r="Y106" s="144"/>
      <c r="Z106" s="144"/>
      <c r="AA106" s="144"/>
      <c r="AB106" s="144"/>
      <c r="AC106" s="144"/>
      <c r="AD106" s="144"/>
      <c r="AE106" s="144"/>
      <c r="AF106" s="144"/>
    </row>
    <row r="107" ht="16.5" customHeight="1">
      <c r="A107" s="164" t="s">
        <v>5</v>
      </c>
      <c r="E107" s="83" t="s">
        <v>86</v>
      </c>
      <c r="F107" s="83" t="s">
        <v>90</v>
      </c>
      <c r="G107" s="495" t="s">
        <v>4551</v>
      </c>
      <c r="H107" s="83" t="s">
        <v>90</v>
      </c>
      <c r="I107" s="497"/>
      <c r="J107" s="497"/>
      <c r="K107" s="496"/>
      <c r="L107" s="496"/>
      <c r="M107" s="144"/>
      <c r="N107" s="144"/>
      <c r="O107" s="144"/>
      <c r="P107" s="144"/>
      <c r="Q107" s="144"/>
      <c r="R107" s="144"/>
      <c r="S107" s="144"/>
      <c r="T107" s="144"/>
      <c r="U107" s="144"/>
      <c r="V107" s="144"/>
      <c r="W107" s="144"/>
      <c r="X107" s="144"/>
      <c r="Y107" s="144"/>
      <c r="Z107" s="144"/>
      <c r="AA107" s="144"/>
      <c r="AB107" s="144"/>
      <c r="AC107" s="144"/>
      <c r="AD107" s="144"/>
      <c r="AE107" s="144"/>
      <c r="AF107" s="144"/>
    </row>
    <row r="108" ht="16.5" customHeight="1">
      <c r="A108" s="164" t="s">
        <v>5</v>
      </c>
      <c r="E108" s="83" t="s">
        <v>86</v>
      </c>
      <c r="F108" s="83" t="s">
        <v>91</v>
      </c>
      <c r="G108" s="495" t="s">
        <v>4552</v>
      </c>
      <c r="H108" s="83" t="s">
        <v>91</v>
      </c>
      <c r="I108" s="497"/>
      <c r="J108" s="497"/>
      <c r="K108" s="496"/>
      <c r="L108" s="496"/>
      <c r="M108" s="144"/>
      <c r="N108" s="144"/>
      <c r="O108" s="144"/>
      <c r="P108" s="144"/>
      <c r="Q108" s="144"/>
      <c r="R108" s="144"/>
      <c r="S108" s="144"/>
      <c r="T108" s="144"/>
      <c r="U108" s="144"/>
      <c r="V108" s="144"/>
      <c r="W108" s="144"/>
      <c r="X108" s="144"/>
      <c r="Y108" s="144"/>
      <c r="Z108" s="144"/>
      <c r="AA108" s="144"/>
      <c r="AB108" s="144"/>
      <c r="AC108" s="144"/>
      <c r="AD108" s="144"/>
      <c r="AE108" s="144"/>
      <c r="AF108" s="144"/>
    </row>
    <row r="109" ht="16.5" customHeight="1">
      <c r="A109" s="164" t="s">
        <v>5</v>
      </c>
      <c r="E109" s="83" t="s">
        <v>86</v>
      </c>
      <c r="F109" s="83" t="s">
        <v>338</v>
      </c>
      <c r="G109" s="495" t="s">
        <v>4553</v>
      </c>
      <c r="H109" s="83" t="s">
        <v>338</v>
      </c>
      <c r="I109" s="497"/>
      <c r="J109" s="497"/>
      <c r="K109" s="496"/>
      <c r="L109" s="496"/>
      <c r="M109" s="144"/>
      <c r="N109" s="144"/>
      <c r="O109" s="144"/>
      <c r="P109" s="144"/>
      <c r="Q109" s="144"/>
      <c r="R109" s="144"/>
      <c r="S109" s="144"/>
      <c r="T109" s="144"/>
      <c r="U109" s="144"/>
      <c r="V109" s="144"/>
      <c r="W109" s="144"/>
      <c r="X109" s="144"/>
      <c r="Y109" s="144"/>
      <c r="Z109" s="144"/>
      <c r="AA109" s="144"/>
      <c r="AB109" s="144"/>
      <c r="AC109" s="144"/>
      <c r="AD109" s="144"/>
      <c r="AE109" s="144"/>
      <c r="AF109" s="144"/>
    </row>
    <row r="110" ht="16.5" customHeight="1">
      <c r="A110" s="164" t="s">
        <v>5</v>
      </c>
      <c r="E110" s="83" t="s">
        <v>104</v>
      </c>
      <c r="F110" s="83" t="s">
        <v>250</v>
      </c>
      <c r="G110" s="495" t="s">
        <v>4554</v>
      </c>
      <c r="H110" s="83" t="s">
        <v>250</v>
      </c>
      <c r="I110" s="497"/>
      <c r="J110" s="497"/>
      <c r="K110" s="496"/>
      <c r="L110" s="496"/>
      <c r="M110" s="144"/>
      <c r="N110" s="144"/>
      <c r="O110" s="144"/>
      <c r="P110" s="144"/>
      <c r="Q110" s="144"/>
      <c r="R110" s="144"/>
      <c r="S110" s="144"/>
      <c r="T110" s="144"/>
      <c r="U110" s="144"/>
      <c r="V110" s="144"/>
      <c r="W110" s="144"/>
      <c r="X110" s="144"/>
      <c r="Y110" s="144"/>
      <c r="Z110" s="144"/>
      <c r="AA110" s="144"/>
      <c r="AB110" s="144"/>
      <c r="AC110" s="144"/>
      <c r="AD110" s="144"/>
      <c r="AE110" s="144"/>
      <c r="AF110" s="144"/>
    </row>
    <row r="111" ht="16.5" customHeight="1">
      <c r="A111" s="164" t="s">
        <v>5</v>
      </c>
      <c r="E111" s="83" t="s">
        <v>178</v>
      </c>
      <c r="F111" s="83" t="s">
        <v>209</v>
      </c>
      <c r="G111" s="495" t="s">
        <v>4555</v>
      </c>
      <c r="H111" s="83" t="s">
        <v>209</v>
      </c>
      <c r="I111" s="497"/>
      <c r="J111" s="497"/>
      <c r="K111" s="496"/>
      <c r="L111" s="496"/>
      <c r="M111" s="144"/>
      <c r="N111" s="144"/>
      <c r="O111" s="144"/>
      <c r="P111" s="144"/>
      <c r="Q111" s="144"/>
      <c r="R111" s="144"/>
      <c r="S111" s="144"/>
      <c r="T111" s="144"/>
      <c r="U111" s="144"/>
      <c r="V111" s="144"/>
      <c r="W111" s="144"/>
      <c r="X111" s="144"/>
      <c r="Y111" s="144"/>
      <c r="Z111" s="144"/>
      <c r="AA111" s="144"/>
      <c r="AB111" s="144"/>
      <c r="AC111" s="144"/>
      <c r="AD111" s="144"/>
      <c r="AE111" s="144"/>
      <c r="AF111" s="144"/>
    </row>
    <row r="112" ht="16.5" customHeight="1">
      <c r="A112" s="164" t="s">
        <v>5</v>
      </c>
      <c r="E112" s="83" t="s">
        <v>178</v>
      </c>
      <c r="F112" s="83" t="s">
        <v>210</v>
      </c>
      <c r="G112" s="495" t="s">
        <v>4556</v>
      </c>
      <c r="H112" s="83" t="s">
        <v>210</v>
      </c>
      <c r="I112" s="352"/>
      <c r="J112" s="497"/>
      <c r="K112" s="496"/>
      <c r="L112" s="496"/>
      <c r="M112" s="144"/>
      <c r="N112" s="144"/>
      <c r="O112" s="144"/>
      <c r="P112" s="144"/>
      <c r="Q112" s="144"/>
      <c r="R112" s="144"/>
      <c r="S112" s="144"/>
      <c r="T112" s="144"/>
      <c r="U112" s="144"/>
      <c r="V112" s="144"/>
      <c r="W112" s="144"/>
      <c r="X112" s="144"/>
      <c r="Y112" s="144"/>
      <c r="Z112" s="144"/>
      <c r="AA112" s="144"/>
      <c r="AB112" s="144"/>
      <c r="AC112" s="144"/>
      <c r="AD112" s="144"/>
      <c r="AE112" s="144"/>
      <c r="AF112" s="144"/>
    </row>
    <row r="113" ht="16.5" customHeight="1">
      <c r="A113" s="164" t="s">
        <v>5</v>
      </c>
      <c r="B113" s="56" t="s">
        <v>4557</v>
      </c>
      <c r="C113" s="83" t="s">
        <v>4558</v>
      </c>
      <c r="D113" s="83" t="s">
        <v>20</v>
      </c>
      <c r="E113" s="8" t="s">
        <v>88</v>
      </c>
      <c r="F113" s="8" t="s">
        <v>89</v>
      </c>
      <c r="G113" s="498"/>
      <c r="H113" s="36"/>
      <c r="L113" s="496"/>
      <c r="M113" s="144"/>
      <c r="N113" s="144"/>
      <c r="O113" s="144"/>
      <c r="P113" s="144"/>
      <c r="Q113" s="144"/>
      <c r="R113" s="144"/>
      <c r="S113" s="144"/>
      <c r="T113" s="144"/>
      <c r="U113" s="144"/>
      <c r="V113" s="144"/>
      <c r="W113" s="144"/>
      <c r="X113" s="144"/>
      <c r="Y113" s="144"/>
      <c r="Z113" s="144"/>
      <c r="AA113" s="144"/>
      <c r="AB113" s="144"/>
      <c r="AC113" s="144"/>
      <c r="AD113" s="144"/>
      <c r="AE113" s="144"/>
      <c r="AF113" s="144"/>
    </row>
    <row r="114" ht="16.5" customHeight="1">
      <c r="A114" s="164" t="s">
        <v>5</v>
      </c>
      <c r="E114" s="8" t="s">
        <v>88</v>
      </c>
      <c r="F114" s="8" t="s">
        <v>154</v>
      </c>
      <c r="G114" s="495" t="s">
        <v>4559</v>
      </c>
      <c r="H114" s="35" t="s">
        <v>154</v>
      </c>
      <c r="L114" s="496"/>
      <c r="M114" s="144"/>
      <c r="N114" s="144"/>
      <c r="O114" s="144"/>
      <c r="P114" s="144"/>
      <c r="Q114" s="144"/>
      <c r="R114" s="144"/>
      <c r="S114" s="144"/>
      <c r="T114" s="144"/>
      <c r="U114" s="144"/>
      <c r="V114" s="144"/>
      <c r="W114" s="144"/>
      <c r="X114" s="144"/>
      <c r="Y114" s="144"/>
      <c r="Z114" s="144"/>
      <c r="AA114" s="144"/>
      <c r="AB114" s="144"/>
      <c r="AC114" s="144"/>
      <c r="AD114" s="144"/>
      <c r="AE114" s="144"/>
      <c r="AF114" s="144"/>
    </row>
    <row r="115" ht="16.5" customHeight="1">
      <c r="A115" s="164" t="s">
        <v>5</v>
      </c>
      <c r="E115" s="8" t="s">
        <v>88</v>
      </c>
      <c r="F115" s="8" t="s">
        <v>859</v>
      </c>
      <c r="G115" s="495" t="s">
        <v>4560</v>
      </c>
      <c r="H115" s="8" t="s">
        <v>859</v>
      </c>
      <c r="I115" s="497"/>
      <c r="J115" s="497"/>
      <c r="K115" s="496"/>
      <c r="L115" s="496"/>
      <c r="M115" s="144"/>
      <c r="N115" s="144"/>
      <c r="O115" s="144"/>
      <c r="P115" s="144"/>
      <c r="Q115" s="144"/>
      <c r="R115" s="144"/>
      <c r="S115" s="144"/>
      <c r="T115" s="144"/>
      <c r="U115" s="144"/>
      <c r="V115" s="144"/>
      <c r="W115" s="144"/>
      <c r="X115" s="144"/>
      <c r="Y115" s="144"/>
      <c r="Z115" s="144"/>
      <c r="AA115" s="144"/>
      <c r="AB115" s="144"/>
      <c r="AC115" s="144"/>
      <c r="AD115" s="144"/>
      <c r="AE115" s="144"/>
      <c r="AF115" s="144"/>
    </row>
    <row r="116" ht="16.5" customHeight="1">
      <c r="A116" s="164" t="s">
        <v>5</v>
      </c>
      <c r="E116" s="8" t="s">
        <v>88</v>
      </c>
      <c r="F116" s="8" t="s">
        <v>879</v>
      </c>
      <c r="G116" s="495" t="s">
        <v>4561</v>
      </c>
      <c r="H116" s="8" t="s">
        <v>879</v>
      </c>
      <c r="I116" s="497"/>
      <c r="J116" s="497"/>
      <c r="K116" s="496"/>
      <c r="L116" s="496"/>
      <c r="M116" s="144"/>
      <c r="N116" s="144"/>
      <c r="O116" s="144"/>
      <c r="P116" s="144"/>
      <c r="Q116" s="144"/>
      <c r="R116" s="144"/>
      <c r="S116" s="144"/>
      <c r="T116" s="144"/>
      <c r="U116" s="144"/>
      <c r="V116" s="144"/>
      <c r="W116" s="144"/>
      <c r="X116" s="144"/>
      <c r="Y116" s="144"/>
      <c r="Z116" s="144"/>
      <c r="AA116" s="144"/>
      <c r="AB116" s="144"/>
      <c r="AC116" s="144"/>
      <c r="AD116" s="144"/>
      <c r="AE116" s="144"/>
      <c r="AF116" s="144"/>
    </row>
    <row r="117" ht="16.5" customHeight="1">
      <c r="A117" s="164" t="s">
        <v>5</v>
      </c>
      <c r="E117" s="8" t="s">
        <v>88</v>
      </c>
      <c r="F117" s="8" t="s">
        <v>877</v>
      </c>
      <c r="G117" s="495" t="s">
        <v>4562</v>
      </c>
      <c r="H117" s="8" t="s">
        <v>877</v>
      </c>
      <c r="I117" s="497"/>
      <c r="J117" s="497"/>
      <c r="K117" s="496"/>
      <c r="L117" s="496"/>
      <c r="M117" s="144"/>
      <c r="N117" s="144"/>
      <c r="O117" s="144"/>
      <c r="P117" s="144"/>
      <c r="Q117" s="144"/>
      <c r="R117" s="144"/>
      <c r="S117" s="144"/>
      <c r="T117" s="144"/>
      <c r="U117" s="144"/>
      <c r="V117" s="144"/>
      <c r="W117" s="144"/>
      <c r="X117" s="144"/>
      <c r="Y117" s="144"/>
      <c r="Z117" s="144"/>
      <c r="AA117" s="144"/>
      <c r="AB117" s="144"/>
      <c r="AC117" s="144"/>
      <c r="AD117" s="144"/>
      <c r="AE117" s="144"/>
      <c r="AF117" s="144"/>
    </row>
    <row r="118" ht="16.5" customHeight="1">
      <c r="A118" s="164" t="s">
        <v>5</v>
      </c>
      <c r="E118" s="8" t="s">
        <v>88</v>
      </c>
      <c r="F118" s="8" t="s">
        <v>881</v>
      </c>
      <c r="G118" s="495" t="s">
        <v>4563</v>
      </c>
      <c r="H118" s="8" t="s">
        <v>881</v>
      </c>
      <c r="I118" s="497"/>
      <c r="J118" s="497"/>
      <c r="K118" s="496"/>
      <c r="L118" s="496"/>
      <c r="M118" s="144"/>
      <c r="N118" s="144"/>
      <c r="O118" s="144"/>
      <c r="P118" s="144"/>
      <c r="Q118" s="144"/>
      <c r="R118" s="144"/>
      <c r="S118" s="144"/>
      <c r="T118" s="144"/>
      <c r="U118" s="144"/>
      <c r="V118" s="144"/>
      <c r="W118" s="144"/>
      <c r="X118" s="144"/>
      <c r="Y118" s="144"/>
      <c r="Z118" s="144"/>
      <c r="AA118" s="144"/>
      <c r="AB118" s="144"/>
      <c r="AC118" s="144"/>
      <c r="AD118" s="144"/>
      <c r="AE118" s="144"/>
      <c r="AF118" s="144"/>
    </row>
    <row r="119" ht="16.5" customHeight="1">
      <c r="A119" s="164" t="s">
        <v>5</v>
      </c>
      <c r="E119" s="8" t="s">
        <v>88</v>
      </c>
      <c r="F119" s="8" t="s">
        <v>875</v>
      </c>
      <c r="G119" s="495" t="s">
        <v>4564</v>
      </c>
      <c r="H119" s="8" t="s">
        <v>875</v>
      </c>
      <c r="I119" s="352"/>
      <c r="J119" s="497"/>
      <c r="K119" s="496"/>
      <c r="L119" s="496"/>
      <c r="M119" s="144"/>
      <c r="N119" s="144"/>
      <c r="O119" s="144"/>
      <c r="P119" s="144"/>
      <c r="Q119" s="144"/>
      <c r="R119" s="144"/>
      <c r="S119" s="144"/>
      <c r="T119" s="144"/>
      <c r="U119" s="144"/>
      <c r="V119" s="144"/>
      <c r="W119" s="144"/>
      <c r="X119" s="144"/>
      <c r="Y119" s="144"/>
      <c r="Z119" s="144"/>
      <c r="AA119" s="144"/>
      <c r="AB119" s="144"/>
      <c r="AC119" s="144"/>
      <c r="AD119" s="144"/>
      <c r="AE119" s="144"/>
      <c r="AF119" s="144"/>
    </row>
    <row r="120" ht="16.5" customHeight="1">
      <c r="A120" s="164" t="s">
        <v>5</v>
      </c>
      <c r="E120" s="8" t="s">
        <v>88</v>
      </c>
      <c r="F120" s="8" t="s">
        <v>872</v>
      </c>
      <c r="G120" s="495" t="s">
        <v>4565</v>
      </c>
      <c r="H120" s="35" t="s">
        <v>846</v>
      </c>
      <c r="I120" s="35" t="s">
        <v>852</v>
      </c>
      <c r="L120" s="496"/>
      <c r="M120" s="144"/>
      <c r="N120" s="144"/>
      <c r="O120" s="144"/>
      <c r="P120" s="144"/>
      <c r="Q120" s="144"/>
      <c r="R120" s="144"/>
      <c r="S120" s="144"/>
      <c r="T120" s="144"/>
      <c r="U120" s="144"/>
      <c r="V120" s="144"/>
      <c r="W120" s="144"/>
      <c r="X120" s="144"/>
      <c r="Y120" s="144"/>
      <c r="Z120" s="144"/>
      <c r="AA120" s="144"/>
      <c r="AB120" s="144"/>
      <c r="AC120" s="144"/>
      <c r="AD120" s="144"/>
      <c r="AE120" s="144"/>
      <c r="AF120" s="144"/>
    </row>
    <row r="121" ht="16.5" customHeight="1">
      <c r="A121" s="164" t="s">
        <v>5</v>
      </c>
      <c r="E121" s="8" t="s">
        <v>88</v>
      </c>
      <c r="F121" s="8" t="s">
        <v>875</v>
      </c>
      <c r="G121" s="495" t="s">
        <v>4566</v>
      </c>
      <c r="H121" s="35" t="s">
        <v>4328</v>
      </c>
      <c r="L121" s="496"/>
      <c r="M121" s="144"/>
      <c r="N121" s="144"/>
      <c r="O121" s="144"/>
      <c r="P121" s="144"/>
      <c r="Q121" s="144"/>
      <c r="R121" s="144"/>
      <c r="S121" s="144"/>
      <c r="T121" s="144"/>
      <c r="U121" s="144"/>
      <c r="V121" s="144"/>
      <c r="W121" s="144"/>
      <c r="X121" s="144"/>
      <c r="Y121" s="144"/>
      <c r="Z121" s="144"/>
      <c r="AA121" s="144"/>
      <c r="AB121" s="144"/>
      <c r="AC121" s="144"/>
      <c r="AD121" s="144"/>
      <c r="AE121" s="144"/>
      <c r="AF121" s="144"/>
    </row>
    <row r="122" ht="16.5" customHeight="1">
      <c r="A122" s="164" t="s">
        <v>5</v>
      </c>
      <c r="E122" s="8" t="s">
        <v>88</v>
      </c>
      <c r="F122" s="8" t="s">
        <v>872</v>
      </c>
      <c r="G122" s="495" t="s">
        <v>4567</v>
      </c>
      <c r="H122" s="35" t="s">
        <v>1076</v>
      </c>
      <c r="L122" s="496"/>
      <c r="M122" s="144"/>
      <c r="N122" s="144"/>
      <c r="O122" s="144"/>
      <c r="P122" s="144"/>
      <c r="Q122" s="144"/>
      <c r="R122" s="144"/>
      <c r="S122" s="144"/>
      <c r="T122" s="144"/>
      <c r="U122" s="144"/>
      <c r="V122" s="144"/>
      <c r="W122" s="144"/>
      <c r="X122" s="144"/>
      <c r="Y122" s="144"/>
      <c r="Z122" s="144"/>
      <c r="AA122" s="144"/>
      <c r="AB122" s="144"/>
      <c r="AC122" s="144"/>
      <c r="AD122" s="144"/>
      <c r="AE122" s="144"/>
      <c r="AF122" s="144"/>
    </row>
    <row r="123" ht="16.5" customHeight="1">
      <c r="A123" s="164" t="s">
        <v>5</v>
      </c>
      <c r="E123" s="8" t="s">
        <v>88</v>
      </c>
      <c r="F123" s="8" t="s">
        <v>870</v>
      </c>
      <c r="G123" s="495" t="s">
        <v>4568</v>
      </c>
      <c r="H123" s="35" t="s">
        <v>4369</v>
      </c>
      <c r="L123" s="496"/>
      <c r="M123" s="144"/>
      <c r="N123" s="144"/>
      <c r="O123" s="144"/>
      <c r="P123" s="144"/>
      <c r="Q123" s="144"/>
      <c r="R123" s="144"/>
      <c r="S123" s="144"/>
      <c r="T123" s="144"/>
      <c r="U123" s="144"/>
      <c r="V123" s="144"/>
      <c r="W123" s="144"/>
      <c r="X123" s="144"/>
      <c r="Y123" s="144"/>
      <c r="Z123" s="144"/>
      <c r="AA123" s="144"/>
      <c r="AB123" s="144"/>
      <c r="AC123" s="144"/>
      <c r="AD123" s="144"/>
      <c r="AE123" s="144"/>
      <c r="AF123" s="144"/>
    </row>
    <row r="124" ht="16.5" customHeight="1">
      <c r="A124" s="164" t="s">
        <v>5</v>
      </c>
      <c r="E124" s="8" t="s">
        <v>88</v>
      </c>
      <c r="F124" s="8" t="s">
        <v>881</v>
      </c>
      <c r="G124" s="495" t="s">
        <v>4569</v>
      </c>
      <c r="H124" s="35" t="s">
        <v>4399</v>
      </c>
      <c r="L124" s="496"/>
      <c r="M124" s="144"/>
      <c r="N124" s="144"/>
      <c r="O124" s="144"/>
      <c r="P124" s="144"/>
      <c r="Q124" s="144"/>
      <c r="R124" s="144"/>
      <c r="S124" s="144"/>
      <c r="T124" s="144"/>
      <c r="U124" s="144"/>
      <c r="V124" s="144"/>
      <c r="W124" s="144"/>
      <c r="X124" s="144"/>
      <c r="Y124" s="144"/>
      <c r="Z124" s="144"/>
      <c r="AA124" s="144"/>
      <c r="AB124" s="144"/>
      <c r="AC124" s="144"/>
      <c r="AD124" s="144"/>
      <c r="AE124" s="144"/>
      <c r="AF124" s="144"/>
    </row>
    <row r="125" ht="16.5" customHeight="1">
      <c r="A125" s="164" t="s">
        <v>5</v>
      </c>
      <c r="E125" s="8" t="s">
        <v>88</v>
      </c>
      <c r="F125" s="8" t="s">
        <v>875</v>
      </c>
      <c r="G125" s="495" t="s">
        <v>4570</v>
      </c>
      <c r="H125" s="35" t="s">
        <v>4373</v>
      </c>
      <c r="L125" s="496"/>
      <c r="M125" s="144"/>
      <c r="N125" s="144"/>
      <c r="O125" s="144"/>
      <c r="P125" s="144"/>
      <c r="Q125" s="144"/>
      <c r="R125" s="144"/>
      <c r="S125" s="144"/>
      <c r="T125" s="144"/>
      <c r="U125" s="144"/>
      <c r="V125" s="144"/>
      <c r="W125" s="144"/>
      <c r="X125" s="144"/>
      <c r="Y125" s="144"/>
      <c r="Z125" s="144"/>
      <c r="AA125" s="144"/>
      <c r="AB125" s="144"/>
      <c r="AC125" s="144"/>
      <c r="AD125" s="144"/>
      <c r="AE125" s="144"/>
      <c r="AF125" s="144"/>
    </row>
    <row r="126" ht="16.5" customHeight="1">
      <c r="A126" s="164" t="s">
        <v>5</v>
      </c>
      <c r="E126" s="8" t="s">
        <v>88</v>
      </c>
      <c r="F126" s="8" t="s">
        <v>872</v>
      </c>
      <c r="G126" s="495" t="s">
        <v>4571</v>
      </c>
      <c r="H126" s="35" t="s">
        <v>1075</v>
      </c>
      <c r="I126" s="35" t="s">
        <v>1081</v>
      </c>
      <c r="L126" s="496"/>
      <c r="M126" s="144"/>
      <c r="N126" s="144"/>
      <c r="O126" s="144"/>
      <c r="P126" s="144"/>
      <c r="Q126" s="144"/>
      <c r="R126" s="144"/>
      <c r="S126" s="144"/>
      <c r="T126" s="144"/>
      <c r="U126" s="144"/>
      <c r="V126" s="144"/>
      <c r="W126" s="144"/>
      <c r="X126" s="144"/>
      <c r="Y126" s="144"/>
      <c r="Z126" s="144"/>
      <c r="AA126" s="144"/>
      <c r="AB126" s="144"/>
      <c r="AC126" s="144"/>
      <c r="AD126" s="144"/>
      <c r="AE126" s="144"/>
      <c r="AF126" s="144"/>
    </row>
    <row r="127" ht="16.5" customHeight="1">
      <c r="A127" s="164" t="s">
        <v>5</v>
      </c>
      <c r="E127" s="8" t="s">
        <v>88</v>
      </c>
      <c r="F127" s="8" t="s">
        <v>875</v>
      </c>
      <c r="G127" s="495" t="s">
        <v>4572</v>
      </c>
      <c r="H127" s="35" t="s">
        <v>4427</v>
      </c>
      <c r="I127" s="36"/>
      <c r="L127" s="496"/>
      <c r="M127" s="144"/>
      <c r="N127" s="144"/>
      <c r="O127" s="144"/>
      <c r="P127" s="144"/>
      <c r="Q127" s="144"/>
      <c r="R127" s="144"/>
      <c r="S127" s="144"/>
      <c r="T127" s="144"/>
      <c r="U127" s="144"/>
      <c r="V127" s="144"/>
      <c r="W127" s="144"/>
      <c r="X127" s="144"/>
      <c r="Y127" s="144"/>
      <c r="Z127" s="144"/>
      <c r="AA127" s="144"/>
      <c r="AB127" s="144"/>
      <c r="AC127" s="144"/>
      <c r="AD127" s="144"/>
      <c r="AE127" s="144"/>
      <c r="AF127" s="144"/>
    </row>
    <row r="128" ht="16.5" customHeight="1">
      <c r="A128" s="164" t="s">
        <v>5</v>
      </c>
      <c r="E128" s="8" t="s">
        <v>88</v>
      </c>
      <c r="F128" s="8" t="s">
        <v>872</v>
      </c>
      <c r="G128" s="495" t="s">
        <v>4573</v>
      </c>
      <c r="H128" s="35" t="s">
        <v>1086</v>
      </c>
      <c r="I128" s="36"/>
      <c r="L128" s="496"/>
      <c r="M128" s="144"/>
      <c r="N128" s="144"/>
      <c r="O128" s="144"/>
      <c r="P128" s="144"/>
      <c r="Q128" s="144"/>
      <c r="R128" s="144"/>
      <c r="S128" s="144"/>
      <c r="T128" s="144"/>
      <c r="U128" s="144"/>
      <c r="V128" s="144"/>
      <c r="W128" s="144"/>
      <c r="X128" s="144"/>
      <c r="Y128" s="144"/>
      <c r="Z128" s="144"/>
      <c r="AA128" s="144"/>
      <c r="AB128" s="144"/>
      <c r="AC128" s="144"/>
      <c r="AD128" s="144"/>
      <c r="AE128" s="144"/>
      <c r="AF128" s="144"/>
    </row>
    <row r="129" ht="16.5" customHeight="1">
      <c r="A129" s="164" t="s">
        <v>5</v>
      </c>
      <c r="E129" s="8" t="s">
        <v>88</v>
      </c>
      <c r="F129" s="8" t="s">
        <v>869</v>
      </c>
      <c r="G129" s="498"/>
      <c r="H129" s="352"/>
      <c r="I129" s="497"/>
      <c r="J129" s="497"/>
      <c r="K129" s="496"/>
      <c r="L129" s="496"/>
      <c r="M129" s="144"/>
      <c r="N129" s="144"/>
      <c r="O129" s="144"/>
      <c r="P129" s="144"/>
      <c r="Q129" s="144"/>
      <c r="R129" s="144"/>
      <c r="S129" s="144"/>
      <c r="T129" s="144"/>
      <c r="U129" s="144"/>
      <c r="V129" s="144"/>
      <c r="W129" s="144"/>
      <c r="X129" s="144"/>
      <c r="Y129" s="144"/>
      <c r="Z129" s="144"/>
      <c r="AA129" s="144"/>
      <c r="AB129" s="144"/>
      <c r="AC129" s="144"/>
      <c r="AD129" s="144"/>
      <c r="AE129" s="144"/>
      <c r="AF129" s="144"/>
    </row>
    <row r="130" ht="16.5" customHeight="1">
      <c r="A130" s="164" t="s">
        <v>5</v>
      </c>
      <c r="E130" s="8" t="s">
        <v>172</v>
      </c>
      <c r="F130" s="8" t="s">
        <v>194</v>
      </c>
      <c r="G130" s="495" t="s">
        <v>4574</v>
      </c>
      <c r="H130" s="32" t="s">
        <v>194</v>
      </c>
      <c r="I130" s="497"/>
      <c r="J130" s="497"/>
      <c r="K130" s="496"/>
      <c r="L130" s="496"/>
      <c r="M130" s="144"/>
      <c r="N130" s="144"/>
      <c r="O130" s="144"/>
      <c r="P130" s="144"/>
      <c r="Q130" s="144"/>
      <c r="R130" s="144"/>
      <c r="S130" s="144"/>
      <c r="T130" s="144"/>
      <c r="U130" s="144"/>
      <c r="V130" s="144"/>
      <c r="W130" s="144"/>
      <c r="X130" s="144"/>
      <c r="Y130" s="144"/>
      <c r="Z130" s="144"/>
      <c r="AA130" s="144"/>
      <c r="AB130" s="144"/>
      <c r="AC130" s="144"/>
      <c r="AD130" s="144"/>
      <c r="AE130" s="144"/>
      <c r="AF130" s="144"/>
    </row>
    <row r="131" ht="16.5" customHeight="1">
      <c r="A131" s="164" t="s">
        <v>5</v>
      </c>
      <c r="E131" s="8" t="s">
        <v>172</v>
      </c>
      <c r="F131" s="8" t="s">
        <v>195</v>
      </c>
      <c r="G131" s="495" t="s">
        <v>4575</v>
      </c>
      <c r="H131" s="32" t="s">
        <v>195</v>
      </c>
      <c r="I131" s="497"/>
      <c r="J131" s="497"/>
      <c r="K131" s="496"/>
      <c r="L131" s="496"/>
      <c r="M131" s="144"/>
      <c r="N131" s="144"/>
      <c r="O131" s="144"/>
      <c r="P131" s="144"/>
      <c r="Q131" s="144"/>
      <c r="R131" s="144"/>
      <c r="S131" s="144"/>
      <c r="T131" s="144"/>
      <c r="U131" s="144"/>
      <c r="V131" s="144"/>
      <c r="W131" s="144"/>
      <c r="X131" s="144"/>
      <c r="Y131" s="144"/>
      <c r="Z131" s="144"/>
      <c r="AA131" s="144"/>
      <c r="AB131" s="144"/>
      <c r="AC131" s="144"/>
      <c r="AD131" s="144"/>
      <c r="AE131" s="144"/>
      <c r="AF131" s="144"/>
    </row>
    <row r="132" ht="16.5" customHeight="1">
      <c r="A132" s="164" t="s">
        <v>5</v>
      </c>
      <c r="E132" s="8" t="s">
        <v>21</v>
      </c>
      <c r="F132" s="8" t="s">
        <v>51</v>
      </c>
      <c r="G132" s="495" t="s">
        <v>4576</v>
      </c>
      <c r="H132" s="32" t="s">
        <v>51</v>
      </c>
      <c r="I132" s="497"/>
      <c r="J132" s="497"/>
      <c r="K132" s="496"/>
      <c r="L132" s="496"/>
      <c r="M132" s="144"/>
      <c r="N132" s="144"/>
      <c r="O132" s="144"/>
      <c r="P132" s="144"/>
      <c r="Q132" s="144"/>
      <c r="R132" s="144"/>
      <c r="S132" s="144"/>
      <c r="T132" s="144"/>
      <c r="U132" s="144"/>
      <c r="V132" s="144"/>
      <c r="W132" s="144"/>
      <c r="X132" s="144"/>
      <c r="Y132" s="144"/>
      <c r="Z132" s="144"/>
      <c r="AA132" s="144"/>
      <c r="AB132" s="144"/>
      <c r="AC132" s="144"/>
      <c r="AD132" s="144"/>
      <c r="AE132" s="144"/>
      <c r="AF132" s="144"/>
    </row>
    <row r="133" ht="16.5" customHeight="1">
      <c r="A133" s="164" t="s">
        <v>5</v>
      </c>
      <c r="E133" s="8" t="s">
        <v>88</v>
      </c>
      <c r="F133" s="8" t="s">
        <v>95</v>
      </c>
      <c r="G133" s="495" t="s">
        <v>4577</v>
      </c>
      <c r="H133" s="32" t="s">
        <v>95</v>
      </c>
      <c r="I133" s="497"/>
      <c r="J133" s="497"/>
      <c r="K133" s="496"/>
      <c r="L133" s="496"/>
      <c r="M133" s="144"/>
      <c r="N133" s="144"/>
      <c r="O133" s="144"/>
      <c r="P133" s="144"/>
      <c r="Q133" s="144"/>
      <c r="R133" s="144"/>
      <c r="S133" s="144"/>
      <c r="T133" s="144"/>
      <c r="U133" s="144"/>
      <c r="V133" s="144"/>
      <c r="W133" s="144"/>
      <c r="X133" s="144"/>
      <c r="Y133" s="144"/>
      <c r="Z133" s="144"/>
      <c r="AA133" s="144"/>
      <c r="AB133" s="144"/>
      <c r="AC133" s="144"/>
      <c r="AD133" s="144"/>
      <c r="AE133" s="144"/>
      <c r="AF133" s="144"/>
    </row>
    <row r="134" ht="16.5" customHeight="1">
      <c r="A134" s="164" t="s">
        <v>5</v>
      </c>
      <c r="E134" s="8" t="s">
        <v>88</v>
      </c>
      <c r="F134" s="8" t="s">
        <v>122</v>
      </c>
      <c r="G134" s="495" t="s">
        <v>4578</v>
      </c>
      <c r="H134" s="8" t="s">
        <v>122</v>
      </c>
      <c r="L134" s="496"/>
      <c r="M134" s="144"/>
      <c r="N134" s="144"/>
      <c r="O134" s="144"/>
      <c r="P134" s="144"/>
      <c r="Q134" s="144"/>
      <c r="R134" s="144"/>
      <c r="S134" s="144"/>
      <c r="T134" s="144"/>
      <c r="U134" s="144"/>
      <c r="V134" s="144"/>
      <c r="W134" s="144"/>
      <c r="X134" s="144"/>
      <c r="Y134" s="144"/>
      <c r="Z134" s="144"/>
      <c r="AA134" s="144"/>
      <c r="AB134" s="144"/>
      <c r="AC134" s="144"/>
      <c r="AD134" s="144"/>
      <c r="AE134" s="144"/>
      <c r="AF134" s="144"/>
    </row>
    <row r="135" ht="16.5" customHeight="1">
      <c r="A135" s="164" t="s">
        <v>5</v>
      </c>
      <c r="E135" s="8" t="s">
        <v>88</v>
      </c>
      <c r="F135" s="8" t="s">
        <v>96</v>
      </c>
      <c r="G135" s="495" t="s">
        <v>4579</v>
      </c>
      <c r="H135" s="32" t="s">
        <v>96</v>
      </c>
      <c r="I135" s="497"/>
      <c r="J135" s="497"/>
      <c r="K135" s="496"/>
      <c r="L135" s="496"/>
      <c r="M135" s="144"/>
      <c r="N135" s="144"/>
      <c r="O135" s="144"/>
      <c r="P135" s="144"/>
      <c r="Q135" s="144"/>
      <c r="R135" s="144"/>
      <c r="S135" s="144"/>
      <c r="T135" s="144"/>
      <c r="U135" s="144"/>
      <c r="V135" s="144"/>
      <c r="W135" s="144"/>
      <c r="X135" s="144"/>
      <c r="Y135" s="144"/>
      <c r="Z135" s="144"/>
      <c r="AA135" s="144"/>
      <c r="AB135" s="144"/>
      <c r="AC135" s="144"/>
      <c r="AD135" s="144"/>
      <c r="AE135" s="144"/>
      <c r="AF135" s="144"/>
    </row>
    <row r="136" ht="16.5" customHeight="1">
      <c r="A136" s="164" t="s">
        <v>5</v>
      </c>
      <c r="E136" s="8" t="s">
        <v>86</v>
      </c>
      <c r="F136" s="8" t="s">
        <v>90</v>
      </c>
      <c r="G136" s="495" t="s">
        <v>4580</v>
      </c>
      <c r="H136" s="32" t="s">
        <v>90</v>
      </c>
      <c r="I136" s="497"/>
      <c r="J136" s="497"/>
      <c r="K136" s="496"/>
      <c r="L136" s="496"/>
      <c r="M136" s="144"/>
      <c r="N136" s="144"/>
      <c r="O136" s="144"/>
      <c r="P136" s="144"/>
      <c r="Q136" s="144"/>
      <c r="R136" s="144"/>
      <c r="S136" s="144"/>
      <c r="T136" s="144"/>
      <c r="U136" s="144"/>
      <c r="V136" s="144"/>
      <c r="W136" s="144"/>
      <c r="X136" s="144"/>
      <c r="Y136" s="144"/>
      <c r="Z136" s="144"/>
      <c r="AA136" s="144"/>
      <c r="AB136" s="144"/>
      <c r="AC136" s="144"/>
      <c r="AD136" s="144"/>
      <c r="AE136" s="144"/>
      <c r="AF136" s="144"/>
    </row>
    <row r="137" ht="16.5" customHeight="1">
      <c r="A137" s="164" t="s">
        <v>5</v>
      </c>
      <c r="E137" s="8" t="s">
        <v>86</v>
      </c>
      <c r="F137" s="8" t="s">
        <v>91</v>
      </c>
      <c r="G137" s="495" t="s">
        <v>4581</v>
      </c>
      <c r="H137" s="32" t="s">
        <v>91</v>
      </c>
      <c r="I137" s="352"/>
      <c r="J137" s="497"/>
      <c r="K137" s="496"/>
      <c r="L137" s="496"/>
      <c r="M137" s="144"/>
      <c r="N137" s="144"/>
      <c r="O137" s="144"/>
      <c r="P137" s="144"/>
      <c r="Q137" s="144"/>
      <c r="R137" s="144"/>
      <c r="S137" s="144"/>
      <c r="T137" s="144"/>
      <c r="U137" s="144"/>
      <c r="V137" s="144"/>
      <c r="W137" s="144"/>
      <c r="X137" s="144"/>
      <c r="Y137" s="144"/>
      <c r="Z137" s="144"/>
      <c r="AA137" s="144"/>
      <c r="AB137" s="144"/>
      <c r="AC137" s="144"/>
      <c r="AD137" s="144"/>
      <c r="AE137" s="144"/>
      <c r="AF137" s="144"/>
    </row>
    <row r="138" ht="16.5" customHeight="1">
      <c r="A138" s="164" t="s">
        <v>5</v>
      </c>
      <c r="E138" s="8" t="s">
        <v>86</v>
      </c>
      <c r="F138" s="8" t="s">
        <v>338</v>
      </c>
      <c r="G138" s="495" t="s">
        <v>4582</v>
      </c>
      <c r="H138" s="32" t="s">
        <v>338</v>
      </c>
      <c r="I138" s="352"/>
      <c r="J138" s="497"/>
      <c r="K138" s="496"/>
      <c r="L138" s="496"/>
      <c r="M138" s="144"/>
      <c r="N138" s="144"/>
      <c r="O138" s="144"/>
      <c r="P138" s="144"/>
      <c r="Q138" s="144"/>
      <c r="R138" s="144"/>
      <c r="S138" s="144"/>
      <c r="T138" s="144"/>
      <c r="U138" s="144"/>
      <c r="V138" s="144"/>
      <c r="W138" s="144"/>
      <c r="X138" s="144"/>
      <c r="Y138" s="144"/>
      <c r="Z138" s="144"/>
      <c r="AA138" s="144"/>
      <c r="AB138" s="144"/>
      <c r="AC138" s="144"/>
      <c r="AD138" s="144"/>
      <c r="AE138" s="144"/>
      <c r="AF138" s="144"/>
    </row>
    <row r="139" ht="16.5" customHeight="1">
      <c r="A139" s="164" t="s">
        <v>5</v>
      </c>
      <c r="E139" s="8" t="s">
        <v>104</v>
      </c>
      <c r="F139" s="8" t="s">
        <v>250</v>
      </c>
      <c r="G139" s="495" t="s">
        <v>4583</v>
      </c>
      <c r="H139" s="501" t="s">
        <v>250</v>
      </c>
      <c r="I139" s="497"/>
      <c r="J139" s="497"/>
      <c r="K139" s="496"/>
      <c r="L139" s="496"/>
      <c r="M139" s="144"/>
      <c r="N139" s="144"/>
      <c r="O139" s="144"/>
      <c r="P139" s="144"/>
      <c r="Q139" s="144"/>
      <c r="R139" s="144"/>
      <c r="S139" s="144"/>
      <c r="T139" s="144"/>
      <c r="U139" s="144"/>
      <c r="V139" s="144"/>
      <c r="W139" s="144"/>
      <c r="X139" s="144"/>
      <c r="Y139" s="144"/>
      <c r="Z139" s="144"/>
      <c r="AA139" s="144"/>
      <c r="AB139" s="144"/>
      <c r="AC139" s="144"/>
      <c r="AD139" s="144"/>
      <c r="AE139" s="144"/>
      <c r="AF139" s="144"/>
    </row>
    <row r="140" ht="16.5" customHeight="1">
      <c r="A140" s="164" t="s">
        <v>5</v>
      </c>
      <c r="E140" s="8" t="s">
        <v>178</v>
      </c>
      <c r="F140" s="8" t="s">
        <v>209</v>
      </c>
      <c r="G140" s="495" t="s">
        <v>4584</v>
      </c>
      <c r="H140" s="501" t="s">
        <v>209</v>
      </c>
      <c r="I140" s="497"/>
      <c r="J140" s="497"/>
      <c r="K140" s="496"/>
      <c r="L140" s="496"/>
      <c r="M140" s="144"/>
      <c r="N140" s="144"/>
      <c r="O140" s="144"/>
      <c r="P140" s="144"/>
      <c r="Q140" s="144"/>
      <c r="R140" s="144"/>
      <c r="S140" s="144"/>
      <c r="T140" s="144"/>
      <c r="U140" s="144"/>
      <c r="V140" s="144"/>
      <c r="W140" s="144"/>
      <c r="X140" s="144"/>
      <c r="Y140" s="144"/>
      <c r="Z140" s="144"/>
      <c r="AA140" s="144"/>
      <c r="AB140" s="144"/>
      <c r="AC140" s="144"/>
      <c r="AD140" s="144"/>
      <c r="AE140" s="144"/>
      <c r="AF140" s="144"/>
    </row>
    <row r="141" ht="16.5" customHeight="1">
      <c r="A141" s="164" t="s">
        <v>5</v>
      </c>
      <c r="E141" s="8" t="s">
        <v>178</v>
      </c>
      <c r="F141" s="8" t="s">
        <v>210</v>
      </c>
      <c r="G141" s="495" t="s">
        <v>4585</v>
      </c>
      <c r="H141" s="501" t="s">
        <v>210</v>
      </c>
      <c r="I141" s="497"/>
      <c r="J141" s="497"/>
      <c r="K141" s="496"/>
      <c r="L141" s="496"/>
      <c r="M141" s="144"/>
      <c r="N141" s="144"/>
      <c r="O141" s="144"/>
      <c r="P141" s="144"/>
      <c r="Q141" s="144"/>
      <c r="R141" s="144"/>
      <c r="S141" s="144"/>
      <c r="T141" s="144"/>
      <c r="U141" s="144"/>
      <c r="V141" s="144"/>
      <c r="W141" s="144"/>
      <c r="X141" s="144"/>
      <c r="Y141" s="144"/>
      <c r="Z141" s="144"/>
      <c r="AA141" s="144"/>
      <c r="AB141" s="144"/>
      <c r="AC141" s="144"/>
      <c r="AD141" s="144"/>
      <c r="AE141" s="144"/>
      <c r="AF141" s="144"/>
    </row>
    <row r="142" ht="16.5" customHeight="1">
      <c r="A142" s="164" t="s">
        <v>5</v>
      </c>
      <c r="B142" s="56" t="s">
        <v>4586</v>
      </c>
      <c r="C142" s="442" t="s">
        <v>4587</v>
      </c>
      <c r="D142" s="83" t="s">
        <v>20</v>
      </c>
      <c r="E142" s="8" t="s">
        <v>88</v>
      </c>
      <c r="F142" s="8" t="s">
        <v>89</v>
      </c>
      <c r="G142" s="498"/>
      <c r="H142" s="36"/>
      <c r="L142" s="496"/>
      <c r="M142" s="144"/>
      <c r="N142" s="144"/>
      <c r="O142" s="144"/>
      <c r="P142" s="144"/>
      <c r="Q142" s="144"/>
      <c r="R142" s="144"/>
      <c r="S142" s="144"/>
      <c r="T142" s="144"/>
      <c r="U142" s="144"/>
      <c r="V142" s="144"/>
      <c r="W142" s="144"/>
      <c r="X142" s="144"/>
      <c r="Y142" s="144"/>
      <c r="Z142" s="144"/>
      <c r="AA142" s="144"/>
      <c r="AB142" s="144"/>
      <c r="AC142" s="144"/>
      <c r="AD142" s="144"/>
      <c r="AE142" s="144"/>
      <c r="AF142" s="144"/>
    </row>
    <row r="143" ht="16.5" customHeight="1">
      <c r="A143" s="164" t="s">
        <v>5</v>
      </c>
      <c r="E143" s="8" t="s">
        <v>88</v>
      </c>
      <c r="F143" s="8" t="s">
        <v>154</v>
      </c>
      <c r="G143" s="495" t="s">
        <v>4588</v>
      </c>
      <c r="H143" s="35" t="s">
        <v>154</v>
      </c>
      <c r="L143" s="496"/>
      <c r="M143" s="144"/>
      <c r="N143" s="144"/>
      <c r="O143" s="144"/>
      <c r="P143" s="144"/>
      <c r="Q143" s="144"/>
      <c r="R143" s="144"/>
      <c r="S143" s="144"/>
      <c r="T143" s="144"/>
      <c r="U143" s="144"/>
      <c r="V143" s="144"/>
      <c r="W143" s="144"/>
      <c r="X143" s="144"/>
      <c r="Y143" s="144"/>
      <c r="Z143" s="144"/>
      <c r="AA143" s="144"/>
      <c r="AB143" s="144"/>
      <c r="AC143" s="144"/>
      <c r="AD143" s="144"/>
      <c r="AE143" s="144"/>
      <c r="AF143" s="144"/>
    </row>
    <row r="144" ht="16.5" customHeight="1">
      <c r="A144" s="164" t="s">
        <v>5</v>
      </c>
      <c r="E144" s="8" t="s">
        <v>88</v>
      </c>
      <c r="F144" s="8" t="s">
        <v>859</v>
      </c>
      <c r="G144" s="495" t="s">
        <v>4589</v>
      </c>
      <c r="H144" s="35" t="s">
        <v>859</v>
      </c>
      <c r="L144" s="496"/>
      <c r="M144" s="144"/>
      <c r="N144" s="144"/>
      <c r="O144" s="144"/>
      <c r="P144" s="144"/>
      <c r="Q144" s="144"/>
      <c r="R144" s="144"/>
      <c r="S144" s="144"/>
      <c r="T144" s="144"/>
      <c r="U144" s="144"/>
      <c r="V144" s="144"/>
      <c r="W144" s="144"/>
      <c r="X144" s="144"/>
      <c r="Y144" s="144"/>
      <c r="Z144" s="144"/>
      <c r="AA144" s="144"/>
      <c r="AB144" s="144"/>
      <c r="AC144" s="144"/>
      <c r="AD144" s="144"/>
      <c r="AE144" s="144"/>
      <c r="AF144" s="144"/>
    </row>
    <row r="145" ht="16.5" customHeight="1">
      <c r="A145" s="164" t="s">
        <v>5</v>
      </c>
      <c r="E145" s="8" t="s">
        <v>88</v>
      </c>
      <c r="F145" s="8" t="s">
        <v>879</v>
      </c>
      <c r="G145" s="495" t="s">
        <v>4590</v>
      </c>
      <c r="H145" s="35" t="s">
        <v>879</v>
      </c>
      <c r="L145" s="496"/>
      <c r="M145" s="144"/>
      <c r="N145" s="144"/>
      <c r="O145" s="144"/>
      <c r="P145" s="144"/>
      <c r="Q145" s="144"/>
      <c r="R145" s="144"/>
      <c r="S145" s="144"/>
      <c r="T145" s="144"/>
      <c r="U145" s="144"/>
      <c r="V145" s="144"/>
      <c r="W145" s="144"/>
      <c r="X145" s="144"/>
      <c r="Y145" s="144"/>
      <c r="Z145" s="144"/>
      <c r="AA145" s="144"/>
      <c r="AB145" s="144"/>
      <c r="AC145" s="144"/>
      <c r="AD145" s="144"/>
      <c r="AE145" s="144"/>
      <c r="AF145" s="144"/>
    </row>
    <row r="146" ht="16.5" customHeight="1">
      <c r="A146" s="164" t="s">
        <v>5</v>
      </c>
      <c r="E146" s="8" t="s">
        <v>88</v>
      </c>
      <c r="F146" s="8" t="s">
        <v>881</v>
      </c>
      <c r="G146" s="495" t="s">
        <v>4591</v>
      </c>
      <c r="H146" s="35" t="s">
        <v>881</v>
      </c>
      <c r="I146" s="36"/>
      <c r="L146" s="496"/>
      <c r="M146" s="144"/>
      <c r="N146" s="144"/>
      <c r="O146" s="144"/>
      <c r="P146" s="144"/>
      <c r="Q146" s="144"/>
      <c r="R146" s="144"/>
      <c r="S146" s="144"/>
      <c r="T146" s="144"/>
      <c r="U146" s="144"/>
      <c r="V146" s="144"/>
      <c r="W146" s="144"/>
      <c r="X146" s="144"/>
      <c r="Y146" s="144"/>
      <c r="Z146" s="144"/>
      <c r="AA146" s="144"/>
      <c r="AB146" s="144"/>
      <c r="AC146" s="144"/>
      <c r="AD146" s="144"/>
      <c r="AE146" s="144"/>
      <c r="AF146" s="144"/>
    </row>
    <row r="147" ht="16.5" customHeight="1">
      <c r="A147" s="164" t="s">
        <v>5</v>
      </c>
      <c r="E147" s="8" t="s">
        <v>88</v>
      </c>
      <c r="F147" s="8" t="s">
        <v>870</v>
      </c>
      <c r="G147" s="495" t="s">
        <v>4592</v>
      </c>
      <c r="H147" s="35" t="s">
        <v>870</v>
      </c>
      <c r="I147" s="36"/>
      <c r="L147" s="496"/>
      <c r="M147" s="144"/>
      <c r="N147" s="144"/>
      <c r="O147" s="144"/>
      <c r="P147" s="144"/>
      <c r="Q147" s="144"/>
      <c r="R147" s="144"/>
      <c r="S147" s="144"/>
      <c r="T147" s="144"/>
      <c r="U147" s="144"/>
      <c r="V147" s="144"/>
      <c r="W147" s="144"/>
      <c r="X147" s="144"/>
      <c r="Y147" s="144"/>
      <c r="Z147" s="144"/>
      <c r="AA147" s="144"/>
      <c r="AB147" s="144"/>
      <c r="AC147" s="144"/>
      <c r="AD147" s="144"/>
      <c r="AE147" s="144"/>
      <c r="AF147" s="144"/>
    </row>
    <row r="148" ht="16.5" customHeight="1">
      <c r="A148" s="164" t="s">
        <v>5</v>
      </c>
      <c r="E148" s="8" t="s">
        <v>88</v>
      </c>
      <c r="F148" s="8" t="s">
        <v>875</v>
      </c>
      <c r="G148" s="495" t="s">
        <v>4593</v>
      </c>
      <c r="H148" s="35" t="s">
        <v>875</v>
      </c>
      <c r="I148" s="36"/>
      <c r="L148" s="496"/>
      <c r="M148" s="144"/>
      <c r="N148" s="144"/>
      <c r="O148" s="144"/>
      <c r="P148" s="144"/>
      <c r="Q148" s="144"/>
      <c r="R148" s="144"/>
      <c r="S148" s="144"/>
      <c r="T148" s="144"/>
      <c r="U148" s="144"/>
      <c r="V148" s="144"/>
      <c r="W148" s="144"/>
      <c r="X148" s="144"/>
      <c r="Y148" s="144"/>
      <c r="Z148" s="144"/>
      <c r="AA148" s="144"/>
      <c r="AB148" s="144"/>
      <c r="AC148" s="144"/>
      <c r="AD148" s="144"/>
      <c r="AE148" s="144"/>
      <c r="AF148" s="144"/>
    </row>
    <row r="149" ht="16.5" customHeight="1">
      <c r="A149" s="164" t="s">
        <v>5</v>
      </c>
      <c r="E149" s="8" t="s">
        <v>88</v>
      </c>
      <c r="F149" s="8" t="s">
        <v>872</v>
      </c>
      <c r="G149" s="495" t="s">
        <v>4594</v>
      </c>
      <c r="H149" s="35" t="s">
        <v>846</v>
      </c>
      <c r="I149" s="35" t="s">
        <v>852</v>
      </c>
      <c r="L149" s="496"/>
      <c r="M149" s="144"/>
      <c r="N149" s="144"/>
      <c r="O149" s="144"/>
      <c r="P149" s="144"/>
      <c r="Q149" s="144"/>
      <c r="R149" s="144"/>
      <c r="S149" s="144"/>
      <c r="T149" s="144"/>
      <c r="U149" s="144"/>
      <c r="V149" s="144"/>
      <c r="W149" s="144"/>
      <c r="X149" s="144"/>
      <c r="Y149" s="144"/>
      <c r="Z149" s="144"/>
      <c r="AA149" s="144"/>
      <c r="AB149" s="144"/>
      <c r="AC149" s="144"/>
      <c r="AD149" s="144"/>
      <c r="AE149" s="144"/>
      <c r="AF149" s="144"/>
    </row>
    <row r="150" ht="16.5" customHeight="1">
      <c r="A150" s="164" t="s">
        <v>5</v>
      </c>
      <c r="E150" s="8" t="s">
        <v>88</v>
      </c>
      <c r="F150" s="8" t="s">
        <v>875</v>
      </c>
      <c r="G150" s="495" t="s">
        <v>4595</v>
      </c>
      <c r="H150" s="35" t="s">
        <v>4328</v>
      </c>
      <c r="L150" s="496"/>
      <c r="M150" s="144"/>
      <c r="N150" s="144"/>
      <c r="O150" s="144"/>
      <c r="P150" s="144"/>
      <c r="Q150" s="144"/>
      <c r="R150" s="144"/>
      <c r="S150" s="144"/>
      <c r="T150" s="144"/>
      <c r="U150" s="144"/>
      <c r="V150" s="144"/>
      <c r="W150" s="144"/>
      <c r="X150" s="144"/>
      <c r="Y150" s="144"/>
      <c r="Z150" s="144"/>
      <c r="AA150" s="144"/>
      <c r="AB150" s="144"/>
      <c r="AC150" s="144"/>
      <c r="AD150" s="144"/>
      <c r="AE150" s="144"/>
      <c r="AF150" s="144"/>
    </row>
    <row r="151" ht="16.5" customHeight="1">
      <c r="A151" s="164" t="s">
        <v>5</v>
      </c>
      <c r="E151" s="8" t="s">
        <v>88</v>
      </c>
      <c r="F151" s="8" t="s">
        <v>872</v>
      </c>
      <c r="G151" s="495" t="s">
        <v>4596</v>
      </c>
      <c r="H151" s="35" t="s">
        <v>1076</v>
      </c>
      <c r="L151" s="496"/>
      <c r="M151" s="144"/>
      <c r="N151" s="144"/>
      <c r="O151" s="144"/>
      <c r="P151" s="144"/>
      <c r="Q151" s="144"/>
      <c r="R151" s="144"/>
      <c r="S151" s="144"/>
      <c r="T151" s="144"/>
      <c r="U151" s="144"/>
      <c r="V151" s="144"/>
      <c r="W151" s="144"/>
      <c r="X151" s="144"/>
      <c r="Y151" s="144"/>
      <c r="Z151" s="144"/>
      <c r="AA151" s="144"/>
      <c r="AB151" s="144"/>
      <c r="AC151" s="144"/>
      <c r="AD151" s="144"/>
      <c r="AE151" s="144"/>
      <c r="AF151" s="144"/>
    </row>
    <row r="152" ht="16.5" customHeight="1">
      <c r="A152" s="164" t="s">
        <v>5</v>
      </c>
      <c r="E152" s="8" t="s">
        <v>88</v>
      </c>
      <c r="F152" s="8" t="s">
        <v>870</v>
      </c>
      <c r="G152" s="502" t="s">
        <v>4597</v>
      </c>
      <c r="H152" s="35" t="s">
        <v>4369</v>
      </c>
      <c r="L152" s="496"/>
      <c r="M152" s="144"/>
      <c r="N152" s="144"/>
      <c r="O152" s="144"/>
      <c r="P152" s="144"/>
      <c r="Q152" s="144"/>
      <c r="R152" s="144"/>
      <c r="S152" s="144"/>
      <c r="T152" s="144"/>
      <c r="U152" s="144"/>
      <c r="V152" s="144"/>
      <c r="W152" s="144"/>
      <c r="X152" s="144"/>
      <c r="Y152" s="144"/>
      <c r="Z152" s="144"/>
      <c r="AA152" s="144"/>
      <c r="AB152" s="144"/>
      <c r="AC152" s="144"/>
      <c r="AD152" s="144"/>
      <c r="AE152" s="144"/>
      <c r="AF152" s="144"/>
    </row>
    <row r="153" ht="16.5" customHeight="1">
      <c r="A153" s="164" t="s">
        <v>5</v>
      </c>
      <c r="E153" s="8" t="s">
        <v>88</v>
      </c>
      <c r="F153" s="8" t="s">
        <v>881</v>
      </c>
      <c r="G153" s="502" t="s">
        <v>4591</v>
      </c>
      <c r="H153" s="35" t="s">
        <v>881</v>
      </c>
      <c r="L153" s="496"/>
      <c r="M153" s="144"/>
      <c r="N153" s="144"/>
      <c r="O153" s="144"/>
      <c r="P153" s="144"/>
      <c r="Q153" s="144"/>
      <c r="R153" s="144"/>
      <c r="S153" s="144"/>
      <c r="T153" s="144"/>
      <c r="U153" s="144"/>
      <c r="V153" s="144"/>
      <c r="W153" s="144"/>
      <c r="X153" s="144"/>
      <c r="Y153" s="144"/>
      <c r="Z153" s="144"/>
      <c r="AA153" s="144"/>
      <c r="AB153" s="144"/>
      <c r="AC153" s="144"/>
      <c r="AD153" s="144"/>
      <c r="AE153" s="144"/>
      <c r="AF153" s="144"/>
    </row>
    <row r="154" ht="16.5" customHeight="1">
      <c r="A154" s="164" t="s">
        <v>5</v>
      </c>
      <c r="E154" s="8" t="s">
        <v>88</v>
      </c>
      <c r="F154" s="8" t="s">
        <v>875</v>
      </c>
      <c r="G154" s="502" t="s">
        <v>4598</v>
      </c>
      <c r="H154" s="35" t="s">
        <v>4373</v>
      </c>
      <c r="L154" s="496"/>
      <c r="M154" s="144"/>
      <c r="N154" s="144"/>
      <c r="O154" s="144"/>
      <c r="P154" s="144"/>
      <c r="Q154" s="144"/>
      <c r="R154" s="144"/>
      <c r="S154" s="144"/>
      <c r="T154" s="144"/>
      <c r="U154" s="144"/>
      <c r="V154" s="144"/>
      <c r="W154" s="144"/>
      <c r="X154" s="144"/>
      <c r="Y154" s="144"/>
      <c r="Z154" s="144"/>
      <c r="AA154" s="144"/>
      <c r="AB154" s="144"/>
      <c r="AC154" s="144"/>
      <c r="AD154" s="144"/>
      <c r="AE154" s="144"/>
      <c r="AF154" s="144"/>
    </row>
    <row r="155" ht="16.5" customHeight="1">
      <c r="A155" s="164" t="s">
        <v>5</v>
      </c>
      <c r="E155" s="8" t="s">
        <v>88</v>
      </c>
      <c r="F155" s="8" t="s">
        <v>872</v>
      </c>
      <c r="G155" s="502" t="s">
        <v>4599</v>
      </c>
      <c r="H155" s="35" t="s">
        <v>1075</v>
      </c>
      <c r="I155" s="35" t="s">
        <v>1081</v>
      </c>
      <c r="L155" s="496"/>
      <c r="M155" s="144"/>
      <c r="N155" s="144"/>
      <c r="O155" s="144"/>
      <c r="P155" s="144"/>
      <c r="Q155" s="144"/>
      <c r="R155" s="144"/>
      <c r="S155" s="144"/>
      <c r="T155" s="144"/>
      <c r="U155" s="144"/>
      <c r="V155" s="144"/>
      <c r="W155" s="144"/>
      <c r="X155" s="144"/>
      <c r="Y155" s="144"/>
      <c r="Z155" s="144"/>
      <c r="AA155" s="144"/>
      <c r="AB155" s="144"/>
      <c r="AC155" s="144"/>
      <c r="AD155" s="144"/>
      <c r="AE155" s="144"/>
      <c r="AF155" s="144"/>
    </row>
    <row r="156" ht="16.5" customHeight="1">
      <c r="A156" s="164" t="s">
        <v>5</v>
      </c>
      <c r="E156" s="8" t="s">
        <v>88</v>
      </c>
      <c r="F156" s="8" t="s">
        <v>875</v>
      </c>
      <c r="G156" s="502" t="s">
        <v>4600</v>
      </c>
      <c r="H156" s="35" t="s">
        <v>4427</v>
      </c>
      <c r="L156" s="496"/>
      <c r="M156" s="144"/>
      <c r="N156" s="144"/>
      <c r="O156" s="144"/>
      <c r="P156" s="144"/>
      <c r="Q156" s="144"/>
      <c r="R156" s="144"/>
      <c r="S156" s="144"/>
      <c r="T156" s="144"/>
      <c r="U156" s="144"/>
      <c r="V156" s="144"/>
      <c r="W156" s="144"/>
      <c r="X156" s="144"/>
      <c r="Y156" s="144"/>
      <c r="Z156" s="144"/>
      <c r="AA156" s="144"/>
      <c r="AB156" s="144"/>
      <c r="AC156" s="144"/>
      <c r="AD156" s="144"/>
      <c r="AE156" s="144"/>
      <c r="AF156" s="144"/>
    </row>
    <row r="157" ht="16.5" customHeight="1">
      <c r="A157" s="164" t="s">
        <v>5</v>
      </c>
      <c r="E157" s="8" t="s">
        <v>88</v>
      </c>
      <c r="F157" s="8" t="s">
        <v>872</v>
      </c>
      <c r="G157" s="495" t="s">
        <v>4601</v>
      </c>
      <c r="H157" s="35" t="s">
        <v>1086</v>
      </c>
      <c r="L157" s="496"/>
      <c r="M157" s="144"/>
      <c r="N157" s="144"/>
      <c r="O157" s="144"/>
      <c r="P157" s="144"/>
      <c r="Q157" s="144"/>
      <c r="R157" s="144"/>
      <c r="S157" s="144"/>
      <c r="T157" s="144"/>
      <c r="U157" s="144"/>
      <c r="V157" s="144"/>
      <c r="W157" s="144"/>
      <c r="X157" s="144"/>
      <c r="Y157" s="144"/>
      <c r="Z157" s="144"/>
      <c r="AA157" s="144"/>
      <c r="AB157" s="144"/>
      <c r="AC157" s="144"/>
      <c r="AD157" s="144"/>
      <c r="AE157" s="144"/>
      <c r="AF157" s="144"/>
    </row>
    <row r="158" ht="16.5" customHeight="1">
      <c r="A158" s="164" t="s">
        <v>5</v>
      </c>
      <c r="E158" s="8" t="s">
        <v>88</v>
      </c>
      <c r="F158" s="8" t="s">
        <v>869</v>
      </c>
      <c r="G158" s="503"/>
      <c r="H158" s="497"/>
      <c r="J158" s="497"/>
      <c r="K158" s="496"/>
      <c r="L158" s="496"/>
      <c r="M158" s="144"/>
      <c r="N158" s="144"/>
      <c r="O158" s="144"/>
      <c r="P158" s="144"/>
      <c r="Q158" s="144"/>
      <c r="R158" s="144"/>
      <c r="S158" s="144"/>
      <c r="T158" s="144"/>
      <c r="U158" s="144"/>
      <c r="V158" s="144"/>
      <c r="W158" s="144"/>
      <c r="X158" s="144"/>
      <c r="Y158" s="144"/>
      <c r="Z158" s="144"/>
      <c r="AA158" s="144"/>
      <c r="AB158" s="144"/>
      <c r="AC158" s="144"/>
      <c r="AD158" s="144"/>
      <c r="AE158" s="144"/>
      <c r="AF158" s="144"/>
    </row>
    <row r="159" ht="16.5" customHeight="1">
      <c r="A159" s="164" t="s">
        <v>5</v>
      </c>
      <c r="E159" s="8" t="s">
        <v>172</v>
      </c>
      <c r="F159" s="8" t="s">
        <v>194</v>
      </c>
      <c r="G159" s="495" t="s">
        <v>4602</v>
      </c>
      <c r="H159" s="8" t="s">
        <v>194</v>
      </c>
      <c r="I159" s="497"/>
      <c r="J159" s="497"/>
      <c r="K159" s="496"/>
      <c r="L159" s="496"/>
      <c r="M159" s="144"/>
      <c r="N159" s="144"/>
      <c r="O159" s="144"/>
      <c r="P159" s="144"/>
      <c r="Q159" s="144"/>
      <c r="R159" s="144"/>
      <c r="S159" s="144"/>
      <c r="T159" s="144"/>
      <c r="U159" s="144"/>
      <c r="V159" s="144"/>
      <c r="W159" s="144"/>
      <c r="X159" s="144"/>
      <c r="Y159" s="144"/>
      <c r="Z159" s="144"/>
      <c r="AA159" s="144"/>
      <c r="AB159" s="144"/>
      <c r="AC159" s="144"/>
      <c r="AD159" s="144"/>
      <c r="AE159" s="144"/>
      <c r="AF159" s="144"/>
    </row>
    <row r="160" ht="16.5" customHeight="1">
      <c r="A160" s="164" t="s">
        <v>5</v>
      </c>
      <c r="E160" s="8" t="s">
        <v>172</v>
      </c>
      <c r="F160" s="8" t="s">
        <v>195</v>
      </c>
      <c r="G160" s="495" t="s">
        <v>4603</v>
      </c>
      <c r="H160" s="8" t="s">
        <v>195</v>
      </c>
      <c r="I160" s="497"/>
      <c r="J160" s="497"/>
      <c r="K160" s="496"/>
      <c r="L160" s="496"/>
      <c r="M160" s="144"/>
      <c r="N160" s="144"/>
      <c r="O160" s="144"/>
      <c r="P160" s="144"/>
      <c r="Q160" s="144"/>
      <c r="R160" s="144"/>
      <c r="S160" s="144"/>
      <c r="T160" s="144"/>
      <c r="U160" s="144"/>
      <c r="V160" s="144"/>
      <c r="W160" s="144"/>
      <c r="X160" s="144"/>
      <c r="Y160" s="144"/>
      <c r="Z160" s="144"/>
      <c r="AA160" s="144"/>
      <c r="AB160" s="144"/>
      <c r="AC160" s="144"/>
      <c r="AD160" s="144"/>
      <c r="AE160" s="144"/>
      <c r="AF160" s="144"/>
    </row>
    <row r="161" ht="16.5" customHeight="1">
      <c r="A161" s="164" t="s">
        <v>5</v>
      </c>
      <c r="E161" s="8" t="s">
        <v>21</v>
      </c>
      <c r="F161" s="8" t="s">
        <v>51</v>
      </c>
      <c r="G161" s="495" t="s">
        <v>4604</v>
      </c>
      <c r="H161" s="8" t="s">
        <v>51</v>
      </c>
      <c r="I161" s="497"/>
      <c r="J161" s="497"/>
      <c r="K161" s="496"/>
      <c r="L161" s="496"/>
      <c r="M161" s="144"/>
      <c r="N161" s="144"/>
      <c r="O161" s="144"/>
      <c r="P161" s="144"/>
      <c r="Q161" s="144"/>
      <c r="R161" s="144"/>
      <c r="S161" s="144"/>
      <c r="T161" s="144"/>
      <c r="U161" s="144"/>
      <c r="V161" s="144"/>
      <c r="W161" s="144"/>
      <c r="X161" s="144"/>
      <c r="Y161" s="144"/>
      <c r="Z161" s="144"/>
      <c r="AA161" s="144"/>
      <c r="AB161" s="144"/>
      <c r="AC161" s="144"/>
      <c r="AD161" s="144"/>
      <c r="AE161" s="144"/>
      <c r="AF161" s="144"/>
    </row>
    <row r="162" ht="16.5" customHeight="1">
      <c r="A162" s="164" t="s">
        <v>5</v>
      </c>
      <c r="E162" s="8" t="s">
        <v>88</v>
      </c>
      <c r="F162" s="8" t="s">
        <v>95</v>
      </c>
      <c r="G162" s="495" t="s">
        <v>4605</v>
      </c>
      <c r="H162" s="8" t="s">
        <v>95</v>
      </c>
      <c r="I162" s="497"/>
      <c r="J162" s="497"/>
      <c r="K162" s="496"/>
      <c r="L162" s="496"/>
      <c r="M162" s="144"/>
      <c r="N162" s="144"/>
      <c r="O162" s="144"/>
      <c r="P162" s="144"/>
      <c r="Q162" s="144"/>
      <c r="R162" s="144"/>
      <c r="S162" s="144"/>
      <c r="T162" s="144"/>
      <c r="U162" s="144"/>
      <c r="V162" s="144"/>
      <c r="W162" s="144"/>
      <c r="X162" s="144"/>
      <c r="Y162" s="144"/>
      <c r="Z162" s="144"/>
      <c r="AA162" s="144"/>
      <c r="AB162" s="144"/>
      <c r="AC162" s="144"/>
      <c r="AD162" s="144"/>
      <c r="AE162" s="144"/>
      <c r="AF162" s="144"/>
    </row>
    <row r="163" ht="16.5" customHeight="1">
      <c r="A163" s="164" t="s">
        <v>5</v>
      </c>
      <c r="E163" s="8" t="s">
        <v>88</v>
      </c>
      <c r="F163" s="8" t="s">
        <v>122</v>
      </c>
      <c r="G163" s="495" t="s">
        <v>4606</v>
      </c>
      <c r="H163" s="8" t="s">
        <v>122</v>
      </c>
      <c r="I163" s="497"/>
      <c r="J163" s="497"/>
      <c r="K163" s="496"/>
      <c r="L163" s="496"/>
      <c r="M163" s="144"/>
      <c r="N163" s="144"/>
      <c r="O163" s="144"/>
      <c r="P163" s="144"/>
      <c r="Q163" s="144"/>
      <c r="R163" s="144"/>
      <c r="S163" s="144"/>
      <c r="T163" s="144"/>
      <c r="U163" s="144"/>
      <c r="V163" s="144"/>
      <c r="W163" s="144"/>
      <c r="X163" s="144"/>
      <c r="Y163" s="144"/>
      <c r="Z163" s="144"/>
      <c r="AA163" s="144"/>
      <c r="AB163" s="144"/>
      <c r="AC163" s="144"/>
      <c r="AD163" s="144"/>
      <c r="AE163" s="144"/>
      <c r="AF163" s="144"/>
    </row>
    <row r="164" ht="16.5" customHeight="1">
      <c r="A164" s="164" t="s">
        <v>5</v>
      </c>
      <c r="E164" s="8" t="s">
        <v>88</v>
      </c>
      <c r="F164" s="8" t="s">
        <v>96</v>
      </c>
      <c r="G164" s="495" t="s">
        <v>4607</v>
      </c>
      <c r="H164" s="8" t="s">
        <v>96</v>
      </c>
      <c r="I164" s="497"/>
      <c r="J164" s="497"/>
      <c r="K164" s="496"/>
      <c r="L164" s="496"/>
      <c r="M164" s="144"/>
      <c r="N164" s="144"/>
      <c r="O164" s="144"/>
      <c r="P164" s="144"/>
      <c r="Q164" s="144"/>
      <c r="R164" s="144"/>
      <c r="S164" s="144"/>
      <c r="T164" s="144"/>
      <c r="U164" s="144"/>
      <c r="V164" s="144"/>
      <c r="W164" s="144"/>
      <c r="X164" s="144"/>
      <c r="Y164" s="144"/>
      <c r="Z164" s="144"/>
      <c r="AA164" s="144"/>
      <c r="AB164" s="144"/>
      <c r="AC164" s="144"/>
      <c r="AD164" s="144"/>
      <c r="AE164" s="144"/>
      <c r="AF164" s="144"/>
    </row>
    <row r="165" ht="16.5" customHeight="1">
      <c r="A165" s="164" t="s">
        <v>5</v>
      </c>
      <c r="E165" s="8" t="s">
        <v>86</v>
      </c>
      <c r="F165" s="8" t="s">
        <v>90</v>
      </c>
      <c r="G165" s="495" t="s">
        <v>4608</v>
      </c>
      <c r="H165" s="8" t="s">
        <v>90</v>
      </c>
      <c r="I165" s="497"/>
      <c r="J165" s="497"/>
      <c r="K165" s="496"/>
      <c r="L165" s="496"/>
      <c r="M165" s="144"/>
      <c r="N165" s="144"/>
      <c r="O165" s="144"/>
      <c r="P165" s="144"/>
      <c r="Q165" s="144"/>
      <c r="R165" s="144"/>
      <c r="S165" s="144"/>
      <c r="T165" s="144"/>
      <c r="U165" s="144"/>
      <c r="V165" s="144"/>
      <c r="W165" s="144"/>
      <c r="X165" s="144"/>
      <c r="Y165" s="144"/>
      <c r="Z165" s="144"/>
      <c r="AA165" s="144"/>
      <c r="AB165" s="144"/>
      <c r="AC165" s="144"/>
      <c r="AD165" s="144"/>
      <c r="AE165" s="144"/>
      <c r="AF165" s="144"/>
    </row>
    <row r="166" ht="16.5" customHeight="1">
      <c r="A166" s="164" t="s">
        <v>5</v>
      </c>
      <c r="E166" s="8" t="s">
        <v>86</v>
      </c>
      <c r="F166" s="8" t="s">
        <v>91</v>
      </c>
      <c r="G166" s="495" t="s">
        <v>4609</v>
      </c>
      <c r="H166" s="35" t="s">
        <v>91</v>
      </c>
      <c r="L166" s="496"/>
      <c r="M166" s="144"/>
      <c r="N166" s="144"/>
      <c r="O166" s="144"/>
      <c r="P166" s="144"/>
      <c r="Q166" s="144"/>
      <c r="R166" s="144"/>
      <c r="S166" s="144"/>
      <c r="T166" s="144"/>
      <c r="U166" s="144"/>
      <c r="V166" s="144"/>
      <c r="W166" s="144"/>
      <c r="X166" s="144"/>
      <c r="Y166" s="144"/>
      <c r="Z166" s="144"/>
      <c r="AA166" s="144"/>
      <c r="AB166" s="144"/>
      <c r="AC166" s="144"/>
      <c r="AD166" s="144"/>
      <c r="AE166" s="144"/>
      <c r="AF166" s="144"/>
    </row>
    <row r="167" ht="16.5" customHeight="1">
      <c r="A167" s="164" t="s">
        <v>5</v>
      </c>
      <c r="E167" s="8" t="s">
        <v>104</v>
      </c>
      <c r="F167" s="8" t="s">
        <v>250</v>
      </c>
      <c r="G167" s="495" t="s">
        <v>4610</v>
      </c>
      <c r="H167" s="8" t="s">
        <v>250</v>
      </c>
      <c r="I167" s="497"/>
      <c r="J167" s="497"/>
      <c r="K167" s="496"/>
      <c r="L167" s="496"/>
      <c r="M167" s="144"/>
      <c r="N167" s="144"/>
      <c r="O167" s="144"/>
      <c r="P167" s="144"/>
      <c r="Q167" s="144"/>
      <c r="R167" s="144"/>
      <c r="S167" s="144"/>
      <c r="T167" s="144"/>
      <c r="U167" s="144"/>
      <c r="V167" s="144"/>
      <c r="W167" s="144"/>
      <c r="X167" s="144"/>
      <c r="Y167" s="144"/>
      <c r="Z167" s="144"/>
      <c r="AA167" s="144"/>
      <c r="AB167" s="144"/>
      <c r="AC167" s="144"/>
      <c r="AD167" s="144"/>
      <c r="AE167" s="144"/>
      <c r="AF167" s="144"/>
    </row>
    <row r="168" ht="16.5" customHeight="1">
      <c r="A168" s="164" t="s">
        <v>5</v>
      </c>
      <c r="E168" s="8" t="s">
        <v>178</v>
      </c>
      <c r="F168" s="8" t="s">
        <v>209</v>
      </c>
      <c r="G168" s="495" t="s">
        <v>4611</v>
      </c>
      <c r="H168" s="8" t="s">
        <v>209</v>
      </c>
      <c r="I168" s="497"/>
      <c r="J168" s="497"/>
      <c r="K168" s="496"/>
      <c r="L168" s="496"/>
      <c r="M168" s="144"/>
      <c r="N168" s="144"/>
      <c r="O168" s="144"/>
      <c r="P168" s="144"/>
      <c r="Q168" s="144"/>
      <c r="R168" s="144"/>
      <c r="S168" s="144"/>
      <c r="T168" s="144"/>
      <c r="U168" s="144"/>
      <c r="V168" s="144"/>
      <c r="W168" s="144"/>
      <c r="X168" s="144"/>
      <c r="Y168" s="144"/>
      <c r="Z168" s="144"/>
      <c r="AA168" s="144"/>
      <c r="AB168" s="144"/>
      <c r="AC168" s="144"/>
      <c r="AD168" s="144"/>
      <c r="AE168" s="144"/>
      <c r="AF168" s="144"/>
    </row>
    <row r="169" ht="16.5" customHeight="1">
      <c r="A169" s="164" t="s">
        <v>5</v>
      </c>
      <c r="E169" s="8" t="s">
        <v>178</v>
      </c>
      <c r="F169" s="8" t="s">
        <v>210</v>
      </c>
      <c r="G169" s="495" t="s">
        <v>4612</v>
      </c>
      <c r="H169" s="35" t="s">
        <v>210</v>
      </c>
      <c r="L169" s="496"/>
      <c r="M169" s="144"/>
      <c r="N169" s="144"/>
      <c r="O169" s="144"/>
      <c r="P169" s="144"/>
      <c r="Q169" s="144"/>
      <c r="R169" s="144"/>
      <c r="S169" s="144"/>
      <c r="T169" s="144"/>
      <c r="U169" s="144"/>
      <c r="V169" s="144"/>
      <c r="W169" s="144"/>
      <c r="X169" s="144"/>
      <c r="Y169" s="144"/>
      <c r="Z169" s="144"/>
      <c r="AA169" s="144"/>
      <c r="AB169" s="144"/>
      <c r="AC169" s="144"/>
      <c r="AD169" s="144"/>
      <c r="AE169" s="144"/>
      <c r="AF169" s="144"/>
    </row>
    <row r="170" ht="16.5" customHeight="1">
      <c r="A170" s="164" t="s">
        <v>5</v>
      </c>
      <c r="B170" s="56" t="s">
        <v>4613</v>
      </c>
      <c r="C170" s="57" t="s">
        <v>4614</v>
      </c>
      <c r="D170" s="83" t="s">
        <v>20</v>
      </c>
      <c r="E170" s="83" t="s">
        <v>88</v>
      </c>
      <c r="F170" s="151" t="s">
        <v>89</v>
      </c>
      <c r="G170" s="503"/>
      <c r="H170" s="36"/>
      <c r="L170" s="496"/>
      <c r="M170" s="144"/>
      <c r="N170" s="144"/>
      <c r="O170" s="144"/>
      <c r="P170" s="144"/>
      <c r="Q170" s="144"/>
      <c r="R170" s="144"/>
      <c r="S170" s="144"/>
      <c r="T170" s="144"/>
      <c r="U170" s="144"/>
      <c r="V170" s="144"/>
      <c r="W170" s="144"/>
      <c r="X170" s="144"/>
      <c r="Y170" s="144"/>
      <c r="Z170" s="144"/>
      <c r="AA170" s="144"/>
      <c r="AB170" s="144"/>
      <c r="AC170" s="144"/>
      <c r="AD170" s="144"/>
      <c r="AE170" s="144"/>
      <c r="AF170" s="144"/>
    </row>
    <row r="171" ht="16.5" customHeight="1">
      <c r="A171" s="164" t="s">
        <v>5</v>
      </c>
      <c r="E171" s="83" t="s">
        <v>21</v>
      </c>
      <c r="F171" s="151" t="s">
        <v>51</v>
      </c>
      <c r="G171" s="495" t="s">
        <v>4615</v>
      </c>
      <c r="H171" s="35" t="s">
        <v>51</v>
      </c>
      <c r="L171" s="496"/>
      <c r="M171" s="144"/>
      <c r="N171" s="144"/>
      <c r="O171" s="144"/>
      <c r="P171" s="144"/>
      <c r="Q171" s="144"/>
      <c r="R171" s="144"/>
      <c r="S171" s="144"/>
      <c r="T171" s="144"/>
      <c r="U171" s="144"/>
      <c r="V171" s="144"/>
      <c r="W171" s="144"/>
      <c r="X171" s="144"/>
      <c r="Y171" s="144"/>
      <c r="Z171" s="144"/>
      <c r="AA171" s="144"/>
      <c r="AB171" s="144"/>
      <c r="AC171" s="144"/>
      <c r="AD171" s="144"/>
      <c r="AE171" s="144"/>
      <c r="AF171" s="144"/>
    </row>
    <row r="172" ht="16.5" customHeight="1">
      <c r="A172" s="164" t="s">
        <v>5</v>
      </c>
      <c r="E172" s="83" t="s">
        <v>88</v>
      </c>
      <c r="F172" s="151" t="s">
        <v>154</v>
      </c>
      <c r="G172" s="495" t="s">
        <v>4616</v>
      </c>
      <c r="H172" s="35" t="s">
        <v>154</v>
      </c>
      <c r="L172" s="496"/>
      <c r="M172" s="144"/>
      <c r="N172" s="144"/>
      <c r="O172" s="144"/>
      <c r="P172" s="144"/>
      <c r="Q172" s="144"/>
      <c r="R172" s="144"/>
      <c r="S172" s="144"/>
      <c r="T172" s="144"/>
      <c r="U172" s="144"/>
      <c r="V172" s="144"/>
      <c r="W172" s="144"/>
      <c r="X172" s="144"/>
      <c r="Y172" s="144"/>
      <c r="Z172" s="144"/>
      <c r="AA172" s="144"/>
      <c r="AB172" s="144"/>
      <c r="AC172" s="144"/>
      <c r="AD172" s="144"/>
      <c r="AE172" s="144"/>
      <c r="AF172" s="144"/>
    </row>
    <row r="173" ht="16.5" customHeight="1">
      <c r="A173" s="164" t="s">
        <v>5</v>
      </c>
      <c r="E173" s="83" t="s">
        <v>88</v>
      </c>
      <c r="F173" s="151" t="s">
        <v>494</v>
      </c>
      <c r="G173" s="495" t="s">
        <v>4617</v>
      </c>
      <c r="H173" s="151" t="s">
        <v>494</v>
      </c>
      <c r="I173" s="497"/>
      <c r="J173" s="497"/>
      <c r="K173" s="496"/>
      <c r="L173" s="496"/>
      <c r="M173" s="144"/>
      <c r="N173" s="144"/>
      <c r="O173" s="144"/>
      <c r="P173" s="144"/>
      <c r="Q173" s="144"/>
      <c r="R173" s="144"/>
      <c r="S173" s="144"/>
      <c r="T173" s="144"/>
      <c r="U173" s="144"/>
      <c r="V173" s="144"/>
      <c r="W173" s="144"/>
      <c r="X173" s="144"/>
      <c r="Y173" s="144"/>
      <c r="Z173" s="144"/>
      <c r="AA173" s="144"/>
      <c r="AB173" s="144"/>
      <c r="AC173" s="144"/>
      <c r="AD173" s="144"/>
      <c r="AE173" s="144"/>
      <c r="AF173" s="144"/>
    </row>
    <row r="174" ht="16.5" customHeight="1">
      <c r="A174" s="164" t="s">
        <v>5</v>
      </c>
      <c r="E174" s="83" t="s">
        <v>88</v>
      </c>
      <c r="F174" s="151" t="s">
        <v>120</v>
      </c>
      <c r="G174" s="495" t="s">
        <v>4618</v>
      </c>
      <c r="H174" s="35" t="s">
        <v>120</v>
      </c>
      <c r="L174" s="496"/>
      <c r="M174" s="144"/>
      <c r="N174" s="144"/>
      <c r="O174" s="144"/>
      <c r="P174" s="144"/>
      <c r="Q174" s="144"/>
      <c r="R174" s="144"/>
      <c r="S174" s="144"/>
      <c r="T174" s="144"/>
      <c r="U174" s="144"/>
      <c r="V174" s="144"/>
      <c r="W174" s="144"/>
      <c r="X174" s="144"/>
      <c r="Y174" s="144"/>
      <c r="Z174" s="144"/>
      <c r="AA174" s="144"/>
      <c r="AB174" s="144"/>
      <c r="AC174" s="144"/>
      <c r="AD174" s="144"/>
      <c r="AE174" s="144"/>
      <c r="AF174" s="144"/>
    </row>
    <row r="175" ht="16.5" customHeight="1">
      <c r="A175" s="164" t="s">
        <v>5</v>
      </c>
      <c r="E175" s="83" t="s">
        <v>88</v>
      </c>
      <c r="F175" s="151" t="s">
        <v>544</v>
      </c>
      <c r="G175" s="495" t="s">
        <v>4619</v>
      </c>
      <c r="H175" s="35" t="s">
        <v>544</v>
      </c>
      <c r="L175" s="496"/>
      <c r="M175" s="144"/>
      <c r="N175" s="144"/>
      <c r="O175" s="144"/>
      <c r="P175" s="144"/>
      <c r="Q175" s="144"/>
      <c r="R175" s="144"/>
      <c r="S175" s="144"/>
      <c r="T175" s="144"/>
      <c r="U175" s="144"/>
      <c r="V175" s="144"/>
      <c r="W175" s="144"/>
      <c r="X175" s="144"/>
      <c r="Y175" s="144"/>
      <c r="Z175" s="144"/>
      <c r="AA175" s="144"/>
      <c r="AB175" s="144"/>
      <c r="AC175" s="144"/>
      <c r="AD175" s="144"/>
      <c r="AE175" s="144"/>
      <c r="AF175" s="144"/>
    </row>
    <row r="176" ht="16.5" customHeight="1">
      <c r="A176" s="164" t="s">
        <v>5</v>
      </c>
      <c r="E176" s="83" t="s">
        <v>88</v>
      </c>
      <c r="F176" s="151" t="s">
        <v>247</v>
      </c>
      <c r="G176" s="504"/>
      <c r="H176" s="36"/>
      <c r="L176" s="496"/>
      <c r="M176" s="144"/>
      <c r="N176" s="144"/>
      <c r="O176" s="144"/>
      <c r="P176" s="144"/>
      <c r="Q176" s="144"/>
      <c r="R176" s="144"/>
      <c r="S176" s="144"/>
      <c r="T176" s="144"/>
      <c r="U176" s="144"/>
      <c r="V176" s="144"/>
      <c r="W176" s="144"/>
      <c r="X176" s="144"/>
      <c r="Y176" s="144"/>
      <c r="Z176" s="144"/>
      <c r="AA176" s="144"/>
      <c r="AB176" s="144"/>
      <c r="AC176" s="144"/>
      <c r="AD176" s="144"/>
      <c r="AE176" s="144"/>
      <c r="AF176" s="144"/>
    </row>
    <row r="177" ht="16.5" customHeight="1">
      <c r="A177" s="164" t="s">
        <v>5</v>
      </c>
      <c r="E177" s="83" t="s">
        <v>88</v>
      </c>
      <c r="F177" s="151" t="s">
        <v>95</v>
      </c>
      <c r="G177" s="495" t="s">
        <v>4620</v>
      </c>
      <c r="H177" s="35" t="s">
        <v>95</v>
      </c>
      <c r="L177" s="496"/>
      <c r="M177" s="144"/>
      <c r="N177" s="144"/>
      <c r="O177" s="144"/>
      <c r="P177" s="144"/>
      <c r="Q177" s="144"/>
      <c r="R177" s="144"/>
      <c r="S177" s="144"/>
      <c r="T177" s="144"/>
      <c r="U177" s="144"/>
      <c r="V177" s="144"/>
      <c r="W177" s="144"/>
      <c r="X177" s="144"/>
      <c r="Y177" s="144"/>
      <c r="Z177" s="144"/>
      <c r="AA177" s="144"/>
      <c r="AB177" s="144"/>
      <c r="AC177" s="144"/>
      <c r="AD177" s="144"/>
      <c r="AE177" s="144"/>
      <c r="AF177" s="144"/>
    </row>
    <row r="178" ht="16.5" customHeight="1">
      <c r="A178" s="164" t="s">
        <v>5</v>
      </c>
      <c r="E178" s="83" t="s">
        <v>88</v>
      </c>
      <c r="F178" s="151" t="s">
        <v>96</v>
      </c>
      <c r="G178" s="495" t="s">
        <v>4621</v>
      </c>
      <c r="H178" s="35" t="s">
        <v>96</v>
      </c>
      <c r="L178" s="496"/>
      <c r="M178" s="144"/>
      <c r="N178" s="144"/>
      <c r="O178" s="144"/>
      <c r="P178" s="144"/>
      <c r="Q178" s="144"/>
      <c r="R178" s="144"/>
      <c r="S178" s="144"/>
      <c r="T178" s="144"/>
      <c r="U178" s="144"/>
      <c r="V178" s="144"/>
      <c r="W178" s="144"/>
      <c r="X178" s="144"/>
      <c r="Y178" s="144"/>
      <c r="Z178" s="144"/>
      <c r="AA178" s="144"/>
      <c r="AB178" s="144"/>
      <c r="AC178" s="144"/>
      <c r="AD178" s="144"/>
      <c r="AE178" s="144"/>
      <c r="AF178" s="144"/>
    </row>
    <row r="179" ht="16.5" customHeight="1">
      <c r="A179" s="164" t="s">
        <v>5</v>
      </c>
      <c r="E179" s="83" t="s">
        <v>88</v>
      </c>
      <c r="F179" s="151" t="s">
        <v>122</v>
      </c>
      <c r="G179" s="495" t="s">
        <v>4622</v>
      </c>
      <c r="H179" s="151" t="s">
        <v>122</v>
      </c>
      <c r="I179" s="497"/>
      <c r="J179" s="497"/>
      <c r="K179" s="496"/>
      <c r="L179" s="496"/>
      <c r="M179" s="144"/>
      <c r="N179" s="144"/>
      <c r="O179" s="144"/>
      <c r="P179" s="144"/>
      <c r="Q179" s="144"/>
      <c r="R179" s="144"/>
      <c r="S179" s="144"/>
      <c r="T179" s="144"/>
      <c r="U179" s="144"/>
      <c r="V179" s="144"/>
      <c r="W179" s="144"/>
      <c r="X179" s="144"/>
      <c r="Y179" s="144"/>
      <c r="Z179" s="144"/>
      <c r="AA179" s="144"/>
      <c r="AB179" s="144"/>
      <c r="AC179" s="144"/>
      <c r="AD179" s="144"/>
      <c r="AE179" s="144"/>
      <c r="AF179" s="144"/>
    </row>
    <row r="180" ht="16.5" customHeight="1">
      <c r="A180" s="164" t="s">
        <v>5</v>
      </c>
      <c r="E180" s="83" t="s">
        <v>86</v>
      </c>
      <c r="F180" s="151" t="s">
        <v>90</v>
      </c>
      <c r="G180" s="495" t="s">
        <v>4623</v>
      </c>
      <c r="H180" s="35" t="s">
        <v>90</v>
      </c>
      <c r="L180" s="496"/>
      <c r="M180" s="144"/>
      <c r="N180" s="144"/>
      <c r="O180" s="144"/>
      <c r="P180" s="144"/>
      <c r="Q180" s="144"/>
      <c r="R180" s="144"/>
      <c r="S180" s="144"/>
      <c r="T180" s="144"/>
      <c r="U180" s="144"/>
      <c r="V180" s="144"/>
      <c r="W180" s="144"/>
      <c r="X180" s="144"/>
      <c r="Y180" s="144"/>
      <c r="Z180" s="144"/>
      <c r="AA180" s="144"/>
      <c r="AB180" s="144"/>
      <c r="AC180" s="144"/>
      <c r="AD180" s="144"/>
      <c r="AE180" s="144"/>
      <c r="AF180" s="144"/>
    </row>
    <row r="181" ht="16.5" customHeight="1">
      <c r="A181" s="164" t="s">
        <v>5</v>
      </c>
      <c r="E181" s="83" t="s">
        <v>86</v>
      </c>
      <c r="F181" s="151" t="s">
        <v>91</v>
      </c>
      <c r="G181" s="495" t="s">
        <v>4624</v>
      </c>
      <c r="H181" s="35" t="s">
        <v>91</v>
      </c>
      <c r="L181" s="496"/>
      <c r="M181" s="144"/>
      <c r="N181" s="144"/>
      <c r="O181" s="144"/>
      <c r="P181" s="144"/>
      <c r="Q181" s="144"/>
      <c r="R181" s="144"/>
      <c r="S181" s="144"/>
      <c r="T181" s="144"/>
      <c r="U181" s="144"/>
      <c r="V181" s="144"/>
      <c r="W181" s="144"/>
      <c r="X181" s="144"/>
      <c r="Y181" s="144"/>
      <c r="Z181" s="144"/>
      <c r="AA181" s="144"/>
      <c r="AB181" s="144"/>
      <c r="AC181" s="144"/>
      <c r="AD181" s="144"/>
      <c r="AE181" s="144"/>
      <c r="AF181" s="144"/>
    </row>
    <row r="182" ht="16.5" customHeight="1">
      <c r="A182" s="164" t="s">
        <v>5</v>
      </c>
      <c r="E182" s="83" t="s">
        <v>86</v>
      </c>
      <c r="F182" s="151" t="s">
        <v>338</v>
      </c>
      <c r="G182" s="495" t="s">
        <v>4625</v>
      </c>
      <c r="H182" s="35" t="s">
        <v>338</v>
      </c>
      <c r="L182" s="496"/>
      <c r="M182" s="144"/>
      <c r="N182" s="144"/>
      <c r="O182" s="144"/>
      <c r="P182" s="144"/>
      <c r="Q182" s="144"/>
      <c r="R182" s="144"/>
      <c r="S182" s="144"/>
      <c r="T182" s="144"/>
      <c r="U182" s="144"/>
      <c r="V182" s="144"/>
      <c r="W182" s="144"/>
      <c r="X182" s="144"/>
      <c r="Y182" s="144"/>
      <c r="Z182" s="144"/>
      <c r="AA182" s="144"/>
      <c r="AB182" s="144"/>
      <c r="AC182" s="144"/>
      <c r="AD182" s="144"/>
      <c r="AE182" s="144"/>
      <c r="AF182" s="144"/>
    </row>
    <row r="183" ht="16.5" customHeight="1">
      <c r="A183" s="164" t="s">
        <v>5</v>
      </c>
      <c r="E183" s="83" t="s">
        <v>178</v>
      </c>
      <c r="F183" s="151" t="s">
        <v>209</v>
      </c>
      <c r="G183" s="495" t="s">
        <v>4626</v>
      </c>
      <c r="H183" s="151" t="s">
        <v>209</v>
      </c>
      <c r="I183" s="497"/>
      <c r="J183" s="497"/>
      <c r="K183" s="496"/>
      <c r="L183" s="496"/>
      <c r="M183" s="144"/>
      <c r="N183" s="144"/>
      <c r="O183" s="144"/>
      <c r="P183" s="144"/>
      <c r="Q183" s="144"/>
      <c r="R183" s="144"/>
      <c r="S183" s="144"/>
      <c r="T183" s="144"/>
      <c r="U183" s="144"/>
      <c r="V183" s="144"/>
      <c r="W183" s="144"/>
      <c r="X183" s="144"/>
      <c r="Y183" s="144"/>
      <c r="Z183" s="144"/>
      <c r="AA183" s="144"/>
      <c r="AB183" s="144"/>
      <c r="AC183" s="144"/>
      <c r="AD183" s="144"/>
      <c r="AE183" s="144"/>
      <c r="AF183" s="144"/>
    </row>
    <row r="184" ht="16.5" customHeight="1">
      <c r="A184" s="164" t="s">
        <v>5</v>
      </c>
      <c r="E184" s="83" t="s">
        <v>178</v>
      </c>
      <c r="F184" s="151" t="s">
        <v>210</v>
      </c>
      <c r="G184" s="495" t="s">
        <v>4627</v>
      </c>
      <c r="H184" s="151" t="s">
        <v>210</v>
      </c>
      <c r="I184" s="497"/>
      <c r="J184" s="497"/>
      <c r="K184" s="496"/>
      <c r="L184" s="496"/>
      <c r="M184" s="144"/>
      <c r="N184" s="144"/>
      <c r="O184" s="144"/>
      <c r="P184" s="144"/>
      <c r="Q184" s="144"/>
      <c r="R184" s="144"/>
      <c r="S184" s="144"/>
      <c r="T184" s="144"/>
      <c r="U184" s="144"/>
      <c r="V184" s="144"/>
      <c r="W184" s="144"/>
      <c r="X184" s="144"/>
      <c r="Y184" s="144"/>
      <c r="Z184" s="144"/>
      <c r="AA184" s="144"/>
      <c r="AB184" s="144"/>
      <c r="AC184" s="144"/>
      <c r="AD184" s="144"/>
      <c r="AE184" s="144"/>
      <c r="AF184" s="144"/>
    </row>
    <row r="185" ht="16.5" customHeight="1">
      <c r="A185" s="164" t="s">
        <v>5</v>
      </c>
      <c r="E185" s="83" t="s">
        <v>104</v>
      </c>
      <c r="F185" s="151" t="s">
        <v>250</v>
      </c>
      <c r="G185" s="495" t="s">
        <v>4628</v>
      </c>
      <c r="H185" s="35" t="s">
        <v>250</v>
      </c>
      <c r="L185" s="496"/>
      <c r="M185" s="144"/>
      <c r="N185" s="144"/>
      <c r="O185" s="144"/>
      <c r="P185" s="144"/>
      <c r="Q185" s="144"/>
      <c r="R185" s="144"/>
      <c r="S185" s="144"/>
      <c r="T185" s="144"/>
      <c r="U185" s="144"/>
      <c r="V185" s="144"/>
      <c r="W185" s="144"/>
      <c r="X185" s="144"/>
      <c r="Y185" s="144"/>
      <c r="Z185" s="144"/>
      <c r="AA185" s="144"/>
      <c r="AB185" s="144"/>
      <c r="AC185" s="144"/>
      <c r="AD185" s="144"/>
      <c r="AE185" s="144"/>
      <c r="AF185" s="144"/>
    </row>
    <row r="186" ht="16.5" customHeight="1">
      <c r="A186" s="164" t="s">
        <v>5</v>
      </c>
      <c r="B186" s="56" t="s">
        <v>4629</v>
      </c>
      <c r="C186" s="442" t="s">
        <v>4630</v>
      </c>
      <c r="D186" s="83" t="s">
        <v>20</v>
      </c>
      <c r="E186" s="83" t="s">
        <v>88</v>
      </c>
      <c r="F186" s="151" t="s">
        <v>89</v>
      </c>
      <c r="G186" s="504"/>
      <c r="H186" s="36"/>
      <c r="L186" s="496"/>
      <c r="M186" s="144"/>
      <c r="N186" s="144"/>
      <c r="O186" s="144"/>
      <c r="P186" s="144"/>
      <c r="Q186" s="144"/>
      <c r="R186" s="144"/>
      <c r="S186" s="144"/>
      <c r="T186" s="144"/>
      <c r="U186" s="144"/>
      <c r="V186" s="144"/>
      <c r="W186" s="144"/>
      <c r="X186" s="144"/>
      <c r="Y186" s="144"/>
      <c r="Z186" s="144"/>
      <c r="AA186" s="144"/>
      <c r="AB186" s="144"/>
      <c r="AC186" s="144"/>
      <c r="AD186" s="144"/>
      <c r="AE186" s="144"/>
      <c r="AF186" s="144"/>
    </row>
    <row r="187" ht="16.5" customHeight="1">
      <c r="A187" s="164" t="s">
        <v>5</v>
      </c>
      <c r="E187" s="83" t="s">
        <v>88</v>
      </c>
      <c r="F187" s="151" t="s">
        <v>154</v>
      </c>
      <c r="G187" s="495" t="s">
        <v>4631</v>
      </c>
      <c r="H187" s="35" t="s">
        <v>154</v>
      </c>
      <c r="L187" s="496"/>
      <c r="M187" s="144"/>
      <c r="N187" s="144"/>
      <c r="O187" s="144"/>
      <c r="P187" s="144"/>
      <c r="Q187" s="144"/>
      <c r="R187" s="144"/>
      <c r="S187" s="144"/>
      <c r="T187" s="144"/>
      <c r="U187" s="144"/>
      <c r="V187" s="144"/>
      <c r="W187" s="144"/>
      <c r="X187" s="144"/>
      <c r="Y187" s="144"/>
      <c r="Z187" s="144"/>
      <c r="AA187" s="144"/>
      <c r="AB187" s="144"/>
      <c r="AC187" s="144"/>
      <c r="AD187" s="144"/>
      <c r="AE187" s="144"/>
      <c r="AF187" s="144"/>
    </row>
    <row r="188" ht="16.5" customHeight="1">
      <c r="A188" s="164" t="s">
        <v>5</v>
      </c>
      <c r="E188" s="83" t="s">
        <v>88</v>
      </c>
      <c r="F188" s="151" t="s">
        <v>481</v>
      </c>
      <c r="G188" s="495" t="s">
        <v>4632</v>
      </c>
      <c r="H188" s="35" t="s">
        <v>481</v>
      </c>
      <c r="L188" s="496"/>
      <c r="M188" s="144"/>
      <c r="N188" s="144"/>
      <c r="O188" s="144"/>
      <c r="P188" s="144"/>
      <c r="Q188" s="144"/>
      <c r="R188" s="144"/>
      <c r="S188" s="144"/>
      <c r="T188" s="144"/>
      <c r="U188" s="144"/>
      <c r="V188" s="144"/>
      <c r="W188" s="144"/>
      <c r="X188" s="144"/>
      <c r="Y188" s="144"/>
      <c r="Z188" s="144"/>
      <c r="AA188" s="144"/>
      <c r="AB188" s="144"/>
      <c r="AC188" s="144"/>
      <c r="AD188" s="144"/>
      <c r="AE188" s="144"/>
      <c r="AF188" s="144"/>
    </row>
    <row r="189" ht="16.5" customHeight="1">
      <c r="A189" s="164" t="s">
        <v>5</v>
      </c>
      <c r="E189" s="83" t="s">
        <v>88</v>
      </c>
      <c r="F189" s="151" t="s">
        <v>496</v>
      </c>
      <c r="G189" s="495" t="s">
        <v>4633</v>
      </c>
      <c r="H189" s="151" t="s">
        <v>496</v>
      </c>
      <c r="I189" s="497"/>
      <c r="J189" s="497"/>
      <c r="K189" s="496"/>
      <c r="L189" s="496"/>
      <c r="M189" s="144"/>
      <c r="N189" s="144"/>
      <c r="O189" s="144"/>
      <c r="P189" s="144"/>
      <c r="Q189" s="144"/>
      <c r="R189" s="144"/>
      <c r="S189" s="144"/>
      <c r="T189" s="144"/>
      <c r="U189" s="144"/>
      <c r="V189" s="144"/>
      <c r="W189" s="144"/>
      <c r="X189" s="144"/>
      <c r="Y189" s="144"/>
      <c r="Z189" s="144"/>
      <c r="AA189" s="144"/>
      <c r="AB189" s="144"/>
      <c r="AC189" s="144"/>
      <c r="AD189" s="144"/>
      <c r="AE189" s="144"/>
      <c r="AF189" s="144"/>
    </row>
    <row r="190" ht="16.5" customHeight="1">
      <c r="A190" s="164" t="s">
        <v>5</v>
      </c>
      <c r="E190" s="83" t="s">
        <v>88</v>
      </c>
      <c r="F190" s="151" t="s">
        <v>570</v>
      </c>
      <c r="G190" s="151"/>
      <c r="H190" s="36"/>
      <c r="L190" s="496"/>
      <c r="M190" s="144"/>
      <c r="N190" s="144"/>
      <c r="O190" s="144"/>
      <c r="P190" s="144"/>
      <c r="Q190" s="144"/>
      <c r="R190" s="144"/>
      <c r="S190" s="144"/>
      <c r="T190" s="144"/>
      <c r="U190" s="144"/>
      <c r="V190" s="144"/>
      <c r="W190" s="144"/>
      <c r="X190" s="144"/>
      <c r="Y190" s="144"/>
      <c r="Z190" s="144"/>
      <c r="AA190" s="144"/>
      <c r="AB190" s="144"/>
      <c r="AC190" s="144"/>
      <c r="AD190" s="144"/>
      <c r="AE190" s="144"/>
      <c r="AF190" s="144"/>
    </row>
    <row r="191" ht="16.5" customHeight="1">
      <c r="A191" s="164" t="s">
        <v>5</v>
      </c>
      <c r="E191" s="83" t="s">
        <v>88</v>
      </c>
      <c r="F191" s="151" t="s">
        <v>598</v>
      </c>
      <c r="G191" s="151"/>
      <c r="H191" s="36"/>
      <c r="L191" s="496"/>
      <c r="M191" s="144"/>
      <c r="N191" s="144"/>
      <c r="O191" s="144"/>
      <c r="P191" s="144"/>
      <c r="Q191" s="144"/>
      <c r="R191" s="144"/>
      <c r="S191" s="144"/>
      <c r="T191" s="144"/>
      <c r="U191" s="144"/>
      <c r="V191" s="144"/>
      <c r="W191" s="144"/>
      <c r="X191" s="144"/>
      <c r="Y191" s="144"/>
      <c r="Z191" s="144"/>
      <c r="AA191" s="144"/>
      <c r="AB191" s="144"/>
      <c r="AC191" s="144"/>
      <c r="AD191" s="144"/>
      <c r="AE191" s="144"/>
      <c r="AF191" s="144"/>
    </row>
    <row r="192" ht="16.5" customHeight="1">
      <c r="A192" s="164" t="s">
        <v>5</v>
      </c>
      <c r="E192" s="83" t="s">
        <v>21</v>
      </c>
      <c r="F192" s="151" t="s">
        <v>51</v>
      </c>
      <c r="G192" s="495" t="s">
        <v>4634</v>
      </c>
      <c r="H192" s="151" t="s">
        <v>51</v>
      </c>
      <c r="I192" s="497"/>
      <c r="J192" s="497"/>
      <c r="K192" s="496"/>
      <c r="L192" s="496"/>
      <c r="M192" s="144"/>
      <c r="N192" s="144"/>
      <c r="O192" s="144"/>
      <c r="P192" s="144"/>
      <c r="Q192" s="144"/>
      <c r="R192" s="144"/>
      <c r="S192" s="144"/>
      <c r="T192" s="144"/>
      <c r="U192" s="144"/>
      <c r="V192" s="144"/>
      <c r="W192" s="144"/>
      <c r="X192" s="144"/>
      <c r="Y192" s="144"/>
      <c r="Z192" s="144"/>
      <c r="AA192" s="144"/>
      <c r="AB192" s="144"/>
      <c r="AC192" s="144"/>
      <c r="AD192" s="144"/>
      <c r="AE192" s="144"/>
      <c r="AF192" s="144"/>
    </row>
    <row r="193" ht="16.5" customHeight="1">
      <c r="A193" s="164" t="s">
        <v>5</v>
      </c>
      <c r="E193" s="83" t="s">
        <v>88</v>
      </c>
      <c r="F193" s="151" t="s">
        <v>120</v>
      </c>
      <c r="G193" s="495" t="s">
        <v>4635</v>
      </c>
      <c r="H193" s="151" t="s">
        <v>120</v>
      </c>
      <c r="I193" s="497"/>
      <c r="J193" s="497"/>
      <c r="K193" s="496"/>
      <c r="L193" s="496"/>
      <c r="M193" s="144"/>
      <c r="N193" s="144"/>
      <c r="O193" s="144"/>
      <c r="P193" s="144"/>
      <c r="Q193" s="144"/>
      <c r="R193" s="144"/>
      <c r="S193" s="144"/>
      <c r="T193" s="144"/>
      <c r="U193" s="144"/>
      <c r="V193" s="144"/>
      <c r="W193" s="144"/>
      <c r="X193" s="144"/>
      <c r="Y193" s="144"/>
      <c r="Z193" s="144"/>
      <c r="AA193" s="144"/>
      <c r="AB193" s="144"/>
      <c r="AC193" s="144"/>
      <c r="AD193" s="144"/>
      <c r="AE193" s="144"/>
      <c r="AF193" s="144"/>
    </row>
    <row r="194" ht="16.5" customHeight="1">
      <c r="A194" s="164" t="s">
        <v>5</v>
      </c>
      <c r="E194" s="83" t="s">
        <v>88</v>
      </c>
      <c r="F194" s="151" t="s">
        <v>544</v>
      </c>
      <c r="G194" s="495" t="s">
        <v>4636</v>
      </c>
      <c r="H194" s="151" t="s">
        <v>544</v>
      </c>
      <c r="I194" s="497"/>
      <c r="J194" s="497"/>
      <c r="K194" s="496"/>
      <c r="L194" s="496"/>
      <c r="M194" s="144"/>
      <c r="N194" s="144"/>
      <c r="O194" s="144"/>
      <c r="P194" s="144"/>
      <c r="Q194" s="144"/>
      <c r="R194" s="144"/>
      <c r="S194" s="144"/>
      <c r="T194" s="144"/>
      <c r="U194" s="144"/>
      <c r="V194" s="144"/>
      <c r="W194" s="144"/>
      <c r="X194" s="144"/>
      <c r="Y194" s="144"/>
      <c r="Z194" s="144"/>
      <c r="AA194" s="144"/>
      <c r="AB194" s="144"/>
      <c r="AC194" s="144"/>
      <c r="AD194" s="144"/>
      <c r="AE194" s="144"/>
      <c r="AF194" s="144"/>
    </row>
    <row r="195" ht="16.5" customHeight="1">
      <c r="A195" s="164" t="s">
        <v>5</v>
      </c>
      <c r="E195" s="83" t="s">
        <v>88</v>
      </c>
      <c r="F195" s="151" t="s">
        <v>247</v>
      </c>
      <c r="G195" s="151"/>
      <c r="H195" s="36"/>
      <c r="I195" s="36"/>
      <c r="L195" s="496"/>
      <c r="M195" s="144"/>
      <c r="N195" s="144"/>
      <c r="O195" s="144"/>
      <c r="P195" s="144"/>
      <c r="Q195" s="144"/>
      <c r="R195" s="144"/>
      <c r="S195" s="144"/>
      <c r="T195" s="144"/>
      <c r="U195" s="144"/>
      <c r="V195" s="144"/>
      <c r="W195" s="144"/>
      <c r="X195" s="144"/>
      <c r="Y195" s="144"/>
      <c r="Z195" s="144"/>
      <c r="AA195" s="144"/>
      <c r="AB195" s="144"/>
      <c r="AC195" s="144"/>
      <c r="AD195" s="144"/>
      <c r="AE195" s="144"/>
      <c r="AF195" s="144"/>
    </row>
    <row r="196" ht="16.5" customHeight="1">
      <c r="A196" s="164" t="s">
        <v>5</v>
      </c>
      <c r="E196" s="83" t="s">
        <v>88</v>
      </c>
      <c r="F196" s="151" t="s">
        <v>95</v>
      </c>
      <c r="G196" s="495" t="s">
        <v>4637</v>
      </c>
      <c r="H196" s="151" t="s">
        <v>95</v>
      </c>
      <c r="I196" s="497"/>
      <c r="J196" s="497"/>
      <c r="K196" s="496"/>
      <c r="L196" s="496"/>
      <c r="M196" s="144"/>
      <c r="N196" s="144"/>
      <c r="O196" s="144"/>
      <c r="P196" s="144"/>
      <c r="Q196" s="144"/>
      <c r="R196" s="144"/>
      <c r="S196" s="144"/>
      <c r="T196" s="144"/>
      <c r="U196" s="144"/>
      <c r="V196" s="144"/>
      <c r="W196" s="144"/>
      <c r="X196" s="144"/>
      <c r="Y196" s="144"/>
      <c r="Z196" s="144"/>
      <c r="AA196" s="144"/>
      <c r="AB196" s="144"/>
      <c r="AC196" s="144"/>
      <c r="AD196" s="144"/>
      <c r="AE196" s="144"/>
      <c r="AF196" s="144"/>
    </row>
    <row r="197" ht="16.5" customHeight="1">
      <c r="A197" s="164" t="s">
        <v>5</v>
      </c>
      <c r="E197" s="151" t="s">
        <v>88</v>
      </c>
      <c r="F197" s="151" t="s">
        <v>96</v>
      </c>
      <c r="G197" s="495" t="s">
        <v>4638</v>
      </c>
      <c r="H197" s="151" t="s">
        <v>96</v>
      </c>
      <c r="I197" s="497"/>
      <c r="J197" s="497"/>
      <c r="K197" s="496"/>
      <c r="L197" s="496"/>
      <c r="M197" s="144"/>
      <c r="N197" s="144"/>
      <c r="O197" s="144"/>
      <c r="P197" s="144"/>
      <c r="Q197" s="144"/>
      <c r="R197" s="144"/>
      <c r="S197" s="144"/>
      <c r="T197" s="144"/>
      <c r="U197" s="144"/>
      <c r="V197" s="144"/>
      <c r="W197" s="144"/>
      <c r="X197" s="144"/>
      <c r="Y197" s="144"/>
      <c r="Z197" s="144"/>
      <c r="AA197" s="144"/>
      <c r="AB197" s="144"/>
      <c r="AC197" s="144"/>
      <c r="AD197" s="144"/>
      <c r="AE197" s="144"/>
      <c r="AF197" s="144"/>
    </row>
    <row r="198" ht="16.5" customHeight="1">
      <c r="A198" s="164" t="s">
        <v>5</v>
      </c>
      <c r="E198" s="151" t="s">
        <v>88</v>
      </c>
      <c r="F198" s="151" t="s">
        <v>122</v>
      </c>
      <c r="G198" s="495" t="s">
        <v>4639</v>
      </c>
      <c r="H198" s="151" t="s">
        <v>122</v>
      </c>
      <c r="I198" s="497"/>
      <c r="J198" s="497"/>
      <c r="K198" s="496"/>
      <c r="L198" s="496"/>
      <c r="M198" s="144"/>
      <c r="N198" s="144"/>
      <c r="O198" s="144"/>
      <c r="P198" s="144"/>
      <c r="Q198" s="144"/>
      <c r="R198" s="144"/>
      <c r="S198" s="144"/>
      <c r="T198" s="144"/>
      <c r="U198" s="144"/>
      <c r="V198" s="144"/>
      <c r="W198" s="144"/>
      <c r="X198" s="144"/>
      <c r="Y198" s="144"/>
      <c r="Z198" s="144"/>
      <c r="AA198" s="144"/>
      <c r="AB198" s="144"/>
      <c r="AC198" s="144"/>
      <c r="AD198" s="144"/>
      <c r="AE198" s="144"/>
      <c r="AF198" s="144"/>
    </row>
    <row r="199" ht="16.5" customHeight="1">
      <c r="A199" s="164" t="s">
        <v>5</v>
      </c>
      <c r="E199" s="151" t="s">
        <v>86</v>
      </c>
      <c r="F199" s="151" t="s">
        <v>90</v>
      </c>
      <c r="G199" s="495" t="s">
        <v>4640</v>
      </c>
      <c r="H199" s="35" t="s">
        <v>90</v>
      </c>
      <c r="L199" s="496"/>
      <c r="M199" s="144"/>
      <c r="N199" s="144"/>
      <c r="O199" s="144"/>
      <c r="P199" s="144"/>
      <c r="Q199" s="144"/>
      <c r="R199" s="144"/>
      <c r="S199" s="144"/>
      <c r="T199" s="144"/>
      <c r="U199" s="144"/>
      <c r="V199" s="144"/>
      <c r="W199" s="144"/>
      <c r="X199" s="144"/>
      <c r="Y199" s="144"/>
      <c r="Z199" s="144"/>
      <c r="AA199" s="144"/>
      <c r="AB199" s="144"/>
      <c r="AC199" s="144"/>
      <c r="AD199" s="144"/>
      <c r="AE199" s="144"/>
      <c r="AF199" s="144"/>
    </row>
    <row r="200" ht="16.5" customHeight="1">
      <c r="A200" s="164" t="s">
        <v>5</v>
      </c>
      <c r="E200" s="151" t="s">
        <v>86</v>
      </c>
      <c r="F200" s="151" t="s">
        <v>91</v>
      </c>
      <c r="G200" s="495" t="s">
        <v>4641</v>
      </c>
      <c r="H200" s="151" t="s">
        <v>91</v>
      </c>
      <c r="I200" s="497"/>
      <c r="J200" s="497"/>
      <c r="K200" s="496"/>
      <c r="L200" s="496"/>
      <c r="M200" s="144"/>
      <c r="N200" s="144"/>
      <c r="O200" s="144"/>
      <c r="P200" s="144"/>
      <c r="Q200" s="144"/>
      <c r="R200" s="144"/>
      <c r="S200" s="144"/>
      <c r="T200" s="144"/>
      <c r="U200" s="144"/>
      <c r="V200" s="144"/>
      <c r="W200" s="144"/>
      <c r="X200" s="144"/>
      <c r="Y200" s="144"/>
      <c r="Z200" s="144"/>
      <c r="AA200" s="144"/>
      <c r="AB200" s="144"/>
      <c r="AC200" s="144"/>
      <c r="AD200" s="144"/>
      <c r="AE200" s="144"/>
      <c r="AF200" s="144"/>
    </row>
    <row r="201" ht="16.5" customHeight="1">
      <c r="A201" s="164" t="s">
        <v>5</v>
      </c>
      <c r="E201" s="151" t="s">
        <v>178</v>
      </c>
      <c r="F201" s="151" t="s">
        <v>209</v>
      </c>
      <c r="G201" s="495" t="s">
        <v>4642</v>
      </c>
      <c r="H201" s="35" t="s">
        <v>209</v>
      </c>
      <c r="L201" s="496"/>
      <c r="M201" s="144"/>
      <c r="N201" s="144"/>
      <c r="O201" s="144"/>
      <c r="P201" s="144"/>
      <c r="Q201" s="144"/>
      <c r="R201" s="144"/>
      <c r="S201" s="144"/>
      <c r="T201" s="144"/>
      <c r="U201" s="144"/>
      <c r="V201" s="144"/>
      <c r="W201" s="144"/>
      <c r="X201" s="144"/>
      <c r="Y201" s="144"/>
      <c r="Z201" s="144"/>
      <c r="AA201" s="144"/>
      <c r="AB201" s="144"/>
      <c r="AC201" s="144"/>
      <c r="AD201" s="144"/>
      <c r="AE201" s="144"/>
      <c r="AF201" s="144"/>
    </row>
    <row r="202" ht="16.5" customHeight="1">
      <c r="A202" s="164" t="s">
        <v>5</v>
      </c>
      <c r="E202" s="83" t="s">
        <v>178</v>
      </c>
      <c r="F202" s="83" t="s">
        <v>210</v>
      </c>
      <c r="G202" s="495" t="s">
        <v>4643</v>
      </c>
      <c r="H202" s="83" t="s">
        <v>210</v>
      </c>
      <c r="I202" s="352"/>
      <c r="J202" s="497"/>
      <c r="K202" s="496"/>
      <c r="L202" s="496"/>
      <c r="M202" s="144"/>
      <c r="N202" s="144"/>
      <c r="O202" s="144"/>
      <c r="P202" s="144"/>
      <c r="Q202" s="144"/>
      <c r="R202" s="144"/>
      <c r="S202" s="144"/>
      <c r="T202" s="144"/>
      <c r="U202" s="144"/>
      <c r="V202" s="144"/>
      <c r="W202" s="144"/>
      <c r="X202" s="144"/>
      <c r="Y202" s="144"/>
      <c r="Z202" s="144"/>
      <c r="AA202" s="144"/>
      <c r="AB202" s="144"/>
      <c r="AC202" s="144"/>
      <c r="AD202" s="144"/>
      <c r="AE202" s="144"/>
      <c r="AF202" s="144"/>
    </row>
    <row r="203" ht="16.5" customHeight="1">
      <c r="A203" s="164" t="s">
        <v>5</v>
      </c>
      <c r="E203" s="83" t="s">
        <v>104</v>
      </c>
      <c r="F203" s="83" t="s">
        <v>250</v>
      </c>
      <c r="G203" s="495" t="s">
        <v>4644</v>
      </c>
      <c r="H203" s="35" t="s">
        <v>250</v>
      </c>
      <c r="I203" s="36"/>
      <c r="L203" s="496"/>
      <c r="M203" s="144"/>
      <c r="N203" s="144"/>
      <c r="O203" s="144"/>
      <c r="P203" s="144"/>
      <c r="Q203" s="144"/>
      <c r="R203" s="144"/>
      <c r="S203" s="144"/>
      <c r="T203" s="144"/>
      <c r="U203" s="144"/>
      <c r="V203" s="144"/>
      <c r="W203" s="144"/>
      <c r="X203" s="144"/>
      <c r="Y203" s="144"/>
      <c r="Z203" s="144"/>
      <c r="AA203" s="144"/>
      <c r="AB203" s="144"/>
      <c r="AC203" s="144"/>
      <c r="AD203" s="144"/>
      <c r="AE203" s="144"/>
      <c r="AF203" s="144"/>
    </row>
    <row r="204" ht="16.5" customHeight="1">
      <c r="A204" s="164" t="s">
        <v>5</v>
      </c>
      <c r="B204" s="56" t="s">
        <v>4645</v>
      </c>
      <c r="C204" s="442" t="s">
        <v>4646</v>
      </c>
      <c r="D204" s="83" t="s">
        <v>20</v>
      </c>
      <c r="E204" s="83" t="s">
        <v>88</v>
      </c>
      <c r="F204" s="151" t="s">
        <v>89</v>
      </c>
      <c r="G204" s="498"/>
      <c r="H204" s="36"/>
      <c r="L204" s="496"/>
      <c r="M204" s="144"/>
      <c r="N204" s="144"/>
      <c r="O204" s="144"/>
      <c r="P204" s="144"/>
      <c r="Q204" s="144"/>
      <c r="R204" s="144"/>
      <c r="S204" s="144"/>
      <c r="T204" s="144"/>
      <c r="U204" s="144"/>
      <c r="V204" s="144"/>
      <c r="W204" s="144"/>
      <c r="X204" s="144"/>
      <c r="Y204" s="144"/>
      <c r="Z204" s="144"/>
      <c r="AA204" s="144"/>
      <c r="AB204" s="144"/>
      <c r="AC204" s="144"/>
      <c r="AD204" s="144"/>
      <c r="AE204" s="144"/>
      <c r="AF204" s="144"/>
    </row>
    <row r="205" ht="16.5" customHeight="1">
      <c r="A205" s="164" t="s">
        <v>5</v>
      </c>
      <c r="E205" s="83" t="s">
        <v>88</v>
      </c>
      <c r="F205" s="151" t="s">
        <v>154</v>
      </c>
      <c r="G205" s="495" t="s">
        <v>4647</v>
      </c>
      <c r="H205" s="35" t="s">
        <v>154</v>
      </c>
      <c r="L205" s="496"/>
      <c r="M205" s="144"/>
      <c r="N205" s="144"/>
      <c r="O205" s="144"/>
      <c r="P205" s="144"/>
      <c r="Q205" s="144"/>
      <c r="R205" s="144"/>
      <c r="S205" s="144"/>
      <c r="T205" s="144"/>
      <c r="U205" s="144"/>
      <c r="V205" s="144"/>
      <c r="W205" s="144"/>
      <c r="X205" s="144"/>
      <c r="Y205" s="144"/>
      <c r="Z205" s="144"/>
      <c r="AA205" s="144"/>
      <c r="AB205" s="144"/>
      <c r="AC205" s="144"/>
      <c r="AD205" s="144"/>
      <c r="AE205" s="144"/>
      <c r="AF205" s="144"/>
    </row>
    <row r="206" ht="16.5" customHeight="1">
      <c r="A206" s="164" t="s">
        <v>5</v>
      </c>
      <c r="E206" s="83" t="s">
        <v>88</v>
      </c>
      <c r="F206" s="151" t="s">
        <v>481</v>
      </c>
      <c r="G206" s="495" t="s">
        <v>4648</v>
      </c>
      <c r="H206" s="151" t="s">
        <v>481</v>
      </c>
      <c r="I206" s="497"/>
      <c r="J206" s="497"/>
      <c r="K206" s="496"/>
      <c r="L206" s="496"/>
      <c r="M206" s="144"/>
      <c r="N206" s="144"/>
      <c r="O206" s="144"/>
      <c r="P206" s="144"/>
      <c r="Q206" s="144"/>
      <c r="R206" s="144"/>
      <c r="S206" s="144"/>
      <c r="T206" s="144"/>
      <c r="U206" s="144"/>
      <c r="V206" s="144"/>
      <c r="W206" s="144"/>
      <c r="X206" s="144"/>
      <c r="Y206" s="144"/>
      <c r="Z206" s="144"/>
      <c r="AA206" s="144"/>
      <c r="AB206" s="144"/>
      <c r="AC206" s="144"/>
      <c r="AD206" s="144"/>
      <c r="AE206" s="144"/>
      <c r="AF206" s="144"/>
    </row>
    <row r="207" ht="16.5" customHeight="1">
      <c r="A207" s="164" t="s">
        <v>5</v>
      </c>
      <c r="E207" s="83" t="s">
        <v>88</v>
      </c>
      <c r="F207" s="151" t="s">
        <v>496</v>
      </c>
      <c r="G207" s="495" t="s">
        <v>4649</v>
      </c>
      <c r="H207" s="151" t="s">
        <v>496</v>
      </c>
      <c r="I207" s="497"/>
      <c r="J207" s="497"/>
      <c r="K207" s="496"/>
      <c r="L207" s="496"/>
      <c r="M207" s="144"/>
      <c r="N207" s="144"/>
      <c r="O207" s="144"/>
      <c r="P207" s="144"/>
      <c r="Q207" s="144"/>
      <c r="R207" s="144"/>
      <c r="S207" s="144"/>
      <c r="T207" s="144"/>
      <c r="U207" s="144"/>
      <c r="V207" s="144"/>
      <c r="W207" s="144"/>
      <c r="X207" s="144"/>
      <c r="Y207" s="144"/>
      <c r="Z207" s="144"/>
      <c r="AA207" s="144"/>
      <c r="AB207" s="144"/>
      <c r="AC207" s="144"/>
      <c r="AD207" s="144"/>
      <c r="AE207" s="144"/>
      <c r="AF207" s="144"/>
    </row>
    <row r="208" ht="16.5" customHeight="1">
      <c r="A208" s="164" t="s">
        <v>5</v>
      </c>
      <c r="E208" s="83" t="s">
        <v>88</v>
      </c>
      <c r="F208" s="151" t="s">
        <v>570</v>
      </c>
      <c r="G208" s="498"/>
      <c r="H208" s="505"/>
      <c r="I208" s="497"/>
      <c r="J208" s="497"/>
      <c r="K208" s="496"/>
      <c r="L208" s="496"/>
      <c r="M208" s="144"/>
      <c r="N208" s="144"/>
      <c r="O208" s="144"/>
      <c r="P208" s="144"/>
      <c r="Q208" s="144"/>
      <c r="R208" s="144"/>
      <c r="S208" s="144"/>
      <c r="T208" s="144"/>
      <c r="U208" s="144"/>
      <c r="V208" s="144"/>
      <c r="W208" s="144"/>
      <c r="X208" s="144"/>
      <c r="Y208" s="144"/>
      <c r="Z208" s="144"/>
      <c r="AA208" s="144"/>
      <c r="AB208" s="144"/>
      <c r="AC208" s="144"/>
      <c r="AD208" s="144"/>
      <c r="AE208" s="144"/>
      <c r="AF208" s="144"/>
    </row>
    <row r="209" ht="16.5" customHeight="1">
      <c r="A209" s="164" t="s">
        <v>5</v>
      </c>
      <c r="E209" s="83" t="s">
        <v>88</v>
      </c>
      <c r="F209" s="151" t="s">
        <v>598</v>
      </c>
      <c r="G209" s="498"/>
      <c r="H209" s="505"/>
      <c r="I209" s="497"/>
      <c r="J209" s="497"/>
      <c r="K209" s="496"/>
      <c r="L209" s="496"/>
      <c r="M209" s="144"/>
      <c r="N209" s="144"/>
      <c r="O209" s="144"/>
      <c r="P209" s="144"/>
      <c r="Q209" s="144"/>
      <c r="R209" s="144"/>
      <c r="S209" s="144"/>
      <c r="T209" s="144"/>
      <c r="U209" s="144"/>
      <c r="V209" s="144"/>
      <c r="W209" s="144"/>
      <c r="X209" s="144"/>
      <c r="Y209" s="144"/>
      <c r="Z209" s="144"/>
      <c r="AA209" s="144"/>
      <c r="AB209" s="144"/>
      <c r="AC209" s="144"/>
      <c r="AD209" s="144"/>
      <c r="AE209" s="144"/>
      <c r="AF209" s="144"/>
    </row>
    <row r="210" ht="16.5" customHeight="1">
      <c r="A210" s="164" t="s">
        <v>5</v>
      </c>
      <c r="E210" s="83" t="s">
        <v>21</v>
      </c>
      <c r="F210" s="151" t="s">
        <v>51</v>
      </c>
      <c r="G210" s="495" t="s">
        <v>4650</v>
      </c>
      <c r="H210" s="151" t="s">
        <v>51</v>
      </c>
      <c r="I210" s="497"/>
      <c r="J210" s="497"/>
      <c r="K210" s="496"/>
      <c r="L210" s="496"/>
      <c r="M210" s="144"/>
      <c r="N210" s="144"/>
      <c r="O210" s="144"/>
      <c r="P210" s="144"/>
      <c r="Q210" s="144"/>
      <c r="R210" s="144"/>
      <c r="S210" s="144"/>
      <c r="T210" s="144"/>
      <c r="U210" s="144"/>
      <c r="V210" s="144"/>
      <c r="W210" s="144"/>
      <c r="X210" s="144"/>
      <c r="Y210" s="144"/>
      <c r="Z210" s="144"/>
      <c r="AA210" s="144"/>
      <c r="AB210" s="144"/>
      <c r="AC210" s="144"/>
      <c r="AD210" s="144"/>
      <c r="AE210" s="144"/>
      <c r="AF210" s="144"/>
    </row>
    <row r="211" ht="16.5" customHeight="1">
      <c r="A211" s="164" t="s">
        <v>5</v>
      </c>
      <c r="E211" s="83" t="s">
        <v>88</v>
      </c>
      <c r="F211" s="151" t="s">
        <v>120</v>
      </c>
      <c r="G211" s="495" t="s">
        <v>4651</v>
      </c>
      <c r="H211" s="151" t="s">
        <v>120</v>
      </c>
      <c r="I211" s="497"/>
      <c r="J211" s="497"/>
      <c r="K211" s="496"/>
      <c r="L211" s="496"/>
      <c r="M211" s="144"/>
      <c r="N211" s="144"/>
      <c r="O211" s="144"/>
      <c r="P211" s="144"/>
      <c r="Q211" s="144"/>
      <c r="R211" s="144"/>
      <c r="S211" s="144"/>
      <c r="T211" s="144"/>
      <c r="U211" s="144"/>
      <c r="V211" s="144"/>
      <c r="W211" s="144"/>
      <c r="X211" s="144"/>
      <c r="Y211" s="144"/>
      <c r="Z211" s="144"/>
      <c r="AA211" s="144"/>
      <c r="AB211" s="144"/>
      <c r="AC211" s="144"/>
      <c r="AD211" s="144"/>
      <c r="AE211" s="144"/>
      <c r="AF211" s="144"/>
    </row>
    <row r="212" ht="16.5" customHeight="1">
      <c r="A212" s="164" t="s">
        <v>5</v>
      </c>
      <c r="E212" s="83" t="s">
        <v>88</v>
      </c>
      <c r="F212" s="151" t="s">
        <v>544</v>
      </c>
      <c r="G212" s="495" t="s">
        <v>4652</v>
      </c>
      <c r="H212" s="151" t="s">
        <v>544</v>
      </c>
      <c r="I212" s="497"/>
      <c r="J212" s="497"/>
      <c r="K212" s="496"/>
      <c r="L212" s="496"/>
      <c r="M212" s="144"/>
      <c r="N212" s="144"/>
      <c r="O212" s="144"/>
      <c r="P212" s="144"/>
      <c r="Q212" s="144"/>
      <c r="R212" s="144"/>
      <c r="S212" s="144"/>
      <c r="T212" s="144"/>
      <c r="U212" s="144"/>
      <c r="V212" s="144"/>
      <c r="W212" s="144"/>
      <c r="X212" s="144"/>
      <c r="Y212" s="144"/>
      <c r="Z212" s="144"/>
      <c r="AA212" s="144"/>
      <c r="AB212" s="144"/>
      <c r="AC212" s="144"/>
      <c r="AD212" s="144"/>
      <c r="AE212" s="144"/>
      <c r="AF212" s="144"/>
    </row>
    <row r="213" ht="16.5" customHeight="1">
      <c r="A213" s="164" t="s">
        <v>5</v>
      </c>
      <c r="E213" s="83" t="s">
        <v>88</v>
      </c>
      <c r="F213" s="151" t="s">
        <v>247</v>
      </c>
      <c r="G213" s="498"/>
      <c r="H213" s="352"/>
      <c r="I213" s="497"/>
      <c r="J213" s="497"/>
      <c r="K213" s="496"/>
      <c r="L213" s="496"/>
      <c r="M213" s="144"/>
      <c r="N213" s="144"/>
      <c r="O213" s="144"/>
      <c r="P213" s="144"/>
      <c r="Q213" s="144"/>
      <c r="R213" s="144"/>
      <c r="S213" s="144"/>
      <c r="T213" s="144"/>
      <c r="U213" s="144"/>
      <c r="V213" s="144"/>
      <c r="W213" s="144"/>
      <c r="X213" s="144"/>
      <c r="Y213" s="144"/>
      <c r="Z213" s="144"/>
      <c r="AA213" s="144"/>
      <c r="AB213" s="144"/>
      <c r="AC213" s="144"/>
      <c r="AD213" s="144"/>
      <c r="AE213" s="144"/>
      <c r="AF213" s="144"/>
    </row>
    <row r="214" ht="16.5" customHeight="1">
      <c r="A214" s="164" t="s">
        <v>5</v>
      </c>
      <c r="E214" s="83" t="s">
        <v>88</v>
      </c>
      <c r="F214" s="151" t="s">
        <v>95</v>
      </c>
      <c r="G214" s="495" t="s">
        <v>4653</v>
      </c>
      <c r="H214" s="151" t="s">
        <v>95</v>
      </c>
      <c r="I214" s="497"/>
      <c r="J214" s="497"/>
      <c r="K214" s="496"/>
      <c r="L214" s="496"/>
      <c r="M214" s="144"/>
      <c r="N214" s="144"/>
      <c r="O214" s="144"/>
      <c r="P214" s="144"/>
      <c r="Q214" s="144"/>
      <c r="R214" s="144"/>
      <c r="S214" s="144"/>
      <c r="T214" s="144"/>
      <c r="U214" s="144"/>
      <c r="V214" s="144"/>
      <c r="W214" s="144"/>
      <c r="X214" s="144"/>
      <c r="Y214" s="144"/>
      <c r="Z214" s="144"/>
      <c r="AA214" s="144"/>
      <c r="AB214" s="144"/>
      <c r="AC214" s="144"/>
      <c r="AD214" s="144"/>
      <c r="AE214" s="144"/>
      <c r="AF214" s="144"/>
    </row>
    <row r="215" ht="16.5" customHeight="1">
      <c r="A215" s="164" t="s">
        <v>5</v>
      </c>
      <c r="E215" s="151" t="s">
        <v>88</v>
      </c>
      <c r="F215" s="151" t="s">
        <v>96</v>
      </c>
      <c r="G215" s="495" t="s">
        <v>4654</v>
      </c>
      <c r="H215" s="151" t="s">
        <v>96</v>
      </c>
      <c r="I215" s="497"/>
      <c r="J215" s="497"/>
      <c r="K215" s="496"/>
      <c r="L215" s="496"/>
      <c r="M215" s="144"/>
      <c r="N215" s="144"/>
      <c r="O215" s="144"/>
      <c r="P215" s="144"/>
      <c r="Q215" s="144"/>
      <c r="R215" s="144"/>
      <c r="S215" s="144"/>
      <c r="T215" s="144"/>
      <c r="U215" s="144"/>
      <c r="V215" s="144"/>
      <c r="W215" s="144"/>
      <c r="X215" s="144"/>
      <c r="Y215" s="144"/>
      <c r="Z215" s="144"/>
      <c r="AA215" s="144"/>
      <c r="AB215" s="144"/>
      <c r="AC215" s="144"/>
      <c r="AD215" s="144"/>
      <c r="AE215" s="144"/>
      <c r="AF215" s="144"/>
    </row>
    <row r="216" ht="16.5" customHeight="1">
      <c r="A216" s="164" t="s">
        <v>5</v>
      </c>
      <c r="E216" s="151" t="s">
        <v>88</v>
      </c>
      <c r="F216" s="151" t="s">
        <v>122</v>
      </c>
      <c r="G216" s="495" t="s">
        <v>4655</v>
      </c>
      <c r="H216" s="151" t="s">
        <v>122</v>
      </c>
      <c r="I216" s="497"/>
      <c r="J216" s="497"/>
      <c r="K216" s="496"/>
      <c r="L216" s="496"/>
      <c r="M216" s="144"/>
      <c r="N216" s="144"/>
      <c r="O216" s="144"/>
      <c r="P216" s="144"/>
      <c r="Q216" s="144"/>
      <c r="R216" s="144"/>
      <c r="S216" s="144"/>
      <c r="T216" s="144"/>
      <c r="U216" s="144"/>
      <c r="V216" s="144"/>
      <c r="W216" s="144"/>
      <c r="X216" s="144"/>
      <c r="Y216" s="144"/>
      <c r="Z216" s="144"/>
      <c r="AA216" s="144"/>
      <c r="AB216" s="144"/>
      <c r="AC216" s="144"/>
      <c r="AD216" s="144"/>
      <c r="AE216" s="144"/>
      <c r="AF216" s="144"/>
    </row>
    <row r="217" ht="16.5" customHeight="1">
      <c r="A217" s="164" t="s">
        <v>5</v>
      </c>
      <c r="E217" s="151" t="s">
        <v>86</v>
      </c>
      <c r="F217" s="151" t="s">
        <v>90</v>
      </c>
      <c r="G217" s="495" t="s">
        <v>4656</v>
      </c>
      <c r="H217" s="151" t="s">
        <v>90</v>
      </c>
      <c r="I217" s="352"/>
      <c r="J217" s="497"/>
      <c r="K217" s="496"/>
      <c r="L217" s="496"/>
      <c r="M217" s="144"/>
      <c r="N217" s="144"/>
      <c r="O217" s="144"/>
      <c r="P217" s="144"/>
      <c r="Q217" s="144"/>
      <c r="R217" s="144"/>
      <c r="S217" s="144"/>
      <c r="T217" s="144"/>
      <c r="U217" s="144"/>
      <c r="V217" s="144"/>
      <c r="W217" s="144"/>
      <c r="X217" s="144"/>
      <c r="Y217" s="144"/>
      <c r="Z217" s="144"/>
      <c r="AA217" s="144"/>
      <c r="AB217" s="144"/>
      <c r="AC217" s="144"/>
      <c r="AD217" s="144"/>
      <c r="AE217" s="144"/>
      <c r="AF217" s="144"/>
    </row>
    <row r="218" ht="16.5" customHeight="1">
      <c r="A218" s="164" t="s">
        <v>5</v>
      </c>
      <c r="E218" s="151" t="s">
        <v>86</v>
      </c>
      <c r="F218" s="151" t="s">
        <v>338</v>
      </c>
      <c r="G218" s="495" t="s">
        <v>4657</v>
      </c>
      <c r="H218" s="151" t="s">
        <v>338</v>
      </c>
      <c r="I218" s="352"/>
      <c r="J218" s="497"/>
      <c r="K218" s="496"/>
      <c r="L218" s="496"/>
      <c r="M218" s="144"/>
      <c r="N218" s="144"/>
      <c r="O218" s="144"/>
      <c r="P218" s="144"/>
      <c r="Q218" s="144"/>
      <c r="R218" s="144"/>
      <c r="S218" s="144"/>
      <c r="T218" s="144"/>
      <c r="U218" s="144"/>
      <c r="V218" s="144"/>
      <c r="W218" s="144"/>
      <c r="X218" s="144"/>
      <c r="Y218" s="144"/>
      <c r="Z218" s="144"/>
      <c r="AA218" s="144"/>
      <c r="AB218" s="144"/>
      <c r="AC218" s="144"/>
      <c r="AD218" s="144"/>
      <c r="AE218" s="144"/>
      <c r="AF218" s="144"/>
    </row>
    <row r="219" ht="16.5" customHeight="1">
      <c r="A219" s="164" t="s">
        <v>5</v>
      </c>
      <c r="E219" s="151" t="s">
        <v>86</v>
      </c>
      <c r="F219" s="151" t="s">
        <v>91</v>
      </c>
      <c r="G219" s="495" t="s">
        <v>4658</v>
      </c>
      <c r="H219" s="151" t="s">
        <v>91</v>
      </c>
      <c r="I219" s="352"/>
      <c r="J219" s="497"/>
      <c r="K219" s="496"/>
      <c r="L219" s="496"/>
      <c r="M219" s="144"/>
      <c r="N219" s="144"/>
      <c r="O219" s="144"/>
      <c r="P219" s="144"/>
      <c r="Q219" s="144"/>
      <c r="R219" s="144"/>
      <c r="S219" s="144"/>
      <c r="T219" s="144"/>
      <c r="U219" s="144"/>
      <c r="V219" s="144"/>
      <c r="W219" s="144"/>
      <c r="X219" s="144"/>
      <c r="Y219" s="144"/>
      <c r="Z219" s="144"/>
      <c r="AA219" s="144"/>
      <c r="AB219" s="144"/>
      <c r="AC219" s="144"/>
      <c r="AD219" s="144"/>
      <c r="AE219" s="144"/>
      <c r="AF219" s="144"/>
    </row>
    <row r="220" ht="16.5" customHeight="1">
      <c r="A220" s="164" t="s">
        <v>5</v>
      </c>
      <c r="E220" s="151" t="s">
        <v>178</v>
      </c>
      <c r="F220" s="151" t="s">
        <v>209</v>
      </c>
      <c r="G220" s="495" t="s">
        <v>4659</v>
      </c>
      <c r="H220" s="151" t="s">
        <v>209</v>
      </c>
      <c r="I220" s="497"/>
      <c r="J220" s="497"/>
      <c r="K220" s="496"/>
      <c r="L220" s="496"/>
      <c r="M220" s="144"/>
      <c r="N220" s="144"/>
      <c r="O220" s="144"/>
      <c r="P220" s="144"/>
      <c r="Q220" s="144"/>
      <c r="R220" s="144"/>
      <c r="S220" s="144"/>
      <c r="T220" s="144"/>
      <c r="U220" s="144"/>
      <c r="V220" s="144"/>
      <c r="W220" s="144"/>
      <c r="X220" s="144"/>
      <c r="Y220" s="144"/>
      <c r="Z220" s="144"/>
      <c r="AA220" s="144"/>
      <c r="AB220" s="144"/>
      <c r="AC220" s="144"/>
      <c r="AD220" s="144"/>
      <c r="AE220" s="144"/>
      <c r="AF220" s="144"/>
    </row>
    <row r="221" ht="16.5" customHeight="1">
      <c r="A221" s="164" t="s">
        <v>5</v>
      </c>
      <c r="E221" s="83" t="s">
        <v>178</v>
      </c>
      <c r="F221" s="83" t="s">
        <v>210</v>
      </c>
      <c r="G221" s="495" t="s">
        <v>4660</v>
      </c>
      <c r="H221" s="83" t="s">
        <v>210</v>
      </c>
      <c r="I221" s="497"/>
      <c r="J221" s="497"/>
      <c r="K221" s="496"/>
      <c r="L221" s="496"/>
      <c r="M221" s="144"/>
      <c r="N221" s="144"/>
      <c r="O221" s="144"/>
      <c r="P221" s="144"/>
      <c r="Q221" s="144"/>
      <c r="R221" s="144"/>
      <c r="S221" s="144"/>
      <c r="T221" s="144"/>
      <c r="U221" s="144"/>
      <c r="V221" s="144"/>
      <c r="W221" s="144"/>
      <c r="X221" s="144"/>
      <c r="Y221" s="144"/>
      <c r="Z221" s="144"/>
      <c r="AA221" s="144"/>
      <c r="AB221" s="144"/>
      <c r="AC221" s="144"/>
      <c r="AD221" s="144"/>
      <c r="AE221" s="144"/>
      <c r="AF221" s="144"/>
    </row>
    <row r="222" ht="16.5" customHeight="1">
      <c r="A222" s="164" t="s">
        <v>5</v>
      </c>
      <c r="E222" s="83" t="s">
        <v>104</v>
      </c>
      <c r="F222" s="83" t="s">
        <v>250</v>
      </c>
      <c r="G222" s="495" t="s">
        <v>4661</v>
      </c>
      <c r="H222" s="83" t="s">
        <v>250</v>
      </c>
      <c r="I222" s="497"/>
      <c r="J222" s="497"/>
      <c r="K222" s="496"/>
      <c r="L222" s="496"/>
      <c r="M222" s="144"/>
      <c r="N222" s="144"/>
      <c r="O222" s="144"/>
      <c r="P222" s="144"/>
      <c r="Q222" s="144"/>
      <c r="R222" s="144"/>
      <c r="S222" s="144"/>
      <c r="T222" s="144"/>
      <c r="U222" s="144"/>
      <c r="V222" s="144"/>
      <c r="W222" s="144"/>
      <c r="X222" s="144"/>
      <c r="Y222" s="144"/>
      <c r="Z222" s="144"/>
      <c r="AA222" s="144"/>
      <c r="AB222" s="144"/>
      <c r="AC222" s="144"/>
      <c r="AD222" s="144"/>
      <c r="AE222" s="144"/>
      <c r="AF222" s="144"/>
    </row>
    <row r="223" ht="16.5" customHeight="1">
      <c r="A223" s="8" t="s">
        <v>5</v>
      </c>
      <c r="B223" s="348" t="s">
        <v>4662</v>
      </c>
      <c r="C223" s="506" t="s">
        <v>4663</v>
      </c>
      <c r="D223" s="464" t="s">
        <v>20</v>
      </c>
      <c r="E223" s="8" t="s">
        <v>88</v>
      </c>
      <c r="F223" s="8" t="s">
        <v>89</v>
      </c>
      <c r="G223" s="29"/>
      <c r="H223" s="36"/>
      <c r="L223" s="9"/>
      <c r="M223" s="9"/>
      <c r="N223" s="9"/>
      <c r="O223" s="9"/>
      <c r="P223" s="9"/>
      <c r="Q223" s="9"/>
      <c r="R223" s="9"/>
      <c r="S223" s="9"/>
      <c r="T223" s="9"/>
      <c r="U223" s="9"/>
      <c r="V223" s="9"/>
      <c r="W223" s="9"/>
      <c r="X223" s="9"/>
      <c r="Y223" s="9"/>
      <c r="Z223" s="9"/>
      <c r="AA223" s="9"/>
      <c r="AB223" s="9"/>
      <c r="AC223" s="9"/>
      <c r="AD223" s="9"/>
      <c r="AE223" s="9"/>
      <c r="AF223" s="9"/>
    </row>
    <row r="224" ht="16.5" customHeight="1">
      <c r="A224" s="8" t="s">
        <v>5</v>
      </c>
      <c r="E224" s="464" t="s">
        <v>21</v>
      </c>
      <c r="F224" s="151" t="s">
        <v>51</v>
      </c>
      <c r="G224" s="465" t="s">
        <v>4664</v>
      </c>
      <c r="H224" s="35" t="s">
        <v>51</v>
      </c>
      <c r="L224" s="9"/>
      <c r="M224" s="9"/>
      <c r="N224" s="9"/>
      <c r="O224" s="9"/>
      <c r="P224" s="9"/>
      <c r="Q224" s="9"/>
      <c r="R224" s="9"/>
      <c r="S224" s="9"/>
      <c r="T224" s="9"/>
      <c r="U224" s="9"/>
      <c r="V224" s="9"/>
      <c r="W224" s="9"/>
      <c r="X224" s="9"/>
      <c r="Y224" s="9"/>
      <c r="Z224" s="9"/>
      <c r="AA224" s="9"/>
      <c r="AB224" s="9"/>
      <c r="AC224" s="9"/>
      <c r="AD224" s="9"/>
      <c r="AE224" s="9"/>
      <c r="AF224" s="9"/>
    </row>
    <row r="225" ht="16.5" customHeight="1">
      <c r="A225" s="8" t="s">
        <v>5</v>
      </c>
      <c r="E225" s="8" t="s">
        <v>88</v>
      </c>
      <c r="F225" s="8" t="s">
        <v>120</v>
      </c>
      <c r="G225" s="34" t="s">
        <v>4665</v>
      </c>
      <c r="H225" s="8" t="s">
        <v>120</v>
      </c>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ht="16.5" customHeight="1">
      <c r="A226" s="8" t="s">
        <v>5</v>
      </c>
      <c r="E226" s="8" t="s">
        <v>88</v>
      </c>
      <c r="F226" s="8" t="s">
        <v>544</v>
      </c>
      <c r="G226" s="34" t="s">
        <v>4666</v>
      </c>
      <c r="H226" s="8" t="s">
        <v>544</v>
      </c>
      <c r="I226" s="31"/>
      <c r="J226" s="9"/>
      <c r="K226" s="9"/>
      <c r="L226" s="9"/>
      <c r="M226" s="9"/>
      <c r="N226" s="9"/>
      <c r="O226" s="9"/>
      <c r="P226" s="9"/>
      <c r="Q226" s="9"/>
      <c r="R226" s="9"/>
      <c r="S226" s="9"/>
      <c r="T226" s="9"/>
      <c r="U226" s="9"/>
      <c r="V226" s="9"/>
      <c r="W226" s="9"/>
      <c r="X226" s="9"/>
      <c r="Y226" s="9"/>
      <c r="Z226" s="9"/>
      <c r="AA226" s="9"/>
      <c r="AB226" s="9"/>
      <c r="AC226" s="9"/>
      <c r="AD226" s="9"/>
      <c r="AE226" s="9"/>
      <c r="AF226" s="9"/>
    </row>
    <row r="227" ht="16.5" customHeight="1">
      <c r="A227" s="8" t="s">
        <v>5</v>
      </c>
      <c r="E227" s="8" t="s">
        <v>88</v>
      </c>
      <c r="F227" s="8" t="s">
        <v>247</v>
      </c>
      <c r="G227" s="31"/>
      <c r="H227" s="31"/>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ht="16.5" customHeight="1">
      <c r="A228" s="8" t="s">
        <v>5</v>
      </c>
      <c r="E228" s="8" t="s">
        <v>88</v>
      </c>
      <c r="F228" s="8" t="s">
        <v>95</v>
      </c>
      <c r="G228" s="34" t="s">
        <v>4667</v>
      </c>
      <c r="H228" s="8" t="s">
        <v>95</v>
      </c>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ht="16.5" customHeight="1">
      <c r="A229" s="8" t="s">
        <v>5</v>
      </c>
      <c r="E229" s="8" t="s">
        <v>88</v>
      </c>
      <c r="F229" s="8" t="s">
        <v>96</v>
      </c>
      <c r="G229" s="34" t="s">
        <v>4668</v>
      </c>
      <c r="H229" s="8" t="s">
        <v>96</v>
      </c>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ht="16.5" customHeight="1">
      <c r="A230" s="8" t="s">
        <v>5</v>
      </c>
      <c r="E230" s="8" t="s">
        <v>88</v>
      </c>
      <c r="F230" s="8" t="s">
        <v>122</v>
      </c>
      <c r="G230" s="34" t="s">
        <v>4669</v>
      </c>
      <c r="H230" s="8" t="s">
        <v>122</v>
      </c>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ht="16.5" customHeight="1">
      <c r="A231" s="8" t="s">
        <v>5</v>
      </c>
      <c r="E231" s="8" t="s">
        <v>86</v>
      </c>
      <c r="F231" s="8" t="s">
        <v>90</v>
      </c>
      <c r="G231" s="34" t="s">
        <v>4670</v>
      </c>
      <c r="H231" s="8" t="s">
        <v>90</v>
      </c>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ht="16.5" customHeight="1">
      <c r="A232" s="8" t="s">
        <v>5</v>
      </c>
      <c r="E232" s="8" t="s">
        <v>86</v>
      </c>
      <c r="F232" s="8" t="s">
        <v>91</v>
      </c>
      <c r="G232" s="34" t="s">
        <v>4671</v>
      </c>
      <c r="H232" s="8" t="s">
        <v>91</v>
      </c>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ht="16.5" customHeight="1">
      <c r="A233" s="8" t="s">
        <v>5</v>
      </c>
      <c r="E233" s="8" t="s">
        <v>104</v>
      </c>
      <c r="F233" s="8" t="s">
        <v>250</v>
      </c>
      <c r="G233" s="34" t="s">
        <v>4672</v>
      </c>
      <c r="H233" s="8" t="s">
        <v>250</v>
      </c>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ht="16.5" customHeight="1">
      <c r="A234" s="8" t="s">
        <v>5</v>
      </c>
      <c r="E234" s="8" t="s">
        <v>178</v>
      </c>
      <c r="F234" s="8" t="s">
        <v>209</v>
      </c>
      <c r="G234" s="34" t="s">
        <v>4673</v>
      </c>
      <c r="H234" s="8" t="s">
        <v>209</v>
      </c>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ht="16.5" customHeight="1">
      <c r="A235" s="8" t="s">
        <v>5</v>
      </c>
      <c r="E235" s="8" t="s">
        <v>178</v>
      </c>
      <c r="F235" s="8" t="s">
        <v>210</v>
      </c>
      <c r="G235" s="34" t="s">
        <v>4674</v>
      </c>
      <c r="H235" s="8" t="s">
        <v>210</v>
      </c>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ht="16.5" customHeight="1">
      <c r="A236" s="8" t="s">
        <v>5</v>
      </c>
      <c r="B236" s="348" t="s">
        <v>4675</v>
      </c>
      <c r="C236" s="507" t="s">
        <v>4676</v>
      </c>
      <c r="D236" s="348" t="s">
        <v>20</v>
      </c>
      <c r="E236" s="8" t="s">
        <v>88</v>
      </c>
      <c r="F236" s="8" t="s">
        <v>89</v>
      </c>
      <c r="G236" s="29"/>
      <c r="H236" s="36"/>
      <c r="L236" s="9"/>
      <c r="M236" s="9"/>
      <c r="N236" s="9"/>
      <c r="O236" s="9"/>
      <c r="P236" s="9"/>
      <c r="Q236" s="9"/>
      <c r="R236" s="9"/>
      <c r="S236" s="9"/>
      <c r="T236" s="9"/>
      <c r="U236" s="9"/>
      <c r="V236" s="9"/>
      <c r="W236" s="9"/>
      <c r="X236" s="9"/>
      <c r="Y236" s="9"/>
      <c r="Z236" s="9"/>
      <c r="AA236" s="9"/>
      <c r="AB236" s="9"/>
      <c r="AC236" s="9"/>
      <c r="AD236" s="9"/>
      <c r="AE236" s="9"/>
      <c r="AF236" s="9"/>
    </row>
    <row r="237" ht="16.5" customHeight="1">
      <c r="A237" s="8" t="s">
        <v>5</v>
      </c>
      <c r="E237" s="8" t="s">
        <v>88</v>
      </c>
      <c r="F237" s="8" t="s">
        <v>154</v>
      </c>
      <c r="G237" s="34" t="s">
        <v>4677</v>
      </c>
      <c r="H237" s="35" t="s">
        <v>154</v>
      </c>
      <c r="L237" s="9"/>
      <c r="M237" s="9"/>
      <c r="N237" s="9"/>
      <c r="O237" s="9"/>
      <c r="P237" s="9"/>
      <c r="Q237" s="9"/>
      <c r="R237" s="9"/>
      <c r="S237" s="9"/>
      <c r="T237" s="9"/>
      <c r="U237" s="9"/>
      <c r="V237" s="9"/>
      <c r="W237" s="9"/>
      <c r="X237" s="9"/>
      <c r="Y237" s="9"/>
      <c r="Z237" s="9"/>
      <c r="AA237" s="9"/>
      <c r="AB237" s="9"/>
      <c r="AC237" s="9"/>
      <c r="AD237" s="9"/>
      <c r="AE237" s="9"/>
      <c r="AF237" s="9"/>
    </row>
    <row r="238" ht="16.5" customHeight="1">
      <c r="A238" s="8" t="s">
        <v>5</v>
      </c>
      <c r="E238" s="8" t="s">
        <v>21</v>
      </c>
      <c r="F238" s="8" t="s">
        <v>51</v>
      </c>
      <c r="G238" s="34" t="s">
        <v>4678</v>
      </c>
      <c r="H238" s="8" t="s">
        <v>51</v>
      </c>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ht="16.5" customHeight="1">
      <c r="A239" s="8" t="s">
        <v>5</v>
      </c>
      <c r="E239" s="8" t="s">
        <v>88</v>
      </c>
      <c r="F239" s="8" t="s">
        <v>120</v>
      </c>
      <c r="G239" s="34" t="s">
        <v>4679</v>
      </c>
      <c r="H239" s="8" t="s">
        <v>120</v>
      </c>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ht="16.5" customHeight="1">
      <c r="A240" s="8" t="s">
        <v>5</v>
      </c>
      <c r="E240" s="8" t="s">
        <v>88</v>
      </c>
      <c r="F240" s="8" t="s">
        <v>544</v>
      </c>
      <c r="G240" s="34" t="s">
        <v>4680</v>
      </c>
      <c r="H240" s="8" t="s">
        <v>544</v>
      </c>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ht="16.5" customHeight="1">
      <c r="A241" s="8" t="s">
        <v>5</v>
      </c>
      <c r="E241" s="8" t="s">
        <v>88</v>
      </c>
      <c r="F241" s="8" t="s">
        <v>247</v>
      </c>
      <c r="G241" s="31"/>
      <c r="H241" s="31"/>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ht="16.5" customHeight="1">
      <c r="A242" s="8" t="s">
        <v>5</v>
      </c>
      <c r="E242" s="8" t="s">
        <v>88</v>
      </c>
      <c r="F242" s="8" t="s">
        <v>95</v>
      </c>
      <c r="G242" s="34" t="s">
        <v>4681</v>
      </c>
      <c r="H242" s="8" t="s">
        <v>95</v>
      </c>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ht="16.5" customHeight="1">
      <c r="A243" s="8" t="s">
        <v>5</v>
      </c>
      <c r="E243" s="8" t="s">
        <v>88</v>
      </c>
      <c r="F243" s="8" t="s">
        <v>96</v>
      </c>
      <c r="G243" s="34" t="s">
        <v>4682</v>
      </c>
      <c r="H243" s="8" t="s">
        <v>96</v>
      </c>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ht="16.5" customHeight="1">
      <c r="A244" s="8" t="s">
        <v>5</v>
      </c>
      <c r="E244" s="8" t="s">
        <v>88</v>
      </c>
      <c r="F244" s="8" t="s">
        <v>122</v>
      </c>
      <c r="G244" s="34" t="s">
        <v>4683</v>
      </c>
      <c r="H244" s="8" t="s">
        <v>122</v>
      </c>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ht="16.5" customHeight="1">
      <c r="A245" s="8" t="s">
        <v>5</v>
      </c>
      <c r="E245" s="8" t="s">
        <v>86</v>
      </c>
      <c r="F245" s="8" t="s">
        <v>90</v>
      </c>
      <c r="G245" s="34" t="s">
        <v>4684</v>
      </c>
      <c r="H245" s="8" t="s">
        <v>90</v>
      </c>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ht="16.5" customHeight="1">
      <c r="A246" s="8" t="s">
        <v>5</v>
      </c>
      <c r="E246" s="8" t="s">
        <v>86</v>
      </c>
      <c r="F246" s="8" t="s">
        <v>91</v>
      </c>
      <c r="G246" s="34" t="s">
        <v>4685</v>
      </c>
      <c r="H246" s="8" t="s">
        <v>91</v>
      </c>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ht="16.5" customHeight="1">
      <c r="A247" s="8" t="s">
        <v>5</v>
      </c>
      <c r="E247" s="8" t="s">
        <v>86</v>
      </c>
      <c r="F247" s="8" t="s">
        <v>338</v>
      </c>
      <c r="G247" s="34" t="s">
        <v>4686</v>
      </c>
      <c r="H247" s="8" t="s">
        <v>338</v>
      </c>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ht="16.5" customHeight="1">
      <c r="A248" s="8" t="s">
        <v>5</v>
      </c>
      <c r="E248" s="8" t="s">
        <v>104</v>
      </c>
      <c r="F248" s="8" t="s">
        <v>250</v>
      </c>
      <c r="G248" s="34" t="s">
        <v>4687</v>
      </c>
      <c r="H248" s="8" t="s">
        <v>250</v>
      </c>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ht="16.5" customHeight="1">
      <c r="A249" s="8" t="s">
        <v>5</v>
      </c>
      <c r="E249" s="8" t="s">
        <v>178</v>
      </c>
      <c r="F249" s="8" t="s">
        <v>209</v>
      </c>
      <c r="G249" s="34" t="s">
        <v>4688</v>
      </c>
      <c r="H249" s="8" t="s">
        <v>209</v>
      </c>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ht="16.5" customHeight="1">
      <c r="A250" s="8" t="s">
        <v>5</v>
      </c>
      <c r="E250" s="8" t="s">
        <v>178</v>
      </c>
      <c r="F250" s="8" t="s">
        <v>210</v>
      </c>
      <c r="G250" s="34" t="s">
        <v>4689</v>
      </c>
      <c r="H250" s="8" t="s">
        <v>210</v>
      </c>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ht="16.5" customHeight="1">
      <c r="A251" s="8" t="s">
        <v>5</v>
      </c>
      <c r="B251" s="348" t="s">
        <v>4690</v>
      </c>
      <c r="C251" s="508" t="s">
        <v>4691</v>
      </c>
      <c r="D251" s="348" t="s">
        <v>20</v>
      </c>
      <c r="E251" s="8" t="s">
        <v>88</v>
      </c>
      <c r="F251" s="8" t="s">
        <v>89</v>
      </c>
      <c r="G251" s="29"/>
      <c r="H251" s="36"/>
      <c r="L251" s="9"/>
      <c r="M251" s="9"/>
      <c r="N251" s="9"/>
      <c r="O251" s="9"/>
      <c r="P251" s="9"/>
      <c r="Q251" s="9"/>
      <c r="R251" s="9"/>
      <c r="S251" s="9"/>
      <c r="T251" s="9"/>
      <c r="U251" s="9"/>
      <c r="V251" s="9"/>
      <c r="W251" s="9"/>
      <c r="X251" s="9"/>
      <c r="Y251" s="9"/>
      <c r="Z251" s="9"/>
      <c r="AA251" s="9"/>
      <c r="AB251" s="9"/>
      <c r="AC251" s="9"/>
      <c r="AD251" s="9"/>
      <c r="AE251" s="9"/>
      <c r="AF251" s="9"/>
    </row>
    <row r="252" ht="16.5" customHeight="1">
      <c r="A252" s="8" t="s">
        <v>5</v>
      </c>
      <c r="E252" s="8" t="s">
        <v>88</v>
      </c>
      <c r="F252" s="8" t="s">
        <v>154</v>
      </c>
      <c r="G252" s="34" t="s">
        <v>4692</v>
      </c>
      <c r="H252" s="35" t="s">
        <v>154</v>
      </c>
      <c r="L252" s="9"/>
      <c r="M252" s="9"/>
      <c r="N252" s="9"/>
      <c r="O252" s="9"/>
      <c r="P252" s="9"/>
      <c r="Q252" s="9"/>
      <c r="R252" s="9"/>
      <c r="S252" s="9"/>
      <c r="T252" s="9"/>
      <c r="U252" s="9"/>
      <c r="V252" s="9"/>
      <c r="W252" s="9"/>
      <c r="X252" s="9"/>
      <c r="Y252" s="9"/>
      <c r="Z252" s="9"/>
      <c r="AA252" s="9"/>
      <c r="AB252" s="9"/>
      <c r="AC252" s="9"/>
      <c r="AD252" s="9"/>
      <c r="AE252" s="9"/>
      <c r="AF252" s="9"/>
    </row>
    <row r="253" ht="16.5" customHeight="1">
      <c r="A253" s="8" t="s">
        <v>5</v>
      </c>
      <c r="E253" s="8" t="s">
        <v>21</v>
      </c>
      <c r="F253" s="8" t="s">
        <v>51</v>
      </c>
      <c r="G253" s="34" t="s">
        <v>4693</v>
      </c>
      <c r="H253" s="8" t="s">
        <v>51</v>
      </c>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ht="16.5" customHeight="1">
      <c r="A254" s="8" t="s">
        <v>5</v>
      </c>
      <c r="E254" s="8" t="s">
        <v>88</v>
      </c>
      <c r="F254" s="8" t="s">
        <v>120</v>
      </c>
      <c r="G254" s="34" t="s">
        <v>4694</v>
      </c>
      <c r="H254" s="8" t="s">
        <v>120</v>
      </c>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ht="16.5" customHeight="1">
      <c r="A255" s="8" t="s">
        <v>5</v>
      </c>
      <c r="E255" s="8" t="s">
        <v>88</v>
      </c>
      <c r="F255" s="8" t="s">
        <v>544</v>
      </c>
      <c r="G255" s="34" t="s">
        <v>4695</v>
      </c>
      <c r="H255" s="8" t="s">
        <v>544</v>
      </c>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ht="16.5" customHeight="1">
      <c r="A256" s="8" t="s">
        <v>5</v>
      </c>
      <c r="E256" s="8" t="s">
        <v>88</v>
      </c>
      <c r="F256" s="8" t="s">
        <v>247</v>
      </c>
      <c r="G256" s="31"/>
      <c r="H256" s="31"/>
      <c r="I256" s="31"/>
      <c r="J256" s="9"/>
      <c r="K256" s="9"/>
      <c r="L256" s="9"/>
      <c r="M256" s="9"/>
      <c r="N256" s="9"/>
      <c r="O256" s="9"/>
      <c r="P256" s="9"/>
      <c r="Q256" s="9"/>
      <c r="R256" s="9"/>
      <c r="S256" s="9"/>
      <c r="T256" s="9"/>
      <c r="U256" s="9"/>
      <c r="V256" s="9"/>
      <c r="W256" s="9"/>
      <c r="X256" s="9"/>
      <c r="Y256" s="9"/>
      <c r="Z256" s="9"/>
      <c r="AA256" s="9"/>
      <c r="AB256" s="9"/>
      <c r="AC256" s="9"/>
      <c r="AD256" s="9"/>
      <c r="AE256" s="9"/>
      <c r="AF256" s="9"/>
    </row>
    <row r="257" ht="16.5" customHeight="1">
      <c r="A257" s="8" t="s">
        <v>5</v>
      </c>
      <c r="E257" s="8" t="s">
        <v>88</v>
      </c>
      <c r="F257" s="8" t="s">
        <v>95</v>
      </c>
      <c r="G257" s="34" t="s">
        <v>4696</v>
      </c>
      <c r="H257" s="8" t="s">
        <v>95</v>
      </c>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ht="16.5" customHeight="1">
      <c r="A258" s="8" t="s">
        <v>5</v>
      </c>
      <c r="E258" s="8" t="s">
        <v>88</v>
      </c>
      <c r="F258" s="8" t="s">
        <v>96</v>
      </c>
      <c r="G258" s="34" t="s">
        <v>4697</v>
      </c>
      <c r="H258" s="8" t="s">
        <v>96</v>
      </c>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ht="16.5" customHeight="1">
      <c r="A259" s="8" t="s">
        <v>5</v>
      </c>
      <c r="E259" s="8" t="s">
        <v>88</v>
      </c>
      <c r="F259" s="8" t="s">
        <v>122</v>
      </c>
      <c r="G259" s="34" t="s">
        <v>4698</v>
      </c>
      <c r="H259" s="8" t="s">
        <v>122</v>
      </c>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ht="16.5" customHeight="1">
      <c r="A260" s="8" t="s">
        <v>5</v>
      </c>
      <c r="E260" s="8" t="s">
        <v>86</v>
      </c>
      <c r="F260" s="8" t="s">
        <v>90</v>
      </c>
      <c r="G260" s="34" t="s">
        <v>4699</v>
      </c>
      <c r="H260" s="8" t="s">
        <v>90</v>
      </c>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ht="16.5" customHeight="1">
      <c r="A261" s="8" t="s">
        <v>5</v>
      </c>
      <c r="E261" s="8" t="s">
        <v>86</v>
      </c>
      <c r="F261" s="8" t="s">
        <v>91</v>
      </c>
      <c r="G261" s="34" t="s">
        <v>4700</v>
      </c>
      <c r="H261" s="8" t="s">
        <v>91</v>
      </c>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ht="16.5" customHeight="1">
      <c r="A262" s="8" t="s">
        <v>5</v>
      </c>
      <c r="E262" s="8" t="s">
        <v>86</v>
      </c>
      <c r="F262" s="8" t="s">
        <v>338</v>
      </c>
      <c r="G262" s="34" t="s">
        <v>4701</v>
      </c>
      <c r="H262" s="8" t="s">
        <v>338</v>
      </c>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ht="16.5" customHeight="1">
      <c r="A263" s="8" t="s">
        <v>5</v>
      </c>
      <c r="E263" s="8" t="s">
        <v>178</v>
      </c>
      <c r="F263" s="8" t="s">
        <v>209</v>
      </c>
      <c r="G263" s="34" t="s">
        <v>4702</v>
      </c>
      <c r="H263" s="8" t="s">
        <v>209</v>
      </c>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ht="16.5" customHeight="1">
      <c r="A264" s="8" t="s">
        <v>5</v>
      </c>
      <c r="E264" s="8" t="s">
        <v>178</v>
      </c>
      <c r="F264" s="8" t="s">
        <v>210</v>
      </c>
      <c r="G264" s="34" t="s">
        <v>4703</v>
      </c>
      <c r="H264" s="8" t="s">
        <v>210</v>
      </c>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ht="16.5" customHeight="1">
      <c r="A265" s="8" t="s">
        <v>5</v>
      </c>
      <c r="B265" s="348" t="s">
        <v>4704</v>
      </c>
      <c r="C265" s="508" t="s">
        <v>4705</v>
      </c>
      <c r="D265" s="348" t="s">
        <v>20</v>
      </c>
      <c r="E265" s="8" t="s">
        <v>88</v>
      </c>
      <c r="F265" s="8" t="s">
        <v>89</v>
      </c>
      <c r="G265" s="29"/>
      <c r="H265" s="36"/>
      <c r="L265" s="9"/>
      <c r="M265" s="9"/>
      <c r="N265" s="9"/>
      <c r="O265" s="9"/>
      <c r="P265" s="9"/>
      <c r="Q265" s="9"/>
      <c r="R265" s="9"/>
      <c r="S265" s="9"/>
      <c r="T265" s="9"/>
      <c r="U265" s="9"/>
      <c r="V265" s="9"/>
      <c r="W265" s="9"/>
      <c r="X265" s="9"/>
      <c r="Y265" s="9"/>
      <c r="Z265" s="9"/>
      <c r="AA265" s="9"/>
      <c r="AB265" s="9"/>
      <c r="AC265" s="9"/>
      <c r="AD265" s="9"/>
      <c r="AE265" s="9"/>
      <c r="AF265" s="9"/>
    </row>
    <row r="266" ht="16.5" customHeight="1">
      <c r="A266" s="8" t="s">
        <v>5</v>
      </c>
      <c r="E266" s="8" t="s">
        <v>88</v>
      </c>
      <c r="F266" s="8" t="s">
        <v>154</v>
      </c>
      <c r="G266" s="34" t="s">
        <v>4706</v>
      </c>
      <c r="H266" s="35" t="s">
        <v>154</v>
      </c>
      <c r="L266" s="9"/>
      <c r="M266" s="9"/>
      <c r="N266" s="9"/>
      <c r="O266" s="9"/>
      <c r="P266" s="9"/>
      <c r="Q266" s="9"/>
      <c r="R266" s="9"/>
      <c r="S266" s="9"/>
      <c r="T266" s="9"/>
      <c r="U266" s="9"/>
      <c r="V266" s="9"/>
      <c r="W266" s="9"/>
      <c r="X266" s="9"/>
      <c r="Y266" s="9"/>
      <c r="Z266" s="9"/>
      <c r="AA266" s="9"/>
      <c r="AB266" s="9"/>
      <c r="AC266" s="9"/>
      <c r="AD266" s="9"/>
      <c r="AE266" s="9"/>
      <c r="AF266" s="9"/>
    </row>
    <row r="267" ht="16.5" customHeight="1">
      <c r="A267" s="8" t="s">
        <v>5</v>
      </c>
      <c r="E267" s="8" t="s">
        <v>21</v>
      </c>
      <c r="F267" s="8" t="s">
        <v>51</v>
      </c>
      <c r="G267" s="34" t="s">
        <v>4707</v>
      </c>
      <c r="H267" s="8" t="s">
        <v>51</v>
      </c>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ht="16.5" customHeight="1">
      <c r="A268" s="8" t="s">
        <v>5</v>
      </c>
      <c r="E268" s="8" t="s">
        <v>88</v>
      </c>
      <c r="F268" s="8" t="s">
        <v>120</v>
      </c>
      <c r="G268" s="34" t="s">
        <v>4708</v>
      </c>
      <c r="H268" s="8" t="s">
        <v>120</v>
      </c>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ht="16.5" customHeight="1">
      <c r="A269" s="8" t="s">
        <v>5</v>
      </c>
      <c r="E269" s="8" t="s">
        <v>88</v>
      </c>
      <c r="F269" s="8" t="s">
        <v>544</v>
      </c>
      <c r="G269" s="34" t="s">
        <v>4709</v>
      </c>
      <c r="H269" s="8" t="s">
        <v>544</v>
      </c>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ht="16.5" customHeight="1">
      <c r="A270" s="8" t="s">
        <v>5</v>
      </c>
      <c r="E270" s="8" t="s">
        <v>88</v>
      </c>
      <c r="F270" s="8" t="s">
        <v>246</v>
      </c>
      <c r="G270" s="34" t="s">
        <v>4710</v>
      </c>
      <c r="H270" s="8" t="s">
        <v>246</v>
      </c>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ht="16.5" customHeight="1">
      <c r="A271" s="8" t="s">
        <v>5</v>
      </c>
      <c r="E271" s="8" t="s">
        <v>88</v>
      </c>
      <c r="F271" s="8" t="s">
        <v>247</v>
      </c>
      <c r="G271" s="31"/>
      <c r="H271" s="31"/>
      <c r="I271" s="31"/>
      <c r="J271" s="9"/>
      <c r="K271" s="9"/>
      <c r="L271" s="9"/>
      <c r="M271" s="9"/>
      <c r="N271" s="9"/>
      <c r="O271" s="9"/>
      <c r="P271" s="9"/>
      <c r="Q271" s="9"/>
      <c r="R271" s="9"/>
      <c r="S271" s="9"/>
      <c r="T271" s="9"/>
      <c r="U271" s="9"/>
      <c r="V271" s="9"/>
      <c r="W271" s="9"/>
      <c r="X271" s="9"/>
      <c r="Y271" s="9"/>
      <c r="Z271" s="9"/>
      <c r="AA271" s="9"/>
      <c r="AB271" s="9"/>
      <c r="AC271" s="9"/>
      <c r="AD271" s="9"/>
      <c r="AE271" s="9"/>
      <c r="AF271" s="9"/>
    </row>
    <row r="272" ht="16.5" customHeight="1">
      <c r="A272" s="8" t="s">
        <v>5</v>
      </c>
      <c r="E272" s="8" t="s">
        <v>88</v>
      </c>
      <c r="F272" s="8" t="s">
        <v>95</v>
      </c>
      <c r="G272" s="34" t="s">
        <v>4711</v>
      </c>
      <c r="H272" s="8" t="s">
        <v>95</v>
      </c>
      <c r="I272" s="31"/>
      <c r="J272" s="9"/>
      <c r="K272" s="9"/>
      <c r="L272" s="9"/>
      <c r="M272" s="9"/>
      <c r="N272" s="9"/>
      <c r="O272" s="9"/>
      <c r="P272" s="9"/>
      <c r="Q272" s="9"/>
      <c r="R272" s="9"/>
      <c r="S272" s="9"/>
      <c r="T272" s="9"/>
      <c r="U272" s="9"/>
      <c r="V272" s="9"/>
      <c r="W272" s="9"/>
      <c r="X272" s="9"/>
      <c r="Y272" s="9"/>
      <c r="Z272" s="9"/>
      <c r="AA272" s="9"/>
      <c r="AB272" s="9"/>
      <c r="AC272" s="9"/>
      <c r="AD272" s="9"/>
      <c r="AE272" s="9"/>
      <c r="AF272" s="9"/>
    </row>
    <row r="273" ht="16.5" customHeight="1">
      <c r="A273" s="8" t="s">
        <v>5</v>
      </c>
      <c r="E273" s="8" t="s">
        <v>88</v>
      </c>
      <c r="F273" s="8" t="s">
        <v>96</v>
      </c>
      <c r="G273" s="34" t="s">
        <v>4712</v>
      </c>
      <c r="H273" s="8" t="s">
        <v>96</v>
      </c>
      <c r="I273" s="31"/>
      <c r="J273" s="9"/>
      <c r="K273" s="9"/>
      <c r="L273" s="9"/>
      <c r="M273" s="9"/>
      <c r="N273" s="9"/>
      <c r="O273" s="9"/>
      <c r="P273" s="9"/>
      <c r="Q273" s="9"/>
      <c r="R273" s="9"/>
      <c r="S273" s="9"/>
      <c r="T273" s="9"/>
      <c r="U273" s="9"/>
      <c r="V273" s="9"/>
      <c r="W273" s="9"/>
      <c r="X273" s="9"/>
      <c r="Y273" s="9"/>
      <c r="Z273" s="9"/>
      <c r="AA273" s="9"/>
      <c r="AB273" s="9"/>
      <c r="AC273" s="9"/>
      <c r="AD273" s="9"/>
      <c r="AE273" s="9"/>
      <c r="AF273" s="9"/>
    </row>
    <row r="274" ht="16.5" customHeight="1">
      <c r="A274" s="8" t="s">
        <v>5</v>
      </c>
      <c r="E274" s="8" t="s">
        <v>88</v>
      </c>
      <c r="F274" s="8" t="s">
        <v>122</v>
      </c>
      <c r="G274" s="34" t="s">
        <v>4713</v>
      </c>
      <c r="H274" s="8" t="s">
        <v>122</v>
      </c>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ht="16.5" customHeight="1">
      <c r="A275" s="8" t="s">
        <v>5</v>
      </c>
      <c r="E275" s="8" t="s">
        <v>86</v>
      </c>
      <c r="F275" s="8" t="s">
        <v>90</v>
      </c>
      <c r="G275" s="34" t="s">
        <v>4714</v>
      </c>
      <c r="H275" s="8" t="s">
        <v>90</v>
      </c>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ht="16.5" customHeight="1">
      <c r="A276" s="8" t="s">
        <v>5</v>
      </c>
      <c r="E276" s="8" t="s">
        <v>86</v>
      </c>
      <c r="F276" s="8" t="s">
        <v>91</v>
      </c>
      <c r="G276" s="34" t="s">
        <v>4715</v>
      </c>
      <c r="H276" s="8" t="s">
        <v>91</v>
      </c>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ht="16.5" customHeight="1">
      <c r="A277" s="8" t="s">
        <v>5</v>
      </c>
      <c r="E277" s="8" t="s">
        <v>86</v>
      </c>
      <c r="F277" s="8" t="s">
        <v>338</v>
      </c>
      <c r="G277" s="34" t="s">
        <v>4716</v>
      </c>
      <c r="H277" s="8" t="s">
        <v>338</v>
      </c>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ht="16.5" customHeight="1">
      <c r="A278" s="8" t="s">
        <v>5</v>
      </c>
      <c r="E278" s="8" t="s">
        <v>104</v>
      </c>
      <c r="F278" s="8" t="s">
        <v>250</v>
      </c>
      <c r="G278" s="34" t="s">
        <v>4717</v>
      </c>
      <c r="H278" s="8" t="s">
        <v>250</v>
      </c>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ht="16.5" customHeight="1">
      <c r="A279" s="8" t="s">
        <v>5</v>
      </c>
      <c r="E279" s="8" t="s">
        <v>178</v>
      </c>
      <c r="F279" s="8" t="s">
        <v>209</v>
      </c>
      <c r="G279" s="34" t="s">
        <v>4718</v>
      </c>
      <c r="H279" s="8" t="s">
        <v>209</v>
      </c>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ht="16.5" customHeight="1">
      <c r="A280" s="8" t="s">
        <v>5</v>
      </c>
      <c r="E280" s="8" t="s">
        <v>178</v>
      </c>
      <c r="F280" s="8" t="s">
        <v>210</v>
      </c>
      <c r="G280" s="34" t="s">
        <v>4719</v>
      </c>
      <c r="H280" s="8" t="s">
        <v>210</v>
      </c>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ht="16.5" customHeight="1">
      <c r="A281" s="8" t="s">
        <v>5</v>
      </c>
      <c r="B281" s="348" t="s">
        <v>4720</v>
      </c>
      <c r="C281" s="508" t="s">
        <v>4721</v>
      </c>
      <c r="D281" s="348" t="s">
        <v>20</v>
      </c>
      <c r="E281" s="8" t="s">
        <v>88</v>
      </c>
      <c r="F281" s="8" t="s">
        <v>89</v>
      </c>
      <c r="G281" s="29"/>
      <c r="H281" s="36"/>
      <c r="L281" s="9"/>
      <c r="M281" s="9"/>
      <c r="N281" s="9"/>
      <c r="O281" s="9"/>
      <c r="P281" s="9"/>
      <c r="Q281" s="9"/>
      <c r="R281" s="9"/>
      <c r="S281" s="9"/>
      <c r="T281" s="9"/>
      <c r="U281" s="9"/>
      <c r="V281" s="9"/>
      <c r="W281" s="9"/>
      <c r="X281" s="9"/>
      <c r="Y281" s="9"/>
      <c r="Z281" s="9"/>
      <c r="AA281" s="9"/>
      <c r="AB281" s="9"/>
      <c r="AC281" s="9"/>
      <c r="AD281" s="9"/>
      <c r="AE281" s="9"/>
      <c r="AF281" s="9"/>
    </row>
    <row r="282" ht="16.5" customHeight="1">
      <c r="A282" s="8" t="s">
        <v>5</v>
      </c>
      <c r="E282" s="8" t="s">
        <v>88</v>
      </c>
      <c r="F282" s="8" t="s">
        <v>154</v>
      </c>
      <c r="G282" s="34" t="s">
        <v>4722</v>
      </c>
      <c r="H282" s="35" t="s">
        <v>154</v>
      </c>
      <c r="L282" s="9"/>
      <c r="M282" s="9"/>
      <c r="N282" s="9"/>
      <c r="O282" s="9"/>
      <c r="P282" s="9"/>
      <c r="Q282" s="9"/>
      <c r="R282" s="9"/>
      <c r="S282" s="9"/>
      <c r="T282" s="9"/>
      <c r="U282" s="9"/>
      <c r="V282" s="9"/>
      <c r="W282" s="9"/>
      <c r="X282" s="9"/>
      <c r="Y282" s="9"/>
      <c r="Z282" s="9"/>
      <c r="AA282" s="9"/>
      <c r="AB282" s="9"/>
      <c r="AC282" s="9"/>
      <c r="AD282" s="9"/>
      <c r="AE282" s="9"/>
      <c r="AF282" s="9"/>
    </row>
    <row r="283" ht="16.5" customHeight="1">
      <c r="A283" s="8" t="s">
        <v>5</v>
      </c>
      <c r="E283" s="8" t="s">
        <v>21</v>
      </c>
      <c r="F283" s="8" t="s">
        <v>51</v>
      </c>
      <c r="G283" s="34" t="s">
        <v>4723</v>
      </c>
      <c r="H283" s="35" t="s">
        <v>51</v>
      </c>
      <c r="L283" s="9"/>
      <c r="M283" s="9"/>
      <c r="N283" s="9"/>
      <c r="O283" s="9"/>
      <c r="P283" s="9"/>
      <c r="Q283" s="9"/>
      <c r="R283" s="9"/>
      <c r="S283" s="9"/>
      <c r="T283" s="9"/>
      <c r="U283" s="9"/>
      <c r="V283" s="9"/>
      <c r="W283" s="9"/>
      <c r="X283" s="9"/>
      <c r="Y283" s="9"/>
      <c r="Z283" s="9"/>
      <c r="AA283" s="9"/>
      <c r="AB283" s="9"/>
      <c r="AC283" s="9"/>
      <c r="AD283" s="9"/>
      <c r="AE283" s="9"/>
      <c r="AF283" s="9"/>
    </row>
    <row r="284" ht="16.5" customHeight="1">
      <c r="A284" s="8" t="s">
        <v>5</v>
      </c>
      <c r="E284" s="8" t="s">
        <v>88</v>
      </c>
      <c r="F284" s="8" t="s">
        <v>120</v>
      </c>
      <c r="G284" s="34" t="s">
        <v>4724</v>
      </c>
      <c r="H284" s="8" t="s">
        <v>120</v>
      </c>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ht="16.5" customHeight="1">
      <c r="A285" s="8" t="s">
        <v>5</v>
      </c>
      <c r="E285" s="8" t="s">
        <v>88</v>
      </c>
      <c r="F285" s="8" t="s">
        <v>544</v>
      </c>
      <c r="G285" s="34" t="s">
        <v>4725</v>
      </c>
      <c r="H285" s="8" t="s">
        <v>544</v>
      </c>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ht="16.5" customHeight="1">
      <c r="A286" s="8" t="s">
        <v>5</v>
      </c>
      <c r="E286" s="8" t="s">
        <v>88</v>
      </c>
      <c r="F286" s="8" t="s">
        <v>246</v>
      </c>
      <c r="G286" s="34" t="s">
        <v>4726</v>
      </c>
      <c r="H286" s="8" t="s">
        <v>246</v>
      </c>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ht="16.5" customHeight="1">
      <c r="A287" s="8" t="s">
        <v>5</v>
      </c>
      <c r="E287" s="8" t="s">
        <v>88</v>
      </c>
      <c r="F287" s="8" t="s">
        <v>247</v>
      </c>
      <c r="G287" s="31"/>
      <c r="H287" s="31"/>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ht="16.5" customHeight="1">
      <c r="A288" s="8" t="s">
        <v>5</v>
      </c>
      <c r="E288" s="8" t="s">
        <v>88</v>
      </c>
      <c r="F288" s="8" t="s">
        <v>95</v>
      </c>
      <c r="G288" s="34" t="s">
        <v>4727</v>
      </c>
      <c r="H288" s="8" t="s">
        <v>95</v>
      </c>
      <c r="I288" s="31"/>
      <c r="J288" s="9"/>
      <c r="K288" s="9"/>
      <c r="L288" s="9"/>
      <c r="M288" s="9"/>
      <c r="N288" s="9"/>
      <c r="O288" s="9"/>
      <c r="P288" s="9"/>
      <c r="Q288" s="9"/>
      <c r="R288" s="9"/>
      <c r="S288" s="9"/>
      <c r="T288" s="9"/>
      <c r="U288" s="9"/>
      <c r="V288" s="9"/>
      <c r="W288" s="9"/>
      <c r="X288" s="9"/>
      <c r="Y288" s="9"/>
      <c r="Z288" s="9"/>
      <c r="AA288" s="9"/>
      <c r="AB288" s="9"/>
      <c r="AC288" s="9"/>
      <c r="AD288" s="9"/>
      <c r="AE288" s="9"/>
      <c r="AF288" s="9"/>
    </row>
    <row r="289" ht="16.5" customHeight="1">
      <c r="A289" s="8" t="s">
        <v>5</v>
      </c>
      <c r="E289" s="8" t="s">
        <v>88</v>
      </c>
      <c r="F289" s="8" t="s">
        <v>96</v>
      </c>
      <c r="G289" s="34" t="s">
        <v>4728</v>
      </c>
      <c r="H289" s="8" t="s">
        <v>96</v>
      </c>
      <c r="I289" s="31"/>
      <c r="J289" s="9"/>
      <c r="K289" s="9"/>
      <c r="L289" s="9"/>
      <c r="M289" s="9"/>
      <c r="N289" s="9"/>
      <c r="O289" s="9"/>
      <c r="P289" s="9"/>
      <c r="Q289" s="9"/>
      <c r="R289" s="9"/>
      <c r="S289" s="9"/>
      <c r="T289" s="9"/>
      <c r="U289" s="9"/>
      <c r="V289" s="9"/>
      <c r="W289" s="9"/>
      <c r="X289" s="9"/>
      <c r="Y289" s="9"/>
      <c r="Z289" s="9"/>
      <c r="AA289" s="9"/>
      <c r="AB289" s="9"/>
      <c r="AC289" s="9"/>
      <c r="AD289" s="9"/>
      <c r="AE289" s="9"/>
      <c r="AF289" s="9"/>
    </row>
    <row r="290" ht="16.5" customHeight="1">
      <c r="A290" s="8" t="s">
        <v>5</v>
      </c>
      <c r="E290" s="8" t="s">
        <v>88</v>
      </c>
      <c r="F290" s="8" t="s">
        <v>122</v>
      </c>
      <c r="G290" s="34" t="s">
        <v>4729</v>
      </c>
      <c r="H290" s="8" t="s">
        <v>122</v>
      </c>
      <c r="I290" s="31"/>
      <c r="J290" s="9"/>
      <c r="K290" s="9"/>
      <c r="L290" s="9"/>
      <c r="M290" s="9"/>
      <c r="N290" s="9"/>
      <c r="O290" s="9"/>
      <c r="P290" s="9"/>
      <c r="Q290" s="9"/>
      <c r="R290" s="9"/>
      <c r="S290" s="9"/>
      <c r="T290" s="9"/>
      <c r="U290" s="9"/>
      <c r="V290" s="9"/>
      <c r="W290" s="9"/>
      <c r="X290" s="9"/>
      <c r="Y290" s="9"/>
      <c r="Z290" s="9"/>
      <c r="AA290" s="9"/>
      <c r="AB290" s="9"/>
      <c r="AC290" s="9"/>
      <c r="AD290" s="9"/>
      <c r="AE290" s="9"/>
      <c r="AF290" s="9"/>
    </row>
    <row r="291" ht="16.5" customHeight="1">
      <c r="A291" s="8" t="s">
        <v>5</v>
      </c>
      <c r="E291" s="8" t="s">
        <v>86</v>
      </c>
      <c r="F291" s="8" t="s">
        <v>90</v>
      </c>
      <c r="G291" s="34" t="s">
        <v>4730</v>
      </c>
      <c r="H291" s="8" t="s">
        <v>90</v>
      </c>
      <c r="I291" s="31"/>
      <c r="J291" s="9"/>
      <c r="K291" s="9"/>
      <c r="L291" s="9"/>
      <c r="M291" s="9"/>
      <c r="N291" s="9"/>
      <c r="O291" s="9"/>
      <c r="P291" s="9"/>
      <c r="Q291" s="9"/>
      <c r="R291" s="9"/>
      <c r="S291" s="9"/>
      <c r="T291" s="9"/>
      <c r="U291" s="9"/>
      <c r="V291" s="9"/>
      <c r="W291" s="9"/>
      <c r="X291" s="9"/>
      <c r="Y291" s="9"/>
      <c r="Z291" s="9"/>
      <c r="AA291" s="9"/>
      <c r="AB291" s="9"/>
      <c r="AC291" s="9"/>
      <c r="AD291" s="9"/>
      <c r="AE291" s="9"/>
      <c r="AF291" s="9"/>
    </row>
    <row r="292" ht="16.5" customHeight="1">
      <c r="A292" s="8" t="s">
        <v>5</v>
      </c>
      <c r="E292" s="8" t="s">
        <v>86</v>
      </c>
      <c r="F292" s="8" t="s">
        <v>91</v>
      </c>
      <c r="G292" s="34" t="s">
        <v>4731</v>
      </c>
      <c r="H292" s="8" t="s">
        <v>91</v>
      </c>
      <c r="I292" s="31"/>
      <c r="J292" s="9"/>
      <c r="K292" s="9"/>
      <c r="L292" s="9"/>
      <c r="M292" s="9"/>
      <c r="N292" s="9"/>
      <c r="O292" s="9"/>
      <c r="P292" s="9"/>
      <c r="Q292" s="9"/>
      <c r="R292" s="9"/>
      <c r="S292" s="9"/>
      <c r="T292" s="9"/>
      <c r="U292" s="9"/>
      <c r="V292" s="9"/>
      <c r="W292" s="9"/>
      <c r="X292" s="9"/>
      <c r="Y292" s="9"/>
      <c r="Z292" s="9"/>
      <c r="AA292" s="9"/>
      <c r="AB292" s="9"/>
      <c r="AC292" s="9"/>
      <c r="AD292" s="9"/>
      <c r="AE292" s="9"/>
      <c r="AF292" s="9"/>
    </row>
    <row r="293" ht="16.5" customHeight="1">
      <c r="A293" s="8" t="s">
        <v>5</v>
      </c>
      <c r="E293" s="8" t="s">
        <v>86</v>
      </c>
      <c r="F293" s="8" t="s">
        <v>338</v>
      </c>
      <c r="G293" s="34" t="s">
        <v>4732</v>
      </c>
      <c r="H293" s="8" t="s">
        <v>338</v>
      </c>
      <c r="I293" s="31"/>
      <c r="J293" s="9"/>
      <c r="K293" s="9"/>
      <c r="L293" s="9"/>
      <c r="M293" s="9"/>
      <c r="N293" s="9"/>
      <c r="O293" s="9"/>
      <c r="P293" s="9"/>
      <c r="Q293" s="9"/>
      <c r="R293" s="9"/>
      <c r="S293" s="9"/>
      <c r="T293" s="9"/>
      <c r="U293" s="9"/>
      <c r="V293" s="9"/>
      <c r="W293" s="9"/>
      <c r="X293" s="9"/>
      <c r="Y293" s="9"/>
      <c r="Z293" s="9"/>
      <c r="AA293" s="9"/>
      <c r="AB293" s="9"/>
      <c r="AC293" s="9"/>
      <c r="AD293" s="9"/>
      <c r="AE293" s="9"/>
      <c r="AF293" s="9"/>
    </row>
    <row r="294" ht="16.5" customHeight="1">
      <c r="A294" s="8" t="s">
        <v>5</v>
      </c>
      <c r="E294" s="8" t="s">
        <v>104</v>
      </c>
      <c r="F294" s="8" t="s">
        <v>250</v>
      </c>
      <c r="G294" s="34" t="s">
        <v>4733</v>
      </c>
      <c r="H294" s="8" t="s">
        <v>250</v>
      </c>
      <c r="I294" s="31"/>
      <c r="J294" s="9"/>
      <c r="K294" s="9"/>
      <c r="L294" s="9"/>
      <c r="M294" s="9"/>
      <c r="N294" s="9"/>
      <c r="O294" s="9"/>
      <c r="P294" s="9"/>
      <c r="Q294" s="9"/>
      <c r="R294" s="9"/>
      <c r="S294" s="9"/>
      <c r="T294" s="9"/>
      <c r="U294" s="9"/>
      <c r="V294" s="9"/>
      <c r="W294" s="9"/>
      <c r="X294" s="9"/>
      <c r="Y294" s="9"/>
      <c r="Z294" s="9"/>
      <c r="AA294" s="9"/>
      <c r="AB294" s="9"/>
      <c r="AC294" s="9"/>
      <c r="AD294" s="9"/>
      <c r="AE294" s="9"/>
      <c r="AF294" s="9"/>
    </row>
    <row r="295" ht="16.5" customHeight="1">
      <c r="A295" s="8" t="s">
        <v>5</v>
      </c>
      <c r="E295" s="8" t="s">
        <v>178</v>
      </c>
      <c r="F295" s="8" t="s">
        <v>209</v>
      </c>
      <c r="G295" s="34" t="s">
        <v>4734</v>
      </c>
      <c r="H295" s="8" t="s">
        <v>209</v>
      </c>
      <c r="I295" s="31"/>
      <c r="J295" s="9"/>
      <c r="K295" s="9"/>
      <c r="L295" s="9"/>
      <c r="M295" s="9"/>
      <c r="N295" s="9"/>
      <c r="O295" s="9"/>
      <c r="P295" s="9"/>
      <c r="Q295" s="9"/>
      <c r="R295" s="9"/>
      <c r="S295" s="9"/>
      <c r="T295" s="9"/>
      <c r="U295" s="9"/>
      <c r="V295" s="9"/>
      <c r="W295" s="9"/>
      <c r="X295" s="9"/>
      <c r="Y295" s="9"/>
      <c r="Z295" s="9"/>
      <c r="AA295" s="9"/>
      <c r="AB295" s="9"/>
      <c r="AC295" s="9"/>
      <c r="AD295" s="9"/>
      <c r="AE295" s="9"/>
      <c r="AF295" s="9"/>
    </row>
    <row r="296" ht="16.5" customHeight="1">
      <c r="A296" s="8" t="s">
        <v>5</v>
      </c>
      <c r="E296" s="8" t="s">
        <v>178</v>
      </c>
      <c r="F296" s="8" t="s">
        <v>210</v>
      </c>
      <c r="G296" s="34" t="s">
        <v>4735</v>
      </c>
      <c r="H296" s="8" t="s">
        <v>210</v>
      </c>
      <c r="I296" s="31"/>
      <c r="J296" s="9"/>
      <c r="K296" s="9"/>
      <c r="L296" s="9"/>
      <c r="M296" s="9"/>
      <c r="N296" s="9"/>
      <c r="O296" s="9"/>
      <c r="P296" s="9"/>
      <c r="Q296" s="9"/>
      <c r="R296" s="9"/>
      <c r="S296" s="9"/>
      <c r="T296" s="9"/>
      <c r="U296" s="9"/>
      <c r="V296" s="9"/>
      <c r="W296" s="9"/>
      <c r="X296" s="9"/>
      <c r="Y296" s="9"/>
      <c r="Z296" s="9"/>
      <c r="AA296" s="9"/>
      <c r="AB296" s="9"/>
      <c r="AC296" s="9"/>
      <c r="AD296" s="9"/>
      <c r="AE296" s="9"/>
      <c r="AF296" s="9"/>
    </row>
    <row r="297" ht="16.5" customHeight="1">
      <c r="A297" s="8" t="s">
        <v>5</v>
      </c>
      <c r="B297" s="348" t="s">
        <v>4736</v>
      </c>
      <c r="C297" s="508" t="s">
        <v>4737</v>
      </c>
      <c r="D297" s="348" t="s">
        <v>20</v>
      </c>
      <c r="E297" s="8" t="s">
        <v>88</v>
      </c>
      <c r="F297" s="8" t="s">
        <v>89</v>
      </c>
      <c r="G297" s="29"/>
      <c r="H297" s="36"/>
      <c r="L297" s="9"/>
      <c r="M297" s="9"/>
      <c r="N297" s="9"/>
      <c r="O297" s="9"/>
      <c r="P297" s="9"/>
      <c r="Q297" s="9"/>
      <c r="R297" s="9"/>
      <c r="S297" s="9"/>
      <c r="T297" s="9"/>
      <c r="U297" s="9"/>
      <c r="V297" s="9"/>
      <c r="W297" s="9"/>
      <c r="X297" s="9"/>
      <c r="Y297" s="9"/>
      <c r="Z297" s="9"/>
      <c r="AA297" s="9"/>
      <c r="AB297" s="9"/>
      <c r="AC297" s="9"/>
      <c r="AD297" s="9"/>
      <c r="AE297" s="9"/>
      <c r="AF297" s="9"/>
    </row>
    <row r="298" ht="16.5" customHeight="1">
      <c r="A298" s="8" t="s">
        <v>5</v>
      </c>
      <c r="E298" s="8" t="s">
        <v>88</v>
      </c>
      <c r="F298" s="8" t="s">
        <v>154</v>
      </c>
      <c r="G298" s="34" t="s">
        <v>4738</v>
      </c>
      <c r="H298" s="35" t="s">
        <v>154</v>
      </c>
      <c r="L298" s="9"/>
      <c r="M298" s="9"/>
      <c r="N298" s="9"/>
      <c r="O298" s="9"/>
      <c r="P298" s="9"/>
      <c r="Q298" s="9"/>
      <c r="R298" s="9"/>
      <c r="S298" s="9"/>
      <c r="T298" s="9"/>
      <c r="U298" s="9"/>
      <c r="V298" s="9"/>
      <c r="W298" s="9"/>
      <c r="X298" s="9"/>
      <c r="Y298" s="9"/>
      <c r="Z298" s="9"/>
      <c r="AA298" s="9"/>
      <c r="AB298" s="9"/>
      <c r="AC298" s="9"/>
      <c r="AD298" s="9"/>
      <c r="AE298" s="9"/>
      <c r="AF298" s="9"/>
    </row>
    <row r="299" ht="16.5" customHeight="1">
      <c r="A299" s="8" t="s">
        <v>5</v>
      </c>
      <c r="E299" s="8" t="s">
        <v>21</v>
      </c>
      <c r="F299" s="8" t="s">
        <v>51</v>
      </c>
      <c r="G299" s="34" t="s">
        <v>4739</v>
      </c>
      <c r="H299" s="8" t="s">
        <v>51</v>
      </c>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ht="16.5" customHeight="1">
      <c r="A300" s="8" t="s">
        <v>5</v>
      </c>
      <c r="E300" s="8" t="s">
        <v>88</v>
      </c>
      <c r="F300" s="8" t="s">
        <v>120</v>
      </c>
      <c r="G300" s="34" t="s">
        <v>4740</v>
      </c>
      <c r="H300" s="8" t="s">
        <v>120</v>
      </c>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ht="16.5" customHeight="1">
      <c r="A301" s="8" t="s">
        <v>5</v>
      </c>
      <c r="E301" s="8" t="s">
        <v>88</v>
      </c>
      <c r="F301" s="8" t="s">
        <v>544</v>
      </c>
      <c r="G301" s="34" t="s">
        <v>4741</v>
      </c>
      <c r="H301" s="8" t="s">
        <v>544</v>
      </c>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ht="16.5" customHeight="1">
      <c r="A302" s="8" t="s">
        <v>5</v>
      </c>
      <c r="E302" s="8" t="s">
        <v>88</v>
      </c>
      <c r="F302" s="8" t="s">
        <v>246</v>
      </c>
      <c r="G302" s="34" t="s">
        <v>4742</v>
      </c>
      <c r="H302" s="8" t="s">
        <v>246</v>
      </c>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ht="16.5" customHeight="1">
      <c r="A303" s="8" t="s">
        <v>5</v>
      </c>
      <c r="E303" s="8" t="s">
        <v>88</v>
      </c>
      <c r="F303" s="8" t="s">
        <v>247</v>
      </c>
      <c r="G303" s="31"/>
      <c r="H303" s="31"/>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ht="16.5" customHeight="1">
      <c r="A304" s="8" t="s">
        <v>5</v>
      </c>
      <c r="E304" s="8" t="s">
        <v>88</v>
      </c>
      <c r="F304" s="8" t="s">
        <v>95</v>
      </c>
      <c r="G304" s="34" t="s">
        <v>4743</v>
      </c>
      <c r="H304" s="8" t="s">
        <v>95</v>
      </c>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ht="16.5" customHeight="1">
      <c r="A305" s="8" t="s">
        <v>5</v>
      </c>
      <c r="E305" s="8" t="s">
        <v>88</v>
      </c>
      <c r="F305" s="8" t="s">
        <v>96</v>
      </c>
      <c r="G305" s="34" t="s">
        <v>4744</v>
      </c>
      <c r="H305" s="8" t="s">
        <v>96</v>
      </c>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ht="16.5" customHeight="1">
      <c r="A306" s="8" t="s">
        <v>5</v>
      </c>
      <c r="E306" s="8" t="s">
        <v>86</v>
      </c>
      <c r="F306" s="8" t="s">
        <v>90</v>
      </c>
      <c r="G306" s="34" t="s">
        <v>4745</v>
      </c>
      <c r="H306" s="8" t="s">
        <v>90</v>
      </c>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ht="16.5" customHeight="1">
      <c r="A307" s="8" t="s">
        <v>5</v>
      </c>
      <c r="E307" s="8" t="s">
        <v>86</v>
      </c>
      <c r="F307" s="8" t="s">
        <v>91</v>
      </c>
      <c r="G307" s="34" t="s">
        <v>4746</v>
      </c>
      <c r="H307" s="8" t="s">
        <v>91</v>
      </c>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ht="16.5" customHeight="1">
      <c r="A308" s="8" t="s">
        <v>5</v>
      </c>
      <c r="E308" s="8" t="s">
        <v>86</v>
      </c>
      <c r="F308" s="8" t="s">
        <v>338</v>
      </c>
      <c r="G308" s="34" t="s">
        <v>4747</v>
      </c>
      <c r="H308" s="8" t="s">
        <v>338</v>
      </c>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ht="16.5" customHeight="1">
      <c r="A309" s="8" t="s">
        <v>5</v>
      </c>
      <c r="E309" s="8" t="s">
        <v>178</v>
      </c>
      <c r="F309" s="8" t="s">
        <v>209</v>
      </c>
      <c r="G309" s="34" t="s">
        <v>4748</v>
      </c>
      <c r="H309" s="8" t="s">
        <v>209</v>
      </c>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ht="16.5" customHeight="1">
      <c r="A310" s="8" t="s">
        <v>5</v>
      </c>
      <c r="E310" s="8" t="s">
        <v>178</v>
      </c>
      <c r="F310" s="8" t="s">
        <v>210</v>
      </c>
      <c r="G310" s="34" t="s">
        <v>4749</v>
      </c>
      <c r="H310" s="8" t="s">
        <v>210</v>
      </c>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ht="16.5" customHeight="1">
      <c r="A311" s="8" t="s">
        <v>5</v>
      </c>
      <c r="E311" s="8" t="s">
        <v>104</v>
      </c>
      <c r="F311" s="8" t="s">
        <v>250</v>
      </c>
      <c r="G311" s="34" t="s">
        <v>4750</v>
      </c>
      <c r="H311" s="8" t="s">
        <v>250</v>
      </c>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ht="16.5" customHeight="1">
      <c r="A312" s="8" t="s">
        <v>5</v>
      </c>
      <c r="B312" s="348" t="s">
        <v>4751</v>
      </c>
      <c r="C312" s="508" t="s">
        <v>4752</v>
      </c>
      <c r="D312" s="348" t="s">
        <v>20</v>
      </c>
      <c r="E312" s="8" t="s">
        <v>88</v>
      </c>
      <c r="F312" s="8" t="s">
        <v>89</v>
      </c>
      <c r="G312" s="29"/>
      <c r="H312" s="36"/>
      <c r="I312" s="36"/>
      <c r="L312" s="9"/>
      <c r="M312" s="9"/>
      <c r="N312" s="9"/>
      <c r="O312" s="9"/>
      <c r="P312" s="9"/>
      <c r="Q312" s="9"/>
      <c r="R312" s="9"/>
      <c r="S312" s="9"/>
      <c r="T312" s="9"/>
      <c r="U312" s="9"/>
      <c r="V312" s="9"/>
      <c r="W312" s="9"/>
      <c r="X312" s="9"/>
      <c r="Y312" s="9"/>
      <c r="Z312" s="9"/>
      <c r="AA312" s="9"/>
      <c r="AB312" s="9"/>
      <c r="AC312" s="9"/>
      <c r="AD312" s="9"/>
      <c r="AE312" s="9"/>
      <c r="AF312" s="9"/>
    </row>
    <row r="313" ht="16.5" customHeight="1">
      <c r="A313" s="8" t="s">
        <v>5</v>
      </c>
      <c r="E313" s="8" t="s">
        <v>88</v>
      </c>
      <c r="F313" s="8" t="s">
        <v>154</v>
      </c>
      <c r="G313" s="34" t="s">
        <v>4753</v>
      </c>
      <c r="H313" s="35" t="s">
        <v>154</v>
      </c>
      <c r="I313" s="36"/>
      <c r="L313" s="9"/>
      <c r="M313" s="9"/>
      <c r="N313" s="9"/>
      <c r="O313" s="9"/>
      <c r="P313" s="9"/>
      <c r="Q313" s="9"/>
      <c r="R313" s="9"/>
      <c r="S313" s="9"/>
      <c r="T313" s="9"/>
      <c r="U313" s="9"/>
      <c r="V313" s="9"/>
      <c r="W313" s="9"/>
      <c r="X313" s="9"/>
      <c r="Y313" s="9"/>
      <c r="Z313" s="9"/>
      <c r="AA313" s="9"/>
      <c r="AB313" s="9"/>
      <c r="AC313" s="9"/>
      <c r="AD313" s="9"/>
      <c r="AE313" s="9"/>
      <c r="AF313" s="9"/>
    </row>
    <row r="314" ht="16.5" customHeight="1">
      <c r="A314" s="8" t="s">
        <v>5</v>
      </c>
      <c r="E314" s="8" t="s">
        <v>21</v>
      </c>
      <c r="F314" s="8" t="s">
        <v>51</v>
      </c>
      <c r="G314" s="34" t="s">
        <v>4754</v>
      </c>
      <c r="H314" s="35" t="s">
        <v>51</v>
      </c>
      <c r="I314" s="36"/>
      <c r="L314" s="9"/>
      <c r="M314" s="9"/>
      <c r="N314" s="9"/>
      <c r="O314" s="9"/>
      <c r="P314" s="9"/>
      <c r="Q314" s="9"/>
      <c r="R314" s="9"/>
      <c r="S314" s="9"/>
      <c r="T314" s="9"/>
      <c r="U314" s="9"/>
      <c r="V314" s="9"/>
      <c r="W314" s="9"/>
      <c r="X314" s="9"/>
      <c r="Y314" s="9"/>
      <c r="Z314" s="9"/>
      <c r="AA314" s="9"/>
      <c r="AB314" s="9"/>
      <c r="AC314" s="9"/>
      <c r="AD314" s="9"/>
      <c r="AE314" s="9"/>
      <c r="AF314" s="9"/>
    </row>
    <row r="315" ht="16.5" customHeight="1">
      <c r="A315" s="8" t="s">
        <v>5</v>
      </c>
      <c r="E315" s="8" t="s">
        <v>172</v>
      </c>
      <c r="F315" s="8" t="s">
        <v>194</v>
      </c>
      <c r="G315" s="34" t="s">
        <v>4755</v>
      </c>
      <c r="H315" s="8" t="s">
        <v>194</v>
      </c>
      <c r="I315" s="31"/>
      <c r="J315" s="9"/>
      <c r="K315" s="9"/>
      <c r="L315" s="9"/>
      <c r="M315" s="9"/>
      <c r="N315" s="9"/>
      <c r="O315" s="9"/>
      <c r="P315" s="9"/>
      <c r="Q315" s="9"/>
      <c r="R315" s="9"/>
      <c r="S315" s="9"/>
      <c r="T315" s="9"/>
      <c r="U315" s="9"/>
      <c r="V315" s="9"/>
      <c r="W315" s="9"/>
      <c r="X315" s="9"/>
      <c r="Y315" s="9"/>
      <c r="Z315" s="9"/>
      <c r="AA315" s="9"/>
      <c r="AB315" s="9"/>
      <c r="AC315" s="9"/>
      <c r="AD315" s="9"/>
      <c r="AE315" s="9"/>
      <c r="AF315" s="9"/>
    </row>
    <row r="316" ht="16.5" customHeight="1">
      <c r="A316" s="8" t="s">
        <v>5</v>
      </c>
      <c r="E316" s="8" t="s">
        <v>172</v>
      </c>
      <c r="F316" s="8" t="s">
        <v>195</v>
      </c>
      <c r="G316" s="34" t="s">
        <v>4756</v>
      </c>
      <c r="H316" s="8" t="s">
        <v>195</v>
      </c>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ht="16.5" customHeight="1">
      <c r="A317" s="8" t="s">
        <v>5</v>
      </c>
      <c r="E317" s="8" t="s">
        <v>88</v>
      </c>
      <c r="F317" s="8" t="s">
        <v>120</v>
      </c>
      <c r="G317" s="34" t="s">
        <v>4757</v>
      </c>
      <c r="H317" s="8" t="s">
        <v>120</v>
      </c>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ht="16.5" customHeight="1">
      <c r="A318" s="8" t="s">
        <v>5</v>
      </c>
      <c r="E318" s="8" t="s">
        <v>88</v>
      </c>
      <c r="F318" s="8" t="s">
        <v>544</v>
      </c>
      <c r="G318" s="34" t="s">
        <v>4758</v>
      </c>
      <c r="H318" s="8" t="s">
        <v>544</v>
      </c>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ht="16.5" customHeight="1">
      <c r="A319" s="8" t="s">
        <v>5</v>
      </c>
      <c r="E319" s="8" t="s">
        <v>88</v>
      </c>
      <c r="F319" s="8" t="s">
        <v>247</v>
      </c>
      <c r="G319" s="31"/>
      <c r="H319" s="31"/>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ht="16.5" customHeight="1">
      <c r="A320" s="8" t="s">
        <v>5</v>
      </c>
      <c r="E320" s="8" t="s">
        <v>88</v>
      </c>
      <c r="F320" s="8" t="s">
        <v>95</v>
      </c>
      <c r="G320" s="34" t="s">
        <v>4759</v>
      </c>
      <c r="H320" s="8" t="s">
        <v>95</v>
      </c>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ht="16.5" customHeight="1">
      <c r="A321" s="8" t="s">
        <v>5</v>
      </c>
      <c r="E321" s="8" t="s">
        <v>88</v>
      </c>
      <c r="F321" s="8" t="s">
        <v>96</v>
      </c>
      <c r="G321" s="34" t="s">
        <v>4760</v>
      </c>
      <c r="H321" s="8" t="s">
        <v>96</v>
      </c>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ht="16.5" customHeight="1">
      <c r="A322" s="8" t="s">
        <v>5</v>
      </c>
      <c r="E322" s="8" t="s">
        <v>88</v>
      </c>
      <c r="F322" s="8" t="s">
        <v>122</v>
      </c>
      <c r="G322" s="34" t="s">
        <v>4761</v>
      </c>
      <c r="H322" s="8" t="s">
        <v>122</v>
      </c>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ht="16.5" customHeight="1">
      <c r="A323" s="8" t="s">
        <v>5</v>
      </c>
      <c r="E323" s="8" t="s">
        <v>86</v>
      </c>
      <c r="F323" s="8" t="s">
        <v>90</v>
      </c>
      <c r="G323" s="34" t="s">
        <v>4762</v>
      </c>
      <c r="H323" s="8" t="s">
        <v>90</v>
      </c>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ht="16.5" customHeight="1">
      <c r="A324" s="8" t="s">
        <v>5</v>
      </c>
      <c r="E324" s="8" t="s">
        <v>86</v>
      </c>
      <c r="F324" s="8" t="s">
        <v>91</v>
      </c>
      <c r="G324" s="34" t="s">
        <v>4763</v>
      </c>
      <c r="H324" s="8" t="s">
        <v>91</v>
      </c>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ht="16.5" customHeight="1">
      <c r="A325" s="8" t="s">
        <v>5</v>
      </c>
      <c r="E325" s="8" t="s">
        <v>86</v>
      </c>
      <c r="F325" s="8" t="s">
        <v>338</v>
      </c>
      <c r="G325" s="34" t="s">
        <v>4764</v>
      </c>
      <c r="H325" s="8" t="s">
        <v>338</v>
      </c>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ht="16.5" customHeight="1">
      <c r="A326" s="8" t="s">
        <v>5</v>
      </c>
      <c r="E326" s="8" t="s">
        <v>178</v>
      </c>
      <c r="F326" s="8" t="s">
        <v>209</v>
      </c>
      <c r="G326" s="34" t="s">
        <v>4765</v>
      </c>
      <c r="H326" s="8" t="s">
        <v>209</v>
      </c>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ht="16.5" customHeight="1">
      <c r="A327" s="8" t="s">
        <v>5</v>
      </c>
      <c r="E327" s="8" t="s">
        <v>178</v>
      </c>
      <c r="F327" s="8" t="s">
        <v>210</v>
      </c>
      <c r="G327" s="34" t="s">
        <v>4766</v>
      </c>
      <c r="H327" s="8" t="s">
        <v>210</v>
      </c>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ht="16.5" customHeight="1">
      <c r="A328" s="8" t="s">
        <v>5</v>
      </c>
      <c r="E328" s="8" t="s">
        <v>104</v>
      </c>
      <c r="F328" s="8" t="s">
        <v>250</v>
      </c>
      <c r="G328" s="34" t="s">
        <v>4767</v>
      </c>
      <c r="H328" s="8" t="s">
        <v>250</v>
      </c>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ht="16.5" customHeight="1">
      <c r="A329" s="8" t="s">
        <v>5</v>
      </c>
      <c r="B329" s="348" t="s">
        <v>4768</v>
      </c>
      <c r="C329" s="508" t="s">
        <v>4769</v>
      </c>
      <c r="D329" s="348" t="s">
        <v>20</v>
      </c>
      <c r="E329" s="8" t="s">
        <v>88</v>
      </c>
      <c r="F329" s="8" t="s">
        <v>89</v>
      </c>
      <c r="G329" s="29"/>
      <c r="H329" s="36"/>
      <c r="L329" s="9"/>
      <c r="M329" s="9"/>
      <c r="N329" s="9"/>
      <c r="O329" s="9"/>
      <c r="P329" s="9"/>
      <c r="Q329" s="9"/>
      <c r="R329" s="9"/>
      <c r="S329" s="9"/>
      <c r="T329" s="9"/>
      <c r="U329" s="9"/>
      <c r="V329" s="9"/>
      <c r="W329" s="9"/>
      <c r="X329" s="9"/>
      <c r="Y329" s="9"/>
      <c r="Z329" s="9"/>
      <c r="AA329" s="9"/>
      <c r="AB329" s="9"/>
      <c r="AC329" s="9"/>
      <c r="AD329" s="9"/>
      <c r="AE329" s="9"/>
      <c r="AF329" s="9"/>
    </row>
    <row r="330" ht="16.5" customHeight="1">
      <c r="A330" s="8" t="s">
        <v>5</v>
      </c>
      <c r="E330" s="8" t="s">
        <v>88</v>
      </c>
      <c r="F330" s="8" t="s">
        <v>154</v>
      </c>
      <c r="G330" s="34" t="s">
        <v>4770</v>
      </c>
      <c r="H330" s="35" t="s">
        <v>154</v>
      </c>
      <c r="L330" s="9"/>
      <c r="M330" s="9"/>
      <c r="N330" s="9"/>
      <c r="O330" s="9"/>
      <c r="P330" s="9"/>
      <c r="Q330" s="9"/>
      <c r="R330" s="9"/>
      <c r="S330" s="9"/>
      <c r="T330" s="9"/>
      <c r="U330" s="9"/>
      <c r="V330" s="9"/>
      <c r="W330" s="9"/>
      <c r="X330" s="9"/>
      <c r="Y330" s="9"/>
      <c r="Z330" s="9"/>
      <c r="AA330" s="9"/>
      <c r="AB330" s="9"/>
      <c r="AC330" s="9"/>
      <c r="AD330" s="9"/>
      <c r="AE330" s="9"/>
      <c r="AF330" s="9"/>
    </row>
    <row r="331" ht="16.5" customHeight="1">
      <c r="A331" s="8" t="s">
        <v>5</v>
      </c>
      <c r="E331" s="8" t="s">
        <v>21</v>
      </c>
      <c r="F331" s="8" t="s">
        <v>51</v>
      </c>
      <c r="G331" s="34" t="s">
        <v>4771</v>
      </c>
      <c r="H331" s="35" t="s">
        <v>51</v>
      </c>
      <c r="L331" s="9"/>
      <c r="M331" s="9"/>
      <c r="N331" s="9"/>
      <c r="O331" s="9"/>
      <c r="P331" s="9"/>
      <c r="Q331" s="9"/>
      <c r="R331" s="9"/>
      <c r="S331" s="9"/>
      <c r="T331" s="9"/>
      <c r="U331" s="9"/>
      <c r="V331" s="9"/>
      <c r="W331" s="9"/>
      <c r="X331" s="9"/>
      <c r="Y331" s="9"/>
      <c r="Z331" s="9"/>
      <c r="AA331" s="9"/>
      <c r="AB331" s="9"/>
      <c r="AC331" s="9"/>
      <c r="AD331" s="9"/>
      <c r="AE331" s="9"/>
      <c r="AF331" s="9"/>
    </row>
    <row r="332" ht="16.5" customHeight="1">
      <c r="A332" s="8" t="s">
        <v>5</v>
      </c>
      <c r="E332" s="8" t="s">
        <v>172</v>
      </c>
      <c r="F332" s="8" t="s">
        <v>194</v>
      </c>
      <c r="G332" s="34" t="s">
        <v>4772</v>
      </c>
      <c r="H332" s="8" t="s">
        <v>194</v>
      </c>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ht="16.5" customHeight="1">
      <c r="A333" s="8" t="s">
        <v>5</v>
      </c>
      <c r="E333" s="8" t="s">
        <v>172</v>
      </c>
      <c r="F333" s="8" t="s">
        <v>195</v>
      </c>
      <c r="G333" s="34" t="s">
        <v>4773</v>
      </c>
      <c r="H333" s="8" t="s">
        <v>195</v>
      </c>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ht="16.5" customHeight="1">
      <c r="A334" s="8" t="s">
        <v>5</v>
      </c>
      <c r="E334" s="8" t="s">
        <v>88</v>
      </c>
      <c r="F334" s="8" t="s">
        <v>120</v>
      </c>
      <c r="G334" s="34" t="s">
        <v>4774</v>
      </c>
      <c r="H334" s="35" t="s">
        <v>120</v>
      </c>
      <c r="L334" s="9"/>
      <c r="M334" s="9"/>
      <c r="N334" s="9"/>
      <c r="O334" s="9"/>
      <c r="P334" s="9"/>
      <c r="Q334" s="9"/>
      <c r="R334" s="9"/>
      <c r="S334" s="9"/>
      <c r="T334" s="9"/>
      <c r="U334" s="9"/>
      <c r="V334" s="9"/>
      <c r="W334" s="9"/>
      <c r="X334" s="9"/>
      <c r="Y334" s="9"/>
      <c r="Z334" s="9"/>
      <c r="AA334" s="9"/>
      <c r="AB334" s="9"/>
      <c r="AC334" s="9"/>
      <c r="AD334" s="9"/>
      <c r="AE334" s="9"/>
      <c r="AF334" s="9"/>
    </row>
    <row r="335" ht="16.5" customHeight="1">
      <c r="A335" s="8" t="s">
        <v>5</v>
      </c>
      <c r="E335" s="8" t="s">
        <v>88</v>
      </c>
      <c r="F335" s="8" t="s">
        <v>544</v>
      </c>
      <c r="G335" s="34" t="s">
        <v>4775</v>
      </c>
      <c r="H335" s="8" t="s">
        <v>544</v>
      </c>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ht="16.5" customHeight="1">
      <c r="A336" s="8" t="s">
        <v>5</v>
      </c>
      <c r="E336" s="8" t="s">
        <v>88</v>
      </c>
      <c r="F336" s="8" t="s">
        <v>247</v>
      </c>
      <c r="G336" s="31"/>
      <c r="H336" s="36"/>
      <c r="I336" s="36"/>
      <c r="L336" s="9"/>
      <c r="M336" s="9"/>
      <c r="N336" s="9"/>
      <c r="O336" s="9"/>
      <c r="P336" s="9"/>
      <c r="Q336" s="9"/>
      <c r="R336" s="9"/>
      <c r="S336" s="9"/>
      <c r="T336" s="9"/>
      <c r="U336" s="9"/>
      <c r="V336" s="9"/>
      <c r="W336" s="9"/>
      <c r="X336" s="9"/>
      <c r="Y336" s="9"/>
      <c r="Z336" s="9"/>
      <c r="AA336" s="9"/>
      <c r="AB336" s="9"/>
      <c r="AC336" s="9"/>
      <c r="AD336" s="9"/>
      <c r="AE336" s="9"/>
      <c r="AF336" s="9"/>
    </row>
    <row r="337" ht="16.5" customHeight="1">
      <c r="A337" s="8" t="s">
        <v>5</v>
      </c>
      <c r="E337" s="8" t="s">
        <v>88</v>
      </c>
      <c r="F337" s="8" t="s">
        <v>95</v>
      </c>
      <c r="G337" s="34" t="s">
        <v>4776</v>
      </c>
      <c r="H337" s="8" t="s">
        <v>95</v>
      </c>
      <c r="I337" s="31"/>
      <c r="J337" s="9"/>
      <c r="K337" s="9"/>
      <c r="L337" s="9"/>
      <c r="M337" s="9"/>
      <c r="N337" s="9"/>
      <c r="O337" s="9"/>
      <c r="P337" s="9"/>
      <c r="Q337" s="9"/>
      <c r="R337" s="9"/>
      <c r="S337" s="9"/>
      <c r="T337" s="9"/>
      <c r="U337" s="9"/>
      <c r="V337" s="9"/>
      <c r="W337" s="9"/>
      <c r="X337" s="9"/>
      <c r="Y337" s="9"/>
      <c r="Z337" s="9"/>
      <c r="AA337" s="9"/>
      <c r="AB337" s="9"/>
      <c r="AC337" s="9"/>
      <c r="AD337" s="9"/>
      <c r="AE337" s="9"/>
      <c r="AF337" s="9"/>
    </row>
    <row r="338" ht="16.5" customHeight="1">
      <c r="A338" s="8" t="s">
        <v>5</v>
      </c>
      <c r="E338" s="8" t="s">
        <v>88</v>
      </c>
      <c r="F338" s="8" t="s">
        <v>96</v>
      </c>
      <c r="G338" s="34" t="s">
        <v>4777</v>
      </c>
      <c r="H338" s="8" t="s">
        <v>96</v>
      </c>
      <c r="I338" s="31"/>
      <c r="J338" s="9"/>
      <c r="K338" s="9"/>
      <c r="L338" s="9"/>
      <c r="M338" s="9"/>
      <c r="N338" s="9"/>
      <c r="O338" s="9"/>
      <c r="P338" s="9"/>
      <c r="Q338" s="9"/>
      <c r="R338" s="9"/>
      <c r="S338" s="9"/>
      <c r="T338" s="9"/>
      <c r="U338" s="9"/>
      <c r="V338" s="9"/>
      <c r="W338" s="9"/>
      <c r="X338" s="9"/>
      <c r="Y338" s="9"/>
      <c r="Z338" s="9"/>
      <c r="AA338" s="9"/>
      <c r="AB338" s="9"/>
      <c r="AC338" s="9"/>
      <c r="AD338" s="9"/>
      <c r="AE338" s="9"/>
      <c r="AF338" s="9"/>
    </row>
    <row r="339" ht="16.5" customHeight="1">
      <c r="A339" s="8" t="s">
        <v>5</v>
      </c>
      <c r="E339" s="8" t="s">
        <v>88</v>
      </c>
      <c r="F339" s="8" t="s">
        <v>122</v>
      </c>
      <c r="G339" s="34" t="s">
        <v>4778</v>
      </c>
      <c r="H339" s="8" t="s">
        <v>122</v>
      </c>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ht="16.5" customHeight="1">
      <c r="A340" s="8" t="s">
        <v>5</v>
      </c>
      <c r="E340" s="8" t="s">
        <v>86</v>
      </c>
      <c r="F340" s="8" t="s">
        <v>90</v>
      </c>
      <c r="G340" s="34" t="s">
        <v>4779</v>
      </c>
      <c r="H340" s="8" t="s">
        <v>90</v>
      </c>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ht="16.5" customHeight="1">
      <c r="A341" s="8" t="s">
        <v>5</v>
      </c>
      <c r="E341" s="8" t="s">
        <v>86</v>
      </c>
      <c r="F341" s="8" t="s">
        <v>91</v>
      </c>
      <c r="G341" s="34" t="s">
        <v>4780</v>
      </c>
      <c r="H341" s="8" t="s">
        <v>91</v>
      </c>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ht="16.5" customHeight="1">
      <c r="A342" s="8" t="s">
        <v>5</v>
      </c>
      <c r="E342" s="8" t="s">
        <v>86</v>
      </c>
      <c r="F342" s="8" t="s">
        <v>338</v>
      </c>
      <c r="G342" s="34" t="s">
        <v>4781</v>
      </c>
      <c r="H342" s="8" t="s">
        <v>338</v>
      </c>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ht="16.5" customHeight="1">
      <c r="A343" s="8" t="s">
        <v>5</v>
      </c>
      <c r="E343" s="8" t="s">
        <v>178</v>
      </c>
      <c r="F343" s="8" t="s">
        <v>209</v>
      </c>
      <c r="G343" s="34" t="s">
        <v>4782</v>
      </c>
      <c r="H343" s="8" t="s">
        <v>209</v>
      </c>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ht="16.5" customHeight="1">
      <c r="A344" s="8" t="s">
        <v>5</v>
      </c>
      <c r="E344" s="8" t="s">
        <v>178</v>
      </c>
      <c r="F344" s="8" t="s">
        <v>210</v>
      </c>
      <c r="G344" s="34" t="s">
        <v>4783</v>
      </c>
      <c r="H344" s="8" t="s">
        <v>210</v>
      </c>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ht="16.5" customHeight="1">
      <c r="A345" s="8" t="s">
        <v>5</v>
      </c>
      <c r="E345" s="8" t="s">
        <v>104</v>
      </c>
      <c r="F345" s="8" t="s">
        <v>250</v>
      </c>
      <c r="G345" s="34" t="s">
        <v>4784</v>
      </c>
      <c r="H345" s="8" t="s">
        <v>250</v>
      </c>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ht="16.5" customHeight="1">
      <c r="A346" s="8" t="s">
        <v>5</v>
      </c>
      <c r="B346" s="348" t="s">
        <v>4785</v>
      </c>
      <c r="C346" s="508" t="s">
        <v>4786</v>
      </c>
      <c r="D346" s="348" t="s">
        <v>20</v>
      </c>
      <c r="E346" s="8" t="s">
        <v>88</v>
      </c>
      <c r="F346" s="8" t="s">
        <v>89</v>
      </c>
      <c r="G346" s="29"/>
      <c r="H346" s="36"/>
      <c r="L346" s="9"/>
      <c r="M346" s="9"/>
      <c r="N346" s="9"/>
      <c r="O346" s="9"/>
      <c r="P346" s="9"/>
      <c r="Q346" s="9"/>
      <c r="R346" s="9"/>
      <c r="S346" s="9"/>
      <c r="T346" s="9"/>
      <c r="U346" s="9"/>
      <c r="V346" s="9"/>
      <c r="W346" s="9"/>
      <c r="X346" s="9"/>
      <c r="Y346" s="9"/>
      <c r="Z346" s="9"/>
      <c r="AA346" s="9"/>
      <c r="AB346" s="9"/>
      <c r="AC346" s="9"/>
      <c r="AD346" s="9"/>
      <c r="AE346" s="9"/>
      <c r="AF346" s="9"/>
    </row>
    <row r="347" ht="16.5" customHeight="1">
      <c r="A347" s="8" t="s">
        <v>5</v>
      </c>
      <c r="E347" s="8" t="s">
        <v>88</v>
      </c>
      <c r="F347" s="8" t="s">
        <v>154</v>
      </c>
      <c r="G347" s="34" t="s">
        <v>4787</v>
      </c>
      <c r="H347" s="35" t="s">
        <v>154</v>
      </c>
      <c r="L347" s="9"/>
      <c r="M347" s="9"/>
      <c r="N347" s="9"/>
      <c r="O347" s="9"/>
      <c r="P347" s="9"/>
      <c r="Q347" s="9"/>
      <c r="R347" s="9"/>
      <c r="S347" s="9"/>
      <c r="T347" s="9"/>
      <c r="U347" s="9"/>
      <c r="V347" s="9"/>
      <c r="W347" s="9"/>
      <c r="X347" s="9"/>
      <c r="Y347" s="9"/>
      <c r="Z347" s="9"/>
      <c r="AA347" s="9"/>
      <c r="AB347" s="9"/>
      <c r="AC347" s="9"/>
      <c r="AD347" s="9"/>
      <c r="AE347" s="9"/>
      <c r="AF347" s="9"/>
    </row>
    <row r="348" ht="16.5" customHeight="1">
      <c r="A348" s="8" t="s">
        <v>5</v>
      </c>
      <c r="E348" s="8" t="s">
        <v>21</v>
      </c>
      <c r="F348" s="8" t="s">
        <v>51</v>
      </c>
      <c r="G348" s="34" t="s">
        <v>4788</v>
      </c>
      <c r="H348" s="35" t="s">
        <v>51</v>
      </c>
      <c r="L348" s="9"/>
      <c r="M348" s="9"/>
      <c r="N348" s="9"/>
      <c r="O348" s="9"/>
      <c r="P348" s="9"/>
      <c r="Q348" s="9"/>
      <c r="R348" s="9"/>
      <c r="S348" s="9"/>
      <c r="T348" s="9"/>
      <c r="U348" s="9"/>
      <c r="V348" s="9"/>
      <c r="W348" s="9"/>
      <c r="X348" s="9"/>
      <c r="Y348" s="9"/>
      <c r="Z348" s="9"/>
      <c r="AA348" s="9"/>
      <c r="AB348" s="9"/>
      <c r="AC348" s="9"/>
      <c r="AD348" s="9"/>
      <c r="AE348" s="9"/>
      <c r="AF348" s="9"/>
    </row>
    <row r="349" ht="16.5" customHeight="1">
      <c r="A349" s="8" t="s">
        <v>5</v>
      </c>
      <c r="E349" s="8" t="s">
        <v>172</v>
      </c>
      <c r="F349" s="8" t="s">
        <v>194</v>
      </c>
      <c r="G349" s="34" t="s">
        <v>4789</v>
      </c>
      <c r="H349" s="8" t="s">
        <v>194</v>
      </c>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ht="16.5" customHeight="1">
      <c r="A350" s="8" t="s">
        <v>5</v>
      </c>
      <c r="E350" s="8" t="s">
        <v>172</v>
      </c>
      <c r="F350" s="8" t="s">
        <v>195</v>
      </c>
      <c r="G350" s="34" t="s">
        <v>4790</v>
      </c>
      <c r="H350" s="8" t="s">
        <v>195</v>
      </c>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ht="16.5" customHeight="1">
      <c r="A351" s="8" t="s">
        <v>5</v>
      </c>
      <c r="E351" s="8" t="s">
        <v>408</v>
      </c>
      <c r="F351" s="8" t="s">
        <v>408</v>
      </c>
      <c r="G351" s="34" t="s">
        <v>4791</v>
      </c>
      <c r="H351" s="8" t="s">
        <v>408</v>
      </c>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ht="16.5" customHeight="1">
      <c r="A352" s="8" t="s">
        <v>5</v>
      </c>
      <c r="E352" s="8" t="s">
        <v>88</v>
      </c>
      <c r="F352" s="8" t="s">
        <v>120</v>
      </c>
      <c r="G352" s="34" t="s">
        <v>4792</v>
      </c>
      <c r="H352" s="8" t="s">
        <v>120</v>
      </c>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ht="16.5" customHeight="1">
      <c r="A353" s="8" t="s">
        <v>5</v>
      </c>
      <c r="E353" s="8" t="s">
        <v>88</v>
      </c>
      <c r="F353" s="8" t="s">
        <v>544</v>
      </c>
      <c r="G353" s="34" t="s">
        <v>4793</v>
      </c>
      <c r="H353" s="8" t="s">
        <v>544</v>
      </c>
      <c r="I353" s="31"/>
      <c r="J353" s="9"/>
      <c r="K353" s="9"/>
      <c r="L353" s="9"/>
      <c r="M353" s="9"/>
      <c r="N353" s="9"/>
      <c r="O353" s="9"/>
      <c r="P353" s="9"/>
      <c r="Q353" s="9"/>
      <c r="R353" s="9"/>
      <c r="S353" s="9"/>
      <c r="T353" s="9"/>
      <c r="U353" s="9"/>
      <c r="V353" s="9"/>
      <c r="W353" s="9"/>
      <c r="X353" s="9"/>
      <c r="Y353" s="9"/>
      <c r="Z353" s="9"/>
      <c r="AA353" s="9"/>
      <c r="AB353" s="9"/>
      <c r="AC353" s="9"/>
      <c r="AD353" s="9"/>
      <c r="AE353" s="9"/>
      <c r="AF353" s="9"/>
    </row>
    <row r="354" ht="16.5" customHeight="1">
      <c r="A354" s="8" t="s">
        <v>5</v>
      </c>
      <c r="E354" s="8" t="s">
        <v>88</v>
      </c>
      <c r="F354" s="8" t="s">
        <v>247</v>
      </c>
      <c r="G354" s="31"/>
      <c r="H354" s="31"/>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ht="16.5" customHeight="1">
      <c r="A355" s="8" t="s">
        <v>5</v>
      </c>
      <c r="E355" s="8" t="s">
        <v>88</v>
      </c>
      <c r="F355" s="8" t="s">
        <v>95</v>
      </c>
      <c r="G355" s="34" t="s">
        <v>4794</v>
      </c>
      <c r="H355" s="8" t="s">
        <v>95</v>
      </c>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ht="16.5" customHeight="1">
      <c r="A356" s="8" t="s">
        <v>5</v>
      </c>
      <c r="E356" s="8" t="s">
        <v>88</v>
      </c>
      <c r="F356" s="8" t="s">
        <v>96</v>
      </c>
      <c r="G356" s="34" t="s">
        <v>4795</v>
      </c>
      <c r="H356" s="8" t="s">
        <v>96</v>
      </c>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ht="16.5" customHeight="1">
      <c r="A357" s="8" t="s">
        <v>5</v>
      </c>
      <c r="E357" s="8" t="s">
        <v>88</v>
      </c>
      <c r="F357" s="8" t="s">
        <v>122</v>
      </c>
      <c r="G357" s="34" t="s">
        <v>4796</v>
      </c>
      <c r="H357" s="8" t="s">
        <v>122</v>
      </c>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ht="16.5" customHeight="1">
      <c r="A358" s="8" t="s">
        <v>5</v>
      </c>
      <c r="E358" s="8" t="s">
        <v>86</v>
      </c>
      <c r="F358" s="8" t="s">
        <v>90</v>
      </c>
      <c r="G358" s="34" t="s">
        <v>4797</v>
      </c>
      <c r="H358" s="8" t="s">
        <v>90</v>
      </c>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ht="16.5" customHeight="1">
      <c r="A359" s="8" t="s">
        <v>5</v>
      </c>
      <c r="E359" s="8" t="s">
        <v>86</v>
      </c>
      <c r="F359" s="8" t="s">
        <v>91</v>
      </c>
      <c r="G359" s="34" t="s">
        <v>4798</v>
      </c>
      <c r="H359" s="8" t="s">
        <v>91</v>
      </c>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ht="16.5" customHeight="1">
      <c r="A360" s="8" t="s">
        <v>5</v>
      </c>
      <c r="E360" s="8" t="s">
        <v>86</v>
      </c>
      <c r="F360" s="8" t="s">
        <v>338</v>
      </c>
      <c r="G360" s="34" t="s">
        <v>4799</v>
      </c>
      <c r="H360" s="8" t="s">
        <v>338</v>
      </c>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ht="16.5" customHeight="1">
      <c r="A361" s="8" t="s">
        <v>5</v>
      </c>
      <c r="E361" s="8" t="s">
        <v>178</v>
      </c>
      <c r="F361" s="8" t="s">
        <v>209</v>
      </c>
      <c r="G361" s="34" t="s">
        <v>4800</v>
      </c>
      <c r="H361" s="8" t="s">
        <v>209</v>
      </c>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ht="16.5" customHeight="1">
      <c r="A362" s="8" t="s">
        <v>5</v>
      </c>
      <c r="E362" s="8" t="s">
        <v>178</v>
      </c>
      <c r="F362" s="8" t="s">
        <v>210</v>
      </c>
      <c r="G362" s="34" t="s">
        <v>4801</v>
      </c>
      <c r="H362" s="8" t="s">
        <v>210</v>
      </c>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ht="16.5" customHeight="1">
      <c r="A363" s="8" t="s">
        <v>5</v>
      </c>
      <c r="E363" s="8" t="s">
        <v>104</v>
      </c>
      <c r="F363" s="8" t="s">
        <v>250</v>
      </c>
      <c r="G363" s="34" t="s">
        <v>4802</v>
      </c>
      <c r="H363" s="8" t="s">
        <v>250</v>
      </c>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ht="16.5" customHeight="1">
      <c r="A364" s="8" t="s">
        <v>5</v>
      </c>
      <c r="B364" s="348" t="s">
        <v>4803</v>
      </c>
      <c r="C364" s="508" t="s">
        <v>4804</v>
      </c>
      <c r="D364" s="348" t="s">
        <v>20</v>
      </c>
      <c r="E364" s="8" t="s">
        <v>88</v>
      </c>
      <c r="F364" s="8" t="s">
        <v>89</v>
      </c>
      <c r="G364" s="29"/>
      <c r="H364" s="36"/>
      <c r="L364" s="9"/>
      <c r="M364" s="9"/>
      <c r="N364" s="9"/>
      <c r="O364" s="9"/>
      <c r="P364" s="9"/>
      <c r="Q364" s="9"/>
      <c r="R364" s="9"/>
      <c r="S364" s="9"/>
      <c r="T364" s="9"/>
      <c r="U364" s="9"/>
      <c r="V364" s="9"/>
      <c r="W364" s="9"/>
      <c r="X364" s="9"/>
      <c r="Y364" s="9"/>
      <c r="Z364" s="9"/>
      <c r="AA364" s="9"/>
      <c r="AB364" s="9"/>
      <c r="AC364" s="9"/>
      <c r="AD364" s="9"/>
      <c r="AE364" s="9"/>
      <c r="AF364" s="9"/>
    </row>
    <row r="365" ht="16.5" customHeight="1">
      <c r="A365" s="8" t="s">
        <v>5</v>
      </c>
      <c r="E365" s="8" t="s">
        <v>88</v>
      </c>
      <c r="F365" s="8" t="s">
        <v>154</v>
      </c>
      <c r="G365" s="34" t="s">
        <v>4805</v>
      </c>
      <c r="H365" s="35" t="s">
        <v>154</v>
      </c>
      <c r="L365" s="9"/>
      <c r="M365" s="9"/>
      <c r="N365" s="9"/>
      <c r="O365" s="9"/>
      <c r="P365" s="9"/>
      <c r="Q365" s="9"/>
      <c r="R365" s="9"/>
      <c r="S365" s="9"/>
      <c r="T365" s="9"/>
      <c r="U365" s="9"/>
      <c r="V365" s="9"/>
      <c r="W365" s="9"/>
      <c r="X365" s="9"/>
      <c r="Y365" s="9"/>
      <c r="Z365" s="9"/>
      <c r="AA365" s="9"/>
      <c r="AB365" s="9"/>
      <c r="AC365" s="9"/>
      <c r="AD365" s="9"/>
      <c r="AE365" s="9"/>
      <c r="AF365" s="9"/>
    </row>
    <row r="366" ht="16.5" customHeight="1">
      <c r="A366" s="8" t="s">
        <v>5</v>
      </c>
      <c r="E366" s="8" t="s">
        <v>21</v>
      </c>
      <c r="F366" s="8" t="s">
        <v>51</v>
      </c>
      <c r="G366" s="34" t="s">
        <v>4806</v>
      </c>
      <c r="H366" s="8" t="s">
        <v>51</v>
      </c>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ht="16.5" customHeight="1">
      <c r="A367" s="8" t="s">
        <v>5</v>
      </c>
      <c r="E367" s="8" t="s">
        <v>172</v>
      </c>
      <c r="F367" s="8" t="s">
        <v>194</v>
      </c>
      <c r="G367" s="34" t="s">
        <v>4807</v>
      </c>
      <c r="H367" s="8" t="s">
        <v>194</v>
      </c>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ht="16.5" customHeight="1">
      <c r="A368" s="8" t="s">
        <v>5</v>
      </c>
      <c r="E368" s="8" t="s">
        <v>172</v>
      </c>
      <c r="F368" s="8" t="s">
        <v>195</v>
      </c>
      <c r="G368" s="34" t="s">
        <v>4808</v>
      </c>
      <c r="H368" s="8" t="s">
        <v>195</v>
      </c>
      <c r="I368" s="31"/>
      <c r="J368" s="9"/>
      <c r="K368" s="9"/>
      <c r="L368" s="9"/>
      <c r="M368" s="9"/>
      <c r="N368" s="9"/>
      <c r="O368" s="9"/>
      <c r="P368" s="9"/>
      <c r="Q368" s="9"/>
      <c r="R368" s="9"/>
      <c r="S368" s="9"/>
      <c r="T368" s="9"/>
      <c r="U368" s="9"/>
      <c r="V368" s="9"/>
      <c r="W368" s="9"/>
      <c r="X368" s="9"/>
      <c r="Y368" s="9"/>
      <c r="Z368" s="9"/>
      <c r="AA368" s="9"/>
      <c r="AB368" s="9"/>
      <c r="AC368" s="9"/>
      <c r="AD368" s="9"/>
      <c r="AE368" s="9"/>
      <c r="AF368" s="9"/>
    </row>
    <row r="369" ht="16.5" customHeight="1">
      <c r="A369" s="8" t="s">
        <v>5</v>
      </c>
      <c r="E369" s="8" t="s">
        <v>408</v>
      </c>
      <c r="F369" s="8" t="s">
        <v>408</v>
      </c>
      <c r="G369" s="34" t="s">
        <v>4809</v>
      </c>
      <c r="H369" s="8" t="s">
        <v>408</v>
      </c>
      <c r="I369" s="31"/>
      <c r="J369" s="9"/>
      <c r="K369" s="9"/>
      <c r="L369" s="9"/>
      <c r="M369" s="9"/>
      <c r="N369" s="9"/>
      <c r="O369" s="9"/>
      <c r="P369" s="9"/>
      <c r="Q369" s="9"/>
      <c r="R369" s="9"/>
      <c r="S369" s="9"/>
      <c r="T369" s="9"/>
      <c r="U369" s="9"/>
      <c r="V369" s="9"/>
      <c r="W369" s="9"/>
      <c r="X369" s="9"/>
      <c r="Y369" s="9"/>
      <c r="Z369" s="9"/>
      <c r="AA369" s="9"/>
      <c r="AB369" s="9"/>
      <c r="AC369" s="9"/>
      <c r="AD369" s="9"/>
      <c r="AE369" s="9"/>
      <c r="AF369" s="9"/>
    </row>
    <row r="370" ht="16.5" customHeight="1">
      <c r="A370" s="8" t="s">
        <v>5</v>
      </c>
      <c r="E370" s="8" t="s">
        <v>88</v>
      </c>
      <c r="F370" s="8" t="s">
        <v>120</v>
      </c>
      <c r="G370" s="34" t="s">
        <v>4810</v>
      </c>
      <c r="H370" s="8" t="s">
        <v>120</v>
      </c>
      <c r="I370" s="31"/>
      <c r="J370" s="9"/>
      <c r="K370" s="9"/>
      <c r="L370" s="9"/>
      <c r="M370" s="9"/>
      <c r="N370" s="9"/>
      <c r="O370" s="9"/>
      <c r="P370" s="9"/>
      <c r="Q370" s="9"/>
      <c r="R370" s="9"/>
      <c r="S370" s="9"/>
      <c r="T370" s="9"/>
      <c r="U370" s="9"/>
      <c r="V370" s="9"/>
      <c r="W370" s="9"/>
      <c r="X370" s="9"/>
      <c r="Y370" s="9"/>
      <c r="Z370" s="9"/>
      <c r="AA370" s="9"/>
      <c r="AB370" s="9"/>
      <c r="AC370" s="9"/>
      <c r="AD370" s="9"/>
      <c r="AE370" s="9"/>
      <c r="AF370" s="9"/>
    </row>
    <row r="371" ht="16.5" customHeight="1">
      <c r="A371" s="8" t="s">
        <v>5</v>
      </c>
      <c r="E371" s="8" t="s">
        <v>88</v>
      </c>
      <c r="F371" s="8" t="s">
        <v>544</v>
      </c>
      <c r="G371" s="34" t="s">
        <v>4811</v>
      </c>
      <c r="H371" s="8" t="s">
        <v>544</v>
      </c>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ht="16.5" customHeight="1">
      <c r="A372" s="8" t="s">
        <v>5</v>
      </c>
      <c r="E372" s="8" t="s">
        <v>88</v>
      </c>
      <c r="F372" s="8" t="s">
        <v>247</v>
      </c>
      <c r="G372" s="31"/>
      <c r="H372" s="31"/>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ht="16.5" customHeight="1">
      <c r="A373" s="8" t="s">
        <v>5</v>
      </c>
      <c r="E373" s="8" t="s">
        <v>88</v>
      </c>
      <c r="F373" s="8" t="s">
        <v>95</v>
      </c>
      <c r="G373" s="34" t="s">
        <v>4812</v>
      </c>
      <c r="H373" s="8" t="s">
        <v>95</v>
      </c>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ht="16.5" customHeight="1">
      <c r="A374" s="8" t="s">
        <v>5</v>
      </c>
      <c r="E374" s="8" t="s">
        <v>88</v>
      </c>
      <c r="F374" s="8" t="s">
        <v>96</v>
      </c>
      <c r="G374" s="34" t="s">
        <v>4813</v>
      </c>
      <c r="H374" s="8" t="s">
        <v>96</v>
      </c>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ht="16.5" customHeight="1">
      <c r="A375" s="8" t="s">
        <v>5</v>
      </c>
      <c r="E375" s="8" t="s">
        <v>88</v>
      </c>
      <c r="F375" s="8" t="s">
        <v>122</v>
      </c>
      <c r="G375" s="34" t="s">
        <v>4814</v>
      </c>
      <c r="H375" s="8" t="s">
        <v>122</v>
      </c>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ht="16.5" customHeight="1">
      <c r="A376" s="8" t="s">
        <v>5</v>
      </c>
      <c r="E376" s="8" t="s">
        <v>86</v>
      </c>
      <c r="F376" s="8" t="s">
        <v>90</v>
      </c>
      <c r="G376" s="34" t="s">
        <v>4815</v>
      </c>
      <c r="H376" s="8" t="s">
        <v>90</v>
      </c>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ht="16.5" customHeight="1">
      <c r="A377" s="8" t="s">
        <v>5</v>
      </c>
      <c r="E377" s="8" t="s">
        <v>86</v>
      </c>
      <c r="F377" s="8" t="s">
        <v>91</v>
      </c>
      <c r="G377" s="34" t="s">
        <v>4816</v>
      </c>
      <c r="H377" s="8" t="s">
        <v>91</v>
      </c>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ht="16.5" customHeight="1">
      <c r="A378" s="8" t="s">
        <v>5</v>
      </c>
      <c r="E378" s="8" t="s">
        <v>86</v>
      </c>
      <c r="F378" s="8" t="s">
        <v>338</v>
      </c>
      <c r="G378" s="34" t="s">
        <v>4817</v>
      </c>
      <c r="H378" s="8" t="s">
        <v>338</v>
      </c>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ht="16.5" customHeight="1">
      <c r="A379" s="8" t="s">
        <v>5</v>
      </c>
      <c r="E379" s="8" t="s">
        <v>178</v>
      </c>
      <c r="F379" s="8" t="s">
        <v>209</v>
      </c>
      <c r="G379" s="34" t="s">
        <v>4818</v>
      </c>
      <c r="H379" s="8" t="s">
        <v>209</v>
      </c>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ht="16.5" customHeight="1">
      <c r="A380" s="8" t="s">
        <v>5</v>
      </c>
      <c r="E380" s="8" t="s">
        <v>178</v>
      </c>
      <c r="F380" s="8" t="s">
        <v>210</v>
      </c>
      <c r="G380" s="34" t="s">
        <v>4819</v>
      </c>
      <c r="H380" s="8" t="s">
        <v>210</v>
      </c>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ht="16.5" customHeight="1">
      <c r="A381" s="8" t="s">
        <v>5</v>
      </c>
      <c r="E381" s="8" t="s">
        <v>104</v>
      </c>
      <c r="F381" s="8" t="s">
        <v>250</v>
      </c>
      <c r="G381" s="34" t="s">
        <v>4820</v>
      </c>
      <c r="H381" s="8" t="s">
        <v>250</v>
      </c>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ht="16.5" customHeight="1">
      <c r="A382" s="8" t="s">
        <v>5</v>
      </c>
      <c r="B382" s="348" t="s">
        <v>4821</v>
      </c>
      <c r="C382" s="508" t="s">
        <v>4822</v>
      </c>
      <c r="D382" s="348" t="s">
        <v>20</v>
      </c>
      <c r="E382" s="8" t="s">
        <v>88</v>
      </c>
      <c r="F382" s="8" t="s">
        <v>89</v>
      </c>
      <c r="G382" s="29"/>
      <c r="H382" s="36"/>
      <c r="L382" s="9"/>
      <c r="M382" s="9"/>
      <c r="N382" s="9"/>
      <c r="O382" s="9"/>
      <c r="P382" s="9"/>
      <c r="Q382" s="9"/>
      <c r="R382" s="9"/>
      <c r="S382" s="9"/>
      <c r="T382" s="9"/>
      <c r="U382" s="9"/>
      <c r="V382" s="9"/>
      <c r="W382" s="9"/>
      <c r="X382" s="9"/>
      <c r="Y382" s="9"/>
      <c r="Z382" s="9"/>
      <c r="AA382" s="9"/>
      <c r="AB382" s="9"/>
      <c r="AC382" s="9"/>
      <c r="AD382" s="9"/>
      <c r="AE382" s="9"/>
      <c r="AF382" s="9"/>
    </row>
    <row r="383" ht="16.5" customHeight="1">
      <c r="A383" s="8" t="s">
        <v>5</v>
      </c>
      <c r="E383" s="8" t="s">
        <v>21</v>
      </c>
      <c r="F383" s="8" t="s">
        <v>51</v>
      </c>
      <c r="G383" s="34" t="s">
        <v>4823</v>
      </c>
      <c r="H383" s="8" t="s">
        <v>51</v>
      </c>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ht="16.5" customHeight="1">
      <c r="A384" s="8" t="s">
        <v>5</v>
      </c>
      <c r="E384" s="8" t="s">
        <v>172</v>
      </c>
      <c r="F384" s="8" t="s">
        <v>194</v>
      </c>
      <c r="G384" s="34" t="s">
        <v>4824</v>
      </c>
      <c r="H384" s="8" t="s">
        <v>194</v>
      </c>
      <c r="I384" s="9"/>
      <c r="J384" s="9"/>
      <c r="K384" s="31"/>
      <c r="L384" s="9"/>
      <c r="M384" s="9"/>
      <c r="N384" s="9"/>
      <c r="O384" s="9"/>
      <c r="P384" s="9"/>
      <c r="Q384" s="9"/>
      <c r="R384" s="9"/>
      <c r="S384" s="9"/>
      <c r="T384" s="9"/>
      <c r="U384" s="9"/>
      <c r="V384" s="9"/>
      <c r="W384" s="9"/>
      <c r="X384" s="9"/>
      <c r="Y384" s="9"/>
      <c r="Z384" s="9"/>
      <c r="AA384" s="9"/>
      <c r="AB384" s="9"/>
      <c r="AC384" s="9"/>
      <c r="AD384" s="9"/>
      <c r="AE384" s="9"/>
      <c r="AF384" s="9"/>
    </row>
    <row r="385" ht="16.5" customHeight="1">
      <c r="A385" s="8" t="s">
        <v>5</v>
      </c>
      <c r="E385" s="8" t="s">
        <v>172</v>
      </c>
      <c r="F385" s="8" t="s">
        <v>195</v>
      </c>
      <c r="G385" s="34" t="s">
        <v>4825</v>
      </c>
      <c r="H385" s="8" t="s">
        <v>195</v>
      </c>
      <c r="I385" s="31"/>
      <c r="J385" s="9"/>
      <c r="K385" s="9"/>
      <c r="L385" s="9"/>
      <c r="M385" s="9"/>
      <c r="N385" s="9"/>
      <c r="O385" s="9"/>
      <c r="P385" s="9"/>
      <c r="Q385" s="9"/>
      <c r="R385" s="9"/>
      <c r="S385" s="9"/>
      <c r="T385" s="9"/>
      <c r="U385" s="9"/>
      <c r="V385" s="9"/>
      <c r="W385" s="9"/>
      <c r="X385" s="9"/>
      <c r="Y385" s="9"/>
      <c r="Z385" s="9"/>
      <c r="AA385" s="9"/>
      <c r="AB385" s="9"/>
      <c r="AC385" s="9"/>
      <c r="AD385" s="9"/>
      <c r="AE385" s="9"/>
      <c r="AF385" s="9"/>
    </row>
    <row r="386" ht="16.5" customHeight="1">
      <c r="A386" s="8" t="s">
        <v>5</v>
      </c>
      <c r="E386" s="8" t="s">
        <v>408</v>
      </c>
      <c r="F386" s="8" t="s">
        <v>408</v>
      </c>
      <c r="G386" s="34" t="s">
        <v>4826</v>
      </c>
      <c r="H386" s="8" t="s">
        <v>408</v>
      </c>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ht="16.5" customHeight="1">
      <c r="A387" s="8" t="s">
        <v>5</v>
      </c>
      <c r="E387" s="8" t="s">
        <v>116</v>
      </c>
      <c r="F387" s="8" t="s">
        <v>825</v>
      </c>
      <c r="G387" s="34" t="s">
        <v>4827</v>
      </c>
      <c r="H387" s="8" t="s">
        <v>825</v>
      </c>
      <c r="I387" s="31"/>
      <c r="J387" s="9"/>
      <c r="K387" s="9"/>
      <c r="L387" s="9"/>
      <c r="M387" s="9"/>
      <c r="N387" s="9"/>
      <c r="O387" s="9"/>
      <c r="P387" s="9"/>
      <c r="Q387" s="9"/>
      <c r="R387" s="9"/>
      <c r="S387" s="9"/>
      <c r="T387" s="9"/>
      <c r="U387" s="9"/>
      <c r="V387" s="9"/>
      <c r="W387" s="9"/>
      <c r="X387" s="9"/>
      <c r="Y387" s="9"/>
      <c r="Z387" s="9"/>
      <c r="AA387" s="9"/>
      <c r="AB387" s="9"/>
      <c r="AC387" s="9"/>
      <c r="AD387" s="9"/>
      <c r="AE387" s="9"/>
      <c r="AF387" s="9"/>
    </row>
    <row r="388" ht="16.5" customHeight="1">
      <c r="A388" s="8" t="s">
        <v>5</v>
      </c>
      <c r="E388" s="8" t="s">
        <v>21</v>
      </c>
      <c r="F388" s="8" t="s">
        <v>51</v>
      </c>
      <c r="G388" s="34" t="s">
        <v>4828</v>
      </c>
      <c r="H388" s="35" t="s">
        <v>4829</v>
      </c>
      <c r="L388" s="9"/>
      <c r="M388" s="9"/>
      <c r="N388" s="9"/>
      <c r="O388" s="9"/>
      <c r="P388" s="9"/>
      <c r="Q388" s="9"/>
      <c r="R388" s="9"/>
      <c r="S388" s="9"/>
      <c r="T388" s="9"/>
      <c r="U388" s="9"/>
      <c r="V388" s="9"/>
      <c r="W388" s="9"/>
      <c r="X388" s="9"/>
      <c r="Y388" s="9"/>
      <c r="Z388" s="9"/>
      <c r="AA388" s="9"/>
      <c r="AB388" s="9"/>
      <c r="AC388" s="9"/>
      <c r="AD388" s="9"/>
      <c r="AE388" s="9"/>
      <c r="AF388" s="9"/>
    </row>
    <row r="389" ht="16.5" customHeight="1">
      <c r="A389" s="8" t="s">
        <v>5</v>
      </c>
      <c r="E389" s="8" t="s">
        <v>88</v>
      </c>
      <c r="F389" s="8" t="s">
        <v>154</v>
      </c>
      <c r="G389" s="34" t="s">
        <v>4830</v>
      </c>
      <c r="H389" s="8" t="s">
        <v>154</v>
      </c>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ht="16.5" customHeight="1">
      <c r="A390" s="8" t="s">
        <v>5</v>
      </c>
      <c r="E390" s="8" t="s">
        <v>88</v>
      </c>
      <c r="F390" s="8" t="s">
        <v>245</v>
      </c>
      <c r="G390" s="34" t="s">
        <v>4831</v>
      </c>
      <c r="H390" s="8" t="s">
        <v>245</v>
      </c>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ht="16.5" customHeight="1">
      <c r="A391" s="8" t="s">
        <v>5</v>
      </c>
      <c r="E391" s="8" t="s">
        <v>88</v>
      </c>
      <c r="F391" s="8" t="s">
        <v>120</v>
      </c>
      <c r="G391" s="34" t="s">
        <v>4832</v>
      </c>
      <c r="H391" s="8" t="s">
        <v>120</v>
      </c>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ht="16.5" customHeight="1">
      <c r="A392" s="8" t="s">
        <v>5</v>
      </c>
      <c r="E392" s="8" t="s">
        <v>88</v>
      </c>
      <c r="F392" s="8" t="s">
        <v>544</v>
      </c>
      <c r="G392" s="34" t="s">
        <v>4833</v>
      </c>
      <c r="H392" s="8" t="s">
        <v>544</v>
      </c>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ht="16.5" customHeight="1">
      <c r="A393" s="8" t="s">
        <v>5</v>
      </c>
      <c r="E393" s="8" t="s">
        <v>88</v>
      </c>
      <c r="F393" s="8" t="s">
        <v>247</v>
      </c>
      <c r="G393" s="31"/>
      <c r="H393" s="31"/>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ht="16.5" customHeight="1">
      <c r="A394" s="8" t="s">
        <v>5</v>
      </c>
      <c r="E394" s="8" t="s">
        <v>88</v>
      </c>
      <c r="F394" s="8" t="s">
        <v>95</v>
      </c>
      <c r="G394" s="34" t="s">
        <v>4834</v>
      </c>
      <c r="H394" s="8" t="s">
        <v>95</v>
      </c>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ht="16.5" customHeight="1">
      <c r="A395" s="8" t="s">
        <v>5</v>
      </c>
      <c r="E395" s="8" t="s">
        <v>88</v>
      </c>
      <c r="F395" s="8" t="s">
        <v>96</v>
      </c>
      <c r="G395" s="34" t="s">
        <v>4835</v>
      </c>
      <c r="H395" s="8" t="s">
        <v>96</v>
      </c>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ht="16.5" customHeight="1">
      <c r="A396" s="8" t="s">
        <v>5</v>
      </c>
      <c r="E396" s="8" t="s">
        <v>88</v>
      </c>
      <c r="F396" s="8" t="s">
        <v>122</v>
      </c>
      <c r="G396" s="34" t="s">
        <v>4836</v>
      </c>
      <c r="H396" s="8" t="s">
        <v>122</v>
      </c>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ht="16.5" customHeight="1">
      <c r="A397" s="8" t="s">
        <v>5</v>
      </c>
      <c r="E397" s="8" t="s">
        <v>86</v>
      </c>
      <c r="F397" s="8" t="s">
        <v>90</v>
      </c>
      <c r="G397" s="34" t="s">
        <v>4837</v>
      </c>
      <c r="H397" s="8" t="s">
        <v>90</v>
      </c>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ht="16.5" customHeight="1">
      <c r="A398" s="8" t="s">
        <v>5</v>
      </c>
      <c r="E398" s="8" t="s">
        <v>86</v>
      </c>
      <c r="F398" s="8" t="s">
        <v>91</v>
      </c>
      <c r="G398" s="34" t="s">
        <v>4838</v>
      </c>
      <c r="H398" s="8" t="s">
        <v>91</v>
      </c>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ht="16.5" customHeight="1">
      <c r="A399" s="8" t="s">
        <v>5</v>
      </c>
      <c r="E399" s="8" t="s">
        <v>178</v>
      </c>
      <c r="F399" s="8" t="s">
        <v>209</v>
      </c>
      <c r="G399" s="34" t="s">
        <v>4839</v>
      </c>
      <c r="H399" s="8" t="s">
        <v>209</v>
      </c>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ht="16.5" customHeight="1">
      <c r="A400" s="8" t="s">
        <v>5</v>
      </c>
      <c r="E400" s="8" t="s">
        <v>178</v>
      </c>
      <c r="F400" s="8" t="s">
        <v>210</v>
      </c>
      <c r="G400" s="34" t="s">
        <v>4840</v>
      </c>
      <c r="H400" s="8" t="s">
        <v>210</v>
      </c>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ht="16.5" customHeight="1">
      <c r="A401" s="8" t="s">
        <v>5</v>
      </c>
      <c r="E401" s="8" t="s">
        <v>104</v>
      </c>
      <c r="F401" s="8" t="s">
        <v>250</v>
      </c>
      <c r="G401" s="34" t="s">
        <v>4841</v>
      </c>
      <c r="H401" s="8" t="s">
        <v>250</v>
      </c>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ht="16.5" customHeight="1">
      <c r="A402" s="8" t="s">
        <v>5</v>
      </c>
      <c r="B402" s="348" t="s">
        <v>4842</v>
      </c>
      <c r="C402" s="508" t="s">
        <v>4843</v>
      </c>
      <c r="D402" s="348" t="s">
        <v>20</v>
      </c>
      <c r="E402" s="432" t="s">
        <v>88</v>
      </c>
      <c r="F402" s="432" t="s">
        <v>89</v>
      </c>
      <c r="G402" s="509"/>
      <c r="H402" s="509"/>
      <c r="L402" s="9"/>
      <c r="M402" s="9"/>
      <c r="N402" s="9"/>
      <c r="O402" s="9"/>
      <c r="P402" s="9"/>
      <c r="Q402" s="9"/>
      <c r="R402" s="9"/>
      <c r="S402" s="9"/>
      <c r="T402" s="9"/>
      <c r="U402" s="9"/>
      <c r="V402" s="9"/>
      <c r="W402" s="9"/>
      <c r="X402" s="9"/>
      <c r="Y402" s="9"/>
      <c r="Z402" s="9"/>
      <c r="AA402" s="9"/>
      <c r="AB402" s="9"/>
      <c r="AC402" s="9"/>
      <c r="AD402" s="9"/>
      <c r="AE402" s="9"/>
      <c r="AF402" s="9"/>
    </row>
    <row r="403" ht="16.5" customHeight="1">
      <c r="A403" s="8" t="s">
        <v>5</v>
      </c>
      <c r="E403" s="432" t="s">
        <v>21</v>
      </c>
      <c r="F403" s="432" t="s">
        <v>51</v>
      </c>
      <c r="G403" s="510" t="s">
        <v>4844</v>
      </c>
      <c r="H403" s="35" t="s">
        <v>51</v>
      </c>
      <c r="L403" s="9"/>
      <c r="M403" s="9"/>
      <c r="N403" s="9"/>
      <c r="O403" s="9"/>
      <c r="P403" s="9"/>
      <c r="Q403" s="9"/>
      <c r="R403" s="9"/>
      <c r="S403" s="9"/>
      <c r="T403" s="9"/>
      <c r="U403" s="9"/>
      <c r="V403" s="9"/>
      <c r="W403" s="9"/>
      <c r="X403" s="9"/>
      <c r="Y403" s="9"/>
      <c r="Z403" s="9"/>
      <c r="AA403" s="9"/>
      <c r="AB403" s="9"/>
      <c r="AC403" s="9"/>
      <c r="AD403" s="9"/>
      <c r="AE403" s="9"/>
      <c r="AF403" s="9"/>
    </row>
    <row r="404" ht="16.5" customHeight="1">
      <c r="A404" s="8" t="s">
        <v>5</v>
      </c>
      <c r="E404" s="432" t="s">
        <v>172</v>
      </c>
      <c r="F404" s="432" t="s">
        <v>194</v>
      </c>
      <c r="G404" s="510" t="s">
        <v>4845</v>
      </c>
      <c r="H404" s="432" t="s">
        <v>194</v>
      </c>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ht="16.5" customHeight="1">
      <c r="A405" s="8" t="s">
        <v>5</v>
      </c>
      <c r="E405" s="432" t="s">
        <v>172</v>
      </c>
      <c r="F405" s="432" t="s">
        <v>195</v>
      </c>
      <c r="G405" s="510" t="s">
        <v>4846</v>
      </c>
      <c r="H405" s="432" t="s">
        <v>195</v>
      </c>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ht="16.5" customHeight="1">
      <c r="A406" s="8" t="s">
        <v>5</v>
      </c>
      <c r="E406" s="432" t="s">
        <v>408</v>
      </c>
      <c r="F406" s="432" t="s">
        <v>408</v>
      </c>
      <c r="G406" s="510" t="s">
        <v>4847</v>
      </c>
      <c r="H406" s="432" t="s">
        <v>408</v>
      </c>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ht="16.5" customHeight="1">
      <c r="A407" s="8" t="s">
        <v>5</v>
      </c>
      <c r="E407" s="432" t="s">
        <v>116</v>
      </c>
      <c r="F407" s="432" t="s">
        <v>825</v>
      </c>
      <c r="G407" s="510" t="s">
        <v>4848</v>
      </c>
      <c r="H407" s="432" t="s">
        <v>825</v>
      </c>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ht="16.5" customHeight="1">
      <c r="A408" s="8" t="s">
        <v>5</v>
      </c>
      <c r="E408" s="432" t="s">
        <v>21</v>
      </c>
      <c r="F408" s="432" t="s">
        <v>51</v>
      </c>
      <c r="G408" s="510" t="s">
        <v>4849</v>
      </c>
      <c r="H408" s="35" t="s">
        <v>4829</v>
      </c>
      <c r="L408" s="9"/>
      <c r="M408" s="9"/>
      <c r="N408" s="9"/>
      <c r="O408" s="9"/>
      <c r="P408" s="9"/>
      <c r="Q408" s="9"/>
      <c r="R408" s="9"/>
      <c r="S408" s="9"/>
      <c r="T408" s="9"/>
      <c r="U408" s="9"/>
      <c r="V408" s="9"/>
      <c r="W408" s="9"/>
      <c r="X408" s="9"/>
      <c r="Y408" s="9"/>
      <c r="Z408" s="9"/>
      <c r="AA408" s="9"/>
      <c r="AB408" s="9"/>
      <c r="AC408" s="9"/>
      <c r="AD408" s="9"/>
      <c r="AE408" s="9"/>
      <c r="AF408" s="9"/>
    </row>
    <row r="409" ht="16.5" customHeight="1">
      <c r="A409" s="8" t="s">
        <v>5</v>
      </c>
      <c r="E409" s="432" t="s">
        <v>88</v>
      </c>
      <c r="F409" s="432" t="s">
        <v>245</v>
      </c>
      <c r="G409" s="510" t="s">
        <v>4850</v>
      </c>
      <c r="H409" s="432" t="s">
        <v>245</v>
      </c>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ht="16.5" customHeight="1">
      <c r="A410" s="8" t="s">
        <v>5</v>
      </c>
      <c r="E410" s="432" t="s">
        <v>88</v>
      </c>
      <c r="F410" s="432" t="s">
        <v>120</v>
      </c>
      <c r="G410" s="510" t="s">
        <v>4851</v>
      </c>
      <c r="H410" s="432" t="s">
        <v>120</v>
      </c>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ht="16.5" customHeight="1">
      <c r="A411" s="8" t="s">
        <v>5</v>
      </c>
      <c r="E411" s="432" t="s">
        <v>88</v>
      </c>
      <c r="F411" s="432" t="s">
        <v>544</v>
      </c>
      <c r="G411" s="510" t="s">
        <v>4852</v>
      </c>
      <c r="H411" s="432" t="s">
        <v>544</v>
      </c>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ht="16.5" customHeight="1">
      <c r="A412" s="8" t="s">
        <v>5</v>
      </c>
      <c r="E412" s="432" t="s">
        <v>88</v>
      </c>
      <c r="F412" s="432" t="s">
        <v>247</v>
      </c>
      <c r="G412" s="509"/>
      <c r="H412" s="36"/>
      <c r="L412" s="9"/>
      <c r="M412" s="9"/>
      <c r="N412" s="9"/>
      <c r="O412" s="9"/>
      <c r="P412" s="9"/>
      <c r="Q412" s="9"/>
      <c r="R412" s="9"/>
      <c r="S412" s="9"/>
      <c r="T412" s="9"/>
      <c r="U412" s="9"/>
      <c r="V412" s="9"/>
      <c r="W412" s="9"/>
      <c r="X412" s="9"/>
      <c r="Y412" s="9"/>
      <c r="Z412" s="9"/>
      <c r="AA412" s="9"/>
      <c r="AB412" s="9"/>
      <c r="AC412" s="9"/>
      <c r="AD412" s="9"/>
      <c r="AE412" s="9"/>
      <c r="AF412" s="9"/>
    </row>
    <row r="413" ht="16.5" customHeight="1">
      <c r="A413" s="8" t="s">
        <v>5</v>
      </c>
      <c r="E413" s="432" t="s">
        <v>88</v>
      </c>
      <c r="F413" s="432" t="s">
        <v>95</v>
      </c>
      <c r="G413" s="510" t="s">
        <v>4853</v>
      </c>
      <c r="H413" s="432" t="s">
        <v>95</v>
      </c>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ht="16.5" customHeight="1">
      <c r="A414" s="8" t="s">
        <v>5</v>
      </c>
      <c r="E414" s="432" t="s">
        <v>88</v>
      </c>
      <c r="F414" s="432" t="s">
        <v>96</v>
      </c>
      <c r="G414" s="510" t="s">
        <v>4854</v>
      </c>
      <c r="H414" s="432" t="s">
        <v>96</v>
      </c>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ht="16.5" customHeight="1">
      <c r="A415" s="8" t="s">
        <v>5</v>
      </c>
      <c r="E415" s="432" t="s">
        <v>88</v>
      </c>
      <c r="F415" s="432" t="s">
        <v>122</v>
      </c>
      <c r="G415" s="510" t="s">
        <v>4855</v>
      </c>
      <c r="H415" s="432" t="s">
        <v>122</v>
      </c>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ht="16.5" customHeight="1">
      <c r="A416" s="8" t="s">
        <v>5</v>
      </c>
      <c r="E416" s="432" t="s">
        <v>86</v>
      </c>
      <c r="F416" s="432" t="s">
        <v>90</v>
      </c>
      <c r="G416" s="510" t="s">
        <v>4856</v>
      </c>
      <c r="H416" s="432" t="s">
        <v>90</v>
      </c>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ht="16.5" customHeight="1">
      <c r="A417" s="8" t="s">
        <v>5</v>
      </c>
      <c r="E417" s="432" t="s">
        <v>86</v>
      </c>
      <c r="F417" s="432" t="s">
        <v>91</v>
      </c>
      <c r="G417" s="510" t="s">
        <v>4857</v>
      </c>
      <c r="H417" s="432" t="s">
        <v>91</v>
      </c>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ht="16.5" customHeight="1">
      <c r="A418" s="8" t="s">
        <v>5</v>
      </c>
      <c r="E418" s="432" t="s">
        <v>178</v>
      </c>
      <c r="F418" s="432" t="s">
        <v>209</v>
      </c>
      <c r="G418" s="510" t="s">
        <v>4858</v>
      </c>
      <c r="H418" s="432" t="s">
        <v>209</v>
      </c>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ht="16.5" customHeight="1">
      <c r="A419" s="8" t="s">
        <v>5</v>
      </c>
      <c r="E419" s="432" t="s">
        <v>178</v>
      </c>
      <c r="F419" s="432" t="s">
        <v>210</v>
      </c>
      <c r="G419" s="510" t="s">
        <v>4859</v>
      </c>
      <c r="H419" s="432" t="s">
        <v>210</v>
      </c>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ht="16.5" customHeight="1">
      <c r="A420" s="8" t="s">
        <v>5</v>
      </c>
      <c r="E420" s="432" t="s">
        <v>104</v>
      </c>
      <c r="F420" s="432" t="s">
        <v>250</v>
      </c>
      <c r="G420" s="510" t="s">
        <v>4860</v>
      </c>
      <c r="H420" s="432" t="s">
        <v>250</v>
      </c>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ht="16.5" customHeight="1">
      <c r="A421" s="8" t="s">
        <v>5</v>
      </c>
      <c r="B421" s="348" t="s">
        <v>4861</v>
      </c>
      <c r="C421" s="508" t="s">
        <v>4862</v>
      </c>
      <c r="D421" s="348" t="s">
        <v>20</v>
      </c>
      <c r="E421" s="8" t="s">
        <v>88</v>
      </c>
      <c r="F421" s="8" t="s">
        <v>89</v>
      </c>
      <c r="G421" s="29"/>
      <c r="H421" s="36"/>
      <c r="L421" s="9"/>
      <c r="M421" s="9"/>
      <c r="N421" s="9"/>
      <c r="O421" s="9"/>
      <c r="P421" s="9"/>
      <c r="Q421" s="9"/>
      <c r="R421" s="9"/>
      <c r="S421" s="9"/>
      <c r="T421" s="9"/>
      <c r="U421" s="9"/>
      <c r="V421" s="9"/>
      <c r="W421" s="9"/>
      <c r="X421" s="9"/>
      <c r="Y421" s="9"/>
      <c r="Z421" s="9"/>
      <c r="AA421" s="9"/>
      <c r="AB421" s="9"/>
      <c r="AC421" s="9"/>
      <c r="AD421" s="9"/>
      <c r="AE421" s="9"/>
      <c r="AF421" s="9"/>
    </row>
    <row r="422" ht="16.5" customHeight="1">
      <c r="A422" s="8" t="s">
        <v>5</v>
      </c>
      <c r="E422" s="8" t="s">
        <v>21</v>
      </c>
      <c r="F422" s="8" t="s">
        <v>51</v>
      </c>
      <c r="G422" s="34" t="s">
        <v>4863</v>
      </c>
      <c r="H422" s="8" t="s">
        <v>51</v>
      </c>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ht="16.5" customHeight="1">
      <c r="A423" s="8" t="s">
        <v>5</v>
      </c>
      <c r="E423" s="8" t="s">
        <v>172</v>
      </c>
      <c r="F423" s="8" t="s">
        <v>194</v>
      </c>
      <c r="G423" s="34" t="s">
        <v>4864</v>
      </c>
      <c r="H423" s="8" t="s">
        <v>194</v>
      </c>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ht="16.5" customHeight="1">
      <c r="A424" s="8" t="s">
        <v>5</v>
      </c>
      <c r="E424" s="8" t="s">
        <v>172</v>
      </c>
      <c r="F424" s="8" t="s">
        <v>195</v>
      </c>
      <c r="G424" s="34" t="s">
        <v>4865</v>
      </c>
      <c r="H424" s="8" t="s">
        <v>195</v>
      </c>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ht="16.5" customHeight="1">
      <c r="A425" s="8" t="s">
        <v>5</v>
      </c>
      <c r="E425" s="8" t="s">
        <v>408</v>
      </c>
      <c r="F425" s="8" t="s">
        <v>408</v>
      </c>
      <c r="G425" s="34" t="s">
        <v>4866</v>
      </c>
      <c r="H425" s="8" t="s">
        <v>408</v>
      </c>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ht="16.5" customHeight="1">
      <c r="A426" s="8" t="s">
        <v>5</v>
      </c>
      <c r="E426" s="8" t="s">
        <v>116</v>
      </c>
      <c r="F426" s="8" t="s">
        <v>825</v>
      </c>
      <c r="G426" s="34" t="s">
        <v>4867</v>
      </c>
      <c r="H426" s="8" t="s">
        <v>825</v>
      </c>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ht="16.5" customHeight="1">
      <c r="A427" s="8" t="s">
        <v>5</v>
      </c>
      <c r="E427" s="8" t="s">
        <v>21</v>
      </c>
      <c r="F427" s="8" t="s">
        <v>51</v>
      </c>
      <c r="G427" s="34" t="s">
        <v>4868</v>
      </c>
      <c r="H427" s="35" t="s">
        <v>4829</v>
      </c>
      <c r="L427" s="9"/>
      <c r="M427" s="9"/>
      <c r="N427" s="9"/>
      <c r="O427" s="9"/>
      <c r="P427" s="9"/>
      <c r="Q427" s="9"/>
      <c r="R427" s="9"/>
      <c r="S427" s="9"/>
      <c r="T427" s="9"/>
      <c r="U427" s="9"/>
      <c r="V427" s="9"/>
      <c r="W427" s="9"/>
      <c r="X427" s="9"/>
      <c r="Y427" s="9"/>
      <c r="Z427" s="9"/>
      <c r="AA427" s="9"/>
      <c r="AB427" s="9"/>
      <c r="AC427" s="9"/>
      <c r="AD427" s="9"/>
      <c r="AE427" s="9"/>
      <c r="AF427" s="9"/>
    </row>
    <row r="428" ht="16.5" customHeight="1">
      <c r="A428" s="8" t="s">
        <v>5</v>
      </c>
      <c r="E428" s="8" t="s">
        <v>88</v>
      </c>
      <c r="F428" s="8" t="s">
        <v>245</v>
      </c>
      <c r="G428" s="34" t="s">
        <v>4869</v>
      </c>
      <c r="H428" s="8" t="s">
        <v>245</v>
      </c>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ht="16.5" customHeight="1">
      <c r="A429" s="8" t="s">
        <v>5</v>
      </c>
      <c r="E429" s="8" t="s">
        <v>88</v>
      </c>
      <c r="F429" s="8" t="s">
        <v>120</v>
      </c>
      <c r="G429" s="34" t="s">
        <v>4870</v>
      </c>
      <c r="H429" s="8" t="s">
        <v>120</v>
      </c>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ht="16.5" customHeight="1">
      <c r="A430" s="8" t="s">
        <v>5</v>
      </c>
      <c r="E430" s="8" t="s">
        <v>88</v>
      </c>
      <c r="F430" s="8" t="s">
        <v>544</v>
      </c>
      <c r="G430" s="34" t="s">
        <v>4871</v>
      </c>
      <c r="H430" s="8" t="s">
        <v>544</v>
      </c>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ht="16.5" customHeight="1">
      <c r="A431" s="8" t="s">
        <v>5</v>
      </c>
      <c r="E431" s="8" t="s">
        <v>88</v>
      </c>
      <c r="F431" s="8" t="s">
        <v>247</v>
      </c>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ht="16.5" customHeight="1">
      <c r="A432" s="8" t="s">
        <v>5</v>
      </c>
      <c r="E432" s="8" t="s">
        <v>88</v>
      </c>
      <c r="F432" s="8" t="s">
        <v>95</v>
      </c>
      <c r="G432" s="34" t="s">
        <v>4872</v>
      </c>
      <c r="H432" s="8" t="s">
        <v>95</v>
      </c>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ht="16.5" customHeight="1">
      <c r="A433" s="8" t="s">
        <v>5</v>
      </c>
      <c r="E433" s="8" t="s">
        <v>88</v>
      </c>
      <c r="F433" s="8" t="s">
        <v>96</v>
      </c>
      <c r="G433" s="34" t="s">
        <v>4873</v>
      </c>
      <c r="H433" s="8" t="s">
        <v>96</v>
      </c>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ht="16.5" customHeight="1">
      <c r="A434" s="8" t="s">
        <v>5</v>
      </c>
      <c r="E434" s="8" t="s">
        <v>88</v>
      </c>
      <c r="F434" s="8" t="s">
        <v>122</v>
      </c>
      <c r="G434" s="34" t="s">
        <v>4874</v>
      </c>
      <c r="H434" s="8" t="s">
        <v>122</v>
      </c>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ht="16.5" customHeight="1">
      <c r="A435" s="8" t="s">
        <v>5</v>
      </c>
      <c r="E435" s="8" t="s">
        <v>86</v>
      </c>
      <c r="F435" s="8" t="s">
        <v>90</v>
      </c>
      <c r="G435" s="34" t="s">
        <v>4875</v>
      </c>
      <c r="H435" s="8" t="s">
        <v>90</v>
      </c>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ht="16.5" customHeight="1">
      <c r="A436" s="8" t="s">
        <v>5</v>
      </c>
      <c r="E436" s="8" t="s">
        <v>86</v>
      </c>
      <c r="F436" s="8" t="s">
        <v>91</v>
      </c>
      <c r="G436" s="34" t="s">
        <v>4876</v>
      </c>
      <c r="H436" s="8" t="s">
        <v>91</v>
      </c>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ht="16.5" customHeight="1">
      <c r="A437" s="8" t="s">
        <v>5</v>
      </c>
      <c r="E437" s="8" t="s">
        <v>86</v>
      </c>
      <c r="F437" s="8" t="s">
        <v>338</v>
      </c>
      <c r="G437" s="34" t="s">
        <v>4877</v>
      </c>
      <c r="H437" s="8" t="s">
        <v>338</v>
      </c>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ht="16.5" customHeight="1">
      <c r="A438" s="8" t="s">
        <v>5</v>
      </c>
      <c r="E438" s="8" t="s">
        <v>178</v>
      </c>
      <c r="F438" s="8" t="s">
        <v>209</v>
      </c>
      <c r="G438" s="34" t="s">
        <v>4878</v>
      </c>
      <c r="H438" s="8" t="s">
        <v>209</v>
      </c>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ht="16.5" customHeight="1">
      <c r="A439" s="8" t="s">
        <v>5</v>
      </c>
      <c r="E439" s="8" t="s">
        <v>178</v>
      </c>
      <c r="F439" s="8" t="s">
        <v>210</v>
      </c>
      <c r="G439" s="34" t="s">
        <v>4879</v>
      </c>
      <c r="H439" s="8" t="s">
        <v>210</v>
      </c>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ht="16.5" customHeight="1">
      <c r="A440" s="8" t="s">
        <v>5</v>
      </c>
      <c r="E440" s="8" t="s">
        <v>104</v>
      </c>
      <c r="F440" s="8" t="s">
        <v>250</v>
      </c>
      <c r="G440" s="34" t="s">
        <v>4880</v>
      </c>
      <c r="H440" s="8" t="s">
        <v>250</v>
      </c>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ht="16.5" customHeight="1">
      <c r="A441" s="8" t="s">
        <v>5</v>
      </c>
      <c r="B441" s="348" t="s">
        <v>4881</v>
      </c>
      <c r="C441" s="508" t="s">
        <v>4882</v>
      </c>
      <c r="D441" s="348" t="s">
        <v>20</v>
      </c>
      <c r="E441" s="8" t="s">
        <v>88</v>
      </c>
      <c r="F441" s="8" t="s">
        <v>89</v>
      </c>
      <c r="G441" s="42"/>
      <c r="H441" s="36"/>
      <c r="L441" s="9"/>
      <c r="M441" s="9"/>
      <c r="N441" s="9"/>
      <c r="O441" s="9"/>
      <c r="P441" s="9"/>
      <c r="Q441" s="9"/>
      <c r="R441" s="9"/>
      <c r="S441" s="9"/>
      <c r="T441" s="9"/>
      <c r="U441" s="9"/>
      <c r="V441" s="9"/>
      <c r="W441" s="9"/>
      <c r="X441" s="9"/>
      <c r="Y441" s="9"/>
      <c r="Z441" s="9"/>
      <c r="AA441" s="9"/>
      <c r="AB441" s="9"/>
      <c r="AC441" s="9"/>
      <c r="AD441" s="9"/>
      <c r="AE441" s="9"/>
      <c r="AF441" s="9"/>
    </row>
    <row r="442" ht="16.5" customHeight="1">
      <c r="A442" s="8" t="s">
        <v>5</v>
      </c>
      <c r="E442" s="8" t="s">
        <v>88</v>
      </c>
      <c r="F442" s="8" t="s">
        <v>154</v>
      </c>
      <c r="G442" s="34" t="s">
        <v>4883</v>
      </c>
      <c r="H442" s="35" t="s">
        <v>154</v>
      </c>
      <c r="L442" s="9"/>
      <c r="M442" s="9"/>
      <c r="N442" s="9"/>
      <c r="O442" s="9"/>
      <c r="P442" s="9"/>
      <c r="Q442" s="9"/>
      <c r="R442" s="9"/>
      <c r="S442" s="9"/>
      <c r="T442" s="9"/>
      <c r="U442" s="9"/>
      <c r="V442" s="9"/>
      <c r="W442" s="9"/>
      <c r="X442" s="9"/>
      <c r="Y442" s="9"/>
      <c r="Z442" s="9"/>
      <c r="AA442" s="9"/>
      <c r="AB442" s="9"/>
      <c r="AC442" s="9"/>
      <c r="AD442" s="9"/>
      <c r="AE442" s="9"/>
      <c r="AF442" s="9"/>
    </row>
    <row r="443" ht="16.5" customHeight="1">
      <c r="A443" s="8" t="s">
        <v>5</v>
      </c>
      <c r="E443" s="8" t="s">
        <v>21</v>
      </c>
      <c r="F443" s="8" t="s">
        <v>51</v>
      </c>
      <c r="G443" s="34" t="s">
        <v>4884</v>
      </c>
      <c r="H443" s="8" t="s">
        <v>51</v>
      </c>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ht="16.5" customHeight="1">
      <c r="A444" s="8" t="s">
        <v>5</v>
      </c>
      <c r="E444" s="8" t="s">
        <v>172</v>
      </c>
      <c r="F444" s="8" t="s">
        <v>194</v>
      </c>
      <c r="G444" s="34" t="s">
        <v>4885</v>
      </c>
      <c r="H444" s="8" t="s">
        <v>194</v>
      </c>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ht="16.5" customHeight="1">
      <c r="A445" s="8" t="s">
        <v>5</v>
      </c>
      <c r="E445" s="8" t="s">
        <v>172</v>
      </c>
      <c r="F445" s="8" t="s">
        <v>195</v>
      </c>
      <c r="G445" s="34" t="s">
        <v>4886</v>
      </c>
      <c r="H445" s="8" t="s">
        <v>195</v>
      </c>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ht="16.5" customHeight="1">
      <c r="A446" s="8" t="s">
        <v>5</v>
      </c>
      <c r="E446" s="8" t="s">
        <v>408</v>
      </c>
      <c r="F446" s="8" t="s">
        <v>408</v>
      </c>
      <c r="G446" s="34" t="s">
        <v>4887</v>
      </c>
      <c r="H446" s="8" t="s">
        <v>408</v>
      </c>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ht="16.5" customHeight="1">
      <c r="A447" s="8" t="s">
        <v>5</v>
      </c>
      <c r="E447" s="8" t="s">
        <v>116</v>
      </c>
      <c r="F447" s="8" t="s">
        <v>825</v>
      </c>
      <c r="G447" s="34" t="s">
        <v>4888</v>
      </c>
      <c r="H447" s="8" t="s">
        <v>825</v>
      </c>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ht="16.5" customHeight="1">
      <c r="A448" s="8" t="s">
        <v>5</v>
      </c>
      <c r="E448" s="8" t="s">
        <v>21</v>
      </c>
      <c r="F448" s="8" t="s">
        <v>51</v>
      </c>
      <c r="G448" s="34" t="s">
        <v>4889</v>
      </c>
      <c r="H448" s="35" t="s">
        <v>4829</v>
      </c>
      <c r="L448" s="9"/>
      <c r="M448" s="9"/>
      <c r="N448" s="9"/>
      <c r="O448" s="9"/>
      <c r="P448" s="9"/>
      <c r="Q448" s="9"/>
      <c r="R448" s="9"/>
      <c r="S448" s="9"/>
      <c r="T448" s="9"/>
      <c r="U448" s="9"/>
      <c r="V448" s="9"/>
      <c r="W448" s="9"/>
      <c r="X448" s="9"/>
      <c r="Y448" s="9"/>
      <c r="Z448" s="9"/>
      <c r="AA448" s="9"/>
      <c r="AB448" s="9"/>
      <c r="AC448" s="9"/>
      <c r="AD448" s="9"/>
      <c r="AE448" s="9"/>
      <c r="AF448" s="9"/>
    </row>
    <row r="449" ht="16.5" customHeight="1">
      <c r="A449" s="8" t="s">
        <v>5</v>
      </c>
      <c r="E449" s="8" t="s">
        <v>88</v>
      </c>
      <c r="F449" s="8" t="s">
        <v>245</v>
      </c>
      <c r="G449" s="34" t="s">
        <v>4890</v>
      </c>
      <c r="H449" s="8" t="s">
        <v>245</v>
      </c>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ht="16.5" customHeight="1">
      <c r="A450" s="8" t="s">
        <v>5</v>
      </c>
      <c r="E450" s="8" t="s">
        <v>88</v>
      </c>
      <c r="F450" s="8" t="s">
        <v>120</v>
      </c>
      <c r="G450" s="34" t="s">
        <v>4891</v>
      </c>
      <c r="H450" s="8" t="s">
        <v>120</v>
      </c>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ht="16.5" customHeight="1">
      <c r="A451" s="8" t="s">
        <v>5</v>
      </c>
      <c r="E451" s="8" t="s">
        <v>88</v>
      </c>
      <c r="F451" s="8" t="s">
        <v>544</v>
      </c>
      <c r="G451" s="34" t="s">
        <v>4892</v>
      </c>
      <c r="H451" s="8" t="s">
        <v>544</v>
      </c>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ht="16.5" customHeight="1">
      <c r="A452" s="8" t="s">
        <v>5</v>
      </c>
      <c r="E452" s="8" t="s">
        <v>88</v>
      </c>
      <c r="F452" s="8" t="s">
        <v>246</v>
      </c>
      <c r="G452" s="34" t="s">
        <v>4893</v>
      </c>
      <c r="H452" s="8" t="s">
        <v>246</v>
      </c>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ht="16.5" customHeight="1">
      <c r="A453" s="8" t="s">
        <v>5</v>
      </c>
      <c r="E453" s="8" t="s">
        <v>88</v>
      </c>
      <c r="F453" s="8" t="s">
        <v>247</v>
      </c>
      <c r="G453" s="31"/>
      <c r="H453" s="31"/>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ht="16.5" customHeight="1">
      <c r="A454" s="8" t="s">
        <v>5</v>
      </c>
      <c r="E454" s="8" t="s">
        <v>88</v>
      </c>
      <c r="F454" s="8" t="s">
        <v>95</v>
      </c>
      <c r="G454" s="34" t="s">
        <v>4894</v>
      </c>
      <c r="H454" s="8" t="s">
        <v>95</v>
      </c>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ht="16.5" customHeight="1">
      <c r="A455" s="8" t="s">
        <v>5</v>
      </c>
      <c r="E455" s="8" t="s">
        <v>88</v>
      </c>
      <c r="F455" s="8" t="s">
        <v>96</v>
      </c>
      <c r="G455" s="34" t="s">
        <v>4895</v>
      </c>
      <c r="H455" s="8" t="s">
        <v>96</v>
      </c>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ht="16.5" customHeight="1">
      <c r="A456" s="8" t="s">
        <v>5</v>
      </c>
      <c r="E456" s="8" t="s">
        <v>88</v>
      </c>
      <c r="F456" s="8" t="s">
        <v>122</v>
      </c>
      <c r="G456" s="34" t="s">
        <v>4896</v>
      </c>
      <c r="H456" s="8" t="s">
        <v>122</v>
      </c>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ht="16.5" customHeight="1">
      <c r="A457" s="8" t="s">
        <v>5</v>
      </c>
      <c r="E457" s="8" t="s">
        <v>86</v>
      </c>
      <c r="F457" s="8" t="s">
        <v>90</v>
      </c>
      <c r="G457" s="34" t="s">
        <v>4897</v>
      </c>
      <c r="H457" s="8" t="s">
        <v>90</v>
      </c>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ht="16.5" customHeight="1">
      <c r="A458" s="8" t="s">
        <v>5</v>
      </c>
      <c r="E458" s="8" t="s">
        <v>86</v>
      </c>
      <c r="F458" s="8" t="s">
        <v>91</v>
      </c>
      <c r="G458" s="34" t="s">
        <v>4898</v>
      </c>
      <c r="H458" s="8" t="s">
        <v>91</v>
      </c>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ht="16.5" customHeight="1">
      <c r="A459" s="8" t="s">
        <v>5</v>
      </c>
      <c r="E459" s="8" t="s">
        <v>86</v>
      </c>
      <c r="F459" s="8" t="s">
        <v>338</v>
      </c>
      <c r="G459" s="34" t="s">
        <v>4899</v>
      </c>
      <c r="H459" s="8" t="s">
        <v>338</v>
      </c>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ht="16.5" customHeight="1">
      <c r="A460" s="8" t="s">
        <v>5</v>
      </c>
      <c r="E460" s="8" t="s">
        <v>178</v>
      </c>
      <c r="F460" s="8" t="s">
        <v>209</v>
      </c>
      <c r="G460" s="34" t="s">
        <v>4900</v>
      </c>
      <c r="H460" s="8" t="s">
        <v>209</v>
      </c>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ht="16.5" customHeight="1">
      <c r="A461" s="8" t="s">
        <v>5</v>
      </c>
      <c r="E461" s="8" t="s">
        <v>178</v>
      </c>
      <c r="F461" s="8" t="s">
        <v>210</v>
      </c>
      <c r="G461" s="34" t="s">
        <v>4901</v>
      </c>
      <c r="H461" s="8" t="s">
        <v>210</v>
      </c>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ht="16.5" customHeight="1">
      <c r="A462" s="8" t="s">
        <v>5</v>
      </c>
      <c r="E462" s="8" t="s">
        <v>104</v>
      </c>
      <c r="F462" s="8" t="s">
        <v>250</v>
      </c>
      <c r="G462" s="34" t="s">
        <v>4902</v>
      </c>
      <c r="H462" s="8" t="s">
        <v>250</v>
      </c>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ht="16.5" customHeight="1">
      <c r="A463" s="8" t="s">
        <v>5</v>
      </c>
      <c r="B463" s="348" t="s">
        <v>4903</v>
      </c>
      <c r="C463" s="508" t="s">
        <v>4904</v>
      </c>
      <c r="D463" s="348" t="s">
        <v>20</v>
      </c>
      <c r="E463" s="8" t="s">
        <v>88</v>
      </c>
      <c r="F463" s="8" t="s">
        <v>89</v>
      </c>
      <c r="G463" s="29"/>
      <c r="H463" s="36"/>
      <c r="L463" s="9"/>
      <c r="M463" s="9"/>
      <c r="N463" s="9"/>
      <c r="O463" s="9"/>
      <c r="P463" s="9"/>
      <c r="Q463" s="9"/>
      <c r="R463" s="9"/>
      <c r="S463" s="9"/>
      <c r="T463" s="9"/>
      <c r="U463" s="9"/>
      <c r="V463" s="9"/>
      <c r="W463" s="9"/>
      <c r="X463" s="9"/>
      <c r="Y463" s="9"/>
      <c r="Z463" s="9"/>
      <c r="AA463" s="9"/>
      <c r="AB463" s="9"/>
      <c r="AC463" s="9"/>
      <c r="AD463" s="9"/>
      <c r="AE463" s="9"/>
      <c r="AF463" s="9"/>
    </row>
    <row r="464" ht="16.5" customHeight="1">
      <c r="A464" s="8" t="s">
        <v>5</v>
      </c>
      <c r="E464" s="8" t="s">
        <v>88</v>
      </c>
      <c r="F464" s="8" t="s">
        <v>154</v>
      </c>
      <c r="G464" s="34" t="s">
        <v>4905</v>
      </c>
      <c r="H464" s="35" t="s">
        <v>154</v>
      </c>
      <c r="L464" s="9"/>
      <c r="M464" s="9"/>
      <c r="N464" s="9"/>
      <c r="O464" s="9"/>
      <c r="P464" s="9"/>
      <c r="Q464" s="9"/>
      <c r="R464" s="9"/>
      <c r="S464" s="9"/>
      <c r="T464" s="9"/>
      <c r="U464" s="9"/>
      <c r="V464" s="9"/>
      <c r="W464" s="9"/>
      <c r="X464" s="9"/>
      <c r="Y464" s="9"/>
      <c r="Z464" s="9"/>
      <c r="AA464" s="9"/>
      <c r="AB464" s="9"/>
      <c r="AC464" s="9"/>
      <c r="AD464" s="9"/>
      <c r="AE464" s="9"/>
      <c r="AF464" s="9"/>
    </row>
    <row r="465" ht="16.5" customHeight="1">
      <c r="A465" s="8" t="s">
        <v>5</v>
      </c>
      <c r="E465" s="8" t="s">
        <v>21</v>
      </c>
      <c r="F465" s="8" t="s">
        <v>51</v>
      </c>
      <c r="G465" s="34" t="s">
        <v>4906</v>
      </c>
      <c r="H465" s="35" t="s">
        <v>51</v>
      </c>
      <c r="L465" s="9"/>
      <c r="M465" s="9"/>
      <c r="N465" s="9"/>
      <c r="O465" s="9"/>
      <c r="P465" s="9"/>
      <c r="Q465" s="9"/>
      <c r="R465" s="9"/>
      <c r="S465" s="9"/>
      <c r="T465" s="9"/>
      <c r="U465" s="9"/>
      <c r="V465" s="9"/>
      <c r="W465" s="9"/>
      <c r="X465" s="9"/>
      <c r="Y465" s="9"/>
      <c r="Z465" s="9"/>
      <c r="AA465" s="9"/>
      <c r="AB465" s="9"/>
      <c r="AC465" s="9"/>
      <c r="AD465" s="9"/>
      <c r="AE465" s="9"/>
      <c r="AF465" s="9"/>
    </row>
    <row r="466" ht="16.5" customHeight="1">
      <c r="A466" s="8" t="s">
        <v>5</v>
      </c>
      <c r="E466" s="8" t="s">
        <v>172</v>
      </c>
      <c r="F466" s="8" t="s">
        <v>194</v>
      </c>
      <c r="G466" s="34" t="s">
        <v>4907</v>
      </c>
      <c r="H466" s="8" t="s">
        <v>194</v>
      </c>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ht="16.5" customHeight="1">
      <c r="A467" s="8" t="s">
        <v>5</v>
      </c>
      <c r="E467" s="8" t="s">
        <v>172</v>
      </c>
      <c r="F467" s="8" t="s">
        <v>195</v>
      </c>
      <c r="G467" s="34" t="s">
        <v>4908</v>
      </c>
      <c r="H467" s="8" t="s">
        <v>195</v>
      </c>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ht="16.5" customHeight="1">
      <c r="A468" s="8" t="s">
        <v>5</v>
      </c>
      <c r="E468" s="8" t="s">
        <v>408</v>
      </c>
      <c r="F468" s="8" t="s">
        <v>408</v>
      </c>
      <c r="G468" s="34" t="s">
        <v>4909</v>
      </c>
      <c r="H468" s="8" t="s">
        <v>408</v>
      </c>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ht="16.5" customHeight="1">
      <c r="A469" s="8" t="s">
        <v>5</v>
      </c>
      <c r="E469" s="8" t="s">
        <v>116</v>
      </c>
      <c r="F469" s="8" t="s">
        <v>825</v>
      </c>
      <c r="G469" s="34" t="s">
        <v>4910</v>
      </c>
      <c r="H469" s="8" t="s">
        <v>825</v>
      </c>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ht="16.5" customHeight="1">
      <c r="A470" s="8" t="s">
        <v>5</v>
      </c>
      <c r="E470" s="8" t="s">
        <v>21</v>
      </c>
      <c r="F470" s="8" t="s">
        <v>51</v>
      </c>
      <c r="G470" s="34" t="s">
        <v>4911</v>
      </c>
      <c r="H470" s="35" t="s">
        <v>4829</v>
      </c>
      <c r="L470" s="9"/>
      <c r="M470" s="9"/>
      <c r="N470" s="9"/>
      <c r="O470" s="9"/>
      <c r="P470" s="9"/>
      <c r="Q470" s="9"/>
      <c r="R470" s="9"/>
      <c r="S470" s="9"/>
      <c r="T470" s="9"/>
      <c r="U470" s="9"/>
      <c r="V470" s="9"/>
      <c r="W470" s="9"/>
      <c r="X470" s="9"/>
      <c r="Y470" s="9"/>
      <c r="Z470" s="9"/>
      <c r="AA470" s="9"/>
      <c r="AB470" s="9"/>
      <c r="AC470" s="9"/>
      <c r="AD470" s="9"/>
      <c r="AE470" s="9"/>
      <c r="AF470" s="9"/>
    </row>
    <row r="471" ht="16.5" customHeight="1">
      <c r="A471" s="8" t="s">
        <v>5</v>
      </c>
      <c r="E471" s="8" t="s">
        <v>88</v>
      </c>
      <c r="F471" s="8" t="s">
        <v>245</v>
      </c>
      <c r="G471" s="34" t="s">
        <v>4912</v>
      </c>
      <c r="H471" s="8" t="s">
        <v>245</v>
      </c>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ht="16.5" customHeight="1">
      <c r="A472" s="8" t="s">
        <v>5</v>
      </c>
      <c r="E472" s="8" t="s">
        <v>88</v>
      </c>
      <c r="F472" s="8" t="s">
        <v>120</v>
      </c>
      <c r="G472" s="34" t="s">
        <v>4913</v>
      </c>
      <c r="H472" s="8" t="s">
        <v>120</v>
      </c>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ht="16.5" customHeight="1">
      <c r="A473" s="8" t="s">
        <v>5</v>
      </c>
      <c r="E473" s="8" t="s">
        <v>88</v>
      </c>
      <c r="F473" s="8" t="s">
        <v>544</v>
      </c>
      <c r="G473" s="34" t="s">
        <v>4914</v>
      </c>
      <c r="H473" s="8" t="s">
        <v>544</v>
      </c>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ht="16.5" customHeight="1">
      <c r="A474" s="8" t="s">
        <v>5</v>
      </c>
      <c r="E474" s="8" t="s">
        <v>88</v>
      </c>
      <c r="F474" s="8" t="s">
        <v>246</v>
      </c>
      <c r="G474" s="34" t="s">
        <v>4915</v>
      </c>
      <c r="H474" s="8" t="s">
        <v>246</v>
      </c>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ht="16.5" customHeight="1">
      <c r="A475" s="8" t="s">
        <v>5</v>
      </c>
      <c r="E475" s="8" t="s">
        <v>88</v>
      </c>
      <c r="F475" s="8" t="s">
        <v>247</v>
      </c>
      <c r="G475" s="9"/>
      <c r="H475" s="36"/>
      <c r="L475" s="9"/>
      <c r="M475" s="9"/>
      <c r="N475" s="9"/>
      <c r="O475" s="9"/>
      <c r="P475" s="9"/>
      <c r="Q475" s="9"/>
      <c r="R475" s="9"/>
      <c r="S475" s="9"/>
      <c r="T475" s="9"/>
      <c r="U475" s="9"/>
      <c r="V475" s="9"/>
      <c r="W475" s="9"/>
      <c r="X475" s="9"/>
      <c r="Y475" s="9"/>
      <c r="Z475" s="9"/>
      <c r="AA475" s="9"/>
      <c r="AB475" s="9"/>
      <c r="AC475" s="9"/>
      <c r="AD475" s="9"/>
      <c r="AE475" s="9"/>
      <c r="AF475" s="9"/>
    </row>
    <row r="476" ht="16.5" customHeight="1">
      <c r="A476" s="8" t="s">
        <v>5</v>
      </c>
      <c r="E476" s="8" t="s">
        <v>88</v>
      </c>
      <c r="F476" s="8" t="s">
        <v>95</v>
      </c>
      <c r="G476" s="34" t="s">
        <v>4916</v>
      </c>
      <c r="H476" s="8" t="s">
        <v>95</v>
      </c>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ht="16.5" customHeight="1">
      <c r="A477" s="8" t="s">
        <v>5</v>
      </c>
      <c r="E477" s="8" t="s">
        <v>88</v>
      </c>
      <c r="F477" s="8" t="s">
        <v>96</v>
      </c>
      <c r="G477" s="34" t="s">
        <v>4917</v>
      </c>
      <c r="H477" s="8" t="s">
        <v>96</v>
      </c>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ht="16.5" customHeight="1">
      <c r="A478" s="8" t="s">
        <v>5</v>
      </c>
      <c r="E478" s="8" t="s">
        <v>86</v>
      </c>
      <c r="F478" s="8" t="s">
        <v>90</v>
      </c>
      <c r="G478" s="34" t="s">
        <v>4918</v>
      </c>
      <c r="H478" s="8" t="s">
        <v>90</v>
      </c>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ht="16.5" customHeight="1">
      <c r="A479" s="8" t="s">
        <v>5</v>
      </c>
      <c r="E479" s="8" t="s">
        <v>86</v>
      </c>
      <c r="F479" s="8" t="s">
        <v>91</v>
      </c>
      <c r="G479" s="34" t="s">
        <v>4919</v>
      </c>
      <c r="H479" s="8" t="s">
        <v>91</v>
      </c>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ht="16.5" customHeight="1">
      <c r="A480" s="8" t="s">
        <v>5</v>
      </c>
      <c r="E480" s="8" t="s">
        <v>86</v>
      </c>
      <c r="F480" s="8" t="s">
        <v>338</v>
      </c>
      <c r="G480" s="34" t="s">
        <v>4920</v>
      </c>
      <c r="H480" s="8" t="s">
        <v>338</v>
      </c>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ht="16.5" customHeight="1">
      <c r="A481" s="8" t="s">
        <v>5</v>
      </c>
      <c r="E481" s="8" t="s">
        <v>178</v>
      </c>
      <c r="F481" s="8" t="s">
        <v>209</v>
      </c>
      <c r="G481" s="34" t="s">
        <v>4921</v>
      </c>
      <c r="H481" s="8" t="s">
        <v>209</v>
      </c>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ht="16.5" customHeight="1">
      <c r="A482" s="8" t="s">
        <v>5</v>
      </c>
      <c r="E482" s="8" t="s">
        <v>178</v>
      </c>
      <c r="F482" s="8" t="s">
        <v>210</v>
      </c>
      <c r="G482" s="34" t="s">
        <v>4922</v>
      </c>
      <c r="H482" s="8" t="s">
        <v>210</v>
      </c>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ht="16.5" customHeight="1">
      <c r="A483" s="8" t="s">
        <v>5</v>
      </c>
      <c r="E483" s="8" t="s">
        <v>104</v>
      </c>
      <c r="F483" s="8" t="s">
        <v>250</v>
      </c>
      <c r="G483" s="34" t="s">
        <v>4923</v>
      </c>
      <c r="H483" s="35" t="s">
        <v>250</v>
      </c>
      <c r="L483" s="9"/>
      <c r="M483" s="9"/>
      <c r="N483" s="9"/>
      <c r="O483" s="9"/>
      <c r="P483" s="9"/>
      <c r="Q483" s="9"/>
      <c r="R483" s="9"/>
      <c r="S483" s="9"/>
      <c r="T483" s="9"/>
      <c r="U483" s="9"/>
      <c r="V483" s="9"/>
      <c r="W483" s="9"/>
      <c r="X483" s="9"/>
      <c r="Y483" s="9"/>
      <c r="Z483" s="9"/>
      <c r="AA483" s="9"/>
      <c r="AB483" s="9"/>
      <c r="AC483" s="9"/>
      <c r="AD483" s="9"/>
      <c r="AE483" s="9"/>
      <c r="AF483" s="9"/>
    </row>
    <row r="484" ht="16.5" customHeight="1">
      <c r="A484" s="8" t="s">
        <v>5</v>
      </c>
      <c r="B484" s="348" t="s">
        <v>4924</v>
      </c>
      <c r="C484" s="508" t="s">
        <v>4925</v>
      </c>
      <c r="D484" s="348" t="s">
        <v>20</v>
      </c>
      <c r="E484" s="8" t="s">
        <v>88</v>
      </c>
      <c r="F484" s="8" t="s">
        <v>89</v>
      </c>
      <c r="G484" s="42"/>
      <c r="H484" s="36"/>
      <c r="L484" s="9"/>
      <c r="M484" s="9"/>
      <c r="N484" s="9"/>
      <c r="O484" s="9"/>
      <c r="P484" s="9"/>
      <c r="Q484" s="9"/>
      <c r="R484" s="9"/>
      <c r="S484" s="9"/>
      <c r="T484" s="9"/>
      <c r="U484" s="9"/>
      <c r="V484" s="9"/>
      <c r="W484" s="9"/>
      <c r="X484" s="9"/>
      <c r="Y484" s="9"/>
      <c r="Z484" s="9"/>
      <c r="AA484" s="9"/>
      <c r="AB484" s="9"/>
      <c r="AC484" s="9"/>
      <c r="AD484" s="9"/>
      <c r="AE484" s="9"/>
      <c r="AF484" s="9"/>
    </row>
    <row r="485" ht="16.5" customHeight="1">
      <c r="A485" s="8" t="s">
        <v>5</v>
      </c>
      <c r="E485" s="8" t="s">
        <v>88</v>
      </c>
      <c r="F485" s="8" t="s">
        <v>154</v>
      </c>
      <c r="G485" s="34" t="s">
        <v>4926</v>
      </c>
      <c r="H485" s="35" t="s">
        <v>154</v>
      </c>
      <c r="L485" s="9"/>
      <c r="M485" s="9"/>
      <c r="N485" s="9"/>
      <c r="O485" s="9"/>
      <c r="P485" s="9"/>
      <c r="Q485" s="9"/>
      <c r="R485" s="9"/>
      <c r="S485" s="9"/>
      <c r="T485" s="9"/>
      <c r="U485" s="9"/>
      <c r="V485" s="9"/>
      <c r="W485" s="9"/>
      <c r="X485" s="9"/>
      <c r="Y485" s="9"/>
      <c r="Z485" s="9"/>
      <c r="AA485" s="9"/>
      <c r="AB485" s="9"/>
      <c r="AC485" s="9"/>
      <c r="AD485" s="9"/>
      <c r="AE485" s="9"/>
      <c r="AF485" s="9"/>
    </row>
    <row r="486" ht="16.5" customHeight="1">
      <c r="A486" s="8" t="s">
        <v>5</v>
      </c>
      <c r="E486" s="8" t="s">
        <v>21</v>
      </c>
      <c r="F486" s="8" t="s">
        <v>51</v>
      </c>
      <c r="G486" s="34" t="s">
        <v>4927</v>
      </c>
      <c r="H486" s="35" t="s">
        <v>51</v>
      </c>
      <c r="L486" s="9"/>
      <c r="M486" s="9"/>
      <c r="N486" s="9"/>
      <c r="O486" s="9"/>
      <c r="P486" s="9"/>
      <c r="Q486" s="9"/>
      <c r="R486" s="9"/>
      <c r="S486" s="9"/>
      <c r="T486" s="9"/>
      <c r="U486" s="9"/>
      <c r="V486" s="9"/>
      <c r="W486" s="9"/>
      <c r="X486" s="9"/>
      <c r="Y486" s="9"/>
      <c r="Z486" s="9"/>
      <c r="AA486" s="9"/>
      <c r="AB486" s="9"/>
      <c r="AC486" s="9"/>
      <c r="AD486" s="9"/>
      <c r="AE486" s="9"/>
      <c r="AF486" s="9"/>
    </row>
    <row r="487" ht="16.5" customHeight="1">
      <c r="A487" s="8" t="s">
        <v>5</v>
      </c>
      <c r="E487" s="8" t="s">
        <v>172</v>
      </c>
      <c r="F487" s="8" t="s">
        <v>194</v>
      </c>
      <c r="G487" s="34" t="s">
        <v>4928</v>
      </c>
      <c r="H487" s="8" t="s">
        <v>194</v>
      </c>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ht="16.5" customHeight="1">
      <c r="A488" s="8" t="s">
        <v>5</v>
      </c>
      <c r="E488" s="8" t="s">
        <v>172</v>
      </c>
      <c r="F488" s="8" t="s">
        <v>195</v>
      </c>
      <c r="G488" s="34" t="s">
        <v>4929</v>
      </c>
      <c r="H488" s="8" t="s">
        <v>195</v>
      </c>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ht="16.5" customHeight="1">
      <c r="A489" s="8" t="s">
        <v>5</v>
      </c>
      <c r="E489" s="8" t="s">
        <v>408</v>
      </c>
      <c r="F489" s="8" t="s">
        <v>408</v>
      </c>
      <c r="G489" s="34" t="s">
        <v>4930</v>
      </c>
      <c r="H489" s="8" t="s">
        <v>408</v>
      </c>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ht="16.5" customHeight="1">
      <c r="A490" s="8" t="s">
        <v>5</v>
      </c>
      <c r="E490" s="8" t="s">
        <v>116</v>
      </c>
      <c r="F490" s="8" t="s">
        <v>825</v>
      </c>
      <c r="G490" s="34" t="s">
        <v>4931</v>
      </c>
      <c r="H490" s="8" t="s">
        <v>825</v>
      </c>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ht="16.5" customHeight="1">
      <c r="A491" s="8" t="s">
        <v>5</v>
      </c>
      <c r="E491" s="8" t="s">
        <v>21</v>
      </c>
      <c r="F491" s="8" t="s">
        <v>51</v>
      </c>
      <c r="G491" s="34" t="s">
        <v>4932</v>
      </c>
      <c r="H491" s="35" t="s">
        <v>4829</v>
      </c>
      <c r="L491" s="9"/>
      <c r="M491" s="9"/>
      <c r="N491" s="9"/>
      <c r="O491" s="9"/>
      <c r="P491" s="9"/>
      <c r="Q491" s="9"/>
      <c r="R491" s="9"/>
      <c r="S491" s="9"/>
      <c r="T491" s="9"/>
      <c r="U491" s="9"/>
      <c r="V491" s="9"/>
      <c r="W491" s="9"/>
      <c r="X491" s="9"/>
      <c r="Y491" s="9"/>
      <c r="Z491" s="9"/>
      <c r="AA491" s="9"/>
      <c r="AB491" s="9"/>
      <c r="AC491" s="9"/>
      <c r="AD491" s="9"/>
      <c r="AE491" s="9"/>
      <c r="AF491" s="9"/>
    </row>
    <row r="492" ht="16.5" customHeight="1">
      <c r="A492" s="8" t="s">
        <v>5</v>
      </c>
      <c r="E492" s="8" t="s">
        <v>88</v>
      </c>
      <c r="F492" s="8" t="s">
        <v>245</v>
      </c>
      <c r="G492" s="34" t="s">
        <v>4933</v>
      </c>
      <c r="H492" s="8" t="s">
        <v>245</v>
      </c>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ht="16.5" customHeight="1">
      <c r="A493" s="8" t="s">
        <v>5</v>
      </c>
      <c r="E493" s="8" t="s">
        <v>88</v>
      </c>
      <c r="F493" s="8" t="s">
        <v>120</v>
      </c>
      <c r="G493" s="34" t="s">
        <v>4934</v>
      </c>
      <c r="H493" s="8" t="s">
        <v>120</v>
      </c>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ht="16.5" customHeight="1">
      <c r="A494" s="8" t="s">
        <v>5</v>
      </c>
      <c r="E494" s="8" t="s">
        <v>88</v>
      </c>
      <c r="F494" s="8" t="s">
        <v>544</v>
      </c>
      <c r="G494" s="34" t="s">
        <v>4935</v>
      </c>
      <c r="H494" s="8" t="s">
        <v>544</v>
      </c>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ht="16.5" customHeight="1">
      <c r="A495" s="8" t="s">
        <v>5</v>
      </c>
      <c r="E495" s="8" t="s">
        <v>88</v>
      </c>
      <c r="F495" s="8" t="s">
        <v>246</v>
      </c>
      <c r="G495" s="34" t="s">
        <v>4936</v>
      </c>
      <c r="H495" s="8" t="s">
        <v>246</v>
      </c>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ht="16.5" customHeight="1">
      <c r="A496" s="8" t="s">
        <v>5</v>
      </c>
      <c r="E496" s="8" t="s">
        <v>88</v>
      </c>
      <c r="F496" s="8" t="s">
        <v>247</v>
      </c>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ht="16.5" customHeight="1">
      <c r="A497" s="8" t="s">
        <v>5</v>
      </c>
      <c r="E497" s="8" t="s">
        <v>88</v>
      </c>
      <c r="F497" s="8" t="s">
        <v>95</v>
      </c>
      <c r="G497" s="34" t="s">
        <v>4937</v>
      </c>
      <c r="H497" s="8" t="s">
        <v>95</v>
      </c>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ht="16.5" customHeight="1">
      <c r="A498" s="8" t="s">
        <v>5</v>
      </c>
      <c r="E498" s="8" t="s">
        <v>88</v>
      </c>
      <c r="F498" s="8" t="s">
        <v>96</v>
      </c>
      <c r="G498" s="34" t="s">
        <v>4938</v>
      </c>
      <c r="H498" s="8" t="s">
        <v>96</v>
      </c>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ht="16.5" customHeight="1">
      <c r="A499" s="8" t="s">
        <v>5</v>
      </c>
      <c r="E499" s="8" t="s">
        <v>88</v>
      </c>
      <c r="F499" s="8" t="s">
        <v>122</v>
      </c>
      <c r="G499" s="34" t="s">
        <v>4939</v>
      </c>
      <c r="H499" s="8" t="s">
        <v>122</v>
      </c>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ht="16.5" customHeight="1">
      <c r="A500" s="8" t="s">
        <v>5</v>
      </c>
      <c r="E500" s="8" t="s">
        <v>86</v>
      </c>
      <c r="F500" s="8" t="s">
        <v>90</v>
      </c>
      <c r="G500" s="34" t="s">
        <v>4940</v>
      </c>
      <c r="H500" s="8" t="s">
        <v>90</v>
      </c>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ht="16.5" customHeight="1">
      <c r="A501" s="8" t="s">
        <v>5</v>
      </c>
      <c r="E501" s="8" t="s">
        <v>86</v>
      </c>
      <c r="F501" s="8" t="s">
        <v>91</v>
      </c>
      <c r="G501" s="34" t="s">
        <v>4941</v>
      </c>
      <c r="H501" s="8" t="s">
        <v>91</v>
      </c>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ht="16.5" customHeight="1">
      <c r="A502" s="8" t="s">
        <v>5</v>
      </c>
      <c r="E502" s="8" t="s">
        <v>86</v>
      </c>
      <c r="F502" s="8" t="s">
        <v>338</v>
      </c>
      <c r="G502" s="34" t="s">
        <v>4942</v>
      </c>
      <c r="H502" s="8" t="s">
        <v>338</v>
      </c>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ht="16.5" customHeight="1">
      <c r="A503" s="8" t="s">
        <v>5</v>
      </c>
      <c r="E503" s="8" t="s">
        <v>178</v>
      </c>
      <c r="F503" s="8" t="s">
        <v>209</v>
      </c>
      <c r="G503" s="34" t="s">
        <v>4943</v>
      </c>
      <c r="H503" s="8" t="s">
        <v>209</v>
      </c>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ht="16.5" customHeight="1">
      <c r="A504" s="8" t="s">
        <v>5</v>
      </c>
      <c r="E504" s="8" t="s">
        <v>178</v>
      </c>
      <c r="F504" s="8" t="s">
        <v>210</v>
      </c>
      <c r="G504" s="34" t="s">
        <v>4944</v>
      </c>
      <c r="H504" s="8" t="s">
        <v>210</v>
      </c>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ht="16.5" customHeight="1">
      <c r="A505" s="8" t="s">
        <v>5</v>
      </c>
      <c r="E505" s="8" t="s">
        <v>104</v>
      </c>
      <c r="F505" s="8" t="s">
        <v>250</v>
      </c>
      <c r="G505" s="34" t="s">
        <v>4945</v>
      </c>
      <c r="H505" s="8" t="s">
        <v>250</v>
      </c>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ht="16.5" customHeight="1">
      <c r="A506" s="8" t="s">
        <v>5</v>
      </c>
      <c r="B506" s="348" t="s">
        <v>4946</v>
      </c>
      <c r="C506" s="508" t="s">
        <v>4947</v>
      </c>
      <c r="D506" s="348" t="s">
        <v>20</v>
      </c>
      <c r="E506" s="8" t="s">
        <v>88</v>
      </c>
      <c r="F506" s="8" t="s">
        <v>89</v>
      </c>
      <c r="G506" s="42"/>
      <c r="H506" s="36"/>
      <c r="L506" s="9"/>
      <c r="M506" s="9"/>
      <c r="N506" s="9"/>
      <c r="O506" s="9"/>
      <c r="P506" s="9"/>
      <c r="Q506" s="9"/>
      <c r="R506" s="9"/>
      <c r="S506" s="9"/>
      <c r="T506" s="9"/>
      <c r="U506" s="9"/>
      <c r="V506" s="9"/>
      <c r="W506" s="9"/>
      <c r="X506" s="9"/>
      <c r="Y506" s="9"/>
      <c r="Z506" s="9"/>
      <c r="AA506" s="9"/>
      <c r="AB506" s="9"/>
      <c r="AC506" s="9"/>
      <c r="AD506" s="9"/>
      <c r="AE506" s="9"/>
      <c r="AF506" s="9"/>
    </row>
    <row r="507" ht="16.5" customHeight="1">
      <c r="A507" s="8" t="s">
        <v>5</v>
      </c>
      <c r="E507" s="8" t="s">
        <v>21</v>
      </c>
      <c r="F507" s="8" t="s">
        <v>51</v>
      </c>
      <c r="G507" s="34" t="s">
        <v>4948</v>
      </c>
      <c r="H507" s="8" t="s">
        <v>51</v>
      </c>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ht="16.5" customHeight="1">
      <c r="A508" s="8" t="s">
        <v>5</v>
      </c>
      <c r="E508" s="8" t="s">
        <v>172</v>
      </c>
      <c r="F508" s="8" t="s">
        <v>194</v>
      </c>
      <c r="G508" s="34" t="s">
        <v>4949</v>
      </c>
      <c r="H508" s="8" t="s">
        <v>194</v>
      </c>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ht="16.5" customHeight="1">
      <c r="A509" s="8" t="s">
        <v>5</v>
      </c>
      <c r="E509" s="8" t="s">
        <v>172</v>
      </c>
      <c r="F509" s="8" t="s">
        <v>195</v>
      </c>
      <c r="G509" s="34" t="s">
        <v>4950</v>
      </c>
      <c r="H509" s="8" t="s">
        <v>195</v>
      </c>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ht="16.5" customHeight="1">
      <c r="A510" s="8" t="s">
        <v>5</v>
      </c>
      <c r="E510" s="8" t="s">
        <v>408</v>
      </c>
      <c r="F510" s="8" t="s">
        <v>408</v>
      </c>
      <c r="G510" s="34" t="s">
        <v>4951</v>
      </c>
      <c r="H510" s="8" t="s">
        <v>408</v>
      </c>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ht="16.5" customHeight="1">
      <c r="A511" s="8" t="s">
        <v>5</v>
      </c>
      <c r="E511" s="8" t="s">
        <v>116</v>
      </c>
      <c r="F511" s="8" t="s">
        <v>825</v>
      </c>
      <c r="G511" s="34" t="s">
        <v>4952</v>
      </c>
      <c r="H511" s="8" t="s">
        <v>825</v>
      </c>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ht="16.5" customHeight="1">
      <c r="A512" s="8" t="s">
        <v>5</v>
      </c>
      <c r="E512" s="8" t="s">
        <v>21</v>
      </c>
      <c r="F512" s="8" t="s">
        <v>51</v>
      </c>
      <c r="G512" s="34" t="s">
        <v>4953</v>
      </c>
      <c r="H512" s="35" t="s">
        <v>4829</v>
      </c>
      <c r="L512" s="9"/>
      <c r="M512" s="9"/>
      <c r="N512" s="9"/>
      <c r="O512" s="9"/>
      <c r="P512" s="9"/>
      <c r="Q512" s="9"/>
      <c r="R512" s="9"/>
      <c r="S512" s="9"/>
      <c r="T512" s="9"/>
      <c r="U512" s="9"/>
      <c r="V512" s="9"/>
      <c r="W512" s="9"/>
      <c r="X512" s="9"/>
      <c r="Y512" s="9"/>
      <c r="Z512" s="9"/>
      <c r="AA512" s="9"/>
      <c r="AB512" s="9"/>
      <c r="AC512" s="9"/>
      <c r="AD512" s="9"/>
      <c r="AE512" s="9"/>
      <c r="AF512" s="9"/>
    </row>
    <row r="513" ht="16.5" customHeight="1">
      <c r="A513" s="8" t="s">
        <v>5</v>
      </c>
      <c r="E513" s="8" t="s">
        <v>88</v>
      </c>
      <c r="F513" s="8" t="s">
        <v>245</v>
      </c>
      <c r="G513" s="34" t="s">
        <v>4954</v>
      </c>
      <c r="H513" s="8" t="s">
        <v>245</v>
      </c>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ht="16.5" customHeight="1">
      <c r="A514" s="8" t="s">
        <v>5</v>
      </c>
      <c r="E514" s="8" t="s">
        <v>88</v>
      </c>
      <c r="F514" s="8" t="s">
        <v>120</v>
      </c>
      <c r="G514" s="34" t="s">
        <v>4955</v>
      </c>
      <c r="H514" s="8" t="s">
        <v>120</v>
      </c>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ht="16.5" customHeight="1">
      <c r="A515" s="8" t="s">
        <v>5</v>
      </c>
      <c r="E515" s="8" t="s">
        <v>88</v>
      </c>
      <c r="F515" s="8" t="s">
        <v>544</v>
      </c>
      <c r="G515" s="34" t="s">
        <v>4956</v>
      </c>
      <c r="H515" s="8" t="s">
        <v>544</v>
      </c>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ht="16.5" customHeight="1">
      <c r="A516" s="8" t="s">
        <v>5</v>
      </c>
      <c r="E516" s="8" t="s">
        <v>88</v>
      </c>
      <c r="F516" s="8" t="s">
        <v>247</v>
      </c>
      <c r="G516" s="9"/>
      <c r="H516" s="36"/>
      <c r="L516" s="9"/>
      <c r="M516" s="9"/>
      <c r="N516" s="9"/>
      <c r="O516" s="9"/>
      <c r="P516" s="9"/>
      <c r="Q516" s="9"/>
      <c r="R516" s="9"/>
      <c r="S516" s="9"/>
      <c r="T516" s="9"/>
      <c r="U516" s="9"/>
      <c r="V516" s="9"/>
      <c r="W516" s="9"/>
      <c r="X516" s="9"/>
      <c r="Y516" s="9"/>
      <c r="Z516" s="9"/>
      <c r="AA516" s="9"/>
      <c r="AB516" s="9"/>
      <c r="AC516" s="9"/>
      <c r="AD516" s="9"/>
      <c r="AE516" s="9"/>
      <c r="AF516" s="9"/>
    </row>
    <row r="517" ht="16.5" customHeight="1">
      <c r="A517" s="8" t="s">
        <v>5</v>
      </c>
      <c r="E517" s="8" t="s">
        <v>88</v>
      </c>
      <c r="F517" s="8" t="s">
        <v>95</v>
      </c>
      <c r="G517" s="34" t="s">
        <v>4957</v>
      </c>
      <c r="H517" s="8" t="s">
        <v>95</v>
      </c>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ht="16.5" customHeight="1">
      <c r="A518" s="8" t="s">
        <v>5</v>
      </c>
      <c r="E518" s="8" t="s">
        <v>88</v>
      </c>
      <c r="F518" s="8" t="s">
        <v>96</v>
      </c>
      <c r="G518" s="34" t="s">
        <v>4958</v>
      </c>
      <c r="H518" s="8" t="s">
        <v>96</v>
      </c>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ht="16.5" customHeight="1">
      <c r="A519" s="8" t="s">
        <v>5</v>
      </c>
      <c r="E519" s="8" t="s">
        <v>88</v>
      </c>
      <c r="F519" s="8" t="s">
        <v>122</v>
      </c>
      <c r="G519" s="34" t="s">
        <v>4959</v>
      </c>
      <c r="H519" s="8" t="s">
        <v>122</v>
      </c>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ht="16.5" customHeight="1">
      <c r="A520" s="8" t="s">
        <v>5</v>
      </c>
      <c r="E520" s="8" t="s">
        <v>86</v>
      </c>
      <c r="F520" s="8" t="s">
        <v>90</v>
      </c>
      <c r="G520" s="34" t="s">
        <v>4960</v>
      </c>
      <c r="H520" s="8" t="s">
        <v>90</v>
      </c>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ht="16.5" customHeight="1">
      <c r="A521" s="8" t="s">
        <v>5</v>
      </c>
      <c r="E521" s="8" t="s">
        <v>86</v>
      </c>
      <c r="F521" s="8" t="s">
        <v>91</v>
      </c>
      <c r="G521" s="34" t="s">
        <v>4961</v>
      </c>
      <c r="H521" s="8" t="s">
        <v>91</v>
      </c>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ht="16.5" customHeight="1">
      <c r="A522" s="8" t="s">
        <v>5</v>
      </c>
      <c r="E522" s="8" t="s">
        <v>86</v>
      </c>
      <c r="F522" s="8" t="s">
        <v>338</v>
      </c>
      <c r="G522" s="34" t="s">
        <v>4962</v>
      </c>
      <c r="H522" s="8" t="s">
        <v>338</v>
      </c>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ht="16.5" customHeight="1">
      <c r="A523" s="8" t="s">
        <v>5</v>
      </c>
      <c r="E523" s="8" t="s">
        <v>178</v>
      </c>
      <c r="F523" s="8" t="s">
        <v>209</v>
      </c>
      <c r="G523" s="34" t="s">
        <v>4963</v>
      </c>
      <c r="H523" s="8" t="s">
        <v>209</v>
      </c>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ht="16.5" customHeight="1">
      <c r="A524" s="8" t="s">
        <v>5</v>
      </c>
      <c r="E524" s="8" t="s">
        <v>178</v>
      </c>
      <c r="F524" s="8" t="s">
        <v>210</v>
      </c>
      <c r="G524" s="34" t="s">
        <v>4964</v>
      </c>
      <c r="H524" s="8" t="s">
        <v>210</v>
      </c>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ht="16.5" customHeight="1">
      <c r="A525" s="8" t="s">
        <v>5</v>
      </c>
      <c r="E525" s="8" t="s">
        <v>104</v>
      </c>
      <c r="F525" s="8" t="s">
        <v>250</v>
      </c>
      <c r="G525" s="34" t="s">
        <v>4965</v>
      </c>
      <c r="H525" s="8" t="s">
        <v>250</v>
      </c>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ht="16.5" customHeight="1">
      <c r="A526" s="8" t="s">
        <v>5</v>
      </c>
      <c r="B526" s="348" t="s">
        <v>4966</v>
      </c>
      <c r="C526" s="508" t="s">
        <v>4967</v>
      </c>
      <c r="D526" s="348" t="s">
        <v>20</v>
      </c>
      <c r="E526" s="8" t="s">
        <v>88</v>
      </c>
      <c r="F526" s="8" t="s">
        <v>89</v>
      </c>
      <c r="G526" s="42"/>
      <c r="H526" s="36"/>
      <c r="L526" s="9"/>
      <c r="M526" s="9"/>
      <c r="N526" s="9"/>
      <c r="O526" s="9"/>
      <c r="P526" s="9"/>
      <c r="Q526" s="9"/>
      <c r="R526" s="9"/>
      <c r="S526" s="9"/>
      <c r="T526" s="9"/>
      <c r="U526" s="9"/>
      <c r="V526" s="9"/>
      <c r="W526" s="9"/>
      <c r="X526" s="9"/>
      <c r="Y526" s="9"/>
      <c r="Z526" s="9"/>
      <c r="AA526" s="9"/>
      <c r="AB526" s="9"/>
      <c r="AC526" s="9"/>
      <c r="AD526" s="9"/>
      <c r="AE526" s="9"/>
      <c r="AF526" s="9"/>
    </row>
    <row r="527" ht="16.5" customHeight="1">
      <c r="A527" s="8" t="s">
        <v>5</v>
      </c>
      <c r="E527" s="8" t="s">
        <v>21</v>
      </c>
      <c r="F527" s="8" t="s">
        <v>51</v>
      </c>
      <c r="G527" s="34" t="s">
        <v>4968</v>
      </c>
      <c r="H527" s="35" t="s">
        <v>51</v>
      </c>
      <c r="L527" s="9"/>
      <c r="M527" s="9"/>
      <c r="N527" s="9"/>
      <c r="O527" s="9"/>
      <c r="P527" s="9"/>
      <c r="Q527" s="9"/>
      <c r="R527" s="9"/>
      <c r="S527" s="9"/>
      <c r="T527" s="9"/>
      <c r="U527" s="9"/>
      <c r="V527" s="9"/>
      <c r="W527" s="9"/>
      <c r="X527" s="9"/>
      <c r="Y527" s="9"/>
      <c r="Z527" s="9"/>
      <c r="AA527" s="9"/>
      <c r="AB527" s="9"/>
      <c r="AC527" s="9"/>
      <c r="AD527" s="9"/>
      <c r="AE527" s="9"/>
      <c r="AF527" s="9"/>
    </row>
    <row r="528" ht="16.5" customHeight="1">
      <c r="A528" s="8" t="s">
        <v>5</v>
      </c>
      <c r="E528" s="8" t="s">
        <v>172</v>
      </c>
      <c r="F528" s="8" t="s">
        <v>194</v>
      </c>
      <c r="G528" s="34" t="s">
        <v>4969</v>
      </c>
      <c r="H528" s="8" t="s">
        <v>194</v>
      </c>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ht="16.5" customHeight="1">
      <c r="A529" s="8" t="s">
        <v>5</v>
      </c>
      <c r="E529" s="8" t="s">
        <v>172</v>
      </c>
      <c r="F529" s="8" t="s">
        <v>195</v>
      </c>
      <c r="G529" s="34" t="s">
        <v>4970</v>
      </c>
      <c r="H529" s="8" t="s">
        <v>195</v>
      </c>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ht="16.5" customHeight="1">
      <c r="A530" s="8" t="s">
        <v>5</v>
      </c>
      <c r="E530" s="8" t="s">
        <v>408</v>
      </c>
      <c r="F530" s="8" t="s">
        <v>408</v>
      </c>
      <c r="G530" s="34" t="s">
        <v>4971</v>
      </c>
      <c r="H530" s="8" t="s">
        <v>408</v>
      </c>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ht="16.5" customHeight="1">
      <c r="A531" s="8" t="s">
        <v>5</v>
      </c>
      <c r="E531" s="8" t="s">
        <v>116</v>
      </c>
      <c r="F531" s="8" t="s">
        <v>825</v>
      </c>
      <c r="G531" s="34" t="s">
        <v>4972</v>
      </c>
      <c r="H531" s="8" t="s">
        <v>825</v>
      </c>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ht="16.5" customHeight="1">
      <c r="A532" s="8" t="s">
        <v>5</v>
      </c>
      <c r="E532" s="8" t="s">
        <v>21</v>
      </c>
      <c r="F532" s="8" t="s">
        <v>51</v>
      </c>
      <c r="G532" s="34" t="s">
        <v>4973</v>
      </c>
      <c r="H532" s="8" t="s">
        <v>4829</v>
      </c>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ht="16.5" customHeight="1">
      <c r="A533" s="8" t="s">
        <v>5</v>
      </c>
      <c r="E533" s="8" t="s">
        <v>88</v>
      </c>
      <c r="F533" s="8" t="s">
        <v>245</v>
      </c>
      <c r="G533" s="34" t="s">
        <v>4974</v>
      </c>
      <c r="H533" s="8" t="s">
        <v>245</v>
      </c>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ht="16.5" customHeight="1">
      <c r="A534" s="8" t="s">
        <v>5</v>
      </c>
      <c r="E534" s="8" t="s">
        <v>88</v>
      </c>
      <c r="F534" s="8" t="s">
        <v>120</v>
      </c>
      <c r="G534" s="34" t="s">
        <v>4975</v>
      </c>
      <c r="H534" s="8" t="s">
        <v>120</v>
      </c>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ht="16.5" customHeight="1">
      <c r="A535" s="8" t="s">
        <v>5</v>
      </c>
      <c r="E535" s="8" t="s">
        <v>88</v>
      </c>
      <c r="F535" s="8" t="s">
        <v>544</v>
      </c>
      <c r="G535" s="34" t="s">
        <v>4976</v>
      </c>
      <c r="H535" s="8" t="s">
        <v>544</v>
      </c>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ht="16.5" customHeight="1">
      <c r="A536" s="8" t="s">
        <v>5</v>
      </c>
      <c r="E536" s="8" t="s">
        <v>88</v>
      </c>
      <c r="F536" s="8" t="s">
        <v>247</v>
      </c>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ht="16.5" customHeight="1">
      <c r="A537" s="8" t="s">
        <v>5</v>
      </c>
      <c r="E537" s="8" t="s">
        <v>88</v>
      </c>
      <c r="F537" s="8" t="s">
        <v>95</v>
      </c>
      <c r="G537" s="34" t="s">
        <v>4977</v>
      </c>
      <c r="H537" s="8" t="s">
        <v>95</v>
      </c>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ht="16.5" customHeight="1">
      <c r="A538" s="8" t="s">
        <v>5</v>
      </c>
      <c r="E538" s="8" t="s">
        <v>88</v>
      </c>
      <c r="F538" s="8" t="s">
        <v>96</v>
      </c>
      <c r="G538" s="34" t="s">
        <v>4978</v>
      </c>
      <c r="H538" s="8" t="s">
        <v>96</v>
      </c>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ht="16.5" customHeight="1">
      <c r="A539" s="8" t="s">
        <v>5</v>
      </c>
      <c r="E539" s="8" t="s">
        <v>88</v>
      </c>
      <c r="F539" s="8" t="s">
        <v>122</v>
      </c>
      <c r="G539" s="34" t="s">
        <v>4979</v>
      </c>
      <c r="H539" s="8" t="s">
        <v>122</v>
      </c>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ht="16.5" customHeight="1">
      <c r="A540" s="8" t="s">
        <v>5</v>
      </c>
      <c r="E540" s="8" t="s">
        <v>86</v>
      </c>
      <c r="F540" s="8" t="s">
        <v>90</v>
      </c>
      <c r="G540" s="34" t="s">
        <v>4980</v>
      </c>
      <c r="H540" s="8" t="s">
        <v>90</v>
      </c>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ht="16.5" customHeight="1">
      <c r="A541" s="8" t="s">
        <v>5</v>
      </c>
      <c r="E541" s="8" t="s">
        <v>86</v>
      </c>
      <c r="F541" s="8" t="s">
        <v>91</v>
      </c>
      <c r="G541" s="34" t="s">
        <v>4981</v>
      </c>
      <c r="H541" s="8" t="s">
        <v>91</v>
      </c>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ht="16.5" customHeight="1">
      <c r="A542" s="8" t="s">
        <v>5</v>
      </c>
      <c r="E542" s="8" t="s">
        <v>86</v>
      </c>
      <c r="F542" s="8" t="s">
        <v>338</v>
      </c>
      <c r="G542" s="34" t="s">
        <v>4982</v>
      </c>
      <c r="H542" s="8" t="s">
        <v>338</v>
      </c>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ht="16.5" customHeight="1">
      <c r="A543" s="8" t="s">
        <v>5</v>
      </c>
      <c r="E543" s="8" t="s">
        <v>178</v>
      </c>
      <c r="F543" s="8" t="s">
        <v>209</v>
      </c>
      <c r="G543" s="34" t="s">
        <v>4983</v>
      </c>
      <c r="H543" s="8" t="s">
        <v>209</v>
      </c>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ht="16.5" customHeight="1">
      <c r="A544" s="8" t="s">
        <v>5</v>
      </c>
      <c r="E544" s="8" t="s">
        <v>178</v>
      </c>
      <c r="F544" s="8" t="s">
        <v>210</v>
      </c>
      <c r="G544" s="34" t="s">
        <v>4984</v>
      </c>
      <c r="H544" s="8" t="s">
        <v>210</v>
      </c>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ht="16.5" customHeight="1">
      <c r="A545" s="8" t="s">
        <v>5</v>
      </c>
      <c r="E545" s="8" t="s">
        <v>104</v>
      </c>
      <c r="F545" s="8" t="s">
        <v>250</v>
      </c>
      <c r="G545" s="34" t="s">
        <v>4985</v>
      </c>
      <c r="H545" s="8" t="s">
        <v>250</v>
      </c>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ht="16.5" customHeight="1">
      <c r="A546" s="8" t="s">
        <v>5</v>
      </c>
      <c r="B546" s="348" t="s">
        <v>4986</v>
      </c>
      <c r="C546" s="508" t="s">
        <v>4987</v>
      </c>
      <c r="D546" s="348" t="s">
        <v>20</v>
      </c>
      <c r="E546" s="8" t="s">
        <v>88</v>
      </c>
      <c r="F546" s="8" t="s">
        <v>89</v>
      </c>
      <c r="G546" s="42"/>
      <c r="H546" s="36"/>
      <c r="L546" s="9"/>
      <c r="M546" s="9"/>
      <c r="N546" s="9"/>
      <c r="O546" s="9"/>
      <c r="P546" s="9"/>
      <c r="Q546" s="9"/>
      <c r="R546" s="9"/>
      <c r="S546" s="9"/>
      <c r="T546" s="9"/>
      <c r="U546" s="9"/>
      <c r="V546" s="9"/>
      <c r="W546" s="9"/>
      <c r="X546" s="9"/>
      <c r="Y546" s="9"/>
      <c r="Z546" s="9"/>
      <c r="AA546" s="9"/>
      <c r="AB546" s="9"/>
      <c r="AC546" s="9"/>
      <c r="AD546" s="9"/>
      <c r="AE546" s="9"/>
      <c r="AF546" s="9"/>
    </row>
    <row r="547" ht="16.5" customHeight="1">
      <c r="A547" s="8" t="s">
        <v>5</v>
      </c>
      <c r="E547" s="8" t="s">
        <v>21</v>
      </c>
      <c r="F547" s="8" t="s">
        <v>51</v>
      </c>
      <c r="G547" s="34" t="s">
        <v>4988</v>
      </c>
      <c r="H547" s="8" t="s">
        <v>51</v>
      </c>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ht="16.5" customHeight="1">
      <c r="A548" s="8" t="s">
        <v>5</v>
      </c>
      <c r="E548" s="8" t="s">
        <v>172</v>
      </c>
      <c r="F548" s="8" t="s">
        <v>194</v>
      </c>
      <c r="G548" s="34" t="s">
        <v>4989</v>
      </c>
      <c r="H548" s="8" t="s">
        <v>194</v>
      </c>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ht="16.5" customHeight="1">
      <c r="A549" s="8" t="s">
        <v>5</v>
      </c>
      <c r="E549" s="8" t="s">
        <v>172</v>
      </c>
      <c r="F549" s="8" t="s">
        <v>195</v>
      </c>
      <c r="G549" s="34" t="s">
        <v>4990</v>
      </c>
      <c r="H549" s="8" t="s">
        <v>195</v>
      </c>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ht="16.5" customHeight="1">
      <c r="A550" s="8" t="s">
        <v>5</v>
      </c>
      <c r="E550" s="8" t="s">
        <v>408</v>
      </c>
      <c r="F550" s="8" t="s">
        <v>408</v>
      </c>
      <c r="G550" s="34" t="s">
        <v>4991</v>
      </c>
      <c r="H550" s="8" t="s">
        <v>408</v>
      </c>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ht="16.5" customHeight="1">
      <c r="A551" s="8" t="s">
        <v>5</v>
      </c>
      <c r="E551" s="8" t="s">
        <v>116</v>
      </c>
      <c r="F551" s="8" t="s">
        <v>825</v>
      </c>
      <c r="G551" s="34" t="s">
        <v>4992</v>
      </c>
      <c r="H551" s="8" t="s">
        <v>825</v>
      </c>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ht="16.5" customHeight="1">
      <c r="A552" s="8" t="s">
        <v>5</v>
      </c>
      <c r="E552" s="8" t="s">
        <v>21</v>
      </c>
      <c r="F552" s="8" t="s">
        <v>51</v>
      </c>
      <c r="G552" s="34" t="s">
        <v>4993</v>
      </c>
      <c r="H552" s="35" t="s">
        <v>4829</v>
      </c>
      <c r="L552" s="9"/>
      <c r="M552" s="9"/>
      <c r="N552" s="9"/>
      <c r="O552" s="9"/>
      <c r="P552" s="9"/>
      <c r="Q552" s="9"/>
      <c r="R552" s="9"/>
      <c r="S552" s="9"/>
      <c r="T552" s="9"/>
      <c r="U552" s="9"/>
      <c r="V552" s="9"/>
      <c r="W552" s="9"/>
      <c r="X552" s="9"/>
      <c r="Y552" s="9"/>
      <c r="Z552" s="9"/>
      <c r="AA552" s="9"/>
      <c r="AB552" s="9"/>
      <c r="AC552" s="9"/>
      <c r="AD552" s="9"/>
      <c r="AE552" s="9"/>
      <c r="AF552" s="9"/>
    </row>
    <row r="553" ht="16.5" customHeight="1">
      <c r="A553" s="8" t="s">
        <v>5</v>
      </c>
      <c r="E553" s="8" t="s">
        <v>88</v>
      </c>
      <c r="F553" s="8" t="s">
        <v>245</v>
      </c>
      <c r="G553" s="34" t="s">
        <v>4994</v>
      </c>
      <c r="H553" s="8" t="s">
        <v>245</v>
      </c>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ht="16.5" customHeight="1">
      <c r="A554" s="8" t="s">
        <v>5</v>
      </c>
      <c r="E554" s="8" t="s">
        <v>88</v>
      </c>
      <c r="F554" s="8" t="s">
        <v>120</v>
      </c>
      <c r="G554" s="34" t="s">
        <v>4995</v>
      </c>
      <c r="H554" s="8" t="s">
        <v>120</v>
      </c>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ht="16.5" customHeight="1">
      <c r="A555" s="8" t="s">
        <v>5</v>
      </c>
      <c r="E555" s="8" t="s">
        <v>88</v>
      </c>
      <c r="F555" s="8" t="s">
        <v>544</v>
      </c>
      <c r="G555" s="34" t="s">
        <v>4996</v>
      </c>
      <c r="H555" s="8" t="s">
        <v>544</v>
      </c>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ht="16.5" customHeight="1">
      <c r="A556" s="8" t="s">
        <v>5</v>
      </c>
      <c r="E556" s="8" t="s">
        <v>88</v>
      </c>
      <c r="F556" s="8" t="s">
        <v>247</v>
      </c>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ht="16.5" customHeight="1">
      <c r="A557" s="8" t="s">
        <v>5</v>
      </c>
      <c r="E557" s="8" t="s">
        <v>88</v>
      </c>
      <c r="F557" s="8" t="s">
        <v>95</v>
      </c>
      <c r="G557" s="34" t="s">
        <v>4997</v>
      </c>
      <c r="H557" s="8" t="s">
        <v>95</v>
      </c>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ht="16.5" customHeight="1">
      <c r="A558" s="8" t="s">
        <v>5</v>
      </c>
      <c r="E558" s="8" t="s">
        <v>88</v>
      </c>
      <c r="F558" s="8" t="s">
        <v>96</v>
      </c>
      <c r="G558" s="34" t="s">
        <v>4998</v>
      </c>
      <c r="H558" s="8" t="s">
        <v>96</v>
      </c>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ht="16.5" customHeight="1">
      <c r="A559" s="8" t="s">
        <v>5</v>
      </c>
      <c r="E559" s="8" t="s">
        <v>88</v>
      </c>
      <c r="F559" s="8" t="s">
        <v>122</v>
      </c>
      <c r="G559" s="34" t="s">
        <v>4999</v>
      </c>
      <c r="H559" s="8" t="s">
        <v>122</v>
      </c>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ht="16.5" customHeight="1">
      <c r="A560" s="8" t="s">
        <v>5</v>
      </c>
      <c r="E560" s="8" t="s">
        <v>86</v>
      </c>
      <c r="F560" s="8" t="s">
        <v>90</v>
      </c>
      <c r="G560" s="34" t="s">
        <v>5000</v>
      </c>
      <c r="H560" s="8" t="s">
        <v>90</v>
      </c>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ht="16.5" customHeight="1">
      <c r="A561" s="8" t="s">
        <v>5</v>
      </c>
      <c r="E561" s="8" t="s">
        <v>86</v>
      </c>
      <c r="F561" s="8" t="s">
        <v>91</v>
      </c>
      <c r="G561" s="34" t="s">
        <v>5001</v>
      </c>
      <c r="H561" s="8" t="s">
        <v>91</v>
      </c>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ht="16.5" customHeight="1">
      <c r="A562" s="8" t="s">
        <v>5</v>
      </c>
      <c r="E562" s="8" t="s">
        <v>86</v>
      </c>
      <c r="F562" s="8" t="s">
        <v>338</v>
      </c>
      <c r="G562" s="34" t="s">
        <v>5002</v>
      </c>
      <c r="H562" s="8" t="s">
        <v>338</v>
      </c>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ht="16.5" customHeight="1">
      <c r="A563" s="8" t="s">
        <v>5</v>
      </c>
      <c r="E563" s="8" t="s">
        <v>178</v>
      </c>
      <c r="F563" s="8" t="s">
        <v>209</v>
      </c>
      <c r="G563" s="34" t="s">
        <v>5003</v>
      </c>
      <c r="H563" s="8" t="s">
        <v>209</v>
      </c>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ht="16.5" customHeight="1">
      <c r="A564" s="8" t="s">
        <v>5</v>
      </c>
      <c r="E564" s="8" t="s">
        <v>178</v>
      </c>
      <c r="F564" s="8" t="s">
        <v>210</v>
      </c>
      <c r="G564" s="34" t="s">
        <v>5004</v>
      </c>
      <c r="H564" s="8" t="s">
        <v>210</v>
      </c>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ht="16.5" customHeight="1">
      <c r="A565" s="8" t="s">
        <v>5</v>
      </c>
      <c r="E565" s="8" t="s">
        <v>104</v>
      </c>
      <c r="F565" s="8" t="s">
        <v>250</v>
      </c>
      <c r="G565" s="34" t="s">
        <v>5005</v>
      </c>
      <c r="H565" s="8" t="s">
        <v>250</v>
      </c>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ht="16.5" customHeight="1">
      <c r="A566" s="164" t="s">
        <v>5</v>
      </c>
      <c r="B566" s="164" t="s">
        <v>5006</v>
      </c>
      <c r="C566" s="164" t="s">
        <v>5007</v>
      </c>
      <c r="D566" s="164" t="s">
        <v>20</v>
      </c>
      <c r="E566" s="164" t="s">
        <v>88</v>
      </c>
      <c r="F566" s="164" t="s">
        <v>89</v>
      </c>
      <c r="G566" s="511"/>
      <c r="H566" s="36"/>
      <c r="L566" s="496"/>
      <c r="M566" s="144"/>
      <c r="N566" s="144"/>
      <c r="O566" s="144"/>
      <c r="P566" s="144"/>
      <c r="Q566" s="144"/>
      <c r="R566" s="144"/>
      <c r="S566" s="144"/>
      <c r="T566" s="144"/>
      <c r="U566" s="144"/>
      <c r="V566" s="144"/>
      <c r="W566" s="144"/>
      <c r="X566" s="144"/>
      <c r="Y566" s="144"/>
      <c r="Z566" s="144"/>
      <c r="AA566" s="144"/>
      <c r="AB566" s="144"/>
      <c r="AC566" s="144"/>
      <c r="AD566" s="144"/>
      <c r="AE566" s="144"/>
      <c r="AF566" s="144"/>
    </row>
    <row r="567" ht="16.5" customHeight="1">
      <c r="A567" s="164" t="s">
        <v>5</v>
      </c>
      <c r="E567" s="164" t="s">
        <v>21</v>
      </c>
      <c r="F567" s="164" t="s">
        <v>51</v>
      </c>
      <c r="G567" s="512" t="s">
        <v>5008</v>
      </c>
      <c r="H567" s="35" t="s">
        <v>51</v>
      </c>
      <c r="L567" s="496"/>
      <c r="M567" s="144"/>
      <c r="N567" s="144"/>
      <c r="O567" s="144"/>
      <c r="P567" s="144"/>
      <c r="Q567" s="144"/>
      <c r="R567" s="144"/>
      <c r="S567" s="144"/>
      <c r="T567" s="144"/>
      <c r="U567" s="144"/>
      <c r="V567" s="144"/>
      <c r="W567" s="144"/>
      <c r="X567" s="144"/>
      <c r="Y567" s="144"/>
      <c r="Z567" s="144"/>
      <c r="AA567" s="144"/>
      <c r="AB567" s="144"/>
      <c r="AC567" s="144"/>
      <c r="AD567" s="144"/>
      <c r="AE567" s="144"/>
      <c r="AF567" s="144"/>
    </row>
    <row r="568" ht="16.5" customHeight="1">
      <c r="A568" s="164" t="s">
        <v>5</v>
      </c>
      <c r="E568" s="164" t="s">
        <v>88</v>
      </c>
      <c r="F568" s="164" t="s">
        <v>120</v>
      </c>
      <c r="G568" s="512" t="s">
        <v>5009</v>
      </c>
      <c r="H568" s="164" t="s">
        <v>120</v>
      </c>
      <c r="I568" s="496"/>
      <c r="J568" s="496"/>
      <c r="K568" s="496"/>
      <c r="L568" s="496"/>
      <c r="M568" s="144"/>
      <c r="N568" s="144"/>
      <c r="O568" s="144"/>
      <c r="P568" s="144"/>
      <c r="Q568" s="144"/>
      <c r="R568" s="144"/>
      <c r="S568" s="144"/>
      <c r="T568" s="144"/>
      <c r="U568" s="144"/>
      <c r="V568" s="144"/>
      <c r="W568" s="144"/>
      <c r="X568" s="144"/>
      <c r="Y568" s="144"/>
      <c r="Z568" s="144"/>
      <c r="AA568" s="144"/>
      <c r="AB568" s="144"/>
      <c r="AC568" s="144"/>
      <c r="AD568" s="144"/>
      <c r="AE568" s="144"/>
      <c r="AF568" s="144"/>
    </row>
    <row r="569" ht="16.5" customHeight="1">
      <c r="A569" s="164" t="s">
        <v>5</v>
      </c>
      <c r="E569" s="164" t="s">
        <v>88</v>
      </c>
      <c r="F569" s="164" t="s">
        <v>544</v>
      </c>
      <c r="G569" s="512" t="s">
        <v>5010</v>
      </c>
      <c r="H569" s="164" t="s">
        <v>544</v>
      </c>
      <c r="I569" s="496"/>
      <c r="J569" s="496"/>
      <c r="K569" s="496"/>
      <c r="L569" s="496"/>
      <c r="M569" s="144"/>
      <c r="N569" s="144"/>
      <c r="O569" s="144"/>
      <c r="P569" s="144"/>
      <c r="Q569" s="144"/>
      <c r="R569" s="144"/>
      <c r="S569" s="144"/>
      <c r="T569" s="144"/>
      <c r="U569" s="144"/>
      <c r="V569" s="144"/>
      <c r="W569" s="144"/>
      <c r="X569" s="144"/>
      <c r="Y569" s="144"/>
      <c r="Z569" s="144"/>
      <c r="AA569" s="144"/>
      <c r="AB569" s="144"/>
      <c r="AC569" s="144"/>
      <c r="AD569" s="144"/>
      <c r="AE569" s="144"/>
      <c r="AF569" s="144"/>
    </row>
    <row r="570" ht="16.5" customHeight="1">
      <c r="A570" s="164" t="s">
        <v>5</v>
      </c>
      <c r="E570" s="164" t="s">
        <v>88</v>
      </c>
      <c r="F570" s="164" t="s">
        <v>247</v>
      </c>
      <c r="G570" s="511"/>
      <c r="H570" s="36"/>
      <c r="L570" s="496"/>
      <c r="M570" s="144"/>
      <c r="N570" s="144"/>
      <c r="O570" s="144"/>
      <c r="P570" s="144"/>
      <c r="Q570" s="144"/>
      <c r="R570" s="144"/>
      <c r="S570" s="144"/>
      <c r="T570" s="144"/>
      <c r="U570" s="144"/>
      <c r="V570" s="144"/>
      <c r="W570" s="144"/>
      <c r="X570" s="144"/>
      <c r="Y570" s="144"/>
      <c r="Z570" s="144"/>
      <c r="AA570" s="144"/>
      <c r="AB570" s="144"/>
      <c r="AC570" s="144"/>
      <c r="AD570" s="144"/>
      <c r="AE570" s="144"/>
      <c r="AF570" s="144"/>
    </row>
    <row r="571" ht="16.5" customHeight="1">
      <c r="A571" s="164" t="s">
        <v>5</v>
      </c>
      <c r="E571" s="164" t="s">
        <v>88</v>
      </c>
      <c r="F571" s="164" t="s">
        <v>95</v>
      </c>
      <c r="G571" s="512" t="s">
        <v>5011</v>
      </c>
      <c r="H571" s="164" t="s">
        <v>95</v>
      </c>
      <c r="I571" s="496"/>
      <c r="J571" s="496"/>
      <c r="K571" s="496"/>
      <c r="L571" s="496"/>
      <c r="M571" s="144"/>
      <c r="N571" s="144"/>
      <c r="O571" s="144"/>
      <c r="P571" s="144"/>
      <c r="Q571" s="144"/>
      <c r="R571" s="144"/>
      <c r="S571" s="144"/>
      <c r="T571" s="144"/>
      <c r="U571" s="144"/>
      <c r="V571" s="144"/>
      <c r="W571" s="144"/>
      <c r="X571" s="144"/>
      <c r="Y571" s="144"/>
      <c r="Z571" s="144"/>
      <c r="AA571" s="144"/>
      <c r="AB571" s="144"/>
      <c r="AC571" s="144"/>
      <c r="AD571" s="144"/>
      <c r="AE571" s="144"/>
      <c r="AF571" s="144"/>
    </row>
    <row r="572" ht="16.5" customHeight="1">
      <c r="A572" s="164" t="s">
        <v>5</v>
      </c>
      <c r="E572" s="164" t="s">
        <v>88</v>
      </c>
      <c r="F572" s="164" t="s">
        <v>96</v>
      </c>
      <c r="G572" s="512" t="s">
        <v>5012</v>
      </c>
      <c r="H572" s="164" t="s">
        <v>96</v>
      </c>
      <c r="I572" s="496"/>
      <c r="J572" s="496"/>
      <c r="K572" s="496"/>
      <c r="L572" s="496"/>
      <c r="M572" s="144"/>
      <c r="N572" s="144"/>
      <c r="O572" s="144"/>
      <c r="P572" s="144"/>
      <c r="Q572" s="144"/>
      <c r="R572" s="144"/>
      <c r="S572" s="144"/>
      <c r="T572" s="144"/>
      <c r="U572" s="144"/>
      <c r="V572" s="144"/>
      <c r="W572" s="144"/>
      <c r="X572" s="144"/>
      <c r="Y572" s="144"/>
      <c r="Z572" s="144"/>
      <c r="AA572" s="144"/>
      <c r="AB572" s="144"/>
      <c r="AC572" s="144"/>
      <c r="AD572" s="144"/>
      <c r="AE572" s="144"/>
      <c r="AF572" s="144"/>
    </row>
    <row r="573" ht="16.5" customHeight="1">
      <c r="A573" s="164" t="s">
        <v>5</v>
      </c>
      <c r="E573" s="164" t="s">
        <v>88</v>
      </c>
      <c r="F573" s="164" t="s">
        <v>122</v>
      </c>
      <c r="G573" s="512" t="s">
        <v>5013</v>
      </c>
      <c r="H573" s="164" t="s">
        <v>122</v>
      </c>
      <c r="I573" s="496"/>
      <c r="J573" s="496"/>
      <c r="K573" s="496"/>
      <c r="L573" s="496"/>
      <c r="M573" s="144"/>
      <c r="N573" s="144"/>
      <c r="O573" s="144"/>
      <c r="P573" s="144"/>
      <c r="Q573" s="144"/>
      <c r="R573" s="144"/>
      <c r="S573" s="144"/>
      <c r="T573" s="144"/>
      <c r="U573" s="144"/>
      <c r="V573" s="144"/>
      <c r="W573" s="144"/>
      <c r="X573" s="144"/>
      <c r="Y573" s="144"/>
      <c r="Z573" s="144"/>
      <c r="AA573" s="144"/>
      <c r="AB573" s="144"/>
      <c r="AC573" s="144"/>
      <c r="AD573" s="144"/>
      <c r="AE573" s="144"/>
      <c r="AF573" s="144"/>
    </row>
    <row r="574" ht="16.5" customHeight="1">
      <c r="A574" s="164" t="s">
        <v>5</v>
      </c>
      <c r="E574" s="164" t="s">
        <v>86</v>
      </c>
      <c r="F574" s="164" t="s">
        <v>90</v>
      </c>
      <c r="G574" s="512" t="s">
        <v>5014</v>
      </c>
      <c r="H574" s="164" t="s">
        <v>90</v>
      </c>
      <c r="I574" s="496"/>
      <c r="J574" s="496"/>
      <c r="K574" s="496"/>
      <c r="L574" s="496"/>
      <c r="M574" s="144"/>
      <c r="N574" s="144"/>
      <c r="O574" s="144"/>
      <c r="P574" s="144"/>
      <c r="Q574" s="144"/>
      <c r="R574" s="144"/>
      <c r="S574" s="144"/>
      <c r="T574" s="144"/>
      <c r="U574" s="144"/>
      <c r="V574" s="144"/>
      <c r="W574" s="144"/>
      <c r="X574" s="144"/>
      <c r="Y574" s="144"/>
      <c r="Z574" s="144"/>
      <c r="AA574" s="144"/>
      <c r="AB574" s="144"/>
      <c r="AC574" s="144"/>
      <c r="AD574" s="144"/>
      <c r="AE574" s="144"/>
      <c r="AF574" s="144"/>
    </row>
    <row r="575" ht="16.5" customHeight="1">
      <c r="A575" s="164" t="s">
        <v>5</v>
      </c>
      <c r="E575" s="164" t="s">
        <v>86</v>
      </c>
      <c r="F575" s="164" t="s">
        <v>338</v>
      </c>
      <c r="G575" s="512" t="s">
        <v>5015</v>
      </c>
      <c r="H575" s="164" t="s">
        <v>338</v>
      </c>
      <c r="I575" s="496"/>
      <c r="J575" s="496"/>
      <c r="K575" s="496"/>
      <c r="L575" s="496"/>
      <c r="M575" s="144"/>
      <c r="N575" s="144"/>
      <c r="O575" s="144"/>
      <c r="P575" s="144"/>
      <c r="Q575" s="144"/>
      <c r="R575" s="144"/>
      <c r="S575" s="144"/>
      <c r="T575" s="144"/>
      <c r="U575" s="144"/>
      <c r="V575" s="144"/>
      <c r="W575" s="144"/>
      <c r="X575" s="144"/>
      <c r="Y575" s="144"/>
      <c r="Z575" s="144"/>
      <c r="AA575" s="144"/>
      <c r="AB575" s="144"/>
      <c r="AC575" s="144"/>
      <c r="AD575" s="144"/>
      <c r="AE575" s="144"/>
      <c r="AF575" s="144"/>
    </row>
    <row r="576" ht="16.5" customHeight="1">
      <c r="A576" s="164" t="s">
        <v>5</v>
      </c>
      <c r="E576" s="164" t="s">
        <v>104</v>
      </c>
      <c r="F576" s="164" t="s">
        <v>250</v>
      </c>
      <c r="G576" s="512" t="s">
        <v>5016</v>
      </c>
      <c r="H576" s="164" t="s">
        <v>250</v>
      </c>
      <c r="I576" s="496"/>
      <c r="J576" s="496"/>
      <c r="K576" s="496"/>
      <c r="L576" s="496"/>
      <c r="M576" s="144"/>
      <c r="N576" s="144"/>
      <c r="O576" s="144"/>
      <c r="P576" s="144"/>
      <c r="Q576" s="144"/>
      <c r="R576" s="144"/>
      <c r="S576" s="144"/>
      <c r="T576" s="144"/>
      <c r="U576" s="144"/>
      <c r="V576" s="144"/>
      <c r="W576" s="144"/>
      <c r="X576" s="144"/>
      <c r="Y576" s="144"/>
      <c r="Z576" s="144"/>
      <c r="AA576" s="144"/>
      <c r="AB576" s="144"/>
      <c r="AC576" s="144"/>
      <c r="AD576" s="144"/>
      <c r="AE576" s="144"/>
      <c r="AF576" s="144"/>
    </row>
    <row r="577" ht="16.5" customHeight="1">
      <c r="A577" s="164" t="s">
        <v>5</v>
      </c>
      <c r="E577" s="164" t="s">
        <v>178</v>
      </c>
      <c r="F577" s="164" t="s">
        <v>209</v>
      </c>
      <c r="G577" s="512" t="s">
        <v>5017</v>
      </c>
      <c r="H577" s="164" t="s">
        <v>209</v>
      </c>
      <c r="I577" s="496"/>
      <c r="J577" s="496"/>
      <c r="K577" s="496"/>
      <c r="L577" s="496"/>
      <c r="M577" s="144"/>
      <c r="N577" s="144"/>
      <c r="O577" s="144"/>
      <c r="P577" s="144"/>
      <c r="Q577" s="144"/>
      <c r="R577" s="144"/>
      <c r="S577" s="144"/>
      <c r="T577" s="144"/>
      <c r="U577" s="144"/>
      <c r="V577" s="144"/>
      <c r="W577" s="144"/>
      <c r="X577" s="144"/>
      <c r="Y577" s="144"/>
      <c r="Z577" s="144"/>
      <c r="AA577" s="144"/>
      <c r="AB577" s="144"/>
      <c r="AC577" s="144"/>
      <c r="AD577" s="144"/>
      <c r="AE577" s="144"/>
      <c r="AF577" s="144"/>
    </row>
    <row r="578" ht="16.5" customHeight="1">
      <c r="A578" s="164" t="s">
        <v>5</v>
      </c>
      <c r="E578" s="164" t="s">
        <v>178</v>
      </c>
      <c r="F578" s="164" t="s">
        <v>210</v>
      </c>
      <c r="G578" s="512" t="s">
        <v>5018</v>
      </c>
      <c r="H578" s="164" t="s">
        <v>210</v>
      </c>
      <c r="I578" s="496"/>
      <c r="J578" s="496"/>
      <c r="K578" s="496"/>
      <c r="L578" s="496"/>
      <c r="M578" s="144"/>
      <c r="N578" s="144"/>
      <c r="O578" s="144"/>
      <c r="P578" s="144"/>
      <c r="Q578" s="144"/>
      <c r="R578" s="144"/>
      <c r="S578" s="144"/>
      <c r="T578" s="144"/>
      <c r="U578" s="144"/>
      <c r="V578" s="144"/>
      <c r="W578" s="144"/>
      <c r="X578" s="144"/>
      <c r="Y578" s="144"/>
      <c r="Z578" s="144"/>
      <c r="AA578" s="144"/>
      <c r="AB578" s="144"/>
      <c r="AC578" s="144"/>
      <c r="AD578" s="144"/>
      <c r="AE578" s="144"/>
      <c r="AF578" s="144"/>
    </row>
    <row r="579" ht="16.5" customHeight="1">
      <c r="A579" s="164"/>
      <c r="B579" s="164"/>
      <c r="C579" s="164"/>
      <c r="D579" s="164"/>
      <c r="E579" s="164"/>
      <c r="F579" s="164"/>
      <c r="G579" s="513"/>
      <c r="H579" s="164"/>
      <c r="I579" s="496"/>
      <c r="J579" s="496"/>
      <c r="K579" s="496"/>
      <c r="L579" s="496"/>
      <c r="M579" s="144"/>
      <c r="N579" s="144"/>
      <c r="O579" s="144"/>
      <c r="P579" s="144"/>
      <c r="Q579" s="144"/>
      <c r="R579" s="144"/>
      <c r="S579" s="144"/>
      <c r="T579" s="144"/>
      <c r="U579" s="144"/>
      <c r="V579" s="144"/>
      <c r="W579" s="144"/>
      <c r="X579" s="144"/>
      <c r="Y579" s="144"/>
      <c r="Z579" s="144"/>
      <c r="AA579" s="144"/>
      <c r="AB579" s="144"/>
      <c r="AC579" s="144"/>
      <c r="AD579" s="144"/>
      <c r="AE579" s="144"/>
      <c r="AF579" s="144"/>
    </row>
    <row r="580" ht="16.5" customHeight="1">
      <c r="A580" s="144"/>
      <c r="B580" s="164"/>
      <c r="C580" s="448"/>
      <c r="D580" s="164"/>
      <c r="E580" s="164"/>
      <c r="F580" s="164"/>
      <c r="G580" s="511"/>
      <c r="H580" s="164"/>
      <c r="I580" s="496"/>
      <c r="J580" s="496"/>
      <c r="K580" s="496"/>
      <c r="L580" s="496"/>
      <c r="M580" s="144"/>
      <c r="N580" s="144"/>
      <c r="O580" s="144"/>
      <c r="P580" s="144"/>
      <c r="Q580" s="144"/>
      <c r="R580" s="144"/>
      <c r="S580" s="144"/>
      <c r="T580" s="144"/>
      <c r="U580" s="144"/>
      <c r="V580" s="144"/>
      <c r="W580" s="144"/>
      <c r="X580" s="144"/>
      <c r="Y580" s="144"/>
      <c r="Z580" s="144"/>
      <c r="AA580" s="144"/>
      <c r="AB580" s="144"/>
      <c r="AC580" s="144"/>
      <c r="AD580" s="144"/>
      <c r="AE580" s="144"/>
      <c r="AF580" s="144"/>
    </row>
    <row r="581" ht="16.5" customHeight="1">
      <c r="A581" s="144"/>
      <c r="B581" s="144"/>
      <c r="C581" s="144"/>
      <c r="D581" s="144"/>
      <c r="E581" s="144"/>
      <c r="F581" s="144"/>
      <c r="G581" s="144"/>
      <c r="H581" s="144"/>
      <c r="I581" s="496"/>
      <c r="J581" s="496"/>
      <c r="K581" s="496"/>
      <c r="L581" s="496"/>
      <c r="M581" s="144"/>
      <c r="N581" s="144"/>
      <c r="O581" s="144"/>
      <c r="P581" s="144"/>
      <c r="Q581" s="144"/>
      <c r="R581" s="144"/>
      <c r="S581" s="144"/>
      <c r="T581" s="144"/>
      <c r="U581" s="144"/>
      <c r="V581" s="144"/>
      <c r="W581" s="144"/>
      <c r="X581" s="144"/>
      <c r="Y581" s="144"/>
      <c r="Z581" s="144"/>
      <c r="AA581" s="144"/>
      <c r="AB581" s="144"/>
      <c r="AC581" s="144"/>
      <c r="AD581" s="144"/>
      <c r="AE581" s="144"/>
      <c r="AF581" s="144"/>
    </row>
    <row r="582" ht="16.5" customHeight="1">
      <c r="A582" s="144"/>
      <c r="B582" s="144"/>
      <c r="C582" s="144"/>
      <c r="D582" s="144"/>
      <c r="E582" s="144"/>
      <c r="F582" s="144"/>
      <c r="G582" s="144"/>
      <c r="H582" s="144"/>
      <c r="I582" s="496"/>
      <c r="J582" s="496"/>
      <c r="K582" s="496"/>
      <c r="L582" s="496"/>
      <c r="M582" s="144"/>
      <c r="N582" s="144"/>
      <c r="O582" s="144"/>
      <c r="P582" s="144"/>
      <c r="Q582" s="144"/>
      <c r="R582" s="144"/>
      <c r="S582" s="144"/>
      <c r="T582" s="144"/>
      <c r="U582" s="144"/>
      <c r="V582" s="144"/>
      <c r="W582" s="144"/>
      <c r="X582" s="144"/>
      <c r="Y582" s="144"/>
      <c r="Z582" s="144"/>
      <c r="AA582" s="144"/>
      <c r="AB582" s="144"/>
      <c r="AC582" s="144"/>
      <c r="AD582" s="144"/>
      <c r="AE582" s="144"/>
      <c r="AF582" s="144"/>
    </row>
    <row r="583" ht="16.5" customHeight="1">
      <c r="A583" s="144"/>
      <c r="B583" s="144"/>
      <c r="C583" s="144"/>
      <c r="D583" s="144"/>
      <c r="E583" s="144"/>
      <c r="F583" s="144"/>
      <c r="G583" s="144"/>
      <c r="H583" s="144"/>
      <c r="I583" s="496"/>
      <c r="J583" s="496"/>
      <c r="K583" s="496"/>
      <c r="L583" s="496"/>
      <c r="M583" s="144"/>
      <c r="N583" s="144"/>
      <c r="O583" s="144"/>
      <c r="P583" s="144"/>
      <c r="Q583" s="144"/>
      <c r="R583" s="144"/>
      <c r="S583" s="144"/>
      <c r="T583" s="144"/>
      <c r="U583" s="144"/>
      <c r="V583" s="144"/>
      <c r="W583" s="144"/>
      <c r="X583" s="144"/>
      <c r="Y583" s="144"/>
      <c r="Z583" s="144"/>
      <c r="AA583" s="144"/>
      <c r="AB583" s="144"/>
      <c r="AC583" s="144"/>
      <c r="AD583" s="144"/>
      <c r="AE583" s="144"/>
      <c r="AF583" s="144"/>
    </row>
    <row r="584" ht="16.5" customHeight="1">
      <c r="A584" s="144"/>
      <c r="B584" s="144"/>
      <c r="C584" s="144"/>
      <c r="D584" s="144"/>
      <c r="E584" s="144"/>
      <c r="F584" s="144"/>
      <c r="G584" s="144"/>
      <c r="H584" s="144"/>
      <c r="I584" s="496"/>
      <c r="J584" s="496"/>
      <c r="K584" s="496"/>
      <c r="L584" s="496"/>
      <c r="M584" s="144"/>
      <c r="N584" s="144"/>
      <c r="O584" s="144"/>
      <c r="P584" s="144"/>
      <c r="Q584" s="144"/>
      <c r="R584" s="144"/>
      <c r="S584" s="144"/>
      <c r="T584" s="144"/>
      <c r="U584" s="144"/>
      <c r="V584" s="144"/>
      <c r="W584" s="144"/>
      <c r="X584" s="144"/>
      <c r="Y584" s="144"/>
      <c r="Z584" s="144"/>
      <c r="AA584" s="144"/>
      <c r="AB584" s="144"/>
      <c r="AC584" s="144"/>
      <c r="AD584" s="144"/>
      <c r="AE584" s="144"/>
      <c r="AF584" s="144"/>
    </row>
    <row r="585" ht="16.5" customHeight="1">
      <c r="A585" s="144"/>
      <c r="B585" s="144"/>
      <c r="C585" s="144"/>
      <c r="D585" s="144"/>
      <c r="E585" s="144"/>
      <c r="F585" s="144"/>
      <c r="G585" s="144"/>
      <c r="H585" s="144"/>
      <c r="I585" s="496"/>
      <c r="J585" s="496"/>
      <c r="K585" s="496"/>
      <c r="L585" s="496"/>
      <c r="M585" s="144"/>
      <c r="N585" s="144"/>
      <c r="O585" s="144"/>
      <c r="P585" s="144"/>
      <c r="Q585" s="144"/>
      <c r="R585" s="144"/>
      <c r="S585" s="144"/>
      <c r="T585" s="144"/>
      <c r="U585" s="144"/>
      <c r="V585" s="144"/>
      <c r="W585" s="144"/>
      <c r="X585" s="144"/>
      <c r="Y585" s="144"/>
      <c r="Z585" s="144"/>
      <c r="AA585" s="144"/>
      <c r="AB585" s="144"/>
      <c r="AC585" s="144"/>
      <c r="AD585" s="144"/>
      <c r="AE585" s="144"/>
      <c r="AF585" s="144"/>
    </row>
    <row r="586" ht="16.5" customHeight="1">
      <c r="A586" s="144"/>
      <c r="B586" s="144"/>
      <c r="C586" s="144"/>
      <c r="D586" s="144"/>
      <c r="E586" s="144"/>
      <c r="F586" s="144"/>
      <c r="G586" s="144"/>
      <c r="H586" s="144"/>
      <c r="I586" s="496"/>
      <c r="J586" s="496"/>
      <c r="K586" s="496"/>
      <c r="L586" s="496"/>
      <c r="M586" s="144"/>
      <c r="N586" s="144"/>
      <c r="O586" s="144"/>
      <c r="P586" s="144"/>
      <c r="Q586" s="144"/>
      <c r="R586" s="144"/>
      <c r="S586" s="144"/>
      <c r="T586" s="144"/>
      <c r="U586" s="144"/>
      <c r="V586" s="144"/>
      <c r="W586" s="144"/>
      <c r="X586" s="144"/>
      <c r="Y586" s="144"/>
      <c r="Z586" s="144"/>
      <c r="AA586" s="144"/>
      <c r="AB586" s="144"/>
      <c r="AC586" s="144"/>
      <c r="AD586" s="144"/>
      <c r="AE586" s="144"/>
      <c r="AF586" s="144"/>
    </row>
    <row r="587" ht="16.5" customHeight="1">
      <c r="A587" s="144"/>
      <c r="B587" s="144"/>
      <c r="C587" s="144"/>
      <c r="D587" s="144"/>
      <c r="E587" s="144"/>
      <c r="F587" s="144"/>
      <c r="G587" s="144"/>
      <c r="H587" s="144"/>
      <c r="I587" s="496"/>
      <c r="J587" s="496"/>
      <c r="K587" s="496"/>
      <c r="L587" s="496"/>
      <c r="M587" s="144"/>
      <c r="N587" s="144"/>
      <c r="O587" s="144"/>
      <c r="P587" s="144"/>
      <c r="Q587" s="144"/>
      <c r="R587" s="144"/>
      <c r="S587" s="144"/>
      <c r="T587" s="144"/>
      <c r="U587" s="144"/>
      <c r="V587" s="144"/>
      <c r="W587" s="144"/>
      <c r="X587" s="144"/>
      <c r="Y587" s="144"/>
      <c r="Z587" s="144"/>
      <c r="AA587" s="144"/>
      <c r="AB587" s="144"/>
      <c r="AC587" s="144"/>
      <c r="AD587" s="144"/>
      <c r="AE587" s="144"/>
      <c r="AF587" s="144"/>
    </row>
    <row r="588" ht="16.5" customHeight="1">
      <c r="A588" s="144"/>
      <c r="B588" s="144"/>
      <c r="C588" s="144"/>
      <c r="D588" s="144"/>
      <c r="E588" s="144"/>
      <c r="F588" s="144"/>
      <c r="G588" s="144"/>
      <c r="H588" s="144"/>
      <c r="I588" s="496"/>
      <c r="J588" s="496"/>
      <c r="K588" s="496"/>
      <c r="L588" s="496"/>
      <c r="M588" s="144"/>
      <c r="N588" s="144"/>
      <c r="O588" s="144"/>
      <c r="P588" s="144"/>
      <c r="Q588" s="144"/>
      <c r="R588" s="144"/>
      <c r="S588" s="144"/>
      <c r="T588" s="144"/>
      <c r="U588" s="144"/>
      <c r="V588" s="144"/>
      <c r="W588" s="144"/>
      <c r="X588" s="144"/>
      <c r="Y588" s="144"/>
      <c r="Z588" s="144"/>
      <c r="AA588" s="144"/>
      <c r="AB588" s="144"/>
      <c r="AC588" s="144"/>
      <c r="AD588" s="144"/>
      <c r="AE588" s="144"/>
      <c r="AF588" s="144"/>
    </row>
    <row r="589" ht="16.5" customHeight="1">
      <c r="A589" s="144"/>
      <c r="B589" s="144"/>
      <c r="C589" s="144"/>
      <c r="D589" s="144"/>
      <c r="E589" s="144"/>
      <c r="F589" s="144"/>
      <c r="G589" s="144"/>
      <c r="H589" s="144"/>
      <c r="I589" s="496"/>
      <c r="J589" s="496"/>
      <c r="K589" s="496"/>
      <c r="L589" s="496"/>
      <c r="M589" s="144"/>
      <c r="N589" s="144"/>
      <c r="O589" s="144"/>
      <c r="P589" s="144"/>
      <c r="Q589" s="144"/>
      <c r="R589" s="144"/>
      <c r="S589" s="144"/>
      <c r="T589" s="144"/>
      <c r="U589" s="144"/>
      <c r="V589" s="144"/>
      <c r="W589" s="144"/>
      <c r="X589" s="144"/>
      <c r="Y589" s="144"/>
      <c r="Z589" s="144"/>
      <c r="AA589" s="144"/>
      <c r="AB589" s="144"/>
      <c r="AC589" s="144"/>
      <c r="AD589" s="144"/>
      <c r="AE589" s="144"/>
      <c r="AF589" s="144"/>
    </row>
    <row r="590" ht="16.5" customHeight="1">
      <c r="A590" s="144"/>
      <c r="B590" s="144"/>
      <c r="C590" s="144"/>
      <c r="D590" s="144"/>
      <c r="E590" s="144"/>
      <c r="F590" s="144"/>
      <c r="G590" s="144"/>
      <c r="H590" s="144"/>
      <c r="I590" s="496"/>
      <c r="J590" s="496"/>
      <c r="K590" s="496"/>
      <c r="L590" s="496"/>
      <c r="M590" s="144"/>
      <c r="N590" s="144"/>
      <c r="O590" s="144"/>
      <c r="P590" s="144"/>
      <c r="Q590" s="144"/>
      <c r="R590" s="144"/>
      <c r="S590" s="144"/>
      <c r="T590" s="144"/>
      <c r="U590" s="144"/>
      <c r="V590" s="144"/>
      <c r="W590" s="144"/>
      <c r="X590" s="144"/>
      <c r="Y590" s="144"/>
      <c r="Z590" s="144"/>
      <c r="AA590" s="144"/>
      <c r="AB590" s="144"/>
      <c r="AC590" s="144"/>
      <c r="AD590" s="144"/>
      <c r="AE590" s="144"/>
      <c r="AF590" s="144"/>
    </row>
    <row r="591" ht="16.5" customHeight="1">
      <c r="A591" s="144"/>
      <c r="B591" s="144"/>
      <c r="C591" s="144"/>
      <c r="D591" s="144"/>
      <c r="E591" s="144"/>
      <c r="F591" s="144"/>
      <c r="G591" s="144"/>
      <c r="H591" s="144"/>
      <c r="I591" s="496"/>
      <c r="J591" s="496"/>
      <c r="K591" s="496"/>
      <c r="L591" s="496"/>
      <c r="M591" s="144"/>
      <c r="N591" s="144"/>
      <c r="O591" s="144"/>
      <c r="P591" s="144"/>
      <c r="Q591" s="144"/>
      <c r="R591" s="144"/>
      <c r="S591" s="144"/>
      <c r="T591" s="144"/>
      <c r="U591" s="144"/>
      <c r="V591" s="144"/>
      <c r="W591" s="144"/>
      <c r="X591" s="144"/>
      <c r="Y591" s="144"/>
      <c r="Z591" s="144"/>
      <c r="AA591" s="144"/>
      <c r="AB591" s="144"/>
      <c r="AC591" s="144"/>
      <c r="AD591" s="144"/>
      <c r="AE591" s="144"/>
      <c r="AF591" s="144"/>
    </row>
    <row r="592" ht="16.5" customHeight="1">
      <c r="A592" s="144"/>
      <c r="B592" s="144"/>
      <c r="C592" s="144"/>
      <c r="D592" s="144"/>
      <c r="E592" s="144"/>
      <c r="F592" s="144"/>
      <c r="G592" s="144"/>
      <c r="H592" s="144"/>
      <c r="I592" s="496"/>
      <c r="J592" s="496"/>
      <c r="K592" s="496"/>
      <c r="L592" s="496"/>
      <c r="M592" s="144"/>
      <c r="N592" s="144"/>
      <c r="O592" s="144"/>
      <c r="P592" s="144"/>
      <c r="Q592" s="144"/>
      <c r="R592" s="144"/>
      <c r="S592" s="144"/>
      <c r="T592" s="144"/>
      <c r="U592" s="144"/>
      <c r="V592" s="144"/>
      <c r="W592" s="144"/>
      <c r="X592" s="144"/>
      <c r="Y592" s="144"/>
      <c r="Z592" s="144"/>
      <c r="AA592" s="144"/>
      <c r="AB592" s="144"/>
      <c r="AC592" s="144"/>
      <c r="AD592" s="144"/>
      <c r="AE592" s="144"/>
      <c r="AF592" s="144"/>
    </row>
    <row r="593" ht="16.5" customHeight="1">
      <c r="A593" s="144"/>
      <c r="B593" s="144"/>
      <c r="C593" s="144"/>
      <c r="D593" s="144"/>
      <c r="E593" s="144"/>
      <c r="F593" s="144"/>
      <c r="G593" s="144"/>
      <c r="H593" s="144"/>
      <c r="I593" s="496"/>
      <c r="J593" s="496"/>
      <c r="K593" s="496"/>
      <c r="L593" s="496"/>
      <c r="M593" s="144"/>
      <c r="N593" s="144"/>
      <c r="O593" s="144"/>
      <c r="P593" s="144"/>
      <c r="Q593" s="144"/>
      <c r="R593" s="144"/>
      <c r="S593" s="144"/>
      <c r="T593" s="144"/>
      <c r="U593" s="144"/>
      <c r="V593" s="144"/>
      <c r="W593" s="144"/>
      <c r="X593" s="144"/>
      <c r="Y593" s="144"/>
      <c r="Z593" s="144"/>
      <c r="AA593" s="144"/>
      <c r="AB593" s="144"/>
      <c r="AC593" s="144"/>
      <c r="AD593" s="144"/>
      <c r="AE593" s="144"/>
      <c r="AF593" s="144"/>
    </row>
    <row r="594" ht="16.5" customHeight="1">
      <c r="A594" s="144"/>
      <c r="B594" s="144"/>
      <c r="C594" s="144"/>
      <c r="D594" s="144"/>
      <c r="E594" s="144"/>
      <c r="F594" s="144"/>
      <c r="G594" s="144"/>
      <c r="H594" s="144"/>
      <c r="I594" s="496"/>
      <c r="J594" s="496"/>
      <c r="K594" s="496"/>
      <c r="L594" s="496"/>
      <c r="M594" s="144"/>
      <c r="N594" s="144"/>
      <c r="O594" s="144"/>
      <c r="P594" s="144"/>
      <c r="Q594" s="144"/>
      <c r="R594" s="144"/>
      <c r="S594" s="144"/>
      <c r="T594" s="144"/>
      <c r="U594" s="144"/>
      <c r="V594" s="144"/>
      <c r="W594" s="144"/>
      <c r="X594" s="144"/>
      <c r="Y594" s="144"/>
      <c r="Z594" s="144"/>
      <c r="AA594" s="144"/>
      <c r="AB594" s="144"/>
      <c r="AC594" s="144"/>
      <c r="AD594" s="144"/>
      <c r="AE594" s="144"/>
      <c r="AF594" s="144"/>
    </row>
    <row r="595" ht="16.5" customHeight="1">
      <c r="A595" s="144"/>
      <c r="B595" s="144"/>
      <c r="C595" s="144"/>
      <c r="D595" s="144"/>
      <c r="E595" s="144"/>
      <c r="F595" s="144"/>
      <c r="G595" s="144"/>
      <c r="H595" s="144"/>
      <c r="I595" s="496"/>
      <c r="J595" s="496"/>
      <c r="K595" s="496"/>
      <c r="L595" s="496"/>
      <c r="M595" s="144"/>
      <c r="N595" s="144"/>
      <c r="O595" s="144"/>
      <c r="P595" s="144"/>
      <c r="Q595" s="144"/>
      <c r="R595" s="144"/>
      <c r="S595" s="144"/>
      <c r="T595" s="144"/>
      <c r="U595" s="144"/>
      <c r="V595" s="144"/>
      <c r="W595" s="144"/>
      <c r="X595" s="144"/>
      <c r="Y595" s="144"/>
      <c r="Z595" s="144"/>
      <c r="AA595" s="144"/>
      <c r="AB595" s="144"/>
      <c r="AC595" s="144"/>
      <c r="AD595" s="144"/>
      <c r="AE595" s="144"/>
      <c r="AF595" s="144"/>
    </row>
    <row r="596" ht="16.5" customHeight="1">
      <c r="A596" s="144"/>
      <c r="B596" s="144"/>
      <c r="C596" s="144"/>
      <c r="D596" s="144"/>
      <c r="E596" s="144"/>
      <c r="F596" s="144"/>
      <c r="G596" s="144"/>
      <c r="H596" s="144"/>
      <c r="I596" s="496"/>
      <c r="J596" s="496"/>
      <c r="K596" s="496"/>
      <c r="L596" s="496"/>
      <c r="M596" s="144"/>
      <c r="N596" s="144"/>
      <c r="O596" s="144"/>
      <c r="P596" s="144"/>
      <c r="Q596" s="144"/>
      <c r="R596" s="144"/>
      <c r="S596" s="144"/>
      <c r="T596" s="144"/>
      <c r="U596" s="144"/>
      <c r="V596" s="144"/>
      <c r="W596" s="144"/>
      <c r="X596" s="144"/>
      <c r="Y596" s="144"/>
      <c r="Z596" s="144"/>
      <c r="AA596" s="144"/>
      <c r="AB596" s="144"/>
      <c r="AC596" s="144"/>
      <c r="AD596" s="144"/>
      <c r="AE596" s="144"/>
      <c r="AF596" s="144"/>
    </row>
    <row r="597" ht="16.5" customHeight="1">
      <c r="A597" s="144"/>
      <c r="B597" s="144"/>
      <c r="C597" s="144"/>
      <c r="D597" s="144"/>
      <c r="E597" s="144"/>
      <c r="F597" s="144"/>
      <c r="G597" s="144"/>
      <c r="H597" s="144"/>
      <c r="I597" s="496"/>
      <c r="J597" s="496"/>
      <c r="K597" s="496"/>
      <c r="L597" s="496"/>
      <c r="M597" s="144"/>
      <c r="N597" s="144"/>
      <c r="O597" s="144"/>
      <c r="P597" s="144"/>
      <c r="Q597" s="144"/>
      <c r="R597" s="144"/>
      <c r="S597" s="144"/>
      <c r="T597" s="144"/>
      <c r="U597" s="144"/>
      <c r="V597" s="144"/>
      <c r="W597" s="144"/>
      <c r="X597" s="144"/>
      <c r="Y597" s="144"/>
      <c r="Z597" s="144"/>
      <c r="AA597" s="144"/>
      <c r="AB597" s="144"/>
      <c r="AC597" s="144"/>
      <c r="AD597" s="144"/>
      <c r="AE597" s="144"/>
      <c r="AF597" s="144"/>
    </row>
    <row r="598" ht="16.5" customHeight="1">
      <c r="A598" s="144"/>
      <c r="B598" s="144"/>
      <c r="C598" s="144"/>
      <c r="D598" s="144"/>
      <c r="E598" s="144"/>
      <c r="F598" s="144"/>
      <c r="G598" s="144"/>
      <c r="H598" s="144"/>
      <c r="I598" s="496"/>
      <c r="J598" s="496"/>
      <c r="K598" s="496"/>
      <c r="L598" s="496"/>
      <c r="M598" s="144"/>
      <c r="N598" s="144"/>
      <c r="O598" s="144"/>
      <c r="P598" s="144"/>
      <c r="Q598" s="144"/>
      <c r="R598" s="144"/>
      <c r="S598" s="144"/>
      <c r="T598" s="144"/>
      <c r="U598" s="144"/>
      <c r="V598" s="144"/>
      <c r="W598" s="144"/>
      <c r="X598" s="144"/>
      <c r="Y598" s="144"/>
      <c r="Z598" s="144"/>
      <c r="AA598" s="144"/>
      <c r="AB598" s="144"/>
      <c r="AC598" s="144"/>
      <c r="AD598" s="144"/>
      <c r="AE598" s="144"/>
      <c r="AF598" s="144"/>
    </row>
    <row r="599" ht="16.5" customHeight="1">
      <c r="A599" s="144"/>
      <c r="B599" s="144"/>
      <c r="C599" s="144"/>
      <c r="D599" s="144"/>
      <c r="E599" s="144"/>
      <c r="F599" s="144"/>
      <c r="G599" s="144"/>
      <c r="H599" s="144"/>
      <c r="I599" s="496"/>
      <c r="J599" s="496"/>
      <c r="K599" s="496"/>
      <c r="L599" s="496"/>
      <c r="M599" s="144"/>
      <c r="N599" s="144"/>
      <c r="O599" s="144"/>
      <c r="P599" s="144"/>
      <c r="Q599" s="144"/>
      <c r="R599" s="144"/>
      <c r="S599" s="144"/>
      <c r="T599" s="144"/>
      <c r="U599" s="144"/>
      <c r="V599" s="144"/>
      <c r="W599" s="144"/>
      <c r="X599" s="144"/>
      <c r="Y599" s="144"/>
      <c r="Z599" s="144"/>
      <c r="AA599" s="144"/>
      <c r="AB599" s="144"/>
      <c r="AC599" s="144"/>
      <c r="AD599" s="144"/>
      <c r="AE599" s="144"/>
      <c r="AF599" s="144"/>
    </row>
    <row r="600" ht="16.5" customHeight="1">
      <c r="A600" s="144"/>
      <c r="B600" s="144"/>
      <c r="C600" s="144"/>
      <c r="D600" s="144"/>
      <c r="E600" s="144"/>
      <c r="F600" s="144"/>
      <c r="G600" s="144"/>
      <c r="H600" s="144"/>
      <c r="I600" s="496"/>
      <c r="J600" s="496"/>
      <c r="K600" s="496"/>
      <c r="L600" s="496"/>
      <c r="M600" s="144"/>
      <c r="N600" s="144"/>
      <c r="O600" s="144"/>
      <c r="P600" s="144"/>
      <c r="Q600" s="144"/>
      <c r="R600" s="144"/>
      <c r="S600" s="144"/>
      <c r="T600" s="144"/>
      <c r="U600" s="144"/>
      <c r="V600" s="144"/>
      <c r="W600" s="144"/>
      <c r="X600" s="144"/>
      <c r="Y600" s="144"/>
      <c r="Z600" s="144"/>
      <c r="AA600" s="144"/>
      <c r="AB600" s="144"/>
      <c r="AC600" s="144"/>
      <c r="AD600" s="144"/>
      <c r="AE600" s="144"/>
      <c r="AF600" s="144"/>
    </row>
    <row r="601" ht="16.5" customHeight="1">
      <c r="A601" s="144"/>
      <c r="B601" s="144"/>
      <c r="C601" s="144"/>
      <c r="D601" s="144"/>
      <c r="E601" s="144"/>
      <c r="F601" s="144"/>
      <c r="G601" s="144"/>
      <c r="H601" s="144"/>
      <c r="I601" s="496"/>
      <c r="J601" s="496"/>
      <c r="K601" s="496"/>
      <c r="L601" s="496"/>
      <c r="M601" s="144"/>
      <c r="N601" s="144"/>
      <c r="O601" s="144"/>
      <c r="P601" s="144"/>
      <c r="Q601" s="144"/>
      <c r="R601" s="144"/>
      <c r="S601" s="144"/>
      <c r="T601" s="144"/>
      <c r="U601" s="144"/>
      <c r="V601" s="144"/>
      <c r="W601" s="144"/>
      <c r="X601" s="144"/>
      <c r="Y601" s="144"/>
      <c r="Z601" s="144"/>
      <c r="AA601" s="144"/>
      <c r="AB601" s="144"/>
      <c r="AC601" s="144"/>
      <c r="AD601" s="144"/>
      <c r="AE601" s="144"/>
      <c r="AF601" s="144"/>
    </row>
    <row r="602" ht="16.5" customHeight="1">
      <c r="A602" s="144"/>
      <c r="B602" s="144"/>
      <c r="C602" s="144"/>
      <c r="D602" s="144"/>
      <c r="E602" s="144"/>
      <c r="F602" s="144"/>
      <c r="G602" s="144"/>
      <c r="H602" s="144"/>
      <c r="I602" s="496"/>
      <c r="J602" s="496"/>
      <c r="K602" s="496"/>
      <c r="L602" s="496"/>
      <c r="M602" s="144"/>
      <c r="N602" s="144"/>
      <c r="O602" s="144"/>
      <c r="P602" s="144"/>
      <c r="Q602" s="144"/>
      <c r="R602" s="144"/>
      <c r="S602" s="144"/>
      <c r="T602" s="144"/>
      <c r="U602" s="144"/>
      <c r="V602" s="144"/>
      <c r="W602" s="144"/>
      <c r="X602" s="144"/>
      <c r="Y602" s="144"/>
      <c r="Z602" s="144"/>
      <c r="AA602" s="144"/>
      <c r="AB602" s="144"/>
      <c r="AC602" s="144"/>
      <c r="AD602" s="144"/>
      <c r="AE602" s="144"/>
      <c r="AF602" s="144"/>
    </row>
    <row r="603" ht="16.5" customHeight="1">
      <c r="A603" s="144"/>
      <c r="B603" s="144"/>
      <c r="C603" s="144"/>
      <c r="D603" s="144"/>
      <c r="E603" s="144"/>
      <c r="F603" s="144"/>
      <c r="G603" s="144"/>
      <c r="H603" s="144"/>
      <c r="I603" s="496"/>
      <c r="J603" s="496"/>
      <c r="K603" s="496"/>
      <c r="L603" s="496"/>
      <c r="M603" s="144"/>
      <c r="N603" s="144"/>
      <c r="O603" s="144"/>
      <c r="P603" s="144"/>
      <c r="Q603" s="144"/>
      <c r="R603" s="144"/>
      <c r="S603" s="144"/>
      <c r="T603" s="144"/>
      <c r="U603" s="144"/>
      <c r="V603" s="144"/>
      <c r="W603" s="144"/>
      <c r="X603" s="144"/>
      <c r="Y603" s="144"/>
      <c r="Z603" s="144"/>
      <c r="AA603" s="144"/>
      <c r="AB603" s="144"/>
      <c r="AC603" s="144"/>
      <c r="AD603" s="144"/>
      <c r="AE603" s="144"/>
      <c r="AF603" s="144"/>
    </row>
    <row r="604" ht="16.5" customHeight="1">
      <c r="A604" s="144"/>
      <c r="B604" s="144"/>
      <c r="C604" s="144"/>
      <c r="D604" s="144"/>
      <c r="E604" s="144"/>
      <c r="F604" s="144"/>
      <c r="G604" s="144"/>
      <c r="H604" s="144"/>
      <c r="I604" s="496"/>
      <c r="J604" s="496"/>
      <c r="K604" s="496"/>
      <c r="L604" s="496"/>
      <c r="M604" s="144"/>
      <c r="N604" s="144"/>
      <c r="O604" s="144"/>
      <c r="P604" s="144"/>
      <c r="Q604" s="144"/>
      <c r="R604" s="144"/>
      <c r="S604" s="144"/>
      <c r="T604" s="144"/>
      <c r="U604" s="144"/>
      <c r="V604" s="144"/>
      <c r="W604" s="144"/>
      <c r="X604" s="144"/>
      <c r="Y604" s="144"/>
      <c r="Z604" s="144"/>
      <c r="AA604" s="144"/>
      <c r="AB604" s="144"/>
      <c r="AC604" s="144"/>
      <c r="AD604" s="144"/>
      <c r="AE604" s="144"/>
      <c r="AF604" s="144"/>
    </row>
    <row r="605" ht="16.5" customHeight="1">
      <c r="A605" s="144"/>
      <c r="B605" s="144"/>
      <c r="C605" s="144"/>
      <c r="D605" s="144"/>
      <c r="E605" s="144"/>
      <c r="F605" s="144"/>
      <c r="G605" s="144"/>
      <c r="H605" s="144"/>
      <c r="I605" s="496"/>
      <c r="J605" s="496"/>
      <c r="K605" s="496"/>
      <c r="L605" s="496"/>
      <c r="M605" s="144"/>
      <c r="N605" s="144"/>
      <c r="O605" s="144"/>
      <c r="P605" s="144"/>
      <c r="Q605" s="144"/>
      <c r="R605" s="144"/>
      <c r="S605" s="144"/>
      <c r="T605" s="144"/>
      <c r="U605" s="144"/>
      <c r="V605" s="144"/>
      <c r="W605" s="144"/>
      <c r="X605" s="144"/>
      <c r="Y605" s="144"/>
      <c r="Z605" s="144"/>
      <c r="AA605" s="144"/>
      <c r="AB605" s="144"/>
      <c r="AC605" s="144"/>
      <c r="AD605" s="144"/>
      <c r="AE605" s="144"/>
      <c r="AF605" s="144"/>
    </row>
    <row r="606" ht="16.5" customHeight="1">
      <c r="A606" s="144"/>
      <c r="B606" s="144"/>
      <c r="C606" s="144"/>
      <c r="D606" s="144"/>
      <c r="E606" s="144"/>
      <c r="F606" s="144"/>
      <c r="G606" s="144"/>
      <c r="H606" s="144"/>
      <c r="I606" s="496"/>
      <c r="J606" s="496"/>
      <c r="K606" s="496"/>
      <c r="L606" s="496"/>
      <c r="M606" s="144"/>
      <c r="N606" s="144"/>
      <c r="O606" s="144"/>
      <c r="P606" s="144"/>
      <c r="Q606" s="144"/>
      <c r="R606" s="144"/>
      <c r="S606" s="144"/>
      <c r="T606" s="144"/>
      <c r="U606" s="144"/>
      <c r="V606" s="144"/>
      <c r="W606" s="144"/>
      <c r="X606" s="144"/>
      <c r="Y606" s="144"/>
      <c r="Z606" s="144"/>
      <c r="AA606" s="144"/>
      <c r="AB606" s="144"/>
      <c r="AC606" s="144"/>
      <c r="AD606" s="144"/>
      <c r="AE606" s="144"/>
      <c r="AF606" s="144"/>
    </row>
    <row r="607" ht="16.5" customHeight="1">
      <c r="A607" s="144"/>
      <c r="B607" s="144"/>
      <c r="C607" s="144"/>
      <c r="D607" s="144"/>
      <c r="E607" s="144"/>
      <c r="F607" s="144"/>
      <c r="G607" s="144"/>
      <c r="H607" s="144"/>
      <c r="I607" s="496"/>
      <c r="J607" s="496"/>
      <c r="K607" s="496"/>
      <c r="L607" s="496"/>
      <c r="M607" s="144"/>
      <c r="N607" s="144"/>
      <c r="O607" s="144"/>
      <c r="P607" s="144"/>
      <c r="Q607" s="144"/>
      <c r="R607" s="144"/>
      <c r="S607" s="144"/>
      <c r="T607" s="144"/>
      <c r="U607" s="144"/>
      <c r="V607" s="144"/>
      <c r="W607" s="144"/>
      <c r="X607" s="144"/>
      <c r="Y607" s="144"/>
      <c r="Z607" s="144"/>
      <c r="AA607" s="144"/>
      <c r="AB607" s="144"/>
      <c r="AC607" s="144"/>
      <c r="AD607" s="144"/>
      <c r="AE607" s="144"/>
      <c r="AF607" s="144"/>
    </row>
    <row r="608" ht="16.5" customHeight="1">
      <c r="A608" s="144"/>
      <c r="B608" s="144"/>
      <c r="C608" s="144"/>
      <c r="D608" s="144"/>
      <c r="E608" s="144"/>
      <c r="F608" s="144"/>
      <c r="G608" s="144"/>
      <c r="H608" s="144"/>
      <c r="I608" s="496"/>
      <c r="J608" s="496"/>
      <c r="K608" s="496"/>
      <c r="L608" s="496"/>
      <c r="M608" s="144"/>
      <c r="N608" s="144"/>
      <c r="O608" s="144"/>
      <c r="P608" s="144"/>
      <c r="Q608" s="144"/>
      <c r="R608" s="144"/>
      <c r="S608" s="144"/>
      <c r="T608" s="144"/>
      <c r="U608" s="144"/>
      <c r="V608" s="144"/>
      <c r="W608" s="144"/>
      <c r="X608" s="144"/>
      <c r="Y608" s="144"/>
      <c r="Z608" s="144"/>
      <c r="AA608" s="144"/>
      <c r="AB608" s="144"/>
      <c r="AC608" s="144"/>
      <c r="AD608" s="144"/>
      <c r="AE608" s="144"/>
      <c r="AF608" s="144"/>
    </row>
    <row r="609" ht="16.5" customHeight="1">
      <c r="A609" s="144"/>
      <c r="B609" s="144"/>
      <c r="C609" s="144"/>
      <c r="D609" s="144"/>
      <c r="E609" s="144"/>
      <c r="F609" s="144"/>
      <c r="G609" s="144"/>
      <c r="H609" s="144"/>
      <c r="I609" s="496"/>
      <c r="J609" s="496"/>
      <c r="K609" s="496"/>
      <c r="L609" s="496"/>
      <c r="M609" s="144"/>
      <c r="N609" s="144"/>
      <c r="O609" s="144"/>
      <c r="P609" s="144"/>
      <c r="Q609" s="144"/>
      <c r="R609" s="144"/>
      <c r="S609" s="144"/>
      <c r="T609" s="144"/>
      <c r="U609" s="144"/>
      <c r="V609" s="144"/>
      <c r="W609" s="144"/>
      <c r="X609" s="144"/>
      <c r="Y609" s="144"/>
      <c r="Z609" s="144"/>
      <c r="AA609" s="144"/>
      <c r="AB609" s="144"/>
      <c r="AC609" s="144"/>
      <c r="AD609" s="144"/>
      <c r="AE609" s="144"/>
      <c r="AF609" s="144"/>
    </row>
    <row r="610" ht="16.5" customHeight="1">
      <c r="A610" s="144"/>
      <c r="B610" s="144"/>
      <c r="C610" s="144"/>
      <c r="D610" s="144"/>
      <c r="E610" s="144"/>
      <c r="F610" s="144"/>
      <c r="G610" s="144"/>
      <c r="H610" s="144"/>
      <c r="I610" s="496"/>
      <c r="J610" s="496"/>
      <c r="K610" s="496"/>
      <c r="L610" s="496"/>
      <c r="M610" s="144"/>
      <c r="N610" s="144"/>
      <c r="O610" s="144"/>
      <c r="P610" s="144"/>
      <c r="Q610" s="144"/>
      <c r="R610" s="144"/>
      <c r="S610" s="144"/>
      <c r="T610" s="144"/>
      <c r="U610" s="144"/>
      <c r="V610" s="144"/>
      <c r="W610" s="144"/>
      <c r="X610" s="144"/>
      <c r="Y610" s="144"/>
      <c r="Z610" s="144"/>
      <c r="AA610" s="144"/>
      <c r="AB610" s="144"/>
      <c r="AC610" s="144"/>
      <c r="AD610" s="144"/>
      <c r="AE610" s="144"/>
      <c r="AF610" s="144"/>
    </row>
    <row r="611" ht="16.5" customHeight="1">
      <c r="A611" s="144"/>
      <c r="B611" s="144"/>
      <c r="C611" s="144"/>
      <c r="D611" s="144"/>
      <c r="E611" s="144"/>
      <c r="F611" s="144"/>
      <c r="G611" s="144"/>
      <c r="H611" s="144"/>
      <c r="I611" s="496"/>
      <c r="J611" s="496"/>
      <c r="K611" s="496"/>
      <c r="L611" s="496"/>
      <c r="M611" s="144"/>
      <c r="N611" s="144"/>
      <c r="O611" s="144"/>
      <c r="P611" s="144"/>
      <c r="Q611" s="144"/>
      <c r="R611" s="144"/>
      <c r="S611" s="144"/>
      <c r="T611" s="144"/>
      <c r="U611" s="144"/>
      <c r="V611" s="144"/>
      <c r="W611" s="144"/>
      <c r="X611" s="144"/>
      <c r="Y611" s="144"/>
      <c r="Z611" s="144"/>
      <c r="AA611" s="144"/>
      <c r="AB611" s="144"/>
      <c r="AC611" s="144"/>
      <c r="AD611" s="144"/>
      <c r="AE611" s="144"/>
      <c r="AF611" s="144"/>
    </row>
    <row r="612" ht="16.5" customHeight="1">
      <c r="A612" s="144"/>
      <c r="B612" s="144"/>
      <c r="C612" s="144"/>
      <c r="D612" s="144"/>
      <c r="E612" s="144"/>
      <c r="F612" s="144"/>
      <c r="G612" s="144"/>
      <c r="H612" s="144"/>
      <c r="I612" s="496"/>
      <c r="J612" s="496"/>
      <c r="K612" s="496"/>
      <c r="L612" s="496"/>
      <c r="M612" s="144"/>
      <c r="N612" s="144"/>
      <c r="O612" s="144"/>
      <c r="P612" s="144"/>
      <c r="Q612" s="144"/>
      <c r="R612" s="144"/>
      <c r="S612" s="144"/>
      <c r="T612" s="144"/>
      <c r="U612" s="144"/>
      <c r="V612" s="144"/>
      <c r="W612" s="144"/>
      <c r="X612" s="144"/>
      <c r="Y612" s="144"/>
      <c r="Z612" s="144"/>
      <c r="AA612" s="144"/>
      <c r="AB612" s="144"/>
      <c r="AC612" s="144"/>
      <c r="AD612" s="144"/>
      <c r="AE612" s="144"/>
      <c r="AF612" s="144"/>
    </row>
    <row r="613" ht="16.5" customHeight="1">
      <c r="A613" s="144"/>
      <c r="B613" s="144"/>
      <c r="C613" s="144"/>
      <c r="D613" s="144"/>
      <c r="E613" s="144"/>
      <c r="F613" s="144"/>
      <c r="G613" s="144"/>
      <c r="H613" s="144"/>
      <c r="I613" s="496"/>
      <c r="J613" s="496"/>
      <c r="K613" s="496"/>
      <c r="L613" s="496"/>
      <c r="M613" s="144"/>
      <c r="N613" s="144"/>
      <c r="O613" s="144"/>
      <c r="P613" s="144"/>
      <c r="Q613" s="144"/>
      <c r="R613" s="144"/>
      <c r="S613" s="144"/>
      <c r="T613" s="144"/>
      <c r="U613" s="144"/>
      <c r="V613" s="144"/>
      <c r="W613" s="144"/>
      <c r="X613" s="144"/>
      <c r="Y613" s="144"/>
      <c r="Z613" s="144"/>
      <c r="AA613" s="144"/>
      <c r="AB613" s="144"/>
      <c r="AC613" s="144"/>
      <c r="AD613" s="144"/>
      <c r="AE613" s="144"/>
      <c r="AF613" s="144"/>
    </row>
    <row r="614" ht="16.5" customHeight="1">
      <c r="A614" s="144"/>
      <c r="B614" s="144"/>
      <c r="C614" s="144"/>
      <c r="D614" s="144"/>
      <c r="E614" s="144"/>
      <c r="F614" s="144"/>
      <c r="G614" s="144"/>
      <c r="H614" s="144"/>
      <c r="I614" s="496"/>
      <c r="J614" s="496"/>
      <c r="K614" s="496"/>
      <c r="L614" s="496"/>
      <c r="M614" s="144"/>
      <c r="N614" s="144"/>
      <c r="O614" s="144"/>
      <c r="P614" s="144"/>
      <c r="Q614" s="144"/>
      <c r="R614" s="144"/>
      <c r="S614" s="144"/>
      <c r="T614" s="144"/>
      <c r="U614" s="144"/>
      <c r="V614" s="144"/>
      <c r="W614" s="144"/>
      <c r="X614" s="144"/>
      <c r="Y614" s="144"/>
      <c r="Z614" s="144"/>
      <c r="AA614" s="144"/>
      <c r="AB614" s="144"/>
      <c r="AC614" s="144"/>
      <c r="AD614" s="144"/>
      <c r="AE614" s="144"/>
      <c r="AF614" s="144"/>
    </row>
    <row r="615" ht="16.5" customHeight="1">
      <c r="A615" s="144"/>
      <c r="B615" s="144"/>
      <c r="C615" s="144"/>
      <c r="D615" s="144"/>
      <c r="E615" s="144"/>
      <c r="F615" s="144"/>
      <c r="G615" s="144"/>
      <c r="H615" s="144"/>
      <c r="I615" s="496"/>
      <c r="J615" s="496"/>
      <c r="K615" s="496"/>
      <c r="L615" s="496"/>
      <c r="M615" s="144"/>
      <c r="N615" s="144"/>
      <c r="O615" s="144"/>
      <c r="P615" s="144"/>
      <c r="Q615" s="144"/>
      <c r="R615" s="144"/>
      <c r="S615" s="144"/>
      <c r="T615" s="144"/>
      <c r="U615" s="144"/>
      <c r="V615" s="144"/>
      <c r="W615" s="144"/>
      <c r="X615" s="144"/>
      <c r="Y615" s="144"/>
      <c r="Z615" s="144"/>
      <c r="AA615" s="144"/>
      <c r="AB615" s="144"/>
      <c r="AC615" s="144"/>
      <c r="AD615" s="144"/>
      <c r="AE615" s="144"/>
      <c r="AF615" s="144"/>
    </row>
    <row r="616" ht="16.5" customHeight="1">
      <c r="A616" s="144"/>
      <c r="B616" s="144"/>
      <c r="C616" s="144"/>
      <c r="D616" s="144"/>
      <c r="E616" s="144"/>
      <c r="F616" s="144"/>
      <c r="G616" s="144"/>
      <c r="H616" s="144"/>
      <c r="I616" s="496"/>
      <c r="J616" s="496"/>
      <c r="K616" s="496"/>
      <c r="L616" s="496"/>
      <c r="M616" s="144"/>
      <c r="N616" s="144"/>
      <c r="O616" s="144"/>
      <c r="P616" s="144"/>
      <c r="Q616" s="144"/>
      <c r="R616" s="144"/>
      <c r="S616" s="144"/>
      <c r="T616" s="144"/>
      <c r="U616" s="144"/>
      <c r="V616" s="144"/>
      <c r="W616" s="144"/>
      <c r="X616" s="144"/>
      <c r="Y616" s="144"/>
      <c r="Z616" s="144"/>
      <c r="AA616" s="144"/>
      <c r="AB616" s="144"/>
      <c r="AC616" s="144"/>
      <c r="AD616" s="144"/>
      <c r="AE616" s="144"/>
      <c r="AF616" s="144"/>
    </row>
    <row r="617" ht="16.5" customHeight="1">
      <c r="A617" s="144"/>
      <c r="B617" s="144"/>
      <c r="C617" s="144"/>
      <c r="D617" s="144"/>
      <c r="E617" s="144"/>
      <c r="F617" s="144"/>
      <c r="G617" s="144"/>
      <c r="H617" s="144"/>
      <c r="I617" s="496"/>
      <c r="J617" s="496"/>
      <c r="K617" s="496"/>
      <c r="L617" s="496"/>
      <c r="M617" s="144"/>
      <c r="N617" s="144"/>
      <c r="O617" s="144"/>
      <c r="P617" s="144"/>
      <c r="Q617" s="144"/>
      <c r="R617" s="144"/>
      <c r="S617" s="144"/>
      <c r="T617" s="144"/>
      <c r="U617" s="144"/>
      <c r="V617" s="144"/>
      <c r="W617" s="144"/>
      <c r="X617" s="144"/>
      <c r="Y617" s="144"/>
      <c r="Z617" s="144"/>
      <c r="AA617" s="144"/>
      <c r="AB617" s="144"/>
      <c r="AC617" s="144"/>
      <c r="AD617" s="144"/>
      <c r="AE617" s="144"/>
      <c r="AF617" s="144"/>
    </row>
    <row r="618" ht="16.5" customHeight="1">
      <c r="A618" s="144"/>
      <c r="B618" s="144"/>
      <c r="C618" s="144"/>
      <c r="D618" s="144"/>
      <c r="E618" s="144"/>
      <c r="F618" s="144"/>
      <c r="G618" s="144"/>
      <c r="H618" s="144"/>
      <c r="I618" s="496"/>
      <c r="J618" s="496"/>
      <c r="K618" s="496"/>
      <c r="L618" s="496"/>
      <c r="M618" s="144"/>
      <c r="N618" s="144"/>
      <c r="O618" s="144"/>
      <c r="P618" s="144"/>
      <c r="Q618" s="144"/>
      <c r="R618" s="144"/>
      <c r="S618" s="144"/>
      <c r="T618" s="144"/>
      <c r="U618" s="144"/>
      <c r="V618" s="144"/>
      <c r="W618" s="144"/>
      <c r="X618" s="144"/>
      <c r="Y618" s="144"/>
      <c r="Z618" s="144"/>
      <c r="AA618" s="144"/>
      <c r="AB618" s="144"/>
      <c r="AC618" s="144"/>
      <c r="AD618" s="144"/>
      <c r="AE618" s="144"/>
      <c r="AF618" s="144"/>
    </row>
    <row r="619" ht="16.5" customHeight="1">
      <c r="A619" s="144"/>
      <c r="B619" s="144"/>
      <c r="C619" s="144"/>
      <c r="D619" s="144"/>
      <c r="E619" s="144"/>
      <c r="F619" s="144"/>
      <c r="G619" s="144"/>
      <c r="H619" s="144"/>
      <c r="I619" s="496"/>
      <c r="J619" s="496"/>
      <c r="K619" s="496"/>
      <c r="L619" s="496"/>
      <c r="M619" s="144"/>
      <c r="N619" s="144"/>
      <c r="O619" s="144"/>
      <c r="P619" s="144"/>
      <c r="Q619" s="144"/>
      <c r="R619" s="144"/>
      <c r="S619" s="144"/>
      <c r="T619" s="144"/>
      <c r="U619" s="144"/>
      <c r="V619" s="144"/>
      <c r="W619" s="144"/>
      <c r="X619" s="144"/>
      <c r="Y619" s="144"/>
      <c r="Z619" s="144"/>
      <c r="AA619" s="144"/>
      <c r="AB619" s="144"/>
      <c r="AC619" s="144"/>
      <c r="AD619" s="144"/>
      <c r="AE619" s="144"/>
      <c r="AF619" s="144"/>
    </row>
    <row r="620" ht="16.5" customHeight="1">
      <c r="A620" s="144"/>
      <c r="B620" s="144"/>
      <c r="C620" s="144"/>
      <c r="D620" s="144"/>
      <c r="E620" s="144"/>
      <c r="F620" s="144"/>
      <c r="G620" s="144"/>
      <c r="H620" s="144"/>
      <c r="I620" s="496"/>
      <c r="J620" s="496"/>
      <c r="K620" s="496"/>
      <c r="L620" s="496"/>
      <c r="M620" s="144"/>
      <c r="N620" s="144"/>
      <c r="O620" s="144"/>
      <c r="P620" s="144"/>
      <c r="Q620" s="144"/>
      <c r="R620" s="144"/>
      <c r="S620" s="144"/>
      <c r="T620" s="144"/>
      <c r="U620" s="144"/>
      <c r="V620" s="144"/>
      <c r="W620" s="144"/>
      <c r="X620" s="144"/>
      <c r="Y620" s="144"/>
      <c r="Z620" s="144"/>
      <c r="AA620" s="144"/>
      <c r="AB620" s="144"/>
      <c r="AC620" s="144"/>
      <c r="AD620" s="144"/>
      <c r="AE620" s="144"/>
      <c r="AF620" s="144"/>
    </row>
    <row r="621" ht="16.5" customHeight="1">
      <c r="A621" s="144"/>
      <c r="B621" s="144"/>
      <c r="C621" s="144"/>
      <c r="D621" s="144"/>
      <c r="E621" s="144"/>
      <c r="F621" s="144"/>
      <c r="G621" s="144"/>
      <c r="H621" s="144"/>
      <c r="I621" s="496"/>
      <c r="J621" s="496"/>
      <c r="K621" s="496"/>
      <c r="L621" s="496"/>
      <c r="M621" s="144"/>
      <c r="N621" s="144"/>
      <c r="O621" s="144"/>
      <c r="P621" s="144"/>
      <c r="Q621" s="144"/>
      <c r="R621" s="144"/>
      <c r="S621" s="144"/>
      <c r="T621" s="144"/>
      <c r="U621" s="144"/>
      <c r="V621" s="144"/>
      <c r="W621" s="144"/>
      <c r="X621" s="144"/>
      <c r="Y621" s="144"/>
      <c r="Z621" s="144"/>
      <c r="AA621" s="144"/>
      <c r="AB621" s="144"/>
      <c r="AC621" s="144"/>
      <c r="AD621" s="144"/>
      <c r="AE621" s="144"/>
      <c r="AF621" s="144"/>
    </row>
    <row r="622" ht="16.5" customHeight="1">
      <c r="A622" s="144"/>
      <c r="B622" s="144"/>
      <c r="C622" s="144"/>
      <c r="D622" s="144"/>
      <c r="E622" s="144"/>
      <c r="F622" s="144"/>
      <c r="G622" s="144"/>
      <c r="H622" s="144"/>
      <c r="I622" s="496"/>
      <c r="J622" s="496"/>
      <c r="K622" s="496"/>
      <c r="L622" s="496"/>
      <c r="M622" s="144"/>
      <c r="N622" s="144"/>
      <c r="O622" s="144"/>
      <c r="P622" s="144"/>
      <c r="Q622" s="144"/>
      <c r="R622" s="144"/>
      <c r="S622" s="144"/>
      <c r="T622" s="144"/>
      <c r="U622" s="144"/>
      <c r="V622" s="144"/>
      <c r="W622" s="144"/>
      <c r="X622" s="144"/>
      <c r="Y622" s="144"/>
      <c r="Z622" s="144"/>
      <c r="AA622" s="144"/>
      <c r="AB622" s="144"/>
      <c r="AC622" s="144"/>
      <c r="AD622" s="144"/>
      <c r="AE622" s="144"/>
      <c r="AF622" s="144"/>
    </row>
    <row r="623" ht="16.5" customHeight="1">
      <c r="A623" s="144"/>
      <c r="B623" s="144"/>
      <c r="C623" s="144"/>
      <c r="D623" s="144"/>
      <c r="E623" s="144"/>
      <c r="F623" s="144"/>
      <c r="G623" s="144"/>
      <c r="H623" s="144"/>
      <c r="I623" s="496"/>
      <c r="J623" s="496"/>
      <c r="K623" s="496"/>
      <c r="L623" s="496"/>
      <c r="M623" s="144"/>
      <c r="N623" s="144"/>
      <c r="O623" s="144"/>
      <c r="P623" s="144"/>
      <c r="Q623" s="144"/>
      <c r="R623" s="144"/>
      <c r="S623" s="144"/>
      <c r="T623" s="144"/>
      <c r="U623" s="144"/>
      <c r="V623" s="144"/>
      <c r="W623" s="144"/>
      <c r="X623" s="144"/>
      <c r="Y623" s="144"/>
      <c r="Z623" s="144"/>
      <c r="AA623" s="144"/>
      <c r="AB623" s="144"/>
      <c r="AC623" s="144"/>
      <c r="AD623" s="144"/>
      <c r="AE623" s="144"/>
      <c r="AF623" s="144"/>
    </row>
    <row r="624" ht="16.5" customHeight="1">
      <c r="A624" s="144"/>
      <c r="B624" s="144"/>
      <c r="C624" s="144"/>
      <c r="D624" s="144"/>
      <c r="E624" s="144"/>
      <c r="F624" s="144"/>
      <c r="G624" s="144"/>
      <c r="H624" s="144"/>
      <c r="I624" s="496"/>
      <c r="J624" s="496"/>
      <c r="K624" s="496"/>
      <c r="L624" s="496"/>
      <c r="M624" s="144"/>
      <c r="N624" s="144"/>
      <c r="O624" s="144"/>
      <c r="P624" s="144"/>
      <c r="Q624" s="144"/>
      <c r="R624" s="144"/>
      <c r="S624" s="144"/>
      <c r="T624" s="144"/>
      <c r="U624" s="144"/>
      <c r="V624" s="144"/>
      <c r="W624" s="144"/>
      <c r="X624" s="144"/>
      <c r="Y624" s="144"/>
      <c r="Z624" s="144"/>
      <c r="AA624" s="144"/>
      <c r="AB624" s="144"/>
      <c r="AC624" s="144"/>
      <c r="AD624" s="144"/>
      <c r="AE624" s="144"/>
      <c r="AF624" s="144"/>
    </row>
    <row r="625" ht="16.5" customHeight="1">
      <c r="A625" s="144"/>
      <c r="B625" s="144"/>
      <c r="C625" s="144"/>
      <c r="D625" s="144"/>
      <c r="E625" s="144"/>
      <c r="F625" s="144"/>
      <c r="G625" s="144"/>
      <c r="H625" s="144"/>
      <c r="I625" s="496"/>
      <c r="J625" s="496"/>
      <c r="K625" s="496"/>
      <c r="L625" s="496"/>
      <c r="M625" s="144"/>
      <c r="N625" s="144"/>
      <c r="O625" s="144"/>
      <c r="P625" s="144"/>
      <c r="Q625" s="144"/>
      <c r="R625" s="144"/>
      <c r="S625" s="144"/>
      <c r="T625" s="144"/>
      <c r="U625" s="144"/>
      <c r="V625" s="144"/>
      <c r="W625" s="144"/>
      <c r="X625" s="144"/>
      <c r="Y625" s="144"/>
      <c r="Z625" s="144"/>
      <c r="AA625" s="144"/>
      <c r="AB625" s="144"/>
      <c r="AC625" s="144"/>
      <c r="AD625" s="144"/>
      <c r="AE625" s="144"/>
      <c r="AF625" s="144"/>
    </row>
    <row r="626" ht="16.5" customHeight="1">
      <c r="A626" s="144"/>
      <c r="B626" s="144"/>
      <c r="C626" s="144"/>
      <c r="D626" s="144"/>
      <c r="E626" s="144"/>
      <c r="F626" s="144"/>
      <c r="G626" s="144"/>
      <c r="H626" s="144"/>
      <c r="I626" s="496"/>
      <c r="J626" s="496"/>
      <c r="K626" s="496"/>
      <c r="L626" s="496"/>
      <c r="M626" s="144"/>
      <c r="N626" s="144"/>
      <c r="O626" s="144"/>
      <c r="P626" s="144"/>
      <c r="Q626" s="144"/>
      <c r="R626" s="144"/>
      <c r="S626" s="144"/>
      <c r="T626" s="144"/>
      <c r="U626" s="144"/>
      <c r="V626" s="144"/>
      <c r="W626" s="144"/>
      <c r="X626" s="144"/>
      <c r="Y626" s="144"/>
      <c r="Z626" s="144"/>
      <c r="AA626" s="144"/>
      <c r="AB626" s="144"/>
      <c r="AC626" s="144"/>
      <c r="AD626" s="144"/>
      <c r="AE626" s="144"/>
      <c r="AF626" s="144"/>
    </row>
    <row r="627" ht="16.5" customHeight="1">
      <c r="A627" s="144"/>
      <c r="B627" s="144"/>
      <c r="C627" s="144"/>
      <c r="D627" s="144"/>
      <c r="E627" s="144"/>
      <c r="F627" s="144"/>
      <c r="G627" s="144"/>
      <c r="H627" s="144"/>
      <c r="I627" s="496"/>
      <c r="J627" s="496"/>
      <c r="K627" s="496"/>
      <c r="L627" s="496"/>
      <c r="M627" s="144"/>
      <c r="N627" s="144"/>
      <c r="O627" s="144"/>
      <c r="P627" s="144"/>
      <c r="Q627" s="144"/>
      <c r="R627" s="144"/>
      <c r="S627" s="144"/>
      <c r="T627" s="144"/>
      <c r="U627" s="144"/>
      <c r="V627" s="144"/>
      <c r="W627" s="144"/>
      <c r="X627" s="144"/>
      <c r="Y627" s="144"/>
      <c r="Z627" s="144"/>
      <c r="AA627" s="144"/>
      <c r="AB627" s="144"/>
      <c r="AC627" s="144"/>
      <c r="AD627" s="144"/>
      <c r="AE627" s="144"/>
      <c r="AF627" s="144"/>
    </row>
    <row r="628" ht="16.5" customHeight="1">
      <c r="A628" s="144"/>
      <c r="B628" s="144"/>
      <c r="C628" s="144"/>
      <c r="D628" s="144"/>
      <c r="E628" s="144"/>
      <c r="F628" s="144"/>
      <c r="G628" s="144"/>
      <c r="H628" s="144"/>
      <c r="I628" s="496"/>
      <c r="J628" s="496"/>
      <c r="K628" s="496"/>
      <c r="L628" s="496"/>
      <c r="M628" s="144"/>
      <c r="N628" s="144"/>
      <c r="O628" s="144"/>
      <c r="P628" s="144"/>
      <c r="Q628" s="144"/>
      <c r="R628" s="144"/>
      <c r="S628" s="144"/>
      <c r="T628" s="144"/>
      <c r="U628" s="144"/>
      <c r="V628" s="144"/>
      <c r="W628" s="144"/>
      <c r="X628" s="144"/>
      <c r="Y628" s="144"/>
      <c r="Z628" s="144"/>
      <c r="AA628" s="144"/>
      <c r="AB628" s="144"/>
      <c r="AC628" s="144"/>
      <c r="AD628" s="144"/>
      <c r="AE628" s="144"/>
      <c r="AF628" s="144"/>
    </row>
    <row r="629" ht="16.5" customHeight="1">
      <c r="A629" s="144"/>
      <c r="B629" s="144"/>
      <c r="C629" s="144"/>
      <c r="D629" s="144"/>
      <c r="E629" s="144"/>
      <c r="F629" s="144"/>
      <c r="G629" s="144"/>
      <c r="H629" s="144"/>
      <c r="I629" s="496"/>
      <c r="J629" s="496"/>
      <c r="K629" s="496"/>
      <c r="L629" s="496"/>
      <c r="M629" s="144"/>
      <c r="N629" s="144"/>
      <c r="O629" s="144"/>
      <c r="P629" s="144"/>
      <c r="Q629" s="144"/>
      <c r="R629" s="144"/>
      <c r="S629" s="144"/>
      <c r="T629" s="144"/>
      <c r="U629" s="144"/>
      <c r="V629" s="144"/>
      <c r="W629" s="144"/>
      <c r="X629" s="144"/>
      <c r="Y629" s="144"/>
      <c r="Z629" s="144"/>
      <c r="AA629" s="144"/>
      <c r="AB629" s="144"/>
      <c r="AC629" s="144"/>
      <c r="AD629" s="144"/>
      <c r="AE629" s="144"/>
      <c r="AF629" s="144"/>
    </row>
    <row r="630" ht="16.5" customHeight="1">
      <c r="A630" s="144"/>
      <c r="B630" s="144"/>
      <c r="C630" s="144"/>
      <c r="D630" s="144"/>
      <c r="E630" s="144"/>
      <c r="F630" s="144"/>
      <c r="G630" s="144"/>
      <c r="H630" s="144"/>
      <c r="I630" s="496"/>
      <c r="J630" s="496"/>
      <c r="K630" s="496"/>
      <c r="L630" s="496"/>
      <c r="M630" s="144"/>
      <c r="N630" s="144"/>
      <c r="O630" s="144"/>
      <c r="P630" s="144"/>
      <c r="Q630" s="144"/>
      <c r="R630" s="144"/>
      <c r="S630" s="144"/>
      <c r="T630" s="144"/>
      <c r="U630" s="144"/>
      <c r="V630" s="144"/>
      <c r="W630" s="144"/>
      <c r="X630" s="144"/>
      <c r="Y630" s="144"/>
      <c r="Z630" s="144"/>
      <c r="AA630" s="144"/>
      <c r="AB630" s="144"/>
      <c r="AC630" s="144"/>
      <c r="AD630" s="144"/>
      <c r="AE630" s="144"/>
      <c r="AF630" s="144"/>
    </row>
    <row r="631" ht="16.5" customHeight="1">
      <c r="A631" s="144"/>
      <c r="B631" s="144"/>
      <c r="C631" s="144"/>
      <c r="D631" s="144"/>
      <c r="E631" s="144"/>
      <c r="F631" s="144"/>
      <c r="G631" s="144"/>
      <c r="H631" s="144"/>
      <c r="I631" s="496"/>
      <c r="J631" s="496"/>
      <c r="K631" s="496"/>
      <c r="L631" s="496"/>
      <c r="M631" s="144"/>
      <c r="N631" s="144"/>
      <c r="O631" s="144"/>
      <c r="P631" s="144"/>
      <c r="Q631" s="144"/>
      <c r="R631" s="144"/>
      <c r="S631" s="144"/>
      <c r="T631" s="144"/>
      <c r="U631" s="144"/>
      <c r="V631" s="144"/>
      <c r="W631" s="144"/>
      <c r="X631" s="144"/>
      <c r="Y631" s="144"/>
      <c r="Z631" s="144"/>
      <c r="AA631" s="144"/>
      <c r="AB631" s="144"/>
      <c r="AC631" s="144"/>
      <c r="AD631" s="144"/>
      <c r="AE631" s="144"/>
      <c r="AF631" s="144"/>
    </row>
    <row r="632" ht="16.5" customHeight="1">
      <c r="A632" s="144"/>
      <c r="B632" s="144"/>
      <c r="C632" s="144"/>
      <c r="D632" s="144"/>
      <c r="E632" s="144"/>
      <c r="F632" s="144"/>
      <c r="G632" s="144"/>
      <c r="H632" s="144"/>
      <c r="I632" s="496"/>
      <c r="J632" s="496"/>
      <c r="K632" s="496"/>
      <c r="L632" s="496"/>
      <c r="M632" s="144"/>
      <c r="N632" s="144"/>
      <c r="O632" s="144"/>
      <c r="P632" s="144"/>
      <c r="Q632" s="144"/>
      <c r="R632" s="144"/>
      <c r="S632" s="144"/>
      <c r="T632" s="144"/>
      <c r="U632" s="144"/>
      <c r="V632" s="144"/>
      <c r="W632" s="144"/>
      <c r="X632" s="144"/>
      <c r="Y632" s="144"/>
      <c r="Z632" s="144"/>
      <c r="AA632" s="144"/>
      <c r="AB632" s="144"/>
      <c r="AC632" s="144"/>
      <c r="AD632" s="144"/>
      <c r="AE632" s="144"/>
      <c r="AF632" s="144"/>
    </row>
    <row r="633" ht="16.5" customHeight="1">
      <c r="A633" s="144"/>
      <c r="B633" s="144"/>
      <c r="C633" s="144"/>
      <c r="D633" s="144"/>
      <c r="E633" s="144"/>
      <c r="F633" s="144"/>
      <c r="G633" s="144"/>
      <c r="H633" s="144"/>
      <c r="I633" s="496"/>
      <c r="J633" s="496"/>
      <c r="K633" s="496"/>
      <c r="L633" s="496"/>
      <c r="M633" s="144"/>
      <c r="N633" s="144"/>
      <c r="O633" s="144"/>
      <c r="P633" s="144"/>
      <c r="Q633" s="144"/>
      <c r="R633" s="144"/>
      <c r="S633" s="144"/>
      <c r="T633" s="144"/>
      <c r="U633" s="144"/>
      <c r="V633" s="144"/>
      <c r="W633" s="144"/>
      <c r="X633" s="144"/>
      <c r="Y633" s="144"/>
      <c r="Z633" s="144"/>
      <c r="AA633" s="144"/>
      <c r="AB633" s="144"/>
      <c r="AC633" s="144"/>
      <c r="AD633" s="144"/>
      <c r="AE633" s="144"/>
      <c r="AF633" s="144"/>
    </row>
    <row r="634" ht="16.5" customHeight="1">
      <c r="A634" s="144"/>
      <c r="B634" s="144"/>
      <c r="C634" s="144"/>
      <c r="D634" s="144"/>
      <c r="E634" s="144"/>
      <c r="F634" s="144"/>
      <c r="G634" s="144"/>
      <c r="H634" s="144"/>
      <c r="I634" s="496"/>
      <c r="J634" s="496"/>
      <c r="K634" s="496"/>
      <c r="L634" s="496"/>
      <c r="M634" s="144"/>
      <c r="N634" s="144"/>
      <c r="O634" s="144"/>
      <c r="P634" s="144"/>
      <c r="Q634" s="144"/>
      <c r="R634" s="144"/>
      <c r="S634" s="144"/>
      <c r="T634" s="144"/>
      <c r="U634" s="144"/>
      <c r="V634" s="144"/>
      <c r="W634" s="144"/>
      <c r="X634" s="144"/>
      <c r="Y634" s="144"/>
      <c r="Z634" s="144"/>
      <c r="AA634" s="144"/>
      <c r="AB634" s="144"/>
      <c r="AC634" s="144"/>
      <c r="AD634" s="144"/>
      <c r="AE634" s="144"/>
      <c r="AF634" s="144"/>
    </row>
    <row r="635" ht="16.5" customHeight="1">
      <c r="A635" s="144"/>
      <c r="B635" s="144"/>
      <c r="C635" s="144"/>
      <c r="D635" s="144"/>
      <c r="E635" s="144"/>
      <c r="F635" s="144"/>
      <c r="G635" s="144"/>
      <c r="H635" s="144"/>
      <c r="I635" s="496"/>
      <c r="J635" s="496"/>
      <c r="K635" s="496"/>
      <c r="L635" s="496"/>
      <c r="M635" s="144"/>
      <c r="N635" s="144"/>
      <c r="O635" s="144"/>
      <c r="P635" s="144"/>
      <c r="Q635" s="144"/>
      <c r="R635" s="144"/>
      <c r="S635" s="144"/>
      <c r="T635" s="144"/>
      <c r="U635" s="144"/>
      <c r="V635" s="144"/>
      <c r="W635" s="144"/>
      <c r="X635" s="144"/>
      <c r="Y635" s="144"/>
      <c r="Z635" s="144"/>
      <c r="AA635" s="144"/>
      <c r="AB635" s="144"/>
      <c r="AC635" s="144"/>
      <c r="AD635" s="144"/>
      <c r="AE635" s="144"/>
      <c r="AF635" s="144"/>
    </row>
    <row r="636" ht="16.5" customHeight="1">
      <c r="A636" s="144"/>
      <c r="B636" s="144"/>
      <c r="C636" s="144"/>
      <c r="D636" s="144"/>
      <c r="E636" s="144"/>
      <c r="F636" s="144"/>
      <c r="G636" s="144"/>
      <c r="H636" s="144"/>
      <c r="I636" s="496"/>
      <c r="J636" s="496"/>
      <c r="K636" s="496"/>
      <c r="L636" s="496"/>
      <c r="M636" s="144"/>
      <c r="N636" s="144"/>
      <c r="O636" s="144"/>
      <c r="P636" s="144"/>
      <c r="Q636" s="144"/>
      <c r="R636" s="144"/>
      <c r="S636" s="144"/>
      <c r="T636" s="144"/>
      <c r="U636" s="144"/>
      <c r="V636" s="144"/>
      <c r="W636" s="144"/>
      <c r="X636" s="144"/>
      <c r="Y636" s="144"/>
      <c r="Z636" s="144"/>
      <c r="AA636" s="144"/>
      <c r="AB636" s="144"/>
      <c r="AC636" s="144"/>
      <c r="AD636" s="144"/>
      <c r="AE636" s="144"/>
      <c r="AF636" s="144"/>
    </row>
    <row r="637" ht="16.5" customHeight="1">
      <c r="A637" s="144"/>
      <c r="B637" s="144"/>
      <c r="C637" s="144"/>
      <c r="D637" s="144"/>
      <c r="E637" s="144"/>
      <c r="F637" s="144"/>
      <c r="G637" s="144"/>
      <c r="H637" s="144"/>
      <c r="I637" s="496"/>
      <c r="J637" s="496"/>
      <c r="K637" s="496"/>
      <c r="L637" s="496"/>
      <c r="M637" s="144"/>
      <c r="N637" s="144"/>
      <c r="O637" s="144"/>
      <c r="P637" s="144"/>
      <c r="Q637" s="144"/>
      <c r="R637" s="144"/>
      <c r="S637" s="144"/>
      <c r="T637" s="144"/>
      <c r="U637" s="144"/>
      <c r="V637" s="144"/>
      <c r="W637" s="144"/>
      <c r="X637" s="144"/>
      <c r="Y637" s="144"/>
      <c r="Z637" s="144"/>
      <c r="AA637" s="144"/>
      <c r="AB637" s="144"/>
      <c r="AC637" s="144"/>
      <c r="AD637" s="144"/>
      <c r="AE637" s="144"/>
      <c r="AF637" s="144"/>
    </row>
    <row r="638" ht="16.5" customHeight="1">
      <c r="A638" s="144"/>
      <c r="B638" s="144"/>
      <c r="C638" s="144"/>
      <c r="D638" s="144"/>
      <c r="E638" s="144"/>
      <c r="F638" s="144"/>
      <c r="G638" s="144"/>
      <c r="H638" s="144"/>
      <c r="I638" s="496"/>
      <c r="J638" s="496"/>
      <c r="K638" s="496"/>
      <c r="L638" s="496"/>
      <c r="M638" s="144"/>
      <c r="N638" s="144"/>
      <c r="O638" s="144"/>
      <c r="P638" s="144"/>
      <c r="Q638" s="144"/>
      <c r="R638" s="144"/>
      <c r="S638" s="144"/>
      <c r="T638" s="144"/>
      <c r="U638" s="144"/>
      <c r="V638" s="144"/>
      <c r="W638" s="144"/>
      <c r="X638" s="144"/>
      <c r="Y638" s="144"/>
      <c r="Z638" s="144"/>
      <c r="AA638" s="144"/>
      <c r="AB638" s="144"/>
      <c r="AC638" s="144"/>
      <c r="AD638" s="144"/>
      <c r="AE638" s="144"/>
      <c r="AF638" s="144"/>
    </row>
    <row r="639" ht="16.5" customHeight="1">
      <c r="A639" s="144"/>
      <c r="B639" s="144"/>
      <c r="C639" s="144"/>
      <c r="D639" s="144"/>
      <c r="E639" s="144"/>
      <c r="F639" s="144"/>
      <c r="G639" s="144"/>
      <c r="H639" s="144"/>
      <c r="I639" s="496"/>
      <c r="J639" s="496"/>
      <c r="K639" s="496"/>
      <c r="L639" s="496"/>
      <c r="M639" s="144"/>
      <c r="N639" s="144"/>
      <c r="O639" s="144"/>
      <c r="P639" s="144"/>
      <c r="Q639" s="144"/>
      <c r="R639" s="144"/>
      <c r="S639" s="144"/>
      <c r="T639" s="144"/>
      <c r="U639" s="144"/>
      <c r="V639" s="144"/>
      <c r="W639" s="144"/>
      <c r="X639" s="144"/>
      <c r="Y639" s="144"/>
      <c r="Z639" s="144"/>
      <c r="AA639" s="144"/>
      <c r="AB639" s="144"/>
      <c r="AC639" s="144"/>
      <c r="AD639" s="144"/>
      <c r="AE639" s="144"/>
      <c r="AF639" s="144"/>
    </row>
    <row r="640" ht="16.5" customHeight="1">
      <c r="A640" s="144"/>
      <c r="B640" s="144"/>
      <c r="C640" s="144"/>
      <c r="D640" s="144"/>
      <c r="E640" s="144"/>
      <c r="F640" s="144"/>
      <c r="G640" s="144"/>
      <c r="H640" s="144"/>
      <c r="I640" s="496"/>
      <c r="J640" s="496"/>
      <c r="K640" s="496"/>
      <c r="L640" s="496"/>
      <c r="M640" s="144"/>
      <c r="N640" s="144"/>
      <c r="O640" s="144"/>
      <c r="P640" s="144"/>
      <c r="Q640" s="144"/>
      <c r="R640" s="144"/>
      <c r="S640" s="144"/>
      <c r="T640" s="144"/>
      <c r="U640" s="144"/>
      <c r="V640" s="144"/>
      <c r="W640" s="144"/>
      <c r="X640" s="144"/>
      <c r="Y640" s="144"/>
      <c r="Z640" s="144"/>
      <c r="AA640" s="144"/>
      <c r="AB640" s="144"/>
      <c r="AC640" s="144"/>
      <c r="AD640" s="144"/>
      <c r="AE640" s="144"/>
      <c r="AF640" s="144"/>
    </row>
    <row r="641" ht="16.5" customHeight="1">
      <c r="A641" s="144"/>
      <c r="B641" s="144"/>
      <c r="C641" s="144"/>
      <c r="D641" s="144"/>
      <c r="E641" s="144"/>
      <c r="F641" s="144"/>
      <c r="G641" s="144"/>
      <c r="H641" s="144"/>
      <c r="I641" s="496"/>
      <c r="J641" s="496"/>
      <c r="K641" s="496"/>
      <c r="L641" s="496"/>
      <c r="M641" s="144"/>
      <c r="N641" s="144"/>
      <c r="O641" s="144"/>
      <c r="P641" s="144"/>
      <c r="Q641" s="144"/>
      <c r="R641" s="144"/>
      <c r="S641" s="144"/>
      <c r="T641" s="144"/>
      <c r="U641" s="144"/>
      <c r="V641" s="144"/>
      <c r="W641" s="144"/>
      <c r="X641" s="144"/>
      <c r="Y641" s="144"/>
      <c r="Z641" s="144"/>
      <c r="AA641" s="144"/>
      <c r="AB641" s="144"/>
      <c r="AC641" s="144"/>
      <c r="AD641" s="144"/>
      <c r="AE641" s="144"/>
      <c r="AF641" s="144"/>
    </row>
    <row r="642" ht="16.5" customHeight="1">
      <c r="A642" s="144"/>
      <c r="B642" s="144"/>
      <c r="C642" s="144"/>
      <c r="D642" s="144"/>
      <c r="E642" s="144"/>
      <c r="F642" s="144"/>
      <c r="G642" s="144"/>
      <c r="H642" s="144"/>
      <c r="I642" s="496"/>
      <c r="J642" s="496"/>
      <c r="K642" s="496"/>
      <c r="L642" s="496"/>
      <c r="M642" s="144"/>
      <c r="N642" s="144"/>
      <c r="O642" s="144"/>
      <c r="P642" s="144"/>
      <c r="Q642" s="144"/>
      <c r="R642" s="144"/>
      <c r="S642" s="144"/>
      <c r="T642" s="144"/>
      <c r="U642" s="144"/>
      <c r="V642" s="144"/>
      <c r="W642" s="144"/>
      <c r="X642" s="144"/>
      <c r="Y642" s="144"/>
      <c r="Z642" s="144"/>
      <c r="AA642" s="144"/>
      <c r="AB642" s="144"/>
      <c r="AC642" s="144"/>
      <c r="AD642" s="144"/>
      <c r="AE642" s="144"/>
      <c r="AF642" s="144"/>
    </row>
    <row r="643" ht="16.5" customHeight="1">
      <c r="A643" s="144"/>
      <c r="B643" s="144"/>
      <c r="C643" s="144"/>
      <c r="D643" s="144"/>
      <c r="E643" s="144"/>
      <c r="F643" s="144"/>
      <c r="G643" s="144"/>
      <c r="H643" s="144"/>
      <c r="I643" s="496"/>
      <c r="J643" s="496"/>
      <c r="K643" s="496"/>
      <c r="L643" s="496"/>
      <c r="M643" s="144"/>
      <c r="N643" s="144"/>
      <c r="O643" s="144"/>
      <c r="P643" s="144"/>
      <c r="Q643" s="144"/>
      <c r="R643" s="144"/>
      <c r="S643" s="144"/>
      <c r="T643" s="144"/>
      <c r="U643" s="144"/>
      <c r="V643" s="144"/>
      <c r="W643" s="144"/>
      <c r="X643" s="144"/>
      <c r="Y643" s="144"/>
      <c r="Z643" s="144"/>
      <c r="AA643" s="144"/>
      <c r="AB643" s="144"/>
      <c r="AC643" s="144"/>
      <c r="AD643" s="144"/>
      <c r="AE643" s="144"/>
      <c r="AF643" s="144"/>
    </row>
    <row r="644" ht="16.5" customHeight="1">
      <c r="A644" s="144"/>
      <c r="B644" s="144"/>
      <c r="C644" s="144"/>
      <c r="D644" s="144"/>
      <c r="E644" s="144"/>
      <c r="F644" s="144"/>
      <c r="G644" s="144"/>
      <c r="H644" s="144"/>
      <c r="I644" s="496"/>
      <c r="J644" s="496"/>
      <c r="K644" s="496"/>
      <c r="L644" s="496"/>
      <c r="M644" s="144"/>
      <c r="N644" s="144"/>
      <c r="O644" s="144"/>
      <c r="P644" s="144"/>
      <c r="Q644" s="144"/>
      <c r="R644" s="144"/>
      <c r="S644" s="144"/>
      <c r="T644" s="144"/>
      <c r="U644" s="144"/>
      <c r="V644" s="144"/>
      <c r="W644" s="144"/>
      <c r="X644" s="144"/>
      <c r="Y644" s="144"/>
      <c r="Z644" s="144"/>
      <c r="AA644" s="144"/>
      <c r="AB644" s="144"/>
      <c r="AC644" s="144"/>
      <c r="AD644" s="144"/>
      <c r="AE644" s="144"/>
      <c r="AF644" s="144"/>
    </row>
    <row r="645" ht="16.5" customHeight="1">
      <c r="A645" s="144"/>
      <c r="B645" s="144"/>
      <c r="C645" s="144"/>
      <c r="D645" s="144"/>
      <c r="E645" s="144"/>
      <c r="F645" s="144"/>
      <c r="G645" s="144"/>
      <c r="H645" s="144"/>
      <c r="I645" s="496"/>
      <c r="J645" s="496"/>
      <c r="K645" s="496"/>
      <c r="L645" s="496"/>
      <c r="M645" s="144"/>
      <c r="N645" s="144"/>
      <c r="O645" s="144"/>
      <c r="P645" s="144"/>
      <c r="Q645" s="144"/>
      <c r="R645" s="144"/>
      <c r="S645" s="144"/>
      <c r="T645" s="144"/>
      <c r="U645" s="144"/>
      <c r="V645" s="144"/>
      <c r="W645" s="144"/>
      <c r="X645" s="144"/>
      <c r="Y645" s="144"/>
      <c r="Z645" s="144"/>
      <c r="AA645" s="144"/>
      <c r="AB645" s="144"/>
      <c r="AC645" s="144"/>
      <c r="AD645" s="144"/>
      <c r="AE645" s="144"/>
      <c r="AF645" s="144"/>
    </row>
    <row r="646" ht="16.5" customHeight="1">
      <c r="A646" s="144"/>
      <c r="B646" s="144"/>
      <c r="C646" s="144"/>
      <c r="D646" s="144"/>
      <c r="E646" s="144"/>
      <c r="F646" s="144"/>
      <c r="G646" s="144"/>
      <c r="H646" s="144"/>
      <c r="I646" s="496"/>
      <c r="J646" s="496"/>
      <c r="K646" s="496"/>
      <c r="L646" s="496"/>
      <c r="M646" s="144"/>
      <c r="N646" s="144"/>
      <c r="O646" s="144"/>
      <c r="P646" s="144"/>
      <c r="Q646" s="144"/>
      <c r="R646" s="144"/>
      <c r="S646" s="144"/>
      <c r="T646" s="144"/>
      <c r="U646" s="144"/>
      <c r="V646" s="144"/>
      <c r="W646" s="144"/>
      <c r="X646" s="144"/>
      <c r="Y646" s="144"/>
      <c r="Z646" s="144"/>
      <c r="AA646" s="144"/>
      <c r="AB646" s="144"/>
      <c r="AC646" s="144"/>
      <c r="AD646" s="144"/>
      <c r="AE646" s="144"/>
      <c r="AF646" s="144"/>
    </row>
    <row r="647" ht="16.5" customHeight="1">
      <c r="A647" s="144"/>
      <c r="B647" s="144"/>
      <c r="C647" s="144"/>
      <c r="D647" s="144"/>
      <c r="E647" s="144"/>
      <c r="F647" s="144"/>
      <c r="G647" s="144"/>
      <c r="H647" s="144"/>
      <c r="I647" s="496"/>
      <c r="J647" s="496"/>
      <c r="K647" s="496"/>
      <c r="L647" s="496"/>
      <c r="M647" s="144"/>
      <c r="N647" s="144"/>
      <c r="O647" s="144"/>
      <c r="P647" s="144"/>
      <c r="Q647" s="144"/>
      <c r="R647" s="144"/>
      <c r="S647" s="144"/>
      <c r="T647" s="144"/>
      <c r="U647" s="144"/>
      <c r="V647" s="144"/>
      <c r="W647" s="144"/>
      <c r="X647" s="144"/>
      <c r="Y647" s="144"/>
      <c r="Z647" s="144"/>
      <c r="AA647" s="144"/>
      <c r="AB647" s="144"/>
      <c r="AC647" s="144"/>
      <c r="AD647" s="144"/>
      <c r="AE647" s="144"/>
      <c r="AF647" s="144"/>
    </row>
    <row r="648" ht="16.5" customHeight="1">
      <c r="A648" s="144"/>
      <c r="B648" s="144"/>
      <c r="C648" s="144"/>
      <c r="D648" s="144"/>
      <c r="E648" s="144"/>
      <c r="F648" s="144"/>
      <c r="G648" s="144"/>
      <c r="H648" s="144"/>
      <c r="I648" s="496"/>
      <c r="J648" s="496"/>
      <c r="K648" s="496"/>
      <c r="L648" s="496"/>
      <c r="M648" s="144"/>
      <c r="N648" s="144"/>
      <c r="O648" s="144"/>
      <c r="P648" s="144"/>
      <c r="Q648" s="144"/>
      <c r="R648" s="144"/>
      <c r="S648" s="144"/>
      <c r="T648" s="144"/>
      <c r="U648" s="144"/>
      <c r="V648" s="144"/>
      <c r="W648" s="144"/>
      <c r="X648" s="144"/>
      <c r="Y648" s="144"/>
      <c r="Z648" s="144"/>
      <c r="AA648" s="144"/>
      <c r="AB648" s="144"/>
      <c r="AC648" s="144"/>
      <c r="AD648" s="144"/>
      <c r="AE648" s="144"/>
      <c r="AF648" s="144"/>
    </row>
    <row r="649" ht="16.5" customHeight="1">
      <c r="A649" s="144"/>
      <c r="B649" s="144"/>
      <c r="C649" s="144"/>
      <c r="D649" s="144"/>
      <c r="E649" s="144"/>
      <c r="F649" s="144"/>
      <c r="G649" s="144"/>
      <c r="H649" s="144"/>
      <c r="I649" s="496"/>
      <c r="J649" s="496"/>
      <c r="K649" s="496"/>
      <c r="L649" s="496"/>
      <c r="M649" s="144"/>
      <c r="N649" s="144"/>
      <c r="O649" s="144"/>
      <c r="P649" s="144"/>
      <c r="Q649" s="144"/>
      <c r="R649" s="144"/>
      <c r="S649" s="144"/>
      <c r="T649" s="144"/>
      <c r="U649" s="144"/>
      <c r="V649" s="144"/>
      <c r="W649" s="144"/>
      <c r="X649" s="144"/>
      <c r="Y649" s="144"/>
      <c r="Z649" s="144"/>
      <c r="AA649" s="144"/>
      <c r="AB649" s="144"/>
      <c r="AC649" s="144"/>
      <c r="AD649" s="144"/>
      <c r="AE649" s="144"/>
      <c r="AF649" s="144"/>
    </row>
    <row r="650" ht="16.5" customHeight="1">
      <c r="A650" s="144"/>
      <c r="B650" s="144"/>
      <c r="C650" s="144"/>
      <c r="D650" s="144"/>
      <c r="E650" s="144"/>
      <c r="F650" s="144"/>
      <c r="G650" s="144"/>
      <c r="H650" s="144"/>
      <c r="I650" s="496"/>
      <c r="J650" s="496"/>
      <c r="K650" s="496"/>
      <c r="L650" s="496"/>
      <c r="M650" s="144"/>
      <c r="N650" s="144"/>
      <c r="O650" s="144"/>
      <c r="P650" s="144"/>
      <c r="Q650" s="144"/>
      <c r="R650" s="144"/>
      <c r="S650" s="144"/>
      <c r="T650" s="144"/>
      <c r="U650" s="144"/>
      <c r="V650" s="144"/>
      <c r="W650" s="144"/>
      <c r="X650" s="144"/>
      <c r="Y650" s="144"/>
      <c r="Z650" s="144"/>
      <c r="AA650" s="144"/>
      <c r="AB650" s="144"/>
      <c r="AC650" s="144"/>
      <c r="AD650" s="144"/>
      <c r="AE650" s="144"/>
      <c r="AF650" s="144"/>
    </row>
    <row r="651" ht="16.5" customHeight="1">
      <c r="A651" s="144"/>
      <c r="B651" s="144"/>
      <c r="C651" s="144"/>
      <c r="D651" s="144"/>
      <c r="E651" s="144"/>
      <c r="F651" s="144"/>
      <c r="G651" s="144"/>
      <c r="H651" s="144"/>
      <c r="I651" s="496"/>
      <c r="J651" s="496"/>
      <c r="K651" s="496"/>
      <c r="L651" s="496"/>
      <c r="M651" s="144"/>
      <c r="N651" s="144"/>
      <c r="O651" s="144"/>
      <c r="P651" s="144"/>
      <c r="Q651" s="144"/>
      <c r="R651" s="144"/>
      <c r="S651" s="144"/>
      <c r="T651" s="144"/>
      <c r="U651" s="144"/>
      <c r="V651" s="144"/>
      <c r="W651" s="144"/>
      <c r="X651" s="144"/>
      <c r="Y651" s="144"/>
      <c r="Z651" s="144"/>
      <c r="AA651" s="144"/>
      <c r="AB651" s="144"/>
      <c r="AC651" s="144"/>
      <c r="AD651" s="144"/>
      <c r="AE651" s="144"/>
      <c r="AF651" s="144"/>
    </row>
    <row r="652" ht="16.5" customHeight="1">
      <c r="A652" s="144"/>
      <c r="B652" s="144"/>
      <c r="C652" s="144"/>
      <c r="D652" s="144"/>
      <c r="E652" s="144"/>
      <c r="F652" s="144"/>
      <c r="G652" s="144"/>
      <c r="H652" s="144"/>
      <c r="I652" s="496"/>
      <c r="J652" s="496"/>
      <c r="K652" s="496"/>
      <c r="L652" s="496"/>
      <c r="M652" s="144"/>
      <c r="N652" s="144"/>
      <c r="O652" s="144"/>
      <c r="P652" s="144"/>
      <c r="Q652" s="144"/>
      <c r="R652" s="144"/>
      <c r="S652" s="144"/>
      <c r="T652" s="144"/>
      <c r="U652" s="144"/>
      <c r="V652" s="144"/>
      <c r="W652" s="144"/>
      <c r="X652" s="144"/>
      <c r="Y652" s="144"/>
      <c r="Z652" s="144"/>
      <c r="AA652" s="144"/>
      <c r="AB652" s="144"/>
      <c r="AC652" s="144"/>
      <c r="AD652" s="144"/>
      <c r="AE652" s="144"/>
      <c r="AF652" s="144"/>
    </row>
    <row r="653" ht="16.5" customHeight="1">
      <c r="A653" s="144"/>
      <c r="B653" s="144"/>
      <c r="C653" s="144"/>
      <c r="D653" s="144"/>
      <c r="E653" s="144"/>
      <c r="F653" s="144"/>
      <c r="G653" s="144"/>
      <c r="H653" s="144"/>
      <c r="I653" s="496"/>
      <c r="J653" s="496"/>
      <c r="K653" s="496"/>
      <c r="L653" s="496"/>
      <c r="M653" s="144"/>
      <c r="N653" s="144"/>
      <c r="O653" s="144"/>
      <c r="P653" s="144"/>
      <c r="Q653" s="144"/>
      <c r="R653" s="144"/>
      <c r="S653" s="144"/>
      <c r="T653" s="144"/>
      <c r="U653" s="144"/>
      <c r="V653" s="144"/>
      <c r="W653" s="144"/>
      <c r="X653" s="144"/>
      <c r="Y653" s="144"/>
      <c r="Z653" s="144"/>
      <c r="AA653" s="144"/>
      <c r="AB653" s="144"/>
      <c r="AC653" s="144"/>
      <c r="AD653" s="144"/>
      <c r="AE653" s="144"/>
      <c r="AF653" s="144"/>
    </row>
    <row r="654" ht="16.5" customHeight="1">
      <c r="A654" s="144"/>
      <c r="B654" s="144"/>
      <c r="C654" s="144"/>
      <c r="D654" s="144"/>
      <c r="E654" s="144"/>
      <c r="F654" s="144"/>
      <c r="G654" s="144"/>
      <c r="H654" s="144"/>
      <c r="I654" s="496"/>
      <c r="J654" s="496"/>
      <c r="K654" s="496"/>
      <c r="L654" s="496"/>
      <c r="M654" s="144"/>
      <c r="N654" s="144"/>
      <c r="O654" s="144"/>
      <c r="P654" s="144"/>
      <c r="Q654" s="144"/>
      <c r="R654" s="144"/>
      <c r="S654" s="144"/>
      <c r="T654" s="144"/>
      <c r="U654" s="144"/>
      <c r="V654" s="144"/>
      <c r="W654" s="144"/>
      <c r="X654" s="144"/>
      <c r="Y654" s="144"/>
      <c r="Z654" s="144"/>
      <c r="AA654" s="144"/>
      <c r="AB654" s="144"/>
      <c r="AC654" s="144"/>
      <c r="AD654" s="144"/>
      <c r="AE654" s="144"/>
      <c r="AF654" s="144"/>
    </row>
    <row r="655" ht="16.5" customHeight="1">
      <c r="A655" s="144"/>
      <c r="B655" s="144"/>
      <c r="C655" s="144"/>
      <c r="D655" s="144"/>
      <c r="E655" s="144"/>
      <c r="F655" s="144"/>
      <c r="G655" s="144"/>
      <c r="H655" s="144"/>
      <c r="I655" s="496"/>
      <c r="J655" s="496"/>
      <c r="K655" s="496"/>
      <c r="L655" s="496"/>
      <c r="M655" s="144"/>
      <c r="N655" s="144"/>
      <c r="O655" s="144"/>
      <c r="P655" s="144"/>
      <c r="Q655" s="144"/>
      <c r="R655" s="144"/>
      <c r="S655" s="144"/>
      <c r="T655" s="144"/>
      <c r="U655" s="144"/>
      <c r="V655" s="144"/>
      <c r="W655" s="144"/>
      <c r="X655" s="144"/>
      <c r="Y655" s="144"/>
      <c r="Z655" s="144"/>
      <c r="AA655" s="144"/>
      <c r="AB655" s="144"/>
      <c r="AC655" s="144"/>
      <c r="AD655" s="144"/>
      <c r="AE655" s="144"/>
      <c r="AF655" s="144"/>
    </row>
    <row r="656" ht="16.5" customHeight="1">
      <c r="A656" s="144"/>
      <c r="B656" s="144"/>
      <c r="C656" s="144"/>
      <c r="D656" s="144"/>
      <c r="E656" s="144"/>
      <c r="F656" s="144"/>
      <c r="G656" s="144"/>
      <c r="H656" s="144"/>
      <c r="I656" s="496"/>
      <c r="J656" s="496"/>
      <c r="K656" s="496"/>
      <c r="L656" s="496"/>
      <c r="M656" s="144"/>
      <c r="N656" s="144"/>
      <c r="O656" s="144"/>
      <c r="P656" s="144"/>
      <c r="Q656" s="144"/>
      <c r="R656" s="144"/>
      <c r="S656" s="144"/>
      <c r="T656" s="144"/>
      <c r="U656" s="144"/>
      <c r="V656" s="144"/>
      <c r="W656" s="144"/>
      <c r="X656" s="144"/>
      <c r="Y656" s="144"/>
      <c r="Z656" s="144"/>
      <c r="AA656" s="144"/>
      <c r="AB656" s="144"/>
      <c r="AC656" s="144"/>
      <c r="AD656" s="144"/>
      <c r="AE656" s="144"/>
      <c r="AF656" s="144"/>
    </row>
    <row r="657" ht="16.5" customHeight="1">
      <c r="A657" s="144"/>
      <c r="B657" s="144"/>
      <c r="C657" s="144"/>
      <c r="D657" s="144"/>
      <c r="E657" s="144"/>
      <c r="F657" s="144"/>
      <c r="G657" s="144"/>
      <c r="H657" s="144"/>
      <c r="I657" s="496"/>
      <c r="J657" s="496"/>
      <c r="K657" s="496"/>
      <c r="L657" s="496"/>
      <c r="M657" s="144"/>
      <c r="N657" s="144"/>
      <c r="O657" s="144"/>
      <c r="P657" s="144"/>
      <c r="Q657" s="144"/>
      <c r="R657" s="144"/>
      <c r="S657" s="144"/>
      <c r="T657" s="144"/>
      <c r="U657" s="144"/>
      <c r="V657" s="144"/>
      <c r="W657" s="144"/>
      <c r="X657" s="144"/>
      <c r="Y657" s="144"/>
      <c r="Z657" s="144"/>
      <c r="AA657" s="144"/>
      <c r="AB657" s="144"/>
      <c r="AC657" s="144"/>
      <c r="AD657" s="144"/>
      <c r="AE657" s="144"/>
      <c r="AF657" s="144"/>
    </row>
    <row r="658" ht="16.5" customHeight="1">
      <c r="A658" s="144"/>
      <c r="B658" s="144"/>
      <c r="C658" s="144"/>
      <c r="D658" s="144"/>
      <c r="E658" s="144"/>
      <c r="F658" s="144"/>
      <c r="G658" s="144"/>
      <c r="H658" s="144"/>
      <c r="I658" s="496"/>
      <c r="J658" s="496"/>
      <c r="K658" s="496"/>
      <c r="L658" s="496"/>
      <c r="M658" s="144"/>
      <c r="N658" s="144"/>
      <c r="O658" s="144"/>
      <c r="P658" s="144"/>
      <c r="Q658" s="144"/>
      <c r="R658" s="144"/>
      <c r="S658" s="144"/>
      <c r="T658" s="144"/>
      <c r="U658" s="144"/>
      <c r="V658" s="144"/>
      <c r="W658" s="144"/>
      <c r="X658" s="144"/>
      <c r="Y658" s="144"/>
      <c r="Z658" s="144"/>
      <c r="AA658" s="144"/>
      <c r="AB658" s="144"/>
      <c r="AC658" s="144"/>
      <c r="AD658" s="144"/>
      <c r="AE658" s="144"/>
      <c r="AF658" s="144"/>
    </row>
    <row r="659" ht="16.5" customHeight="1">
      <c r="A659" s="144"/>
      <c r="B659" s="144"/>
      <c r="C659" s="144"/>
      <c r="D659" s="144"/>
      <c r="E659" s="144"/>
      <c r="F659" s="144"/>
      <c r="G659" s="144"/>
      <c r="H659" s="144"/>
      <c r="I659" s="496"/>
      <c r="J659" s="496"/>
      <c r="K659" s="496"/>
      <c r="L659" s="496"/>
      <c r="M659" s="144"/>
      <c r="N659" s="144"/>
      <c r="O659" s="144"/>
      <c r="P659" s="144"/>
      <c r="Q659" s="144"/>
      <c r="R659" s="144"/>
      <c r="S659" s="144"/>
      <c r="T659" s="144"/>
      <c r="U659" s="144"/>
      <c r="V659" s="144"/>
      <c r="W659" s="144"/>
      <c r="X659" s="144"/>
      <c r="Y659" s="144"/>
      <c r="Z659" s="144"/>
      <c r="AA659" s="144"/>
      <c r="AB659" s="144"/>
      <c r="AC659" s="144"/>
      <c r="AD659" s="144"/>
      <c r="AE659" s="144"/>
      <c r="AF659" s="144"/>
    </row>
    <row r="660" ht="16.5" customHeight="1">
      <c r="A660" s="144"/>
      <c r="B660" s="144"/>
      <c r="C660" s="144"/>
      <c r="D660" s="144"/>
      <c r="E660" s="144"/>
      <c r="F660" s="144"/>
      <c r="G660" s="144"/>
      <c r="H660" s="144"/>
      <c r="I660" s="496"/>
      <c r="J660" s="496"/>
      <c r="K660" s="496"/>
      <c r="L660" s="496"/>
      <c r="M660" s="144"/>
      <c r="N660" s="144"/>
      <c r="O660" s="144"/>
      <c r="P660" s="144"/>
      <c r="Q660" s="144"/>
      <c r="R660" s="144"/>
      <c r="S660" s="144"/>
      <c r="T660" s="144"/>
      <c r="U660" s="144"/>
      <c r="V660" s="144"/>
      <c r="W660" s="144"/>
      <c r="X660" s="144"/>
      <c r="Y660" s="144"/>
      <c r="Z660" s="144"/>
      <c r="AA660" s="144"/>
      <c r="AB660" s="144"/>
      <c r="AC660" s="144"/>
      <c r="AD660" s="144"/>
      <c r="AE660" s="144"/>
      <c r="AF660" s="144"/>
    </row>
    <row r="661" ht="16.5" customHeight="1">
      <c r="A661" s="144"/>
      <c r="B661" s="144"/>
      <c r="C661" s="144"/>
      <c r="D661" s="144"/>
      <c r="E661" s="144"/>
      <c r="F661" s="144"/>
      <c r="G661" s="144"/>
      <c r="H661" s="144"/>
      <c r="I661" s="496"/>
      <c r="J661" s="496"/>
      <c r="K661" s="496"/>
      <c r="L661" s="496"/>
      <c r="M661" s="144"/>
      <c r="N661" s="144"/>
      <c r="O661" s="144"/>
      <c r="P661" s="144"/>
      <c r="Q661" s="144"/>
      <c r="R661" s="144"/>
      <c r="S661" s="144"/>
      <c r="T661" s="144"/>
      <c r="U661" s="144"/>
      <c r="V661" s="144"/>
      <c r="W661" s="144"/>
      <c r="X661" s="144"/>
      <c r="Y661" s="144"/>
      <c r="Z661" s="144"/>
      <c r="AA661" s="144"/>
      <c r="AB661" s="144"/>
      <c r="AC661" s="144"/>
      <c r="AD661" s="144"/>
      <c r="AE661" s="144"/>
      <c r="AF661" s="144"/>
    </row>
    <row r="662" ht="16.5" customHeight="1">
      <c r="A662" s="144"/>
      <c r="B662" s="144"/>
      <c r="C662" s="144"/>
      <c r="D662" s="144"/>
      <c r="E662" s="144"/>
      <c r="F662" s="144"/>
      <c r="G662" s="144"/>
      <c r="H662" s="144"/>
      <c r="I662" s="496"/>
      <c r="J662" s="496"/>
      <c r="K662" s="496"/>
      <c r="L662" s="496"/>
      <c r="M662" s="144"/>
      <c r="N662" s="144"/>
      <c r="O662" s="144"/>
      <c r="P662" s="144"/>
      <c r="Q662" s="144"/>
      <c r="R662" s="144"/>
      <c r="S662" s="144"/>
      <c r="T662" s="144"/>
      <c r="U662" s="144"/>
      <c r="V662" s="144"/>
      <c r="W662" s="144"/>
      <c r="X662" s="144"/>
      <c r="Y662" s="144"/>
      <c r="Z662" s="144"/>
      <c r="AA662" s="144"/>
      <c r="AB662" s="144"/>
      <c r="AC662" s="144"/>
      <c r="AD662" s="144"/>
      <c r="AE662" s="144"/>
      <c r="AF662" s="144"/>
    </row>
    <row r="663" ht="16.5" customHeight="1">
      <c r="A663" s="144"/>
      <c r="B663" s="144"/>
      <c r="C663" s="144"/>
      <c r="D663" s="144"/>
      <c r="E663" s="144"/>
      <c r="F663" s="144"/>
      <c r="G663" s="144"/>
      <c r="H663" s="144"/>
      <c r="I663" s="496"/>
      <c r="J663" s="496"/>
      <c r="K663" s="496"/>
      <c r="L663" s="496"/>
      <c r="M663" s="144"/>
      <c r="N663" s="144"/>
      <c r="O663" s="144"/>
      <c r="P663" s="144"/>
      <c r="Q663" s="144"/>
      <c r="R663" s="144"/>
      <c r="S663" s="144"/>
      <c r="T663" s="144"/>
      <c r="U663" s="144"/>
      <c r="V663" s="144"/>
      <c r="W663" s="144"/>
      <c r="X663" s="144"/>
      <c r="Y663" s="144"/>
      <c r="Z663" s="144"/>
      <c r="AA663" s="144"/>
      <c r="AB663" s="144"/>
      <c r="AC663" s="144"/>
      <c r="AD663" s="144"/>
      <c r="AE663" s="144"/>
      <c r="AF663" s="144"/>
    </row>
    <row r="664" ht="16.5" customHeight="1">
      <c r="A664" s="144"/>
      <c r="B664" s="144"/>
      <c r="C664" s="144"/>
      <c r="D664" s="144"/>
      <c r="E664" s="144"/>
      <c r="F664" s="144"/>
      <c r="G664" s="144"/>
      <c r="H664" s="144"/>
      <c r="I664" s="496"/>
      <c r="J664" s="496"/>
      <c r="K664" s="496"/>
      <c r="L664" s="496"/>
      <c r="M664" s="144"/>
      <c r="N664" s="144"/>
      <c r="O664" s="144"/>
      <c r="P664" s="144"/>
      <c r="Q664" s="144"/>
      <c r="R664" s="144"/>
      <c r="S664" s="144"/>
      <c r="T664" s="144"/>
      <c r="U664" s="144"/>
      <c r="V664" s="144"/>
      <c r="W664" s="144"/>
      <c r="X664" s="144"/>
      <c r="Y664" s="144"/>
      <c r="Z664" s="144"/>
      <c r="AA664" s="144"/>
      <c r="AB664" s="144"/>
      <c r="AC664" s="144"/>
      <c r="AD664" s="144"/>
      <c r="AE664" s="144"/>
      <c r="AF664" s="144"/>
    </row>
    <row r="665" ht="16.5" customHeight="1">
      <c r="A665" s="144"/>
      <c r="B665" s="144"/>
      <c r="C665" s="144"/>
      <c r="D665" s="144"/>
      <c r="E665" s="144"/>
      <c r="F665" s="144"/>
      <c r="G665" s="144"/>
      <c r="H665" s="144"/>
      <c r="I665" s="496"/>
      <c r="J665" s="496"/>
      <c r="K665" s="496"/>
      <c r="L665" s="496"/>
      <c r="M665" s="144"/>
      <c r="N665" s="144"/>
      <c r="O665" s="144"/>
      <c r="P665" s="144"/>
      <c r="Q665" s="144"/>
      <c r="R665" s="144"/>
      <c r="S665" s="144"/>
      <c r="T665" s="144"/>
      <c r="U665" s="144"/>
      <c r="V665" s="144"/>
      <c r="W665" s="144"/>
      <c r="X665" s="144"/>
      <c r="Y665" s="144"/>
      <c r="Z665" s="144"/>
      <c r="AA665" s="144"/>
      <c r="AB665" s="144"/>
      <c r="AC665" s="144"/>
      <c r="AD665" s="144"/>
      <c r="AE665" s="144"/>
      <c r="AF665" s="144"/>
    </row>
    <row r="666" ht="16.5" customHeight="1">
      <c r="A666" s="144"/>
      <c r="B666" s="144"/>
      <c r="C666" s="144"/>
      <c r="D666" s="144"/>
      <c r="E666" s="144"/>
      <c r="F666" s="144"/>
      <c r="G666" s="144"/>
      <c r="H666" s="144"/>
      <c r="I666" s="496"/>
      <c r="J666" s="496"/>
      <c r="K666" s="496"/>
      <c r="L666" s="496"/>
      <c r="M666" s="144"/>
      <c r="N666" s="144"/>
      <c r="O666" s="144"/>
      <c r="P666" s="144"/>
      <c r="Q666" s="144"/>
      <c r="R666" s="144"/>
      <c r="S666" s="144"/>
      <c r="T666" s="144"/>
      <c r="U666" s="144"/>
      <c r="V666" s="144"/>
      <c r="W666" s="144"/>
      <c r="X666" s="144"/>
      <c r="Y666" s="144"/>
      <c r="Z666" s="144"/>
      <c r="AA666" s="144"/>
      <c r="AB666" s="144"/>
      <c r="AC666" s="144"/>
      <c r="AD666" s="144"/>
      <c r="AE666" s="144"/>
      <c r="AF666" s="144"/>
    </row>
    <row r="667" ht="16.5" customHeight="1">
      <c r="A667" s="144"/>
      <c r="B667" s="144"/>
      <c r="C667" s="144"/>
      <c r="D667" s="144"/>
      <c r="E667" s="144"/>
      <c r="F667" s="144"/>
      <c r="G667" s="144"/>
      <c r="H667" s="144"/>
      <c r="I667" s="496"/>
      <c r="J667" s="496"/>
      <c r="K667" s="496"/>
      <c r="L667" s="496"/>
      <c r="M667" s="144"/>
      <c r="N667" s="144"/>
      <c r="O667" s="144"/>
      <c r="P667" s="144"/>
      <c r="Q667" s="144"/>
      <c r="R667" s="144"/>
      <c r="S667" s="144"/>
      <c r="T667" s="144"/>
      <c r="U667" s="144"/>
      <c r="V667" s="144"/>
      <c r="W667" s="144"/>
      <c r="X667" s="144"/>
      <c r="Y667" s="144"/>
      <c r="Z667" s="144"/>
      <c r="AA667" s="144"/>
      <c r="AB667" s="144"/>
      <c r="AC667" s="144"/>
      <c r="AD667" s="144"/>
      <c r="AE667" s="144"/>
      <c r="AF667" s="144"/>
    </row>
    <row r="668" ht="16.5" customHeight="1">
      <c r="A668" s="144"/>
      <c r="B668" s="144"/>
      <c r="C668" s="144"/>
      <c r="D668" s="144"/>
      <c r="E668" s="144"/>
      <c r="F668" s="144"/>
      <c r="G668" s="144"/>
      <c r="H668" s="144"/>
      <c r="I668" s="496"/>
      <c r="J668" s="496"/>
      <c r="K668" s="496"/>
      <c r="L668" s="496"/>
      <c r="M668" s="144"/>
      <c r="N668" s="144"/>
      <c r="O668" s="144"/>
      <c r="P668" s="144"/>
      <c r="Q668" s="144"/>
      <c r="R668" s="144"/>
      <c r="S668" s="144"/>
      <c r="T668" s="144"/>
      <c r="U668" s="144"/>
      <c r="V668" s="144"/>
      <c r="W668" s="144"/>
      <c r="X668" s="144"/>
      <c r="Y668" s="144"/>
      <c r="Z668" s="144"/>
      <c r="AA668" s="144"/>
      <c r="AB668" s="144"/>
      <c r="AC668" s="144"/>
      <c r="AD668" s="144"/>
      <c r="AE668" s="144"/>
      <c r="AF668" s="144"/>
    </row>
    <row r="669" ht="16.5" customHeight="1">
      <c r="A669" s="144"/>
      <c r="B669" s="144"/>
      <c r="C669" s="144"/>
      <c r="D669" s="144"/>
      <c r="E669" s="144"/>
      <c r="F669" s="144"/>
      <c r="G669" s="144"/>
      <c r="H669" s="144"/>
      <c r="I669" s="496"/>
      <c r="J669" s="496"/>
      <c r="K669" s="496"/>
      <c r="L669" s="496"/>
      <c r="M669" s="144"/>
      <c r="N669" s="144"/>
      <c r="O669" s="144"/>
      <c r="P669" s="144"/>
      <c r="Q669" s="144"/>
      <c r="R669" s="144"/>
      <c r="S669" s="144"/>
      <c r="T669" s="144"/>
      <c r="U669" s="144"/>
      <c r="V669" s="144"/>
      <c r="W669" s="144"/>
      <c r="X669" s="144"/>
      <c r="Y669" s="144"/>
      <c r="Z669" s="144"/>
      <c r="AA669" s="144"/>
      <c r="AB669" s="144"/>
      <c r="AC669" s="144"/>
      <c r="AD669" s="144"/>
      <c r="AE669" s="144"/>
      <c r="AF669" s="144"/>
    </row>
    <row r="670" ht="16.5" customHeight="1">
      <c r="A670" s="144"/>
      <c r="B670" s="144"/>
      <c r="C670" s="144"/>
      <c r="D670" s="144"/>
      <c r="E670" s="144"/>
      <c r="F670" s="144"/>
      <c r="G670" s="144"/>
      <c r="H670" s="144"/>
      <c r="I670" s="496"/>
      <c r="J670" s="496"/>
      <c r="K670" s="496"/>
      <c r="L670" s="496"/>
      <c r="M670" s="144"/>
      <c r="N670" s="144"/>
      <c r="O670" s="144"/>
      <c r="P670" s="144"/>
      <c r="Q670" s="144"/>
      <c r="R670" s="144"/>
      <c r="S670" s="144"/>
      <c r="T670" s="144"/>
      <c r="U670" s="144"/>
      <c r="V670" s="144"/>
      <c r="W670" s="144"/>
      <c r="X670" s="144"/>
      <c r="Y670" s="144"/>
      <c r="Z670" s="144"/>
      <c r="AA670" s="144"/>
      <c r="AB670" s="144"/>
      <c r="AC670" s="144"/>
      <c r="AD670" s="144"/>
      <c r="AE670" s="144"/>
      <c r="AF670" s="144"/>
    </row>
    <row r="671" ht="16.5" customHeight="1">
      <c r="A671" s="144"/>
      <c r="B671" s="144"/>
      <c r="C671" s="144"/>
      <c r="D671" s="144"/>
      <c r="E671" s="144"/>
      <c r="F671" s="144"/>
      <c r="G671" s="144"/>
      <c r="H671" s="144"/>
      <c r="I671" s="496"/>
      <c r="J671" s="496"/>
      <c r="K671" s="496"/>
      <c r="L671" s="496"/>
      <c r="M671" s="144"/>
      <c r="N671" s="144"/>
      <c r="O671" s="144"/>
      <c r="P671" s="144"/>
      <c r="Q671" s="144"/>
      <c r="R671" s="144"/>
      <c r="S671" s="144"/>
      <c r="T671" s="144"/>
      <c r="U671" s="144"/>
      <c r="V671" s="144"/>
      <c r="W671" s="144"/>
      <c r="X671" s="144"/>
      <c r="Y671" s="144"/>
      <c r="Z671" s="144"/>
      <c r="AA671" s="144"/>
      <c r="AB671" s="144"/>
      <c r="AC671" s="144"/>
      <c r="AD671" s="144"/>
      <c r="AE671" s="144"/>
      <c r="AF671" s="144"/>
    </row>
    <row r="672" ht="16.5" customHeight="1">
      <c r="A672" s="144"/>
      <c r="B672" s="144"/>
      <c r="C672" s="144"/>
      <c r="D672" s="144"/>
      <c r="E672" s="144"/>
      <c r="F672" s="144"/>
      <c r="G672" s="144"/>
      <c r="H672" s="144"/>
      <c r="I672" s="496"/>
      <c r="J672" s="496"/>
      <c r="K672" s="496"/>
      <c r="L672" s="496"/>
      <c r="M672" s="144"/>
      <c r="N672" s="144"/>
      <c r="O672" s="144"/>
      <c r="P672" s="144"/>
      <c r="Q672" s="144"/>
      <c r="R672" s="144"/>
      <c r="S672" s="144"/>
      <c r="T672" s="144"/>
      <c r="U672" s="144"/>
      <c r="V672" s="144"/>
      <c r="W672" s="144"/>
      <c r="X672" s="144"/>
      <c r="Y672" s="144"/>
      <c r="Z672" s="144"/>
      <c r="AA672" s="144"/>
      <c r="AB672" s="144"/>
      <c r="AC672" s="144"/>
      <c r="AD672" s="144"/>
      <c r="AE672" s="144"/>
      <c r="AF672" s="144"/>
    </row>
    <row r="673" ht="16.5" customHeight="1">
      <c r="A673" s="144"/>
      <c r="B673" s="144"/>
      <c r="C673" s="144"/>
      <c r="D673" s="144"/>
      <c r="E673" s="144"/>
      <c r="F673" s="144"/>
      <c r="G673" s="144"/>
      <c r="H673" s="144"/>
      <c r="I673" s="496"/>
      <c r="J673" s="496"/>
      <c r="K673" s="496"/>
      <c r="L673" s="496"/>
      <c r="M673" s="144"/>
      <c r="N673" s="144"/>
      <c r="O673" s="144"/>
      <c r="P673" s="144"/>
      <c r="Q673" s="144"/>
      <c r="R673" s="144"/>
      <c r="S673" s="144"/>
      <c r="T673" s="144"/>
      <c r="U673" s="144"/>
      <c r="V673" s="144"/>
      <c r="W673" s="144"/>
      <c r="X673" s="144"/>
      <c r="Y673" s="144"/>
      <c r="Z673" s="144"/>
      <c r="AA673" s="144"/>
      <c r="AB673" s="144"/>
      <c r="AC673" s="144"/>
      <c r="AD673" s="144"/>
      <c r="AE673" s="144"/>
      <c r="AF673" s="144"/>
    </row>
    <row r="674" ht="16.5" customHeight="1">
      <c r="A674" s="144"/>
      <c r="B674" s="144"/>
      <c r="C674" s="144"/>
      <c r="D674" s="144"/>
      <c r="E674" s="144"/>
      <c r="F674" s="144"/>
      <c r="G674" s="144"/>
      <c r="H674" s="144"/>
      <c r="I674" s="496"/>
      <c r="J674" s="496"/>
      <c r="K674" s="496"/>
      <c r="L674" s="496"/>
      <c r="M674" s="144"/>
      <c r="N674" s="144"/>
      <c r="O674" s="144"/>
      <c r="P674" s="144"/>
      <c r="Q674" s="144"/>
      <c r="R674" s="144"/>
      <c r="S674" s="144"/>
      <c r="T674" s="144"/>
      <c r="U674" s="144"/>
      <c r="V674" s="144"/>
      <c r="W674" s="144"/>
      <c r="X674" s="144"/>
      <c r="Y674" s="144"/>
      <c r="Z674" s="144"/>
      <c r="AA674" s="144"/>
      <c r="AB674" s="144"/>
      <c r="AC674" s="144"/>
      <c r="AD674" s="144"/>
      <c r="AE674" s="144"/>
      <c r="AF674" s="144"/>
    </row>
    <row r="675" ht="16.5" customHeight="1">
      <c r="A675" s="144"/>
      <c r="B675" s="144"/>
      <c r="C675" s="144"/>
      <c r="D675" s="144"/>
      <c r="E675" s="144"/>
      <c r="F675" s="144"/>
      <c r="G675" s="144"/>
      <c r="H675" s="144"/>
      <c r="I675" s="496"/>
      <c r="J675" s="496"/>
      <c r="K675" s="496"/>
      <c r="L675" s="496"/>
      <c r="M675" s="144"/>
      <c r="N675" s="144"/>
      <c r="O675" s="144"/>
      <c r="P675" s="144"/>
      <c r="Q675" s="144"/>
      <c r="R675" s="144"/>
      <c r="S675" s="144"/>
      <c r="T675" s="144"/>
      <c r="U675" s="144"/>
      <c r="V675" s="144"/>
      <c r="W675" s="144"/>
      <c r="X675" s="144"/>
      <c r="Y675" s="144"/>
      <c r="Z675" s="144"/>
      <c r="AA675" s="144"/>
      <c r="AB675" s="144"/>
      <c r="AC675" s="144"/>
      <c r="AD675" s="144"/>
      <c r="AE675" s="144"/>
      <c r="AF675" s="144"/>
    </row>
    <row r="676" ht="16.5" customHeight="1">
      <c r="A676" s="144"/>
      <c r="B676" s="144"/>
      <c r="C676" s="144"/>
      <c r="D676" s="144"/>
      <c r="E676" s="144"/>
      <c r="F676" s="144"/>
      <c r="G676" s="144"/>
      <c r="H676" s="144"/>
      <c r="I676" s="496"/>
      <c r="J676" s="496"/>
      <c r="K676" s="496"/>
      <c r="L676" s="496"/>
      <c r="M676" s="144"/>
      <c r="N676" s="144"/>
      <c r="O676" s="144"/>
      <c r="P676" s="144"/>
      <c r="Q676" s="144"/>
      <c r="R676" s="144"/>
      <c r="S676" s="144"/>
      <c r="T676" s="144"/>
      <c r="U676" s="144"/>
      <c r="V676" s="144"/>
      <c r="W676" s="144"/>
      <c r="X676" s="144"/>
      <c r="Y676" s="144"/>
      <c r="Z676" s="144"/>
      <c r="AA676" s="144"/>
      <c r="AB676" s="144"/>
      <c r="AC676" s="144"/>
      <c r="AD676" s="144"/>
      <c r="AE676" s="144"/>
      <c r="AF676" s="144"/>
    </row>
    <row r="677" ht="16.5" customHeight="1">
      <c r="A677" s="144"/>
      <c r="B677" s="144"/>
      <c r="C677" s="144"/>
      <c r="D677" s="144"/>
      <c r="E677" s="144"/>
      <c r="F677" s="144"/>
      <c r="G677" s="144"/>
      <c r="H677" s="144"/>
      <c r="I677" s="496"/>
      <c r="J677" s="496"/>
      <c r="K677" s="496"/>
      <c r="L677" s="496"/>
      <c r="M677" s="144"/>
      <c r="N677" s="144"/>
      <c r="O677" s="144"/>
      <c r="P677" s="144"/>
      <c r="Q677" s="144"/>
      <c r="R677" s="144"/>
      <c r="S677" s="144"/>
      <c r="T677" s="144"/>
      <c r="U677" s="144"/>
      <c r="V677" s="144"/>
      <c r="W677" s="144"/>
      <c r="X677" s="144"/>
      <c r="Y677" s="144"/>
      <c r="Z677" s="144"/>
      <c r="AA677" s="144"/>
      <c r="AB677" s="144"/>
      <c r="AC677" s="144"/>
      <c r="AD677" s="144"/>
      <c r="AE677" s="144"/>
      <c r="AF677" s="144"/>
    </row>
    <row r="678" ht="16.5" customHeight="1">
      <c r="A678" s="144"/>
      <c r="B678" s="144"/>
      <c r="C678" s="144"/>
      <c r="D678" s="144"/>
      <c r="E678" s="144"/>
      <c r="F678" s="144"/>
      <c r="G678" s="144"/>
      <c r="H678" s="144"/>
      <c r="I678" s="496"/>
      <c r="J678" s="496"/>
      <c r="K678" s="496"/>
      <c r="L678" s="496"/>
      <c r="M678" s="144"/>
      <c r="N678" s="144"/>
      <c r="O678" s="144"/>
      <c r="P678" s="144"/>
      <c r="Q678" s="144"/>
      <c r="R678" s="144"/>
      <c r="S678" s="144"/>
      <c r="T678" s="144"/>
      <c r="U678" s="144"/>
      <c r="V678" s="144"/>
      <c r="W678" s="144"/>
      <c r="X678" s="144"/>
      <c r="Y678" s="144"/>
      <c r="Z678" s="144"/>
      <c r="AA678" s="144"/>
      <c r="AB678" s="144"/>
      <c r="AC678" s="144"/>
      <c r="AD678" s="144"/>
      <c r="AE678" s="144"/>
      <c r="AF678" s="144"/>
    </row>
    <row r="679" ht="16.5" customHeight="1">
      <c r="A679" s="144"/>
      <c r="B679" s="144"/>
      <c r="C679" s="144"/>
      <c r="D679" s="144"/>
      <c r="E679" s="144"/>
      <c r="F679" s="144"/>
      <c r="G679" s="144"/>
      <c r="H679" s="144"/>
      <c r="I679" s="496"/>
      <c r="J679" s="496"/>
      <c r="K679" s="496"/>
      <c r="L679" s="496"/>
      <c r="M679" s="144"/>
      <c r="N679" s="144"/>
      <c r="O679" s="144"/>
      <c r="P679" s="144"/>
      <c r="Q679" s="144"/>
      <c r="R679" s="144"/>
      <c r="S679" s="144"/>
      <c r="T679" s="144"/>
      <c r="U679" s="144"/>
      <c r="V679" s="144"/>
      <c r="W679" s="144"/>
      <c r="X679" s="144"/>
      <c r="Y679" s="144"/>
      <c r="Z679" s="144"/>
      <c r="AA679" s="144"/>
      <c r="AB679" s="144"/>
      <c r="AC679" s="144"/>
      <c r="AD679" s="144"/>
      <c r="AE679" s="144"/>
      <c r="AF679" s="144"/>
    </row>
    <row r="680" ht="16.5" customHeight="1">
      <c r="A680" s="144"/>
      <c r="B680" s="144"/>
      <c r="C680" s="144"/>
      <c r="D680" s="144"/>
      <c r="E680" s="144"/>
      <c r="F680" s="144"/>
      <c r="G680" s="144"/>
      <c r="H680" s="144"/>
      <c r="I680" s="496"/>
      <c r="J680" s="496"/>
      <c r="K680" s="496"/>
      <c r="L680" s="496"/>
      <c r="M680" s="144"/>
      <c r="N680" s="144"/>
      <c r="O680" s="144"/>
      <c r="P680" s="144"/>
      <c r="Q680" s="144"/>
      <c r="R680" s="144"/>
      <c r="S680" s="144"/>
      <c r="T680" s="144"/>
      <c r="U680" s="144"/>
      <c r="V680" s="144"/>
      <c r="W680" s="144"/>
      <c r="X680" s="144"/>
      <c r="Y680" s="144"/>
      <c r="Z680" s="144"/>
      <c r="AA680" s="144"/>
      <c r="AB680" s="144"/>
      <c r="AC680" s="144"/>
      <c r="AD680" s="144"/>
      <c r="AE680" s="144"/>
      <c r="AF680" s="144"/>
    </row>
    <row r="681" ht="16.5" customHeight="1">
      <c r="A681" s="144"/>
      <c r="B681" s="144"/>
      <c r="C681" s="144"/>
      <c r="D681" s="144"/>
      <c r="E681" s="144"/>
      <c r="F681" s="144"/>
      <c r="G681" s="144"/>
      <c r="H681" s="144"/>
      <c r="I681" s="496"/>
      <c r="J681" s="496"/>
      <c r="K681" s="496"/>
      <c r="L681" s="496"/>
      <c r="M681" s="144"/>
      <c r="N681" s="144"/>
      <c r="O681" s="144"/>
      <c r="P681" s="144"/>
      <c r="Q681" s="144"/>
      <c r="R681" s="144"/>
      <c r="S681" s="144"/>
      <c r="T681" s="144"/>
      <c r="U681" s="144"/>
      <c r="V681" s="144"/>
      <c r="W681" s="144"/>
      <c r="X681" s="144"/>
      <c r="Y681" s="144"/>
      <c r="Z681" s="144"/>
      <c r="AA681" s="144"/>
      <c r="AB681" s="144"/>
      <c r="AC681" s="144"/>
      <c r="AD681" s="144"/>
      <c r="AE681" s="144"/>
      <c r="AF681" s="144"/>
    </row>
    <row r="682" ht="16.5" customHeight="1">
      <c r="A682" s="144"/>
      <c r="B682" s="144"/>
      <c r="C682" s="144"/>
      <c r="D682" s="144"/>
      <c r="E682" s="144"/>
      <c r="F682" s="144"/>
      <c r="G682" s="144"/>
      <c r="H682" s="144"/>
      <c r="I682" s="496"/>
      <c r="J682" s="496"/>
      <c r="K682" s="496"/>
      <c r="L682" s="496"/>
      <c r="M682" s="144"/>
      <c r="N682" s="144"/>
      <c r="O682" s="144"/>
      <c r="P682" s="144"/>
      <c r="Q682" s="144"/>
      <c r="R682" s="144"/>
      <c r="S682" s="144"/>
      <c r="T682" s="144"/>
      <c r="U682" s="144"/>
      <c r="V682" s="144"/>
      <c r="W682" s="144"/>
      <c r="X682" s="144"/>
      <c r="Y682" s="144"/>
      <c r="Z682" s="144"/>
      <c r="AA682" s="144"/>
      <c r="AB682" s="144"/>
      <c r="AC682" s="144"/>
      <c r="AD682" s="144"/>
      <c r="AE682" s="144"/>
      <c r="AF682" s="144"/>
    </row>
    <row r="683" ht="16.5" customHeight="1">
      <c r="A683" s="144"/>
      <c r="B683" s="144"/>
      <c r="C683" s="144"/>
      <c r="D683" s="144"/>
      <c r="E683" s="144"/>
      <c r="F683" s="144"/>
      <c r="G683" s="144"/>
      <c r="H683" s="144"/>
      <c r="I683" s="496"/>
      <c r="J683" s="496"/>
      <c r="K683" s="496"/>
      <c r="L683" s="496"/>
      <c r="M683" s="144"/>
      <c r="N683" s="144"/>
      <c r="O683" s="144"/>
      <c r="P683" s="144"/>
      <c r="Q683" s="144"/>
      <c r="R683" s="144"/>
      <c r="S683" s="144"/>
      <c r="T683" s="144"/>
      <c r="U683" s="144"/>
      <c r="V683" s="144"/>
      <c r="W683" s="144"/>
      <c r="X683" s="144"/>
      <c r="Y683" s="144"/>
      <c r="Z683" s="144"/>
      <c r="AA683" s="144"/>
      <c r="AB683" s="144"/>
      <c r="AC683" s="144"/>
      <c r="AD683" s="144"/>
      <c r="AE683" s="144"/>
      <c r="AF683" s="144"/>
    </row>
    <row r="684" ht="16.5" customHeight="1">
      <c r="A684" s="144"/>
      <c r="B684" s="144"/>
      <c r="C684" s="144"/>
      <c r="D684" s="144"/>
      <c r="E684" s="144"/>
      <c r="F684" s="144"/>
      <c r="G684" s="144"/>
      <c r="H684" s="144"/>
      <c r="I684" s="496"/>
      <c r="J684" s="496"/>
      <c r="K684" s="496"/>
      <c r="L684" s="496"/>
      <c r="M684" s="144"/>
      <c r="N684" s="144"/>
      <c r="O684" s="144"/>
      <c r="P684" s="144"/>
      <c r="Q684" s="144"/>
      <c r="R684" s="144"/>
      <c r="S684" s="144"/>
      <c r="T684" s="144"/>
      <c r="U684" s="144"/>
      <c r="V684" s="144"/>
      <c r="W684" s="144"/>
      <c r="X684" s="144"/>
      <c r="Y684" s="144"/>
      <c r="Z684" s="144"/>
      <c r="AA684" s="144"/>
      <c r="AB684" s="144"/>
      <c r="AC684" s="144"/>
      <c r="AD684" s="144"/>
      <c r="AE684" s="144"/>
      <c r="AF684" s="144"/>
    </row>
    <row r="685" ht="16.5" customHeight="1">
      <c r="A685" s="144"/>
      <c r="B685" s="144"/>
      <c r="C685" s="144"/>
      <c r="D685" s="144"/>
      <c r="E685" s="144"/>
      <c r="F685" s="144"/>
      <c r="G685" s="144"/>
      <c r="H685" s="144"/>
      <c r="I685" s="496"/>
      <c r="J685" s="496"/>
      <c r="K685" s="496"/>
      <c r="L685" s="496"/>
      <c r="M685" s="144"/>
      <c r="N685" s="144"/>
      <c r="O685" s="144"/>
      <c r="P685" s="144"/>
      <c r="Q685" s="144"/>
      <c r="R685" s="144"/>
      <c r="S685" s="144"/>
      <c r="T685" s="144"/>
      <c r="U685" s="144"/>
      <c r="V685" s="144"/>
      <c r="W685" s="144"/>
      <c r="X685" s="144"/>
      <c r="Y685" s="144"/>
      <c r="Z685" s="144"/>
      <c r="AA685" s="144"/>
      <c r="AB685" s="144"/>
      <c r="AC685" s="144"/>
      <c r="AD685" s="144"/>
      <c r="AE685" s="144"/>
      <c r="AF685" s="144"/>
    </row>
    <row r="686" ht="16.5" customHeight="1">
      <c r="A686" s="144"/>
      <c r="B686" s="144"/>
      <c r="C686" s="144"/>
      <c r="D686" s="144"/>
      <c r="E686" s="144"/>
      <c r="F686" s="144"/>
      <c r="G686" s="144"/>
      <c r="H686" s="144"/>
      <c r="I686" s="496"/>
      <c r="J686" s="496"/>
      <c r="K686" s="496"/>
      <c r="L686" s="496"/>
      <c r="M686" s="144"/>
      <c r="N686" s="144"/>
      <c r="O686" s="144"/>
      <c r="P686" s="144"/>
      <c r="Q686" s="144"/>
      <c r="R686" s="144"/>
      <c r="S686" s="144"/>
      <c r="T686" s="144"/>
      <c r="U686" s="144"/>
      <c r="V686" s="144"/>
      <c r="W686" s="144"/>
      <c r="X686" s="144"/>
      <c r="Y686" s="144"/>
      <c r="Z686" s="144"/>
      <c r="AA686" s="144"/>
      <c r="AB686" s="144"/>
      <c r="AC686" s="144"/>
      <c r="AD686" s="144"/>
      <c r="AE686" s="144"/>
      <c r="AF686" s="144"/>
    </row>
    <row r="687" ht="16.5" customHeight="1">
      <c r="A687" s="144"/>
      <c r="B687" s="144"/>
      <c r="C687" s="144"/>
      <c r="D687" s="144"/>
      <c r="E687" s="144"/>
      <c r="F687" s="144"/>
      <c r="G687" s="144"/>
      <c r="H687" s="144"/>
      <c r="I687" s="496"/>
      <c r="J687" s="496"/>
      <c r="K687" s="496"/>
      <c r="L687" s="496"/>
      <c r="M687" s="144"/>
      <c r="N687" s="144"/>
      <c r="O687" s="144"/>
      <c r="P687" s="144"/>
      <c r="Q687" s="144"/>
      <c r="R687" s="144"/>
      <c r="S687" s="144"/>
      <c r="T687" s="144"/>
      <c r="U687" s="144"/>
      <c r="V687" s="144"/>
      <c r="W687" s="144"/>
      <c r="X687" s="144"/>
      <c r="Y687" s="144"/>
      <c r="Z687" s="144"/>
      <c r="AA687" s="144"/>
      <c r="AB687" s="144"/>
      <c r="AC687" s="144"/>
      <c r="AD687" s="144"/>
      <c r="AE687" s="144"/>
      <c r="AF687" s="144"/>
    </row>
    <row r="688" ht="16.5" customHeight="1">
      <c r="A688" s="144"/>
      <c r="B688" s="144"/>
      <c r="C688" s="144"/>
      <c r="D688" s="144"/>
      <c r="E688" s="144"/>
      <c r="F688" s="144"/>
      <c r="G688" s="144"/>
      <c r="H688" s="144"/>
      <c r="I688" s="496"/>
      <c r="J688" s="496"/>
      <c r="K688" s="496"/>
      <c r="L688" s="496"/>
      <c r="M688" s="144"/>
      <c r="N688" s="144"/>
      <c r="O688" s="144"/>
      <c r="P688" s="144"/>
      <c r="Q688" s="144"/>
      <c r="R688" s="144"/>
      <c r="S688" s="144"/>
      <c r="T688" s="144"/>
      <c r="U688" s="144"/>
      <c r="V688" s="144"/>
      <c r="W688" s="144"/>
      <c r="X688" s="144"/>
      <c r="Y688" s="144"/>
      <c r="Z688" s="144"/>
      <c r="AA688" s="144"/>
      <c r="AB688" s="144"/>
      <c r="AC688" s="144"/>
      <c r="AD688" s="144"/>
      <c r="AE688" s="144"/>
      <c r="AF688" s="144"/>
    </row>
    <row r="689" ht="16.5" customHeight="1">
      <c r="A689" s="144"/>
      <c r="B689" s="144"/>
      <c r="C689" s="144"/>
      <c r="D689" s="144"/>
      <c r="E689" s="144"/>
      <c r="F689" s="144"/>
      <c r="G689" s="144"/>
      <c r="H689" s="144"/>
      <c r="I689" s="496"/>
      <c r="J689" s="496"/>
      <c r="K689" s="496"/>
      <c r="L689" s="496"/>
      <c r="M689" s="144"/>
      <c r="N689" s="144"/>
      <c r="O689" s="144"/>
      <c r="P689" s="144"/>
      <c r="Q689" s="144"/>
      <c r="R689" s="144"/>
      <c r="S689" s="144"/>
      <c r="T689" s="144"/>
      <c r="U689" s="144"/>
      <c r="V689" s="144"/>
      <c r="W689" s="144"/>
      <c r="X689" s="144"/>
      <c r="Y689" s="144"/>
      <c r="Z689" s="144"/>
      <c r="AA689" s="144"/>
      <c r="AB689" s="144"/>
      <c r="AC689" s="144"/>
      <c r="AD689" s="144"/>
      <c r="AE689" s="144"/>
      <c r="AF689" s="144"/>
    </row>
    <row r="690" ht="16.5" customHeight="1">
      <c r="A690" s="144"/>
      <c r="B690" s="144"/>
      <c r="C690" s="144"/>
      <c r="D690" s="144"/>
      <c r="E690" s="144"/>
      <c r="F690" s="144"/>
      <c r="G690" s="144"/>
      <c r="H690" s="144"/>
      <c r="I690" s="496"/>
      <c r="J690" s="496"/>
      <c r="K690" s="496"/>
      <c r="L690" s="496"/>
      <c r="M690" s="144"/>
      <c r="N690" s="144"/>
      <c r="O690" s="144"/>
      <c r="P690" s="144"/>
      <c r="Q690" s="144"/>
      <c r="R690" s="144"/>
      <c r="S690" s="144"/>
      <c r="T690" s="144"/>
      <c r="U690" s="144"/>
      <c r="V690" s="144"/>
      <c r="W690" s="144"/>
      <c r="X690" s="144"/>
      <c r="Y690" s="144"/>
      <c r="Z690" s="144"/>
      <c r="AA690" s="144"/>
      <c r="AB690" s="144"/>
      <c r="AC690" s="144"/>
      <c r="AD690" s="144"/>
      <c r="AE690" s="144"/>
      <c r="AF690" s="144"/>
    </row>
    <row r="691" ht="16.5" customHeight="1">
      <c r="A691" s="144"/>
      <c r="B691" s="144"/>
      <c r="C691" s="144"/>
      <c r="D691" s="144"/>
      <c r="E691" s="144"/>
      <c r="F691" s="144"/>
      <c r="G691" s="144"/>
      <c r="H691" s="144"/>
      <c r="I691" s="496"/>
      <c r="J691" s="496"/>
      <c r="K691" s="496"/>
      <c r="L691" s="496"/>
      <c r="M691" s="144"/>
      <c r="N691" s="144"/>
      <c r="O691" s="144"/>
      <c r="P691" s="144"/>
      <c r="Q691" s="144"/>
      <c r="R691" s="144"/>
      <c r="S691" s="144"/>
      <c r="T691" s="144"/>
      <c r="U691" s="144"/>
      <c r="V691" s="144"/>
      <c r="W691" s="144"/>
      <c r="X691" s="144"/>
      <c r="Y691" s="144"/>
      <c r="Z691" s="144"/>
      <c r="AA691" s="144"/>
      <c r="AB691" s="144"/>
      <c r="AC691" s="144"/>
      <c r="AD691" s="144"/>
      <c r="AE691" s="144"/>
      <c r="AF691" s="144"/>
    </row>
    <row r="692" ht="16.5" customHeight="1">
      <c r="A692" s="144"/>
      <c r="B692" s="144"/>
      <c r="C692" s="144"/>
      <c r="D692" s="144"/>
      <c r="E692" s="144"/>
      <c r="F692" s="144"/>
      <c r="G692" s="144"/>
      <c r="H692" s="144"/>
      <c r="I692" s="496"/>
      <c r="J692" s="496"/>
      <c r="K692" s="496"/>
      <c r="L692" s="496"/>
      <c r="M692" s="144"/>
      <c r="N692" s="144"/>
      <c r="O692" s="144"/>
      <c r="P692" s="144"/>
      <c r="Q692" s="144"/>
      <c r="R692" s="144"/>
      <c r="S692" s="144"/>
      <c r="T692" s="144"/>
      <c r="U692" s="144"/>
      <c r="V692" s="144"/>
      <c r="W692" s="144"/>
      <c r="X692" s="144"/>
      <c r="Y692" s="144"/>
      <c r="Z692" s="144"/>
      <c r="AA692" s="144"/>
      <c r="AB692" s="144"/>
      <c r="AC692" s="144"/>
      <c r="AD692" s="144"/>
      <c r="AE692" s="144"/>
      <c r="AF692" s="144"/>
    </row>
    <row r="693" ht="16.5" customHeight="1">
      <c r="A693" s="144"/>
      <c r="B693" s="144"/>
      <c r="C693" s="144"/>
      <c r="D693" s="144"/>
      <c r="E693" s="144"/>
      <c r="F693" s="144"/>
      <c r="G693" s="144"/>
      <c r="H693" s="144"/>
      <c r="I693" s="496"/>
      <c r="J693" s="496"/>
      <c r="K693" s="496"/>
      <c r="L693" s="496"/>
      <c r="M693" s="144"/>
      <c r="N693" s="144"/>
      <c r="O693" s="144"/>
      <c r="P693" s="144"/>
      <c r="Q693" s="144"/>
      <c r="R693" s="144"/>
      <c r="S693" s="144"/>
      <c r="T693" s="144"/>
      <c r="U693" s="144"/>
      <c r="V693" s="144"/>
      <c r="W693" s="144"/>
      <c r="X693" s="144"/>
      <c r="Y693" s="144"/>
      <c r="Z693" s="144"/>
      <c r="AA693" s="144"/>
      <c r="AB693" s="144"/>
      <c r="AC693" s="144"/>
      <c r="AD693" s="144"/>
      <c r="AE693" s="144"/>
      <c r="AF693" s="144"/>
    </row>
    <row r="694" ht="16.5" customHeight="1">
      <c r="A694" s="144"/>
      <c r="B694" s="144"/>
      <c r="C694" s="144"/>
      <c r="D694" s="144"/>
      <c r="E694" s="144"/>
      <c r="F694" s="144"/>
      <c r="G694" s="144"/>
      <c r="H694" s="144"/>
      <c r="I694" s="496"/>
      <c r="J694" s="496"/>
      <c r="K694" s="496"/>
      <c r="L694" s="496"/>
      <c r="M694" s="144"/>
      <c r="N694" s="144"/>
      <c r="O694" s="144"/>
      <c r="P694" s="144"/>
      <c r="Q694" s="144"/>
      <c r="R694" s="144"/>
      <c r="S694" s="144"/>
      <c r="T694" s="144"/>
      <c r="U694" s="144"/>
      <c r="V694" s="144"/>
      <c r="W694" s="144"/>
      <c r="X694" s="144"/>
      <c r="Y694" s="144"/>
      <c r="Z694" s="144"/>
      <c r="AA694" s="144"/>
      <c r="AB694" s="144"/>
      <c r="AC694" s="144"/>
      <c r="AD694" s="144"/>
      <c r="AE694" s="144"/>
      <c r="AF694" s="144"/>
    </row>
    <row r="695" ht="16.5" customHeight="1">
      <c r="A695" s="144"/>
      <c r="B695" s="144"/>
      <c r="C695" s="144"/>
      <c r="D695" s="144"/>
      <c r="E695" s="144"/>
      <c r="F695" s="144"/>
      <c r="G695" s="144"/>
      <c r="H695" s="144"/>
      <c r="I695" s="496"/>
      <c r="J695" s="496"/>
      <c r="K695" s="496"/>
      <c r="L695" s="496"/>
      <c r="M695" s="144"/>
      <c r="N695" s="144"/>
      <c r="O695" s="144"/>
      <c r="P695" s="144"/>
      <c r="Q695" s="144"/>
      <c r="R695" s="144"/>
      <c r="S695" s="144"/>
      <c r="T695" s="144"/>
      <c r="U695" s="144"/>
      <c r="V695" s="144"/>
      <c r="W695" s="144"/>
      <c r="X695" s="144"/>
      <c r="Y695" s="144"/>
      <c r="Z695" s="144"/>
      <c r="AA695" s="144"/>
      <c r="AB695" s="144"/>
      <c r="AC695" s="144"/>
      <c r="AD695" s="144"/>
      <c r="AE695" s="144"/>
      <c r="AF695" s="144"/>
    </row>
    <row r="696" ht="16.5" customHeight="1">
      <c r="A696" s="144"/>
      <c r="B696" s="144"/>
      <c r="C696" s="144"/>
      <c r="D696" s="144"/>
      <c r="E696" s="144"/>
      <c r="F696" s="144"/>
      <c r="G696" s="144"/>
      <c r="H696" s="144"/>
      <c r="I696" s="496"/>
      <c r="J696" s="496"/>
      <c r="K696" s="496"/>
      <c r="L696" s="496"/>
      <c r="M696" s="144"/>
      <c r="N696" s="144"/>
      <c r="O696" s="144"/>
      <c r="P696" s="144"/>
      <c r="Q696" s="144"/>
      <c r="R696" s="144"/>
      <c r="S696" s="144"/>
      <c r="T696" s="144"/>
      <c r="U696" s="144"/>
      <c r="V696" s="144"/>
      <c r="W696" s="144"/>
      <c r="X696" s="144"/>
      <c r="Y696" s="144"/>
      <c r="Z696" s="144"/>
      <c r="AA696" s="144"/>
      <c r="AB696" s="144"/>
      <c r="AC696" s="144"/>
      <c r="AD696" s="144"/>
      <c r="AE696" s="144"/>
      <c r="AF696" s="144"/>
    </row>
    <row r="697" ht="16.5" customHeight="1">
      <c r="A697" s="144"/>
      <c r="B697" s="144"/>
      <c r="C697" s="144"/>
      <c r="D697" s="144"/>
      <c r="E697" s="144"/>
      <c r="F697" s="144"/>
      <c r="G697" s="144"/>
      <c r="H697" s="144"/>
      <c r="I697" s="496"/>
      <c r="J697" s="496"/>
      <c r="K697" s="496"/>
      <c r="L697" s="496"/>
      <c r="M697" s="144"/>
      <c r="N697" s="144"/>
      <c r="O697" s="144"/>
      <c r="P697" s="144"/>
      <c r="Q697" s="144"/>
      <c r="R697" s="144"/>
      <c r="S697" s="144"/>
      <c r="T697" s="144"/>
      <c r="U697" s="144"/>
      <c r="V697" s="144"/>
      <c r="W697" s="144"/>
      <c r="X697" s="144"/>
      <c r="Y697" s="144"/>
      <c r="Z697" s="144"/>
      <c r="AA697" s="144"/>
      <c r="AB697" s="144"/>
      <c r="AC697" s="144"/>
      <c r="AD697" s="144"/>
      <c r="AE697" s="144"/>
      <c r="AF697" s="144"/>
    </row>
    <row r="698" ht="16.5" customHeight="1">
      <c r="A698" s="144"/>
      <c r="B698" s="144"/>
      <c r="C698" s="144"/>
      <c r="D698" s="144"/>
      <c r="E698" s="144"/>
      <c r="F698" s="144"/>
      <c r="G698" s="144"/>
      <c r="H698" s="144"/>
      <c r="I698" s="496"/>
      <c r="J698" s="496"/>
      <c r="K698" s="496"/>
      <c r="L698" s="496"/>
      <c r="M698" s="144"/>
      <c r="N698" s="144"/>
      <c r="O698" s="144"/>
      <c r="P698" s="144"/>
      <c r="Q698" s="144"/>
      <c r="R698" s="144"/>
      <c r="S698" s="144"/>
      <c r="T698" s="144"/>
      <c r="U698" s="144"/>
      <c r="V698" s="144"/>
      <c r="W698" s="144"/>
      <c r="X698" s="144"/>
      <c r="Y698" s="144"/>
      <c r="Z698" s="144"/>
      <c r="AA698" s="144"/>
      <c r="AB698" s="144"/>
      <c r="AC698" s="144"/>
      <c r="AD698" s="144"/>
      <c r="AE698" s="144"/>
      <c r="AF698" s="144"/>
    </row>
    <row r="699" ht="16.5" customHeight="1">
      <c r="A699" s="144"/>
      <c r="B699" s="144"/>
      <c r="C699" s="144"/>
      <c r="D699" s="144"/>
      <c r="E699" s="144"/>
      <c r="F699" s="144"/>
      <c r="G699" s="144"/>
      <c r="H699" s="144"/>
      <c r="I699" s="496"/>
      <c r="J699" s="496"/>
      <c r="K699" s="496"/>
      <c r="L699" s="496"/>
      <c r="M699" s="144"/>
      <c r="N699" s="144"/>
      <c r="O699" s="144"/>
      <c r="P699" s="144"/>
      <c r="Q699" s="144"/>
      <c r="R699" s="144"/>
      <c r="S699" s="144"/>
      <c r="T699" s="144"/>
      <c r="U699" s="144"/>
      <c r="V699" s="144"/>
      <c r="W699" s="144"/>
      <c r="X699" s="144"/>
      <c r="Y699" s="144"/>
      <c r="Z699" s="144"/>
      <c r="AA699" s="144"/>
      <c r="AB699" s="144"/>
      <c r="AC699" s="144"/>
      <c r="AD699" s="144"/>
      <c r="AE699" s="144"/>
      <c r="AF699" s="144"/>
    </row>
    <row r="700" ht="16.5" customHeight="1">
      <c r="A700" s="144"/>
      <c r="B700" s="144"/>
      <c r="C700" s="144"/>
      <c r="D700" s="144"/>
      <c r="E700" s="144"/>
      <c r="F700" s="144"/>
      <c r="G700" s="144"/>
      <c r="H700" s="144"/>
      <c r="I700" s="496"/>
      <c r="J700" s="496"/>
      <c r="K700" s="496"/>
      <c r="L700" s="496"/>
      <c r="M700" s="144"/>
      <c r="N700" s="144"/>
      <c r="O700" s="144"/>
      <c r="P700" s="144"/>
      <c r="Q700" s="144"/>
      <c r="R700" s="144"/>
      <c r="S700" s="144"/>
      <c r="T700" s="144"/>
      <c r="U700" s="144"/>
      <c r="V700" s="144"/>
      <c r="W700" s="144"/>
      <c r="X700" s="144"/>
      <c r="Y700" s="144"/>
      <c r="Z700" s="144"/>
      <c r="AA700" s="144"/>
      <c r="AB700" s="144"/>
      <c r="AC700" s="144"/>
      <c r="AD700" s="144"/>
      <c r="AE700" s="144"/>
      <c r="AF700" s="144"/>
    </row>
    <row r="701" ht="16.5" customHeight="1">
      <c r="A701" s="144"/>
      <c r="B701" s="144"/>
      <c r="C701" s="144"/>
      <c r="D701" s="144"/>
      <c r="E701" s="144"/>
      <c r="F701" s="144"/>
      <c r="G701" s="144"/>
      <c r="H701" s="144"/>
      <c r="I701" s="496"/>
      <c r="J701" s="496"/>
      <c r="K701" s="496"/>
      <c r="L701" s="496"/>
      <c r="M701" s="144"/>
      <c r="N701" s="144"/>
      <c r="O701" s="144"/>
      <c r="P701" s="144"/>
      <c r="Q701" s="144"/>
      <c r="R701" s="144"/>
      <c r="S701" s="144"/>
      <c r="T701" s="144"/>
      <c r="U701" s="144"/>
      <c r="V701" s="144"/>
      <c r="W701" s="144"/>
      <c r="X701" s="144"/>
      <c r="Y701" s="144"/>
      <c r="Z701" s="144"/>
      <c r="AA701" s="144"/>
      <c r="AB701" s="144"/>
      <c r="AC701" s="144"/>
      <c r="AD701" s="144"/>
      <c r="AE701" s="144"/>
      <c r="AF701" s="144"/>
    </row>
    <row r="702" ht="16.5" customHeight="1">
      <c r="A702" s="144"/>
      <c r="B702" s="144"/>
      <c r="C702" s="144"/>
      <c r="D702" s="144"/>
      <c r="E702" s="144"/>
      <c r="F702" s="144"/>
      <c r="G702" s="144"/>
      <c r="H702" s="144"/>
      <c r="I702" s="496"/>
      <c r="J702" s="496"/>
      <c r="K702" s="496"/>
      <c r="L702" s="496"/>
      <c r="M702" s="144"/>
      <c r="N702" s="144"/>
      <c r="O702" s="144"/>
      <c r="P702" s="144"/>
      <c r="Q702" s="144"/>
      <c r="R702" s="144"/>
      <c r="S702" s="144"/>
      <c r="T702" s="144"/>
      <c r="U702" s="144"/>
      <c r="V702" s="144"/>
      <c r="W702" s="144"/>
      <c r="X702" s="144"/>
      <c r="Y702" s="144"/>
      <c r="Z702" s="144"/>
      <c r="AA702" s="144"/>
      <c r="AB702" s="144"/>
      <c r="AC702" s="144"/>
      <c r="AD702" s="144"/>
      <c r="AE702" s="144"/>
      <c r="AF702" s="144"/>
    </row>
    <row r="703" ht="16.5" customHeight="1">
      <c r="A703" s="144"/>
      <c r="B703" s="144"/>
      <c r="C703" s="144"/>
      <c r="D703" s="144"/>
      <c r="E703" s="144"/>
      <c r="F703" s="144"/>
      <c r="G703" s="144"/>
      <c r="H703" s="144"/>
      <c r="I703" s="496"/>
      <c r="J703" s="496"/>
      <c r="K703" s="496"/>
      <c r="L703" s="496"/>
      <c r="M703" s="144"/>
      <c r="N703" s="144"/>
      <c r="O703" s="144"/>
      <c r="P703" s="144"/>
      <c r="Q703" s="144"/>
      <c r="R703" s="144"/>
      <c r="S703" s="144"/>
      <c r="T703" s="144"/>
      <c r="U703" s="144"/>
      <c r="V703" s="144"/>
      <c r="W703" s="144"/>
      <c r="X703" s="144"/>
      <c r="Y703" s="144"/>
      <c r="Z703" s="144"/>
      <c r="AA703" s="144"/>
      <c r="AB703" s="144"/>
      <c r="AC703" s="144"/>
      <c r="AD703" s="144"/>
      <c r="AE703" s="144"/>
      <c r="AF703" s="144"/>
    </row>
    <row r="704" ht="16.5" customHeight="1">
      <c r="A704" s="144"/>
      <c r="B704" s="144"/>
      <c r="C704" s="144"/>
      <c r="D704" s="144"/>
      <c r="E704" s="144"/>
      <c r="F704" s="144"/>
      <c r="G704" s="144"/>
      <c r="H704" s="144"/>
      <c r="I704" s="496"/>
      <c r="J704" s="496"/>
      <c r="K704" s="496"/>
      <c r="L704" s="496"/>
      <c r="M704" s="144"/>
      <c r="N704" s="144"/>
      <c r="O704" s="144"/>
      <c r="P704" s="144"/>
      <c r="Q704" s="144"/>
      <c r="R704" s="144"/>
      <c r="S704" s="144"/>
      <c r="T704" s="144"/>
      <c r="U704" s="144"/>
      <c r="V704" s="144"/>
      <c r="W704" s="144"/>
      <c r="X704" s="144"/>
      <c r="Y704" s="144"/>
      <c r="Z704" s="144"/>
      <c r="AA704" s="144"/>
      <c r="AB704" s="144"/>
      <c r="AC704" s="144"/>
      <c r="AD704" s="144"/>
      <c r="AE704" s="144"/>
      <c r="AF704" s="144"/>
    </row>
    <row r="705" ht="16.5" customHeight="1">
      <c r="A705" s="144"/>
      <c r="B705" s="144"/>
      <c r="C705" s="144"/>
      <c r="D705" s="144"/>
      <c r="E705" s="144"/>
      <c r="F705" s="144"/>
      <c r="G705" s="144"/>
      <c r="H705" s="144"/>
      <c r="I705" s="496"/>
      <c r="J705" s="496"/>
      <c r="K705" s="496"/>
      <c r="L705" s="496"/>
      <c r="M705" s="144"/>
      <c r="N705" s="144"/>
      <c r="O705" s="144"/>
      <c r="P705" s="144"/>
      <c r="Q705" s="144"/>
      <c r="R705" s="144"/>
      <c r="S705" s="144"/>
      <c r="T705" s="144"/>
      <c r="U705" s="144"/>
      <c r="V705" s="144"/>
      <c r="W705" s="144"/>
      <c r="X705" s="144"/>
      <c r="Y705" s="144"/>
      <c r="Z705" s="144"/>
      <c r="AA705" s="144"/>
      <c r="AB705" s="144"/>
      <c r="AC705" s="144"/>
      <c r="AD705" s="144"/>
      <c r="AE705" s="144"/>
      <c r="AF705" s="144"/>
    </row>
    <row r="706" ht="16.5" customHeight="1">
      <c r="A706" s="144"/>
      <c r="B706" s="144"/>
      <c r="C706" s="144"/>
      <c r="D706" s="144"/>
      <c r="E706" s="144"/>
      <c r="F706" s="144"/>
      <c r="G706" s="144"/>
      <c r="H706" s="144"/>
      <c r="I706" s="496"/>
      <c r="J706" s="496"/>
      <c r="K706" s="496"/>
      <c r="L706" s="496"/>
      <c r="M706" s="144"/>
      <c r="N706" s="144"/>
      <c r="O706" s="144"/>
      <c r="P706" s="144"/>
      <c r="Q706" s="144"/>
      <c r="R706" s="144"/>
      <c r="S706" s="144"/>
      <c r="T706" s="144"/>
      <c r="U706" s="144"/>
      <c r="V706" s="144"/>
      <c r="W706" s="144"/>
      <c r="X706" s="144"/>
      <c r="Y706" s="144"/>
      <c r="Z706" s="144"/>
      <c r="AA706" s="144"/>
      <c r="AB706" s="144"/>
      <c r="AC706" s="144"/>
      <c r="AD706" s="144"/>
      <c r="AE706" s="144"/>
      <c r="AF706" s="144"/>
    </row>
    <row r="707" ht="16.5" customHeight="1">
      <c r="A707" s="144"/>
      <c r="B707" s="144"/>
      <c r="C707" s="144"/>
      <c r="D707" s="144"/>
      <c r="E707" s="144"/>
      <c r="F707" s="144"/>
      <c r="G707" s="144"/>
      <c r="H707" s="144"/>
      <c r="I707" s="496"/>
      <c r="J707" s="496"/>
      <c r="K707" s="496"/>
      <c r="L707" s="496"/>
      <c r="M707" s="144"/>
      <c r="N707" s="144"/>
      <c r="O707" s="144"/>
      <c r="P707" s="144"/>
      <c r="Q707" s="144"/>
      <c r="R707" s="144"/>
      <c r="S707" s="144"/>
      <c r="T707" s="144"/>
      <c r="U707" s="144"/>
      <c r="V707" s="144"/>
      <c r="W707" s="144"/>
      <c r="X707" s="144"/>
      <c r="Y707" s="144"/>
      <c r="Z707" s="144"/>
      <c r="AA707" s="144"/>
      <c r="AB707" s="144"/>
      <c r="AC707" s="144"/>
      <c r="AD707" s="144"/>
      <c r="AE707" s="144"/>
      <c r="AF707" s="144"/>
    </row>
    <row r="708" ht="16.5" customHeight="1">
      <c r="A708" s="144"/>
      <c r="B708" s="144"/>
      <c r="C708" s="144"/>
      <c r="D708" s="144"/>
      <c r="E708" s="144"/>
      <c r="F708" s="144"/>
      <c r="G708" s="144"/>
      <c r="H708" s="144"/>
      <c r="I708" s="496"/>
      <c r="J708" s="496"/>
      <c r="K708" s="496"/>
      <c r="L708" s="496"/>
      <c r="M708" s="144"/>
      <c r="N708" s="144"/>
      <c r="O708" s="144"/>
      <c r="P708" s="144"/>
      <c r="Q708" s="144"/>
      <c r="R708" s="144"/>
      <c r="S708" s="144"/>
      <c r="T708" s="144"/>
      <c r="U708" s="144"/>
      <c r="V708" s="144"/>
      <c r="W708" s="144"/>
      <c r="X708" s="144"/>
      <c r="Y708" s="144"/>
      <c r="Z708" s="144"/>
      <c r="AA708" s="144"/>
      <c r="AB708" s="144"/>
      <c r="AC708" s="144"/>
      <c r="AD708" s="144"/>
      <c r="AE708" s="144"/>
      <c r="AF708" s="144"/>
    </row>
    <row r="709" ht="16.5" customHeight="1">
      <c r="A709" s="144"/>
      <c r="B709" s="144"/>
      <c r="C709" s="144"/>
      <c r="D709" s="144"/>
      <c r="E709" s="144"/>
      <c r="F709" s="144"/>
      <c r="G709" s="144"/>
      <c r="H709" s="144"/>
      <c r="I709" s="496"/>
      <c r="J709" s="496"/>
      <c r="K709" s="496"/>
      <c r="L709" s="496"/>
      <c r="M709" s="144"/>
      <c r="N709" s="144"/>
      <c r="O709" s="144"/>
      <c r="P709" s="144"/>
      <c r="Q709" s="144"/>
      <c r="R709" s="144"/>
      <c r="S709" s="144"/>
      <c r="T709" s="144"/>
      <c r="U709" s="144"/>
      <c r="V709" s="144"/>
      <c r="W709" s="144"/>
      <c r="X709" s="144"/>
      <c r="Y709" s="144"/>
      <c r="Z709" s="144"/>
      <c r="AA709" s="144"/>
      <c r="AB709" s="144"/>
      <c r="AC709" s="144"/>
      <c r="AD709" s="144"/>
      <c r="AE709" s="144"/>
      <c r="AF709" s="144"/>
    </row>
    <row r="710" ht="16.5" customHeight="1">
      <c r="A710" s="144"/>
      <c r="B710" s="144"/>
      <c r="C710" s="144"/>
      <c r="D710" s="144"/>
      <c r="E710" s="144"/>
      <c r="F710" s="144"/>
      <c r="G710" s="144"/>
      <c r="H710" s="144"/>
      <c r="I710" s="496"/>
      <c r="J710" s="496"/>
      <c r="K710" s="496"/>
      <c r="L710" s="496"/>
      <c r="M710" s="144"/>
      <c r="N710" s="144"/>
      <c r="O710" s="144"/>
      <c r="P710" s="144"/>
      <c r="Q710" s="144"/>
      <c r="R710" s="144"/>
      <c r="S710" s="144"/>
      <c r="T710" s="144"/>
      <c r="U710" s="144"/>
      <c r="V710" s="144"/>
      <c r="W710" s="144"/>
      <c r="X710" s="144"/>
      <c r="Y710" s="144"/>
      <c r="Z710" s="144"/>
      <c r="AA710" s="144"/>
      <c r="AB710" s="144"/>
      <c r="AC710" s="144"/>
      <c r="AD710" s="144"/>
      <c r="AE710" s="144"/>
      <c r="AF710" s="144"/>
    </row>
    <row r="711" ht="16.5" customHeight="1">
      <c r="A711" s="144"/>
      <c r="B711" s="144"/>
      <c r="C711" s="144"/>
      <c r="D711" s="144"/>
      <c r="E711" s="144"/>
      <c r="F711" s="144"/>
      <c r="G711" s="144"/>
      <c r="H711" s="144"/>
      <c r="I711" s="496"/>
      <c r="J711" s="496"/>
      <c r="K711" s="496"/>
      <c r="L711" s="496"/>
      <c r="M711" s="144"/>
      <c r="N711" s="144"/>
      <c r="O711" s="144"/>
      <c r="P711" s="144"/>
      <c r="Q711" s="144"/>
      <c r="R711" s="144"/>
      <c r="S711" s="144"/>
      <c r="T711" s="144"/>
      <c r="U711" s="144"/>
      <c r="V711" s="144"/>
      <c r="W711" s="144"/>
      <c r="X711" s="144"/>
      <c r="Y711" s="144"/>
      <c r="Z711" s="144"/>
      <c r="AA711" s="144"/>
      <c r="AB711" s="144"/>
      <c r="AC711" s="144"/>
      <c r="AD711" s="144"/>
      <c r="AE711" s="144"/>
      <c r="AF711" s="144"/>
    </row>
    <row r="712" ht="16.5" customHeight="1">
      <c r="A712" s="144"/>
      <c r="B712" s="144"/>
      <c r="C712" s="144"/>
      <c r="D712" s="144"/>
      <c r="E712" s="144"/>
      <c r="F712" s="144"/>
      <c r="G712" s="144"/>
      <c r="H712" s="144"/>
      <c r="I712" s="496"/>
      <c r="J712" s="496"/>
      <c r="K712" s="496"/>
      <c r="L712" s="496"/>
      <c r="M712" s="144"/>
      <c r="N712" s="144"/>
      <c r="O712" s="144"/>
      <c r="P712" s="144"/>
      <c r="Q712" s="144"/>
      <c r="R712" s="144"/>
      <c r="S712" s="144"/>
      <c r="T712" s="144"/>
      <c r="U712" s="144"/>
      <c r="V712" s="144"/>
      <c r="W712" s="144"/>
      <c r="X712" s="144"/>
      <c r="Y712" s="144"/>
      <c r="Z712" s="144"/>
      <c r="AA712" s="144"/>
      <c r="AB712" s="144"/>
      <c r="AC712" s="144"/>
      <c r="AD712" s="144"/>
      <c r="AE712" s="144"/>
      <c r="AF712" s="144"/>
    </row>
    <row r="713" ht="16.5" customHeight="1">
      <c r="A713" s="144"/>
      <c r="B713" s="144"/>
      <c r="C713" s="144"/>
      <c r="D713" s="144"/>
      <c r="E713" s="144"/>
      <c r="F713" s="144"/>
      <c r="G713" s="144"/>
      <c r="H713" s="144"/>
      <c r="I713" s="496"/>
      <c r="J713" s="496"/>
      <c r="K713" s="496"/>
      <c r="L713" s="496"/>
      <c r="M713" s="144"/>
      <c r="N713" s="144"/>
      <c r="O713" s="144"/>
      <c r="P713" s="144"/>
      <c r="Q713" s="144"/>
      <c r="R713" s="144"/>
      <c r="S713" s="144"/>
      <c r="T713" s="144"/>
      <c r="U713" s="144"/>
      <c r="V713" s="144"/>
      <c r="W713" s="144"/>
      <c r="X713" s="144"/>
      <c r="Y713" s="144"/>
      <c r="Z713" s="144"/>
      <c r="AA713" s="144"/>
      <c r="AB713" s="144"/>
      <c r="AC713" s="144"/>
      <c r="AD713" s="144"/>
      <c r="AE713" s="144"/>
      <c r="AF713" s="144"/>
    </row>
    <row r="714" ht="16.5" customHeight="1">
      <c r="A714" s="144"/>
      <c r="B714" s="144"/>
      <c r="C714" s="144"/>
      <c r="D714" s="144"/>
      <c r="E714" s="144"/>
      <c r="F714" s="144"/>
      <c r="G714" s="144"/>
      <c r="H714" s="144"/>
      <c r="I714" s="496"/>
      <c r="J714" s="496"/>
      <c r="K714" s="496"/>
      <c r="L714" s="496"/>
      <c r="M714" s="144"/>
      <c r="N714" s="144"/>
      <c r="O714" s="144"/>
      <c r="P714" s="144"/>
      <c r="Q714" s="144"/>
      <c r="R714" s="144"/>
      <c r="S714" s="144"/>
      <c r="T714" s="144"/>
      <c r="U714" s="144"/>
      <c r="V714" s="144"/>
      <c r="W714" s="144"/>
      <c r="X714" s="144"/>
      <c r="Y714" s="144"/>
      <c r="Z714" s="144"/>
      <c r="AA714" s="144"/>
      <c r="AB714" s="144"/>
      <c r="AC714" s="144"/>
      <c r="AD714" s="144"/>
      <c r="AE714" s="144"/>
      <c r="AF714" s="144"/>
    </row>
    <row r="715" ht="16.5" customHeight="1">
      <c r="A715" s="144"/>
      <c r="B715" s="144"/>
      <c r="C715" s="144"/>
      <c r="D715" s="144"/>
      <c r="E715" s="144"/>
      <c r="F715" s="144"/>
      <c r="G715" s="144"/>
      <c r="H715" s="144"/>
      <c r="I715" s="496"/>
      <c r="J715" s="496"/>
      <c r="K715" s="496"/>
      <c r="L715" s="496"/>
      <c r="M715" s="144"/>
      <c r="N715" s="144"/>
      <c r="O715" s="144"/>
      <c r="P715" s="144"/>
      <c r="Q715" s="144"/>
      <c r="R715" s="144"/>
      <c r="S715" s="144"/>
      <c r="T715" s="144"/>
      <c r="U715" s="144"/>
      <c r="V715" s="144"/>
      <c r="W715" s="144"/>
      <c r="X715" s="144"/>
      <c r="Y715" s="144"/>
      <c r="Z715" s="144"/>
      <c r="AA715" s="144"/>
      <c r="AB715" s="144"/>
      <c r="AC715" s="144"/>
      <c r="AD715" s="144"/>
      <c r="AE715" s="144"/>
      <c r="AF715" s="144"/>
    </row>
    <row r="716" ht="16.5" customHeight="1">
      <c r="A716" s="144"/>
      <c r="B716" s="144"/>
      <c r="C716" s="144"/>
      <c r="D716" s="144"/>
      <c r="E716" s="144"/>
      <c r="F716" s="144"/>
      <c r="G716" s="144"/>
      <c r="H716" s="144"/>
      <c r="I716" s="496"/>
      <c r="J716" s="496"/>
      <c r="K716" s="496"/>
      <c r="L716" s="496"/>
      <c r="M716" s="144"/>
      <c r="N716" s="144"/>
      <c r="O716" s="144"/>
      <c r="P716" s="144"/>
      <c r="Q716" s="144"/>
      <c r="R716" s="144"/>
      <c r="S716" s="144"/>
      <c r="T716" s="144"/>
      <c r="U716" s="144"/>
      <c r="V716" s="144"/>
      <c r="W716" s="144"/>
      <c r="X716" s="144"/>
      <c r="Y716" s="144"/>
      <c r="Z716" s="144"/>
      <c r="AA716" s="144"/>
      <c r="AB716" s="144"/>
      <c r="AC716" s="144"/>
      <c r="AD716" s="144"/>
      <c r="AE716" s="144"/>
      <c r="AF716" s="144"/>
    </row>
    <row r="717" ht="16.5" customHeight="1">
      <c r="A717" s="144"/>
      <c r="B717" s="144"/>
      <c r="C717" s="144"/>
      <c r="D717" s="144"/>
      <c r="E717" s="144"/>
      <c r="F717" s="144"/>
      <c r="G717" s="144"/>
      <c r="H717" s="144"/>
      <c r="I717" s="496"/>
      <c r="J717" s="496"/>
      <c r="K717" s="496"/>
      <c r="L717" s="496"/>
      <c r="M717" s="144"/>
      <c r="N717" s="144"/>
      <c r="O717" s="144"/>
      <c r="P717" s="144"/>
      <c r="Q717" s="144"/>
      <c r="R717" s="144"/>
      <c r="S717" s="144"/>
      <c r="T717" s="144"/>
      <c r="U717" s="144"/>
      <c r="V717" s="144"/>
      <c r="W717" s="144"/>
      <c r="X717" s="144"/>
      <c r="Y717" s="144"/>
      <c r="Z717" s="144"/>
      <c r="AA717" s="144"/>
      <c r="AB717" s="144"/>
      <c r="AC717" s="144"/>
      <c r="AD717" s="144"/>
      <c r="AE717" s="144"/>
      <c r="AF717" s="144"/>
    </row>
    <row r="718" ht="16.5" customHeight="1">
      <c r="A718" s="144"/>
      <c r="B718" s="144"/>
      <c r="C718" s="144"/>
      <c r="D718" s="144"/>
      <c r="E718" s="144"/>
      <c r="F718" s="144"/>
      <c r="G718" s="144"/>
      <c r="H718" s="144"/>
      <c r="I718" s="496"/>
      <c r="J718" s="496"/>
      <c r="K718" s="496"/>
      <c r="L718" s="496"/>
      <c r="M718" s="144"/>
      <c r="N718" s="144"/>
      <c r="O718" s="144"/>
      <c r="P718" s="144"/>
      <c r="Q718" s="144"/>
      <c r="R718" s="144"/>
      <c r="S718" s="144"/>
      <c r="T718" s="144"/>
      <c r="U718" s="144"/>
      <c r="V718" s="144"/>
      <c r="W718" s="144"/>
      <c r="X718" s="144"/>
      <c r="Y718" s="144"/>
      <c r="Z718" s="144"/>
      <c r="AA718" s="144"/>
      <c r="AB718" s="144"/>
      <c r="AC718" s="144"/>
      <c r="AD718" s="144"/>
      <c r="AE718" s="144"/>
      <c r="AF718" s="144"/>
    </row>
    <row r="719" ht="16.5" customHeight="1">
      <c r="A719" s="144"/>
      <c r="B719" s="144"/>
      <c r="C719" s="144"/>
      <c r="D719" s="144"/>
      <c r="E719" s="144"/>
      <c r="F719" s="144"/>
      <c r="G719" s="144"/>
      <c r="H719" s="144"/>
      <c r="I719" s="496"/>
      <c r="J719" s="496"/>
      <c r="K719" s="496"/>
      <c r="L719" s="496"/>
      <c r="M719" s="144"/>
      <c r="N719" s="144"/>
      <c r="O719" s="144"/>
      <c r="P719" s="144"/>
      <c r="Q719" s="144"/>
      <c r="R719" s="144"/>
      <c r="S719" s="144"/>
      <c r="T719" s="144"/>
      <c r="U719" s="144"/>
      <c r="V719" s="144"/>
      <c r="W719" s="144"/>
      <c r="X719" s="144"/>
      <c r="Y719" s="144"/>
      <c r="Z719" s="144"/>
      <c r="AA719" s="144"/>
      <c r="AB719" s="144"/>
      <c r="AC719" s="144"/>
      <c r="AD719" s="144"/>
      <c r="AE719" s="144"/>
      <c r="AF719" s="144"/>
    </row>
    <row r="720" ht="16.5" customHeight="1">
      <c r="A720" s="144"/>
      <c r="B720" s="144"/>
      <c r="C720" s="144"/>
      <c r="D720" s="144"/>
      <c r="E720" s="144"/>
      <c r="F720" s="144"/>
      <c r="G720" s="144"/>
      <c r="H720" s="144"/>
      <c r="I720" s="496"/>
      <c r="J720" s="496"/>
      <c r="K720" s="496"/>
      <c r="L720" s="496"/>
      <c r="M720" s="144"/>
      <c r="N720" s="144"/>
      <c r="O720" s="144"/>
      <c r="P720" s="144"/>
      <c r="Q720" s="144"/>
      <c r="R720" s="144"/>
      <c r="S720" s="144"/>
      <c r="T720" s="144"/>
      <c r="U720" s="144"/>
      <c r="V720" s="144"/>
      <c r="W720" s="144"/>
      <c r="X720" s="144"/>
      <c r="Y720" s="144"/>
      <c r="Z720" s="144"/>
      <c r="AA720" s="144"/>
      <c r="AB720" s="144"/>
      <c r="AC720" s="144"/>
      <c r="AD720" s="144"/>
      <c r="AE720" s="144"/>
      <c r="AF720" s="144"/>
    </row>
    <row r="721" ht="16.5" customHeight="1">
      <c r="A721" s="144"/>
      <c r="B721" s="144"/>
      <c r="C721" s="144"/>
      <c r="D721" s="144"/>
      <c r="E721" s="144"/>
      <c r="F721" s="144"/>
      <c r="G721" s="144"/>
      <c r="H721" s="144"/>
      <c r="I721" s="496"/>
      <c r="J721" s="496"/>
      <c r="K721" s="496"/>
      <c r="L721" s="496"/>
      <c r="M721" s="144"/>
      <c r="N721" s="144"/>
      <c r="O721" s="144"/>
      <c r="P721" s="144"/>
      <c r="Q721" s="144"/>
      <c r="R721" s="144"/>
      <c r="S721" s="144"/>
      <c r="T721" s="144"/>
      <c r="U721" s="144"/>
      <c r="V721" s="144"/>
      <c r="W721" s="144"/>
      <c r="X721" s="144"/>
      <c r="Y721" s="144"/>
      <c r="Z721" s="144"/>
      <c r="AA721" s="144"/>
      <c r="AB721" s="144"/>
      <c r="AC721" s="144"/>
      <c r="AD721" s="144"/>
      <c r="AE721" s="144"/>
      <c r="AF721" s="144"/>
    </row>
    <row r="722" ht="16.5" customHeight="1">
      <c r="A722" s="144"/>
      <c r="B722" s="144"/>
      <c r="C722" s="144"/>
      <c r="D722" s="144"/>
      <c r="E722" s="144"/>
      <c r="F722" s="144"/>
      <c r="G722" s="144"/>
      <c r="H722" s="144"/>
      <c r="I722" s="496"/>
      <c r="J722" s="496"/>
      <c r="K722" s="496"/>
      <c r="L722" s="496"/>
      <c r="M722" s="144"/>
      <c r="N722" s="144"/>
      <c r="O722" s="144"/>
      <c r="P722" s="144"/>
      <c r="Q722" s="144"/>
      <c r="R722" s="144"/>
      <c r="S722" s="144"/>
      <c r="T722" s="144"/>
      <c r="U722" s="144"/>
      <c r="V722" s="144"/>
      <c r="W722" s="144"/>
      <c r="X722" s="144"/>
      <c r="Y722" s="144"/>
      <c r="Z722" s="144"/>
      <c r="AA722" s="144"/>
      <c r="AB722" s="144"/>
      <c r="AC722" s="144"/>
      <c r="AD722" s="144"/>
      <c r="AE722" s="144"/>
      <c r="AF722" s="144"/>
    </row>
    <row r="723" ht="16.5" customHeight="1">
      <c r="A723" s="144"/>
      <c r="B723" s="144"/>
      <c r="C723" s="144"/>
      <c r="D723" s="144"/>
      <c r="E723" s="144"/>
      <c r="F723" s="144"/>
      <c r="G723" s="144"/>
      <c r="H723" s="144"/>
      <c r="I723" s="496"/>
      <c r="J723" s="496"/>
      <c r="K723" s="496"/>
      <c r="L723" s="496"/>
      <c r="M723" s="144"/>
      <c r="N723" s="144"/>
      <c r="O723" s="144"/>
      <c r="P723" s="144"/>
      <c r="Q723" s="144"/>
      <c r="R723" s="144"/>
      <c r="S723" s="144"/>
      <c r="T723" s="144"/>
      <c r="U723" s="144"/>
      <c r="V723" s="144"/>
      <c r="W723" s="144"/>
      <c r="X723" s="144"/>
      <c r="Y723" s="144"/>
      <c r="Z723" s="144"/>
      <c r="AA723" s="144"/>
      <c r="AB723" s="144"/>
      <c r="AC723" s="144"/>
      <c r="AD723" s="144"/>
      <c r="AE723" s="144"/>
      <c r="AF723" s="144"/>
    </row>
    <row r="724" ht="16.5" customHeight="1">
      <c r="A724" s="144"/>
      <c r="B724" s="144"/>
      <c r="C724" s="144"/>
      <c r="D724" s="144"/>
      <c r="E724" s="144"/>
      <c r="F724" s="144"/>
      <c r="G724" s="144"/>
      <c r="H724" s="144"/>
      <c r="I724" s="496"/>
      <c r="J724" s="496"/>
      <c r="K724" s="496"/>
      <c r="L724" s="496"/>
      <c r="M724" s="144"/>
      <c r="N724" s="144"/>
      <c r="O724" s="144"/>
      <c r="P724" s="144"/>
      <c r="Q724" s="144"/>
      <c r="R724" s="144"/>
      <c r="S724" s="144"/>
      <c r="T724" s="144"/>
      <c r="U724" s="144"/>
      <c r="V724" s="144"/>
      <c r="W724" s="144"/>
      <c r="X724" s="144"/>
      <c r="Y724" s="144"/>
      <c r="Z724" s="144"/>
      <c r="AA724" s="144"/>
      <c r="AB724" s="144"/>
      <c r="AC724" s="144"/>
      <c r="AD724" s="144"/>
      <c r="AE724" s="144"/>
      <c r="AF724" s="144"/>
    </row>
    <row r="725" ht="16.5" customHeight="1">
      <c r="A725" s="144"/>
      <c r="B725" s="144"/>
      <c r="C725" s="144"/>
      <c r="D725" s="144"/>
      <c r="E725" s="144"/>
      <c r="F725" s="144"/>
      <c r="G725" s="144"/>
      <c r="H725" s="144"/>
      <c r="I725" s="496"/>
      <c r="J725" s="496"/>
      <c r="K725" s="496"/>
      <c r="L725" s="496"/>
      <c r="M725" s="144"/>
      <c r="N725" s="144"/>
      <c r="O725" s="144"/>
      <c r="P725" s="144"/>
      <c r="Q725" s="144"/>
      <c r="R725" s="144"/>
      <c r="S725" s="144"/>
      <c r="T725" s="144"/>
      <c r="U725" s="144"/>
      <c r="V725" s="144"/>
      <c r="W725" s="144"/>
      <c r="X725" s="144"/>
      <c r="Y725" s="144"/>
      <c r="Z725" s="144"/>
      <c r="AA725" s="144"/>
      <c r="AB725" s="144"/>
      <c r="AC725" s="144"/>
      <c r="AD725" s="144"/>
      <c r="AE725" s="144"/>
      <c r="AF725" s="144"/>
    </row>
    <row r="726" ht="16.5" customHeight="1">
      <c r="A726" s="144"/>
      <c r="B726" s="144"/>
      <c r="C726" s="144"/>
      <c r="D726" s="144"/>
      <c r="E726" s="144"/>
      <c r="F726" s="144"/>
      <c r="G726" s="144"/>
      <c r="H726" s="144"/>
      <c r="I726" s="496"/>
      <c r="J726" s="496"/>
      <c r="K726" s="496"/>
      <c r="L726" s="496"/>
      <c r="M726" s="144"/>
      <c r="N726" s="144"/>
      <c r="O726" s="144"/>
      <c r="P726" s="144"/>
      <c r="Q726" s="144"/>
      <c r="R726" s="144"/>
      <c r="S726" s="144"/>
      <c r="T726" s="144"/>
      <c r="U726" s="144"/>
      <c r="V726" s="144"/>
      <c r="W726" s="144"/>
      <c r="X726" s="144"/>
      <c r="Y726" s="144"/>
      <c r="Z726" s="144"/>
      <c r="AA726" s="144"/>
      <c r="AB726" s="144"/>
      <c r="AC726" s="144"/>
      <c r="AD726" s="144"/>
      <c r="AE726" s="144"/>
      <c r="AF726" s="144"/>
    </row>
    <row r="727" ht="16.5" customHeight="1">
      <c r="A727" s="144"/>
      <c r="B727" s="144"/>
      <c r="C727" s="144"/>
      <c r="D727" s="144"/>
      <c r="E727" s="144"/>
      <c r="F727" s="144"/>
      <c r="G727" s="144"/>
      <c r="H727" s="144"/>
      <c r="I727" s="496"/>
      <c r="J727" s="496"/>
      <c r="K727" s="496"/>
      <c r="L727" s="496"/>
      <c r="M727" s="144"/>
      <c r="N727" s="144"/>
      <c r="O727" s="144"/>
      <c r="P727" s="144"/>
      <c r="Q727" s="144"/>
      <c r="R727" s="144"/>
      <c r="S727" s="144"/>
      <c r="T727" s="144"/>
      <c r="U727" s="144"/>
      <c r="V727" s="144"/>
      <c r="W727" s="144"/>
      <c r="X727" s="144"/>
      <c r="Y727" s="144"/>
      <c r="Z727" s="144"/>
      <c r="AA727" s="144"/>
      <c r="AB727" s="144"/>
      <c r="AC727" s="144"/>
      <c r="AD727" s="144"/>
      <c r="AE727" s="144"/>
      <c r="AF727" s="144"/>
    </row>
    <row r="728" ht="16.5" customHeight="1">
      <c r="A728" s="144"/>
      <c r="B728" s="144"/>
      <c r="C728" s="144"/>
      <c r="D728" s="144"/>
      <c r="E728" s="144"/>
      <c r="F728" s="144"/>
      <c r="G728" s="144"/>
      <c r="H728" s="144"/>
      <c r="I728" s="496"/>
      <c r="J728" s="496"/>
      <c r="K728" s="496"/>
      <c r="L728" s="496"/>
      <c r="M728" s="144"/>
      <c r="N728" s="144"/>
      <c r="O728" s="144"/>
      <c r="P728" s="144"/>
      <c r="Q728" s="144"/>
      <c r="R728" s="144"/>
      <c r="S728" s="144"/>
      <c r="T728" s="144"/>
      <c r="U728" s="144"/>
      <c r="V728" s="144"/>
      <c r="W728" s="144"/>
      <c r="X728" s="144"/>
      <c r="Y728" s="144"/>
      <c r="Z728" s="144"/>
      <c r="AA728" s="144"/>
      <c r="AB728" s="144"/>
      <c r="AC728" s="144"/>
      <c r="AD728" s="144"/>
      <c r="AE728" s="144"/>
      <c r="AF728" s="144"/>
    </row>
    <row r="729" ht="16.5" customHeight="1">
      <c r="A729" s="144"/>
      <c r="B729" s="144"/>
      <c r="C729" s="144"/>
      <c r="D729" s="144"/>
      <c r="E729" s="144"/>
      <c r="F729" s="144"/>
      <c r="G729" s="144"/>
      <c r="H729" s="144"/>
      <c r="I729" s="496"/>
      <c r="J729" s="496"/>
      <c r="K729" s="496"/>
      <c r="L729" s="496"/>
      <c r="M729" s="144"/>
      <c r="N729" s="144"/>
      <c r="O729" s="144"/>
      <c r="P729" s="144"/>
      <c r="Q729" s="144"/>
      <c r="R729" s="144"/>
      <c r="S729" s="144"/>
      <c r="T729" s="144"/>
      <c r="U729" s="144"/>
      <c r="V729" s="144"/>
      <c r="W729" s="144"/>
      <c r="X729" s="144"/>
      <c r="Y729" s="144"/>
      <c r="Z729" s="144"/>
      <c r="AA729" s="144"/>
      <c r="AB729" s="144"/>
      <c r="AC729" s="144"/>
      <c r="AD729" s="144"/>
      <c r="AE729" s="144"/>
      <c r="AF729" s="144"/>
    </row>
    <row r="730" ht="16.5" customHeight="1">
      <c r="A730" s="144"/>
      <c r="B730" s="144"/>
      <c r="C730" s="144"/>
      <c r="D730" s="144"/>
      <c r="E730" s="144"/>
      <c r="F730" s="144"/>
      <c r="G730" s="144"/>
      <c r="H730" s="144"/>
      <c r="I730" s="496"/>
      <c r="J730" s="496"/>
      <c r="K730" s="496"/>
      <c r="L730" s="496"/>
      <c r="M730" s="144"/>
      <c r="N730" s="144"/>
      <c r="O730" s="144"/>
      <c r="P730" s="144"/>
      <c r="Q730" s="144"/>
      <c r="R730" s="144"/>
      <c r="S730" s="144"/>
      <c r="T730" s="144"/>
      <c r="U730" s="144"/>
      <c r="V730" s="144"/>
      <c r="W730" s="144"/>
      <c r="X730" s="144"/>
      <c r="Y730" s="144"/>
      <c r="Z730" s="144"/>
      <c r="AA730" s="144"/>
      <c r="AB730" s="144"/>
      <c r="AC730" s="144"/>
      <c r="AD730" s="144"/>
      <c r="AE730" s="144"/>
      <c r="AF730" s="144"/>
    </row>
    <row r="731" ht="16.5" customHeight="1">
      <c r="A731" s="144"/>
      <c r="B731" s="144"/>
      <c r="C731" s="144"/>
      <c r="D731" s="144"/>
      <c r="E731" s="144"/>
      <c r="F731" s="144"/>
      <c r="G731" s="144"/>
      <c r="H731" s="144"/>
      <c r="I731" s="496"/>
      <c r="J731" s="496"/>
      <c r="K731" s="496"/>
      <c r="L731" s="496"/>
      <c r="M731" s="144"/>
      <c r="N731" s="144"/>
      <c r="O731" s="144"/>
      <c r="P731" s="144"/>
      <c r="Q731" s="144"/>
      <c r="R731" s="144"/>
      <c r="S731" s="144"/>
      <c r="T731" s="144"/>
      <c r="U731" s="144"/>
      <c r="V731" s="144"/>
      <c r="W731" s="144"/>
      <c r="X731" s="144"/>
      <c r="Y731" s="144"/>
      <c r="Z731" s="144"/>
      <c r="AA731" s="144"/>
      <c r="AB731" s="144"/>
      <c r="AC731" s="144"/>
      <c r="AD731" s="144"/>
      <c r="AE731" s="144"/>
      <c r="AF731" s="144"/>
    </row>
    <row r="732" ht="16.5" customHeight="1">
      <c r="A732" s="144"/>
      <c r="B732" s="144"/>
      <c r="C732" s="144"/>
      <c r="D732" s="144"/>
      <c r="E732" s="144"/>
      <c r="F732" s="144"/>
      <c r="G732" s="144"/>
      <c r="H732" s="144"/>
      <c r="I732" s="496"/>
      <c r="J732" s="496"/>
      <c r="K732" s="496"/>
      <c r="L732" s="496"/>
      <c r="M732" s="144"/>
      <c r="N732" s="144"/>
      <c r="O732" s="144"/>
      <c r="P732" s="144"/>
      <c r="Q732" s="144"/>
      <c r="R732" s="144"/>
      <c r="S732" s="144"/>
      <c r="T732" s="144"/>
      <c r="U732" s="144"/>
      <c r="V732" s="144"/>
      <c r="W732" s="144"/>
      <c r="X732" s="144"/>
      <c r="Y732" s="144"/>
      <c r="Z732" s="144"/>
      <c r="AA732" s="144"/>
      <c r="AB732" s="144"/>
      <c r="AC732" s="144"/>
      <c r="AD732" s="144"/>
      <c r="AE732" s="144"/>
      <c r="AF732" s="144"/>
    </row>
    <row r="733" ht="16.5" customHeight="1">
      <c r="A733" s="144"/>
      <c r="B733" s="144"/>
      <c r="C733" s="144"/>
      <c r="D733" s="144"/>
      <c r="E733" s="144"/>
      <c r="F733" s="144"/>
      <c r="G733" s="144"/>
      <c r="H733" s="144"/>
      <c r="I733" s="496"/>
      <c r="J733" s="496"/>
      <c r="K733" s="496"/>
      <c r="L733" s="496"/>
      <c r="M733" s="144"/>
      <c r="N733" s="144"/>
      <c r="O733" s="144"/>
      <c r="P733" s="144"/>
      <c r="Q733" s="144"/>
      <c r="R733" s="144"/>
      <c r="S733" s="144"/>
      <c r="T733" s="144"/>
      <c r="U733" s="144"/>
      <c r="V733" s="144"/>
      <c r="W733" s="144"/>
      <c r="X733" s="144"/>
      <c r="Y733" s="144"/>
      <c r="Z733" s="144"/>
      <c r="AA733" s="144"/>
      <c r="AB733" s="144"/>
      <c r="AC733" s="144"/>
      <c r="AD733" s="144"/>
      <c r="AE733" s="144"/>
      <c r="AF733" s="144"/>
    </row>
    <row r="734" ht="16.5" customHeight="1">
      <c r="A734" s="144"/>
      <c r="B734" s="144"/>
      <c r="C734" s="144"/>
      <c r="D734" s="144"/>
      <c r="E734" s="144"/>
      <c r="F734" s="144"/>
      <c r="G734" s="144"/>
      <c r="H734" s="144"/>
      <c r="I734" s="496"/>
      <c r="J734" s="496"/>
      <c r="K734" s="496"/>
      <c r="L734" s="496"/>
      <c r="M734" s="144"/>
      <c r="N734" s="144"/>
      <c r="O734" s="144"/>
      <c r="P734" s="144"/>
      <c r="Q734" s="144"/>
      <c r="R734" s="144"/>
      <c r="S734" s="144"/>
      <c r="T734" s="144"/>
      <c r="U734" s="144"/>
      <c r="V734" s="144"/>
      <c r="W734" s="144"/>
      <c r="X734" s="144"/>
      <c r="Y734" s="144"/>
      <c r="Z734" s="144"/>
      <c r="AA734" s="144"/>
      <c r="AB734" s="144"/>
      <c r="AC734" s="144"/>
      <c r="AD734" s="144"/>
      <c r="AE734" s="144"/>
      <c r="AF734" s="144"/>
    </row>
    <row r="735" ht="16.5" customHeight="1">
      <c r="A735" s="144"/>
      <c r="B735" s="144"/>
      <c r="C735" s="144"/>
      <c r="D735" s="144"/>
      <c r="E735" s="144"/>
      <c r="F735" s="144"/>
      <c r="G735" s="144"/>
      <c r="H735" s="144"/>
      <c r="I735" s="496"/>
      <c r="J735" s="496"/>
      <c r="K735" s="496"/>
      <c r="L735" s="496"/>
      <c r="M735" s="144"/>
      <c r="N735" s="144"/>
      <c r="O735" s="144"/>
      <c r="P735" s="144"/>
      <c r="Q735" s="144"/>
      <c r="R735" s="144"/>
      <c r="S735" s="144"/>
      <c r="T735" s="144"/>
      <c r="U735" s="144"/>
      <c r="V735" s="144"/>
      <c r="W735" s="144"/>
      <c r="X735" s="144"/>
      <c r="Y735" s="144"/>
      <c r="Z735" s="144"/>
      <c r="AA735" s="144"/>
      <c r="AB735" s="144"/>
      <c r="AC735" s="144"/>
      <c r="AD735" s="144"/>
      <c r="AE735" s="144"/>
      <c r="AF735" s="144"/>
    </row>
    <row r="736" ht="16.5" customHeight="1">
      <c r="A736" s="144"/>
      <c r="B736" s="144"/>
      <c r="C736" s="144"/>
      <c r="D736" s="144"/>
      <c r="E736" s="144"/>
      <c r="F736" s="144"/>
      <c r="G736" s="144"/>
      <c r="H736" s="144"/>
      <c r="I736" s="496"/>
      <c r="J736" s="496"/>
      <c r="K736" s="496"/>
      <c r="L736" s="496"/>
      <c r="M736" s="144"/>
      <c r="N736" s="144"/>
      <c r="O736" s="144"/>
      <c r="P736" s="144"/>
      <c r="Q736" s="144"/>
      <c r="R736" s="144"/>
      <c r="S736" s="144"/>
      <c r="T736" s="144"/>
      <c r="U736" s="144"/>
      <c r="V736" s="144"/>
      <c r="W736" s="144"/>
      <c r="X736" s="144"/>
      <c r="Y736" s="144"/>
      <c r="Z736" s="144"/>
      <c r="AA736" s="144"/>
      <c r="AB736" s="144"/>
      <c r="AC736" s="144"/>
      <c r="AD736" s="144"/>
      <c r="AE736" s="144"/>
      <c r="AF736" s="144"/>
    </row>
    <row r="737" ht="16.5" customHeight="1">
      <c r="A737" s="144"/>
      <c r="B737" s="144"/>
      <c r="C737" s="144"/>
      <c r="D737" s="144"/>
      <c r="E737" s="144"/>
      <c r="F737" s="144"/>
      <c r="G737" s="144"/>
      <c r="H737" s="144"/>
      <c r="I737" s="496"/>
      <c r="J737" s="496"/>
      <c r="K737" s="496"/>
      <c r="L737" s="496"/>
      <c r="M737" s="144"/>
      <c r="N737" s="144"/>
      <c r="O737" s="144"/>
      <c r="P737" s="144"/>
      <c r="Q737" s="144"/>
      <c r="R737" s="144"/>
      <c r="S737" s="144"/>
      <c r="T737" s="144"/>
      <c r="U737" s="144"/>
      <c r="V737" s="144"/>
      <c r="W737" s="144"/>
      <c r="X737" s="144"/>
      <c r="Y737" s="144"/>
      <c r="Z737" s="144"/>
      <c r="AA737" s="144"/>
      <c r="AB737" s="144"/>
      <c r="AC737" s="144"/>
      <c r="AD737" s="144"/>
      <c r="AE737" s="144"/>
      <c r="AF737" s="144"/>
    </row>
    <row r="738" ht="16.5" customHeight="1">
      <c r="A738" s="144"/>
      <c r="B738" s="144"/>
      <c r="C738" s="144"/>
      <c r="D738" s="144"/>
      <c r="E738" s="144"/>
      <c r="F738" s="144"/>
      <c r="G738" s="144"/>
      <c r="H738" s="144"/>
      <c r="I738" s="496"/>
      <c r="J738" s="496"/>
      <c r="K738" s="496"/>
      <c r="L738" s="496"/>
      <c r="M738" s="144"/>
      <c r="N738" s="144"/>
      <c r="O738" s="144"/>
      <c r="P738" s="144"/>
      <c r="Q738" s="144"/>
      <c r="R738" s="144"/>
      <c r="S738" s="144"/>
      <c r="T738" s="144"/>
      <c r="U738" s="144"/>
      <c r="V738" s="144"/>
      <c r="W738" s="144"/>
      <c r="X738" s="144"/>
      <c r="Y738" s="144"/>
      <c r="Z738" s="144"/>
      <c r="AA738" s="144"/>
      <c r="AB738" s="144"/>
      <c r="AC738" s="144"/>
      <c r="AD738" s="144"/>
      <c r="AE738" s="144"/>
      <c r="AF738" s="144"/>
    </row>
    <row r="739" ht="16.5" customHeight="1">
      <c r="A739" s="144"/>
      <c r="B739" s="144"/>
      <c r="C739" s="144"/>
      <c r="D739" s="144"/>
      <c r="E739" s="144"/>
      <c r="F739" s="144"/>
      <c r="G739" s="144"/>
      <c r="H739" s="144"/>
      <c r="I739" s="496"/>
      <c r="J739" s="496"/>
      <c r="K739" s="496"/>
      <c r="L739" s="496"/>
      <c r="M739" s="144"/>
      <c r="N739" s="144"/>
      <c r="O739" s="144"/>
      <c r="P739" s="144"/>
      <c r="Q739" s="144"/>
      <c r="R739" s="144"/>
      <c r="S739" s="144"/>
      <c r="T739" s="144"/>
      <c r="U739" s="144"/>
      <c r="V739" s="144"/>
      <c r="W739" s="144"/>
      <c r="X739" s="144"/>
      <c r="Y739" s="144"/>
      <c r="Z739" s="144"/>
      <c r="AA739" s="144"/>
      <c r="AB739" s="144"/>
      <c r="AC739" s="144"/>
      <c r="AD739" s="144"/>
      <c r="AE739" s="144"/>
      <c r="AF739" s="144"/>
    </row>
    <row r="740" ht="16.5" customHeight="1">
      <c r="A740" s="144"/>
      <c r="B740" s="144"/>
      <c r="C740" s="144"/>
      <c r="D740" s="144"/>
      <c r="E740" s="144"/>
      <c r="F740" s="144"/>
      <c r="G740" s="144"/>
      <c r="H740" s="144"/>
      <c r="I740" s="496"/>
      <c r="J740" s="496"/>
      <c r="K740" s="496"/>
      <c r="L740" s="496"/>
      <c r="M740" s="144"/>
      <c r="N740" s="144"/>
      <c r="O740" s="144"/>
      <c r="P740" s="144"/>
      <c r="Q740" s="144"/>
      <c r="R740" s="144"/>
      <c r="S740" s="144"/>
      <c r="T740" s="144"/>
      <c r="U740" s="144"/>
      <c r="V740" s="144"/>
      <c r="W740" s="144"/>
      <c r="X740" s="144"/>
      <c r="Y740" s="144"/>
      <c r="Z740" s="144"/>
      <c r="AA740" s="144"/>
      <c r="AB740" s="144"/>
      <c r="AC740" s="144"/>
      <c r="AD740" s="144"/>
      <c r="AE740" s="144"/>
      <c r="AF740" s="144"/>
    </row>
    <row r="741" ht="16.5" customHeight="1">
      <c r="A741" s="144"/>
      <c r="B741" s="144"/>
      <c r="C741" s="144"/>
      <c r="D741" s="144"/>
      <c r="E741" s="144"/>
      <c r="F741" s="144"/>
      <c r="G741" s="144"/>
      <c r="H741" s="144"/>
      <c r="I741" s="496"/>
      <c r="J741" s="496"/>
      <c r="K741" s="496"/>
      <c r="L741" s="496"/>
      <c r="M741" s="144"/>
      <c r="N741" s="144"/>
      <c r="O741" s="144"/>
      <c r="P741" s="144"/>
      <c r="Q741" s="144"/>
      <c r="R741" s="144"/>
      <c r="S741" s="144"/>
      <c r="T741" s="144"/>
      <c r="U741" s="144"/>
      <c r="V741" s="144"/>
      <c r="W741" s="144"/>
      <c r="X741" s="144"/>
      <c r="Y741" s="144"/>
      <c r="Z741" s="144"/>
      <c r="AA741" s="144"/>
      <c r="AB741" s="144"/>
      <c r="AC741" s="144"/>
      <c r="AD741" s="144"/>
      <c r="AE741" s="144"/>
      <c r="AF741" s="144"/>
    </row>
    <row r="742" ht="16.5" customHeight="1">
      <c r="A742" s="144"/>
      <c r="B742" s="144"/>
      <c r="C742" s="144"/>
      <c r="D742" s="144"/>
      <c r="E742" s="144"/>
      <c r="F742" s="144"/>
      <c r="G742" s="144"/>
      <c r="H742" s="144"/>
      <c r="I742" s="496"/>
      <c r="J742" s="496"/>
      <c r="K742" s="496"/>
      <c r="L742" s="496"/>
      <c r="M742" s="144"/>
      <c r="N742" s="144"/>
      <c r="O742" s="144"/>
      <c r="P742" s="144"/>
      <c r="Q742" s="144"/>
      <c r="R742" s="144"/>
      <c r="S742" s="144"/>
      <c r="T742" s="144"/>
      <c r="U742" s="144"/>
      <c r="V742" s="144"/>
      <c r="W742" s="144"/>
      <c r="X742" s="144"/>
      <c r="Y742" s="144"/>
      <c r="Z742" s="144"/>
      <c r="AA742" s="144"/>
      <c r="AB742" s="144"/>
      <c r="AC742" s="144"/>
      <c r="AD742" s="144"/>
      <c r="AE742" s="144"/>
      <c r="AF742" s="144"/>
    </row>
    <row r="743" ht="16.5" customHeight="1">
      <c r="A743" s="144"/>
      <c r="B743" s="144"/>
      <c r="C743" s="144"/>
      <c r="D743" s="144"/>
      <c r="E743" s="144"/>
      <c r="F743" s="144"/>
      <c r="G743" s="144"/>
      <c r="H743" s="144"/>
      <c r="I743" s="496"/>
      <c r="J743" s="496"/>
      <c r="K743" s="496"/>
      <c r="L743" s="496"/>
      <c r="M743" s="144"/>
      <c r="N743" s="144"/>
      <c r="O743" s="144"/>
      <c r="P743" s="144"/>
      <c r="Q743" s="144"/>
      <c r="R743" s="144"/>
      <c r="S743" s="144"/>
      <c r="T743" s="144"/>
      <c r="U743" s="144"/>
      <c r="V743" s="144"/>
      <c r="W743" s="144"/>
      <c r="X743" s="144"/>
      <c r="Y743" s="144"/>
      <c r="Z743" s="144"/>
      <c r="AA743" s="144"/>
      <c r="AB743" s="144"/>
      <c r="AC743" s="144"/>
      <c r="AD743" s="144"/>
      <c r="AE743" s="144"/>
      <c r="AF743" s="144"/>
    </row>
    <row r="744" ht="16.5" customHeight="1">
      <c r="A744" s="144"/>
      <c r="B744" s="144"/>
      <c r="C744" s="144"/>
      <c r="D744" s="144"/>
      <c r="E744" s="144"/>
      <c r="F744" s="144"/>
      <c r="G744" s="144"/>
      <c r="H744" s="144"/>
      <c r="I744" s="496"/>
      <c r="J744" s="496"/>
      <c r="K744" s="496"/>
      <c r="L744" s="496"/>
      <c r="M744" s="144"/>
      <c r="N744" s="144"/>
      <c r="O744" s="144"/>
      <c r="P744" s="144"/>
      <c r="Q744" s="144"/>
      <c r="R744" s="144"/>
      <c r="S744" s="144"/>
      <c r="T744" s="144"/>
      <c r="U744" s="144"/>
      <c r="V744" s="144"/>
      <c r="W744" s="144"/>
      <c r="X744" s="144"/>
      <c r="Y744" s="144"/>
      <c r="Z744" s="144"/>
      <c r="AA744" s="144"/>
      <c r="AB744" s="144"/>
      <c r="AC744" s="144"/>
      <c r="AD744" s="144"/>
      <c r="AE744" s="144"/>
      <c r="AF744" s="144"/>
    </row>
    <row r="745" ht="16.5" customHeight="1">
      <c r="A745" s="144"/>
      <c r="B745" s="144"/>
      <c r="C745" s="144"/>
      <c r="D745" s="144"/>
      <c r="E745" s="144"/>
      <c r="F745" s="144"/>
      <c r="G745" s="144"/>
      <c r="H745" s="144"/>
      <c r="I745" s="496"/>
      <c r="J745" s="496"/>
      <c r="K745" s="496"/>
      <c r="L745" s="496"/>
      <c r="M745" s="144"/>
      <c r="N745" s="144"/>
      <c r="O745" s="144"/>
      <c r="P745" s="144"/>
      <c r="Q745" s="144"/>
      <c r="R745" s="144"/>
      <c r="S745" s="144"/>
      <c r="T745" s="144"/>
      <c r="U745" s="144"/>
      <c r="V745" s="144"/>
      <c r="W745" s="144"/>
      <c r="X745" s="144"/>
      <c r="Y745" s="144"/>
      <c r="Z745" s="144"/>
      <c r="AA745" s="144"/>
      <c r="AB745" s="144"/>
      <c r="AC745" s="144"/>
      <c r="AD745" s="144"/>
      <c r="AE745" s="144"/>
      <c r="AF745" s="144"/>
    </row>
    <row r="746" ht="16.5" customHeight="1">
      <c r="A746" s="144"/>
      <c r="B746" s="144"/>
      <c r="C746" s="144"/>
      <c r="D746" s="144"/>
      <c r="E746" s="144"/>
      <c r="F746" s="144"/>
      <c r="G746" s="144"/>
      <c r="H746" s="144"/>
      <c r="I746" s="496"/>
      <c r="J746" s="496"/>
      <c r="K746" s="496"/>
      <c r="L746" s="496"/>
      <c r="M746" s="144"/>
      <c r="N746" s="144"/>
      <c r="O746" s="144"/>
      <c r="P746" s="144"/>
      <c r="Q746" s="144"/>
      <c r="R746" s="144"/>
      <c r="S746" s="144"/>
      <c r="T746" s="144"/>
      <c r="U746" s="144"/>
      <c r="V746" s="144"/>
      <c r="W746" s="144"/>
      <c r="X746" s="144"/>
      <c r="Y746" s="144"/>
      <c r="Z746" s="144"/>
      <c r="AA746" s="144"/>
      <c r="AB746" s="144"/>
      <c r="AC746" s="144"/>
      <c r="AD746" s="144"/>
      <c r="AE746" s="144"/>
      <c r="AF746" s="144"/>
    </row>
    <row r="747" ht="16.5" customHeight="1">
      <c r="A747" s="144"/>
      <c r="B747" s="144"/>
      <c r="C747" s="144"/>
      <c r="D747" s="144"/>
      <c r="E747" s="144"/>
      <c r="F747" s="144"/>
      <c r="G747" s="144"/>
      <c r="H747" s="144"/>
      <c r="I747" s="496"/>
      <c r="J747" s="496"/>
      <c r="K747" s="496"/>
      <c r="L747" s="496"/>
      <c r="M747" s="144"/>
      <c r="N747" s="144"/>
      <c r="O747" s="144"/>
      <c r="P747" s="144"/>
      <c r="Q747" s="144"/>
      <c r="R747" s="144"/>
      <c r="S747" s="144"/>
      <c r="T747" s="144"/>
      <c r="U747" s="144"/>
      <c r="V747" s="144"/>
      <c r="W747" s="144"/>
      <c r="X747" s="144"/>
      <c r="Y747" s="144"/>
      <c r="Z747" s="144"/>
      <c r="AA747" s="144"/>
      <c r="AB747" s="144"/>
      <c r="AC747" s="144"/>
      <c r="AD747" s="144"/>
      <c r="AE747" s="144"/>
      <c r="AF747" s="144"/>
    </row>
    <row r="748" ht="16.5" customHeight="1">
      <c r="A748" s="144"/>
      <c r="B748" s="144"/>
      <c r="C748" s="144"/>
      <c r="D748" s="144"/>
      <c r="E748" s="144"/>
      <c r="F748" s="144"/>
      <c r="G748" s="144"/>
      <c r="H748" s="144"/>
      <c r="I748" s="496"/>
      <c r="J748" s="496"/>
      <c r="K748" s="496"/>
      <c r="L748" s="496"/>
      <c r="M748" s="144"/>
      <c r="N748" s="144"/>
      <c r="O748" s="144"/>
      <c r="P748" s="144"/>
      <c r="Q748" s="144"/>
      <c r="R748" s="144"/>
      <c r="S748" s="144"/>
      <c r="T748" s="144"/>
      <c r="U748" s="144"/>
      <c r="V748" s="144"/>
      <c r="W748" s="144"/>
      <c r="X748" s="144"/>
      <c r="Y748" s="144"/>
      <c r="Z748" s="144"/>
      <c r="AA748" s="144"/>
      <c r="AB748" s="144"/>
      <c r="AC748" s="144"/>
      <c r="AD748" s="144"/>
      <c r="AE748" s="144"/>
      <c r="AF748" s="144"/>
    </row>
    <row r="749" ht="16.5" customHeight="1">
      <c r="A749" s="144"/>
      <c r="B749" s="144"/>
      <c r="C749" s="144"/>
      <c r="D749" s="144"/>
      <c r="E749" s="144"/>
      <c r="F749" s="144"/>
      <c r="G749" s="144"/>
      <c r="H749" s="144"/>
      <c r="I749" s="496"/>
      <c r="J749" s="496"/>
      <c r="K749" s="496"/>
      <c r="L749" s="496"/>
      <c r="M749" s="144"/>
      <c r="N749" s="144"/>
      <c r="O749" s="144"/>
      <c r="P749" s="144"/>
      <c r="Q749" s="144"/>
      <c r="R749" s="144"/>
      <c r="S749" s="144"/>
      <c r="T749" s="144"/>
      <c r="U749" s="144"/>
      <c r="V749" s="144"/>
      <c r="W749" s="144"/>
      <c r="X749" s="144"/>
      <c r="Y749" s="144"/>
      <c r="Z749" s="144"/>
      <c r="AA749" s="144"/>
      <c r="AB749" s="144"/>
      <c r="AC749" s="144"/>
      <c r="AD749" s="144"/>
      <c r="AE749" s="144"/>
      <c r="AF749" s="144"/>
    </row>
    <row r="750" ht="16.5" customHeight="1">
      <c r="A750" s="144"/>
      <c r="B750" s="144"/>
      <c r="C750" s="144"/>
      <c r="D750" s="144"/>
      <c r="E750" s="144"/>
      <c r="F750" s="144"/>
      <c r="G750" s="144"/>
      <c r="H750" s="144"/>
      <c r="I750" s="496"/>
      <c r="J750" s="496"/>
      <c r="K750" s="496"/>
      <c r="L750" s="496"/>
      <c r="M750" s="144"/>
      <c r="N750" s="144"/>
      <c r="O750" s="144"/>
      <c r="P750" s="144"/>
      <c r="Q750" s="144"/>
      <c r="R750" s="144"/>
      <c r="S750" s="144"/>
      <c r="T750" s="144"/>
      <c r="U750" s="144"/>
      <c r="V750" s="144"/>
      <c r="W750" s="144"/>
      <c r="X750" s="144"/>
      <c r="Y750" s="144"/>
      <c r="Z750" s="144"/>
      <c r="AA750" s="144"/>
      <c r="AB750" s="144"/>
      <c r="AC750" s="144"/>
      <c r="AD750" s="144"/>
      <c r="AE750" s="144"/>
      <c r="AF750" s="144"/>
    </row>
    <row r="751" ht="16.5" customHeight="1">
      <c r="A751" s="144"/>
      <c r="B751" s="144"/>
      <c r="C751" s="144"/>
      <c r="D751" s="144"/>
      <c r="E751" s="144"/>
      <c r="F751" s="144"/>
      <c r="G751" s="144"/>
      <c r="H751" s="144"/>
      <c r="I751" s="496"/>
      <c r="J751" s="496"/>
      <c r="K751" s="496"/>
      <c r="L751" s="496"/>
      <c r="M751" s="144"/>
      <c r="N751" s="144"/>
      <c r="O751" s="144"/>
      <c r="P751" s="144"/>
      <c r="Q751" s="144"/>
      <c r="R751" s="144"/>
      <c r="S751" s="144"/>
      <c r="T751" s="144"/>
      <c r="U751" s="144"/>
      <c r="V751" s="144"/>
      <c r="W751" s="144"/>
      <c r="X751" s="144"/>
      <c r="Y751" s="144"/>
      <c r="Z751" s="144"/>
      <c r="AA751" s="144"/>
      <c r="AB751" s="144"/>
      <c r="AC751" s="144"/>
      <c r="AD751" s="144"/>
      <c r="AE751" s="144"/>
      <c r="AF751" s="144"/>
    </row>
    <row r="752" ht="16.5" customHeight="1">
      <c r="A752" s="144"/>
      <c r="B752" s="144"/>
      <c r="C752" s="144"/>
      <c r="D752" s="144"/>
      <c r="E752" s="144"/>
      <c r="F752" s="144"/>
      <c r="G752" s="144"/>
      <c r="H752" s="144"/>
      <c r="I752" s="496"/>
      <c r="J752" s="496"/>
      <c r="K752" s="496"/>
      <c r="L752" s="496"/>
      <c r="M752" s="144"/>
      <c r="N752" s="144"/>
      <c r="O752" s="144"/>
      <c r="P752" s="144"/>
      <c r="Q752" s="144"/>
      <c r="R752" s="144"/>
      <c r="S752" s="144"/>
      <c r="T752" s="144"/>
      <c r="U752" s="144"/>
      <c r="V752" s="144"/>
      <c r="W752" s="144"/>
      <c r="X752" s="144"/>
      <c r="Y752" s="144"/>
      <c r="Z752" s="144"/>
      <c r="AA752" s="144"/>
      <c r="AB752" s="144"/>
      <c r="AC752" s="144"/>
      <c r="AD752" s="144"/>
      <c r="AE752" s="144"/>
      <c r="AF752" s="144"/>
    </row>
    <row r="753" ht="16.5" customHeight="1">
      <c r="A753" s="144"/>
      <c r="B753" s="144"/>
      <c r="C753" s="144"/>
      <c r="D753" s="144"/>
      <c r="E753" s="144"/>
      <c r="F753" s="144"/>
      <c r="G753" s="144"/>
      <c r="H753" s="144"/>
      <c r="I753" s="496"/>
      <c r="J753" s="496"/>
      <c r="K753" s="496"/>
      <c r="L753" s="496"/>
      <c r="M753" s="144"/>
      <c r="N753" s="144"/>
      <c r="O753" s="144"/>
      <c r="P753" s="144"/>
      <c r="Q753" s="144"/>
      <c r="R753" s="144"/>
      <c r="S753" s="144"/>
      <c r="T753" s="144"/>
      <c r="U753" s="144"/>
      <c r="V753" s="144"/>
      <c r="W753" s="144"/>
      <c r="X753" s="144"/>
      <c r="Y753" s="144"/>
      <c r="Z753" s="144"/>
      <c r="AA753" s="144"/>
      <c r="AB753" s="144"/>
      <c r="AC753" s="144"/>
      <c r="AD753" s="144"/>
      <c r="AE753" s="144"/>
      <c r="AF753" s="144"/>
    </row>
    <row r="754" ht="16.5" customHeight="1">
      <c r="A754" s="144"/>
      <c r="B754" s="144"/>
      <c r="C754" s="144"/>
      <c r="D754" s="144"/>
      <c r="E754" s="144"/>
      <c r="F754" s="144"/>
      <c r="G754" s="144"/>
      <c r="H754" s="144"/>
      <c r="I754" s="496"/>
      <c r="J754" s="496"/>
      <c r="K754" s="496"/>
      <c r="L754" s="496"/>
      <c r="M754" s="144"/>
      <c r="N754" s="144"/>
      <c r="O754" s="144"/>
      <c r="P754" s="144"/>
      <c r="Q754" s="144"/>
      <c r="R754" s="144"/>
      <c r="S754" s="144"/>
      <c r="T754" s="144"/>
      <c r="U754" s="144"/>
      <c r="V754" s="144"/>
      <c r="W754" s="144"/>
      <c r="X754" s="144"/>
      <c r="Y754" s="144"/>
      <c r="Z754" s="144"/>
      <c r="AA754" s="144"/>
      <c r="AB754" s="144"/>
      <c r="AC754" s="144"/>
      <c r="AD754" s="144"/>
      <c r="AE754" s="144"/>
      <c r="AF754" s="144"/>
    </row>
    <row r="755" ht="16.5" customHeight="1">
      <c r="A755" s="144"/>
      <c r="B755" s="144"/>
      <c r="C755" s="144"/>
      <c r="D755" s="144"/>
      <c r="E755" s="144"/>
      <c r="F755" s="144"/>
      <c r="G755" s="144"/>
      <c r="H755" s="144"/>
      <c r="I755" s="496"/>
      <c r="J755" s="496"/>
      <c r="K755" s="496"/>
      <c r="L755" s="496"/>
      <c r="M755" s="144"/>
      <c r="N755" s="144"/>
      <c r="O755" s="144"/>
      <c r="P755" s="144"/>
      <c r="Q755" s="144"/>
      <c r="R755" s="144"/>
      <c r="S755" s="144"/>
      <c r="T755" s="144"/>
      <c r="U755" s="144"/>
      <c r="V755" s="144"/>
      <c r="W755" s="144"/>
      <c r="X755" s="144"/>
      <c r="Y755" s="144"/>
      <c r="Z755" s="144"/>
      <c r="AA755" s="144"/>
      <c r="AB755" s="144"/>
      <c r="AC755" s="144"/>
      <c r="AD755" s="144"/>
      <c r="AE755" s="144"/>
      <c r="AF755" s="144"/>
    </row>
    <row r="756" ht="16.5" customHeight="1">
      <c r="A756" s="144"/>
      <c r="B756" s="144"/>
      <c r="C756" s="144"/>
      <c r="D756" s="144"/>
      <c r="E756" s="144"/>
      <c r="F756" s="144"/>
      <c r="G756" s="144"/>
      <c r="H756" s="144"/>
      <c r="I756" s="496"/>
      <c r="J756" s="496"/>
      <c r="K756" s="496"/>
      <c r="L756" s="496"/>
      <c r="M756" s="144"/>
      <c r="N756" s="144"/>
      <c r="O756" s="144"/>
      <c r="P756" s="144"/>
      <c r="Q756" s="144"/>
      <c r="R756" s="144"/>
      <c r="S756" s="144"/>
      <c r="T756" s="144"/>
      <c r="U756" s="144"/>
      <c r="V756" s="144"/>
      <c r="W756" s="144"/>
      <c r="X756" s="144"/>
      <c r="Y756" s="144"/>
      <c r="Z756" s="144"/>
      <c r="AA756" s="144"/>
      <c r="AB756" s="144"/>
      <c r="AC756" s="144"/>
      <c r="AD756" s="144"/>
      <c r="AE756" s="144"/>
      <c r="AF756" s="144"/>
    </row>
    <row r="757" ht="16.5" customHeight="1">
      <c r="A757" s="144"/>
      <c r="B757" s="144"/>
      <c r="C757" s="144"/>
      <c r="D757" s="144"/>
      <c r="E757" s="144"/>
      <c r="F757" s="144"/>
      <c r="G757" s="144"/>
      <c r="H757" s="144"/>
      <c r="I757" s="496"/>
      <c r="J757" s="496"/>
      <c r="K757" s="496"/>
      <c r="L757" s="496"/>
      <c r="M757" s="144"/>
      <c r="N757" s="144"/>
      <c r="O757" s="144"/>
      <c r="P757" s="144"/>
      <c r="Q757" s="144"/>
      <c r="R757" s="144"/>
      <c r="S757" s="144"/>
      <c r="T757" s="144"/>
      <c r="U757" s="144"/>
      <c r="V757" s="144"/>
      <c r="W757" s="144"/>
      <c r="X757" s="144"/>
      <c r="Y757" s="144"/>
      <c r="Z757" s="144"/>
      <c r="AA757" s="144"/>
      <c r="AB757" s="144"/>
      <c r="AC757" s="144"/>
      <c r="AD757" s="144"/>
      <c r="AE757" s="144"/>
      <c r="AF757" s="144"/>
    </row>
    <row r="758" ht="16.5" customHeight="1">
      <c r="A758" s="144"/>
      <c r="B758" s="144"/>
      <c r="C758" s="144"/>
      <c r="D758" s="144"/>
      <c r="E758" s="144"/>
      <c r="F758" s="144"/>
      <c r="G758" s="144"/>
      <c r="H758" s="144"/>
      <c r="I758" s="496"/>
      <c r="J758" s="496"/>
      <c r="K758" s="496"/>
      <c r="L758" s="496"/>
      <c r="M758" s="144"/>
      <c r="N758" s="144"/>
      <c r="O758" s="144"/>
      <c r="P758" s="144"/>
      <c r="Q758" s="144"/>
      <c r="R758" s="144"/>
      <c r="S758" s="144"/>
      <c r="T758" s="144"/>
      <c r="U758" s="144"/>
      <c r="V758" s="144"/>
      <c r="W758" s="144"/>
      <c r="X758" s="144"/>
      <c r="Y758" s="144"/>
      <c r="Z758" s="144"/>
      <c r="AA758" s="144"/>
      <c r="AB758" s="144"/>
      <c r="AC758" s="144"/>
      <c r="AD758" s="144"/>
      <c r="AE758" s="144"/>
      <c r="AF758" s="144"/>
    </row>
    <row r="759" ht="16.5" customHeight="1">
      <c r="A759" s="144"/>
      <c r="B759" s="144"/>
      <c r="C759" s="144"/>
      <c r="D759" s="144"/>
      <c r="E759" s="144"/>
      <c r="F759" s="144"/>
      <c r="G759" s="144"/>
      <c r="H759" s="144"/>
      <c r="I759" s="496"/>
      <c r="J759" s="496"/>
      <c r="K759" s="496"/>
      <c r="L759" s="496"/>
      <c r="M759" s="144"/>
      <c r="N759" s="144"/>
      <c r="O759" s="144"/>
      <c r="P759" s="144"/>
      <c r="Q759" s="144"/>
      <c r="R759" s="144"/>
      <c r="S759" s="144"/>
      <c r="T759" s="144"/>
      <c r="U759" s="144"/>
      <c r="V759" s="144"/>
      <c r="W759" s="144"/>
      <c r="X759" s="144"/>
      <c r="Y759" s="144"/>
      <c r="Z759" s="144"/>
      <c r="AA759" s="144"/>
      <c r="AB759" s="144"/>
      <c r="AC759" s="144"/>
      <c r="AD759" s="144"/>
      <c r="AE759" s="144"/>
      <c r="AF759" s="144"/>
    </row>
    <row r="760" ht="16.5" customHeight="1">
      <c r="A760" s="144"/>
      <c r="B760" s="144"/>
      <c r="C760" s="144"/>
      <c r="D760" s="144"/>
      <c r="E760" s="144"/>
      <c r="F760" s="144"/>
      <c r="G760" s="144"/>
      <c r="H760" s="144"/>
      <c r="I760" s="496"/>
      <c r="J760" s="496"/>
      <c r="K760" s="496"/>
      <c r="L760" s="496"/>
      <c r="M760" s="144"/>
      <c r="N760" s="144"/>
      <c r="O760" s="144"/>
      <c r="P760" s="144"/>
      <c r="Q760" s="144"/>
      <c r="R760" s="144"/>
      <c r="S760" s="144"/>
      <c r="T760" s="144"/>
      <c r="U760" s="144"/>
      <c r="V760" s="144"/>
      <c r="W760" s="144"/>
      <c r="X760" s="144"/>
      <c r="Y760" s="144"/>
      <c r="Z760" s="144"/>
      <c r="AA760" s="144"/>
      <c r="AB760" s="144"/>
      <c r="AC760" s="144"/>
      <c r="AD760" s="144"/>
      <c r="AE760" s="144"/>
      <c r="AF760" s="144"/>
    </row>
    <row r="761" ht="16.5" customHeight="1">
      <c r="A761" s="144"/>
      <c r="B761" s="144"/>
      <c r="C761" s="144"/>
      <c r="D761" s="144"/>
      <c r="E761" s="144"/>
      <c r="F761" s="144"/>
      <c r="G761" s="144"/>
      <c r="H761" s="144"/>
      <c r="I761" s="496"/>
      <c r="J761" s="496"/>
      <c r="K761" s="496"/>
      <c r="L761" s="496"/>
      <c r="M761" s="144"/>
      <c r="N761" s="144"/>
      <c r="O761" s="144"/>
      <c r="P761" s="144"/>
      <c r="Q761" s="144"/>
      <c r="R761" s="144"/>
      <c r="S761" s="144"/>
      <c r="T761" s="144"/>
      <c r="U761" s="144"/>
      <c r="V761" s="144"/>
      <c r="W761" s="144"/>
      <c r="X761" s="144"/>
      <c r="Y761" s="144"/>
      <c r="Z761" s="144"/>
      <c r="AA761" s="144"/>
      <c r="AB761" s="144"/>
      <c r="AC761" s="144"/>
      <c r="AD761" s="144"/>
      <c r="AE761" s="144"/>
      <c r="AF761" s="144"/>
    </row>
    <row r="762" ht="16.5" customHeight="1">
      <c r="A762" s="144"/>
      <c r="B762" s="144"/>
      <c r="C762" s="144"/>
      <c r="D762" s="144"/>
      <c r="E762" s="144"/>
      <c r="F762" s="144"/>
      <c r="G762" s="144"/>
      <c r="H762" s="144"/>
      <c r="I762" s="496"/>
      <c r="J762" s="496"/>
      <c r="K762" s="496"/>
      <c r="L762" s="496"/>
      <c r="M762" s="144"/>
      <c r="N762" s="144"/>
      <c r="O762" s="144"/>
      <c r="P762" s="144"/>
      <c r="Q762" s="144"/>
      <c r="R762" s="144"/>
      <c r="S762" s="144"/>
      <c r="T762" s="144"/>
      <c r="U762" s="144"/>
      <c r="V762" s="144"/>
      <c r="W762" s="144"/>
      <c r="X762" s="144"/>
      <c r="Y762" s="144"/>
      <c r="Z762" s="144"/>
      <c r="AA762" s="144"/>
      <c r="AB762" s="144"/>
      <c r="AC762" s="144"/>
      <c r="AD762" s="144"/>
      <c r="AE762" s="144"/>
      <c r="AF762" s="144"/>
    </row>
    <row r="763" ht="16.5" customHeight="1">
      <c r="A763" s="144"/>
      <c r="B763" s="144"/>
      <c r="C763" s="144"/>
      <c r="D763" s="144"/>
      <c r="E763" s="144"/>
      <c r="F763" s="144"/>
      <c r="G763" s="144"/>
      <c r="H763" s="144"/>
      <c r="I763" s="496"/>
      <c r="J763" s="496"/>
      <c r="K763" s="496"/>
      <c r="L763" s="496"/>
      <c r="M763" s="144"/>
      <c r="N763" s="144"/>
      <c r="O763" s="144"/>
      <c r="P763" s="144"/>
      <c r="Q763" s="144"/>
      <c r="R763" s="144"/>
      <c r="S763" s="144"/>
      <c r="T763" s="144"/>
      <c r="U763" s="144"/>
      <c r="V763" s="144"/>
      <c r="W763" s="144"/>
      <c r="X763" s="144"/>
      <c r="Y763" s="144"/>
      <c r="Z763" s="144"/>
      <c r="AA763" s="144"/>
      <c r="AB763" s="144"/>
      <c r="AC763" s="144"/>
      <c r="AD763" s="144"/>
      <c r="AE763" s="144"/>
      <c r="AF763" s="144"/>
    </row>
    <row r="764" ht="16.5" customHeight="1">
      <c r="A764" s="144"/>
      <c r="B764" s="144"/>
      <c r="C764" s="144"/>
      <c r="D764" s="144"/>
      <c r="E764" s="144"/>
      <c r="F764" s="144"/>
      <c r="G764" s="144"/>
      <c r="H764" s="144"/>
      <c r="I764" s="496"/>
      <c r="J764" s="496"/>
      <c r="K764" s="496"/>
      <c r="L764" s="496"/>
      <c r="M764" s="144"/>
      <c r="N764" s="144"/>
      <c r="O764" s="144"/>
      <c r="P764" s="144"/>
      <c r="Q764" s="144"/>
      <c r="R764" s="144"/>
      <c r="S764" s="144"/>
      <c r="T764" s="144"/>
      <c r="U764" s="144"/>
      <c r="V764" s="144"/>
      <c r="W764" s="144"/>
      <c r="X764" s="144"/>
      <c r="Y764" s="144"/>
      <c r="Z764" s="144"/>
      <c r="AA764" s="144"/>
      <c r="AB764" s="144"/>
      <c r="AC764" s="144"/>
      <c r="AD764" s="144"/>
      <c r="AE764" s="144"/>
      <c r="AF764" s="144"/>
    </row>
    <row r="765" ht="16.5" customHeight="1">
      <c r="A765" s="144"/>
      <c r="B765" s="144"/>
      <c r="C765" s="144"/>
      <c r="D765" s="144"/>
      <c r="E765" s="144"/>
      <c r="F765" s="144"/>
      <c r="G765" s="144"/>
      <c r="H765" s="144"/>
      <c r="I765" s="496"/>
      <c r="J765" s="496"/>
      <c r="K765" s="496"/>
      <c r="L765" s="496"/>
      <c r="M765" s="144"/>
      <c r="N765" s="144"/>
      <c r="O765" s="144"/>
      <c r="P765" s="144"/>
      <c r="Q765" s="144"/>
      <c r="R765" s="144"/>
      <c r="S765" s="144"/>
      <c r="T765" s="144"/>
      <c r="U765" s="144"/>
      <c r="V765" s="144"/>
      <c r="W765" s="144"/>
      <c r="X765" s="144"/>
      <c r="Y765" s="144"/>
      <c r="Z765" s="144"/>
      <c r="AA765" s="144"/>
      <c r="AB765" s="144"/>
      <c r="AC765" s="144"/>
      <c r="AD765" s="144"/>
      <c r="AE765" s="144"/>
      <c r="AF765" s="144"/>
    </row>
    <row r="766" ht="16.5" customHeight="1">
      <c r="A766" s="144"/>
      <c r="B766" s="144"/>
      <c r="C766" s="144"/>
      <c r="D766" s="144"/>
      <c r="E766" s="144"/>
      <c r="F766" s="144"/>
      <c r="G766" s="144"/>
      <c r="H766" s="144"/>
      <c r="I766" s="496"/>
      <c r="J766" s="496"/>
      <c r="K766" s="496"/>
      <c r="L766" s="496"/>
      <c r="M766" s="144"/>
      <c r="N766" s="144"/>
      <c r="O766" s="144"/>
      <c r="P766" s="144"/>
      <c r="Q766" s="144"/>
      <c r="R766" s="144"/>
      <c r="S766" s="144"/>
      <c r="T766" s="144"/>
      <c r="U766" s="144"/>
      <c r="V766" s="144"/>
      <c r="W766" s="144"/>
      <c r="X766" s="144"/>
      <c r="Y766" s="144"/>
      <c r="Z766" s="144"/>
      <c r="AA766" s="144"/>
      <c r="AB766" s="144"/>
      <c r="AC766" s="144"/>
      <c r="AD766" s="144"/>
      <c r="AE766" s="144"/>
      <c r="AF766" s="144"/>
    </row>
    <row r="767" ht="16.5" customHeight="1">
      <c r="A767" s="144"/>
      <c r="B767" s="144"/>
      <c r="C767" s="144"/>
      <c r="D767" s="144"/>
      <c r="E767" s="144"/>
      <c r="F767" s="144"/>
      <c r="G767" s="144"/>
      <c r="H767" s="144"/>
      <c r="I767" s="496"/>
      <c r="J767" s="496"/>
      <c r="K767" s="496"/>
      <c r="L767" s="496"/>
      <c r="M767" s="144"/>
      <c r="N767" s="144"/>
      <c r="O767" s="144"/>
      <c r="P767" s="144"/>
      <c r="Q767" s="144"/>
      <c r="R767" s="144"/>
      <c r="S767" s="144"/>
      <c r="T767" s="144"/>
      <c r="U767" s="144"/>
      <c r="V767" s="144"/>
      <c r="W767" s="144"/>
      <c r="X767" s="144"/>
      <c r="Y767" s="144"/>
      <c r="Z767" s="144"/>
      <c r="AA767" s="144"/>
      <c r="AB767" s="144"/>
      <c r="AC767" s="144"/>
      <c r="AD767" s="144"/>
      <c r="AE767" s="144"/>
      <c r="AF767" s="144"/>
    </row>
    <row r="768" ht="16.5" customHeight="1">
      <c r="A768" s="144"/>
      <c r="B768" s="144"/>
      <c r="C768" s="144"/>
      <c r="D768" s="144"/>
      <c r="E768" s="144"/>
      <c r="F768" s="144"/>
      <c r="G768" s="144"/>
      <c r="H768" s="144"/>
      <c r="I768" s="496"/>
      <c r="J768" s="496"/>
      <c r="K768" s="496"/>
      <c r="L768" s="496"/>
      <c r="M768" s="144"/>
      <c r="N768" s="144"/>
      <c r="O768" s="144"/>
      <c r="P768" s="144"/>
      <c r="Q768" s="144"/>
      <c r="R768" s="144"/>
      <c r="S768" s="144"/>
      <c r="T768" s="144"/>
      <c r="U768" s="144"/>
      <c r="V768" s="144"/>
      <c r="W768" s="144"/>
      <c r="X768" s="144"/>
      <c r="Y768" s="144"/>
      <c r="Z768" s="144"/>
      <c r="AA768" s="144"/>
      <c r="AB768" s="144"/>
      <c r="AC768" s="144"/>
      <c r="AD768" s="144"/>
      <c r="AE768" s="144"/>
      <c r="AF768" s="144"/>
    </row>
    <row r="769" ht="16.5" customHeight="1">
      <c r="A769" s="144"/>
      <c r="B769" s="144"/>
      <c r="C769" s="144"/>
      <c r="D769" s="144"/>
      <c r="E769" s="144"/>
      <c r="F769" s="144"/>
      <c r="G769" s="144"/>
      <c r="H769" s="144"/>
      <c r="I769" s="496"/>
      <c r="J769" s="496"/>
      <c r="K769" s="496"/>
      <c r="L769" s="496"/>
      <c r="M769" s="144"/>
      <c r="N769" s="144"/>
      <c r="O769" s="144"/>
      <c r="P769" s="144"/>
      <c r="Q769" s="144"/>
      <c r="R769" s="144"/>
      <c r="S769" s="144"/>
      <c r="T769" s="144"/>
      <c r="U769" s="144"/>
      <c r="V769" s="144"/>
      <c r="W769" s="144"/>
      <c r="X769" s="144"/>
      <c r="Y769" s="144"/>
      <c r="Z769" s="144"/>
      <c r="AA769" s="144"/>
      <c r="AB769" s="144"/>
      <c r="AC769" s="144"/>
      <c r="AD769" s="144"/>
      <c r="AE769" s="144"/>
      <c r="AF769" s="144"/>
    </row>
    <row r="770" ht="16.5" customHeight="1">
      <c r="A770" s="144"/>
      <c r="B770" s="144"/>
      <c r="C770" s="144"/>
      <c r="D770" s="144"/>
      <c r="E770" s="144"/>
      <c r="F770" s="144"/>
      <c r="G770" s="144"/>
      <c r="H770" s="144"/>
      <c r="I770" s="496"/>
      <c r="J770" s="496"/>
      <c r="K770" s="496"/>
      <c r="L770" s="496"/>
      <c r="M770" s="144"/>
      <c r="N770" s="144"/>
      <c r="O770" s="144"/>
      <c r="P770" s="144"/>
      <c r="Q770" s="144"/>
      <c r="R770" s="144"/>
      <c r="S770" s="144"/>
      <c r="T770" s="144"/>
      <c r="U770" s="144"/>
      <c r="V770" s="144"/>
      <c r="W770" s="144"/>
      <c r="X770" s="144"/>
      <c r="Y770" s="144"/>
      <c r="Z770" s="144"/>
      <c r="AA770" s="144"/>
      <c r="AB770" s="144"/>
      <c r="AC770" s="144"/>
      <c r="AD770" s="144"/>
      <c r="AE770" s="144"/>
      <c r="AF770" s="144"/>
    </row>
    <row r="771" ht="16.5" customHeight="1">
      <c r="A771" s="144"/>
      <c r="B771" s="144"/>
      <c r="C771" s="144"/>
      <c r="D771" s="144"/>
      <c r="E771" s="144"/>
      <c r="F771" s="144"/>
      <c r="G771" s="144"/>
      <c r="H771" s="144"/>
      <c r="I771" s="496"/>
      <c r="J771" s="496"/>
      <c r="K771" s="496"/>
      <c r="L771" s="496"/>
      <c r="M771" s="144"/>
      <c r="N771" s="144"/>
      <c r="O771" s="144"/>
      <c r="P771" s="144"/>
      <c r="Q771" s="144"/>
      <c r="R771" s="144"/>
      <c r="S771" s="144"/>
      <c r="T771" s="144"/>
      <c r="U771" s="144"/>
      <c r="V771" s="144"/>
      <c r="W771" s="144"/>
      <c r="X771" s="144"/>
      <c r="Y771" s="144"/>
      <c r="Z771" s="144"/>
      <c r="AA771" s="144"/>
      <c r="AB771" s="144"/>
      <c r="AC771" s="144"/>
      <c r="AD771" s="144"/>
      <c r="AE771" s="144"/>
      <c r="AF771" s="144"/>
    </row>
    <row r="772" ht="16.5" customHeight="1">
      <c r="A772" s="144"/>
      <c r="B772" s="144"/>
      <c r="C772" s="144"/>
      <c r="D772" s="144"/>
      <c r="E772" s="144"/>
      <c r="F772" s="144"/>
      <c r="G772" s="144"/>
      <c r="H772" s="144"/>
      <c r="I772" s="496"/>
      <c r="J772" s="496"/>
      <c r="K772" s="496"/>
      <c r="L772" s="496"/>
      <c r="M772" s="144"/>
      <c r="N772" s="144"/>
      <c r="O772" s="144"/>
      <c r="P772" s="144"/>
      <c r="Q772" s="144"/>
      <c r="R772" s="144"/>
      <c r="S772" s="144"/>
      <c r="T772" s="144"/>
      <c r="U772" s="144"/>
      <c r="V772" s="144"/>
      <c r="W772" s="144"/>
      <c r="X772" s="144"/>
      <c r="Y772" s="144"/>
      <c r="Z772" s="144"/>
      <c r="AA772" s="144"/>
      <c r="AB772" s="144"/>
      <c r="AC772" s="144"/>
      <c r="AD772" s="144"/>
      <c r="AE772" s="144"/>
      <c r="AF772" s="144"/>
    </row>
    <row r="773" ht="16.5" customHeight="1">
      <c r="A773" s="144"/>
      <c r="B773" s="144"/>
      <c r="C773" s="144"/>
      <c r="D773" s="144"/>
      <c r="E773" s="144"/>
      <c r="F773" s="144"/>
      <c r="G773" s="144"/>
      <c r="H773" s="144"/>
      <c r="I773" s="496"/>
      <c r="J773" s="496"/>
      <c r="K773" s="496"/>
      <c r="L773" s="496"/>
      <c r="M773" s="144"/>
      <c r="N773" s="144"/>
      <c r="O773" s="144"/>
      <c r="P773" s="144"/>
      <c r="Q773" s="144"/>
      <c r="R773" s="144"/>
      <c r="S773" s="144"/>
      <c r="T773" s="144"/>
      <c r="U773" s="144"/>
      <c r="V773" s="144"/>
      <c r="W773" s="144"/>
      <c r="X773" s="144"/>
      <c r="Y773" s="144"/>
      <c r="Z773" s="144"/>
      <c r="AA773" s="144"/>
      <c r="AB773" s="144"/>
      <c r="AC773" s="144"/>
      <c r="AD773" s="144"/>
      <c r="AE773" s="144"/>
      <c r="AF773" s="144"/>
    </row>
    <row r="774" ht="16.5" customHeight="1">
      <c r="A774" s="144"/>
      <c r="B774" s="144"/>
      <c r="C774" s="144"/>
      <c r="D774" s="144"/>
      <c r="E774" s="144"/>
      <c r="F774" s="144"/>
      <c r="G774" s="144"/>
      <c r="H774" s="144"/>
      <c r="I774" s="496"/>
      <c r="J774" s="496"/>
      <c r="K774" s="496"/>
      <c r="L774" s="496"/>
      <c r="M774" s="144"/>
      <c r="N774" s="144"/>
      <c r="O774" s="144"/>
      <c r="P774" s="144"/>
      <c r="Q774" s="144"/>
      <c r="R774" s="144"/>
      <c r="S774" s="144"/>
      <c r="T774" s="144"/>
      <c r="U774" s="144"/>
      <c r="V774" s="144"/>
      <c r="W774" s="144"/>
      <c r="X774" s="144"/>
      <c r="Y774" s="144"/>
      <c r="Z774" s="144"/>
      <c r="AA774" s="144"/>
      <c r="AB774" s="144"/>
      <c r="AC774" s="144"/>
      <c r="AD774" s="144"/>
      <c r="AE774" s="144"/>
      <c r="AF774" s="144"/>
    </row>
    <row r="775" ht="16.5" customHeight="1">
      <c r="A775" s="144"/>
      <c r="B775" s="144"/>
      <c r="C775" s="144"/>
      <c r="D775" s="144"/>
      <c r="E775" s="144"/>
      <c r="F775" s="144"/>
      <c r="G775" s="144"/>
      <c r="H775" s="144"/>
      <c r="I775" s="496"/>
      <c r="J775" s="496"/>
      <c r="K775" s="496"/>
      <c r="L775" s="496"/>
      <c r="M775" s="144"/>
      <c r="N775" s="144"/>
      <c r="O775" s="144"/>
      <c r="P775" s="144"/>
      <c r="Q775" s="144"/>
      <c r="R775" s="144"/>
      <c r="S775" s="144"/>
      <c r="T775" s="144"/>
      <c r="U775" s="144"/>
      <c r="V775" s="144"/>
      <c r="W775" s="144"/>
      <c r="X775" s="144"/>
      <c r="Y775" s="144"/>
      <c r="Z775" s="144"/>
      <c r="AA775" s="144"/>
      <c r="AB775" s="144"/>
      <c r="AC775" s="144"/>
      <c r="AD775" s="144"/>
      <c r="AE775" s="144"/>
      <c r="AF775" s="144"/>
    </row>
    <row r="776" ht="16.5" customHeight="1">
      <c r="A776" s="144"/>
      <c r="B776" s="144"/>
      <c r="C776" s="144"/>
      <c r="D776" s="144"/>
      <c r="E776" s="144"/>
      <c r="F776" s="144"/>
      <c r="G776" s="144"/>
      <c r="H776" s="144"/>
      <c r="I776" s="496"/>
      <c r="J776" s="496"/>
      <c r="K776" s="496"/>
      <c r="L776" s="496"/>
      <c r="M776" s="144"/>
      <c r="N776" s="144"/>
      <c r="O776" s="144"/>
      <c r="P776" s="144"/>
      <c r="Q776" s="144"/>
      <c r="R776" s="144"/>
      <c r="S776" s="144"/>
      <c r="T776" s="144"/>
      <c r="U776" s="144"/>
      <c r="V776" s="144"/>
      <c r="W776" s="144"/>
      <c r="X776" s="144"/>
      <c r="Y776" s="144"/>
      <c r="Z776" s="144"/>
      <c r="AA776" s="144"/>
      <c r="AB776" s="144"/>
      <c r="AC776" s="144"/>
      <c r="AD776" s="144"/>
      <c r="AE776" s="144"/>
      <c r="AF776" s="144"/>
    </row>
    <row r="777" ht="16.5" customHeight="1">
      <c r="A777" s="144"/>
      <c r="B777" s="144"/>
      <c r="C777" s="144"/>
      <c r="D777" s="144"/>
      <c r="E777" s="144"/>
      <c r="F777" s="144"/>
      <c r="G777" s="144"/>
      <c r="H777" s="144"/>
      <c r="I777" s="496"/>
      <c r="J777" s="496"/>
      <c r="K777" s="496"/>
      <c r="L777" s="496"/>
      <c r="M777" s="144"/>
      <c r="N777" s="144"/>
      <c r="O777" s="144"/>
      <c r="P777" s="144"/>
      <c r="Q777" s="144"/>
      <c r="R777" s="144"/>
      <c r="S777" s="144"/>
      <c r="T777" s="144"/>
      <c r="U777" s="144"/>
      <c r="V777" s="144"/>
      <c r="W777" s="144"/>
      <c r="X777" s="144"/>
      <c r="Y777" s="144"/>
      <c r="Z777" s="144"/>
      <c r="AA777" s="144"/>
      <c r="AB777" s="144"/>
      <c r="AC777" s="144"/>
      <c r="AD777" s="144"/>
      <c r="AE777" s="144"/>
      <c r="AF777" s="144"/>
    </row>
    <row r="778" ht="16.5" customHeight="1">
      <c r="A778" s="144"/>
      <c r="B778" s="144"/>
      <c r="C778" s="144"/>
      <c r="D778" s="144"/>
      <c r="E778" s="144"/>
      <c r="F778" s="144"/>
      <c r="G778" s="144"/>
      <c r="H778" s="144"/>
      <c r="I778" s="496"/>
      <c r="J778" s="496"/>
      <c r="K778" s="496"/>
      <c r="L778" s="496"/>
      <c r="M778" s="144"/>
      <c r="N778" s="144"/>
      <c r="O778" s="144"/>
      <c r="P778" s="144"/>
      <c r="Q778" s="144"/>
      <c r="R778" s="144"/>
      <c r="S778" s="144"/>
      <c r="T778" s="144"/>
      <c r="U778" s="144"/>
      <c r="V778" s="144"/>
      <c r="W778" s="144"/>
      <c r="X778" s="144"/>
      <c r="Y778" s="144"/>
      <c r="Z778" s="144"/>
      <c r="AA778" s="144"/>
      <c r="AB778" s="144"/>
      <c r="AC778" s="144"/>
      <c r="AD778" s="144"/>
      <c r="AE778" s="144"/>
      <c r="AF778" s="144"/>
    </row>
    <row r="779" ht="16.5" customHeight="1">
      <c r="A779" s="144"/>
      <c r="B779" s="144"/>
      <c r="C779" s="144"/>
      <c r="D779" s="144"/>
      <c r="E779" s="144"/>
      <c r="F779" s="144"/>
      <c r="G779" s="144"/>
      <c r="H779" s="144"/>
      <c r="I779" s="496"/>
      <c r="J779" s="496"/>
      <c r="K779" s="496"/>
      <c r="L779" s="496"/>
      <c r="M779" s="144"/>
      <c r="N779" s="144"/>
      <c r="O779" s="144"/>
      <c r="P779" s="144"/>
      <c r="Q779" s="144"/>
      <c r="R779" s="144"/>
      <c r="S779" s="144"/>
      <c r="T779" s="144"/>
      <c r="U779" s="144"/>
      <c r="V779" s="144"/>
      <c r="W779" s="144"/>
      <c r="X779" s="144"/>
      <c r="Y779" s="144"/>
      <c r="Z779" s="144"/>
      <c r="AA779" s="144"/>
      <c r="AB779" s="144"/>
      <c r="AC779" s="144"/>
      <c r="AD779" s="144"/>
      <c r="AE779" s="144"/>
      <c r="AF779" s="144"/>
    </row>
    <row r="780" ht="16.5" customHeight="1">
      <c r="A780" s="144"/>
      <c r="B780" s="144"/>
      <c r="C780" s="144"/>
      <c r="D780" s="144"/>
      <c r="E780" s="144"/>
      <c r="F780" s="144"/>
      <c r="G780" s="144"/>
      <c r="H780" s="144"/>
      <c r="I780" s="496"/>
      <c r="J780" s="496"/>
      <c r="K780" s="496"/>
      <c r="L780" s="496"/>
      <c r="M780" s="144"/>
      <c r="N780" s="144"/>
      <c r="O780" s="144"/>
      <c r="P780" s="144"/>
      <c r="Q780" s="144"/>
      <c r="R780" s="144"/>
      <c r="S780" s="144"/>
      <c r="T780" s="144"/>
      <c r="U780" s="144"/>
      <c r="V780" s="144"/>
      <c r="W780" s="144"/>
      <c r="X780" s="144"/>
      <c r="Y780" s="144"/>
      <c r="Z780" s="144"/>
      <c r="AA780" s="144"/>
      <c r="AB780" s="144"/>
      <c r="AC780" s="144"/>
      <c r="AD780" s="144"/>
      <c r="AE780" s="144"/>
      <c r="AF780" s="144"/>
    </row>
    <row r="781" ht="16.5" customHeight="1">
      <c r="A781" s="144"/>
      <c r="B781" s="144"/>
      <c r="C781" s="144"/>
      <c r="D781" s="144"/>
      <c r="E781" s="144"/>
      <c r="F781" s="144"/>
      <c r="G781" s="144"/>
      <c r="H781" s="144"/>
      <c r="I781" s="496"/>
      <c r="J781" s="496"/>
      <c r="K781" s="496"/>
      <c r="L781" s="496"/>
      <c r="M781" s="144"/>
      <c r="N781" s="144"/>
      <c r="O781" s="144"/>
      <c r="P781" s="144"/>
      <c r="Q781" s="144"/>
      <c r="R781" s="144"/>
      <c r="S781" s="144"/>
      <c r="T781" s="144"/>
      <c r="U781" s="144"/>
      <c r="V781" s="144"/>
      <c r="W781" s="144"/>
      <c r="X781" s="144"/>
      <c r="Y781" s="144"/>
      <c r="Z781" s="144"/>
      <c r="AA781" s="144"/>
      <c r="AB781" s="144"/>
      <c r="AC781" s="144"/>
      <c r="AD781" s="144"/>
      <c r="AE781" s="144"/>
      <c r="AF781" s="144"/>
    </row>
    <row r="782" ht="16.5" customHeight="1">
      <c r="A782" s="144"/>
      <c r="B782" s="144"/>
      <c r="C782" s="144"/>
      <c r="D782" s="144"/>
      <c r="E782" s="144"/>
      <c r="F782" s="144"/>
      <c r="G782" s="144"/>
      <c r="H782" s="144"/>
      <c r="I782" s="496"/>
      <c r="J782" s="496"/>
      <c r="K782" s="496"/>
      <c r="L782" s="496"/>
      <c r="M782" s="144"/>
      <c r="N782" s="144"/>
      <c r="O782" s="144"/>
      <c r="P782" s="144"/>
      <c r="Q782" s="144"/>
      <c r="R782" s="144"/>
      <c r="S782" s="144"/>
      <c r="T782" s="144"/>
      <c r="U782" s="144"/>
      <c r="V782" s="144"/>
      <c r="W782" s="144"/>
      <c r="X782" s="144"/>
      <c r="Y782" s="144"/>
      <c r="Z782" s="144"/>
      <c r="AA782" s="144"/>
      <c r="AB782" s="144"/>
      <c r="AC782" s="144"/>
      <c r="AD782" s="144"/>
      <c r="AE782" s="144"/>
      <c r="AF782" s="144"/>
    </row>
    <row r="783" ht="16.5" customHeight="1">
      <c r="A783" s="144"/>
      <c r="B783" s="144"/>
      <c r="C783" s="144"/>
      <c r="D783" s="144"/>
      <c r="E783" s="144"/>
      <c r="F783" s="144"/>
      <c r="G783" s="144"/>
      <c r="H783" s="144"/>
      <c r="I783" s="496"/>
      <c r="J783" s="496"/>
      <c r="K783" s="496"/>
      <c r="L783" s="496"/>
      <c r="M783" s="144"/>
      <c r="N783" s="144"/>
      <c r="O783" s="144"/>
      <c r="P783" s="144"/>
      <c r="Q783" s="144"/>
      <c r="R783" s="144"/>
      <c r="S783" s="144"/>
      <c r="T783" s="144"/>
      <c r="U783" s="144"/>
      <c r="V783" s="144"/>
      <c r="W783" s="144"/>
      <c r="X783" s="144"/>
      <c r="Y783" s="144"/>
      <c r="Z783" s="144"/>
      <c r="AA783" s="144"/>
      <c r="AB783" s="144"/>
      <c r="AC783" s="144"/>
      <c r="AD783" s="144"/>
      <c r="AE783" s="144"/>
      <c r="AF783" s="144"/>
    </row>
    <row r="784" ht="16.5" customHeight="1">
      <c r="A784" s="144"/>
      <c r="B784" s="144"/>
      <c r="C784" s="144"/>
      <c r="D784" s="144"/>
      <c r="E784" s="144"/>
      <c r="F784" s="144"/>
      <c r="G784" s="144"/>
      <c r="H784" s="144"/>
      <c r="I784" s="496"/>
      <c r="J784" s="496"/>
      <c r="K784" s="496"/>
      <c r="L784" s="496"/>
      <c r="M784" s="144"/>
      <c r="N784" s="144"/>
      <c r="O784" s="144"/>
      <c r="P784" s="144"/>
      <c r="Q784" s="144"/>
      <c r="R784" s="144"/>
      <c r="S784" s="144"/>
      <c r="T784" s="144"/>
      <c r="U784" s="144"/>
      <c r="V784" s="144"/>
      <c r="W784" s="144"/>
      <c r="X784" s="144"/>
      <c r="Y784" s="144"/>
      <c r="Z784" s="144"/>
      <c r="AA784" s="144"/>
      <c r="AB784" s="144"/>
      <c r="AC784" s="144"/>
      <c r="AD784" s="144"/>
      <c r="AE784" s="144"/>
      <c r="AF784" s="144"/>
    </row>
    <row r="785" ht="16.5" customHeight="1">
      <c r="A785" s="144"/>
      <c r="B785" s="144"/>
      <c r="C785" s="144"/>
      <c r="D785" s="144"/>
      <c r="E785" s="144"/>
      <c r="F785" s="144"/>
      <c r="G785" s="144"/>
      <c r="H785" s="144"/>
      <c r="I785" s="496"/>
      <c r="J785" s="496"/>
      <c r="K785" s="496"/>
      <c r="L785" s="496"/>
      <c r="M785" s="144"/>
      <c r="N785" s="144"/>
      <c r="O785" s="144"/>
      <c r="P785" s="144"/>
      <c r="Q785" s="144"/>
      <c r="R785" s="144"/>
      <c r="S785" s="144"/>
      <c r="T785" s="144"/>
      <c r="U785" s="144"/>
      <c r="V785" s="144"/>
      <c r="W785" s="144"/>
      <c r="X785" s="144"/>
      <c r="Y785" s="144"/>
      <c r="Z785" s="144"/>
      <c r="AA785" s="144"/>
      <c r="AB785" s="144"/>
      <c r="AC785" s="144"/>
      <c r="AD785" s="144"/>
      <c r="AE785" s="144"/>
      <c r="AF785" s="144"/>
    </row>
    <row r="786" ht="16.5" customHeight="1">
      <c r="A786" s="144"/>
      <c r="B786" s="144"/>
      <c r="C786" s="144"/>
      <c r="D786" s="144"/>
      <c r="E786" s="144"/>
      <c r="F786" s="144"/>
      <c r="G786" s="144"/>
      <c r="H786" s="144"/>
      <c r="I786" s="496"/>
      <c r="J786" s="496"/>
      <c r="K786" s="496"/>
      <c r="L786" s="496"/>
      <c r="M786" s="144"/>
      <c r="N786" s="144"/>
      <c r="O786" s="144"/>
      <c r="P786" s="144"/>
      <c r="Q786" s="144"/>
      <c r="R786" s="144"/>
      <c r="S786" s="144"/>
      <c r="T786" s="144"/>
      <c r="U786" s="144"/>
      <c r="V786" s="144"/>
      <c r="W786" s="144"/>
      <c r="X786" s="144"/>
      <c r="Y786" s="144"/>
      <c r="Z786" s="144"/>
      <c r="AA786" s="144"/>
      <c r="AB786" s="144"/>
      <c r="AC786" s="144"/>
      <c r="AD786" s="144"/>
      <c r="AE786" s="144"/>
      <c r="AF786" s="144"/>
    </row>
    <row r="787" ht="16.5" customHeight="1">
      <c r="A787" s="144"/>
      <c r="B787" s="144"/>
      <c r="C787" s="144"/>
      <c r="D787" s="144"/>
      <c r="E787" s="144"/>
      <c r="F787" s="144"/>
      <c r="G787" s="144"/>
      <c r="H787" s="144"/>
      <c r="I787" s="496"/>
      <c r="J787" s="496"/>
      <c r="K787" s="496"/>
      <c r="L787" s="496"/>
      <c r="M787" s="144"/>
      <c r="N787" s="144"/>
      <c r="O787" s="144"/>
      <c r="P787" s="144"/>
      <c r="Q787" s="144"/>
      <c r="R787" s="144"/>
      <c r="S787" s="144"/>
      <c r="T787" s="144"/>
      <c r="U787" s="144"/>
      <c r="V787" s="144"/>
      <c r="W787" s="144"/>
      <c r="X787" s="144"/>
      <c r="Y787" s="144"/>
      <c r="Z787" s="144"/>
      <c r="AA787" s="144"/>
      <c r="AB787" s="144"/>
      <c r="AC787" s="144"/>
      <c r="AD787" s="144"/>
      <c r="AE787" s="144"/>
      <c r="AF787" s="144"/>
    </row>
    <row r="788" ht="16.5" customHeight="1">
      <c r="A788" s="144"/>
      <c r="B788" s="144"/>
      <c r="C788" s="144"/>
      <c r="D788" s="144"/>
      <c r="E788" s="144"/>
      <c r="F788" s="144"/>
      <c r="G788" s="144"/>
      <c r="H788" s="144"/>
      <c r="I788" s="496"/>
      <c r="J788" s="496"/>
      <c r="K788" s="496"/>
      <c r="L788" s="496"/>
      <c r="M788" s="144"/>
      <c r="N788" s="144"/>
      <c r="O788" s="144"/>
      <c r="P788" s="144"/>
      <c r="Q788" s="144"/>
      <c r="R788" s="144"/>
      <c r="S788" s="144"/>
      <c r="T788" s="144"/>
      <c r="U788" s="144"/>
      <c r="V788" s="144"/>
      <c r="W788" s="144"/>
      <c r="X788" s="144"/>
      <c r="Y788" s="144"/>
      <c r="Z788" s="144"/>
      <c r="AA788" s="144"/>
      <c r="AB788" s="144"/>
      <c r="AC788" s="144"/>
      <c r="AD788" s="144"/>
      <c r="AE788" s="144"/>
      <c r="AF788" s="144"/>
    </row>
    <row r="789" ht="16.5" customHeight="1">
      <c r="A789" s="144"/>
      <c r="B789" s="144"/>
      <c r="C789" s="144"/>
      <c r="D789" s="144"/>
      <c r="E789" s="144"/>
      <c r="F789" s="144"/>
      <c r="G789" s="144"/>
      <c r="H789" s="144"/>
      <c r="I789" s="496"/>
      <c r="J789" s="496"/>
      <c r="K789" s="496"/>
      <c r="L789" s="496"/>
      <c r="M789" s="144"/>
      <c r="N789" s="144"/>
      <c r="O789" s="144"/>
      <c r="P789" s="144"/>
      <c r="Q789" s="144"/>
      <c r="R789" s="144"/>
      <c r="S789" s="144"/>
      <c r="T789" s="144"/>
      <c r="U789" s="144"/>
      <c r="V789" s="144"/>
      <c r="W789" s="144"/>
      <c r="X789" s="144"/>
      <c r="Y789" s="144"/>
      <c r="Z789" s="144"/>
      <c r="AA789" s="144"/>
      <c r="AB789" s="144"/>
      <c r="AC789" s="144"/>
      <c r="AD789" s="144"/>
      <c r="AE789" s="144"/>
      <c r="AF789" s="144"/>
    </row>
    <row r="790" ht="16.5" customHeight="1">
      <c r="A790" s="144"/>
      <c r="B790" s="144"/>
      <c r="C790" s="144"/>
      <c r="D790" s="144"/>
      <c r="E790" s="144"/>
      <c r="F790" s="144"/>
      <c r="G790" s="144"/>
      <c r="H790" s="144"/>
      <c r="I790" s="496"/>
      <c r="J790" s="496"/>
      <c r="K790" s="496"/>
      <c r="L790" s="496"/>
      <c r="M790" s="144"/>
      <c r="N790" s="144"/>
      <c r="O790" s="144"/>
      <c r="P790" s="144"/>
      <c r="Q790" s="144"/>
      <c r="R790" s="144"/>
      <c r="S790" s="144"/>
      <c r="T790" s="144"/>
      <c r="U790" s="144"/>
      <c r="V790" s="144"/>
      <c r="W790" s="144"/>
      <c r="X790" s="144"/>
      <c r="Y790" s="144"/>
      <c r="Z790" s="144"/>
      <c r="AA790" s="144"/>
      <c r="AB790" s="144"/>
      <c r="AC790" s="144"/>
      <c r="AD790" s="144"/>
      <c r="AE790" s="144"/>
      <c r="AF790" s="144"/>
    </row>
    <row r="791" ht="16.5" customHeight="1">
      <c r="A791" s="144"/>
      <c r="B791" s="144"/>
      <c r="C791" s="144"/>
      <c r="D791" s="144"/>
      <c r="E791" s="144"/>
      <c r="F791" s="144"/>
      <c r="G791" s="144"/>
      <c r="H791" s="144"/>
      <c r="I791" s="496"/>
      <c r="J791" s="496"/>
      <c r="K791" s="496"/>
      <c r="L791" s="496"/>
      <c r="M791" s="144"/>
      <c r="N791" s="144"/>
      <c r="O791" s="144"/>
      <c r="P791" s="144"/>
      <c r="Q791" s="144"/>
      <c r="R791" s="144"/>
      <c r="S791" s="144"/>
      <c r="T791" s="144"/>
      <c r="U791" s="144"/>
      <c r="V791" s="144"/>
      <c r="W791" s="144"/>
      <c r="X791" s="144"/>
      <c r="Y791" s="144"/>
      <c r="Z791" s="144"/>
      <c r="AA791" s="144"/>
      <c r="AB791" s="144"/>
      <c r="AC791" s="144"/>
      <c r="AD791" s="144"/>
      <c r="AE791" s="144"/>
      <c r="AF791" s="144"/>
    </row>
    <row r="792" ht="16.5" customHeight="1">
      <c r="A792" s="144"/>
      <c r="B792" s="144"/>
      <c r="C792" s="144"/>
      <c r="D792" s="144"/>
      <c r="E792" s="144"/>
      <c r="F792" s="144"/>
      <c r="G792" s="144"/>
      <c r="H792" s="144"/>
      <c r="I792" s="496"/>
      <c r="J792" s="496"/>
      <c r="K792" s="496"/>
      <c r="L792" s="496"/>
      <c r="M792" s="144"/>
      <c r="N792" s="144"/>
      <c r="O792" s="144"/>
      <c r="P792" s="144"/>
      <c r="Q792" s="144"/>
      <c r="R792" s="144"/>
      <c r="S792" s="144"/>
      <c r="T792" s="144"/>
      <c r="U792" s="144"/>
      <c r="V792" s="144"/>
      <c r="W792" s="144"/>
      <c r="X792" s="144"/>
      <c r="Y792" s="144"/>
      <c r="Z792" s="144"/>
      <c r="AA792" s="144"/>
      <c r="AB792" s="144"/>
      <c r="AC792" s="144"/>
      <c r="AD792" s="144"/>
      <c r="AE792" s="144"/>
      <c r="AF792" s="144"/>
    </row>
    <row r="793" ht="16.5" customHeight="1">
      <c r="A793" s="144"/>
      <c r="B793" s="144"/>
      <c r="C793" s="144"/>
      <c r="D793" s="144"/>
      <c r="E793" s="144"/>
      <c r="F793" s="144"/>
      <c r="G793" s="144"/>
      <c r="H793" s="144"/>
      <c r="I793" s="496"/>
      <c r="J793" s="496"/>
      <c r="K793" s="496"/>
      <c r="L793" s="496"/>
      <c r="M793" s="144"/>
      <c r="N793" s="144"/>
      <c r="O793" s="144"/>
      <c r="P793" s="144"/>
      <c r="Q793" s="144"/>
      <c r="R793" s="144"/>
      <c r="S793" s="144"/>
      <c r="T793" s="144"/>
      <c r="U793" s="144"/>
      <c r="V793" s="144"/>
      <c r="W793" s="144"/>
      <c r="X793" s="144"/>
      <c r="Y793" s="144"/>
      <c r="Z793" s="144"/>
      <c r="AA793" s="144"/>
      <c r="AB793" s="144"/>
      <c r="AC793" s="144"/>
      <c r="AD793" s="144"/>
      <c r="AE793" s="144"/>
      <c r="AF793" s="144"/>
    </row>
    <row r="794" ht="16.5" customHeight="1">
      <c r="A794" s="144"/>
      <c r="B794" s="144"/>
      <c r="C794" s="144"/>
      <c r="D794" s="144"/>
      <c r="E794" s="144"/>
      <c r="F794" s="144"/>
      <c r="G794" s="144"/>
      <c r="H794" s="144"/>
      <c r="I794" s="496"/>
      <c r="J794" s="496"/>
      <c r="K794" s="496"/>
      <c r="L794" s="496"/>
      <c r="M794" s="144"/>
      <c r="N794" s="144"/>
      <c r="O794" s="144"/>
      <c r="P794" s="144"/>
      <c r="Q794" s="144"/>
      <c r="R794" s="144"/>
      <c r="S794" s="144"/>
      <c r="T794" s="144"/>
      <c r="U794" s="144"/>
      <c r="V794" s="144"/>
      <c r="W794" s="144"/>
      <c r="X794" s="144"/>
      <c r="Y794" s="144"/>
      <c r="Z794" s="144"/>
      <c r="AA794" s="144"/>
      <c r="AB794" s="144"/>
      <c r="AC794" s="144"/>
      <c r="AD794" s="144"/>
      <c r="AE794" s="144"/>
      <c r="AF794" s="144"/>
    </row>
    <row r="795" ht="16.5" customHeight="1">
      <c r="A795" s="144"/>
      <c r="B795" s="144"/>
      <c r="C795" s="144"/>
      <c r="D795" s="144"/>
      <c r="E795" s="144"/>
      <c r="F795" s="144"/>
      <c r="G795" s="144"/>
      <c r="H795" s="144"/>
      <c r="I795" s="496"/>
      <c r="J795" s="496"/>
      <c r="K795" s="496"/>
      <c r="L795" s="496"/>
      <c r="M795" s="144"/>
      <c r="N795" s="144"/>
      <c r="O795" s="144"/>
      <c r="P795" s="144"/>
      <c r="Q795" s="144"/>
      <c r="R795" s="144"/>
      <c r="S795" s="144"/>
      <c r="T795" s="144"/>
      <c r="U795" s="144"/>
      <c r="V795" s="144"/>
      <c r="W795" s="144"/>
      <c r="X795" s="144"/>
      <c r="Y795" s="144"/>
      <c r="Z795" s="144"/>
      <c r="AA795" s="144"/>
      <c r="AB795" s="144"/>
      <c r="AC795" s="144"/>
      <c r="AD795" s="144"/>
      <c r="AE795" s="144"/>
      <c r="AF795" s="144"/>
    </row>
    <row r="796" ht="16.5" customHeight="1">
      <c r="A796" s="144"/>
      <c r="B796" s="144"/>
      <c r="C796" s="144"/>
      <c r="D796" s="144"/>
      <c r="E796" s="144"/>
      <c r="F796" s="144"/>
      <c r="G796" s="144"/>
      <c r="H796" s="144"/>
      <c r="I796" s="496"/>
      <c r="J796" s="496"/>
      <c r="K796" s="496"/>
      <c r="L796" s="496"/>
      <c r="M796" s="144"/>
      <c r="N796" s="144"/>
      <c r="O796" s="144"/>
      <c r="P796" s="144"/>
      <c r="Q796" s="144"/>
      <c r="R796" s="144"/>
      <c r="S796" s="144"/>
      <c r="T796" s="144"/>
      <c r="U796" s="144"/>
      <c r="V796" s="144"/>
      <c r="W796" s="144"/>
      <c r="X796" s="144"/>
      <c r="Y796" s="144"/>
      <c r="Z796" s="144"/>
      <c r="AA796" s="144"/>
      <c r="AB796" s="144"/>
      <c r="AC796" s="144"/>
      <c r="AD796" s="144"/>
      <c r="AE796" s="144"/>
      <c r="AF796" s="144"/>
    </row>
    <row r="797" ht="16.5" customHeight="1">
      <c r="A797" s="144"/>
      <c r="B797" s="144"/>
      <c r="C797" s="144"/>
      <c r="D797" s="144"/>
      <c r="E797" s="144"/>
      <c r="F797" s="144"/>
      <c r="G797" s="144"/>
      <c r="H797" s="144"/>
      <c r="I797" s="496"/>
      <c r="J797" s="496"/>
      <c r="K797" s="496"/>
      <c r="L797" s="496"/>
      <c r="M797" s="144"/>
      <c r="N797" s="144"/>
      <c r="O797" s="144"/>
      <c r="P797" s="144"/>
      <c r="Q797" s="144"/>
      <c r="R797" s="144"/>
      <c r="S797" s="144"/>
      <c r="T797" s="144"/>
      <c r="U797" s="144"/>
      <c r="V797" s="144"/>
      <c r="W797" s="144"/>
      <c r="X797" s="144"/>
      <c r="Y797" s="144"/>
      <c r="Z797" s="144"/>
      <c r="AA797" s="144"/>
      <c r="AB797" s="144"/>
      <c r="AC797" s="144"/>
      <c r="AD797" s="144"/>
      <c r="AE797" s="144"/>
      <c r="AF797" s="144"/>
    </row>
    <row r="798" ht="16.5" customHeight="1">
      <c r="A798" s="144"/>
      <c r="B798" s="144"/>
      <c r="C798" s="144"/>
      <c r="D798" s="144"/>
      <c r="E798" s="144"/>
      <c r="F798" s="144"/>
      <c r="G798" s="144"/>
      <c r="H798" s="144"/>
      <c r="I798" s="496"/>
      <c r="J798" s="496"/>
      <c r="K798" s="496"/>
      <c r="L798" s="496"/>
      <c r="M798" s="144"/>
      <c r="N798" s="144"/>
      <c r="O798" s="144"/>
      <c r="P798" s="144"/>
      <c r="Q798" s="144"/>
      <c r="R798" s="144"/>
      <c r="S798" s="144"/>
      <c r="T798" s="144"/>
      <c r="U798" s="144"/>
      <c r="V798" s="144"/>
      <c r="W798" s="144"/>
      <c r="X798" s="144"/>
      <c r="Y798" s="144"/>
      <c r="Z798" s="144"/>
      <c r="AA798" s="144"/>
      <c r="AB798" s="144"/>
      <c r="AC798" s="144"/>
      <c r="AD798" s="144"/>
      <c r="AE798" s="144"/>
      <c r="AF798" s="144"/>
    </row>
    <row r="799" ht="16.5" customHeight="1">
      <c r="A799" s="144"/>
      <c r="B799" s="144"/>
      <c r="C799" s="144"/>
      <c r="D799" s="144"/>
      <c r="E799" s="144"/>
      <c r="F799" s="144"/>
      <c r="G799" s="144"/>
      <c r="H799" s="144"/>
      <c r="I799" s="496"/>
      <c r="J799" s="496"/>
      <c r="K799" s="496"/>
      <c r="L799" s="496"/>
      <c r="M799" s="144"/>
      <c r="N799" s="144"/>
      <c r="O799" s="144"/>
      <c r="P799" s="144"/>
      <c r="Q799" s="144"/>
      <c r="R799" s="144"/>
      <c r="S799" s="144"/>
      <c r="T799" s="144"/>
      <c r="U799" s="144"/>
      <c r="V799" s="144"/>
      <c r="W799" s="144"/>
      <c r="X799" s="144"/>
      <c r="Y799" s="144"/>
      <c r="Z799" s="144"/>
      <c r="AA799" s="144"/>
      <c r="AB799" s="144"/>
      <c r="AC799" s="144"/>
      <c r="AD799" s="144"/>
      <c r="AE799" s="144"/>
      <c r="AF799" s="144"/>
    </row>
    <row r="800" ht="16.5" customHeight="1">
      <c r="A800" s="144"/>
      <c r="B800" s="144"/>
      <c r="C800" s="144"/>
      <c r="D800" s="144"/>
      <c r="E800" s="144"/>
      <c r="F800" s="144"/>
      <c r="G800" s="144"/>
      <c r="H800" s="144"/>
      <c r="I800" s="496"/>
      <c r="J800" s="496"/>
      <c r="K800" s="496"/>
      <c r="L800" s="496"/>
      <c r="M800" s="144"/>
      <c r="N800" s="144"/>
      <c r="O800" s="144"/>
      <c r="P800" s="144"/>
      <c r="Q800" s="144"/>
      <c r="R800" s="144"/>
      <c r="S800" s="144"/>
      <c r="T800" s="144"/>
      <c r="U800" s="144"/>
      <c r="V800" s="144"/>
      <c r="W800" s="144"/>
      <c r="X800" s="144"/>
      <c r="Y800" s="144"/>
      <c r="Z800" s="144"/>
      <c r="AA800" s="144"/>
      <c r="AB800" s="144"/>
      <c r="AC800" s="144"/>
      <c r="AD800" s="144"/>
      <c r="AE800" s="144"/>
      <c r="AF800" s="144"/>
    </row>
    <row r="801" ht="16.5" customHeight="1">
      <c r="A801" s="144"/>
      <c r="B801" s="144"/>
      <c r="C801" s="144"/>
      <c r="D801" s="144"/>
      <c r="E801" s="144"/>
      <c r="F801" s="144"/>
      <c r="G801" s="144"/>
      <c r="H801" s="144"/>
      <c r="I801" s="496"/>
      <c r="J801" s="496"/>
      <c r="K801" s="496"/>
      <c r="L801" s="496"/>
      <c r="M801" s="144"/>
      <c r="N801" s="144"/>
      <c r="O801" s="144"/>
      <c r="P801" s="144"/>
      <c r="Q801" s="144"/>
      <c r="R801" s="144"/>
      <c r="S801" s="144"/>
      <c r="T801" s="144"/>
      <c r="U801" s="144"/>
      <c r="V801" s="144"/>
      <c r="W801" s="144"/>
      <c r="X801" s="144"/>
      <c r="Y801" s="144"/>
      <c r="Z801" s="144"/>
      <c r="AA801" s="144"/>
      <c r="AB801" s="144"/>
      <c r="AC801" s="144"/>
      <c r="AD801" s="144"/>
      <c r="AE801" s="144"/>
      <c r="AF801" s="144"/>
    </row>
    <row r="802" ht="16.5" customHeight="1">
      <c r="A802" s="144"/>
      <c r="B802" s="144"/>
      <c r="C802" s="144"/>
      <c r="D802" s="144"/>
      <c r="E802" s="144"/>
      <c r="F802" s="144"/>
      <c r="G802" s="144"/>
      <c r="H802" s="144"/>
      <c r="I802" s="496"/>
      <c r="J802" s="496"/>
      <c r="K802" s="496"/>
      <c r="L802" s="496"/>
      <c r="M802" s="144"/>
      <c r="N802" s="144"/>
      <c r="O802" s="144"/>
      <c r="P802" s="144"/>
      <c r="Q802" s="144"/>
      <c r="R802" s="144"/>
      <c r="S802" s="144"/>
      <c r="T802" s="144"/>
      <c r="U802" s="144"/>
      <c r="V802" s="144"/>
      <c r="W802" s="144"/>
      <c r="X802" s="144"/>
      <c r="Y802" s="144"/>
      <c r="Z802" s="144"/>
      <c r="AA802" s="144"/>
      <c r="AB802" s="144"/>
      <c r="AC802" s="144"/>
      <c r="AD802" s="144"/>
      <c r="AE802" s="144"/>
      <c r="AF802" s="144"/>
    </row>
    <row r="803" ht="16.5" customHeight="1">
      <c r="A803" s="144"/>
      <c r="B803" s="144"/>
      <c r="C803" s="144"/>
      <c r="D803" s="144"/>
      <c r="E803" s="144"/>
      <c r="F803" s="144"/>
      <c r="G803" s="144"/>
      <c r="H803" s="144"/>
      <c r="I803" s="496"/>
      <c r="J803" s="496"/>
      <c r="K803" s="496"/>
      <c r="L803" s="496"/>
      <c r="M803" s="144"/>
      <c r="N803" s="144"/>
      <c r="O803" s="144"/>
      <c r="P803" s="144"/>
      <c r="Q803" s="144"/>
      <c r="R803" s="144"/>
      <c r="S803" s="144"/>
      <c r="T803" s="144"/>
      <c r="U803" s="144"/>
      <c r="V803" s="144"/>
      <c r="W803" s="144"/>
      <c r="X803" s="144"/>
      <c r="Y803" s="144"/>
      <c r="Z803" s="144"/>
      <c r="AA803" s="144"/>
      <c r="AB803" s="144"/>
      <c r="AC803" s="144"/>
      <c r="AD803" s="144"/>
      <c r="AE803" s="144"/>
      <c r="AF803" s="144"/>
    </row>
    <row r="804" ht="16.5" customHeight="1">
      <c r="A804" s="144"/>
      <c r="B804" s="144"/>
      <c r="C804" s="144"/>
      <c r="D804" s="144"/>
      <c r="E804" s="144"/>
      <c r="F804" s="144"/>
      <c r="G804" s="144"/>
      <c r="H804" s="144"/>
      <c r="I804" s="496"/>
      <c r="J804" s="496"/>
      <c r="K804" s="496"/>
      <c r="L804" s="496"/>
      <c r="M804" s="144"/>
      <c r="N804" s="144"/>
      <c r="O804" s="144"/>
      <c r="P804" s="144"/>
      <c r="Q804" s="144"/>
      <c r="R804" s="144"/>
      <c r="S804" s="144"/>
      <c r="T804" s="144"/>
      <c r="U804" s="144"/>
      <c r="V804" s="144"/>
      <c r="W804" s="144"/>
      <c r="X804" s="144"/>
      <c r="Y804" s="144"/>
      <c r="Z804" s="144"/>
      <c r="AA804" s="144"/>
      <c r="AB804" s="144"/>
      <c r="AC804" s="144"/>
      <c r="AD804" s="144"/>
      <c r="AE804" s="144"/>
      <c r="AF804" s="144"/>
    </row>
    <row r="805" ht="16.5" customHeight="1">
      <c r="A805" s="144"/>
      <c r="B805" s="144"/>
      <c r="C805" s="144"/>
      <c r="D805" s="144"/>
      <c r="E805" s="144"/>
      <c r="F805" s="144"/>
      <c r="G805" s="144"/>
      <c r="H805" s="144"/>
      <c r="I805" s="496"/>
      <c r="J805" s="496"/>
      <c r="K805" s="496"/>
      <c r="L805" s="496"/>
      <c r="M805" s="144"/>
      <c r="N805" s="144"/>
      <c r="O805" s="144"/>
      <c r="P805" s="144"/>
      <c r="Q805" s="144"/>
      <c r="R805" s="144"/>
      <c r="S805" s="144"/>
      <c r="T805" s="144"/>
      <c r="U805" s="144"/>
      <c r="V805" s="144"/>
      <c r="W805" s="144"/>
      <c r="X805" s="144"/>
      <c r="Y805" s="144"/>
      <c r="Z805" s="144"/>
      <c r="AA805" s="144"/>
      <c r="AB805" s="144"/>
      <c r="AC805" s="144"/>
      <c r="AD805" s="144"/>
      <c r="AE805" s="144"/>
      <c r="AF805" s="144"/>
    </row>
    <row r="806" ht="16.5" customHeight="1">
      <c r="A806" s="144"/>
      <c r="B806" s="144"/>
      <c r="C806" s="144"/>
      <c r="D806" s="144"/>
      <c r="E806" s="144"/>
      <c r="F806" s="144"/>
      <c r="G806" s="144"/>
      <c r="H806" s="144"/>
      <c r="I806" s="496"/>
      <c r="J806" s="496"/>
      <c r="K806" s="496"/>
      <c r="L806" s="496"/>
      <c r="M806" s="144"/>
      <c r="N806" s="144"/>
      <c r="O806" s="144"/>
      <c r="P806" s="144"/>
      <c r="Q806" s="144"/>
      <c r="R806" s="144"/>
      <c r="S806" s="144"/>
      <c r="T806" s="144"/>
      <c r="U806" s="144"/>
      <c r="V806" s="144"/>
      <c r="W806" s="144"/>
      <c r="X806" s="144"/>
      <c r="Y806" s="144"/>
      <c r="Z806" s="144"/>
      <c r="AA806" s="144"/>
      <c r="AB806" s="144"/>
      <c r="AC806" s="144"/>
      <c r="AD806" s="144"/>
      <c r="AE806" s="144"/>
      <c r="AF806" s="144"/>
    </row>
    <row r="807" ht="16.5" customHeight="1">
      <c r="A807" s="144"/>
      <c r="B807" s="144"/>
      <c r="C807" s="144"/>
      <c r="D807" s="144"/>
      <c r="E807" s="144"/>
      <c r="F807" s="144"/>
      <c r="G807" s="144"/>
      <c r="H807" s="144"/>
      <c r="I807" s="496"/>
      <c r="J807" s="496"/>
      <c r="K807" s="496"/>
      <c r="L807" s="496"/>
      <c r="M807" s="144"/>
      <c r="N807" s="144"/>
      <c r="O807" s="144"/>
      <c r="P807" s="144"/>
      <c r="Q807" s="144"/>
      <c r="R807" s="144"/>
      <c r="S807" s="144"/>
      <c r="T807" s="144"/>
      <c r="U807" s="144"/>
      <c r="V807" s="144"/>
      <c r="W807" s="144"/>
      <c r="X807" s="144"/>
      <c r="Y807" s="144"/>
      <c r="Z807" s="144"/>
      <c r="AA807" s="144"/>
      <c r="AB807" s="144"/>
      <c r="AC807" s="144"/>
      <c r="AD807" s="144"/>
      <c r="AE807" s="144"/>
      <c r="AF807" s="144"/>
    </row>
    <row r="808" ht="16.5" customHeight="1">
      <c r="A808" s="144"/>
      <c r="B808" s="144"/>
      <c r="C808" s="144"/>
      <c r="D808" s="144"/>
      <c r="E808" s="144"/>
      <c r="F808" s="144"/>
      <c r="G808" s="144"/>
      <c r="H808" s="144"/>
      <c r="I808" s="496"/>
      <c r="J808" s="496"/>
      <c r="K808" s="496"/>
      <c r="L808" s="496"/>
      <c r="M808" s="144"/>
      <c r="N808" s="144"/>
      <c r="O808" s="144"/>
      <c r="P808" s="144"/>
      <c r="Q808" s="144"/>
      <c r="R808" s="144"/>
      <c r="S808" s="144"/>
      <c r="T808" s="144"/>
      <c r="U808" s="144"/>
      <c r="V808" s="144"/>
      <c r="W808" s="144"/>
      <c r="X808" s="144"/>
      <c r="Y808" s="144"/>
      <c r="Z808" s="144"/>
      <c r="AA808" s="144"/>
      <c r="AB808" s="144"/>
      <c r="AC808" s="144"/>
      <c r="AD808" s="144"/>
      <c r="AE808" s="144"/>
      <c r="AF808" s="144"/>
    </row>
    <row r="809" ht="16.5" customHeight="1">
      <c r="A809" s="144"/>
      <c r="B809" s="144"/>
      <c r="C809" s="144"/>
      <c r="D809" s="144"/>
      <c r="E809" s="144"/>
      <c r="F809" s="144"/>
      <c r="G809" s="144"/>
      <c r="H809" s="144"/>
      <c r="I809" s="496"/>
      <c r="J809" s="496"/>
      <c r="K809" s="496"/>
      <c r="L809" s="496"/>
      <c r="M809" s="144"/>
      <c r="N809" s="144"/>
      <c r="O809" s="144"/>
      <c r="P809" s="144"/>
      <c r="Q809" s="144"/>
      <c r="R809" s="144"/>
      <c r="S809" s="144"/>
      <c r="T809" s="144"/>
      <c r="U809" s="144"/>
      <c r="V809" s="144"/>
      <c r="W809" s="144"/>
      <c r="X809" s="144"/>
      <c r="Y809" s="144"/>
      <c r="Z809" s="144"/>
      <c r="AA809" s="144"/>
      <c r="AB809" s="144"/>
      <c r="AC809" s="144"/>
      <c r="AD809" s="144"/>
      <c r="AE809" s="144"/>
      <c r="AF809" s="144"/>
    </row>
    <row r="810" ht="16.5" customHeight="1">
      <c r="A810" s="144"/>
      <c r="B810" s="144"/>
      <c r="C810" s="144"/>
      <c r="D810" s="144"/>
      <c r="E810" s="144"/>
      <c r="F810" s="144"/>
      <c r="G810" s="144"/>
      <c r="H810" s="144"/>
      <c r="I810" s="496"/>
      <c r="J810" s="496"/>
      <c r="K810" s="496"/>
      <c r="L810" s="496"/>
      <c r="M810" s="144"/>
      <c r="N810" s="144"/>
      <c r="O810" s="144"/>
      <c r="P810" s="144"/>
      <c r="Q810" s="144"/>
      <c r="R810" s="144"/>
      <c r="S810" s="144"/>
      <c r="T810" s="144"/>
      <c r="U810" s="144"/>
      <c r="V810" s="144"/>
      <c r="W810" s="144"/>
      <c r="X810" s="144"/>
      <c r="Y810" s="144"/>
      <c r="Z810" s="144"/>
      <c r="AA810" s="144"/>
      <c r="AB810" s="144"/>
      <c r="AC810" s="144"/>
      <c r="AD810" s="144"/>
      <c r="AE810" s="144"/>
      <c r="AF810" s="144"/>
    </row>
    <row r="811" ht="16.5" customHeight="1">
      <c r="A811" s="144"/>
      <c r="B811" s="144"/>
      <c r="C811" s="144"/>
      <c r="D811" s="144"/>
      <c r="E811" s="144"/>
      <c r="F811" s="144"/>
      <c r="G811" s="144"/>
      <c r="H811" s="144"/>
      <c r="I811" s="496"/>
      <c r="J811" s="496"/>
      <c r="K811" s="496"/>
      <c r="L811" s="496"/>
      <c r="M811" s="144"/>
      <c r="N811" s="144"/>
      <c r="O811" s="144"/>
      <c r="P811" s="144"/>
      <c r="Q811" s="144"/>
      <c r="R811" s="144"/>
      <c r="S811" s="144"/>
      <c r="T811" s="144"/>
      <c r="U811" s="144"/>
      <c r="V811" s="144"/>
      <c r="W811" s="144"/>
      <c r="X811" s="144"/>
      <c r="Y811" s="144"/>
      <c r="Z811" s="144"/>
      <c r="AA811" s="144"/>
      <c r="AB811" s="144"/>
      <c r="AC811" s="144"/>
      <c r="AD811" s="144"/>
      <c r="AE811" s="144"/>
      <c r="AF811" s="144"/>
    </row>
    <row r="812" ht="16.5" customHeight="1">
      <c r="A812" s="144"/>
      <c r="B812" s="144"/>
      <c r="C812" s="144"/>
      <c r="D812" s="144"/>
      <c r="E812" s="144"/>
      <c r="F812" s="144"/>
      <c r="G812" s="144"/>
      <c r="H812" s="144"/>
      <c r="I812" s="496"/>
      <c r="J812" s="496"/>
      <c r="K812" s="496"/>
      <c r="L812" s="496"/>
      <c r="M812" s="144"/>
      <c r="N812" s="144"/>
      <c r="O812" s="144"/>
      <c r="P812" s="144"/>
      <c r="Q812" s="144"/>
      <c r="R812" s="144"/>
      <c r="S812" s="144"/>
      <c r="T812" s="144"/>
      <c r="U812" s="144"/>
      <c r="V812" s="144"/>
      <c r="W812" s="144"/>
      <c r="X812" s="144"/>
      <c r="Y812" s="144"/>
      <c r="Z812" s="144"/>
      <c r="AA812" s="144"/>
      <c r="AB812" s="144"/>
      <c r="AC812" s="144"/>
      <c r="AD812" s="144"/>
      <c r="AE812" s="144"/>
      <c r="AF812" s="144"/>
    </row>
    <row r="813" ht="16.5" customHeight="1">
      <c r="A813" s="144"/>
      <c r="B813" s="144"/>
      <c r="C813" s="144"/>
      <c r="D813" s="144"/>
      <c r="E813" s="144"/>
      <c r="F813" s="144"/>
      <c r="G813" s="144"/>
      <c r="H813" s="144"/>
      <c r="I813" s="496"/>
      <c r="J813" s="496"/>
      <c r="K813" s="496"/>
      <c r="L813" s="496"/>
      <c r="M813" s="144"/>
      <c r="N813" s="144"/>
      <c r="O813" s="144"/>
      <c r="P813" s="144"/>
      <c r="Q813" s="144"/>
      <c r="R813" s="144"/>
      <c r="S813" s="144"/>
      <c r="T813" s="144"/>
      <c r="U813" s="144"/>
      <c r="V813" s="144"/>
      <c r="W813" s="144"/>
      <c r="X813" s="144"/>
      <c r="Y813" s="144"/>
      <c r="Z813" s="144"/>
      <c r="AA813" s="144"/>
      <c r="AB813" s="144"/>
      <c r="AC813" s="144"/>
      <c r="AD813" s="144"/>
      <c r="AE813" s="144"/>
      <c r="AF813" s="144"/>
    </row>
    <row r="814" ht="16.5" customHeight="1">
      <c r="A814" s="144"/>
      <c r="B814" s="144"/>
      <c r="C814" s="144"/>
      <c r="D814" s="144"/>
      <c r="E814" s="144"/>
      <c r="F814" s="144"/>
      <c r="G814" s="144"/>
      <c r="H814" s="144"/>
      <c r="I814" s="496"/>
      <c r="J814" s="496"/>
      <c r="K814" s="496"/>
      <c r="L814" s="496"/>
      <c r="M814" s="144"/>
      <c r="N814" s="144"/>
      <c r="O814" s="144"/>
      <c r="P814" s="144"/>
      <c r="Q814" s="144"/>
      <c r="R814" s="144"/>
      <c r="S814" s="144"/>
      <c r="T814" s="144"/>
      <c r="U814" s="144"/>
      <c r="V814" s="144"/>
      <c r="W814" s="144"/>
      <c r="X814" s="144"/>
      <c r="Y814" s="144"/>
      <c r="Z814" s="144"/>
      <c r="AA814" s="144"/>
      <c r="AB814" s="144"/>
      <c r="AC814" s="144"/>
      <c r="AD814" s="144"/>
      <c r="AE814" s="144"/>
      <c r="AF814" s="144"/>
    </row>
    <row r="815" ht="16.5" customHeight="1">
      <c r="A815" s="144"/>
      <c r="B815" s="144"/>
      <c r="C815" s="144"/>
      <c r="D815" s="144"/>
      <c r="E815" s="144"/>
      <c r="F815" s="144"/>
      <c r="G815" s="144"/>
      <c r="H815" s="144"/>
      <c r="I815" s="496"/>
      <c r="J815" s="496"/>
      <c r="K815" s="496"/>
      <c r="L815" s="496"/>
      <c r="M815" s="144"/>
      <c r="N815" s="144"/>
      <c r="O815" s="144"/>
      <c r="P815" s="144"/>
      <c r="Q815" s="144"/>
      <c r="R815" s="144"/>
      <c r="S815" s="144"/>
      <c r="T815" s="144"/>
      <c r="U815" s="144"/>
      <c r="V815" s="144"/>
      <c r="W815" s="144"/>
      <c r="X815" s="144"/>
      <c r="Y815" s="144"/>
      <c r="Z815" s="144"/>
      <c r="AA815" s="144"/>
      <c r="AB815" s="144"/>
      <c r="AC815" s="144"/>
      <c r="AD815" s="144"/>
      <c r="AE815" s="144"/>
      <c r="AF815" s="144"/>
    </row>
    <row r="816" ht="16.5" customHeight="1">
      <c r="A816" s="144"/>
      <c r="B816" s="144"/>
      <c r="C816" s="144"/>
      <c r="D816" s="144"/>
      <c r="E816" s="144"/>
      <c r="F816" s="144"/>
      <c r="G816" s="144"/>
      <c r="H816" s="144"/>
      <c r="I816" s="496"/>
      <c r="J816" s="496"/>
      <c r="K816" s="496"/>
      <c r="L816" s="496"/>
      <c r="M816" s="144"/>
      <c r="N816" s="144"/>
      <c r="O816" s="144"/>
      <c r="P816" s="144"/>
      <c r="Q816" s="144"/>
      <c r="R816" s="144"/>
      <c r="S816" s="144"/>
      <c r="T816" s="144"/>
      <c r="U816" s="144"/>
      <c r="V816" s="144"/>
      <c r="W816" s="144"/>
      <c r="X816" s="144"/>
      <c r="Y816" s="144"/>
      <c r="Z816" s="144"/>
      <c r="AA816" s="144"/>
      <c r="AB816" s="144"/>
      <c r="AC816" s="144"/>
      <c r="AD816" s="144"/>
      <c r="AE816" s="144"/>
      <c r="AF816" s="144"/>
    </row>
    <row r="817" ht="16.5" customHeight="1">
      <c r="A817" s="144"/>
      <c r="B817" s="144"/>
      <c r="C817" s="144"/>
      <c r="D817" s="144"/>
      <c r="E817" s="144"/>
      <c r="F817" s="144"/>
      <c r="G817" s="144"/>
      <c r="H817" s="144"/>
      <c r="I817" s="496"/>
      <c r="J817" s="496"/>
      <c r="K817" s="496"/>
      <c r="L817" s="496"/>
      <c r="M817" s="144"/>
      <c r="N817" s="144"/>
      <c r="O817" s="144"/>
      <c r="P817" s="144"/>
      <c r="Q817" s="144"/>
      <c r="R817" s="144"/>
      <c r="S817" s="144"/>
      <c r="T817" s="144"/>
      <c r="U817" s="144"/>
      <c r="V817" s="144"/>
      <c r="W817" s="144"/>
      <c r="X817" s="144"/>
      <c r="Y817" s="144"/>
      <c r="Z817" s="144"/>
      <c r="AA817" s="144"/>
      <c r="AB817" s="144"/>
      <c r="AC817" s="144"/>
      <c r="AD817" s="144"/>
      <c r="AE817" s="144"/>
      <c r="AF817" s="144"/>
    </row>
    <row r="818" ht="16.5" customHeight="1">
      <c r="A818" s="144"/>
      <c r="B818" s="144"/>
      <c r="C818" s="144"/>
      <c r="D818" s="144"/>
      <c r="E818" s="144"/>
      <c r="F818" s="144"/>
      <c r="G818" s="144"/>
      <c r="H818" s="144"/>
      <c r="I818" s="496"/>
      <c r="J818" s="496"/>
      <c r="K818" s="496"/>
      <c r="L818" s="496"/>
      <c r="M818" s="144"/>
      <c r="N818" s="144"/>
      <c r="O818" s="144"/>
      <c r="P818" s="144"/>
      <c r="Q818" s="144"/>
      <c r="R818" s="144"/>
      <c r="S818" s="144"/>
      <c r="T818" s="144"/>
      <c r="U818" s="144"/>
      <c r="V818" s="144"/>
      <c r="W818" s="144"/>
      <c r="X818" s="144"/>
      <c r="Y818" s="144"/>
      <c r="Z818" s="144"/>
      <c r="AA818" s="144"/>
      <c r="AB818" s="144"/>
      <c r="AC818" s="144"/>
      <c r="AD818" s="144"/>
      <c r="AE818" s="144"/>
      <c r="AF818" s="144"/>
    </row>
    <row r="819" ht="16.5" customHeight="1">
      <c r="A819" s="144"/>
      <c r="B819" s="144"/>
      <c r="C819" s="144"/>
      <c r="D819" s="144"/>
      <c r="E819" s="144"/>
      <c r="F819" s="144"/>
      <c r="G819" s="144"/>
      <c r="H819" s="144"/>
      <c r="I819" s="496"/>
      <c r="J819" s="496"/>
      <c r="K819" s="496"/>
      <c r="L819" s="496"/>
      <c r="M819" s="144"/>
      <c r="N819" s="144"/>
      <c r="O819" s="144"/>
      <c r="P819" s="144"/>
      <c r="Q819" s="144"/>
      <c r="R819" s="144"/>
      <c r="S819" s="144"/>
      <c r="T819" s="144"/>
      <c r="U819" s="144"/>
      <c r="V819" s="144"/>
      <c r="W819" s="144"/>
      <c r="X819" s="144"/>
      <c r="Y819" s="144"/>
      <c r="Z819" s="144"/>
      <c r="AA819" s="144"/>
      <c r="AB819" s="144"/>
      <c r="AC819" s="144"/>
      <c r="AD819" s="144"/>
      <c r="AE819" s="144"/>
      <c r="AF819" s="144"/>
    </row>
    <row r="820" ht="16.5" customHeight="1">
      <c r="A820" s="144"/>
      <c r="B820" s="144"/>
      <c r="C820" s="144"/>
      <c r="D820" s="144"/>
      <c r="E820" s="144"/>
      <c r="F820" s="144"/>
      <c r="G820" s="144"/>
      <c r="H820" s="144"/>
      <c r="I820" s="496"/>
      <c r="J820" s="496"/>
      <c r="K820" s="496"/>
      <c r="L820" s="496"/>
      <c r="M820" s="144"/>
      <c r="N820" s="144"/>
      <c r="O820" s="144"/>
      <c r="P820" s="144"/>
      <c r="Q820" s="144"/>
      <c r="R820" s="144"/>
      <c r="S820" s="144"/>
      <c r="T820" s="144"/>
      <c r="U820" s="144"/>
      <c r="V820" s="144"/>
      <c r="W820" s="144"/>
      <c r="X820" s="144"/>
      <c r="Y820" s="144"/>
      <c r="Z820" s="144"/>
      <c r="AA820" s="144"/>
      <c r="AB820" s="144"/>
      <c r="AC820" s="144"/>
      <c r="AD820" s="144"/>
      <c r="AE820" s="144"/>
      <c r="AF820" s="144"/>
    </row>
    <row r="821" ht="16.5" customHeight="1">
      <c r="A821" s="144"/>
      <c r="B821" s="144"/>
      <c r="C821" s="144"/>
      <c r="D821" s="144"/>
      <c r="E821" s="144"/>
      <c r="F821" s="144"/>
      <c r="G821" s="144"/>
      <c r="H821" s="144"/>
      <c r="I821" s="496"/>
      <c r="J821" s="496"/>
      <c r="K821" s="496"/>
      <c r="L821" s="496"/>
      <c r="M821" s="144"/>
      <c r="N821" s="144"/>
      <c r="O821" s="144"/>
      <c r="P821" s="144"/>
      <c r="Q821" s="144"/>
      <c r="R821" s="144"/>
      <c r="S821" s="144"/>
      <c r="T821" s="144"/>
      <c r="U821" s="144"/>
      <c r="V821" s="144"/>
      <c r="W821" s="144"/>
      <c r="X821" s="144"/>
      <c r="Y821" s="144"/>
      <c r="Z821" s="144"/>
      <c r="AA821" s="144"/>
      <c r="AB821" s="144"/>
      <c r="AC821" s="144"/>
      <c r="AD821" s="144"/>
      <c r="AE821" s="144"/>
      <c r="AF821" s="144"/>
    </row>
    <row r="822" ht="16.5" customHeight="1">
      <c r="A822" s="144"/>
      <c r="B822" s="144"/>
      <c r="C822" s="144"/>
      <c r="D822" s="144"/>
      <c r="E822" s="144"/>
      <c r="F822" s="144"/>
      <c r="G822" s="144"/>
      <c r="H822" s="144"/>
      <c r="I822" s="496"/>
      <c r="J822" s="496"/>
      <c r="K822" s="496"/>
      <c r="L822" s="496"/>
      <c r="M822" s="144"/>
      <c r="N822" s="144"/>
      <c r="O822" s="144"/>
      <c r="P822" s="144"/>
      <c r="Q822" s="144"/>
      <c r="R822" s="144"/>
      <c r="S822" s="144"/>
      <c r="T822" s="144"/>
      <c r="U822" s="144"/>
      <c r="V822" s="144"/>
      <c r="W822" s="144"/>
      <c r="X822" s="144"/>
      <c r="Y822" s="144"/>
      <c r="Z822" s="144"/>
      <c r="AA822" s="144"/>
      <c r="AB822" s="144"/>
      <c r="AC822" s="144"/>
      <c r="AD822" s="144"/>
      <c r="AE822" s="144"/>
      <c r="AF822" s="144"/>
    </row>
    <row r="823" ht="16.5" customHeight="1">
      <c r="A823" s="144"/>
      <c r="B823" s="144"/>
      <c r="C823" s="144"/>
      <c r="D823" s="144"/>
      <c r="E823" s="144"/>
      <c r="F823" s="144"/>
      <c r="G823" s="144"/>
      <c r="H823" s="144"/>
      <c r="I823" s="496"/>
      <c r="J823" s="496"/>
      <c r="K823" s="496"/>
      <c r="L823" s="496"/>
      <c r="M823" s="144"/>
      <c r="N823" s="144"/>
      <c r="O823" s="144"/>
      <c r="P823" s="144"/>
      <c r="Q823" s="144"/>
      <c r="R823" s="144"/>
      <c r="S823" s="144"/>
      <c r="T823" s="144"/>
      <c r="U823" s="144"/>
      <c r="V823" s="144"/>
      <c r="W823" s="144"/>
      <c r="X823" s="144"/>
      <c r="Y823" s="144"/>
      <c r="Z823" s="144"/>
      <c r="AA823" s="144"/>
      <c r="AB823" s="144"/>
      <c r="AC823" s="144"/>
      <c r="AD823" s="144"/>
      <c r="AE823" s="144"/>
      <c r="AF823" s="144"/>
    </row>
    <row r="824" ht="16.5" customHeight="1">
      <c r="A824" s="144"/>
      <c r="B824" s="144"/>
      <c r="C824" s="144"/>
      <c r="D824" s="144"/>
      <c r="E824" s="144"/>
      <c r="F824" s="144"/>
      <c r="G824" s="144"/>
      <c r="H824" s="144"/>
      <c r="I824" s="496"/>
      <c r="J824" s="496"/>
      <c r="K824" s="496"/>
      <c r="L824" s="496"/>
      <c r="M824" s="144"/>
      <c r="N824" s="144"/>
      <c r="O824" s="144"/>
      <c r="P824" s="144"/>
      <c r="Q824" s="144"/>
      <c r="R824" s="144"/>
      <c r="S824" s="144"/>
      <c r="T824" s="144"/>
      <c r="U824" s="144"/>
      <c r="V824" s="144"/>
      <c r="W824" s="144"/>
      <c r="X824" s="144"/>
      <c r="Y824" s="144"/>
      <c r="Z824" s="144"/>
      <c r="AA824" s="144"/>
      <c r="AB824" s="144"/>
      <c r="AC824" s="144"/>
      <c r="AD824" s="144"/>
      <c r="AE824" s="144"/>
      <c r="AF824" s="144"/>
    </row>
    <row r="825" ht="16.5" customHeight="1">
      <c r="A825" s="144"/>
      <c r="B825" s="144"/>
      <c r="C825" s="144"/>
      <c r="D825" s="144"/>
      <c r="E825" s="144"/>
      <c r="F825" s="144"/>
      <c r="G825" s="144"/>
      <c r="H825" s="144"/>
      <c r="I825" s="496"/>
      <c r="J825" s="496"/>
      <c r="K825" s="496"/>
      <c r="L825" s="496"/>
      <c r="M825" s="144"/>
      <c r="N825" s="144"/>
      <c r="O825" s="144"/>
      <c r="P825" s="144"/>
      <c r="Q825" s="144"/>
      <c r="R825" s="144"/>
      <c r="S825" s="144"/>
      <c r="T825" s="144"/>
      <c r="U825" s="144"/>
      <c r="V825" s="144"/>
      <c r="W825" s="144"/>
      <c r="X825" s="144"/>
      <c r="Y825" s="144"/>
      <c r="Z825" s="144"/>
      <c r="AA825" s="144"/>
      <c r="AB825" s="144"/>
      <c r="AC825" s="144"/>
      <c r="AD825" s="144"/>
      <c r="AE825" s="144"/>
      <c r="AF825" s="144"/>
    </row>
    <row r="826" ht="16.5" customHeight="1">
      <c r="A826" s="144"/>
      <c r="B826" s="144"/>
      <c r="C826" s="144"/>
      <c r="D826" s="144"/>
      <c r="E826" s="144"/>
      <c r="F826" s="144"/>
      <c r="G826" s="144"/>
      <c r="H826" s="144"/>
      <c r="I826" s="496"/>
      <c r="J826" s="496"/>
      <c r="K826" s="496"/>
      <c r="L826" s="496"/>
      <c r="M826" s="144"/>
      <c r="N826" s="144"/>
      <c r="O826" s="144"/>
      <c r="P826" s="144"/>
      <c r="Q826" s="144"/>
      <c r="R826" s="144"/>
      <c r="S826" s="144"/>
      <c r="T826" s="144"/>
      <c r="U826" s="144"/>
      <c r="V826" s="144"/>
      <c r="W826" s="144"/>
      <c r="X826" s="144"/>
      <c r="Y826" s="144"/>
      <c r="Z826" s="144"/>
      <c r="AA826" s="144"/>
      <c r="AB826" s="144"/>
      <c r="AC826" s="144"/>
      <c r="AD826" s="144"/>
      <c r="AE826" s="144"/>
      <c r="AF826" s="144"/>
    </row>
    <row r="827" ht="16.5" customHeight="1">
      <c r="A827" s="144"/>
      <c r="B827" s="144"/>
      <c r="C827" s="144"/>
      <c r="D827" s="144"/>
      <c r="E827" s="144"/>
      <c r="F827" s="144"/>
      <c r="G827" s="144"/>
      <c r="H827" s="144"/>
      <c r="I827" s="496"/>
      <c r="J827" s="496"/>
      <c r="K827" s="496"/>
      <c r="L827" s="496"/>
      <c r="M827" s="144"/>
      <c r="N827" s="144"/>
      <c r="O827" s="144"/>
      <c r="P827" s="144"/>
      <c r="Q827" s="144"/>
      <c r="R827" s="144"/>
      <c r="S827" s="144"/>
      <c r="T827" s="144"/>
      <c r="U827" s="144"/>
      <c r="V827" s="144"/>
      <c r="W827" s="144"/>
      <c r="X827" s="144"/>
      <c r="Y827" s="144"/>
      <c r="Z827" s="144"/>
      <c r="AA827" s="144"/>
      <c r="AB827" s="144"/>
      <c r="AC827" s="144"/>
      <c r="AD827" s="144"/>
      <c r="AE827" s="144"/>
      <c r="AF827" s="144"/>
    </row>
    <row r="828" ht="16.5" customHeight="1">
      <c r="A828" s="144"/>
      <c r="B828" s="144"/>
      <c r="C828" s="144"/>
      <c r="D828" s="144"/>
      <c r="E828" s="144"/>
      <c r="F828" s="144"/>
      <c r="G828" s="144"/>
      <c r="H828" s="144"/>
      <c r="I828" s="496"/>
      <c r="J828" s="496"/>
      <c r="K828" s="496"/>
      <c r="L828" s="496"/>
      <c r="M828" s="144"/>
      <c r="N828" s="144"/>
      <c r="O828" s="144"/>
      <c r="P828" s="144"/>
      <c r="Q828" s="144"/>
      <c r="R828" s="144"/>
      <c r="S828" s="144"/>
      <c r="T828" s="144"/>
      <c r="U828" s="144"/>
      <c r="V828" s="144"/>
      <c r="W828" s="144"/>
      <c r="X828" s="144"/>
      <c r="Y828" s="144"/>
      <c r="Z828" s="144"/>
      <c r="AA828" s="144"/>
      <c r="AB828" s="144"/>
      <c r="AC828" s="144"/>
      <c r="AD828" s="144"/>
      <c r="AE828" s="144"/>
      <c r="AF828" s="144"/>
    </row>
    <row r="829" ht="16.5" customHeight="1">
      <c r="A829" s="144"/>
      <c r="B829" s="144"/>
      <c r="C829" s="144"/>
      <c r="D829" s="144"/>
      <c r="E829" s="144"/>
      <c r="F829" s="144"/>
      <c r="G829" s="144"/>
      <c r="H829" s="144"/>
      <c r="I829" s="496"/>
      <c r="J829" s="496"/>
      <c r="K829" s="496"/>
      <c r="L829" s="496"/>
      <c r="M829" s="144"/>
      <c r="N829" s="144"/>
      <c r="O829" s="144"/>
      <c r="P829" s="144"/>
      <c r="Q829" s="144"/>
      <c r="R829" s="144"/>
      <c r="S829" s="144"/>
      <c r="T829" s="144"/>
      <c r="U829" s="144"/>
      <c r="V829" s="144"/>
      <c r="W829" s="144"/>
      <c r="X829" s="144"/>
      <c r="Y829" s="144"/>
      <c r="Z829" s="144"/>
      <c r="AA829" s="144"/>
      <c r="AB829" s="144"/>
      <c r="AC829" s="144"/>
      <c r="AD829" s="144"/>
      <c r="AE829" s="144"/>
      <c r="AF829" s="144"/>
    </row>
    <row r="830" ht="16.5" customHeight="1">
      <c r="A830" s="144"/>
      <c r="B830" s="144"/>
      <c r="C830" s="144"/>
      <c r="D830" s="144"/>
      <c r="E830" s="144"/>
      <c r="F830" s="144"/>
      <c r="G830" s="144"/>
      <c r="H830" s="144"/>
      <c r="I830" s="496"/>
      <c r="J830" s="496"/>
      <c r="K830" s="496"/>
      <c r="L830" s="496"/>
      <c r="M830" s="144"/>
      <c r="N830" s="144"/>
      <c r="O830" s="144"/>
      <c r="P830" s="144"/>
      <c r="Q830" s="144"/>
      <c r="R830" s="144"/>
      <c r="S830" s="144"/>
      <c r="T830" s="144"/>
      <c r="U830" s="144"/>
      <c r="V830" s="144"/>
      <c r="W830" s="144"/>
      <c r="X830" s="144"/>
      <c r="Y830" s="144"/>
      <c r="Z830" s="144"/>
      <c r="AA830" s="144"/>
      <c r="AB830" s="144"/>
      <c r="AC830" s="144"/>
      <c r="AD830" s="144"/>
      <c r="AE830" s="144"/>
      <c r="AF830" s="144"/>
    </row>
    <row r="831" ht="16.5" customHeight="1">
      <c r="A831" s="144"/>
      <c r="B831" s="144"/>
      <c r="C831" s="144"/>
      <c r="D831" s="144"/>
      <c r="E831" s="144"/>
      <c r="F831" s="144"/>
      <c r="G831" s="144"/>
      <c r="H831" s="144"/>
      <c r="I831" s="496"/>
      <c r="J831" s="496"/>
      <c r="K831" s="496"/>
      <c r="L831" s="496"/>
      <c r="M831" s="144"/>
      <c r="N831" s="144"/>
      <c r="O831" s="144"/>
      <c r="P831" s="144"/>
      <c r="Q831" s="144"/>
      <c r="R831" s="144"/>
      <c r="S831" s="144"/>
      <c r="T831" s="144"/>
      <c r="U831" s="144"/>
      <c r="V831" s="144"/>
      <c r="W831" s="144"/>
      <c r="X831" s="144"/>
      <c r="Y831" s="144"/>
      <c r="Z831" s="144"/>
      <c r="AA831" s="144"/>
      <c r="AB831" s="144"/>
      <c r="AC831" s="144"/>
      <c r="AD831" s="144"/>
      <c r="AE831" s="144"/>
      <c r="AF831" s="144"/>
    </row>
    <row r="832" ht="16.5" customHeight="1">
      <c r="A832" s="144"/>
      <c r="B832" s="144"/>
      <c r="C832" s="144"/>
      <c r="D832" s="144"/>
      <c r="E832" s="144"/>
      <c r="F832" s="144"/>
      <c r="G832" s="144"/>
      <c r="H832" s="144"/>
      <c r="I832" s="496"/>
      <c r="J832" s="496"/>
      <c r="K832" s="496"/>
      <c r="L832" s="496"/>
      <c r="M832" s="144"/>
      <c r="N832" s="144"/>
      <c r="O832" s="144"/>
      <c r="P832" s="144"/>
      <c r="Q832" s="144"/>
      <c r="R832" s="144"/>
      <c r="S832" s="144"/>
      <c r="T832" s="144"/>
      <c r="U832" s="144"/>
      <c r="V832" s="144"/>
      <c r="W832" s="144"/>
      <c r="X832" s="144"/>
      <c r="Y832" s="144"/>
      <c r="Z832" s="144"/>
      <c r="AA832" s="144"/>
      <c r="AB832" s="144"/>
      <c r="AC832" s="144"/>
      <c r="AD832" s="144"/>
      <c r="AE832" s="144"/>
      <c r="AF832" s="144"/>
    </row>
    <row r="833" ht="16.5" customHeight="1">
      <c r="A833" s="144"/>
      <c r="B833" s="144"/>
      <c r="C833" s="144"/>
      <c r="D833" s="144"/>
      <c r="E833" s="144"/>
      <c r="F833" s="144"/>
      <c r="G833" s="144"/>
      <c r="H833" s="144"/>
      <c r="I833" s="496"/>
      <c r="J833" s="496"/>
      <c r="K833" s="496"/>
      <c r="L833" s="496"/>
      <c r="M833" s="144"/>
      <c r="N833" s="144"/>
      <c r="O833" s="144"/>
      <c r="P833" s="144"/>
      <c r="Q833" s="144"/>
      <c r="R833" s="144"/>
      <c r="S833" s="144"/>
      <c r="T833" s="144"/>
      <c r="U833" s="144"/>
      <c r="V833" s="144"/>
      <c r="W833" s="144"/>
      <c r="X833" s="144"/>
      <c r="Y833" s="144"/>
      <c r="Z833" s="144"/>
      <c r="AA833" s="144"/>
      <c r="AB833" s="144"/>
      <c r="AC833" s="144"/>
      <c r="AD833" s="144"/>
      <c r="AE833" s="144"/>
      <c r="AF833" s="144"/>
    </row>
    <row r="834" ht="16.5" customHeight="1">
      <c r="A834" s="144"/>
      <c r="B834" s="144"/>
      <c r="C834" s="144"/>
      <c r="D834" s="144"/>
      <c r="E834" s="144"/>
      <c r="F834" s="144"/>
      <c r="G834" s="144"/>
      <c r="H834" s="144"/>
      <c r="I834" s="496"/>
      <c r="J834" s="496"/>
      <c r="K834" s="496"/>
      <c r="L834" s="496"/>
      <c r="M834" s="144"/>
      <c r="N834" s="144"/>
      <c r="O834" s="144"/>
      <c r="P834" s="144"/>
      <c r="Q834" s="144"/>
      <c r="R834" s="144"/>
      <c r="S834" s="144"/>
      <c r="T834" s="144"/>
      <c r="U834" s="144"/>
      <c r="V834" s="144"/>
      <c r="W834" s="144"/>
      <c r="X834" s="144"/>
      <c r="Y834" s="144"/>
      <c r="Z834" s="144"/>
      <c r="AA834" s="144"/>
      <c r="AB834" s="144"/>
      <c r="AC834" s="144"/>
      <c r="AD834" s="144"/>
      <c r="AE834" s="144"/>
      <c r="AF834" s="144"/>
    </row>
    <row r="835" ht="16.5" customHeight="1">
      <c r="A835" s="144"/>
      <c r="B835" s="144"/>
      <c r="C835" s="144"/>
      <c r="D835" s="144"/>
      <c r="E835" s="144"/>
      <c r="F835" s="144"/>
      <c r="G835" s="144"/>
      <c r="H835" s="144"/>
      <c r="I835" s="496"/>
      <c r="J835" s="496"/>
      <c r="K835" s="496"/>
      <c r="L835" s="496"/>
      <c r="M835" s="144"/>
      <c r="N835" s="144"/>
      <c r="O835" s="144"/>
      <c r="P835" s="144"/>
      <c r="Q835" s="144"/>
      <c r="R835" s="144"/>
      <c r="S835" s="144"/>
      <c r="T835" s="144"/>
      <c r="U835" s="144"/>
      <c r="V835" s="144"/>
      <c r="W835" s="144"/>
      <c r="X835" s="144"/>
      <c r="Y835" s="144"/>
      <c r="Z835" s="144"/>
      <c r="AA835" s="144"/>
      <c r="AB835" s="144"/>
      <c r="AC835" s="144"/>
      <c r="AD835" s="144"/>
      <c r="AE835" s="144"/>
      <c r="AF835" s="144"/>
    </row>
    <row r="836" ht="16.5" customHeight="1">
      <c r="A836" s="144"/>
      <c r="B836" s="144"/>
      <c r="C836" s="144"/>
      <c r="D836" s="144"/>
      <c r="E836" s="144"/>
      <c r="F836" s="144"/>
      <c r="G836" s="144"/>
      <c r="H836" s="144"/>
      <c r="I836" s="496"/>
      <c r="J836" s="496"/>
      <c r="K836" s="496"/>
      <c r="L836" s="496"/>
      <c r="M836" s="144"/>
      <c r="N836" s="144"/>
      <c r="O836" s="144"/>
      <c r="P836" s="144"/>
      <c r="Q836" s="144"/>
      <c r="R836" s="144"/>
      <c r="S836" s="144"/>
      <c r="T836" s="144"/>
      <c r="U836" s="144"/>
      <c r="V836" s="144"/>
      <c r="W836" s="144"/>
      <c r="X836" s="144"/>
      <c r="Y836" s="144"/>
      <c r="Z836" s="144"/>
      <c r="AA836" s="144"/>
      <c r="AB836" s="144"/>
      <c r="AC836" s="144"/>
      <c r="AD836" s="144"/>
      <c r="AE836" s="144"/>
      <c r="AF836" s="144"/>
    </row>
    <row r="837" ht="16.5" customHeight="1">
      <c r="A837" s="144"/>
      <c r="B837" s="144"/>
      <c r="C837" s="144"/>
      <c r="D837" s="144"/>
      <c r="E837" s="144"/>
      <c r="F837" s="144"/>
      <c r="G837" s="144"/>
      <c r="H837" s="144"/>
      <c r="I837" s="496"/>
      <c r="J837" s="496"/>
      <c r="K837" s="496"/>
      <c r="L837" s="496"/>
      <c r="M837" s="144"/>
      <c r="N837" s="144"/>
      <c r="O837" s="144"/>
      <c r="P837" s="144"/>
      <c r="Q837" s="144"/>
      <c r="R837" s="144"/>
      <c r="S837" s="144"/>
      <c r="T837" s="144"/>
      <c r="U837" s="144"/>
      <c r="V837" s="144"/>
      <c r="W837" s="144"/>
      <c r="X837" s="144"/>
      <c r="Y837" s="144"/>
      <c r="Z837" s="144"/>
      <c r="AA837" s="144"/>
      <c r="AB837" s="144"/>
      <c r="AC837" s="144"/>
      <c r="AD837" s="144"/>
      <c r="AE837" s="144"/>
      <c r="AF837" s="144"/>
    </row>
    <row r="838" ht="16.5" customHeight="1">
      <c r="A838" s="144"/>
      <c r="B838" s="144"/>
      <c r="C838" s="144"/>
      <c r="D838" s="144"/>
      <c r="E838" s="144"/>
      <c r="F838" s="144"/>
      <c r="G838" s="144"/>
      <c r="H838" s="144"/>
      <c r="I838" s="496"/>
      <c r="J838" s="496"/>
      <c r="K838" s="496"/>
      <c r="L838" s="496"/>
      <c r="M838" s="144"/>
      <c r="N838" s="144"/>
      <c r="O838" s="144"/>
      <c r="P838" s="144"/>
      <c r="Q838" s="144"/>
      <c r="R838" s="144"/>
      <c r="S838" s="144"/>
      <c r="T838" s="144"/>
      <c r="U838" s="144"/>
      <c r="V838" s="144"/>
      <c r="W838" s="144"/>
      <c r="X838" s="144"/>
      <c r="Y838" s="144"/>
      <c r="Z838" s="144"/>
      <c r="AA838" s="144"/>
      <c r="AB838" s="144"/>
      <c r="AC838" s="144"/>
      <c r="AD838" s="144"/>
      <c r="AE838" s="144"/>
      <c r="AF838" s="144"/>
    </row>
    <row r="839" ht="16.5" customHeight="1">
      <c r="A839" s="144"/>
      <c r="B839" s="144"/>
      <c r="C839" s="144"/>
      <c r="D839" s="144"/>
      <c r="E839" s="144"/>
      <c r="F839" s="144"/>
      <c r="G839" s="144"/>
      <c r="H839" s="144"/>
      <c r="I839" s="496"/>
      <c r="J839" s="496"/>
      <c r="K839" s="496"/>
      <c r="L839" s="496"/>
      <c r="M839" s="144"/>
      <c r="N839" s="144"/>
      <c r="O839" s="144"/>
      <c r="P839" s="144"/>
      <c r="Q839" s="144"/>
      <c r="R839" s="144"/>
      <c r="S839" s="144"/>
      <c r="T839" s="144"/>
      <c r="U839" s="144"/>
      <c r="V839" s="144"/>
      <c r="W839" s="144"/>
      <c r="X839" s="144"/>
      <c r="Y839" s="144"/>
      <c r="Z839" s="144"/>
      <c r="AA839" s="144"/>
      <c r="AB839" s="144"/>
      <c r="AC839" s="144"/>
      <c r="AD839" s="144"/>
      <c r="AE839" s="144"/>
      <c r="AF839" s="144"/>
    </row>
    <row r="840" ht="16.5" customHeight="1">
      <c r="A840" s="144"/>
      <c r="B840" s="144"/>
      <c r="C840" s="144"/>
      <c r="D840" s="144"/>
      <c r="E840" s="144"/>
      <c r="F840" s="144"/>
      <c r="G840" s="144"/>
      <c r="H840" s="144"/>
      <c r="I840" s="496"/>
      <c r="J840" s="496"/>
      <c r="K840" s="496"/>
      <c r="L840" s="496"/>
      <c r="M840" s="144"/>
      <c r="N840" s="144"/>
      <c r="O840" s="144"/>
      <c r="P840" s="144"/>
      <c r="Q840" s="144"/>
      <c r="R840" s="144"/>
      <c r="S840" s="144"/>
      <c r="T840" s="144"/>
      <c r="U840" s="144"/>
      <c r="V840" s="144"/>
      <c r="W840" s="144"/>
      <c r="X840" s="144"/>
      <c r="Y840" s="144"/>
      <c r="Z840" s="144"/>
      <c r="AA840" s="144"/>
      <c r="AB840" s="144"/>
      <c r="AC840" s="144"/>
      <c r="AD840" s="144"/>
      <c r="AE840" s="144"/>
      <c r="AF840" s="144"/>
    </row>
    <row r="841" ht="16.5" customHeight="1">
      <c r="A841" s="144"/>
      <c r="B841" s="144"/>
      <c r="C841" s="144"/>
      <c r="D841" s="144"/>
      <c r="E841" s="144"/>
      <c r="F841" s="144"/>
      <c r="G841" s="144"/>
      <c r="H841" s="144"/>
      <c r="I841" s="496"/>
      <c r="J841" s="496"/>
      <c r="K841" s="496"/>
      <c r="L841" s="496"/>
      <c r="M841" s="144"/>
      <c r="N841" s="144"/>
      <c r="O841" s="144"/>
      <c r="P841" s="144"/>
      <c r="Q841" s="144"/>
      <c r="R841" s="144"/>
      <c r="S841" s="144"/>
      <c r="T841" s="144"/>
      <c r="U841" s="144"/>
      <c r="V841" s="144"/>
      <c r="W841" s="144"/>
      <c r="X841" s="144"/>
      <c r="Y841" s="144"/>
      <c r="Z841" s="144"/>
      <c r="AA841" s="144"/>
      <c r="AB841" s="144"/>
      <c r="AC841" s="144"/>
      <c r="AD841" s="144"/>
      <c r="AE841" s="144"/>
      <c r="AF841" s="144"/>
    </row>
    <row r="842" ht="16.5" customHeight="1">
      <c r="A842" s="144"/>
      <c r="B842" s="144"/>
      <c r="C842" s="144"/>
      <c r="D842" s="144"/>
      <c r="E842" s="144"/>
      <c r="F842" s="144"/>
      <c r="G842" s="144"/>
      <c r="H842" s="144"/>
      <c r="I842" s="496"/>
      <c r="J842" s="496"/>
      <c r="K842" s="496"/>
      <c r="L842" s="496"/>
      <c r="M842" s="144"/>
      <c r="N842" s="144"/>
      <c r="O842" s="144"/>
      <c r="P842" s="144"/>
      <c r="Q842" s="144"/>
      <c r="R842" s="144"/>
      <c r="S842" s="144"/>
      <c r="T842" s="144"/>
      <c r="U842" s="144"/>
      <c r="V842" s="144"/>
      <c r="W842" s="144"/>
      <c r="X842" s="144"/>
      <c r="Y842" s="144"/>
      <c r="Z842" s="144"/>
      <c r="AA842" s="144"/>
      <c r="AB842" s="144"/>
      <c r="AC842" s="144"/>
      <c r="AD842" s="144"/>
      <c r="AE842" s="144"/>
      <c r="AF842" s="144"/>
    </row>
    <row r="843" ht="16.5" customHeight="1">
      <c r="A843" s="144"/>
      <c r="B843" s="144"/>
      <c r="C843" s="144"/>
      <c r="D843" s="144"/>
      <c r="E843" s="144"/>
      <c r="F843" s="144"/>
      <c r="G843" s="144"/>
      <c r="H843" s="144"/>
      <c r="I843" s="496"/>
      <c r="J843" s="496"/>
      <c r="K843" s="496"/>
      <c r="L843" s="496"/>
      <c r="M843" s="144"/>
      <c r="N843" s="144"/>
      <c r="O843" s="144"/>
      <c r="P843" s="144"/>
      <c r="Q843" s="144"/>
      <c r="R843" s="144"/>
      <c r="S843" s="144"/>
      <c r="T843" s="144"/>
      <c r="U843" s="144"/>
      <c r="V843" s="144"/>
      <c r="W843" s="144"/>
      <c r="X843" s="144"/>
      <c r="Y843" s="144"/>
      <c r="Z843" s="144"/>
      <c r="AA843" s="144"/>
      <c r="AB843" s="144"/>
      <c r="AC843" s="144"/>
      <c r="AD843" s="144"/>
      <c r="AE843" s="144"/>
      <c r="AF843" s="144"/>
    </row>
    <row r="844" ht="16.5" customHeight="1">
      <c r="A844" s="144"/>
      <c r="B844" s="144"/>
      <c r="C844" s="144"/>
      <c r="D844" s="144"/>
      <c r="E844" s="144"/>
      <c r="F844" s="144"/>
      <c r="G844" s="144"/>
      <c r="H844" s="144"/>
      <c r="I844" s="496"/>
      <c r="J844" s="496"/>
      <c r="K844" s="496"/>
      <c r="L844" s="496"/>
      <c r="M844" s="144"/>
      <c r="N844" s="144"/>
      <c r="O844" s="144"/>
      <c r="P844" s="144"/>
      <c r="Q844" s="144"/>
      <c r="R844" s="144"/>
      <c r="S844" s="144"/>
      <c r="T844" s="144"/>
      <c r="U844" s="144"/>
      <c r="V844" s="144"/>
      <c r="W844" s="144"/>
      <c r="X844" s="144"/>
      <c r="Y844" s="144"/>
      <c r="Z844" s="144"/>
      <c r="AA844" s="144"/>
      <c r="AB844" s="144"/>
      <c r="AC844" s="144"/>
      <c r="AD844" s="144"/>
      <c r="AE844" s="144"/>
      <c r="AF844" s="144"/>
    </row>
    <row r="845" ht="16.5" customHeight="1">
      <c r="A845" s="144"/>
      <c r="B845" s="144"/>
      <c r="C845" s="144"/>
      <c r="D845" s="144"/>
      <c r="E845" s="144"/>
      <c r="F845" s="144"/>
      <c r="G845" s="144"/>
      <c r="H845" s="144"/>
      <c r="I845" s="496"/>
      <c r="J845" s="496"/>
      <c r="K845" s="496"/>
      <c r="L845" s="496"/>
      <c r="M845" s="144"/>
      <c r="N845" s="144"/>
      <c r="O845" s="144"/>
      <c r="P845" s="144"/>
      <c r="Q845" s="144"/>
      <c r="R845" s="144"/>
      <c r="S845" s="144"/>
      <c r="T845" s="144"/>
      <c r="U845" s="144"/>
      <c r="V845" s="144"/>
      <c r="W845" s="144"/>
      <c r="X845" s="144"/>
      <c r="Y845" s="144"/>
      <c r="Z845" s="144"/>
      <c r="AA845" s="144"/>
      <c r="AB845" s="144"/>
      <c r="AC845" s="144"/>
      <c r="AD845" s="144"/>
      <c r="AE845" s="144"/>
      <c r="AF845" s="144"/>
    </row>
    <row r="846" ht="16.5" customHeight="1">
      <c r="A846" s="144"/>
      <c r="B846" s="144"/>
      <c r="C846" s="144"/>
      <c r="D846" s="144"/>
      <c r="E846" s="144"/>
      <c r="F846" s="144"/>
      <c r="G846" s="144"/>
      <c r="H846" s="144"/>
      <c r="I846" s="496"/>
      <c r="J846" s="496"/>
      <c r="K846" s="496"/>
      <c r="L846" s="496"/>
      <c r="M846" s="144"/>
      <c r="N846" s="144"/>
      <c r="O846" s="144"/>
      <c r="P846" s="144"/>
      <c r="Q846" s="144"/>
      <c r="R846" s="144"/>
      <c r="S846" s="144"/>
      <c r="T846" s="144"/>
      <c r="U846" s="144"/>
      <c r="V846" s="144"/>
      <c r="W846" s="144"/>
      <c r="X846" s="144"/>
      <c r="Y846" s="144"/>
      <c r="Z846" s="144"/>
      <c r="AA846" s="144"/>
      <c r="AB846" s="144"/>
      <c r="AC846" s="144"/>
      <c r="AD846" s="144"/>
      <c r="AE846" s="144"/>
      <c r="AF846" s="144"/>
    </row>
    <row r="847" ht="16.5" customHeight="1">
      <c r="A847" s="144"/>
      <c r="B847" s="144"/>
      <c r="C847" s="144"/>
      <c r="D847" s="144"/>
      <c r="E847" s="144"/>
      <c r="F847" s="144"/>
      <c r="G847" s="144"/>
      <c r="H847" s="144"/>
      <c r="I847" s="496"/>
      <c r="J847" s="496"/>
      <c r="K847" s="496"/>
      <c r="L847" s="496"/>
      <c r="M847" s="144"/>
      <c r="N847" s="144"/>
      <c r="O847" s="144"/>
      <c r="P847" s="144"/>
      <c r="Q847" s="144"/>
      <c r="R847" s="144"/>
      <c r="S847" s="144"/>
      <c r="T847" s="144"/>
      <c r="U847" s="144"/>
      <c r="V847" s="144"/>
      <c r="W847" s="144"/>
      <c r="X847" s="144"/>
      <c r="Y847" s="144"/>
      <c r="Z847" s="144"/>
      <c r="AA847" s="144"/>
      <c r="AB847" s="144"/>
      <c r="AC847" s="144"/>
      <c r="AD847" s="144"/>
      <c r="AE847" s="144"/>
      <c r="AF847" s="144"/>
    </row>
    <row r="848" ht="16.5" customHeight="1">
      <c r="A848" s="144"/>
      <c r="B848" s="144"/>
      <c r="C848" s="144"/>
      <c r="D848" s="144"/>
      <c r="E848" s="144"/>
      <c r="F848" s="144"/>
      <c r="G848" s="144"/>
      <c r="H848" s="144"/>
      <c r="I848" s="496"/>
      <c r="J848" s="496"/>
      <c r="K848" s="496"/>
      <c r="L848" s="496"/>
      <c r="M848" s="144"/>
      <c r="N848" s="144"/>
      <c r="O848" s="144"/>
      <c r="P848" s="144"/>
      <c r="Q848" s="144"/>
      <c r="R848" s="144"/>
      <c r="S848" s="144"/>
      <c r="T848" s="144"/>
      <c r="U848" s="144"/>
      <c r="V848" s="144"/>
      <c r="W848" s="144"/>
      <c r="X848" s="144"/>
      <c r="Y848" s="144"/>
      <c r="Z848" s="144"/>
      <c r="AA848" s="144"/>
      <c r="AB848" s="144"/>
      <c r="AC848" s="144"/>
      <c r="AD848" s="144"/>
      <c r="AE848" s="144"/>
      <c r="AF848" s="144"/>
    </row>
    <row r="849" ht="16.5" customHeight="1">
      <c r="A849" s="144"/>
      <c r="B849" s="144"/>
      <c r="C849" s="144"/>
      <c r="D849" s="144"/>
      <c r="E849" s="144"/>
      <c r="F849" s="144"/>
      <c r="G849" s="144"/>
      <c r="H849" s="144"/>
      <c r="I849" s="496"/>
      <c r="J849" s="496"/>
      <c r="K849" s="496"/>
      <c r="L849" s="496"/>
      <c r="M849" s="144"/>
      <c r="N849" s="144"/>
      <c r="O849" s="144"/>
      <c r="P849" s="144"/>
      <c r="Q849" s="144"/>
      <c r="R849" s="144"/>
      <c r="S849" s="144"/>
      <c r="T849" s="144"/>
      <c r="U849" s="144"/>
      <c r="V849" s="144"/>
      <c r="W849" s="144"/>
      <c r="X849" s="144"/>
      <c r="Y849" s="144"/>
      <c r="Z849" s="144"/>
      <c r="AA849" s="144"/>
      <c r="AB849" s="144"/>
      <c r="AC849" s="144"/>
      <c r="AD849" s="144"/>
      <c r="AE849" s="144"/>
      <c r="AF849" s="144"/>
    </row>
    <row r="850" ht="16.5" customHeight="1">
      <c r="A850" s="144"/>
      <c r="B850" s="144"/>
      <c r="C850" s="144"/>
      <c r="D850" s="144"/>
      <c r="E850" s="144"/>
      <c r="F850" s="144"/>
      <c r="G850" s="144"/>
      <c r="H850" s="144"/>
      <c r="I850" s="496"/>
      <c r="J850" s="496"/>
      <c r="K850" s="496"/>
      <c r="L850" s="496"/>
      <c r="M850" s="144"/>
      <c r="N850" s="144"/>
      <c r="O850" s="144"/>
      <c r="P850" s="144"/>
      <c r="Q850" s="144"/>
      <c r="R850" s="144"/>
      <c r="S850" s="144"/>
      <c r="T850" s="144"/>
      <c r="U850" s="144"/>
      <c r="V850" s="144"/>
      <c r="W850" s="144"/>
      <c r="X850" s="144"/>
      <c r="Y850" s="144"/>
      <c r="Z850" s="144"/>
      <c r="AA850" s="144"/>
      <c r="AB850" s="144"/>
      <c r="AC850" s="144"/>
      <c r="AD850" s="144"/>
      <c r="AE850" s="144"/>
      <c r="AF850" s="144"/>
    </row>
    <row r="851" ht="16.5" customHeight="1">
      <c r="A851" s="144"/>
      <c r="B851" s="144"/>
      <c r="C851" s="144"/>
      <c r="D851" s="144"/>
      <c r="E851" s="144"/>
      <c r="F851" s="144"/>
      <c r="G851" s="144"/>
      <c r="H851" s="144"/>
      <c r="I851" s="496"/>
      <c r="J851" s="496"/>
      <c r="K851" s="496"/>
      <c r="L851" s="496"/>
      <c r="M851" s="144"/>
      <c r="N851" s="144"/>
      <c r="O851" s="144"/>
      <c r="P851" s="144"/>
      <c r="Q851" s="144"/>
      <c r="R851" s="144"/>
      <c r="S851" s="144"/>
      <c r="T851" s="144"/>
      <c r="U851" s="144"/>
      <c r="V851" s="144"/>
      <c r="W851" s="144"/>
      <c r="X851" s="144"/>
      <c r="Y851" s="144"/>
      <c r="Z851" s="144"/>
      <c r="AA851" s="144"/>
      <c r="AB851" s="144"/>
      <c r="AC851" s="144"/>
      <c r="AD851" s="144"/>
      <c r="AE851" s="144"/>
      <c r="AF851" s="144"/>
    </row>
    <row r="852" ht="16.5" customHeight="1">
      <c r="A852" s="144"/>
      <c r="B852" s="144"/>
      <c r="C852" s="144"/>
      <c r="D852" s="144"/>
      <c r="E852" s="144"/>
      <c r="F852" s="144"/>
      <c r="G852" s="144"/>
      <c r="H852" s="144"/>
      <c r="I852" s="496"/>
      <c r="J852" s="496"/>
      <c r="K852" s="496"/>
      <c r="L852" s="496"/>
      <c r="M852" s="144"/>
      <c r="N852" s="144"/>
      <c r="O852" s="144"/>
      <c r="P852" s="144"/>
      <c r="Q852" s="144"/>
      <c r="R852" s="144"/>
      <c r="S852" s="144"/>
      <c r="T852" s="144"/>
      <c r="U852" s="144"/>
      <c r="V852" s="144"/>
      <c r="W852" s="144"/>
      <c r="X852" s="144"/>
      <c r="Y852" s="144"/>
      <c r="Z852" s="144"/>
      <c r="AA852" s="144"/>
      <c r="AB852" s="144"/>
      <c r="AC852" s="144"/>
      <c r="AD852" s="144"/>
      <c r="AE852" s="144"/>
      <c r="AF852" s="144"/>
    </row>
    <row r="853" ht="16.5" customHeight="1">
      <c r="A853" s="144"/>
      <c r="B853" s="144"/>
      <c r="C853" s="144"/>
      <c r="D853" s="144"/>
      <c r="E853" s="144"/>
      <c r="F853" s="144"/>
      <c r="G853" s="144"/>
      <c r="H853" s="144"/>
      <c r="I853" s="496"/>
      <c r="J853" s="496"/>
      <c r="K853" s="496"/>
      <c r="L853" s="496"/>
      <c r="M853" s="144"/>
      <c r="N853" s="144"/>
      <c r="O853" s="144"/>
      <c r="P853" s="144"/>
      <c r="Q853" s="144"/>
      <c r="R853" s="144"/>
      <c r="S853" s="144"/>
      <c r="T853" s="144"/>
      <c r="U853" s="144"/>
      <c r="V853" s="144"/>
      <c r="W853" s="144"/>
      <c r="X853" s="144"/>
      <c r="Y853" s="144"/>
      <c r="Z853" s="144"/>
      <c r="AA853" s="144"/>
      <c r="AB853" s="144"/>
      <c r="AC853" s="144"/>
      <c r="AD853" s="144"/>
      <c r="AE853" s="144"/>
      <c r="AF853" s="144"/>
    </row>
    <row r="854" ht="16.5" customHeight="1">
      <c r="A854" s="144"/>
      <c r="B854" s="144"/>
      <c r="C854" s="144"/>
      <c r="D854" s="144"/>
      <c r="E854" s="144"/>
      <c r="F854" s="144"/>
      <c r="G854" s="144"/>
      <c r="H854" s="144"/>
      <c r="I854" s="496"/>
      <c r="J854" s="496"/>
      <c r="K854" s="496"/>
      <c r="L854" s="496"/>
      <c r="M854" s="144"/>
      <c r="N854" s="144"/>
      <c r="O854" s="144"/>
      <c r="P854" s="144"/>
      <c r="Q854" s="144"/>
      <c r="R854" s="144"/>
      <c r="S854" s="144"/>
      <c r="T854" s="144"/>
      <c r="U854" s="144"/>
      <c r="V854" s="144"/>
      <c r="W854" s="144"/>
      <c r="X854" s="144"/>
      <c r="Y854" s="144"/>
      <c r="Z854" s="144"/>
      <c r="AA854" s="144"/>
      <c r="AB854" s="144"/>
      <c r="AC854" s="144"/>
      <c r="AD854" s="144"/>
      <c r="AE854" s="144"/>
      <c r="AF854" s="144"/>
    </row>
    <row r="855" ht="16.5" customHeight="1">
      <c r="A855" s="144"/>
      <c r="B855" s="144"/>
      <c r="C855" s="144"/>
      <c r="D855" s="144"/>
      <c r="E855" s="144"/>
      <c r="F855" s="144"/>
      <c r="G855" s="144"/>
      <c r="H855" s="144"/>
      <c r="I855" s="496"/>
      <c r="J855" s="496"/>
      <c r="K855" s="496"/>
      <c r="L855" s="496"/>
      <c r="M855" s="144"/>
      <c r="N855" s="144"/>
      <c r="O855" s="144"/>
      <c r="P855" s="144"/>
      <c r="Q855" s="144"/>
      <c r="R855" s="144"/>
      <c r="S855" s="144"/>
      <c r="T855" s="144"/>
      <c r="U855" s="144"/>
      <c r="V855" s="144"/>
      <c r="W855" s="144"/>
      <c r="X855" s="144"/>
      <c r="Y855" s="144"/>
      <c r="Z855" s="144"/>
      <c r="AA855" s="144"/>
      <c r="AB855" s="144"/>
      <c r="AC855" s="144"/>
      <c r="AD855" s="144"/>
      <c r="AE855" s="144"/>
      <c r="AF855" s="144"/>
    </row>
    <row r="856" ht="16.5" customHeight="1">
      <c r="A856" s="144"/>
      <c r="B856" s="144"/>
      <c r="C856" s="144"/>
      <c r="D856" s="144"/>
      <c r="E856" s="144"/>
      <c r="F856" s="144"/>
      <c r="G856" s="144"/>
      <c r="H856" s="144"/>
      <c r="I856" s="496"/>
      <c r="J856" s="496"/>
      <c r="K856" s="496"/>
      <c r="L856" s="496"/>
      <c r="M856" s="144"/>
      <c r="N856" s="144"/>
      <c r="O856" s="144"/>
      <c r="P856" s="144"/>
      <c r="Q856" s="144"/>
      <c r="R856" s="144"/>
      <c r="S856" s="144"/>
      <c r="T856" s="144"/>
      <c r="U856" s="144"/>
      <c r="V856" s="144"/>
      <c r="W856" s="144"/>
      <c r="X856" s="144"/>
      <c r="Y856" s="144"/>
      <c r="Z856" s="144"/>
      <c r="AA856" s="144"/>
      <c r="AB856" s="144"/>
      <c r="AC856" s="144"/>
      <c r="AD856" s="144"/>
      <c r="AE856" s="144"/>
      <c r="AF856" s="144"/>
    </row>
    <row r="857" ht="16.5" customHeight="1">
      <c r="A857" s="144"/>
      <c r="B857" s="144"/>
      <c r="C857" s="144"/>
      <c r="D857" s="144"/>
      <c r="E857" s="144"/>
      <c r="F857" s="144"/>
      <c r="G857" s="144"/>
      <c r="H857" s="144"/>
      <c r="I857" s="496"/>
      <c r="J857" s="496"/>
      <c r="K857" s="496"/>
      <c r="L857" s="496"/>
      <c r="M857" s="144"/>
      <c r="N857" s="144"/>
      <c r="O857" s="144"/>
      <c r="P857" s="144"/>
      <c r="Q857" s="144"/>
      <c r="R857" s="144"/>
      <c r="S857" s="144"/>
      <c r="T857" s="144"/>
      <c r="U857" s="144"/>
      <c r="V857" s="144"/>
      <c r="W857" s="144"/>
      <c r="X857" s="144"/>
      <c r="Y857" s="144"/>
      <c r="Z857" s="144"/>
      <c r="AA857" s="144"/>
      <c r="AB857" s="144"/>
      <c r="AC857" s="144"/>
      <c r="AD857" s="144"/>
      <c r="AE857" s="144"/>
      <c r="AF857" s="144"/>
    </row>
    <row r="858" ht="16.5" customHeight="1">
      <c r="A858" s="144"/>
      <c r="B858" s="144"/>
      <c r="C858" s="144"/>
      <c r="D858" s="144"/>
      <c r="E858" s="144"/>
      <c r="F858" s="144"/>
      <c r="G858" s="144"/>
      <c r="H858" s="144"/>
      <c r="I858" s="496"/>
      <c r="J858" s="496"/>
      <c r="K858" s="496"/>
      <c r="L858" s="496"/>
      <c r="M858" s="144"/>
      <c r="N858" s="144"/>
      <c r="O858" s="144"/>
      <c r="P858" s="144"/>
      <c r="Q858" s="144"/>
      <c r="R858" s="144"/>
      <c r="S858" s="144"/>
      <c r="T858" s="144"/>
      <c r="U858" s="144"/>
      <c r="V858" s="144"/>
      <c r="W858" s="144"/>
      <c r="X858" s="144"/>
      <c r="Y858" s="144"/>
      <c r="Z858" s="144"/>
      <c r="AA858" s="144"/>
      <c r="AB858" s="144"/>
      <c r="AC858" s="144"/>
      <c r="AD858" s="144"/>
      <c r="AE858" s="144"/>
      <c r="AF858" s="144"/>
    </row>
    <row r="859" ht="16.5" customHeight="1">
      <c r="A859" s="144"/>
      <c r="B859" s="144"/>
      <c r="C859" s="144"/>
      <c r="D859" s="144"/>
      <c r="E859" s="144"/>
      <c r="F859" s="144"/>
      <c r="G859" s="144"/>
      <c r="H859" s="144"/>
      <c r="I859" s="496"/>
      <c r="J859" s="496"/>
      <c r="K859" s="496"/>
      <c r="L859" s="496"/>
      <c r="M859" s="144"/>
      <c r="N859" s="144"/>
      <c r="O859" s="144"/>
      <c r="P859" s="144"/>
      <c r="Q859" s="144"/>
      <c r="R859" s="144"/>
      <c r="S859" s="144"/>
      <c r="T859" s="144"/>
      <c r="U859" s="144"/>
      <c r="V859" s="144"/>
      <c r="W859" s="144"/>
      <c r="X859" s="144"/>
      <c r="Y859" s="144"/>
      <c r="Z859" s="144"/>
      <c r="AA859" s="144"/>
      <c r="AB859" s="144"/>
      <c r="AC859" s="144"/>
      <c r="AD859" s="144"/>
      <c r="AE859" s="144"/>
      <c r="AF859" s="144"/>
    </row>
    <row r="860" ht="16.5" customHeight="1">
      <c r="A860" s="144"/>
      <c r="B860" s="144"/>
      <c r="C860" s="144"/>
      <c r="D860" s="144"/>
      <c r="E860" s="144"/>
      <c r="F860" s="144"/>
      <c r="G860" s="144"/>
      <c r="H860" s="144"/>
      <c r="I860" s="496"/>
      <c r="J860" s="496"/>
      <c r="K860" s="496"/>
      <c r="L860" s="496"/>
      <c r="M860" s="144"/>
      <c r="N860" s="144"/>
      <c r="O860" s="144"/>
      <c r="P860" s="144"/>
      <c r="Q860" s="144"/>
      <c r="R860" s="144"/>
      <c r="S860" s="144"/>
      <c r="T860" s="144"/>
      <c r="U860" s="144"/>
      <c r="V860" s="144"/>
      <c r="W860" s="144"/>
      <c r="X860" s="144"/>
      <c r="Y860" s="144"/>
      <c r="Z860" s="144"/>
      <c r="AA860" s="144"/>
      <c r="AB860" s="144"/>
      <c r="AC860" s="144"/>
      <c r="AD860" s="144"/>
      <c r="AE860" s="144"/>
      <c r="AF860" s="144"/>
    </row>
    <row r="861" ht="16.5" customHeight="1">
      <c r="A861" s="144"/>
      <c r="B861" s="144"/>
      <c r="C861" s="144"/>
      <c r="D861" s="144"/>
      <c r="E861" s="144"/>
      <c r="F861" s="144"/>
      <c r="G861" s="144"/>
      <c r="H861" s="144"/>
      <c r="I861" s="496"/>
      <c r="J861" s="496"/>
      <c r="K861" s="496"/>
      <c r="L861" s="496"/>
      <c r="M861" s="144"/>
      <c r="N861" s="144"/>
      <c r="O861" s="144"/>
      <c r="P861" s="144"/>
      <c r="Q861" s="144"/>
      <c r="R861" s="144"/>
      <c r="S861" s="144"/>
      <c r="T861" s="144"/>
      <c r="U861" s="144"/>
      <c r="V861" s="144"/>
      <c r="W861" s="144"/>
      <c r="X861" s="144"/>
      <c r="Y861" s="144"/>
      <c r="Z861" s="144"/>
      <c r="AA861" s="144"/>
      <c r="AB861" s="144"/>
      <c r="AC861" s="144"/>
      <c r="AD861" s="144"/>
      <c r="AE861" s="144"/>
      <c r="AF861" s="144"/>
    </row>
    <row r="862" ht="16.5" customHeight="1">
      <c r="A862" s="144"/>
      <c r="B862" s="144"/>
      <c r="C862" s="144"/>
      <c r="D862" s="144"/>
      <c r="E862" s="144"/>
      <c r="F862" s="144"/>
      <c r="G862" s="144"/>
      <c r="H862" s="144"/>
      <c r="I862" s="496"/>
      <c r="J862" s="496"/>
      <c r="K862" s="496"/>
      <c r="L862" s="496"/>
      <c r="M862" s="144"/>
      <c r="N862" s="144"/>
      <c r="O862" s="144"/>
      <c r="P862" s="144"/>
      <c r="Q862" s="144"/>
      <c r="R862" s="144"/>
      <c r="S862" s="144"/>
      <c r="T862" s="144"/>
      <c r="U862" s="144"/>
      <c r="V862" s="144"/>
      <c r="W862" s="144"/>
      <c r="X862" s="144"/>
      <c r="Y862" s="144"/>
      <c r="Z862" s="144"/>
      <c r="AA862" s="144"/>
      <c r="AB862" s="144"/>
      <c r="AC862" s="144"/>
      <c r="AD862" s="144"/>
      <c r="AE862" s="144"/>
      <c r="AF862" s="144"/>
    </row>
    <row r="863" ht="16.5" customHeight="1">
      <c r="A863" s="144"/>
      <c r="B863" s="144"/>
      <c r="C863" s="144"/>
      <c r="D863" s="144"/>
      <c r="E863" s="144"/>
      <c r="F863" s="144"/>
      <c r="G863" s="144"/>
      <c r="H863" s="144"/>
      <c r="I863" s="496"/>
      <c r="J863" s="496"/>
      <c r="K863" s="496"/>
      <c r="L863" s="496"/>
      <c r="M863" s="144"/>
      <c r="N863" s="144"/>
      <c r="O863" s="144"/>
      <c r="P863" s="144"/>
      <c r="Q863" s="144"/>
      <c r="R863" s="144"/>
      <c r="S863" s="144"/>
      <c r="T863" s="144"/>
      <c r="U863" s="144"/>
      <c r="V863" s="144"/>
      <c r="W863" s="144"/>
      <c r="X863" s="144"/>
      <c r="Y863" s="144"/>
      <c r="Z863" s="144"/>
      <c r="AA863" s="144"/>
      <c r="AB863" s="144"/>
      <c r="AC863" s="144"/>
      <c r="AD863" s="144"/>
      <c r="AE863" s="144"/>
      <c r="AF863" s="144"/>
    </row>
    <row r="864" ht="16.5" customHeight="1">
      <c r="A864" s="144"/>
      <c r="B864" s="144"/>
      <c r="C864" s="144"/>
      <c r="D864" s="144"/>
      <c r="E864" s="144"/>
      <c r="F864" s="144"/>
      <c r="G864" s="144"/>
      <c r="H864" s="144"/>
      <c r="I864" s="496"/>
      <c r="J864" s="496"/>
      <c r="K864" s="496"/>
      <c r="L864" s="496"/>
      <c r="M864" s="144"/>
      <c r="N864" s="144"/>
      <c r="O864" s="144"/>
      <c r="P864" s="144"/>
      <c r="Q864" s="144"/>
      <c r="R864" s="144"/>
      <c r="S864" s="144"/>
      <c r="T864" s="144"/>
      <c r="U864" s="144"/>
      <c r="V864" s="144"/>
      <c r="W864" s="144"/>
      <c r="X864" s="144"/>
      <c r="Y864" s="144"/>
      <c r="Z864" s="144"/>
      <c r="AA864" s="144"/>
      <c r="AB864" s="144"/>
      <c r="AC864" s="144"/>
      <c r="AD864" s="144"/>
      <c r="AE864" s="144"/>
      <c r="AF864" s="144"/>
    </row>
    <row r="865" ht="16.5" customHeight="1">
      <c r="A865" s="144"/>
      <c r="B865" s="144"/>
      <c r="C865" s="144"/>
      <c r="D865" s="144"/>
      <c r="E865" s="144"/>
      <c r="F865" s="144"/>
      <c r="G865" s="144"/>
      <c r="H865" s="144"/>
      <c r="I865" s="496"/>
      <c r="J865" s="496"/>
      <c r="K865" s="496"/>
      <c r="L865" s="496"/>
      <c r="M865" s="144"/>
      <c r="N865" s="144"/>
      <c r="O865" s="144"/>
      <c r="P865" s="144"/>
      <c r="Q865" s="144"/>
      <c r="R865" s="144"/>
      <c r="S865" s="144"/>
      <c r="T865" s="144"/>
      <c r="U865" s="144"/>
      <c r="V865" s="144"/>
      <c r="W865" s="144"/>
      <c r="X865" s="144"/>
      <c r="Y865" s="144"/>
      <c r="Z865" s="144"/>
      <c r="AA865" s="144"/>
      <c r="AB865" s="144"/>
      <c r="AC865" s="144"/>
      <c r="AD865" s="144"/>
      <c r="AE865" s="144"/>
      <c r="AF865" s="144"/>
    </row>
    <row r="866" ht="16.5" customHeight="1">
      <c r="A866" s="144"/>
      <c r="B866" s="144"/>
      <c r="C866" s="144"/>
      <c r="D866" s="144"/>
      <c r="E866" s="144"/>
      <c r="F866" s="144"/>
      <c r="G866" s="144"/>
      <c r="H866" s="144"/>
      <c r="I866" s="496"/>
      <c r="J866" s="496"/>
      <c r="K866" s="496"/>
      <c r="L866" s="496"/>
      <c r="M866" s="144"/>
      <c r="N866" s="144"/>
      <c r="O866" s="144"/>
      <c r="P866" s="144"/>
      <c r="Q866" s="144"/>
      <c r="R866" s="144"/>
      <c r="S866" s="144"/>
      <c r="T866" s="144"/>
      <c r="U866" s="144"/>
      <c r="V866" s="144"/>
      <c r="W866" s="144"/>
      <c r="X866" s="144"/>
      <c r="Y866" s="144"/>
      <c r="Z866" s="144"/>
      <c r="AA866" s="144"/>
      <c r="AB866" s="144"/>
      <c r="AC866" s="144"/>
      <c r="AD866" s="144"/>
      <c r="AE866" s="144"/>
      <c r="AF866" s="144"/>
    </row>
    <row r="867" ht="16.5" customHeight="1">
      <c r="A867" s="144"/>
      <c r="B867" s="144"/>
      <c r="C867" s="144"/>
      <c r="D867" s="144"/>
      <c r="E867" s="144"/>
      <c r="F867" s="144"/>
      <c r="G867" s="144"/>
      <c r="H867" s="144"/>
      <c r="I867" s="496"/>
      <c r="J867" s="496"/>
      <c r="K867" s="496"/>
      <c r="L867" s="496"/>
      <c r="M867" s="144"/>
      <c r="N867" s="144"/>
      <c r="O867" s="144"/>
      <c r="P867" s="144"/>
      <c r="Q867" s="144"/>
      <c r="R867" s="144"/>
      <c r="S867" s="144"/>
      <c r="T867" s="144"/>
      <c r="U867" s="144"/>
      <c r="V867" s="144"/>
      <c r="W867" s="144"/>
      <c r="X867" s="144"/>
      <c r="Y867" s="144"/>
      <c r="Z867" s="144"/>
      <c r="AA867" s="144"/>
      <c r="AB867" s="144"/>
      <c r="AC867" s="144"/>
      <c r="AD867" s="144"/>
      <c r="AE867" s="144"/>
      <c r="AF867" s="144"/>
    </row>
    <row r="868" ht="16.5" customHeight="1">
      <c r="A868" s="144"/>
      <c r="B868" s="144"/>
      <c r="C868" s="144"/>
      <c r="D868" s="144"/>
      <c r="E868" s="144"/>
      <c r="F868" s="144"/>
      <c r="G868" s="144"/>
      <c r="H868" s="144"/>
      <c r="I868" s="496"/>
      <c r="J868" s="496"/>
      <c r="K868" s="496"/>
      <c r="L868" s="496"/>
      <c r="M868" s="144"/>
      <c r="N868" s="144"/>
      <c r="O868" s="144"/>
      <c r="P868" s="144"/>
      <c r="Q868" s="144"/>
      <c r="R868" s="144"/>
      <c r="S868" s="144"/>
      <c r="T868" s="144"/>
      <c r="U868" s="144"/>
      <c r="V868" s="144"/>
      <c r="W868" s="144"/>
      <c r="X868" s="144"/>
      <c r="Y868" s="144"/>
      <c r="Z868" s="144"/>
      <c r="AA868" s="144"/>
      <c r="AB868" s="144"/>
      <c r="AC868" s="144"/>
      <c r="AD868" s="144"/>
      <c r="AE868" s="144"/>
      <c r="AF868" s="144"/>
    </row>
    <row r="869" ht="16.5" customHeight="1">
      <c r="A869" s="144"/>
      <c r="B869" s="144"/>
      <c r="C869" s="144"/>
      <c r="D869" s="144"/>
      <c r="E869" s="144"/>
      <c r="F869" s="144"/>
      <c r="G869" s="144"/>
      <c r="H869" s="144"/>
      <c r="I869" s="496"/>
      <c r="J869" s="496"/>
      <c r="K869" s="496"/>
      <c r="L869" s="496"/>
      <c r="M869" s="144"/>
      <c r="N869" s="144"/>
      <c r="O869" s="144"/>
      <c r="P869" s="144"/>
      <c r="Q869" s="144"/>
      <c r="R869" s="144"/>
      <c r="S869" s="144"/>
      <c r="T869" s="144"/>
      <c r="U869" s="144"/>
      <c r="V869" s="144"/>
      <c r="W869" s="144"/>
      <c r="X869" s="144"/>
      <c r="Y869" s="144"/>
      <c r="Z869" s="144"/>
      <c r="AA869" s="144"/>
      <c r="AB869" s="144"/>
      <c r="AC869" s="144"/>
      <c r="AD869" s="144"/>
      <c r="AE869" s="144"/>
      <c r="AF869" s="144"/>
    </row>
    <row r="870" ht="16.5" customHeight="1">
      <c r="A870" s="144"/>
      <c r="B870" s="144"/>
      <c r="C870" s="144"/>
      <c r="D870" s="144"/>
      <c r="E870" s="144"/>
      <c r="F870" s="144"/>
      <c r="G870" s="144"/>
      <c r="H870" s="144"/>
      <c r="I870" s="496"/>
      <c r="J870" s="496"/>
      <c r="K870" s="496"/>
      <c r="L870" s="496"/>
      <c r="M870" s="144"/>
      <c r="N870" s="144"/>
      <c r="O870" s="144"/>
      <c r="P870" s="144"/>
      <c r="Q870" s="144"/>
      <c r="R870" s="144"/>
      <c r="S870" s="144"/>
      <c r="T870" s="144"/>
      <c r="U870" s="144"/>
      <c r="V870" s="144"/>
      <c r="W870" s="144"/>
      <c r="X870" s="144"/>
      <c r="Y870" s="144"/>
      <c r="Z870" s="144"/>
      <c r="AA870" s="144"/>
      <c r="AB870" s="144"/>
      <c r="AC870" s="144"/>
      <c r="AD870" s="144"/>
      <c r="AE870" s="144"/>
      <c r="AF870" s="144"/>
    </row>
    <row r="871" ht="16.5" customHeight="1">
      <c r="A871" s="144"/>
      <c r="B871" s="144"/>
      <c r="C871" s="144"/>
      <c r="D871" s="144"/>
      <c r="E871" s="144"/>
      <c r="F871" s="144"/>
      <c r="G871" s="144"/>
      <c r="H871" s="144"/>
      <c r="I871" s="496"/>
      <c r="J871" s="496"/>
      <c r="K871" s="496"/>
      <c r="L871" s="496"/>
      <c r="M871" s="144"/>
      <c r="N871" s="144"/>
      <c r="O871" s="144"/>
      <c r="P871" s="144"/>
      <c r="Q871" s="144"/>
      <c r="R871" s="144"/>
      <c r="S871" s="144"/>
      <c r="T871" s="144"/>
      <c r="U871" s="144"/>
      <c r="V871" s="144"/>
      <c r="W871" s="144"/>
      <c r="X871" s="144"/>
      <c r="Y871" s="144"/>
      <c r="Z871" s="144"/>
      <c r="AA871" s="144"/>
      <c r="AB871" s="144"/>
      <c r="AC871" s="144"/>
      <c r="AD871" s="144"/>
      <c r="AE871" s="144"/>
      <c r="AF871" s="144"/>
    </row>
    <row r="872" ht="16.5" customHeight="1">
      <c r="A872" s="144"/>
      <c r="B872" s="144"/>
      <c r="C872" s="144"/>
      <c r="D872" s="144"/>
      <c r="E872" s="144"/>
      <c r="F872" s="144"/>
      <c r="G872" s="144"/>
      <c r="H872" s="144"/>
      <c r="I872" s="496"/>
      <c r="J872" s="496"/>
      <c r="K872" s="496"/>
      <c r="L872" s="496"/>
      <c r="M872" s="144"/>
      <c r="N872" s="144"/>
      <c r="O872" s="144"/>
      <c r="P872" s="144"/>
      <c r="Q872" s="144"/>
      <c r="R872" s="144"/>
      <c r="S872" s="144"/>
      <c r="T872" s="144"/>
      <c r="U872" s="144"/>
      <c r="V872" s="144"/>
      <c r="W872" s="144"/>
      <c r="X872" s="144"/>
      <c r="Y872" s="144"/>
      <c r="Z872" s="144"/>
      <c r="AA872" s="144"/>
      <c r="AB872" s="144"/>
      <c r="AC872" s="144"/>
      <c r="AD872" s="144"/>
      <c r="AE872" s="144"/>
      <c r="AF872" s="144"/>
    </row>
    <row r="873" ht="16.5" customHeight="1">
      <c r="A873" s="144"/>
      <c r="B873" s="144"/>
      <c r="C873" s="144"/>
      <c r="D873" s="144"/>
      <c r="E873" s="144"/>
      <c r="F873" s="144"/>
      <c r="G873" s="144"/>
      <c r="H873" s="144"/>
      <c r="I873" s="496"/>
      <c r="J873" s="496"/>
      <c r="K873" s="496"/>
      <c r="L873" s="496"/>
      <c r="M873" s="144"/>
      <c r="N873" s="144"/>
      <c r="O873" s="144"/>
      <c r="P873" s="144"/>
      <c r="Q873" s="144"/>
      <c r="R873" s="144"/>
      <c r="S873" s="144"/>
      <c r="T873" s="144"/>
      <c r="U873" s="144"/>
      <c r="V873" s="144"/>
      <c r="W873" s="144"/>
      <c r="X873" s="144"/>
      <c r="Y873" s="144"/>
      <c r="Z873" s="144"/>
      <c r="AA873" s="144"/>
      <c r="AB873" s="144"/>
      <c r="AC873" s="144"/>
      <c r="AD873" s="144"/>
      <c r="AE873" s="144"/>
      <c r="AF873" s="144"/>
    </row>
    <row r="874" ht="16.5" customHeight="1">
      <c r="A874" s="144"/>
      <c r="B874" s="144"/>
      <c r="C874" s="144"/>
      <c r="D874" s="144"/>
      <c r="E874" s="144"/>
      <c r="F874" s="144"/>
      <c r="G874" s="144"/>
      <c r="H874" s="144"/>
      <c r="I874" s="496"/>
      <c r="J874" s="496"/>
      <c r="K874" s="496"/>
      <c r="L874" s="496"/>
      <c r="M874" s="144"/>
      <c r="N874" s="144"/>
      <c r="O874" s="144"/>
      <c r="P874" s="144"/>
      <c r="Q874" s="144"/>
      <c r="R874" s="144"/>
      <c r="S874" s="144"/>
      <c r="T874" s="144"/>
      <c r="U874" s="144"/>
      <c r="V874" s="144"/>
      <c r="W874" s="144"/>
      <c r="X874" s="144"/>
      <c r="Y874" s="144"/>
      <c r="Z874" s="144"/>
      <c r="AA874" s="144"/>
      <c r="AB874" s="144"/>
      <c r="AC874" s="144"/>
      <c r="AD874" s="144"/>
      <c r="AE874" s="144"/>
      <c r="AF874" s="144"/>
    </row>
    <row r="875" ht="16.5" customHeight="1">
      <c r="A875" s="144"/>
      <c r="B875" s="144"/>
      <c r="C875" s="144"/>
      <c r="D875" s="144"/>
      <c r="E875" s="144"/>
      <c r="F875" s="144"/>
      <c r="G875" s="144"/>
      <c r="H875" s="144"/>
      <c r="I875" s="496"/>
      <c r="J875" s="496"/>
      <c r="K875" s="496"/>
      <c r="L875" s="496"/>
      <c r="M875" s="144"/>
      <c r="N875" s="144"/>
      <c r="O875" s="144"/>
      <c r="P875" s="144"/>
      <c r="Q875" s="144"/>
      <c r="R875" s="144"/>
      <c r="S875" s="144"/>
      <c r="T875" s="144"/>
      <c r="U875" s="144"/>
      <c r="V875" s="144"/>
      <c r="W875" s="144"/>
      <c r="X875" s="144"/>
      <c r="Y875" s="144"/>
      <c r="Z875" s="144"/>
      <c r="AA875" s="144"/>
      <c r="AB875" s="144"/>
      <c r="AC875" s="144"/>
      <c r="AD875" s="144"/>
      <c r="AE875" s="144"/>
      <c r="AF875" s="144"/>
    </row>
    <row r="876" ht="16.5" customHeight="1">
      <c r="A876" s="144"/>
      <c r="B876" s="144"/>
      <c r="C876" s="144"/>
      <c r="D876" s="144"/>
      <c r="E876" s="144"/>
      <c r="F876" s="144"/>
      <c r="G876" s="144"/>
      <c r="H876" s="144"/>
      <c r="I876" s="496"/>
      <c r="J876" s="496"/>
      <c r="K876" s="496"/>
      <c r="L876" s="496"/>
      <c r="M876" s="144"/>
      <c r="N876" s="144"/>
      <c r="O876" s="144"/>
      <c r="P876" s="144"/>
      <c r="Q876" s="144"/>
      <c r="R876" s="144"/>
      <c r="S876" s="144"/>
      <c r="T876" s="144"/>
      <c r="U876" s="144"/>
      <c r="V876" s="144"/>
      <c r="W876" s="144"/>
      <c r="X876" s="144"/>
      <c r="Y876" s="144"/>
      <c r="Z876" s="144"/>
      <c r="AA876" s="144"/>
      <c r="AB876" s="144"/>
      <c r="AC876" s="144"/>
      <c r="AD876" s="144"/>
      <c r="AE876" s="144"/>
      <c r="AF876" s="144"/>
    </row>
    <row r="877" ht="16.5" customHeight="1">
      <c r="A877" s="144"/>
      <c r="B877" s="144"/>
      <c r="C877" s="144"/>
      <c r="D877" s="144"/>
      <c r="E877" s="144"/>
      <c r="F877" s="144"/>
      <c r="G877" s="144"/>
      <c r="H877" s="144"/>
      <c r="I877" s="496"/>
      <c r="J877" s="496"/>
      <c r="K877" s="496"/>
      <c r="L877" s="496"/>
      <c r="M877" s="144"/>
      <c r="N877" s="144"/>
      <c r="O877" s="144"/>
      <c r="P877" s="144"/>
      <c r="Q877" s="144"/>
      <c r="R877" s="144"/>
      <c r="S877" s="144"/>
      <c r="T877" s="144"/>
      <c r="U877" s="144"/>
      <c r="V877" s="144"/>
      <c r="W877" s="144"/>
      <c r="X877" s="144"/>
      <c r="Y877" s="144"/>
      <c r="Z877" s="144"/>
      <c r="AA877" s="144"/>
      <c r="AB877" s="144"/>
      <c r="AC877" s="144"/>
      <c r="AD877" s="144"/>
      <c r="AE877" s="144"/>
      <c r="AF877" s="144"/>
    </row>
    <row r="878" ht="16.5" customHeight="1">
      <c r="A878" s="144"/>
      <c r="B878" s="144"/>
      <c r="C878" s="144"/>
      <c r="D878" s="144"/>
      <c r="E878" s="144"/>
      <c r="F878" s="144"/>
      <c r="G878" s="144"/>
      <c r="H878" s="144"/>
      <c r="I878" s="496"/>
      <c r="J878" s="496"/>
      <c r="K878" s="496"/>
      <c r="L878" s="496"/>
      <c r="M878" s="144"/>
      <c r="N878" s="144"/>
      <c r="O878" s="144"/>
      <c r="P878" s="144"/>
      <c r="Q878" s="144"/>
      <c r="R878" s="144"/>
      <c r="S878" s="144"/>
      <c r="T878" s="144"/>
      <c r="U878" s="144"/>
      <c r="V878" s="144"/>
      <c r="W878" s="144"/>
      <c r="X878" s="144"/>
      <c r="Y878" s="144"/>
      <c r="Z878" s="144"/>
      <c r="AA878" s="144"/>
      <c r="AB878" s="144"/>
      <c r="AC878" s="144"/>
      <c r="AD878" s="144"/>
      <c r="AE878" s="144"/>
      <c r="AF878" s="144"/>
    </row>
    <row r="879" ht="16.5" customHeight="1">
      <c r="A879" s="144"/>
      <c r="B879" s="144"/>
      <c r="C879" s="144"/>
      <c r="D879" s="144"/>
      <c r="E879" s="144"/>
      <c r="F879" s="144"/>
      <c r="G879" s="144"/>
      <c r="H879" s="144"/>
      <c r="I879" s="496"/>
      <c r="J879" s="496"/>
      <c r="K879" s="496"/>
      <c r="L879" s="496"/>
      <c r="M879" s="144"/>
      <c r="N879" s="144"/>
      <c r="O879" s="144"/>
      <c r="P879" s="144"/>
      <c r="Q879" s="144"/>
      <c r="R879" s="144"/>
      <c r="S879" s="144"/>
      <c r="T879" s="144"/>
      <c r="U879" s="144"/>
      <c r="V879" s="144"/>
      <c r="W879" s="144"/>
      <c r="X879" s="144"/>
      <c r="Y879" s="144"/>
      <c r="Z879" s="144"/>
      <c r="AA879" s="144"/>
      <c r="AB879" s="144"/>
      <c r="AC879" s="144"/>
      <c r="AD879" s="144"/>
      <c r="AE879" s="144"/>
      <c r="AF879" s="144"/>
    </row>
    <row r="880" ht="16.5" customHeight="1">
      <c r="A880" s="144"/>
      <c r="B880" s="144"/>
      <c r="C880" s="144"/>
      <c r="D880" s="144"/>
      <c r="E880" s="144"/>
      <c r="F880" s="144"/>
      <c r="G880" s="144"/>
      <c r="H880" s="144"/>
      <c r="I880" s="496"/>
      <c r="J880" s="496"/>
      <c r="K880" s="496"/>
      <c r="L880" s="496"/>
      <c r="M880" s="144"/>
      <c r="N880" s="144"/>
      <c r="O880" s="144"/>
      <c r="P880" s="144"/>
      <c r="Q880" s="144"/>
      <c r="R880" s="144"/>
      <c r="S880" s="144"/>
      <c r="T880" s="144"/>
      <c r="U880" s="144"/>
      <c r="V880" s="144"/>
      <c r="W880" s="144"/>
      <c r="X880" s="144"/>
      <c r="Y880" s="144"/>
      <c r="Z880" s="144"/>
      <c r="AA880" s="144"/>
      <c r="AB880" s="144"/>
      <c r="AC880" s="144"/>
      <c r="AD880" s="144"/>
      <c r="AE880" s="144"/>
      <c r="AF880" s="144"/>
    </row>
    <row r="881" ht="16.5" customHeight="1">
      <c r="A881" s="144"/>
      <c r="B881" s="144"/>
      <c r="C881" s="144"/>
      <c r="D881" s="144"/>
      <c r="E881" s="144"/>
      <c r="F881" s="144"/>
      <c r="G881" s="144"/>
      <c r="H881" s="144"/>
      <c r="I881" s="496"/>
      <c r="J881" s="496"/>
      <c r="K881" s="496"/>
      <c r="L881" s="496"/>
      <c r="M881" s="144"/>
      <c r="N881" s="144"/>
      <c r="O881" s="144"/>
      <c r="P881" s="144"/>
      <c r="Q881" s="144"/>
      <c r="R881" s="144"/>
      <c r="S881" s="144"/>
      <c r="T881" s="144"/>
      <c r="U881" s="144"/>
      <c r="V881" s="144"/>
      <c r="W881" s="144"/>
      <c r="X881" s="144"/>
      <c r="Y881" s="144"/>
      <c r="Z881" s="144"/>
      <c r="AA881" s="144"/>
      <c r="AB881" s="144"/>
      <c r="AC881" s="144"/>
      <c r="AD881" s="144"/>
      <c r="AE881" s="144"/>
      <c r="AF881" s="144"/>
    </row>
    <row r="882" ht="16.5" customHeight="1">
      <c r="A882" s="144"/>
      <c r="B882" s="144"/>
      <c r="C882" s="144"/>
      <c r="D882" s="144"/>
      <c r="E882" s="144"/>
      <c r="F882" s="144"/>
      <c r="G882" s="144"/>
      <c r="H882" s="144"/>
      <c r="I882" s="496"/>
      <c r="J882" s="496"/>
      <c r="K882" s="496"/>
      <c r="L882" s="496"/>
      <c r="M882" s="144"/>
      <c r="N882" s="144"/>
      <c r="O882" s="144"/>
      <c r="P882" s="144"/>
      <c r="Q882" s="144"/>
      <c r="R882" s="144"/>
      <c r="S882" s="144"/>
      <c r="T882" s="144"/>
      <c r="U882" s="144"/>
      <c r="V882" s="144"/>
      <c r="W882" s="144"/>
      <c r="X882" s="144"/>
      <c r="Y882" s="144"/>
      <c r="Z882" s="144"/>
      <c r="AA882" s="144"/>
      <c r="AB882" s="144"/>
      <c r="AC882" s="144"/>
      <c r="AD882" s="144"/>
      <c r="AE882" s="144"/>
      <c r="AF882" s="144"/>
    </row>
    <row r="883" ht="16.5" customHeight="1">
      <c r="A883" s="144"/>
      <c r="B883" s="144"/>
      <c r="C883" s="144"/>
      <c r="D883" s="144"/>
      <c r="E883" s="144"/>
      <c r="F883" s="144"/>
      <c r="G883" s="144"/>
      <c r="H883" s="144"/>
      <c r="I883" s="496"/>
      <c r="J883" s="496"/>
      <c r="K883" s="496"/>
      <c r="L883" s="496"/>
      <c r="M883" s="144"/>
      <c r="N883" s="144"/>
      <c r="O883" s="144"/>
      <c r="P883" s="144"/>
      <c r="Q883" s="144"/>
      <c r="R883" s="144"/>
      <c r="S883" s="144"/>
      <c r="T883" s="144"/>
      <c r="U883" s="144"/>
      <c r="V883" s="144"/>
      <c r="W883" s="144"/>
      <c r="X883" s="144"/>
      <c r="Y883" s="144"/>
      <c r="Z883" s="144"/>
      <c r="AA883" s="144"/>
      <c r="AB883" s="144"/>
      <c r="AC883" s="144"/>
      <c r="AD883" s="144"/>
      <c r="AE883" s="144"/>
      <c r="AF883" s="144"/>
    </row>
    <row r="884" ht="16.5" customHeight="1">
      <c r="A884" s="144"/>
      <c r="B884" s="144"/>
      <c r="C884" s="144"/>
      <c r="D884" s="144"/>
      <c r="E884" s="144"/>
      <c r="F884" s="144"/>
      <c r="G884" s="144"/>
      <c r="H884" s="144"/>
      <c r="I884" s="496"/>
      <c r="J884" s="496"/>
      <c r="K884" s="496"/>
      <c r="L884" s="496"/>
      <c r="M884" s="144"/>
      <c r="N884" s="144"/>
      <c r="O884" s="144"/>
      <c r="P884" s="144"/>
      <c r="Q884" s="144"/>
      <c r="R884" s="144"/>
      <c r="S884" s="144"/>
      <c r="T884" s="144"/>
      <c r="U884" s="144"/>
      <c r="V884" s="144"/>
      <c r="W884" s="144"/>
      <c r="X884" s="144"/>
      <c r="Y884" s="144"/>
      <c r="Z884" s="144"/>
      <c r="AA884" s="144"/>
      <c r="AB884" s="144"/>
      <c r="AC884" s="144"/>
      <c r="AD884" s="144"/>
      <c r="AE884" s="144"/>
      <c r="AF884" s="144"/>
    </row>
    <row r="885" ht="16.5" customHeight="1">
      <c r="A885" s="144"/>
      <c r="B885" s="144"/>
      <c r="C885" s="144"/>
      <c r="D885" s="144"/>
      <c r="E885" s="144"/>
      <c r="F885" s="144"/>
      <c r="G885" s="144"/>
      <c r="H885" s="144"/>
      <c r="I885" s="496"/>
      <c r="J885" s="496"/>
      <c r="K885" s="496"/>
      <c r="L885" s="496"/>
      <c r="M885" s="144"/>
      <c r="N885" s="144"/>
      <c r="O885" s="144"/>
      <c r="P885" s="144"/>
      <c r="Q885" s="144"/>
      <c r="R885" s="144"/>
      <c r="S885" s="144"/>
      <c r="T885" s="144"/>
      <c r="U885" s="144"/>
      <c r="V885" s="144"/>
      <c r="W885" s="144"/>
      <c r="X885" s="144"/>
      <c r="Y885" s="144"/>
      <c r="Z885" s="144"/>
      <c r="AA885" s="144"/>
      <c r="AB885" s="144"/>
      <c r="AC885" s="144"/>
      <c r="AD885" s="144"/>
      <c r="AE885" s="144"/>
      <c r="AF885" s="144"/>
    </row>
    <row r="886" ht="16.5" customHeight="1">
      <c r="A886" s="144"/>
      <c r="B886" s="144"/>
      <c r="C886" s="144"/>
      <c r="D886" s="144"/>
      <c r="E886" s="144"/>
      <c r="F886" s="144"/>
      <c r="G886" s="144"/>
      <c r="H886" s="144"/>
      <c r="I886" s="496"/>
      <c r="J886" s="496"/>
      <c r="K886" s="496"/>
      <c r="L886" s="496"/>
      <c r="M886" s="144"/>
      <c r="N886" s="144"/>
      <c r="O886" s="144"/>
      <c r="P886" s="144"/>
      <c r="Q886" s="144"/>
      <c r="R886" s="144"/>
      <c r="S886" s="144"/>
      <c r="T886" s="144"/>
      <c r="U886" s="144"/>
      <c r="V886" s="144"/>
      <c r="W886" s="144"/>
      <c r="X886" s="144"/>
      <c r="Y886" s="144"/>
      <c r="Z886" s="144"/>
      <c r="AA886" s="144"/>
      <c r="AB886" s="144"/>
      <c r="AC886" s="144"/>
      <c r="AD886" s="144"/>
      <c r="AE886" s="144"/>
      <c r="AF886" s="144"/>
    </row>
    <row r="887" ht="16.5" customHeight="1">
      <c r="A887" s="144"/>
      <c r="B887" s="144"/>
      <c r="C887" s="144"/>
      <c r="D887" s="144"/>
      <c r="E887" s="144"/>
      <c r="F887" s="144"/>
      <c r="G887" s="144"/>
      <c r="H887" s="144"/>
      <c r="I887" s="496"/>
      <c r="J887" s="496"/>
      <c r="K887" s="496"/>
      <c r="L887" s="496"/>
      <c r="M887" s="144"/>
      <c r="N887" s="144"/>
      <c r="O887" s="144"/>
      <c r="P887" s="144"/>
      <c r="Q887" s="144"/>
      <c r="R887" s="144"/>
      <c r="S887" s="144"/>
      <c r="T887" s="144"/>
      <c r="U887" s="144"/>
      <c r="V887" s="144"/>
      <c r="W887" s="144"/>
      <c r="X887" s="144"/>
      <c r="Y887" s="144"/>
      <c r="Z887" s="144"/>
      <c r="AA887" s="144"/>
      <c r="AB887" s="144"/>
      <c r="AC887" s="144"/>
      <c r="AD887" s="144"/>
      <c r="AE887" s="144"/>
      <c r="AF887" s="144"/>
    </row>
    <row r="888" ht="16.5" customHeight="1">
      <c r="A888" s="144"/>
      <c r="B888" s="144"/>
      <c r="C888" s="144"/>
      <c r="D888" s="144"/>
      <c r="E888" s="144"/>
      <c r="F888" s="144"/>
      <c r="G888" s="144"/>
      <c r="H888" s="144"/>
      <c r="I888" s="496"/>
      <c r="J888" s="496"/>
      <c r="K888" s="496"/>
      <c r="L888" s="496"/>
      <c r="M888" s="144"/>
      <c r="N888" s="144"/>
      <c r="O888" s="144"/>
      <c r="P888" s="144"/>
      <c r="Q888" s="144"/>
      <c r="R888" s="144"/>
      <c r="S888" s="144"/>
      <c r="T888" s="144"/>
      <c r="U888" s="144"/>
      <c r="V888" s="144"/>
      <c r="W888" s="144"/>
      <c r="X888" s="144"/>
      <c r="Y888" s="144"/>
      <c r="Z888" s="144"/>
      <c r="AA888" s="144"/>
      <c r="AB888" s="144"/>
      <c r="AC888" s="144"/>
      <c r="AD888" s="144"/>
      <c r="AE888" s="144"/>
      <c r="AF888" s="144"/>
    </row>
    <row r="889" ht="16.5" customHeight="1">
      <c r="A889" s="144"/>
      <c r="B889" s="144"/>
      <c r="C889" s="144"/>
      <c r="D889" s="144"/>
      <c r="E889" s="144"/>
      <c r="F889" s="144"/>
      <c r="G889" s="144"/>
      <c r="H889" s="144"/>
      <c r="I889" s="496"/>
      <c r="J889" s="496"/>
      <c r="K889" s="496"/>
      <c r="L889" s="496"/>
      <c r="M889" s="144"/>
      <c r="N889" s="144"/>
      <c r="O889" s="144"/>
      <c r="P889" s="144"/>
      <c r="Q889" s="144"/>
      <c r="R889" s="144"/>
      <c r="S889" s="144"/>
      <c r="T889" s="144"/>
      <c r="U889" s="144"/>
      <c r="V889" s="144"/>
      <c r="W889" s="144"/>
      <c r="X889" s="144"/>
      <c r="Y889" s="144"/>
      <c r="Z889" s="144"/>
      <c r="AA889" s="144"/>
      <c r="AB889" s="144"/>
      <c r="AC889" s="144"/>
      <c r="AD889" s="144"/>
      <c r="AE889" s="144"/>
      <c r="AF889" s="144"/>
    </row>
    <row r="890" ht="16.5" customHeight="1">
      <c r="A890" s="144"/>
      <c r="B890" s="144"/>
      <c r="C890" s="144"/>
      <c r="D890" s="144"/>
      <c r="E890" s="144"/>
      <c r="F890" s="144"/>
      <c r="G890" s="144"/>
      <c r="H890" s="144"/>
      <c r="I890" s="496"/>
      <c r="J890" s="496"/>
      <c r="K890" s="496"/>
      <c r="L890" s="496"/>
      <c r="M890" s="144"/>
      <c r="N890" s="144"/>
      <c r="O890" s="144"/>
      <c r="P890" s="144"/>
      <c r="Q890" s="144"/>
      <c r="R890" s="144"/>
      <c r="S890" s="144"/>
      <c r="T890" s="144"/>
      <c r="U890" s="144"/>
      <c r="V890" s="144"/>
      <c r="W890" s="144"/>
      <c r="X890" s="144"/>
      <c r="Y890" s="144"/>
      <c r="Z890" s="144"/>
      <c r="AA890" s="144"/>
      <c r="AB890" s="144"/>
      <c r="AC890" s="144"/>
      <c r="AD890" s="144"/>
      <c r="AE890" s="144"/>
      <c r="AF890" s="144"/>
    </row>
    <row r="891" ht="16.5" customHeight="1">
      <c r="A891" s="144"/>
      <c r="B891" s="144"/>
      <c r="C891" s="144"/>
      <c r="D891" s="144"/>
      <c r="E891" s="144"/>
      <c r="F891" s="144"/>
      <c r="G891" s="144"/>
      <c r="H891" s="144"/>
      <c r="I891" s="496"/>
      <c r="J891" s="496"/>
      <c r="K891" s="496"/>
      <c r="L891" s="496"/>
      <c r="M891" s="144"/>
      <c r="N891" s="144"/>
      <c r="O891" s="144"/>
      <c r="P891" s="144"/>
      <c r="Q891" s="144"/>
      <c r="R891" s="144"/>
      <c r="S891" s="144"/>
      <c r="T891" s="144"/>
      <c r="U891" s="144"/>
      <c r="V891" s="144"/>
      <c r="W891" s="144"/>
      <c r="X891" s="144"/>
      <c r="Y891" s="144"/>
      <c r="Z891" s="144"/>
      <c r="AA891" s="144"/>
      <c r="AB891" s="144"/>
      <c r="AC891" s="144"/>
      <c r="AD891" s="144"/>
      <c r="AE891" s="144"/>
      <c r="AF891" s="144"/>
    </row>
    <row r="892" ht="16.5" customHeight="1">
      <c r="A892" s="144"/>
      <c r="B892" s="144"/>
      <c r="C892" s="144"/>
      <c r="D892" s="144"/>
      <c r="E892" s="144"/>
      <c r="F892" s="144"/>
      <c r="G892" s="144"/>
      <c r="H892" s="144"/>
      <c r="I892" s="496"/>
      <c r="J892" s="496"/>
      <c r="K892" s="496"/>
      <c r="L892" s="496"/>
      <c r="M892" s="144"/>
      <c r="N892" s="144"/>
      <c r="O892" s="144"/>
      <c r="P892" s="144"/>
      <c r="Q892" s="144"/>
      <c r="R892" s="144"/>
      <c r="S892" s="144"/>
      <c r="T892" s="144"/>
      <c r="U892" s="144"/>
      <c r="V892" s="144"/>
      <c r="W892" s="144"/>
      <c r="X892" s="144"/>
      <c r="Y892" s="144"/>
      <c r="Z892" s="144"/>
      <c r="AA892" s="144"/>
      <c r="AB892" s="144"/>
      <c r="AC892" s="144"/>
      <c r="AD892" s="144"/>
      <c r="AE892" s="144"/>
      <c r="AF892" s="144"/>
    </row>
    <row r="893" ht="16.5" customHeight="1">
      <c r="A893" s="144"/>
      <c r="B893" s="144"/>
      <c r="C893" s="144"/>
      <c r="D893" s="144"/>
      <c r="E893" s="144"/>
      <c r="F893" s="144"/>
      <c r="G893" s="144"/>
      <c r="H893" s="144"/>
      <c r="I893" s="496"/>
      <c r="J893" s="496"/>
      <c r="K893" s="496"/>
      <c r="L893" s="496"/>
      <c r="M893" s="144"/>
      <c r="N893" s="144"/>
      <c r="O893" s="144"/>
      <c r="P893" s="144"/>
      <c r="Q893" s="144"/>
      <c r="R893" s="144"/>
      <c r="S893" s="144"/>
      <c r="T893" s="144"/>
      <c r="U893" s="144"/>
      <c r="V893" s="144"/>
      <c r="W893" s="144"/>
      <c r="X893" s="144"/>
      <c r="Y893" s="144"/>
      <c r="Z893" s="144"/>
      <c r="AA893" s="144"/>
      <c r="AB893" s="144"/>
      <c r="AC893" s="144"/>
      <c r="AD893" s="144"/>
      <c r="AE893" s="144"/>
      <c r="AF893" s="144"/>
    </row>
    <row r="894" ht="16.5" customHeight="1">
      <c r="A894" s="144"/>
      <c r="B894" s="144"/>
      <c r="C894" s="144"/>
      <c r="D894" s="144"/>
      <c r="E894" s="144"/>
      <c r="F894" s="144"/>
      <c r="G894" s="144"/>
      <c r="H894" s="144"/>
      <c r="I894" s="496"/>
      <c r="J894" s="496"/>
      <c r="K894" s="496"/>
      <c r="L894" s="496"/>
      <c r="M894" s="144"/>
      <c r="N894" s="144"/>
      <c r="O894" s="144"/>
      <c r="P894" s="144"/>
      <c r="Q894" s="144"/>
      <c r="R894" s="144"/>
      <c r="S894" s="144"/>
      <c r="T894" s="144"/>
      <c r="U894" s="144"/>
      <c r="V894" s="144"/>
      <c r="W894" s="144"/>
      <c r="X894" s="144"/>
      <c r="Y894" s="144"/>
      <c r="Z894" s="144"/>
      <c r="AA894" s="144"/>
      <c r="AB894" s="144"/>
      <c r="AC894" s="144"/>
      <c r="AD894" s="144"/>
      <c r="AE894" s="144"/>
      <c r="AF894" s="144"/>
    </row>
    <row r="895" ht="16.5" customHeight="1">
      <c r="A895" s="144"/>
      <c r="B895" s="144"/>
      <c r="C895" s="144"/>
      <c r="D895" s="144"/>
      <c r="E895" s="144"/>
      <c r="F895" s="144"/>
      <c r="G895" s="144"/>
      <c r="H895" s="144"/>
      <c r="I895" s="496"/>
      <c r="J895" s="496"/>
      <c r="K895" s="496"/>
      <c r="L895" s="496"/>
      <c r="M895" s="144"/>
      <c r="N895" s="144"/>
      <c r="O895" s="144"/>
      <c r="P895" s="144"/>
      <c r="Q895" s="144"/>
      <c r="R895" s="144"/>
      <c r="S895" s="144"/>
      <c r="T895" s="144"/>
      <c r="U895" s="144"/>
      <c r="V895" s="144"/>
      <c r="W895" s="144"/>
      <c r="X895" s="144"/>
      <c r="Y895" s="144"/>
      <c r="Z895" s="144"/>
      <c r="AA895" s="144"/>
      <c r="AB895" s="144"/>
      <c r="AC895" s="144"/>
      <c r="AD895" s="144"/>
      <c r="AE895" s="144"/>
      <c r="AF895" s="144"/>
    </row>
    <row r="896" ht="16.5" customHeight="1">
      <c r="A896" s="144"/>
      <c r="B896" s="144"/>
      <c r="C896" s="144"/>
      <c r="D896" s="144"/>
      <c r="E896" s="144"/>
      <c r="F896" s="144"/>
      <c r="G896" s="144"/>
      <c r="H896" s="144"/>
      <c r="I896" s="496"/>
      <c r="J896" s="496"/>
      <c r="K896" s="496"/>
      <c r="L896" s="496"/>
      <c r="M896" s="144"/>
      <c r="N896" s="144"/>
      <c r="O896" s="144"/>
      <c r="P896" s="144"/>
      <c r="Q896" s="144"/>
      <c r="R896" s="144"/>
      <c r="S896" s="144"/>
      <c r="T896" s="144"/>
      <c r="U896" s="144"/>
      <c r="V896" s="144"/>
      <c r="W896" s="144"/>
      <c r="X896" s="144"/>
      <c r="Y896" s="144"/>
      <c r="Z896" s="144"/>
      <c r="AA896" s="144"/>
      <c r="AB896" s="144"/>
      <c r="AC896" s="144"/>
      <c r="AD896" s="144"/>
      <c r="AE896" s="144"/>
      <c r="AF896" s="144"/>
    </row>
    <row r="897" ht="16.5" customHeight="1">
      <c r="A897" s="144"/>
      <c r="B897" s="144"/>
      <c r="C897" s="144"/>
      <c r="D897" s="144"/>
      <c r="E897" s="144"/>
      <c r="F897" s="144"/>
      <c r="G897" s="144"/>
      <c r="H897" s="144"/>
      <c r="I897" s="496"/>
      <c r="J897" s="496"/>
      <c r="K897" s="496"/>
      <c r="L897" s="496"/>
      <c r="M897" s="144"/>
      <c r="N897" s="144"/>
      <c r="O897" s="144"/>
      <c r="P897" s="144"/>
      <c r="Q897" s="144"/>
      <c r="R897" s="144"/>
      <c r="S897" s="144"/>
      <c r="T897" s="144"/>
      <c r="U897" s="144"/>
      <c r="V897" s="144"/>
      <c r="W897" s="144"/>
      <c r="X897" s="144"/>
      <c r="Y897" s="144"/>
      <c r="Z897" s="144"/>
      <c r="AA897" s="144"/>
      <c r="AB897" s="144"/>
      <c r="AC897" s="144"/>
      <c r="AD897" s="144"/>
      <c r="AE897" s="144"/>
      <c r="AF897" s="144"/>
    </row>
    <row r="898" ht="16.5" customHeight="1">
      <c r="A898" s="144"/>
      <c r="B898" s="144"/>
      <c r="C898" s="144"/>
      <c r="D898" s="144"/>
      <c r="E898" s="144"/>
      <c r="F898" s="144"/>
      <c r="G898" s="144"/>
      <c r="H898" s="144"/>
      <c r="I898" s="496"/>
      <c r="J898" s="496"/>
      <c r="K898" s="496"/>
      <c r="L898" s="496"/>
      <c r="M898" s="144"/>
      <c r="N898" s="144"/>
      <c r="O898" s="144"/>
      <c r="P898" s="144"/>
      <c r="Q898" s="144"/>
      <c r="R898" s="144"/>
      <c r="S898" s="144"/>
      <c r="T898" s="144"/>
      <c r="U898" s="144"/>
      <c r="V898" s="144"/>
      <c r="W898" s="144"/>
      <c r="X898" s="144"/>
      <c r="Y898" s="144"/>
      <c r="Z898" s="144"/>
      <c r="AA898" s="144"/>
      <c r="AB898" s="144"/>
      <c r="AC898" s="144"/>
      <c r="AD898" s="144"/>
      <c r="AE898" s="144"/>
      <c r="AF898" s="144"/>
    </row>
    <row r="899" ht="16.5" customHeight="1">
      <c r="A899" s="144"/>
      <c r="B899" s="144"/>
      <c r="C899" s="144"/>
      <c r="D899" s="144"/>
      <c r="E899" s="144"/>
      <c r="F899" s="144"/>
      <c r="G899" s="144"/>
      <c r="H899" s="144"/>
      <c r="I899" s="496"/>
      <c r="J899" s="496"/>
      <c r="K899" s="496"/>
      <c r="L899" s="496"/>
      <c r="M899" s="144"/>
      <c r="N899" s="144"/>
      <c r="O899" s="144"/>
      <c r="P899" s="144"/>
      <c r="Q899" s="144"/>
      <c r="R899" s="144"/>
      <c r="S899" s="144"/>
      <c r="T899" s="144"/>
      <c r="U899" s="144"/>
      <c r="V899" s="144"/>
      <c r="W899" s="144"/>
      <c r="X899" s="144"/>
      <c r="Y899" s="144"/>
      <c r="Z899" s="144"/>
      <c r="AA899" s="144"/>
      <c r="AB899" s="144"/>
      <c r="AC899" s="144"/>
      <c r="AD899" s="144"/>
      <c r="AE899" s="144"/>
      <c r="AF899" s="144"/>
    </row>
    <row r="900" ht="16.5" customHeight="1">
      <c r="A900" s="144"/>
      <c r="B900" s="144"/>
      <c r="C900" s="144"/>
      <c r="D900" s="144"/>
      <c r="E900" s="144"/>
      <c r="F900" s="144"/>
      <c r="G900" s="144"/>
      <c r="H900" s="144"/>
      <c r="I900" s="496"/>
      <c r="J900" s="496"/>
      <c r="K900" s="496"/>
      <c r="L900" s="496"/>
      <c r="M900" s="144"/>
      <c r="N900" s="144"/>
      <c r="O900" s="144"/>
      <c r="P900" s="144"/>
      <c r="Q900" s="144"/>
      <c r="R900" s="144"/>
      <c r="S900" s="144"/>
      <c r="T900" s="144"/>
      <c r="U900" s="144"/>
      <c r="V900" s="144"/>
      <c r="W900" s="144"/>
      <c r="X900" s="144"/>
      <c r="Y900" s="144"/>
      <c r="Z900" s="144"/>
      <c r="AA900" s="144"/>
      <c r="AB900" s="144"/>
      <c r="AC900" s="144"/>
      <c r="AD900" s="144"/>
      <c r="AE900" s="144"/>
      <c r="AF900" s="144"/>
    </row>
    <row r="901" ht="16.5" customHeight="1">
      <c r="A901" s="144"/>
      <c r="B901" s="144"/>
      <c r="C901" s="144"/>
      <c r="D901" s="144"/>
      <c r="E901" s="144"/>
      <c r="F901" s="144"/>
      <c r="G901" s="144"/>
      <c r="H901" s="144"/>
      <c r="I901" s="496"/>
      <c r="J901" s="496"/>
      <c r="K901" s="496"/>
      <c r="L901" s="496"/>
      <c r="M901" s="144"/>
      <c r="N901" s="144"/>
      <c r="O901" s="144"/>
      <c r="P901" s="144"/>
      <c r="Q901" s="144"/>
      <c r="R901" s="144"/>
      <c r="S901" s="144"/>
      <c r="T901" s="144"/>
      <c r="U901" s="144"/>
      <c r="V901" s="144"/>
      <c r="W901" s="144"/>
      <c r="X901" s="144"/>
      <c r="Y901" s="144"/>
      <c r="Z901" s="144"/>
      <c r="AA901" s="144"/>
      <c r="AB901" s="144"/>
      <c r="AC901" s="144"/>
      <c r="AD901" s="144"/>
      <c r="AE901" s="144"/>
      <c r="AF901" s="144"/>
    </row>
    <row r="902" ht="16.5" customHeight="1">
      <c r="A902" s="144"/>
      <c r="B902" s="144"/>
      <c r="C902" s="144"/>
      <c r="D902" s="144"/>
      <c r="E902" s="144"/>
      <c r="F902" s="144"/>
      <c r="G902" s="144"/>
      <c r="H902" s="144"/>
      <c r="I902" s="496"/>
      <c r="J902" s="496"/>
      <c r="K902" s="496"/>
      <c r="L902" s="496"/>
      <c r="M902" s="144"/>
      <c r="N902" s="144"/>
      <c r="O902" s="144"/>
      <c r="P902" s="144"/>
      <c r="Q902" s="144"/>
      <c r="R902" s="144"/>
      <c r="S902" s="144"/>
      <c r="T902" s="144"/>
      <c r="U902" s="144"/>
      <c r="V902" s="144"/>
      <c r="W902" s="144"/>
      <c r="X902" s="144"/>
      <c r="Y902" s="144"/>
      <c r="Z902" s="144"/>
      <c r="AA902" s="144"/>
      <c r="AB902" s="144"/>
      <c r="AC902" s="144"/>
      <c r="AD902" s="144"/>
      <c r="AE902" s="144"/>
      <c r="AF902" s="144"/>
    </row>
    <row r="903" ht="16.5" customHeight="1">
      <c r="A903" s="144"/>
      <c r="B903" s="144"/>
      <c r="C903" s="144"/>
      <c r="D903" s="144"/>
      <c r="E903" s="144"/>
      <c r="F903" s="144"/>
      <c r="G903" s="144"/>
      <c r="H903" s="144"/>
      <c r="I903" s="496"/>
      <c r="J903" s="496"/>
      <c r="K903" s="496"/>
      <c r="L903" s="496"/>
      <c r="M903" s="144"/>
      <c r="N903" s="144"/>
      <c r="O903" s="144"/>
      <c r="P903" s="144"/>
      <c r="Q903" s="144"/>
      <c r="R903" s="144"/>
      <c r="S903" s="144"/>
      <c r="T903" s="144"/>
      <c r="U903" s="144"/>
      <c r="V903" s="144"/>
      <c r="W903" s="144"/>
      <c r="X903" s="144"/>
      <c r="Y903" s="144"/>
      <c r="Z903" s="144"/>
      <c r="AA903" s="144"/>
      <c r="AB903" s="144"/>
      <c r="AC903" s="144"/>
      <c r="AD903" s="144"/>
      <c r="AE903" s="144"/>
      <c r="AF903" s="144"/>
    </row>
    <row r="904" ht="16.5" customHeight="1">
      <c r="A904" s="144"/>
      <c r="B904" s="144"/>
      <c r="C904" s="144"/>
      <c r="D904" s="144"/>
      <c r="E904" s="144"/>
      <c r="F904" s="144"/>
      <c r="G904" s="144"/>
      <c r="H904" s="144"/>
      <c r="I904" s="496"/>
      <c r="J904" s="496"/>
      <c r="K904" s="496"/>
      <c r="L904" s="496"/>
      <c r="M904" s="144"/>
      <c r="N904" s="144"/>
      <c r="O904" s="144"/>
      <c r="P904" s="144"/>
      <c r="Q904" s="144"/>
      <c r="R904" s="144"/>
      <c r="S904" s="144"/>
      <c r="T904" s="144"/>
      <c r="U904" s="144"/>
      <c r="V904" s="144"/>
      <c r="W904" s="144"/>
      <c r="X904" s="144"/>
      <c r="Y904" s="144"/>
      <c r="Z904" s="144"/>
      <c r="AA904" s="144"/>
      <c r="AB904" s="144"/>
      <c r="AC904" s="144"/>
      <c r="AD904" s="144"/>
      <c r="AE904" s="144"/>
      <c r="AF904" s="144"/>
    </row>
    <row r="905" ht="16.5" customHeight="1">
      <c r="A905" s="144"/>
      <c r="B905" s="144"/>
      <c r="C905" s="144"/>
      <c r="D905" s="144"/>
      <c r="E905" s="144"/>
      <c r="F905" s="144"/>
      <c r="G905" s="144"/>
      <c r="H905" s="144"/>
      <c r="I905" s="496"/>
      <c r="J905" s="496"/>
      <c r="K905" s="496"/>
      <c r="L905" s="496"/>
      <c r="M905" s="144"/>
      <c r="N905" s="144"/>
      <c r="O905" s="144"/>
      <c r="P905" s="144"/>
      <c r="Q905" s="144"/>
      <c r="R905" s="144"/>
      <c r="S905" s="144"/>
      <c r="T905" s="144"/>
      <c r="U905" s="144"/>
      <c r="V905" s="144"/>
      <c r="W905" s="144"/>
      <c r="X905" s="144"/>
      <c r="Y905" s="144"/>
      <c r="Z905" s="144"/>
      <c r="AA905" s="144"/>
      <c r="AB905" s="144"/>
      <c r="AC905" s="144"/>
      <c r="AD905" s="144"/>
      <c r="AE905" s="144"/>
      <c r="AF905" s="144"/>
    </row>
    <row r="906" ht="16.5" customHeight="1">
      <c r="A906" s="144"/>
      <c r="B906" s="144"/>
      <c r="C906" s="144"/>
      <c r="D906" s="144"/>
      <c r="E906" s="144"/>
      <c r="F906" s="144"/>
      <c r="G906" s="144"/>
      <c r="H906" s="144"/>
      <c r="I906" s="496"/>
      <c r="J906" s="496"/>
      <c r="K906" s="496"/>
      <c r="L906" s="496"/>
      <c r="M906" s="144"/>
      <c r="N906" s="144"/>
      <c r="O906" s="144"/>
      <c r="P906" s="144"/>
      <c r="Q906" s="144"/>
      <c r="R906" s="144"/>
      <c r="S906" s="144"/>
      <c r="T906" s="144"/>
      <c r="U906" s="144"/>
      <c r="V906" s="144"/>
      <c r="W906" s="144"/>
      <c r="X906" s="144"/>
      <c r="Y906" s="144"/>
      <c r="Z906" s="144"/>
      <c r="AA906" s="144"/>
      <c r="AB906" s="144"/>
      <c r="AC906" s="144"/>
      <c r="AD906" s="144"/>
      <c r="AE906" s="144"/>
      <c r="AF906" s="144"/>
    </row>
    <row r="907" ht="16.5" customHeight="1">
      <c r="A907" s="144"/>
      <c r="B907" s="144"/>
      <c r="C907" s="144"/>
      <c r="D907" s="144"/>
      <c r="E907" s="144"/>
      <c r="F907" s="144"/>
      <c r="G907" s="144"/>
      <c r="H907" s="144"/>
      <c r="I907" s="496"/>
      <c r="J907" s="496"/>
      <c r="K907" s="496"/>
      <c r="L907" s="496"/>
      <c r="M907" s="144"/>
      <c r="N907" s="144"/>
      <c r="O907" s="144"/>
      <c r="P907" s="144"/>
      <c r="Q907" s="144"/>
      <c r="R907" s="144"/>
      <c r="S907" s="144"/>
      <c r="T907" s="144"/>
      <c r="U907" s="144"/>
      <c r="V907" s="144"/>
      <c r="W907" s="144"/>
      <c r="X907" s="144"/>
      <c r="Y907" s="144"/>
      <c r="Z907" s="144"/>
      <c r="AA907" s="144"/>
      <c r="AB907" s="144"/>
      <c r="AC907" s="144"/>
      <c r="AD907" s="144"/>
      <c r="AE907" s="144"/>
      <c r="AF907" s="144"/>
    </row>
    <row r="908" ht="16.5" customHeight="1">
      <c r="A908" s="144"/>
      <c r="B908" s="144"/>
      <c r="C908" s="144"/>
      <c r="D908" s="144"/>
      <c r="E908" s="144"/>
      <c r="F908" s="144"/>
      <c r="G908" s="144"/>
      <c r="H908" s="144"/>
      <c r="I908" s="496"/>
      <c r="J908" s="496"/>
      <c r="K908" s="496"/>
      <c r="L908" s="496"/>
      <c r="M908" s="144"/>
      <c r="N908" s="144"/>
      <c r="O908" s="144"/>
      <c r="P908" s="144"/>
      <c r="Q908" s="144"/>
      <c r="R908" s="144"/>
      <c r="S908" s="144"/>
      <c r="T908" s="144"/>
      <c r="U908" s="144"/>
      <c r="V908" s="144"/>
      <c r="W908" s="144"/>
      <c r="X908" s="144"/>
      <c r="Y908" s="144"/>
      <c r="Z908" s="144"/>
      <c r="AA908" s="144"/>
      <c r="AB908" s="144"/>
      <c r="AC908" s="144"/>
      <c r="AD908" s="144"/>
      <c r="AE908" s="144"/>
      <c r="AF908" s="144"/>
    </row>
    <row r="909" ht="16.5" customHeight="1">
      <c r="A909" s="144"/>
      <c r="B909" s="144"/>
      <c r="C909" s="144"/>
      <c r="D909" s="144"/>
      <c r="E909" s="144"/>
      <c r="F909" s="144"/>
      <c r="G909" s="144"/>
      <c r="H909" s="144"/>
      <c r="I909" s="496"/>
      <c r="J909" s="496"/>
      <c r="K909" s="496"/>
      <c r="L909" s="496"/>
      <c r="M909" s="144"/>
      <c r="N909" s="144"/>
      <c r="O909" s="144"/>
      <c r="P909" s="144"/>
      <c r="Q909" s="144"/>
      <c r="R909" s="144"/>
      <c r="S909" s="144"/>
      <c r="T909" s="144"/>
      <c r="U909" s="144"/>
      <c r="V909" s="144"/>
      <c r="W909" s="144"/>
      <c r="X909" s="144"/>
      <c r="Y909" s="144"/>
      <c r="Z909" s="144"/>
      <c r="AA909" s="144"/>
      <c r="AB909" s="144"/>
      <c r="AC909" s="144"/>
      <c r="AD909" s="144"/>
      <c r="AE909" s="144"/>
      <c r="AF909" s="144"/>
    </row>
    <row r="910" ht="16.5" customHeight="1">
      <c r="A910" s="144"/>
      <c r="B910" s="144"/>
      <c r="C910" s="144"/>
      <c r="D910" s="144"/>
      <c r="E910" s="144"/>
      <c r="F910" s="144"/>
      <c r="G910" s="144"/>
      <c r="H910" s="144"/>
      <c r="I910" s="496"/>
      <c r="J910" s="496"/>
      <c r="K910" s="496"/>
      <c r="L910" s="496"/>
      <c r="M910" s="144"/>
      <c r="N910" s="144"/>
      <c r="O910" s="144"/>
      <c r="P910" s="144"/>
      <c r="Q910" s="144"/>
      <c r="R910" s="144"/>
      <c r="S910" s="144"/>
      <c r="T910" s="144"/>
      <c r="U910" s="144"/>
      <c r="V910" s="144"/>
      <c r="W910" s="144"/>
      <c r="X910" s="144"/>
      <c r="Y910" s="144"/>
      <c r="Z910" s="144"/>
      <c r="AA910" s="144"/>
      <c r="AB910" s="144"/>
      <c r="AC910" s="144"/>
      <c r="AD910" s="144"/>
      <c r="AE910" s="144"/>
      <c r="AF910" s="144"/>
    </row>
    <row r="911" ht="16.5" customHeight="1">
      <c r="A911" s="144"/>
      <c r="B911" s="144"/>
      <c r="C911" s="144"/>
      <c r="D911" s="144"/>
      <c r="E911" s="144"/>
      <c r="F911" s="144"/>
      <c r="G911" s="144"/>
      <c r="H911" s="144"/>
      <c r="I911" s="496"/>
      <c r="J911" s="496"/>
      <c r="K911" s="496"/>
      <c r="L911" s="496"/>
      <c r="M911" s="144"/>
      <c r="N911" s="144"/>
      <c r="O911" s="144"/>
      <c r="P911" s="144"/>
      <c r="Q911" s="144"/>
      <c r="R911" s="144"/>
      <c r="S911" s="144"/>
      <c r="T911" s="144"/>
      <c r="U911" s="144"/>
      <c r="V911" s="144"/>
      <c r="W911" s="144"/>
      <c r="X911" s="144"/>
      <c r="Y911" s="144"/>
      <c r="Z911" s="144"/>
      <c r="AA911" s="144"/>
      <c r="AB911" s="144"/>
      <c r="AC911" s="144"/>
      <c r="AD911" s="144"/>
      <c r="AE911" s="144"/>
      <c r="AF911" s="144"/>
    </row>
    <row r="912" ht="16.5" customHeight="1">
      <c r="A912" s="144"/>
      <c r="B912" s="144"/>
      <c r="C912" s="144"/>
      <c r="D912" s="144"/>
      <c r="E912" s="144"/>
      <c r="F912" s="144"/>
      <c r="G912" s="144"/>
      <c r="H912" s="144"/>
      <c r="I912" s="496"/>
      <c r="J912" s="496"/>
      <c r="K912" s="496"/>
      <c r="L912" s="496"/>
      <c r="M912" s="144"/>
      <c r="N912" s="144"/>
      <c r="O912" s="144"/>
      <c r="P912" s="144"/>
      <c r="Q912" s="144"/>
      <c r="R912" s="144"/>
      <c r="S912" s="144"/>
      <c r="T912" s="144"/>
      <c r="U912" s="144"/>
      <c r="V912" s="144"/>
      <c r="W912" s="144"/>
      <c r="X912" s="144"/>
      <c r="Y912" s="144"/>
      <c r="Z912" s="144"/>
      <c r="AA912" s="144"/>
      <c r="AB912" s="144"/>
      <c r="AC912" s="144"/>
      <c r="AD912" s="144"/>
      <c r="AE912" s="144"/>
      <c r="AF912" s="144"/>
    </row>
    <row r="913" ht="16.5" customHeight="1">
      <c r="A913" s="144"/>
      <c r="B913" s="144"/>
      <c r="C913" s="144"/>
      <c r="D913" s="144"/>
      <c r="E913" s="144"/>
      <c r="F913" s="144"/>
      <c r="G913" s="144"/>
      <c r="H913" s="144"/>
      <c r="I913" s="496"/>
      <c r="J913" s="496"/>
      <c r="K913" s="496"/>
      <c r="L913" s="496"/>
      <c r="M913" s="144"/>
      <c r="N913" s="144"/>
      <c r="O913" s="144"/>
      <c r="P913" s="144"/>
      <c r="Q913" s="144"/>
      <c r="R913" s="144"/>
      <c r="S913" s="144"/>
      <c r="T913" s="144"/>
      <c r="U913" s="144"/>
      <c r="V913" s="144"/>
      <c r="W913" s="144"/>
      <c r="X913" s="144"/>
      <c r="Y913" s="144"/>
      <c r="Z913" s="144"/>
      <c r="AA913" s="144"/>
      <c r="AB913" s="144"/>
      <c r="AC913" s="144"/>
      <c r="AD913" s="144"/>
      <c r="AE913" s="144"/>
      <c r="AF913" s="144"/>
    </row>
    <row r="914" ht="16.5" customHeight="1">
      <c r="A914" s="144"/>
      <c r="B914" s="144"/>
      <c r="C914" s="144"/>
      <c r="D914" s="144"/>
      <c r="E914" s="144"/>
      <c r="F914" s="144"/>
      <c r="G914" s="144"/>
      <c r="H914" s="144"/>
      <c r="I914" s="496"/>
      <c r="J914" s="496"/>
      <c r="K914" s="496"/>
      <c r="L914" s="496"/>
      <c r="M914" s="144"/>
      <c r="N914" s="144"/>
      <c r="O914" s="144"/>
      <c r="P914" s="144"/>
      <c r="Q914" s="144"/>
      <c r="R914" s="144"/>
      <c r="S914" s="144"/>
      <c r="T914" s="144"/>
      <c r="U914" s="144"/>
      <c r="V914" s="144"/>
      <c r="W914" s="144"/>
      <c r="X914" s="144"/>
      <c r="Y914" s="144"/>
      <c r="Z914" s="144"/>
      <c r="AA914" s="144"/>
      <c r="AB914" s="144"/>
      <c r="AC914" s="144"/>
      <c r="AD914" s="144"/>
      <c r="AE914" s="144"/>
      <c r="AF914" s="144"/>
    </row>
    <row r="915" ht="16.5" customHeight="1">
      <c r="A915" s="144"/>
      <c r="B915" s="144"/>
      <c r="C915" s="144"/>
      <c r="D915" s="144"/>
      <c r="E915" s="144"/>
      <c r="F915" s="144"/>
      <c r="G915" s="144"/>
      <c r="H915" s="144"/>
      <c r="I915" s="496"/>
      <c r="J915" s="496"/>
      <c r="K915" s="496"/>
      <c r="L915" s="496"/>
      <c r="M915" s="144"/>
      <c r="N915" s="144"/>
      <c r="O915" s="144"/>
      <c r="P915" s="144"/>
      <c r="Q915" s="144"/>
      <c r="R915" s="144"/>
      <c r="S915" s="144"/>
      <c r="T915" s="144"/>
      <c r="U915" s="144"/>
      <c r="V915" s="144"/>
      <c r="W915" s="144"/>
      <c r="X915" s="144"/>
      <c r="Y915" s="144"/>
      <c r="Z915" s="144"/>
      <c r="AA915" s="144"/>
      <c r="AB915" s="144"/>
      <c r="AC915" s="144"/>
      <c r="AD915" s="144"/>
      <c r="AE915" s="144"/>
      <c r="AF915" s="144"/>
    </row>
    <row r="916" ht="16.5" customHeight="1">
      <c r="A916" s="144"/>
      <c r="B916" s="144"/>
      <c r="C916" s="144"/>
      <c r="D916" s="144"/>
      <c r="E916" s="144"/>
      <c r="F916" s="144"/>
      <c r="G916" s="144"/>
      <c r="H916" s="144"/>
      <c r="I916" s="496"/>
      <c r="J916" s="496"/>
      <c r="K916" s="496"/>
      <c r="L916" s="496"/>
      <c r="M916" s="144"/>
      <c r="N916" s="144"/>
      <c r="O916" s="144"/>
      <c r="P916" s="144"/>
      <c r="Q916" s="144"/>
      <c r="R916" s="144"/>
      <c r="S916" s="144"/>
      <c r="T916" s="144"/>
      <c r="U916" s="144"/>
      <c r="V916" s="144"/>
      <c r="W916" s="144"/>
      <c r="X916" s="144"/>
      <c r="Y916" s="144"/>
      <c r="Z916" s="144"/>
      <c r="AA916" s="144"/>
      <c r="AB916" s="144"/>
      <c r="AC916" s="144"/>
      <c r="AD916" s="144"/>
      <c r="AE916" s="144"/>
      <c r="AF916" s="144"/>
    </row>
    <row r="917" ht="16.5" customHeight="1">
      <c r="A917" s="144"/>
      <c r="B917" s="144"/>
      <c r="C917" s="144"/>
      <c r="D917" s="144"/>
      <c r="E917" s="144"/>
      <c r="F917" s="144"/>
      <c r="G917" s="144"/>
      <c r="H917" s="144"/>
      <c r="I917" s="496"/>
      <c r="J917" s="496"/>
      <c r="K917" s="496"/>
      <c r="L917" s="496"/>
      <c r="M917" s="144"/>
      <c r="N917" s="144"/>
      <c r="O917" s="144"/>
      <c r="P917" s="144"/>
      <c r="Q917" s="144"/>
      <c r="R917" s="144"/>
      <c r="S917" s="144"/>
      <c r="T917" s="144"/>
      <c r="U917" s="144"/>
      <c r="V917" s="144"/>
      <c r="W917" s="144"/>
      <c r="X917" s="144"/>
      <c r="Y917" s="144"/>
      <c r="Z917" s="144"/>
      <c r="AA917" s="144"/>
      <c r="AB917" s="144"/>
      <c r="AC917" s="144"/>
      <c r="AD917" s="144"/>
      <c r="AE917" s="144"/>
      <c r="AF917" s="144"/>
    </row>
    <row r="918" ht="16.5" customHeight="1">
      <c r="A918" s="144"/>
      <c r="B918" s="144"/>
      <c r="C918" s="144"/>
      <c r="D918" s="144"/>
      <c r="E918" s="144"/>
      <c r="F918" s="144"/>
      <c r="G918" s="144"/>
      <c r="H918" s="144"/>
      <c r="I918" s="496"/>
      <c r="J918" s="496"/>
      <c r="K918" s="496"/>
      <c r="L918" s="496"/>
      <c r="M918" s="144"/>
      <c r="N918" s="144"/>
      <c r="O918" s="144"/>
      <c r="P918" s="144"/>
      <c r="Q918" s="144"/>
      <c r="R918" s="144"/>
      <c r="S918" s="144"/>
      <c r="T918" s="144"/>
      <c r="U918" s="144"/>
      <c r="V918" s="144"/>
      <c r="W918" s="144"/>
      <c r="X918" s="144"/>
      <c r="Y918" s="144"/>
      <c r="Z918" s="144"/>
      <c r="AA918" s="144"/>
      <c r="AB918" s="144"/>
      <c r="AC918" s="144"/>
      <c r="AD918" s="144"/>
      <c r="AE918" s="144"/>
      <c r="AF918" s="144"/>
    </row>
    <row r="919" ht="16.5" customHeight="1">
      <c r="A919" s="144"/>
      <c r="B919" s="144"/>
      <c r="C919" s="144"/>
      <c r="D919" s="144"/>
      <c r="E919" s="144"/>
      <c r="F919" s="144"/>
      <c r="G919" s="144"/>
      <c r="H919" s="144"/>
      <c r="I919" s="496"/>
      <c r="J919" s="496"/>
      <c r="K919" s="496"/>
      <c r="L919" s="496"/>
      <c r="M919" s="144"/>
      <c r="N919" s="144"/>
      <c r="O919" s="144"/>
      <c r="P919" s="144"/>
      <c r="Q919" s="144"/>
      <c r="R919" s="144"/>
      <c r="S919" s="144"/>
      <c r="T919" s="144"/>
      <c r="U919" s="144"/>
      <c r="V919" s="144"/>
      <c r="W919" s="144"/>
      <c r="X919" s="144"/>
      <c r="Y919" s="144"/>
      <c r="Z919" s="144"/>
      <c r="AA919" s="144"/>
      <c r="AB919" s="144"/>
      <c r="AC919" s="144"/>
      <c r="AD919" s="144"/>
      <c r="AE919" s="144"/>
      <c r="AF919" s="144"/>
    </row>
    <row r="920" ht="16.5" customHeight="1">
      <c r="A920" s="144"/>
      <c r="B920" s="144"/>
      <c r="C920" s="144"/>
      <c r="D920" s="144"/>
      <c r="E920" s="144"/>
      <c r="F920" s="144"/>
      <c r="G920" s="144"/>
      <c r="H920" s="144"/>
      <c r="I920" s="496"/>
      <c r="J920" s="496"/>
      <c r="K920" s="496"/>
      <c r="L920" s="496"/>
      <c r="M920" s="144"/>
      <c r="N920" s="144"/>
      <c r="O920" s="144"/>
      <c r="P920" s="144"/>
      <c r="Q920" s="144"/>
      <c r="R920" s="144"/>
      <c r="S920" s="144"/>
      <c r="T920" s="144"/>
      <c r="U920" s="144"/>
      <c r="V920" s="144"/>
      <c r="W920" s="144"/>
      <c r="X920" s="144"/>
      <c r="Y920" s="144"/>
      <c r="Z920" s="144"/>
      <c r="AA920" s="144"/>
      <c r="AB920" s="144"/>
      <c r="AC920" s="144"/>
      <c r="AD920" s="144"/>
      <c r="AE920" s="144"/>
      <c r="AF920" s="144"/>
    </row>
    <row r="921" ht="16.5" customHeight="1">
      <c r="A921" s="144"/>
      <c r="B921" s="144"/>
      <c r="C921" s="144"/>
      <c r="D921" s="144"/>
      <c r="E921" s="144"/>
      <c r="F921" s="144"/>
      <c r="G921" s="144"/>
      <c r="H921" s="144"/>
      <c r="I921" s="496"/>
      <c r="J921" s="496"/>
      <c r="K921" s="496"/>
      <c r="L921" s="496"/>
      <c r="M921" s="144"/>
      <c r="N921" s="144"/>
      <c r="O921" s="144"/>
      <c r="P921" s="144"/>
      <c r="Q921" s="144"/>
      <c r="R921" s="144"/>
      <c r="S921" s="144"/>
      <c r="T921" s="144"/>
      <c r="U921" s="144"/>
      <c r="V921" s="144"/>
      <c r="W921" s="144"/>
      <c r="X921" s="144"/>
      <c r="Y921" s="144"/>
      <c r="Z921" s="144"/>
      <c r="AA921" s="144"/>
      <c r="AB921" s="144"/>
      <c r="AC921" s="144"/>
      <c r="AD921" s="144"/>
      <c r="AE921" s="144"/>
      <c r="AF921" s="144"/>
    </row>
    <row r="922" ht="16.5" customHeight="1">
      <c r="A922" s="144"/>
      <c r="B922" s="144"/>
      <c r="C922" s="144"/>
      <c r="D922" s="144"/>
      <c r="E922" s="144"/>
      <c r="F922" s="144"/>
      <c r="G922" s="144"/>
      <c r="H922" s="144"/>
      <c r="I922" s="496"/>
      <c r="J922" s="496"/>
      <c r="K922" s="496"/>
      <c r="L922" s="496"/>
      <c r="M922" s="144"/>
      <c r="N922" s="144"/>
      <c r="O922" s="144"/>
      <c r="P922" s="144"/>
      <c r="Q922" s="144"/>
      <c r="R922" s="144"/>
      <c r="S922" s="144"/>
      <c r="T922" s="144"/>
      <c r="U922" s="144"/>
      <c r="V922" s="144"/>
      <c r="W922" s="144"/>
      <c r="X922" s="144"/>
      <c r="Y922" s="144"/>
      <c r="Z922" s="144"/>
      <c r="AA922" s="144"/>
      <c r="AB922" s="144"/>
      <c r="AC922" s="144"/>
      <c r="AD922" s="144"/>
      <c r="AE922" s="144"/>
      <c r="AF922" s="144"/>
    </row>
    <row r="923" ht="16.5" customHeight="1">
      <c r="A923" s="144"/>
      <c r="B923" s="144"/>
      <c r="C923" s="144"/>
      <c r="D923" s="144"/>
      <c r="E923" s="144"/>
      <c r="F923" s="144"/>
      <c r="G923" s="144"/>
      <c r="H923" s="144"/>
      <c r="I923" s="496"/>
      <c r="J923" s="496"/>
      <c r="K923" s="496"/>
      <c r="L923" s="496"/>
      <c r="M923" s="144"/>
      <c r="N923" s="144"/>
      <c r="O923" s="144"/>
      <c r="P923" s="144"/>
      <c r="Q923" s="144"/>
      <c r="R923" s="144"/>
      <c r="S923" s="144"/>
      <c r="T923" s="144"/>
      <c r="U923" s="144"/>
      <c r="V923" s="144"/>
      <c r="W923" s="144"/>
      <c r="X923" s="144"/>
      <c r="Y923" s="144"/>
      <c r="Z923" s="144"/>
      <c r="AA923" s="144"/>
      <c r="AB923" s="144"/>
      <c r="AC923" s="144"/>
      <c r="AD923" s="144"/>
      <c r="AE923" s="144"/>
      <c r="AF923" s="144"/>
    </row>
    <row r="924" ht="16.5" customHeight="1">
      <c r="A924" s="144"/>
      <c r="B924" s="144"/>
      <c r="C924" s="144"/>
      <c r="D924" s="144"/>
      <c r="E924" s="144"/>
      <c r="F924" s="144"/>
      <c r="G924" s="144"/>
      <c r="H924" s="144"/>
      <c r="I924" s="496"/>
      <c r="J924" s="496"/>
      <c r="K924" s="496"/>
      <c r="L924" s="496"/>
      <c r="M924" s="144"/>
      <c r="N924" s="144"/>
      <c r="O924" s="144"/>
      <c r="P924" s="144"/>
      <c r="Q924" s="144"/>
      <c r="R924" s="144"/>
      <c r="S924" s="144"/>
      <c r="T924" s="144"/>
      <c r="U924" s="144"/>
      <c r="V924" s="144"/>
      <c r="W924" s="144"/>
      <c r="X924" s="144"/>
      <c r="Y924" s="144"/>
      <c r="Z924" s="144"/>
      <c r="AA924" s="144"/>
      <c r="AB924" s="144"/>
      <c r="AC924" s="144"/>
      <c r="AD924" s="144"/>
      <c r="AE924" s="144"/>
      <c r="AF924" s="144"/>
    </row>
    <row r="925" ht="16.5" customHeight="1">
      <c r="A925" s="144"/>
      <c r="B925" s="144"/>
      <c r="C925" s="144"/>
      <c r="D925" s="144"/>
      <c r="E925" s="144"/>
      <c r="F925" s="144"/>
      <c r="G925" s="144"/>
      <c r="H925" s="144"/>
      <c r="I925" s="496"/>
      <c r="J925" s="496"/>
      <c r="K925" s="496"/>
      <c r="L925" s="496"/>
      <c r="M925" s="144"/>
      <c r="N925" s="144"/>
      <c r="O925" s="144"/>
      <c r="P925" s="144"/>
      <c r="Q925" s="144"/>
      <c r="R925" s="144"/>
      <c r="S925" s="144"/>
      <c r="T925" s="144"/>
      <c r="U925" s="144"/>
      <c r="V925" s="144"/>
      <c r="W925" s="144"/>
      <c r="X925" s="144"/>
      <c r="Y925" s="144"/>
      <c r="Z925" s="144"/>
      <c r="AA925" s="144"/>
      <c r="AB925" s="144"/>
      <c r="AC925" s="144"/>
      <c r="AD925" s="144"/>
      <c r="AE925" s="144"/>
      <c r="AF925" s="144"/>
    </row>
    <row r="926" ht="16.5" customHeight="1">
      <c r="A926" s="144"/>
      <c r="B926" s="144"/>
      <c r="C926" s="144"/>
      <c r="D926" s="144"/>
      <c r="E926" s="144"/>
      <c r="F926" s="144"/>
      <c r="G926" s="144"/>
      <c r="H926" s="144"/>
      <c r="I926" s="496"/>
      <c r="J926" s="496"/>
      <c r="K926" s="496"/>
      <c r="L926" s="496"/>
      <c r="M926" s="144"/>
      <c r="N926" s="144"/>
      <c r="O926" s="144"/>
      <c r="P926" s="144"/>
      <c r="Q926" s="144"/>
      <c r="R926" s="144"/>
      <c r="S926" s="144"/>
      <c r="T926" s="144"/>
      <c r="U926" s="144"/>
      <c r="V926" s="144"/>
      <c r="W926" s="144"/>
      <c r="X926" s="144"/>
      <c r="Y926" s="144"/>
      <c r="Z926" s="144"/>
      <c r="AA926" s="144"/>
      <c r="AB926" s="144"/>
      <c r="AC926" s="144"/>
      <c r="AD926" s="144"/>
      <c r="AE926" s="144"/>
      <c r="AF926" s="144"/>
    </row>
    <row r="927" ht="16.5" customHeight="1">
      <c r="A927" s="144"/>
      <c r="B927" s="144"/>
      <c r="C927" s="144"/>
      <c r="D927" s="144"/>
      <c r="E927" s="144"/>
      <c r="F927" s="144"/>
      <c r="G927" s="144"/>
      <c r="H927" s="144"/>
      <c r="I927" s="496"/>
      <c r="J927" s="496"/>
      <c r="K927" s="496"/>
      <c r="L927" s="496"/>
      <c r="M927" s="144"/>
      <c r="N927" s="144"/>
      <c r="O927" s="144"/>
      <c r="P927" s="144"/>
      <c r="Q927" s="144"/>
      <c r="R927" s="144"/>
      <c r="S927" s="144"/>
      <c r="T927" s="144"/>
      <c r="U927" s="144"/>
      <c r="V927" s="144"/>
      <c r="W927" s="144"/>
      <c r="X927" s="144"/>
      <c r="Y927" s="144"/>
      <c r="Z927" s="144"/>
      <c r="AA927" s="144"/>
      <c r="AB927" s="144"/>
      <c r="AC927" s="144"/>
      <c r="AD927" s="144"/>
      <c r="AE927" s="144"/>
      <c r="AF927" s="144"/>
    </row>
    <row r="928" ht="16.5" customHeight="1">
      <c r="A928" s="144"/>
      <c r="B928" s="144"/>
      <c r="C928" s="144"/>
      <c r="D928" s="144"/>
      <c r="E928" s="144"/>
      <c r="F928" s="144"/>
      <c r="G928" s="144"/>
      <c r="H928" s="144"/>
      <c r="I928" s="496"/>
      <c r="J928" s="496"/>
      <c r="K928" s="496"/>
      <c r="L928" s="496"/>
      <c r="M928" s="144"/>
      <c r="N928" s="144"/>
      <c r="O928" s="144"/>
      <c r="P928" s="144"/>
      <c r="Q928" s="144"/>
      <c r="R928" s="144"/>
      <c r="S928" s="144"/>
      <c r="T928" s="144"/>
      <c r="U928" s="144"/>
      <c r="V928" s="144"/>
      <c r="W928" s="144"/>
      <c r="X928" s="144"/>
      <c r="Y928" s="144"/>
      <c r="Z928" s="144"/>
      <c r="AA928" s="144"/>
      <c r="AB928" s="144"/>
      <c r="AC928" s="144"/>
      <c r="AD928" s="144"/>
      <c r="AE928" s="144"/>
      <c r="AF928" s="144"/>
    </row>
    <row r="929" ht="16.5" customHeight="1">
      <c r="A929" s="144"/>
      <c r="B929" s="144"/>
      <c r="C929" s="144"/>
      <c r="D929" s="144"/>
      <c r="E929" s="144"/>
      <c r="F929" s="144"/>
      <c r="G929" s="144"/>
      <c r="H929" s="144"/>
      <c r="I929" s="496"/>
      <c r="J929" s="496"/>
      <c r="K929" s="496"/>
      <c r="L929" s="496"/>
      <c r="M929" s="144"/>
      <c r="N929" s="144"/>
      <c r="O929" s="144"/>
      <c r="P929" s="144"/>
      <c r="Q929" s="144"/>
      <c r="R929" s="144"/>
      <c r="S929" s="144"/>
      <c r="T929" s="144"/>
      <c r="U929" s="144"/>
      <c r="V929" s="144"/>
      <c r="W929" s="144"/>
      <c r="X929" s="144"/>
      <c r="Y929" s="144"/>
      <c r="Z929" s="144"/>
      <c r="AA929" s="144"/>
      <c r="AB929" s="144"/>
      <c r="AC929" s="144"/>
      <c r="AD929" s="144"/>
      <c r="AE929" s="144"/>
      <c r="AF929" s="144"/>
    </row>
    <row r="930" ht="16.5" customHeight="1">
      <c r="A930" s="144"/>
      <c r="B930" s="144"/>
      <c r="C930" s="144"/>
      <c r="D930" s="144"/>
      <c r="E930" s="144"/>
      <c r="F930" s="144"/>
      <c r="G930" s="144"/>
      <c r="H930" s="144"/>
      <c r="I930" s="496"/>
      <c r="J930" s="496"/>
      <c r="K930" s="496"/>
      <c r="L930" s="496"/>
      <c r="M930" s="144"/>
      <c r="N930" s="144"/>
      <c r="O930" s="144"/>
      <c r="P930" s="144"/>
      <c r="Q930" s="144"/>
      <c r="R930" s="144"/>
      <c r="S930" s="144"/>
      <c r="T930" s="144"/>
      <c r="U930" s="144"/>
      <c r="V930" s="144"/>
      <c r="W930" s="144"/>
      <c r="X930" s="144"/>
      <c r="Y930" s="144"/>
      <c r="Z930" s="144"/>
      <c r="AA930" s="144"/>
      <c r="AB930" s="144"/>
      <c r="AC930" s="144"/>
      <c r="AD930" s="144"/>
      <c r="AE930" s="144"/>
      <c r="AF930" s="144"/>
    </row>
    <row r="931" ht="16.5" customHeight="1">
      <c r="A931" s="144"/>
      <c r="B931" s="144"/>
      <c r="C931" s="144"/>
      <c r="D931" s="144"/>
      <c r="E931" s="144"/>
      <c r="F931" s="144"/>
      <c r="G931" s="144"/>
      <c r="H931" s="144"/>
      <c r="I931" s="496"/>
      <c r="J931" s="496"/>
      <c r="K931" s="496"/>
      <c r="L931" s="496"/>
      <c r="M931" s="144"/>
      <c r="N931" s="144"/>
      <c r="O931" s="144"/>
      <c r="P931" s="144"/>
      <c r="Q931" s="144"/>
      <c r="R931" s="144"/>
      <c r="S931" s="144"/>
      <c r="T931" s="144"/>
      <c r="U931" s="144"/>
      <c r="V931" s="144"/>
      <c r="W931" s="144"/>
      <c r="X931" s="144"/>
      <c r="Y931" s="144"/>
      <c r="Z931" s="144"/>
      <c r="AA931" s="144"/>
      <c r="AB931" s="144"/>
      <c r="AC931" s="144"/>
      <c r="AD931" s="144"/>
      <c r="AE931" s="144"/>
      <c r="AF931" s="144"/>
    </row>
    <row r="932" ht="16.5" customHeight="1">
      <c r="A932" s="144"/>
      <c r="B932" s="144"/>
      <c r="C932" s="144"/>
      <c r="D932" s="144"/>
      <c r="E932" s="144"/>
      <c r="F932" s="144"/>
      <c r="G932" s="144"/>
      <c r="H932" s="144"/>
      <c r="I932" s="496"/>
      <c r="J932" s="496"/>
      <c r="K932" s="496"/>
      <c r="L932" s="496"/>
      <c r="M932" s="144"/>
      <c r="N932" s="144"/>
      <c r="O932" s="144"/>
      <c r="P932" s="144"/>
      <c r="Q932" s="144"/>
      <c r="R932" s="144"/>
      <c r="S932" s="144"/>
      <c r="T932" s="144"/>
      <c r="U932" s="144"/>
      <c r="V932" s="144"/>
      <c r="W932" s="144"/>
      <c r="X932" s="144"/>
      <c r="Y932" s="144"/>
      <c r="Z932" s="144"/>
      <c r="AA932" s="144"/>
      <c r="AB932" s="144"/>
      <c r="AC932" s="144"/>
      <c r="AD932" s="144"/>
      <c r="AE932" s="144"/>
      <c r="AF932" s="144"/>
    </row>
    <row r="933" ht="16.5" customHeight="1">
      <c r="A933" s="144"/>
      <c r="B933" s="144"/>
      <c r="C933" s="144"/>
      <c r="D933" s="144"/>
      <c r="E933" s="144"/>
      <c r="F933" s="144"/>
      <c r="G933" s="144"/>
      <c r="H933" s="144"/>
      <c r="I933" s="496"/>
      <c r="J933" s="496"/>
      <c r="K933" s="496"/>
      <c r="L933" s="496"/>
      <c r="M933" s="144"/>
      <c r="N933" s="144"/>
      <c r="O933" s="144"/>
      <c r="P933" s="144"/>
      <c r="Q933" s="144"/>
      <c r="R933" s="144"/>
      <c r="S933" s="144"/>
      <c r="T933" s="144"/>
      <c r="U933" s="144"/>
      <c r="V933" s="144"/>
      <c r="W933" s="144"/>
      <c r="X933" s="144"/>
      <c r="Y933" s="144"/>
      <c r="Z933" s="144"/>
      <c r="AA933" s="144"/>
      <c r="AB933" s="144"/>
      <c r="AC933" s="144"/>
      <c r="AD933" s="144"/>
      <c r="AE933" s="144"/>
      <c r="AF933" s="144"/>
    </row>
    <row r="934" ht="16.5" customHeight="1">
      <c r="A934" s="144"/>
      <c r="B934" s="144"/>
      <c r="C934" s="144"/>
      <c r="D934" s="144"/>
      <c r="E934" s="144"/>
      <c r="F934" s="144"/>
      <c r="G934" s="144"/>
      <c r="H934" s="144"/>
      <c r="I934" s="496"/>
      <c r="J934" s="496"/>
      <c r="K934" s="496"/>
      <c r="L934" s="496"/>
      <c r="M934" s="144"/>
      <c r="N934" s="144"/>
      <c r="O934" s="144"/>
      <c r="P934" s="144"/>
      <c r="Q934" s="144"/>
      <c r="R934" s="144"/>
      <c r="S934" s="144"/>
      <c r="T934" s="144"/>
      <c r="U934" s="144"/>
      <c r="V934" s="144"/>
      <c r="W934" s="144"/>
      <c r="X934" s="144"/>
      <c r="Y934" s="144"/>
      <c r="Z934" s="144"/>
      <c r="AA934" s="144"/>
      <c r="AB934" s="144"/>
      <c r="AC934" s="144"/>
      <c r="AD934" s="144"/>
      <c r="AE934" s="144"/>
      <c r="AF934" s="144"/>
    </row>
    <row r="935" ht="16.5" customHeight="1">
      <c r="A935" s="144"/>
      <c r="B935" s="144"/>
      <c r="C935" s="144"/>
      <c r="D935" s="144"/>
      <c r="E935" s="144"/>
      <c r="F935" s="144"/>
      <c r="G935" s="144"/>
      <c r="H935" s="144"/>
      <c r="I935" s="496"/>
      <c r="J935" s="496"/>
      <c r="K935" s="496"/>
      <c r="L935" s="496"/>
      <c r="M935" s="144"/>
      <c r="N935" s="144"/>
      <c r="O935" s="144"/>
      <c r="P935" s="144"/>
      <c r="Q935" s="144"/>
      <c r="R935" s="144"/>
      <c r="S935" s="144"/>
      <c r="T935" s="144"/>
      <c r="U935" s="144"/>
      <c r="V935" s="144"/>
      <c r="W935" s="144"/>
      <c r="X935" s="144"/>
      <c r="Y935" s="144"/>
      <c r="Z935" s="144"/>
      <c r="AA935" s="144"/>
      <c r="AB935" s="144"/>
      <c r="AC935" s="144"/>
      <c r="AD935" s="144"/>
      <c r="AE935" s="144"/>
      <c r="AF935" s="144"/>
    </row>
    <row r="936" ht="16.5" customHeight="1">
      <c r="A936" s="144"/>
      <c r="B936" s="144"/>
      <c r="C936" s="144"/>
      <c r="D936" s="144"/>
      <c r="E936" s="144"/>
      <c r="F936" s="144"/>
      <c r="G936" s="144"/>
      <c r="H936" s="144"/>
      <c r="I936" s="496"/>
      <c r="J936" s="496"/>
      <c r="K936" s="496"/>
      <c r="L936" s="496"/>
      <c r="M936" s="144"/>
      <c r="N936" s="144"/>
      <c r="O936" s="144"/>
      <c r="P936" s="144"/>
      <c r="Q936" s="144"/>
      <c r="R936" s="144"/>
      <c r="S936" s="144"/>
      <c r="T936" s="144"/>
      <c r="U936" s="144"/>
      <c r="V936" s="144"/>
      <c r="W936" s="144"/>
      <c r="X936" s="144"/>
      <c r="Y936" s="144"/>
      <c r="Z936" s="144"/>
      <c r="AA936" s="144"/>
      <c r="AB936" s="144"/>
      <c r="AC936" s="144"/>
      <c r="AD936" s="144"/>
      <c r="AE936" s="144"/>
      <c r="AF936" s="144"/>
    </row>
    <row r="937" ht="16.5" customHeight="1">
      <c r="A937" s="144"/>
      <c r="B937" s="144"/>
      <c r="C937" s="144"/>
      <c r="D937" s="144"/>
      <c r="E937" s="144"/>
      <c r="F937" s="144"/>
      <c r="G937" s="144"/>
      <c r="H937" s="144"/>
      <c r="I937" s="496"/>
      <c r="J937" s="496"/>
      <c r="K937" s="496"/>
      <c r="L937" s="496"/>
      <c r="M937" s="144"/>
      <c r="N937" s="144"/>
      <c r="O937" s="144"/>
      <c r="P937" s="144"/>
      <c r="Q937" s="144"/>
      <c r="R937" s="144"/>
      <c r="S937" s="144"/>
      <c r="T937" s="144"/>
      <c r="U937" s="144"/>
      <c r="V937" s="144"/>
      <c r="W937" s="144"/>
      <c r="X937" s="144"/>
      <c r="Y937" s="144"/>
      <c r="Z937" s="144"/>
      <c r="AA937" s="144"/>
      <c r="AB937" s="144"/>
      <c r="AC937" s="144"/>
      <c r="AD937" s="144"/>
      <c r="AE937" s="144"/>
      <c r="AF937" s="144"/>
    </row>
    <row r="938" ht="16.5" customHeight="1">
      <c r="A938" s="144"/>
      <c r="B938" s="144"/>
      <c r="C938" s="144"/>
      <c r="D938" s="144"/>
      <c r="E938" s="144"/>
      <c r="F938" s="144"/>
      <c r="G938" s="144"/>
      <c r="H938" s="144"/>
      <c r="I938" s="496"/>
      <c r="J938" s="496"/>
      <c r="K938" s="496"/>
      <c r="L938" s="496"/>
      <c r="M938" s="144"/>
      <c r="N938" s="144"/>
      <c r="O938" s="144"/>
      <c r="P938" s="144"/>
      <c r="Q938" s="144"/>
      <c r="R938" s="144"/>
      <c r="S938" s="144"/>
      <c r="T938" s="144"/>
      <c r="U938" s="144"/>
      <c r="V938" s="144"/>
      <c r="W938" s="144"/>
      <c r="X938" s="144"/>
      <c r="Y938" s="144"/>
      <c r="Z938" s="144"/>
      <c r="AA938" s="144"/>
      <c r="AB938" s="144"/>
      <c r="AC938" s="144"/>
      <c r="AD938" s="144"/>
      <c r="AE938" s="144"/>
      <c r="AF938" s="144"/>
    </row>
    <row r="939" ht="16.5" customHeight="1">
      <c r="A939" s="144"/>
      <c r="B939" s="144"/>
      <c r="C939" s="144"/>
      <c r="D939" s="144"/>
      <c r="E939" s="144"/>
      <c r="F939" s="144"/>
      <c r="G939" s="144"/>
      <c r="H939" s="144"/>
      <c r="I939" s="496"/>
      <c r="J939" s="496"/>
      <c r="K939" s="496"/>
      <c r="L939" s="496"/>
      <c r="M939" s="144"/>
      <c r="N939" s="144"/>
      <c r="O939" s="144"/>
      <c r="P939" s="144"/>
      <c r="Q939" s="144"/>
      <c r="R939" s="144"/>
      <c r="S939" s="144"/>
      <c r="T939" s="144"/>
      <c r="U939" s="144"/>
      <c r="V939" s="144"/>
      <c r="W939" s="144"/>
      <c r="X939" s="144"/>
      <c r="Y939" s="144"/>
      <c r="Z939" s="144"/>
      <c r="AA939" s="144"/>
      <c r="AB939" s="144"/>
      <c r="AC939" s="144"/>
      <c r="AD939" s="144"/>
      <c r="AE939" s="144"/>
      <c r="AF939" s="144"/>
    </row>
    <row r="940" ht="16.5" customHeight="1">
      <c r="A940" s="144"/>
      <c r="B940" s="144"/>
      <c r="C940" s="144"/>
      <c r="D940" s="144"/>
      <c r="E940" s="144"/>
      <c r="F940" s="144"/>
      <c r="G940" s="144"/>
      <c r="H940" s="144"/>
      <c r="I940" s="496"/>
      <c r="J940" s="496"/>
      <c r="K940" s="496"/>
      <c r="L940" s="496"/>
      <c r="M940" s="144"/>
      <c r="N940" s="144"/>
      <c r="O940" s="144"/>
      <c r="P940" s="144"/>
      <c r="Q940" s="144"/>
      <c r="R940" s="144"/>
      <c r="S940" s="144"/>
      <c r="T940" s="144"/>
      <c r="U940" s="144"/>
      <c r="V940" s="144"/>
      <c r="W940" s="144"/>
      <c r="X940" s="144"/>
      <c r="Y940" s="144"/>
      <c r="Z940" s="144"/>
      <c r="AA940" s="144"/>
      <c r="AB940" s="144"/>
      <c r="AC940" s="144"/>
      <c r="AD940" s="144"/>
      <c r="AE940" s="144"/>
      <c r="AF940" s="144"/>
    </row>
    <row r="941" ht="16.5" customHeight="1">
      <c r="A941" s="144"/>
      <c r="B941" s="144"/>
      <c r="C941" s="144"/>
      <c r="D941" s="144"/>
      <c r="E941" s="144"/>
      <c r="F941" s="144"/>
      <c r="G941" s="144"/>
      <c r="H941" s="144"/>
      <c r="I941" s="496"/>
      <c r="J941" s="496"/>
      <c r="K941" s="496"/>
      <c r="L941" s="496"/>
      <c r="M941" s="144"/>
      <c r="N941" s="144"/>
      <c r="O941" s="144"/>
      <c r="P941" s="144"/>
      <c r="Q941" s="144"/>
      <c r="R941" s="144"/>
      <c r="S941" s="144"/>
      <c r="T941" s="144"/>
      <c r="U941" s="144"/>
      <c r="V941" s="144"/>
      <c r="W941" s="144"/>
      <c r="X941" s="144"/>
      <c r="Y941" s="144"/>
      <c r="Z941" s="144"/>
      <c r="AA941" s="144"/>
      <c r="AB941" s="144"/>
      <c r="AC941" s="144"/>
      <c r="AD941" s="144"/>
      <c r="AE941" s="144"/>
      <c r="AF941" s="144"/>
    </row>
    <row r="942" ht="16.5" customHeight="1">
      <c r="A942" s="144"/>
      <c r="B942" s="144"/>
      <c r="C942" s="144"/>
      <c r="D942" s="144"/>
      <c r="E942" s="144"/>
      <c r="F942" s="144"/>
      <c r="G942" s="144"/>
      <c r="H942" s="144"/>
      <c r="I942" s="496"/>
      <c r="J942" s="496"/>
      <c r="K942" s="496"/>
      <c r="L942" s="496"/>
      <c r="M942" s="144"/>
      <c r="N942" s="144"/>
      <c r="O942" s="144"/>
      <c r="P942" s="144"/>
      <c r="Q942" s="144"/>
      <c r="R942" s="144"/>
      <c r="S942" s="144"/>
      <c r="T942" s="144"/>
      <c r="U942" s="144"/>
      <c r="V942" s="144"/>
      <c r="W942" s="144"/>
      <c r="X942" s="144"/>
      <c r="Y942" s="144"/>
      <c r="Z942" s="144"/>
      <c r="AA942" s="144"/>
      <c r="AB942" s="144"/>
      <c r="AC942" s="144"/>
      <c r="AD942" s="144"/>
      <c r="AE942" s="144"/>
      <c r="AF942" s="144"/>
    </row>
    <row r="943" ht="16.5" customHeight="1">
      <c r="A943" s="144"/>
      <c r="B943" s="144"/>
      <c r="C943" s="144"/>
      <c r="D943" s="144"/>
      <c r="E943" s="144"/>
      <c r="F943" s="144"/>
      <c r="G943" s="144"/>
      <c r="H943" s="144"/>
      <c r="I943" s="496"/>
      <c r="J943" s="496"/>
      <c r="K943" s="496"/>
      <c r="L943" s="496"/>
      <c r="M943" s="144"/>
      <c r="N943" s="144"/>
      <c r="O943" s="144"/>
      <c r="P943" s="144"/>
      <c r="Q943" s="144"/>
      <c r="R943" s="144"/>
      <c r="S943" s="144"/>
      <c r="T943" s="144"/>
      <c r="U943" s="144"/>
      <c r="V943" s="144"/>
      <c r="W943" s="144"/>
      <c r="X943" s="144"/>
      <c r="Y943" s="144"/>
      <c r="Z943" s="144"/>
      <c r="AA943" s="144"/>
      <c r="AB943" s="144"/>
      <c r="AC943" s="144"/>
      <c r="AD943" s="144"/>
      <c r="AE943" s="144"/>
      <c r="AF943" s="144"/>
    </row>
    <row r="944" ht="16.5" customHeight="1">
      <c r="A944" s="144"/>
      <c r="B944" s="144"/>
      <c r="C944" s="144"/>
      <c r="D944" s="144"/>
      <c r="E944" s="144"/>
      <c r="F944" s="144"/>
      <c r="G944" s="144"/>
      <c r="H944" s="144"/>
      <c r="I944" s="496"/>
      <c r="J944" s="496"/>
      <c r="K944" s="496"/>
      <c r="L944" s="496"/>
      <c r="M944" s="144"/>
      <c r="N944" s="144"/>
      <c r="O944" s="144"/>
      <c r="P944" s="144"/>
      <c r="Q944" s="144"/>
      <c r="R944" s="144"/>
      <c r="S944" s="144"/>
      <c r="T944" s="144"/>
      <c r="U944" s="144"/>
      <c r="V944" s="144"/>
      <c r="W944" s="144"/>
      <c r="X944" s="144"/>
      <c r="Y944" s="144"/>
      <c r="Z944" s="144"/>
      <c r="AA944" s="144"/>
      <c r="AB944" s="144"/>
      <c r="AC944" s="144"/>
      <c r="AD944" s="144"/>
      <c r="AE944" s="144"/>
      <c r="AF944" s="144"/>
    </row>
    <row r="945" ht="16.5" customHeight="1">
      <c r="A945" s="144"/>
      <c r="B945" s="144"/>
      <c r="C945" s="144"/>
      <c r="D945" s="144"/>
      <c r="E945" s="144"/>
      <c r="F945" s="144"/>
      <c r="G945" s="144"/>
      <c r="H945" s="144"/>
      <c r="I945" s="496"/>
      <c r="J945" s="496"/>
      <c r="K945" s="496"/>
      <c r="L945" s="496"/>
      <c r="M945" s="144"/>
      <c r="N945" s="144"/>
      <c r="O945" s="144"/>
      <c r="P945" s="144"/>
      <c r="Q945" s="144"/>
      <c r="R945" s="144"/>
      <c r="S945" s="144"/>
      <c r="T945" s="144"/>
      <c r="U945" s="144"/>
      <c r="V945" s="144"/>
      <c r="W945" s="144"/>
      <c r="X945" s="144"/>
      <c r="Y945" s="144"/>
      <c r="Z945" s="144"/>
      <c r="AA945" s="144"/>
      <c r="AB945" s="144"/>
      <c r="AC945" s="144"/>
      <c r="AD945" s="144"/>
      <c r="AE945" s="144"/>
      <c r="AF945" s="144"/>
    </row>
    <row r="946" ht="16.5" customHeight="1">
      <c r="A946" s="144"/>
      <c r="B946" s="144"/>
      <c r="C946" s="144"/>
      <c r="D946" s="144"/>
      <c r="E946" s="144"/>
      <c r="F946" s="144"/>
      <c r="G946" s="144"/>
      <c r="H946" s="144"/>
      <c r="I946" s="496"/>
      <c r="J946" s="496"/>
      <c r="K946" s="496"/>
      <c r="L946" s="496"/>
      <c r="M946" s="144"/>
      <c r="N946" s="144"/>
      <c r="O946" s="144"/>
      <c r="P946" s="144"/>
      <c r="Q946" s="144"/>
      <c r="R946" s="144"/>
      <c r="S946" s="144"/>
      <c r="T946" s="144"/>
      <c r="U946" s="144"/>
      <c r="V946" s="144"/>
      <c r="W946" s="144"/>
      <c r="X946" s="144"/>
      <c r="Y946" s="144"/>
      <c r="Z946" s="144"/>
      <c r="AA946" s="144"/>
      <c r="AB946" s="144"/>
      <c r="AC946" s="144"/>
      <c r="AD946" s="144"/>
      <c r="AE946" s="144"/>
      <c r="AF946" s="144"/>
    </row>
    <row r="947" ht="16.5" customHeight="1">
      <c r="A947" s="144"/>
      <c r="B947" s="144"/>
      <c r="C947" s="144"/>
      <c r="D947" s="144"/>
      <c r="E947" s="144"/>
      <c r="F947" s="144"/>
      <c r="G947" s="144"/>
      <c r="H947" s="144"/>
      <c r="I947" s="496"/>
      <c r="J947" s="496"/>
      <c r="K947" s="496"/>
      <c r="L947" s="496"/>
      <c r="M947" s="144"/>
      <c r="N947" s="144"/>
      <c r="O947" s="144"/>
      <c r="P947" s="144"/>
      <c r="Q947" s="144"/>
      <c r="R947" s="144"/>
      <c r="S947" s="144"/>
      <c r="T947" s="144"/>
      <c r="U947" s="144"/>
      <c r="V947" s="144"/>
      <c r="W947" s="144"/>
      <c r="X947" s="144"/>
      <c r="Y947" s="144"/>
      <c r="Z947" s="144"/>
      <c r="AA947" s="144"/>
      <c r="AB947" s="144"/>
      <c r="AC947" s="144"/>
      <c r="AD947" s="144"/>
      <c r="AE947" s="144"/>
      <c r="AF947" s="144"/>
    </row>
    <row r="948" ht="16.5" customHeight="1">
      <c r="A948" s="144"/>
      <c r="B948" s="144"/>
      <c r="C948" s="144"/>
      <c r="D948" s="144"/>
      <c r="E948" s="144"/>
      <c r="F948" s="144"/>
      <c r="G948" s="144"/>
      <c r="H948" s="144"/>
      <c r="I948" s="496"/>
      <c r="J948" s="496"/>
      <c r="K948" s="496"/>
      <c r="L948" s="496"/>
      <c r="M948" s="144"/>
      <c r="N948" s="144"/>
      <c r="O948" s="144"/>
      <c r="P948" s="144"/>
      <c r="Q948" s="144"/>
      <c r="R948" s="144"/>
      <c r="S948" s="144"/>
      <c r="T948" s="144"/>
      <c r="U948" s="144"/>
      <c r="V948" s="144"/>
      <c r="W948" s="144"/>
      <c r="X948" s="144"/>
      <c r="Y948" s="144"/>
      <c r="Z948" s="144"/>
      <c r="AA948" s="144"/>
      <c r="AB948" s="144"/>
      <c r="AC948" s="144"/>
      <c r="AD948" s="144"/>
      <c r="AE948" s="144"/>
      <c r="AF948" s="144"/>
    </row>
    <row r="949" ht="16.5" customHeight="1">
      <c r="A949" s="144"/>
      <c r="B949" s="144"/>
      <c r="C949" s="144"/>
      <c r="D949" s="144"/>
      <c r="E949" s="144"/>
      <c r="F949" s="144"/>
      <c r="G949" s="144"/>
      <c r="H949" s="144"/>
      <c r="I949" s="496"/>
      <c r="J949" s="496"/>
      <c r="K949" s="496"/>
      <c r="L949" s="496"/>
      <c r="M949" s="144"/>
      <c r="N949" s="144"/>
      <c r="O949" s="144"/>
      <c r="P949" s="144"/>
      <c r="Q949" s="144"/>
      <c r="R949" s="144"/>
      <c r="S949" s="144"/>
      <c r="T949" s="144"/>
      <c r="U949" s="144"/>
      <c r="V949" s="144"/>
      <c r="W949" s="144"/>
      <c r="X949" s="144"/>
      <c r="Y949" s="144"/>
      <c r="Z949" s="144"/>
      <c r="AA949" s="144"/>
      <c r="AB949" s="144"/>
      <c r="AC949" s="144"/>
      <c r="AD949" s="144"/>
      <c r="AE949" s="144"/>
      <c r="AF949" s="144"/>
    </row>
    <row r="950" ht="16.5" customHeight="1">
      <c r="A950" s="144"/>
      <c r="B950" s="144"/>
      <c r="C950" s="144"/>
      <c r="D950" s="144"/>
      <c r="E950" s="144"/>
      <c r="F950" s="144"/>
      <c r="G950" s="144"/>
      <c r="H950" s="144"/>
      <c r="I950" s="496"/>
      <c r="J950" s="496"/>
      <c r="K950" s="496"/>
      <c r="L950" s="496"/>
      <c r="M950" s="144"/>
      <c r="N950" s="144"/>
      <c r="O950" s="144"/>
      <c r="P950" s="144"/>
      <c r="Q950" s="144"/>
      <c r="R950" s="144"/>
      <c r="S950" s="144"/>
      <c r="T950" s="144"/>
      <c r="U950" s="144"/>
      <c r="V950" s="144"/>
      <c r="W950" s="144"/>
      <c r="X950" s="144"/>
      <c r="Y950" s="144"/>
      <c r="Z950" s="144"/>
      <c r="AA950" s="144"/>
      <c r="AB950" s="144"/>
      <c r="AC950" s="144"/>
      <c r="AD950" s="144"/>
      <c r="AE950" s="144"/>
      <c r="AF950" s="144"/>
    </row>
    <row r="951" ht="16.5" customHeight="1">
      <c r="A951" s="144"/>
      <c r="B951" s="144"/>
      <c r="C951" s="144"/>
      <c r="D951" s="144"/>
      <c r="E951" s="144"/>
      <c r="F951" s="144"/>
      <c r="G951" s="144"/>
      <c r="H951" s="144"/>
      <c r="I951" s="496"/>
      <c r="J951" s="496"/>
      <c r="K951" s="496"/>
      <c r="L951" s="496"/>
      <c r="M951" s="144"/>
      <c r="N951" s="144"/>
      <c r="O951" s="144"/>
      <c r="P951" s="144"/>
      <c r="Q951" s="144"/>
      <c r="R951" s="144"/>
      <c r="S951" s="144"/>
      <c r="T951" s="144"/>
      <c r="U951" s="144"/>
      <c r="V951" s="144"/>
      <c r="W951" s="144"/>
      <c r="X951" s="144"/>
      <c r="Y951" s="144"/>
      <c r="Z951" s="144"/>
      <c r="AA951" s="144"/>
      <c r="AB951" s="144"/>
      <c r="AC951" s="144"/>
      <c r="AD951" s="144"/>
      <c r="AE951" s="144"/>
      <c r="AF951" s="144"/>
    </row>
    <row r="952" ht="16.5" customHeight="1">
      <c r="A952" s="144"/>
      <c r="B952" s="144"/>
      <c r="C952" s="144"/>
      <c r="D952" s="144"/>
      <c r="E952" s="144"/>
      <c r="F952" s="144"/>
      <c r="G952" s="144"/>
      <c r="H952" s="144"/>
      <c r="I952" s="496"/>
      <c r="J952" s="496"/>
      <c r="K952" s="496"/>
      <c r="L952" s="496"/>
      <c r="M952" s="144"/>
      <c r="N952" s="144"/>
      <c r="O952" s="144"/>
      <c r="P952" s="144"/>
      <c r="Q952" s="144"/>
      <c r="R952" s="144"/>
      <c r="S952" s="144"/>
      <c r="T952" s="144"/>
      <c r="U952" s="144"/>
      <c r="V952" s="144"/>
      <c r="W952" s="144"/>
      <c r="X952" s="144"/>
      <c r="Y952" s="144"/>
      <c r="Z952" s="144"/>
      <c r="AA952" s="144"/>
      <c r="AB952" s="144"/>
      <c r="AC952" s="144"/>
      <c r="AD952" s="144"/>
      <c r="AE952" s="144"/>
      <c r="AF952" s="144"/>
    </row>
    <row r="953" ht="16.5" customHeight="1">
      <c r="A953" s="144"/>
      <c r="B953" s="144"/>
      <c r="C953" s="144"/>
      <c r="D953" s="144"/>
      <c r="E953" s="144"/>
      <c r="F953" s="144"/>
      <c r="G953" s="144"/>
      <c r="H953" s="144"/>
      <c r="I953" s="496"/>
      <c r="J953" s="496"/>
      <c r="K953" s="496"/>
      <c r="L953" s="496"/>
      <c r="M953" s="144"/>
      <c r="N953" s="144"/>
      <c r="O953" s="144"/>
      <c r="P953" s="144"/>
      <c r="Q953" s="144"/>
      <c r="R953" s="144"/>
      <c r="S953" s="144"/>
      <c r="T953" s="144"/>
      <c r="U953" s="144"/>
      <c r="V953" s="144"/>
      <c r="W953" s="144"/>
      <c r="X953" s="144"/>
      <c r="Y953" s="144"/>
      <c r="Z953" s="144"/>
      <c r="AA953" s="144"/>
      <c r="AB953" s="144"/>
      <c r="AC953" s="144"/>
      <c r="AD953" s="144"/>
      <c r="AE953" s="144"/>
      <c r="AF953" s="144"/>
    </row>
    <row r="954" ht="16.5" customHeight="1">
      <c r="A954" s="144"/>
      <c r="B954" s="144"/>
      <c r="C954" s="144"/>
      <c r="D954" s="144"/>
      <c r="E954" s="144"/>
      <c r="F954" s="144"/>
      <c r="G954" s="144"/>
      <c r="H954" s="144"/>
      <c r="I954" s="496"/>
      <c r="J954" s="496"/>
      <c r="K954" s="496"/>
      <c r="L954" s="496"/>
      <c r="M954" s="144"/>
      <c r="N954" s="144"/>
      <c r="O954" s="144"/>
      <c r="P954" s="144"/>
      <c r="Q954" s="144"/>
      <c r="R954" s="144"/>
      <c r="S954" s="144"/>
      <c r="T954" s="144"/>
      <c r="U954" s="144"/>
      <c r="V954" s="144"/>
      <c r="W954" s="144"/>
      <c r="X954" s="144"/>
      <c r="Y954" s="144"/>
      <c r="Z954" s="144"/>
      <c r="AA954" s="144"/>
      <c r="AB954" s="144"/>
      <c r="AC954" s="144"/>
      <c r="AD954" s="144"/>
      <c r="AE954" s="144"/>
      <c r="AF954" s="144"/>
    </row>
    <row r="955" ht="16.5" customHeight="1">
      <c r="A955" s="144"/>
      <c r="B955" s="144"/>
      <c r="C955" s="144"/>
      <c r="D955" s="144"/>
      <c r="E955" s="144"/>
      <c r="F955" s="144"/>
      <c r="G955" s="144"/>
      <c r="H955" s="144"/>
      <c r="I955" s="496"/>
      <c r="J955" s="496"/>
      <c r="K955" s="496"/>
      <c r="L955" s="496"/>
      <c r="M955" s="144"/>
      <c r="N955" s="144"/>
      <c r="O955" s="144"/>
      <c r="P955" s="144"/>
      <c r="Q955" s="144"/>
      <c r="R955" s="144"/>
      <c r="S955" s="144"/>
      <c r="T955" s="144"/>
      <c r="U955" s="144"/>
      <c r="V955" s="144"/>
      <c r="W955" s="144"/>
      <c r="X955" s="144"/>
      <c r="Y955" s="144"/>
      <c r="Z955" s="144"/>
      <c r="AA955" s="144"/>
      <c r="AB955" s="144"/>
      <c r="AC955" s="144"/>
      <c r="AD955" s="144"/>
      <c r="AE955" s="144"/>
      <c r="AF955" s="144"/>
    </row>
    <row r="956" ht="16.5" customHeight="1">
      <c r="A956" s="144"/>
      <c r="B956" s="144"/>
      <c r="C956" s="144"/>
      <c r="D956" s="144"/>
      <c r="E956" s="144"/>
      <c r="F956" s="144"/>
      <c r="G956" s="144"/>
      <c r="H956" s="144"/>
      <c r="I956" s="496"/>
      <c r="J956" s="496"/>
      <c r="K956" s="496"/>
      <c r="L956" s="496"/>
      <c r="M956" s="144"/>
      <c r="N956" s="144"/>
      <c r="O956" s="144"/>
      <c r="P956" s="144"/>
      <c r="Q956" s="144"/>
      <c r="R956" s="144"/>
      <c r="S956" s="144"/>
      <c r="T956" s="144"/>
      <c r="U956" s="144"/>
      <c r="V956" s="144"/>
      <c r="W956" s="144"/>
      <c r="X956" s="144"/>
      <c r="Y956" s="144"/>
      <c r="Z956" s="144"/>
      <c r="AA956" s="144"/>
      <c r="AB956" s="144"/>
      <c r="AC956" s="144"/>
      <c r="AD956" s="144"/>
      <c r="AE956" s="144"/>
      <c r="AF956" s="144"/>
    </row>
    <row r="957" ht="16.5" customHeight="1">
      <c r="A957" s="144"/>
      <c r="B957" s="144"/>
      <c r="C957" s="144"/>
      <c r="D957" s="144"/>
      <c r="E957" s="144"/>
      <c r="F957" s="144"/>
      <c r="G957" s="144"/>
      <c r="H957" s="144"/>
      <c r="I957" s="496"/>
      <c r="J957" s="496"/>
      <c r="K957" s="496"/>
      <c r="L957" s="496"/>
      <c r="M957" s="144"/>
      <c r="N957" s="144"/>
      <c r="O957" s="144"/>
      <c r="P957" s="144"/>
      <c r="Q957" s="144"/>
      <c r="R957" s="144"/>
      <c r="S957" s="144"/>
      <c r="T957" s="144"/>
      <c r="U957" s="144"/>
      <c r="V957" s="144"/>
      <c r="W957" s="144"/>
      <c r="X957" s="144"/>
      <c r="Y957" s="144"/>
      <c r="Z957" s="144"/>
      <c r="AA957" s="144"/>
      <c r="AB957" s="144"/>
      <c r="AC957" s="144"/>
      <c r="AD957" s="144"/>
      <c r="AE957" s="144"/>
      <c r="AF957" s="144"/>
    </row>
    <row r="958" ht="16.5" customHeight="1">
      <c r="A958" s="144"/>
      <c r="B958" s="144"/>
      <c r="C958" s="144"/>
      <c r="D958" s="144"/>
      <c r="E958" s="144"/>
      <c r="F958" s="144"/>
      <c r="G958" s="144"/>
      <c r="H958" s="144"/>
      <c r="I958" s="496"/>
      <c r="J958" s="496"/>
      <c r="K958" s="496"/>
      <c r="L958" s="496"/>
      <c r="M958" s="144"/>
      <c r="N958" s="144"/>
      <c r="O958" s="144"/>
      <c r="P958" s="144"/>
      <c r="Q958" s="144"/>
      <c r="R958" s="144"/>
      <c r="S958" s="144"/>
      <c r="T958" s="144"/>
      <c r="U958" s="144"/>
      <c r="V958" s="144"/>
      <c r="W958" s="144"/>
      <c r="X958" s="144"/>
      <c r="Y958" s="144"/>
      <c r="Z958" s="144"/>
      <c r="AA958" s="144"/>
      <c r="AB958" s="144"/>
      <c r="AC958" s="144"/>
      <c r="AD958" s="144"/>
      <c r="AE958" s="144"/>
      <c r="AF958" s="144"/>
    </row>
    <row r="959" ht="16.5" customHeight="1">
      <c r="A959" s="144"/>
      <c r="B959" s="144"/>
      <c r="C959" s="144"/>
      <c r="D959" s="144"/>
      <c r="E959" s="144"/>
      <c r="F959" s="144"/>
      <c r="G959" s="144"/>
      <c r="H959" s="144"/>
      <c r="I959" s="496"/>
      <c r="J959" s="496"/>
      <c r="K959" s="496"/>
      <c r="L959" s="496"/>
      <c r="M959" s="144"/>
      <c r="N959" s="144"/>
      <c r="O959" s="144"/>
      <c r="P959" s="144"/>
      <c r="Q959" s="144"/>
      <c r="R959" s="144"/>
      <c r="S959" s="144"/>
      <c r="T959" s="144"/>
      <c r="U959" s="144"/>
      <c r="V959" s="144"/>
      <c r="W959" s="144"/>
      <c r="X959" s="144"/>
      <c r="Y959" s="144"/>
      <c r="Z959" s="144"/>
      <c r="AA959" s="144"/>
      <c r="AB959" s="144"/>
      <c r="AC959" s="144"/>
      <c r="AD959" s="144"/>
      <c r="AE959" s="144"/>
      <c r="AF959" s="144"/>
    </row>
    <row r="960" ht="16.5" customHeight="1">
      <c r="A960" s="144"/>
      <c r="B960" s="144"/>
      <c r="C960" s="144"/>
      <c r="D960" s="144"/>
      <c r="E960" s="144"/>
      <c r="F960" s="144"/>
      <c r="G960" s="144"/>
      <c r="H960" s="144"/>
      <c r="I960" s="496"/>
      <c r="J960" s="496"/>
      <c r="K960" s="496"/>
      <c r="L960" s="496"/>
      <c r="M960" s="144"/>
      <c r="N960" s="144"/>
      <c r="O960" s="144"/>
      <c r="P960" s="144"/>
      <c r="Q960" s="144"/>
      <c r="R960" s="144"/>
      <c r="S960" s="144"/>
      <c r="T960" s="144"/>
      <c r="U960" s="144"/>
      <c r="V960" s="144"/>
      <c r="W960" s="144"/>
      <c r="X960" s="144"/>
      <c r="Y960" s="144"/>
      <c r="Z960" s="144"/>
      <c r="AA960" s="144"/>
      <c r="AB960" s="144"/>
      <c r="AC960" s="144"/>
      <c r="AD960" s="144"/>
      <c r="AE960" s="144"/>
      <c r="AF960" s="144"/>
    </row>
    <row r="961" ht="16.5" customHeight="1">
      <c r="A961" s="144"/>
      <c r="B961" s="144"/>
      <c r="C961" s="144"/>
      <c r="D961" s="144"/>
      <c r="E961" s="144"/>
      <c r="F961" s="144"/>
      <c r="G961" s="144"/>
      <c r="H961" s="144"/>
      <c r="I961" s="496"/>
      <c r="J961" s="496"/>
      <c r="K961" s="496"/>
      <c r="L961" s="496"/>
      <c r="M961" s="144"/>
      <c r="N961" s="144"/>
      <c r="O961" s="144"/>
      <c r="P961" s="144"/>
      <c r="Q961" s="144"/>
      <c r="R961" s="144"/>
      <c r="S961" s="144"/>
      <c r="T961" s="144"/>
      <c r="U961" s="144"/>
      <c r="V961" s="144"/>
      <c r="W961" s="144"/>
      <c r="X961" s="144"/>
      <c r="Y961" s="144"/>
      <c r="Z961" s="144"/>
      <c r="AA961" s="144"/>
      <c r="AB961" s="144"/>
      <c r="AC961" s="144"/>
      <c r="AD961" s="144"/>
      <c r="AE961" s="144"/>
      <c r="AF961" s="144"/>
    </row>
    <row r="962" ht="16.5" customHeight="1">
      <c r="A962" s="144"/>
      <c r="B962" s="144"/>
      <c r="C962" s="144"/>
      <c r="D962" s="144"/>
      <c r="E962" s="144"/>
      <c r="F962" s="144"/>
      <c r="G962" s="144"/>
      <c r="H962" s="144"/>
      <c r="I962" s="496"/>
      <c r="J962" s="496"/>
      <c r="K962" s="496"/>
      <c r="L962" s="496"/>
      <c r="M962" s="144"/>
      <c r="N962" s="144"/>
      <c r="O962" s="144"/>
      <c r="P962" s="144"/>
      <c r="Q962" s="144"/>
      <c r="R962" s="144"/>
      <c r="S962" s="144"/>
      <c r="T962" s="144"/>
      <c r="U962" s="144"/>
      <c r="V962" s="144"/>
      <c r="W962" s="144"/>
      <c r="X962" s="144"/>
      <c r="Y962" s="144"/>
      <c r="Z962" s="144"/>
      <c r="AA962" s="144"/>
      <c r="AB962" s="144"/>
      <c r="AC962" s="144"/>
      <c r="AD962" s="144"/>
      <c r="AE962" s="144"/>
      <c r="AF962" s="144"/>
    </row>
    <row r="963" ht="16.5" customHeight="1">
      <c r="A963" s="144"/>
      <c r="B963" s="144"/>
      <c r="C963" s="144"/>
      <c r="D963" s="144"/>
      <c r="E963" s="144"/>
      <c r="F963" s="144"/>
      <c r="G963" s="144"/>
      <c r="H963" s="144"/>
      <c r="I963" s="496"/>
      <c r="J963" s="496"/>
      <c r="K963" s="496"/>
      <c r="L963" s="496"/>
      <c r="M963" s="144"/>
      <c r="N963" s="144"/>
      <c r="O963" s="144"/>
      <c r="P963" s="144"/>
      <c r="Q963" s="144"/>
      <c r="R963" s="144"/>
      <c r="S963" s="144"/>
      <c r="T963" s="144"/>
      <c r="U963" s="144"/>
      <c r="V963" s="144"/>
      <c r="W963" s="144"/>
      <c r="X963" s="144"/>
      <c r="Y963" s="144"/>
      <c r="Z963" s="144"/>
      <c r="AA963" s="144"/>
      <c r="AB963" s="144"/>
      <c r="AC963" s="144"/>
      <c r="AD963" s="144"/>
      <c r="AE963" s="144"/>
      <c r="AF963" s="144"/>
    </row>
    <row r="964" ht="16.5" customHeight="1">
      <c r="A964" s="144"/>
      <c r="B964" s="144"/>
      <c r="C964" s="144"/>
      <c r="D964" s="144"/>
      <c r="E964" s="144"/>
      <c r="F964" s="144"/>
      <c r="G964" s="144"/>
      <c r="H964" s="144"/>
      <c r="I964" s="496"/>
      <c r="J964" s="496"/>
      <c r="K964" s="496"/>
      <c r="L964" s="496"/>
      <c r="M964" s="144"/>
      <c r="N964" s="144"/>
      <c r="O964" s="144"/>
      <c r="P964" s="144"/>
      <c r="Q964" s="144"/>
      <c r="R964" s="144"/>
      <c r="S964" s="144"/>
      <c r="T964" s="144"/>
      <c r="U964" s="144"/>
      <c r="V964" s="144"/>
      <c r="W964" s="144"/>
      <c r="X964" s="144"/>
      <c r="Y964" s="144"/>
      <c r="Z964" s="144"/>
      <c r="AA964" s="144"/>
      <c r="AB964" s="144"/>
      <c r="AC964" s="144"/>
      <c r="AD964" s="144"/>
      <c r="AE964" s="144"/>
      <c r="AF964" s="144"/>
    </row>
    <row r="965" ht="16.5" customHeight="1">
      <c r="A965" s="144"/>
      <c r="B965" s="144"/>
      <c r="C965" s="144"/>
      <c r="D965" s="144"/>
      <c r="E965" s="144"/>
      <c r="F965" s="144"/>
      <c r="G965" s="144"/>
      <c r="H965" s="144"/>
      <c r="I965" s="496"/>
      <c r="J965" s="496"/>
      <c r="K965" s="496"/>
      <c r="L965" s="496"/>
      <c r="M965" s="144"/>
      <c r="N965" s="144"/>
      <c r="O965" s="144"/>
      <c r="P965" s="144"/>
      <c r="Q965" s="144"/>
      <c r="R965" s="144"/>
      <c r="S965" s="144"/>
      <c r="T965" s="144"/>
      <c r="U965" s="144"/>
      <c r="V965" s="144"/>
      <c r="W965" s="144"/>
      <c r="X965" s="144"/>
      <c r="Y965" s="144"/>
      <c r="Z965" s="144"/>
      <c r="AA965" s="144"/>
      <c r="AB965" s="144"/>
      <c r="AC965" s="144"/>
      <c r="AD965" s="144"/>
      <c r="AE965" s="144"/>
      <c r="AF965" s="144"/>
    </row>
    <row r="966" ht="16.5" customHeight="1">
      <c r="A966" s="144"/>
      <c r="B966" s="144"/>
      <c r="C966" s="144"/>
      <c r="D966" s="144"/>
      <c r="E966" s="144"/>
      <c r="F966" s="144"/>
      <c r="G966" s="144"/>
      <c r="H966" s="144"/>
      <c r="I966" s="496"/>
      <c r="J966" s="496"/>
      <c r="K966" s="496"/>
      <c r="L966" s="496"/>
      <c r="M966" s="144"/>
      <c r="N966" s="144"/>
      <c r="O966" s="144"/>
      <c r="P966" s="144"/>
      <c r="Q966" s="144"/>
      <c r="R966" s="144"/>
      <c r="S966" s="144"/>
      <c r="T966" s="144"/>
      <c r="U966" s="144"/>
      <c r="V966" s="144"/>
      <c r="W966" s="144"/>
      <c r="X966" s="144"/>
      <c r="Y966" s="144"/>
      <c r="Z966" s="144"/>
      <c r="AA966" s="144"/>
      <c r="AB966" s="144"/>
      <c r="AC966" s="144"/>
      <c r="AD966" s="144"/>
      <c r="AE966" s="144"/>
      <c r="AF966" s="144"/>
    </row>
    <row r="967" ht="16.5" customHeight="1">
      <c r="A967" s="144"/>
      <c r="B967" s="144"/>
      <c r="C967" s="144"/>
      <c r="D967" s="144"/>
      <c r="E967" s="144"/>
      <c r="F967" s="144"/>
      <c r="G967" s="144"/>
      <c r="H967" s="144"/>
      <c r="I967" s="496"/>
      <c r="J967" s="496"/>
      <c r="K967" s="496"/>
      <c r="L967" s="496"/>
      <c r="M967" s="144"/>
      <c r="N967" s="144"/>
      <c r="O967" s="144"/>
      <c r="P967" s="144"/>
      <c r="Q967" s="144"/>
      <c r="R967" s="144"/>
      <c r="S967" s="144"/>
      <c r="T967" s="144"/>
      <c r="U967" s="144"/>
      <c r="V967" s="144"/>
      <c r="W967" s="144"/>
      <c r="X967" s="144"/>
      <c r="Y967" s="144"/>
      <c r="Z967" s="144"/>
      <c r="AA967" s="144"/>
      <c r="AB967" s="144"/>
      <c r="AC967" s="144"/>
      <c r="AD967" s="144"/>
      <c r="AE967" s="144"/>
      <c r="AF967" s="144"/>
    </row>
    <row r="968" ht="16.5" customHeight="1">
      <c r="A968" s="144"/>
      <c r="B968" s="144"/>
      <c r="C968" s="144"/>
      <c r="D968" s="144"/>
      <c r="E968" s="144"/>
      <c r="F968" s="144"/>
      <c r="G968" s="144"/>
      <c r="H968" s="144"/>
      <c r="I968" s="496"/>
      <c r="J968" s="496"/>
      <c r="K968" s="496"/>
      <c r="L968" s="496"/>
      <c r="M968" s="144"/>
      <c r="N968" s="144"/>
      <c r="O968" s="144"/>
      <c r="P968" s="144"/>
      <c r="Q968" s="144"/>
      <c r="R968" s="144"/>
      <c r="S968" s="144"/>
      <c r="T968" s="144"/>
      <c r="U968" s="144"/>
      <c r="V968" s="144"/>
      <c r="W968" s="144"/>
      <c r="X968" s="144"/>
      <c r="Y968" s="144"/>
      <c r="Z968" s="144"/>
      <c r="AA968" s="144"/>
      <c r="AB968" s="144"/>
      <c r="AC968" s="144"/>
      <c r="AD968" s="144"/>
      <c r="AE968" s="144"/>
      <c r="AF968" s="144"/>
    </row>
    <row r="969" ht="16.5" customHeight="1">
      <c r="A969" s="144"/>
      <c r="B969" s="144"/>
      <c r="C969" s="144"/>
      <c r="D969" s="144"/>
      <c r="E969" s="144"/>
      <c r="F969" s="144"/>
      <c r="G969" s="144"/>
      <c r="H969" s="144"/>
      <c r="I969" s="496"/>
      <c r="J969" s="496"/>
      <c r="K969" s="496"/>
      <c r="L969" s="496"/>
      <c r="M969" s="144"/>
      <c r="N969" s="144"/>
      <c r="O969" s="144"/>
      <c r="P969" s="144"/>
      <c r="Q969" s="144"/>
      <c r="R969" s="144"/>
      <c r="S969" s="144"/>
      <c r="T969" s="144"/>
      <c r="U969" s="144"/>
      <c r="V969" s="144"/>
      <c r="W969" s="144"/>
      <c r="X969" s="144"/>
      <c r="Y969" s="144"/>
      <c r="Z969" s="144"/>
      <c r="AA969" s="144"/>
      <c r="AB969" s="144"/>
      <c r="AC969" s="144"/>
      <c r="AD969" s="144"/>
      <c r="AE969" s="144"/>
      <c r="AF969" s="144"/>
    </row>
    <row r="970" ht="16.5" customHeight="1">
      <c r="A970" s="144"/>
      <c r="B970" s="144"/>
      <c r="C970" s="144"/>
      <c r="D970" s="144"/>
      <c r="E970" s="144"/>
      <c r="F970" s="144"/>
      <c r="G970" s="144"/>
      <c r="H970" s="144"/>
      <c r="I970" s="496"/>
      <c r="J970" s="496"/>
      <c r="K970" s="496"/>
      <c r="L970" s="496"/>
      <c r="M970" s="144"/>
      <c r="N970" s="144"/>
      <c r="O970" s="144"/>
      <c r="P970" s="144"/>
      <c r="Q970" s="144"/>
      <c r="R970" s="144"/>
      <c r="S970" s="144"/>
      <c r="T970" s="144"/>
      <c r="U970" s="144"/>
      <c r="V970" s="144"/>
      <c r="W970" s="144"/>
      <c r="X970" s="144"/>
      <c r="Y970" s="144"/>
      <c r="Z970" s="144"/>
      <c r="AA970" s="144"/>
      <c r="AB970" s="144"/>
      <c r="AC970" s="144"/>
      <c r="AD970" s="144"/>
      <c r="AE970" s="144"/>
      <c r="AF970" s="144"/>
    </row>
    <row r="971" ht="16.5" customHeight="1">
      <c r="A971" s="144"/>
      <c r="B971" s="144"/>
      <c r="C971" s="144"/>
      <c r="D971" s="144"/>
      <c r="E971" s="144"/>
      <c r="F971" s="144"/>
      <c r="G971" s="144"/>
      <c r="H971" s="144"/>
      <c r="I971" s="496"/>
      <c r="J971" s="496"/>
      <c r="K971" s="496"/>
      <c r="L971" s="496"/>
      <c r="M971" s="144"/>
      <c r="N971" s="144"/>
      <c r="O971" s="144"/>
      <c r="P971" s="144"/>
      <c r="Q971" s="144"/>
      <c r="R971" s="144"/>
      <c r="S971" s="144"/>
      <c r="T971" s="144"/>
      <c r="U971" s="144"/>
      <c r="V971" s="144"/>
      <c r="W971" s="144"/>
      <c r="X971" s="144"/>
      <c r="Y971" s="144"/>
      <c r="Z971" s="144"/>
      <c r="AA971" s="144"/>
      <c r="AB971" s="144"/>
      <c r="AC971" s="144"/>
      <c r="AD971" s="144"/>
      <c r="AE971" s="144"/>
      <c r="AF971" s="144"/>
    </row>
    <row r="972" ht="16.5" customHeight="1">
      <c r="A972" s="144"/>
      <c r="B972" s="144"/>
      <c r="C972" s="144"/>
      <c r="D972" s="144"/>
      <c r="E972" s="144"/>
      <c r="F972" s="144"/>
      <c r="G972" s="144"/>
      <c r="H972" s="144"/>
      <c r="I972" s="496"/>
      <c r="J972" s="496"/>
      <c r="K972" s="496"/>
      <c r="L972" s="496"/>
      <c r="M972" s="144"/>
      <c r="N972" s="144"/>
      <c r="O972" s="144"/>
      <c r="P972" s="144"/>
      <c r="Q972" s="144"/>
      <c r="R972" s="144"/>
      <c r="S972" s="144"/>
      <c r="T972" s="144"/>
      <c r="U972" s="144"/>
      <c r="V972" s="144"/>
      <c r="W972" s="144"/>
      <c r="X972" s="144"/>
      <c r="Y972" s="144"/>
      <c r="Z972" s="144"/>
      <c r="AA972" s="144"/>
      <c r="AB972" s="144"/>
      <c r="AC972" s="144"/>
      <c r="AD972" s="144"/>
      <c r="AE972" s="144"/>
      <c r="AF972" s="144"/>
    </row>
    <row r="973" ht="16.5" customHeight="1">
      <c r="A973" s="144"/>
      <c r="B973" s="144"/>
      <c r="C973" s="144"/>
      <c r="D973" s="144"/>
      <c r="E973" s="144"/>
      <c r="F973" s="144"/>
      <c r="G973" s="144"/>
      <c r="H973" s="144"/>
      <c r="I973" s="496"/>
      <c r="J973" s="496"/>
      <c r="K973" s="496"/>
      <c r="L973" s="496"/>
      <c r="M973" s="144"/>
      <c r="N973" s="144"/>
      <c r="O973" s="144"/>
      <c r="P973" s="144"/>
      <c r="Q973" s="144"/>
      <c r="R973" s="144"/>
      <c r="S973" s="144"/>
      <c r="T973" s="144"/>
      <c r="U973" s="144"/>
      <c r="V973" s="144"/>
      <c r="W973" s="144"/>
      <c r="X973" s="144"/>
      <c r="Y973" s="144"/>
      <c r="Z973" s="144"/>
      <c r="AA973" s="144"/>
      <c r="AB973" s="144"/>
      <c r="AC973" s="144"/>
      <c r="AD973" s="144"/>
      <c r="AE973" s="144"/>
      <c r="AF973" s="144"/>
    </row>
    <row r="974" ht="16.5" customHeight="1">
      <c r="A974" s="144"/>
      <c r="B974" s="144"/>
      <c r="C974" s="144"/>
      <c r="D974" s="144"/>
      <c r="E974" s="144"/>
      <c r="F974" s="144"/>
      <c r="G974" s="144"/>
      <c r="H974" s="144"/>
      <c r="I974" s="496"/>
      <c r="J974" s="496"/>
      <c r="K974" s="496"/>
      <c r="L974" s="496"/>
      <c r="M974" s="144"/>
      <c r="N974" s="144"/>
      <c r="O974" s="144"/>
      <c r="P974" s="144"/>
      <c r="Q974" s="144"/>
      <c r="R974" s="144"/>
      <c r="S974" s="144"/>
      <c r="T974" s="144"/>
      <c r="U974" s="144"/>
      <c r="V974" s="144"/>
      <c r="W974" s="144"/>
      <c r="X974" s="144"/>
      <c r="Y974" s="144"/>
      <c r="Z974" s="144"/>
      <c r="AA974" s="144"/>
      <c r="AB974" s="144"/>
      <c r="AC974" s="144"/>
      <c r="AD974" s="144"/>
      <c r="AE974" s="144"/>
      <c r="AF974" s="144"/>
    </row>
    <row r="975" ht="16.5" customHeight="1">
      <c r="A975" s="144"/>
      <c r="B975" s="144"/>
      <c r="C975" s="144"/>
      <c r="D975" s="144"/>
      <c r="E975" s="144"/>
      <c r="F975" s="144"/>
      <c r="G975" s="144"/>
      <c r="H975" s="144"/>
      <c r="I975" s="496"/>
      <c r="J975" s="496"/>
      <c r="K975" s="496"/>
      <c r="L975" s="496"/>
      <c r="M975" s="144"/>
      <c r="N975" s="144"/>
      <c r="O975" s="144"/>
      <c r="P975" s="144"/>
      <c r="Q975" s="144"/>
      <c r="R975" s="144"/>
      <c r="S975" s="144"/>
      <c r="T975" s="144"/>
      <c r="U975" s="144"/>
      <c r="V975" s="144"/>
      <c r="W975" s="144"/>
      <c r="X975" s="144"/>
      <c r="Y975" s="144"/>
      <c r="Z975" s="144"/>
      <c r="AA975" s="144"/>
      <c r="AB975" s="144"/>
      <c r="AC975" s="144"/>
      <c r="AD975" s="144"/>
      <c r="AE975" s="144"/>
      <c r="AF975" s="144"/>
    </row>
    <row r="976" ht="16.5" customHeight="1">
      <c r="A976" s="144"/>
      <c r="B976" s="144"/>
      <c r="C976" s="144"/>
      <c r="D976" s="144"/>
      <c r="E976" s="144"/>
      <c r="F976" s="144"/>
      <c r="G976" s="144"/>
      <c r="H976" s="144"/>
      <c r="I976" s="496"/>
      <c r="J976" s="496"/>
      <c r="K976" s="496"/>
      <c r="L976" s="496"/>
      <c r="M976" s="144"/>
      <c r="N976" s="144"/>
      <c r="O976" s="144"/>
      <c r="P976" s="144"/>
      <c r="Q976" s="144"/>
      <c r="R976" s="144"/>
      <c r="S976" s="144"/>
      <c r="T976" s="144"/>
      <c r="U976" s="144"/>
      <c r="V976" s="144"/>
      <c r="W976" s="144"/>
      <c r="X976" s="144"/>
      <c r="Y976" s="144"/>
      <c r="Z976" s="144"/>
      <c r="AA976" s="144"/>
      <c r="AB976" s="144"/>
      <c r="AC976" s="144"/>
      <c r="AD976" s="144"/>
      <c r="AE976" s="144"/>
      <c r="AF976" s="144"/>
    </row>
    <row r="977" ht="16.5" customHeight="1">
      <c r="A977" s="144"/>
      <c r="B977" s="144"/>
      <c r="C977" s="144"/>
      <c r="D977" s="144"/>
      <c r="E977" s="144"/>
      <c r="F977" s="144"/>
      <c r="G977" s="144"/>
      <c r="H977" s="144"/>
      <c r="I977" s="496"/>
      <c r="J977" s="496"/>
      <c r="K977" s="496"/>
      <c r="L977" s="496"/>
      <c r="M977" s="144"/>
      <c r="N977" s="144"/>
      <c r="O977" s="144"/>
      <c r="P977" s="144"/>
      <c r="Q977" s="144"/>
      <c r="R977" s="144"/>
      <c r="S977" s="144"/>
      <c r="T977" s="144"/>
      <c r="U977" s="144"/>
      <c r="V977" s="144"/>
      <c r="W977" s="144"/>
      <c r="X977" s="144"/>
      <c r="Y977" s="144"/>
      <c r="Z977" s="144"/>
      <c r="AA977" s="144"/>
      <c r="AB977" s="144"/>
      <c r="AC977" s="144"/>
      <c r="AD977" s="144"/>
      <c r="AE977" s="144"/>
      <c r="AF977" s="144"/>
    </row>
    <row r="978" ht="16.5" customHeight="1">
      <c r="A978" s="144"/>
      <c r="B978" s="144"/>
      <c r="C978" s="144"/>
      <c r="D978" s="144"/>
      <c r="E978" s="144"/>
      <c r="F978" s="144"/>
      <c r="G978" s="144"/>
      <c r="H978" s="144"/>
      <c r="I978" s="496"/>
      <c r="J978" s="496"/>
      <c r="K978" s="496"/>
      <c r="L978" s="496"/>
      <c r="M978" s="144"/>
      <c r="N978" s="144"/>
      <c r="O978" s="144"/>
      <c r="P978" s="144"/>
      <c r="Q978" s="144"/>
      <c r="R978" s="144"/>
      <c r="S978" s="144"/>
      <c r="T978" s="144"/>
      <c r="U978" s="144"/>
      <c r="V978" s="144"/>
      <c r="W978" s="144"/>
      <c r="X978" s="144"/>
      <c r="Y978" s="144"/>
      <c r="Z978" s="144"/>
      <c r="AA978" s="144"/>
      <c r="AB978" s="144"/>
      <c r="AC978" s="144"/>
      <c r="AD978" s="144"/>
      <c r="AE978" s="144"/>
      <c r="AF978" s="144"/>
    </row>
    <row r="979" ht="16.5" customHeight="1">
      <c r="A979" s="144"/>
      <c r="B979" s="144"/>
      <c r="C979" s="144"/>
      <c r="D979" s="144"/>
      <c r="E979" s="144"/>
      <c r="F979" s="144"/>
      <c r="G979" s="144"/>
      <c r="H979" s="144"/>
      <c r="I979" s="496"/>
      <c r="J979" s="496"/>
      <c r="K979" s="496"/>
      <c r="L979" s="496"/>
      <c r="M979" s="144"/>
      <c r="N979" s="144"/>
      <c r="O979" s="144"/>
      <c r="P979" s="144"/>
      <c r="Q979" s="144"/>
      <c r="R979" s="144"/>
      <c r="S979" s="144"/>
      <c r="T979" s="144"/>
      <c r="U979" s="144"/>
      <c r="V979" s="144"/>
      <c r="W979" s="144"/>
      <c r="X979" s="144"/>
      <c r="Y979" s="144"/>
      <c r="Z979" s="144"/>
      <c r="AA979" s="144"/>
      <c r="AB979" s="144"/>
      <c r="AC979" s="144"/>
      <c r="AD979" s="144"/>
      <c r="AE979" s="144"/>
      <c r="AF979" s="144"/>
    </row>
    <row r="980" ht="16.5" customHeight="1">
      <c r="A980" s="144"/>
      <c r="B980" s="144"/>
      <c r="C980" s="144"/>
      <c r="D980" s="144"/>
      <c r="E980" s="144"/>
      <c r="F980" s="144"/>
      <c r="G980" s="144"/>
      <c r="H980" s="144"/>
      <c r="I980" s="496"/>
      <c r="J980" s="496"/>
      <c r="K980" s="496"/>
      <c r="L980" s="496"/>
      <c r="M980" s="144"/>
      <c r="N980" s="144"/>
      <c r="O980" s="144"/>
      <c r="P980" s="144"/>
      <c r="Q980" s="144"/>
      <c r="R980" s="144"/>
      <c r="S980" s="144"/>
      <c r="T980" s="144"/>
      <c r="U980" s="144"/>
      <c r="V980" s="144"/>
      <c r="W980" s="144"/>
      <c r="X980" s="144"/>
      <c r="Y980" s="144"/>
      <c r="Z980" s="144"/>
      <c r="AA980" s="144"/>
      <c r="AB980" s="144"/>
      <c r="AC980" s="144"/>
      <c r="AD980" s="144"/>
      <c r="AE980" s="144"/>
      <c r="AF980" s="144"/>
    </row>
    <row r="981" ht="16.5" customHeight="1">
      <c r="A981" s="144"/>
      <c r="B981" s="144"/>
      <c r="C981" s="144"/>
      <c r="D981" s="144"/>
      <c r="E981" s="144"/>
      <c r="F981" s="144"/>
      <c r="G981" s="144"/>
      <c r="H981" s="144"/>
      <c r="I981" s="496"/>
      <c r="J981" s="496"/>
      <c r="K981" s="496"/>
      <c r="L981" s="496"/>
      <c r="M981" s="144"/>
      <c r="N981" s="144"/>
      <c r="O981" s="144"/>
      <c r="P981" s="144"/>
      <c r="Q981" s="144"/>
      <c r="R981" s="144"/>
      <c r="S981" s="144"/>
      <c r="T981" s="144"/>
      <c r="U981" s="144"/>
      <c r="V981" s="144"/>
      <c r="W981" s="144"/>
      <c r="X981" s="144"/>
      <c r="Y981" s="144"/>
      <c r="Z981" s="144"/>
      <c r="AA981" s="144"/>
      <c r="AB981" s="144"/>
      <c r="AC981" s="144"/>
      <c r="AD981" s="144"/>
      <c r="AE981" s="144"/>
      <c r="AF981" s="144"/>
    </row>
    <row r="982" ht="16.5" customHeight="1">
      <c r="A982" s="144"/>
      <c r="B982" s="144"/>
      <c r="C982" s="144"/>
      <c r="D982" s="144"/>
      <c r="E982" s="144"/>
      <c r="F982" s="144"/>
      <c r="G982" s="144"/>
      <c r="H982" s="144"/>
      <c r="I982" s="496"/>
      <c r="J982" s="496"/>
      <c r="K982" s="496"/>
      <c r="L982" s="496"/>
      <c r="M982" s="144"/>
      <c r="N982" s="144"/>
      <c r="O982" s="144"/>
      <c r="P982" s="144"/>
      <c r="Q982" s="144"/>
      <c r="R982" s="144"/>
      <c r="S982" s="144"/>
      <c r="T982" s="144"/>
      <c r="U982" s="144"/>
      <c r="V982" s="144"/>
      <c r="W982" s="144"/>
      <c r="X982" s="144"/>
      <c r="Y982" s="144"/>
      <c r="Z982" s="144"/>
      <c r="AA982" s="144"/>
      <c r="AB982" s="144"/>
      <c r="AC982" s="144"/>
      <c r="AD982" s="144"/>
      <c r="AE982" s="144"/>
      <c r="AF982" s="144"/>
    </row>
    <row r="983" ht="16.5" customHeight="1">
      <c r="A983" s="144"/>
      <c r="B983" s="144"/>
      <c r="C983" s="144"/>
      <c r="D983" s="144"/>
      <c r="E983" s="144"/>
      <c r="F983" s="144"/>
      <c r="G983" s="144"/>
      <c r="H983" s="144"/>
      <c r="I983" s="496"/>
      <c r="J983" s="496"/>
      <c r="K983" s="496"/>
      <c r="L983" s="496"/>
      <c r="M983" s="144"/>
      <c r="N983" s="144"/>
      <c r="O983" s="144"/>
      <c r="P983" s="144"/>
      <c r="Q983" s="144"/>
      <c r="R983" s="144"/>
      <c r="S983" s="144"/>
      <c r="T983" s="144"/>
      <c r="U983" s="144"/>
      <c r="V983" s="144"/>
      <c r="W983" s="144"/>
      <c r="X983" s="144"/>
      <c r="Y983" s="144"/>
      <c r="Z983" s="144"/>
      <c r="AA983" s="144"/>
      <c r="AB983" s="144"/>
      <c r="AC983" s="144"/>
      <c r="AD983" s="144"/>
      <c r="AE983" s="144"/>
      <c r="AF983" s="144"/>
    </row>
    <row r="984" ht="16.5" customHeight="1">
      <c r="A984" s="144"/>
      <c r="B984" s="144"/>
      <c r="C984" s="144"/>
      <c r="D984" s="144"/>
      <c r="E984" s="144"/>
      <c r="F984" s="144"/>
      <c r="G984" s="144"/>
      <c r="H984" s="144"/>
      <c r="I984" s="496"/>
      <c r="J984" s="496"/>
      <c r="K984" s="496"/>
      <c r="L984" s="496"/>
      <c r="M984" s="144"/>
      <c r="N984" s="144"/>
      <c r="O984" s="144"/>
      <c r="P984" s="144"/>
      <c r="Q984" s="144"/>
      <c r="R984" s="144"/>
      <c r="S984" s="144"/>
      <c r="T984" s="144"/>
      <c r="U984" s="144"/>
      <c r="V984" s="144"/>
      <c r="W984" s="144"/>
      <c r="X984" s="144"/>
      <c r="Y984" s="144"/>
      <c r="Z984" s="144"/>
      <c r="AA984" s="144"/>
      <c r="AB984" s="144"/>
      <c r="AC984" s="144"/>
      <c r="AD984" s="144"/>
      <c r="AE984" s="144"/>
      <c r="AF984" s="144"/>
    </row>
    <row r="985" ht="16.5" customHeight="1">
      <c r="A985" s="144"/>
      <c r="B985" s="144"/>
      <c r="C985" s="144"/>
      <c r="D985" s="144"/>
      <c r="E985" s="144"/>
      <c r="F985" s="144"/>
      <c r="G985" s="144"/>
      <c r="H985" s="144"/>
      <c r="I985" s="496"/>
      <c r="J985" s="496"/>
      <c r="K985" s="496"/>
      <c r="L985" s="496"/>
      <c r="M985" s="144"/>
      <c r="N985" s="144"/>
      <c r="O985" s="144"/>
      <c r="P985" s="144"/>
      <c r="Q985" s="144"/>
      <c r="R985" s="144"/>
      <c r="S985" s="144"/>
      <c r="T985" s="144"/>
      <c r="U985" s="144"/>
      <c r="V985" s="144"/>
      <c r="W985" s="144"/>
      <c r="X985" s="144"/>
      <c r="Y985" s="144"/>
      <c r="Z985" s="144"/>
      <c r="AA985" s="144"/>
      <c r="AB985" s="144"/>
      <c r="AC985" s="144"/>
      <c r="AD985" s="144"/>
      <c r="AE985" s="144"/>
      <c r="AF985" s="144"/>
    </row>
    <row r="986" ht="16.5" customHeight="1">
      <c r="A986" s="144"/>
      <c r="B986" s="144"/>
      <c r="C986" s="144"/>
      <c r="D986" s="144"/>
      <c r="E986" s="144"/>
      <c r="F986" s="144"/>
      <c r="G986" s="144"/>
      <c r="H986" s="144"/>
      <c r="I986" s="496"/>
      <c r="J986" s="496"/>
      <c r="K986" s="496"/>
      <c r="L986" s="496"/>
      <c r="M986" s="144"/>
      <c r="N986" s="144"/>
      <c r="O986" s="144"/>
      <c r="P986" s="144"/>
      <c r="Q986" s="144"/>
      <c r="R986" s="144"/>
      <c r="S986" s="144"/>
      <c r="T986" s="144"/>
      <c r="U986" s="144"/>
      <c r="V986" s="144"/>
      <c r="W986" s="144"/>
      <c r="X986" s="144"/>
      <c r="Y986" s="144"/>
      <c r="Z986" s="144"/>
      <c r="AA986" s="144"/>
      <c r="AB986" s="144"/>
      <c r="AC986" s="144"/>
      <c r="AD986" s="144"/>
      <c r="AE986" s="144"/>
      <c r="AF986" s="144"/>
    </row>
    <row r="987" ht="16.5" customHeight="1">
      <c r="A987" s="144"/>
      <c r="B987" s="144"/>
      <c r="C987" s="144"/>
      <c r="D987" s="144"/>
      <c r="E987" s="144"/>
      <c r="F987" s="144"/>
      <c r="G987" s="144"/>
      <c r="H987" s="144"/>
      <c r="I987" s="496"/>
      <c r="J987" s="496"/>
      <c r="K987" s="496"/>
      <c r="L987" s="496"/>
      <c r="M987" s="144"/>
      <c r="N987" s="144"/>
      <c r="O987" s="144"/>
      <c r="P987" s="144"/>
      <c r="Q987" s="144"/>
      <c r="R987" s="144"/>
      <c r="S987" s="144"/>
      <c r="T987" s="144"/>
      <c r="U987" s="144"/>
      <c r="V987" s="144"/>
      <c r="W987" s="144"/>
      <c r="X987" s="144"/>
      <c r="Y987" s="144"/>
      <c r="Z987" s="144"/>
      <c r="AA987" s="144"/>
      <c r="AB987" s="144"/>
      <c r="AC987" s="144"/>
      <c r="AD987" s="144"/>
      <c r="AE987" s="144"/>
      <c r="AF987" s="144"/>
    </row>
    <row r="988" ht="16.5" customHeight="1">
      <c r="A988" s="144"/>
      <c r="B988" s="144"/>
      <c r="C988" s="144"/>
      <c r="D988" s="144"/>
      <c r="E988" s="144"/>
      <c r="F988" s="144"/>
      <c r="G988" s="144"/>
      <c r="H988" s="144"/>
      <c r="I988" s="496"/>
      <c r="J988" s="496"/>
      <c r="K988" s="496"/>
      <c r="L988" s="496"/>
      <c r="M988" s="144"/>
      <c r="N988" s="144"/>
      <c r="O988" s="144"/>
      <c r="P988" s="144"/>
      <c r="Q988" s="144"/>
      <c r="R988" s="144"/>
      <c r="S988" s="144"/>
      <c r="T988" s="144"/>
      <c r="U988" s="144"/>
      <c r="V988" s="144"/>
      <c r="W988" s="144"/>
      <c r="X988" s="144"/>
      <c r="Y988" s="144"/>
      <c r="Z988" s="144"/>
      <c r="AA988" s="144"/>
      <c r="AB988" s="144"/>
      <c r="AC988" s="144"/>
      <c r="AD988" s="144"/>
      <c r="AE988" s="144"/>
      <c r="AF988" s="144"/>
    </row>
    <row r="989" ht="16.5" customHeight="1">
      <c r="A989" s="144"/>
      <c r="B989" s="144"/>
      <c r="C989" s="144"/>
      <c r="D989" s="144"/>
      <c r="E989" s="144"/>
      <c r="F989" s="144"/>
      <c r="G989" s="144"/>
      <c r="H989" s="144"/>
      <c r="I989" s="496"/>
      <c r="J989" s="496"/>
      <c r="K989" s="496"/>
      <c r="L989" s="496"/>
      <c r="M989" s="144"/>
      <c r="N989" s="144"/>
      <c r="O989" s="144"/>
      <c r="P989" s="144"/>
      <c r="Q989" s="144"/>
      <c r="R989" s="144"/>
      <c r="S989" s="144"/>
      <c r="T989" s="144"/>
      <c r="U989" s="144"/>
      <c r="V989" s="144"/>
      <c r="W989" s="144"/>
      <c r="X989" s="144"/>
      <c r="Y989" s="144"/>
      <c r="Z989" s="144"/>
      <c r="AA989" s="144"/>
      <c r="AB989" s="144"/>
      <c r="AC989" s="144"/>
      <c r="AD989" s="144"/>
      <c r="AE989" s="144"/>
      <c r="AF989" s="144"/>
    </row>
    <row r="990" ht="16.5" customHeight="1">
      <c r="A990" s="144"/>
      <c r="B990" s="144"/>
      <c r="C990" s="144"/>
      <c r="D990" s="144"/>
      <c r="E990" s="144"/>
      <c r="F990" s="144"/>
      <c r="G990" s="144"/>
      <c r="H990" s="144"/>
      <c r="I990" s="496"/>
      <c r="J990" s="496"/>
      <c r="K990" s="496"/>
      <c r="L990" s="496"/>
      <c r="M990" s="144"/>
      <c r="N990" s="144"/>
      <c r="O990" s="144"/>
      <c r="P990" s="144"/>
      <c r="Q990" s="144"/>
      <c r="R990" s="144"/>
      <c r="S990" s="144"/>
      <c r="T990" s="144"/>
      <c r="U990" s="144"/>
      <c r="V990" s="144"/>
      <c r="W990" s="144"/>
      <c r="X990" s="144"/>
      <c r="Y990" s="144"/>
      <c r="Z990" s="144"/>
      <c r="AA990" s="144"/>
      <c r="AB990" s="144"/>
      <c r="AC990" s="144"/>
      <c r="AD990" s="144"/>
      <c r="AE990" s="144"/>
      <c r="AF990" s="144"/>
    </row>
    <row r="991" ht="16.5" customHeight="1">
      <c r="A991" s="144"/>
      <c r="B991" s="144"/>
      <c r="C991" s="144"/>
      <c r="D991" s="144"/>
      <c r="E991" s="144"/>
      <c r="F991" s="144"/>
      <c r="G991" s="144"/>
      <c r="H991" s="144"/>
      <c r="I991" s="496"/>
      <c r="J991" s="496"/>
      <c r="K991" s="496"/>
      <c r="L991" s="496"/>
      <c r="M991" s="144"/>
      <c r="N991" s="144"/>
      <c r="O991" s="144"/>
      <c r="P991" s="144"/>
      <c r="Q991" s="144"/>
      <c r="R991" s="144"/>
      <c r="S991" s="144"/>
      <c r="T991" s="144"/>
      <c r="U991" s="144"/>
      <c r="V991" s="144"/>
      <c r="W991" s="144"/>
      <c r="X991" s="144"/>
      <c r="Y991" s="144"/>
      <c r="Z991" s="144"/>
      <c r="AA991" s="144"/>
      <c r="AB991" s="144"/>
      <c r="AC991" s="144"/>
      <c r="AD991" s="144"/>
      <c r="AE991" s="144"/>
      <c r="AF991" s="144"/>
    </row>
    <row r="992" ht="16.5" customHeight="1">
      <c r="A992" s="144"/>
      <c r="B992" s="144"/>
      <c r="C992" s="144"/>
      <c r="D992" s="144"/>
      <c r="E992" s="144"/>
      <c r="F992" s="144"/>
      <c r="G992" s="144"/>
      <c r="H992" s="144"/>
      <c r="I992" s="496"/>
      <c r="J992" s="496"/>
      <c r="K992" s="496"/>
      <c r="L992" s="496"/>
      <c r="M992" s="144"/>
      <c r="N992" s="144"/>
      <c r="O992" s="144"/>
      <c r="P992" s="144"/>
      <c r="Q992" s="144"/>
      <c r="R992" s="144"/>
      <c r="S992" s="144"/>
      <c r="T992" s="144"/>
      <c r="U992" s="144"/>
      <c r="V992" s="144"/>
      <c r="W992" s="144"/>
      <c r="X992" s="144"/>
      <c r="Y992" s="144"/>
      <c r="Z992" s="144"/>
      <c r="AA992" s="144"/>
      <c r="AB992" s="144"/>
      <c r="AC992" s="144"/>
      <c r="AD992" s="144"/>
      <c r="AE992" s="144"/>
      <c r="AF992" s="144"/>
    </row>
    <row r="993" ht="16.5" customHeight="1">
      <c r="A993" s="144"/>
      <c r="B993" s="144"/>
      <c r="C993" s="144"/>
      <c r="D993" s="144"/>
      <c r="E993" s="144"/>
      <c r="F993" s="144"/>
      <c r="G993" s="144"/>
      <c r="H993" s="144"/>
      <c r="I993" s="496"/>
      <c r="J993" s="496"/>
      <c r="K993" s="496"/>
      <c r="L993" s="496"/>
      <c r="M993" s="144"/>
      <c r="N993" s="144"/>
      <c r="O993" s="144"/>
      <c r="P993" s="144"/>
      <c r="Q993" s="144"/>
      <c r="R993" s="144"/>
      <c r="S993" s="144"/>
      <c r="T993" s="144"/>
      <c r="U993" s="144"/>
      <c r="V993" s="144"/>
      <c r="W993" s="144"/>
      <c r="X993" s="144"/>
      <c r="Y993" s="144"/>
      <c r="Z993" s="144"/>
      <c r="AA993" s="144"/>
      <c r="AB993" s="144"/>
      <c r="AC993" s="144"/>
      <c r="AD993" s="144"/>
      <c r="AE993" s="144"/>
      <c r="AF993" s="144"/>
    </row>
    <row r="994" ht="16.5" customHeight="1">
      <c r="A994" s="144"/>
      <c r="B994" s="144"/>
      <c r="C994" s="144"/>
      <c r="D994" s="144"/>
      <c r="E994" s="144"/>
      <c r="F994" s="144"/>
      <c r="G994" s="144"/>
      <c r="H994" s="144"/>
      <c r="I994" s="496"/>
      <c r="J994" s="496"/>
      <c r="K994" s="496"/>
      <c r="L994" s="496"/>
      <c r="M994" s="144"/>
      <c r="N994" s="144"/>
      <c r="O994" s="144"/>
      <c r="P994" s="144"/>
      <c r="Q994" s="144"/>
      <c r="R994" s="144"/>
      <c r="S994" s="144"/>
      <c r="T994" s="144"/>
      <c r="U994" s="144"/>
      <c r="V994" s="144"/>
      <c r="W994" s="144"/>
      <c r="X994" s="144"/>
      <c r="Y994" s="144"/>
      <c r="Z994" s="144"/>
      <c r="AA994" s="144"/>
      <c r="AB994" s="144"/>
      <c r="AC994" s="144"/>
      <c r="AD994" s="144"/>
      <c r="AE994" s="144"/>
      <c r="AF994" s="144"/>
    </row>
    <row r="995" ht="16.5" customHeight="1">
      <c r="A995" s="144"/>
      <c r="B995" s="144"/>
      <c r="C995" s="144"/>
      <c r="D995" s="144"/>
      <c r="E995" s="144"/>
      <c r="F995" s="144"/>
      <c r="G995" s="144"/>
      <c r="H995" s="144"/>
      <c r="I995" s="496"/>
      <c r="J995" s="496"/>
      <c r="K995" s="496"/>
      <c r="L995" s="496"/>
      <c r="M995" s="144"/>
      <c r="N995" s="144"/>
      <c r="O995" s="144"/>
      <c r="P995" s="144"/>
      <c r="Q995" s="144"/>
      <c r="R995" s="144"/>
      <c r="S995" s="144"/>
      <c r="T995" s="144"/>
      <c r="U995" s="144"/>
      <c r="V995" s="144"/>
      <c r="W995" s="144"/>
      <c r="X995" s="144"/>
      <c r="Y995" s="144"/>
      <c r="Z995" s="144"/>
      <c r="AA995" s="144"/>
      <c r="AB995" s="144"/>
      <c r="AC995" s="144"/>
      <c r="AD995" s="144"/>
      <c r="AE995" s="144"/>
      <c r="AF995" s="144"/>
    </row>
    <row r="996" ht="16.5" customHeight="1">
      <c r="A996" s="144"/>
      <c r="B996" s="144"/>
      <c r="C996" s="144"/>
      <c r="D996" s="144"/>
      <c r="E996" s="144"/>
      <c r="F996" s="144"/>
      <c r="G996" s="144"/>
      <c r="H996" s="144"/>
      <c r="I996" s="496"/>
      <c r="J996" s="496"/>
      <c r="K996" s="496"/>
      <c r="L996" s="496"/>
      <c r="M996" s="144"/>
      <c r="N996" s="144"/>
      <c r="O996" s="144"/>
      <c r="P996" s="144"/>
      <c r="Q996" s="144"/>
      <c r="R996" s="144"/>
      <c r="S996" s="144"/>
      <c r="T996" s="144"/>
      <c r="U996" s="144"/>
      <c r="V996" s="144"/>
      <c r="W996" s="144"/>
      <c r="X996" s="144"/>
      <c r="Y996" s="144"/>
      <c r="Z996" s="144"/>
      <c r="AA996" s="144"/>
      <c r="AB996" s="144"/>
      <c r="AC996" s="144"/>
      <c r="AD996" s="144"/>
      <c r="AE996" s="144"/>
      <c r="AF996" s="144"/>
    </row>
    <row r="997" ht="16.5" customHeight="1">
      <c r="A997" s="144"/>
      <c r="B997" s="144"/>
      <c r="C997" s="144"/>
      <c r="D997" s="144"/>
      <c r="E997" s="144"/>
      <c r="F997" s="144"/>
      <c r="G997" s="144"/>
      <c r="H997" s="144"/>
      <c r="I997" s="496"/>
      <c r="J997" s="496"/>
      <c r="K997" s="496"/>
      <c r="L997" s="496"/>
      <c r="M997" s="144"/>
      <c r="N997" s="144"/>
      <c r="O997" s="144"/>
      <c r="P997" s="144"/>
      <c r="Q997" s="144"/>
      <c r="R997" s="144"/>
      <c r="S997" s="144"/>
      <c r="T997" s="144"/>
      <c r="U997" s="144"/>
      <c r="V997" s="144"/>
      <c r="W997" s="144"/>
      <c r="X997" s="144"/>
      <c r="Y997" s="144"/>
      <c r="Z997" s="144"/>
      <c r="AA997" s="144"/>
      <c r="AB997" s="144"/>
      <c r="AC997" s="144"/>
      <c r="AD997" s="144"/>
      <c r="AE997" s="144"/>
      <c r="AF997" s="144"/>
    </row>
    <row r="998" ht="16.5" customHeight="1">
      <c r="A998" s="144"/>
      <c r="B998" s="144"/>
      <c r="C998" s="144"/>
      <c r="D998" s="144"/>
      <c r="E998" s="144"/>
      <c r="F998" s="144"/>
      <c r="G998" s="144"/>
      <c r="H998" s="144"/>
      <c r="I998" s="496"/>
      <c r="J998" s="496"/>
      <c r="K998" s="496"/>
      <c r="L998" s="496"/>
      <c r="M998" s="144"/>
      <c r="N998" s="144"/>
      <c r="O998" s="144"/>
      <c r="P998" s="144"/>
      <c r="Q998" s="144"/>
      <c r="R998" s="144"/>
      <c r="S998" s="144"/>
      <c r="T998" s="144"/>
      <c r="U998" s="144"/>
      <c r="V998" s="144"/>
      <c r="W998" s="144"/>
      <c r="X998" s="144"/>
      <c r="Y998" s="144"/>
      <c r="Z998" s="144"/>
      <c r="AA998" s="144"/>
      <c r="AB998" s="144"/>
      <c r="AC998" s="144"/>
      <c r="AD998" s="144"/>
      <c r="AE998" s="144"/>
      <c r="AF998" s="144"/>
    </row>
    <row r="999" ht="16.5" customHeight="1">
      <c r="A999" s="144"/>
      <c r="B999" s="144"/>
      <c r="C999" s="144"/>
      <c r="D999" s="144"/>
      <c r="E999" s="144"/>
      <c r="F999" s="144"/>
      <c r="G999" s="144"/>
      <c r="H999" s="144"/>
      <c r="I999" s="496"/>
      <c r="J999" s="496"/>
      <c r="K999" s="496"/>
      <c r="L999" s="496"/>
      <c r="M999" s="144"/>
      <c r="N999" s="144"/>
      <c r="O999" s="144"/>
      <c r="P999" s="144"/>
      <c r="Q999" s="144"/>
      <c r="R999" s="144"/>
      <c r="S999" s="144"/>
      <c r="T999" s="144"/>
      <c r="U999" s="144"/>
      <c r="V999" s="144"/>
      <c r="W999" s="144"/>
      <c r="X999" s="144"/>
      <c r="Y999" s="144"/>
      <c r="Z999" s="144"/>
      <c r="AA999" s="144"/>
      <c r="AB999" s="144"/>
      <c r="AC999" s="144"/>
      <c r="AD999" s="144"/>
      <c r="AE999" s="144"/>
      <c r="AF999" s="144"/>
    </row>
    <row r="1000" ht="16.5" customHeight="1">
      <c r="A1000" s="144"/>
      <c r="B1000" s="144"/>
      <c r="C1000" s="144"/>
      <c r="D1000" s="144"/>
      <c r="E1000" s="144"/>
      <c r="F1000" s="144"/>
      <c r="G1000" s="144"/>
      <c r="H1000" s="144"/>
      <c r="I1000" s="496"/>
      <c r="J1000" s="496"/>
      <c r="K1000" s="496"/>
      <c r="L1000" s="496"/>
      <c r="M1000" s="144"/>
      <c r="N1000" s="144"/>
      <c r="O1000" s="144"/>
      <c r="P1000" s="144"/>
      <c r="Q1000" s="144"/>
      <c r="R1000" s="144"/>
      <c r="S1000" s="144"/>
      <c r="T1000" s="144"/>
      <c r="U1000" s="144"/>
      <c r="V1000" s="144"/>
      <c r="W1000" s="144"/>
      <c r="X1000" s="144"/>
      <c r="Y1000" s="144"/>
      <c r="Z1000" s="144"/>
      <c r="AA1000" s="144"/>
      <c r="AB1000" s="144"/>
      <c r="AC1000" s="144"/>
      <c r="AD1000" s="144"/>
      <c r="AE1000" s="144"/>
      <c r="AF1000" s="144"/>
    </row>
    <row r="1001" ht="16.5" customHeight="1">
      <c r="A1001" s="144"/>
      <c r="B1001" s="144"/>
      <c r="C1001" s="144"/>
      <c r="D1001" s="144"/>
      <c r="E1001" s="144"/>
      <c r="F1001" s="144"/>
      <c r="G1001" s="144"/>
      <c r="H1001" s="144"/>
      <c r="I1001" s="496"/>
      <c r="J1001" s="496"/>
      <c r="K1001" s="496"/>
      <c r="L1001" s="496"/>
      <c r="M1001" s="144"/>
      <c r="N1001" s="144"/>
      <c r="O1001" s="144"/>
      <c r="P1001" s="144"/>
      <c r="Q1001" s="144"/>
      <c r="R1001" s="144"/>
      <c r="S1001" s="144"/>
      <c r="T1001" s="144"/>
      <c r="U1001" s="144"/>
      <c r="V1001" s="144"/>
      <c r="W1001" s="144"/>
      <c r="X1001" s="144"/>
      <c r="Y1001" s="144"/>
      <c r="Z1001" s="144"/>
      <c r="AA1001" s="144"/>
      <c r="AB1001" s="144"/>
      <c r="AC1001" s="144"/>
      <c r="AD1001" s="144"/>
      <c r="AE1001" s="144"/>
      <c r="AF1001" s="144"/>
    </row>
    <row r="1002" ht="16.5" customHeight="1">
      <c r="A1002" s="144"/>
      <c r="B1002" s="144"/>
      <c r="C1002" s="144"/>
      <c r="D1002" s="144"/>
      <c r="E1002" s="144"/>
      <c r="F1002" s="144"/>
      <c r="G1002" s="144"/>
      <c r="H1002" s="144"/>
      <c r="I1002" s="496"/>
      <c r="J1002" s="496"/>
      <c r="K1002" s="496"/>
      <c r="L1002" s="496"/>
      <c r="M1002" s="144"/>
      <c r="N1002" s="144"/>
      <c r="O1002" s="144"/>
      <c r="P1002" s="144"/>
      <c r="Q1002" s="144"/>
      <c r="R1002" s="144"/>
      <c r="S1002" s="144"/>
      <c r="T1002" s="144"/>
      <c r="U1002" s="144"/>
      <c r="V1002" s="144"/>
      <c r="W1002" s="144"/>
      <c r="X1002" s="144"/>
      <c r="Y1002" s="144"/>
      <c r="Z1002" s="144"/>
      <c r="AA1002" s="144"/>
      <c r="AB1002" s="144"/>
      <c r="AC1002" s="144"/>
      <c r="AD1002" s="144"/>
      <c r="AE1002" s="144"/>
      <c r="AF1002" s="144"/>
    </row>
    <row r="1003" ht="16.5" customHeight="1">
      <c r="A1003" s="144"/>
      <c r="B1003" s="144"/>
      <c r="C1003" s="144"/>
      <c r="D1003" s="144"/>
      <c r="E1003" s="144"/>
      <c r="F1003" s="144"/>
      <c r="G1003" s="144"/>
      <c r="H1003" s="144"/>
      <c r="I1003" s="496"/>
      <c r="J1003" s="496"/>
      <c r="K1003" s="496"/>
      <c r="L1003" s="496"/>
      <c r="M1003" s="144"/>
      <c r="N1003" s="144"/>
      <c r="O1003" s="144"/>
      <c r="P1003" s="144"/>
      <c r="Q1003" s="144"/>
      <c r="R1003" s="144"/>
      <c r="S1003" s="144"/>
      <c r="T1003" s="144"/>
      <c r="U1003" s="144"/>
      <c r="V1003" s="144"/>
      <c r="W1003" s="144"/>
      <c r="X1003" s="144"/>
      <c r="Y1003" s="144"/>
      <c r="Z1003" s="144"/>
      <c r="AA1003" s="144"/>
      <c r="AB1003" s="144"/>
      <c r="AC1003" s="144"/>
      <c r="AD1003" s="144"/>
      <c r="AE1003" s="144"/>
      <c r="AF1003" s="144"/>
    </row>
    <row r="1004" ht="16.5" customHeight="1">
      <c r="A1004" s="144"/>
      <c r="B1004" s="144"/>
      <c r="C1004" s="144"/>
      <c r="D1004" s="144"/>
      <c r="E1004" s="144"/>
      <c r="F1004" s="144"/>
      <c r="G1004" s="144"/>
      <c r="H1004" s="144"/>
      <c r="I1004" s="496"/>
      <c r="J1004" s="496"/>
      <c r="K1004" s="496"/>
      <c r="L1004" s="496"/>
      <c r="M1004" s="144"/>
      <c r="N1004" s="144"/>
      <c r="O1004" s="144"/>
      <c r="P1004" s="144"/>
      <c r="Q1004" s="144"/>
      <c r="R1004" s="144"/>
      <c r="S1004" s="144"/>
      <c r="T1004" s="144"/>
      <c r="U1004" s="144"/>
      <c r="V1004" s="144"/>
      <c r="W1004" s="144"/>
      <c r="X1004" s="144"/>
      <c r="Y1004" s="144"/>
      <c r="Z1004" s="144"/>
      <c r="AA1004" s="144"/>
      <c r="AB1004" s="144"/>
      <c r="AC1004" s="144"/>
      <c r="AD1004" s="144"/>
      <c r="AE1004" s="144"/>
      <c r="AF1004" s="144"/>
    </row>
    <row r="1005" ht="16.5" customHeight="1">
      <c r="A1005" s="144"/>
      <c r="B1005" s="144"/>
      <c r="C1005" s="144"/>
      <c r="D1005" s="144"/>
      <c r="E1005" s="144"/>
      <c r="F1005" s="144"/>
      <c r="G1005" s="144"/>
      <c r="H1005" s="144"/>
      <c r="I1005" s="496"/>
      <c r="J1005" s="496"/>
      <c r="K1005" s="496"/>
      <c r="L1005" s="496"/>
      <c r="M1005" s="144"/>
      <c r="N1005" s="144"/>
      <c r="O1005" s="144"/>
      <c r="P1005" s="144"/>
      <c r="Q1005" s="144"/>
      <c r="R1005" s="144"/>
      <c r="S1005" s="144"/>
      <c r="T1005" s="144"/>
      <c r="U1005" s="144"/>
      <c r="V1005" s="144"/>
      <c r="W1005" s="144"/>
      <c r="X1005" s="144"/>
      <c r="Y1005" s="144"/>
      <c r="Z1005" s="144"/>
      <c r="AA1005" s="144"/>
      <c r="AB1005" s="144"/>
      <c r="AC1005" s="144"/>
      <c r="AD1005" s="144"/>
      <c r="AE1005" s="144"/>
      <c r="AF1005" s="144"/>
    </row>
    <row r="1006" ht="16.5" customHeight="1">
      <c r="A1006" s="144"/>
      <c r="B1006" s="144"/>
      <c r="C1006" s="144"/>
      <c r="D1006" s="144"/>
      <c r="E1006" s="144"/>
      <c r="F1006" s="144"/>
      <c r="G1006" s="144"/>
      <c r="H1006" s="144"/>
      <c r="I1006" s="496"/>
      <c r="J1006" s="496"/>
      <c r="K1006" s="496"/>
      <c r="L1006" s="496"/>
      <c r="M1006" s="144"/>
      <c r="N1006" s="144"/>
      <c r="O1006" s="144"/>
      <c r="P1006" s="144"/>
      <c r="Q1006" s="144"/>
      <c r="R1006" s="144"/>
      <c r="S1006" s="144"/>
      <c r="T1006" s="144"/>
      <c r="U1006" s="144"/>
      <c r="V1006" s="144"/>
      <c r="W1006" s="144"/>
      <c r="X1006" s="144"/>
      <c r="Y1006" s="144"/>
      <c r="Z1006" s="144"/>
      <c r="AA1006" s="144"/>
      <c r="AB1006" s="144"/>
      <c r="AC1006" s="144"/>
      <c r="AD1006" s="144"/>
      <c r="AE1006" s="144"/>
      <c r="AF1006" s="144"/>
    </row>
    <row r="1007" ht="16.5" customHeight="1">
      <c r="A1007" s="144"/>
      <c r="B1007" s="144"/>
      <c r="C1007" s="144"/>
      <c r="D1007" s="144"/>
      <c r="E1007" s="144"/>
      <c r="F1007" s="144"/>
      <c r="G1007" s="144"/>
      <c r="H1007" s="144"/>
      <c r="I1007" s="496"/>
      <c r="J1007" s="496"/>
      <c r="K1007" s="496"/>
      <c r="L1007" s="496"/>
      <c r="M1007" s="144"/>
      <c r="N1007" s="144"/>
      <c r="O1007" s="144"/>
      <c r="P1007" s="144"/>
      <c r="Q1007" s="144"/>
      <c r="R1007" s="144"/>
      <c r="S1007" s="144"/>
      <c r="T1007" s="144"/>
      <c r="U1007" s="144"/>
      <c r="V1007" s="144"/>
      <c r="W1007" s="144"/>
      <c r="X1007" s="144"/>
      <c r="Y1007" s="144"/>
      <c r="Z1007" s="144"/>
      <c r="AA1007" s="144"/>
      <c r="AB1007" s="144"/>
      <c r="AC1007" s="144"/>
      <c r="AD1007" s="144"/>
      <c r="AE1007" s="144"/>
      <c r="AF1007" s="144"/>
    </row>
    <row r="1008" ht="16.5" customHeight="1">
      <c r="A1008" s="144"/>
      <c r="B1008" s="144"/>
      <c r="C1008" s="144"/>
      <c r="D1008" s="144"/>
      <c r="E1008" s="144"/>
      <c r="F1008" s="144"/>
      <c r="G1008" s="144"/>
      <c r="H1008" s="144"/>
      <c r="I1008" s="496"/>
      <c r="J1008" s="496"/>
      <c r="K1008" s="496"/>
      <c r="L1008" s="496"/>
      <c r="M1008" s="144"/>
      <c r="N1008" s="144"/>
      <c r="O1008" s="144"/>
      <c r="P1008" s="144"/>
      <c r="Q1008" s="144"/>
      <c r="R1008" s="144"/>
      <c r="S1008" s="144"/>
      <c r="T1008" s="144"/>
      <c r="U1008" s="144"/>
      <c r="V1008" s="144"/>
      <c r="W1008" s="144"/>
      <c r="X1008" s="144"/>
      <c r="Y1008" s="144"/>
      <c r="Z1008" s="144"/>
      <c r="AA1008" s="144"/>
      <c r="AB1008" s="144"/>
      <c r="AC1008" s="144"/>
      <c r="AD1008" s="144"/>
      <c r="AE1008" s="144"/>
      <c r="AF1008" s="144"/>
    </row>
    <row r="1009" ht="16.5" customHeight="1">
      <c r="A1009" s="144"/>
      <c r="B1009" s="144"/>
      <c r="C1009" s="144"/>
      <c r="D1009" s="144"/>
      <c r="E1009" s="144"/>
      <c r="F1009" s="144"/>
      <c r="G1009" s="144"/>
      <c r="H1009" s="144"/>
      <c r="I1009" s="496"/>
      <c r="J1009" s="496"/>
      <c r="K1009" s="496"/>
      <c r="L1009" s="496"/>
      <c r="M1009" s="144"/>
      <c r="N1009" s="144"/>
      <c r="O1009" s="144"/>
      <c r="P1009" s="144"/>
      <c r="Q1009" s="144"/>
      <c r="R1009" s="144"/>
      <c r="S1009" s="144"/>
      <c r="T1009" s="144"/>
      <c r="U1009" s="144"/>
      <c r="V1009" s="144"/>
      <c r="W1009" s="144"/>
      <c r="X1009" s="144"/>
      <c r="Y1009" s="144"/>
      <c r="Z1009" s="144"/>
      <c r="AA1009" s="144"/>
      <c r="AB1009" s="144"/>
      <c r="AC1009" s="144"/>
      <c r="AD1009" s="144"/>
      <c r="AE1009" s="144"/>
      <c r="AF1009" s="144"/>
    </row>
    <row r="1010" ht="16.5" customHeight="1">
      <c r="A1010" s="144"/>
      <c r="B1010" s="144"/>
      <c r="C1010" s="144"/>
      <c r="D1010" s="144"/>
      <c r="E1010" s="144"/>
      <c r="F1010" s="144"/>
      <c r="G1010" s="144"/>
      <c r="H1010" s="144"/>
      <c r="I1010" s="496"/>
      <c r="J1010" s="496"/>
      <c r="K1010" s="496"/>
      <c r="L1010" s="496"/>
      <c r="M1010" s="144"/>
      <c r="N1010" s="144"/>
      <c r="O1010" s="144"/>
      <c r="P1010" s="144"/>
      <c r="Q1010" s="144"/>
      <c r="R1010" s="144"/>
      <c r="S1010" s="144"/>
      <c r="T1010" s="144"/>
      <c r="U1010" s="144"/>
      <c r="V1010" s="144"/>
      <c r="W1010" s="144"/>
      <c r="X1010" s="144"/>
      <c r="Y1010" s="144"/>
      <c r="Z1010" s="144"/>
      <c r="AA1010" s="144"/>
      <c r="AB1010" s="144"/>
      <c r="AC1010" s="144"/>
      <c r="AD1010" s="144"/>
      <c r="AE1010" s="144"/>
      <c r="AF1010" s="144"/>
    </row>
    <row r="1011" ht="16.5" customHeight="1">
      <c r="A1011" s="144"/>
      <c r="B1011" s="144"/>
      <c r="C1011" s="144"/>
      <c r="D1011" s="144"/>
      <c r="E1011" s="144"/>
      <c r="F1011" s="144"/>
      <c r="G1011" s="144"/>
      <c r="H1011" s="144"/>
      <c r="I1011" s="496"/>
      <c r="J1011" s="496"/>
      <c r="K1011" s="496"/>
      <c r="L1011" s="496"/>
      <c r="M1011" s="144"/>
      <c r="N1011" s="144"/>
      <c r="O1011" s="144"/>
      <c r="P1011" s="144"/>
      <c r="Q1011" s="144"/>
      <c r="R1011" s="144"/>
      <c r="S1011" s="144"/>
      <c r="T1011" s="144"/>
      <c r="U1011" s="144"/>
      <c r="V1011" s="144"/>
      <c r="W1011" s="144"/>
      <c r="X1011" s="144"/>
      <c r="Y1011" s="144"/>
      <c r="Z1011" s="144"/>
      <c r="AA1011" s="144"/>
      <c r="AB1011" s="144"/>
      <c r="AC1011" s="144"/>
      <c r="AD1011" s="144"/>
      <c r="AE1011" s="144"/>
      <c r="AF1011" s="144"/>
    </row>
    <row r="1012" ht="16.5" customHeight="1">
      <c r="A1012" s="144"/>
      <c r="B1012" s="144"/>
      <c r="C1012" s="144"/>
      <c r="D1012" s="144"/>
      <c r="E1012" s="144"/>
      <c r="F1012" s="144"/>
      <c r="G1012" s="144"/>
      <c r="H1012" s="144"/>
      <c r="I1012" s="496"/>
      <c r="J1012" s="496"/>
      <c r="K1012" s="496"/>
      <c r="L1012" s="496"/>
      <c r="M1012" s="144"/>
      <c r="N1012" s="144"/>
      <c r="O1012" s="144"/>
      <c r="P1012" s="144"/>
      <c r="Q1012" s="144"/>
      <c r="R1012" s="144"/>
      <c r="S1012" s="144"/>
      <c r="T1012" s="144"/>
      <c r="U1012" s="144"/>
      <c r="V1012" s="144"/>
      <c r="W1012" s="144"/>
      <c r="X1012" s="144"/>
      <c r="Y1012" s="144"/>
      <c r="Z1012" s="144"/>
      <c r="AA1012" s="144"/>
      <c r="AB1012" s="144"/>
      <c r="AC1012" s="144"/>
      <c r="AD1012" s="144"/>
      <c r="AE1012" s="144"/>
      <c r="AF1012" s="144"/>
    </row>
    <row r="1013" ht="16.5" customHeight="1">
      <c r="A1013" s="144"/>
      <c r="B1013" s="144"/>
      <c r="C1013" s="144"/>
      <c r="D1013" s="144"/>
      <c r="E1013" s="144"/>
      <c r="F1013" s="144"/>
      <c r="G1013" s="144"/>
      <c r="H1013" s="144"/>
      <c r="I1013" s="496"/>
      <c r="J1013" s="496"/>
      <c r="K1013" s="496"/>
      <c r="L1013" s="496"/>
      <c r="M1013" s="144"/>
      <c r="N1013" s="144"/>
      <c r="O1013" s="144"/>
      <c r="P1013" s="144"/>
      <c r="Q1013" s="144"/>
      <c r="R1013" s="144"/>
      <c r="S1013" s="144"/>
      <c r="T1013" s="144"/>
      <c r="U1013" s="144"/>
      <c r="V1013" s="144"/>
      <c r="W1013" s="144"/>
      <c r="X1013" s="144"/>
      <c r="Y1013" s="144"/>
      <c r="Z1013" s="144"/>
      <c r="AA1013" s="144"/>
      <c r="AB1013" s="144"/>
      <c r="AC1013" s="144"/>
      <c r="AD1013" s="144"/>
      <c r="AE1013" s="144"/>
      <c r="AF1013" s="144"/>
    </row>
  </sheetData>
  <mergeCells count="91">
    <mergeCell ref="C3:I3"/>
    <mergeCell ref="B7:B16"/>
    <mergeCell ref="C7:C16"/>
    <mergeCell ref="D7:D16"/>
    <mergeCell ref="B17:B28"/>
    <mergeCell ref="C17:C28"/>
    <mergeCell ref="D17:D28"/>
    <mergeCell ref="C91:C112"/>
    <mergeCell ref="D91:D112"/>
    <mergeCell ref="B29:B62"/>
    <mergeCell ref="C29:C62"/>
    <mergeCell ref="D29:D62"/>
    <mergeCell ref="B63:B90"/>
    <mergeCell ref="C63:C90"/>
    <mergeCell ref="D63:D90"/>
    <mergeCell ref="B91:B112"/>
    <mergeCell ref="C170:C185"/>
    <mergeCell ref="D170:D185"/>
    <mergeCell ref="B113:B141"/>
    <mergeCell ref="C113:C141"/>
    <mergeCell ref="D113:D141"/>
    <mergeCell ref="B142:B169"/>
    <mergeCell ref="C142:C169"/>
    <mergeCell ref="D142:D169"/>
    <mergeCell ref="B170:B185"/>
    <mergeCell ref="C223:C235"/>
    <mergeCell ref="D223:D235"/>
    <mergeCell ref="B186:B203"/>
    <mergeCell ref="C186:C203"/>
    <mergeCell ref="D186:D203"/>
    <mergeCell ref="B204:B222"/>
    <mergeCell ref="C204:C222"/>
    <mergeCell ref="D204:D222"/>
    <mergeCell ref="B223:B235"/>
    <mergeCell ref="C421:C440"/>
    <mergeCell ref="D421:D440"/>
    <mergeCell ref="B382:B401"/>
    <mergeCell ref="C382:C401"/>
    <mergeCell ref="D382:D401"/>
    <mergeCell ref="B402:B420"/>
    <mergeCell ref="C402:C420"/>
    <mergeCell ref="D402:D420"/>
    <mergeCell ref="B421:B440"/>
    <mergeCell ref="C484:C505"/>
    <mergeCell ref="D484:D505"/>
    <mergeCell ref="B441:B462"/>
    <mergeCell ref="C441:C462"/>
    <mergeCell ref="D441:D462"/>
    <mergeCell ref="B463:B483"/>
    <mergeCell ref="C463:C483"/>
    <mergeCell ref="D463:D483"/>
    <mergeCell ref="B484:B505"/>
    <mergeCell ref="C546:C565"/>
    <mergeCell ref="D546:D565"/>
    <mergeCell ref="B506:B525"/>
    <mergeCell ref="C506:C525"/>
    <mergeCell ref="D506:D525"/>
    <mergeCell ref="B526:B545"/>
    <mergeCell ref="C526:C545"/>
    <mergeCell ref="D526:D545"/>
    <mergeCell ref="B546:B565"/>
    <mergeCell ref="C265:C280"/>
    <mergeCell ref="D265:D280"/>
    <mergeCell ref="B236:B250"/>
    <mergeCell ref="C236:C250"/>
    <mergeCell ref="D236:D250"/>
    <mergeCell ref="B251:B264"/>
    <mergeCell ref="C251:C264"/>
    <mergeCell ref="D251:D264"/>
    <mergeCell ref="B265:B280"/>
    <mergeCell ref="C312:C328"/>
    <mergeCell ref="D312:D328"/>
    <mergeCell ref="B281:B296"/>
    <mergeCell ref="C281:C296"/>
    <mergeCell ref="D281:D296"/>
    <mergeCell ref="B297:B311"/>
    <mergeCell ref="C297:C311"/>
    <mergeCell ref="D297:D311"/>
    <mergeCell ref="B312:B328"/>
    <mergeCell ref="C364:C381"/>
    <mergeCell ref="D364:D381"/>
    <mergeCell ref="B329:B345"/>
    <mergeCell ref="C329:C345"/>
    <mergeCell ref="D329:D345"/>
    <mergeCell ref="B346:B363"/>
    <mergeCell ref="C346:C363"/>
    <mergeCell ref="D346:D363"/>
    <mergeCell ref="B364:B381"/>
    <mergeCell ref="B566:B578"/>
    <mergeCell ref="C566:C578"/>
    <mergeCell ref="D566:D578"/>
  </mergeCells>
  <dataValidations>
    <dataValidation type="list" allowBlank="1" sqref="H300:K300">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formula1>
    </dataValidation>
    <dataValidation type="list" allowBlank="1" sqref="H252:K252">
      <formula1>"CreateDoneAwayOrder,SelectUnallocatedGroup,EnterAllocatePreference,CheckAllocatedGroups,CheckUnallocatedGroups,GetDataAllocation,GetDataClosing,VerifyLongPositionsGrid,VerifyShortPositionsGrid,GetActivityData,VerifyActivity,SetGeneralPreferences"</formula1>
    </dataValidation>
    <dataValidation type="list" allowBlank="1" sqref="H450:K451">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formula1>
    </dataValidation>
    <dataValidation type="list" allowBlank="1" sqref="H483:K483">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VerifyActivity,CheckPortfolioManagement,Allocate,Copy of Data,Copy of Data 1"</formula1>
    </dataValidation>
    <dataValidation type="list" allowBlank="1" sqref="H465:K469 H471:K474">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VerifyActivity,CheckPortfolioManagement"</formula1>
    </dataValidation>
    <dataValidation type="list" allowBlank="1" sqref="H485:K485">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SetGeneralPreferences"</formula1>
    </dataValidation>
    <dataValidation type="list" allowBlank="1" sqref="F13 F28 F62 F90 F110 F185 F203 F222 F233 F248 F278 F294 F311 F328 F345 F363 F401 F420 F440 F462 F505 F525 F545 F565 F576">
      <formula1>"CheckDashboardPM,CheckPortfolioManagement,OpenPSTFromPM,ClosePM,FilterPM,GroupRowPM,CheckDashboardWithPM,RemoveFilterPM,CheckSummaryRowsPM,OpenPTTFromPM,,,,,,,,,,,,,,,,,,,,,,,,,,,,,,,,,,,,,,,,,,,,,,,,,,,,,,,,,,,,,,,,,,,,,,,,,,,,,,,,,,,,,,,,,,,,,,,,,,,,,,,"&amp;",,,,,,,,,,,,,,,,,,,,,,,,,,,,,,,,,,,,,,,,,,,,,,,,,,,,,,,,,,,,,,,,,,,,,,,,,,,,,,,,,,,,,,,,,,,,,,,,,,,,,,,,,,,,,,,,,,,,,,,,,,,,,,,,,,,,,,,,,,,,,,,,,,,,,,,,,,,,,,,,,,,,,,,,,,,,,,,,,,,,,,,,,,,,,,,,,,,,,,,,,,,,,,,,,,,,,,,,,,,,,,,,,,,,,,,,,,,,,,,,,,,,,,,,,,,,,,,"&amp;",,,,,,,,,,,,,,,,,,,,,,,,,,,,,,,,,,,,,,,,,,,,,,,,,,,,,,,,,,,,,,,,,,,,,,,,,,,,,,,,,,,,,,,,,,,,,,,,,,,,,,,,,,,,,,,,,,,,,,,,,,,,,,,,,"</formula1>
    </dataValidation>
    <dataValidation type="list" allowBlank="1" sqref="H424:K424">
      <formula1>"CreateDoneAwayOrder,GetDailyCash,UpdateDailyCash,TradePTT,CreateDoneAwayOrderPTT,SelectUnallocatedGroup,Unallocate,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formula1>
    </dataValidation>
    <dataValidation type="list" allowBlank="1" sqref="H239:K239">
      <formula1>"CreateDoneAwayOrder,SelectUnallocatedGroup,EnterAllocatePreference,CheckAllocatedGroups,CheckUnallocatedGroups,GetDataAllocation,GetDataClosing,VerifyLongPositionsGrid,CheckPortfolioManagement,GetActivityData,VerifyActivity,VerifyShortPositionsGrid,Copy o"&amp;"f Data,Copy of Data 1"</formula1>
    </dataValidation>
    <dataValidation type="list" allowBlank="1" sqref="H476:K477">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VerifyActivity,CheckPortfolioManagement,Allocate"</formula1>
    </dataValidation>
    <dataValidation type="list" allowBlank="1" sqref="H333:K333">
      <formula1>"CreateDoneAwayOrder,GetDailyCash,UpdateDailyCash,SelectUnallocatedGroup,EnterAllocatePreference,CheckAllocatedGroups,CheckUnallocatedGroups,GetDataAllocation,GetDataClosing,GetActivityData,VerifyActivity,CheckPortfolioManagement,VerifyLongPositionsGrid,Ve"&amp;"rifyShortPositionsGrid,Copy of Data,Copy of Data 1,Copy of Data 2,Allocate,Copy of Data 3,Copy of Data 4,Copy of Data 5,Copy of Data 6"</formula1>
    </dataValidation>
    <dataValidation type="list" allowBlank="1" sqref="H30:K42 H45:K46 H48:K49 H51:K53 H55:K62">
      <formula1>"CreateDoneAwayOrder,SetGeneralPreferences,AddCalculatedPreferenceToolbar,SetDefaultRuleCalculatedPref,SetAccountValueCalculatedPref,SetGeneralRuleCalculatedPref,UpdateGRAccountValues,SetGeneralRuleCalculatedPref1,UpdateGRAccountValues1,SetGeneralRuleCalcu"&amp;"latedPref2,UpdateGRAccountValues2,SetGeneralRuleCalculatedPref3,UpdateGRAccountValues3,SelectUnallocatedGroup,EnterAccountValuesToAllocate,SelectUnallocatedGroup1,CheckAllocatedGroups,EnterAllocatePreference,GetDataAllocation,CheckUnallocatedGroups,GetDat"&amp;"aClosing,VerifyLongPositionsGrid,GetActivityData,VerifyActivity,CheckPortfolioManagement,SelectUnallocatedGroup2,EnterAccountValuesToAllocate1,SetGeneralPreferences1"</formula1>
    </dataValidation>
    <dataValidation type="list" allowBlank="1" sqref="H305:K307">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1,Copy of Data 2,Copy of Data 3,Copy of Data 4,Copy of Data 5"</formula1>
    </dataValidation>
    <dataValidation type="list" allowBlank="1" sqref="F387 F407 F426 F447 F469 F490 F511 F531 F551">
      <formula1>"SetAccountFactor,EditMultiTT,SelectMultiTT,OpenMultiTTFromPTT,VerifyPTT,TradePTT,CreateOrderPTT,StageOrderUsingPTT,TradeUsingPTT,CalculatePTT,,,,,,,,,,,,,,,,,,,,,,,,,,,,,,,,,,,,,,,,,,,,,,,,,,,,,,,,,,,,,,,,,,,,,,,,,,,,,,,,,,,,,,,,,,,,,,,,,,,,,,,,,,,,,,,,,,"&amp;",,,,,,,,,,,,,,,,,,,,,,,,,,,,,,,,,,,,,,,,,,,,,,,,,,,,,,,,,,,,,,,,,,,,,,,,,,,,,,,,,,,,,,,,,,,,,,,,,,,,,,,,,,,,,,,,,,,,,,,,,,,,,,,,,,,,,,,,,,,,,,,,,,,,,,,,,,,,,,,,,,,,,,,,,,,,,,,,,,,,,,,,,,,,,,,,,,,,,,,,,,,,,,,,,,,,,,,,,,,,,,,,,,,,,,,,,,,,,,,,,,,,,,,,,,,,,,,"&amp;",,,,,,,,,,,,,,,,,,,,,,,,,,,,,,,,,,,,,,,,,,,,,,,,,,,,,,,,,,,,,,,,,,,,,,,,,,,,,,,,,,,,,,,,,,,,,,,,,,,,,,,,,,,,,,,,,,,,,,"</formula1>
    </dataValidation>
    <dataValidation type="list" allowBlank="1" sqref="H171:K171">
      <formula1>"CreateDoneAwayOrder,GetDataAllocation,GetDataClosing,CheckAllocatedGroups,VerifyLongPositionsGrid,VerifyShortPositionsGrid,CheckPortfolioManagement,GetActivityData,VerifyActivity,RunProrata,SelectUnallocatedGroup,EnterAllocatePreference,CheckUnallocatedGr"&amp;"oups,SetGeneralPreferences,l,CleanUp,Copy of Data"</formula1>
    </dataValidation>
    <dataValidation type="list" allowBlank="1" sqref="H304:K304">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1,Copy of Data 2,Copy of Data 3,Copy of Data 4"</formula1>
    </dataValidation>
    <dataValidation type="list" allowBlank="1" sqref="H351:K351 H369:K369">
      <formula1>"CreateDoneAwayOrder,GetDailyCash,UpdateDailyCash,SelectUnallocatedGroup,EnterAllocatePreference,CheckAllocatedGroups,CheckUnallocatedGroups,GetDataAllocation,GetDataClosing,VerifyLongPositionsGrid,VerifyShortPositionsGrid,GetActivityData,VerifyActivity,Ch"&amp;"eckPortfolioManagement,PricingInput"</formula1>
    </dataValidation>
    <dataValidation type="list" allowBlank="1" sqref="F140:F141 F168 F309 F379:F380 F399 F418:F419">
      <formula1>"CloseGeneralLedger,GetDataCash,EnterCashDividends,EnterNonTradingTransaction,VerifyCash,VerifyActivity,VerifyTradingTransaction,VerifyRevaluationData,GetTradingTransaction,GetActivityData,GetTradingTransaction,GetActivityData,GetRevaluationData,GetAccount"&amp;"Details,GetNonTradingTransaction,GetDividendData,VerifyNonTradingTransaction,VerifyDividend,GetOpeningBalanceData,GetAccountBalance,SelectNonTradingTransaction,SelectNonTradingTranItem,DeleteNonTradingTransaction,DeleteNonTradingTranItem,AddNonTradingTran"&amp;"saction,AddNonTradingTranItem,VerifyOpeningBalanceData,SelectOpeningBalanceTransaction,SelectOpeningBalanceTranItem,EditNonTradingTransaction,EditNonTradingTranItem,DeleteOpeningBalanceTransaction,DeleteOpeningBalanceTranItem,GetDayEndCash,RunRevaluation,"&amp;"CalculateDayEndCash,VerifyDayEndCash,GetCashTransaction,SelectCashTransaction,EditCashTransaction,DeleteCashTransaction,AddCashTransaction,AddOpeningBalanceTransaction,AddOpeningBalanceTranItem,VerifyAccountDetails,GetDailyCalculationsData,CalculateDailyC"&amp;"alculations,CloseGeneralLedger,EditOpeningBalanceTransaction,EditOpeningBalanceTranItem,VerifyDailyCalTransactions,,,,,,,,,,,,,,,,,,,,,,,,,,,,,,,,,,,,,,,,,,,,,,,,,,,,,,,,,,,,,,,,,,,,,,,,,,,,,,,,,,,,,,,,,,,,,,,,,,,,,,,,,,,,,,,,,,,,,,,,,,,,,,,,,,,,,,,,,,,,,"&amp;",,,,,,,,,,,,,,,,,,,,,,,,,,,,,,,,,,,,,,,,,,,,,,,,,,,,,,,,,,,,,,,,,,,,,,,,,,,,,,,,,,,,,,,,,,,,,,,,,,,,,,,,,,,,,,,,,,,,,,,,,,,,,,,,,,,,,,,,,,,,,,,,,,,,,,,,,,,,,,,,,,,,,,,,,,,,,,,,,,,,,,,,,,,,,,,,,,,,,,,,,,,,,,,,,,,,,,,,,,,,,,,,,,,,,,,,,,,,,,,,,,,,,,,,,,,,,,,"&amp;",,,,,,,,,,,,,,,,,,,,,,,,,,,,,,,,,,,,,,,,,,,,,,,,,,"</formula1>
    </dataValidation>
    <dataValidation type="list" allowBlank="1" sqref="H442:K442">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SetGeneralPreferences"</formula1>
    </dataValidation>
    <dataValidation type="list" allowBlank="1" sqref="H253:K253">
      <formula1>"CreateDoneAwayOrder,SelectUnallocatedGroup,EnterAllocatePreference,CheckAllocatedGroups,CheckUnallocatedGroups,GetDataAllocation,GetDataClosing,VerifyLongPositionsGrid,VerifyShortPositionsGrid,GetActivityData,VerifyActivity,Copy of Data"</formula1>
    </dataValidation>
    <dataValidation type="list" allowBlank="1" sqref="H330:K330">
      <formula1>"CreateDoneAwayOrder,GetDailyCash,UpdateDailyCash,SelectUnallocatedGroup,EnterAllocatePreference,CheckAllocatedGroups,CheckUnallocatedGroups,GetDataAllocation,GetDataClosing,GetActivityData,VerifyActivity,CheckPortfolioManagement,VerifyLongPositionsGrid,Ve"&amp;"rifyShortPositionsGrid,SetGeneralPreferences"</formula1>
    </dataValidation>
    <dataValidation type="list" allowBlank="1" sqref="F237 F252 F266 F282 F298 F313 F330 F347 F365 F442 F464 F485">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UngroupTrades,DeleteGroup,CloseOrder,Unallocate,"&amp;"CloseAllocation,UpdateGRAccountValue,UpdateGRStrategyValue,UpdateGRDefaultRule,UpdateGeneralRulePref,ModifyGRPreferenceValues,AddMFPreferences,AddMFPreferenceToolbar,DeleteMFPreferences,DeleteMFPreferenceToolbar,RenameMFPreferences,SaveCloseMFPreference,S"&amp;"etMFPrefAccountValues,ModifyMFPrefGeneralRuleValues,SetMFPrefStrategyValues,SetMFPrefGeneralRule,SetMFPrefFundDistribution,SetMFPreferencesDefaultRule,SetMFPrefFundDefaultRule,ClearPrefetchFilters,ExpandCollapseAllUnallocated,ExpandCollapseAllAllocated,Ge"&amp;"nerateCashTransaction,SaveAllocation,UnallocateWithOutSave,EditUnallocatedGrid,EditAllocatedGrid,SaveLayoutAllocatedGrid,SaveLayoutUnallocatedGrid,SaveLayoutAllocationUI,ClearFiltersAllocatedGrid,ClearFiltersUnallocatedGrid,VerifyLayoutAllocatedGrid,Verif"&amp;"yLayoutUnallocatedGrid,CleanUp,CheckAllocatedTaxlots,,,,,,,,,,,,,,,,,,,,,,,,,,,,,,,,,,,,,,,,,,,,,,,,,,,,,,,,,,,,,,,,,,,,,,,,,,,,,,,,,,,,,,,,,,,,,,,,,,,,,,,,,,,,,,,,,,,,,,,,,,,,,,,,,,,,,,,,,,,,,,,,,,,,,,,,,,,,,,,,,,,,,,,,,,,,,,,,,,,,,,,,,,,,,,,,,,,,,,,,,,,"&amp;",,,,,,,,,,,,,,,,,,,,,,,,,,,,,,,,,,,,,,,,,,,,,,,,,,,,,,,,,,,,,,,,,,,,,,,,,,,,,,,,,,,,,,,,,,,,,,,,,,,,,,,,,,,,,,,,,,,,,,,,,,,,,,,,,,,,,,,,,,,,,,,,,,,,,,,,,,,,,,,,,,,,,,,,,,,,,,,,,,,,,,,,,,,,,,,,"</formula1>
    </dataValidation>
    <dataValidation type="list" allowBlank="1" sqref="H238:K238">
      <formula1>"CreateDoneAwayOrder,SelectUnallocatedGroup,EnterAllocatePreference,CheckAllocatedGroups,CheckUnallocatedGroups,GetDataAllocation,GetDataClosing,VerifyLongPositionsGrid,CheckPortfolioManagement,GetActivityData,VerifyActivity,VerifyShortPositionsGrid,Copy o"&amp;"f Data"</formula1>
    </dataValidation>
    <dataValidation type="list" allowBlank="1" sqref="H237:K237">
      <formula1>"CreateDoneAwayOrder,SelectUnallocatedGroup,EnterAllocatePreference,CheckAllocatedGroups,CheckUnallocatedGroups,GetDataAllocation,GetDataClosing,VerifyLongPositionsGrid,CheckPortfolioManagement,GetActivityData,VerifyActivity,VerifyShortPositionsGrid,SetGen"&amp;"eralPreferences"</formula1>
    </dataValidation>
    <dataValidation type="list" allowBlank="1" sqref="H486:K486">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formula1>
    </dataValidation>
    <dataValidation type="list" allowBlank="1" sqref="F31:F57 F65:F80 F82:F85 F93:F100 F102:F103 F105:F106 F114 F143 F147 F156:F157 F163 F170 F172:F179 F188:F191 F193 F195:F198 F205:F209 F211:F216 F228 F242 F257 F272 F288 F394 F476 F568 F570:F573">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SaveAllocation,UnallocateWithOutSave,,,,,,,,,,,,,,,,,,,,,,,,,,,,,,,,,,,,,,,,,,,,,,,,,,,,,,,,,,,,,,,,,,,,,,,,,,,,,,,,,,,,,,,,,,,,,,,,,,,,,,,,,,,,,,,,,,,,,,,,,,,,,,,,,,,,,,,,,,,,,,,,,"&amp;",,,,,,,,,,,,,,,,,,,,,,,,,,,,,,,,,,,,,,,,,,,,,,,,,,,,,,,,,,,,,,,,,,,,,,,,,,,,,,,,,,,,,,,,,,,,,,,,,,,,,,,,,,,,,,,,,,,,,,,,,,,,,,,,,,,,,,,,,,,,,,,,,,,,,,,,,,,,,,,,,,,,,,,,,,,,,,,,,,,,,,,,,,,,,,,,,,,,,,,,,,,,,,,,,,,,,,,,,,,,,,,,,,,,,,,,,,,,,,,,,,,,,,,,,"</formula1>
    </dataValidation>
    <dataValidation type="list" allowBlank="1" sqref="E6:E196 E202:E214 E221:E1013">
      <formula1>'_Modules'!$A$4:$A1013</formula1>
    </dataValidation>
    <dataValidation type="list" allowBlank="1" sqref="H416:K416">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8,Copy of Da"&amp;"ta 9,Copy of Data 10,Copy of Data 11,Copy of Data 11_conflict1284206099,Copy of Data 12,Copy of Data 13,Allocate,Copy of Data 14,Copy of Data 15"</formula1>
    </dataValidation>
    <dataValidation type="list" allowBlank="1" sqref="H114:K114">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Copy of Data,Copy of Data_conflict1949723426"</formula1>
    </dataValidation>
    <dataValidation type="list" allowBlank="1" sqref="H507:K507">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formula1>
    </dataValidation>
    <dataValidation type="list" allowBlank="1" sqref="H529:K529">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CheckPortfolioManagement,Copy of Data,Copy of Data 1,Copy of Data 2"</formula1>
    </dataValidation>
    <dataValidation type="list" allowBlank="1" sqref="H425:K425">
      <formula1>"CreateDoneAwayOrder,GetDailyCash,UpdateDailyCash,TradePTT,CreateDoneAwayOrderPTT,SelectUnallocatedGroup,Unallocate,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3,Copy of Data 4"</formula1>
    </dataValidation>
    <dataValidation type="list" allowBlank="1" sqref="H386:K386">
      <formula1>"CreateDoneAwayOrder,GetDailyCash,UpdateDailyCash,TradePTT,CreateDoneAwayOrderPTT,Unallocate,SelectUnallocatedGroup,EnterAllocatePreference,CheckAllocatedGroups,CheckUnallocatedGroups,PricingInput,GetDataAllocation,GetDataClosing,VerifyLongPositionsGrid,Ge"&amp;"tActivityData,VerifyActivity,CheckPortfolioManagement,SetGeneralPreferences,Copy of Data,Copy of Data 1,Copy of Data 2,Copy of Data 3"</formula1>
    </dataValidation>
    <dataValidation type="list" allowBlank="1" sqref="H274:K280">
      <formula1>"CreateDoneAwayOrder,SelectUnallocatedGroup,EnterAllocatePreference,EnterAccountValuesToAllocate,CheckAllocatedGroups,CheckUnallocatedGroups,GetDataAllocation,GetDataClosing,VerifyLongPositionsGrid,GetActivityData,VerifyShortPositionsGrid,VerifyActivity,Ch"&amp;"eckPortfolioManagement,Copy of Data,Copy of Data 1,Copy of Data 2,Copy of Data 3,Copy of Data 4,Copy of Data 5"</formula1>
    </dataValidation>
    <dataValidation type="list" allowBlank="1" sqref="H115:K115">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Copy of Data,Copy of Data_conflict1949723426,Copy of Data 1"</formula1>
    </dataValidation>
    <dataValidation type="list" allowBlank="1" sqref="H192:K193">
      <formula1>"AddCalculatedPreferences,SetDefaultRuleCalculatedPref,CreateDoneAwayOrder,SelectUnallocatedGroup,EnterAllocatePreference,GetDataAllocation,CheckUnallocatedGroups,CheckAllocatedGroups,GetDataClosing,VerifyLongPositionsGrid,GetActivityData,VerifyActivity,Ch"&amp;"eckPortfolioManagement,SetGeneralPreferences,Copy of Data,Copy of Data_conflict338176396,set,Copy of Data 1,Copy of Data 2,Copy of Data 3,SaveCalculatedPreferences,Copy of Data 4,CloseCalculatedPreferences,Copy of Data 5,Copy of Data 6"</formula1>
    </dataValidation>
    <dataValidation type="list" allowBlank="1" sqref="H510:K510">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1_conflict1556460951,Copy of Data 2,Copy of Data 3,Copy of Data 4"</formula1>
    </dataValidation>
    <dataValidation type="list" allowBlank="1" sqref="H389:K389">
      <formula1>"CreateDoneAwayOrder,GetDailyCash,UpdateDailyCash,TradePTT,CreateDoneAwayOrderPTT,Unallocate,SelectUnallocatedGroup,EnterAllocatePreference,CheckAllocatedGroups,CheckUnallocatedGroups,PricingInput,GetDataAllocation,GetDataClosing,VerifyLongPositionsGrid,Ge"&amp;"tActivityData,VerifyActivity,CheckPortfolioManagement,SetGeneralPreferences"</formula1>
    </dataValidation>
    <dataValidation type="list" allowBlank="1" sqref="H23:K28">
      <formula1>"SetGeneralPreferences,AddCalculatedPreferences,SetAccountValueCalculatedPref,CreateTransaction,CheckAllocatedGroups,GetDataClosing,VerifyLongPositionsGrid,GetActivityData,VerifyActivity,CheckPortfolioManagement,Copy of Data,Copy of Data 1,Copy of Data 2"</formula1>
    </dataValidation>
    <dataValidation type="list" allowBlank="1" sqref="H257:K257">
      <formula1>"CreateDoneAwayOrder,SelectUnallocatedGroup,EnterAllocatePreference,CheckAllocatedGroups,CheckUnallocatedGroups,GetDataAllocation,GetDataClosing,VerifyLongPositionsGrid,VerifyShortPositionsGrid,GetActivityData,VerifyActivity,Copy of Data,Copy of Data 1,Cop"&amp;"y of Data 2,Copy of Data 3"</formula1>
    </dataValidation>
    <dataValidation type="list" allowBlank="1" sqref="H448:K448 H452:K452 H454:K462">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3,Copy of Data 4"</formula1>
    </dataValidation>
    <dataValidation type="list" allowBlank="1" sqref="H68:K68">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opy of Data,Copy of Data 1,Copy of Data 2,Copy of Data 3"</formula1>
    </dataValidation>
    <dataValidation type="list" allowBlank="1" sqref="H282:K282">
      <formula1>"CreateDoneAwayOrder,SelectUnallocatedGroup,EnterAllocatePreference,EnterAccountValuesToAllocate,CheckAllocatedGroups,CheckUnallocatedGroups,GetDataAllocation,GetDataClosing,VerifyLongPositionsGrid,VerifyShortPositionsGrid,CheckPortfolioManagement,GetActiv"&amp;"ityData,VerifyActivity,SetGeneralPreferences"</formula1>
    </dataValidation>
    <dataValidation type="list" allowBlank="1" sqref="H571:K571">
      <formula1>"CreateDoneAwayOrder,SelectUnallocatedGroup,EnterAllocatePreference,GetDataAllocation,CheckAllocatedGroups,CheckUnallocatedGroups,GetDataClosing,VerifyShortPositionsGrid,CheckPortfolioManagement,GetActivityData,VerifyActivity,Copy of Data,Copy of Data 1,En"&amp;"terAllocatePerference"</formula1>
    </dataValidation>
    <dataValidation type="list" allowBlank="1" sqref="H266:K266">
      <formula1>"CreateDoneAwayOrder,SelectUnallocatedGroup,EnterAllocatePreference,EnterAccountValuesToAllocate,CheckAllocatedGroups,CheckUnallocatedGroups,GetDataAllocation,GetDataClosing,VerifyLongPositionsGrid,GetActivityData,VerifyShortPositionsGrid,VerifyActivity,Ch"&amp;"eckPortfolioManagement,SetGeneralPreferences"</formula1>
    </dataValidation>
    <dataValidation type="list" allowBlank="1" sqref="H427:K427 H430:K430 H432:K440">
      <formula1>"CreateDoneAwayOrder,GetDailyCash,UpdateDailyCash,TradePTT,CreateDoneAwayOrderPTT,SelectUnallocatedGroup,Unallocate,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3,Copy of Data 4,Copy of Data 5,Copy of Data 6,SelectAllocatedGroup,Copy of Data 7"</formula1>
    </dataValidation>
    <dataValidation type="list" allowBlank="1" sqref="H464:K464">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VerifyActivity,CheckPortfolioManagement,SetGeneralPreferences"</formula1>
    </dataValidation>
    <dataValidation type="list" allowBlank="1" sqref="H547:K547">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opy of Data"</formula1>
    </dataValidation>
    <dataValidation type="list" allowBlank="1" sqref="H144:K144">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Copy of Data,Copy of Data_conflict2123007354,Copy of Data 1"</formula1>
    </dataValidation>
    <dataValidation type="list" allowBlank="1" sqref="F8:F10 F16:F21 F23">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F81 F104 F115:F129 F133:F135 F142 F144:F146 F148:F149 F162 F164 F187 F194 F225:F226 F229:F230 F239:F240 F243:F244 F254:F255 F258:F259 F268:F270 F273:F274 F284:F287 F289:F290 F300:F302 F304:F305 F317:F322 F334:F339 F352:F357 F370:F375 F382 F389:F393 F395:F396 F402 F409:F415 F428:F434 F449:F456 F471:F475 F477 F492:F495 F497:F499 F513:F519 F533:F539 F553:F559 F569">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550:K550 H553:K555 H557:K565">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opy of Data,Copy of Data 1,Copy of Data 2"</formula1>
    </dataValidation>
    <dataValidation type="list" allowBlank="1" sqref="H285:K285">
      <formula1>"CreateDoneAwayOrder,SelectUnallocatedGroup,EnterAllocatePreference,EnterAccountValuesToAllocate,CheckAllocatedGroups,CheckUnallocatedGroups,GetDataAllocation,GetDataClosing,VerifyLongPositionsGrid,VerifyShortPositionsGrid,CheckPortfolioManagement,GetActiv"&amp;"ityData,VerifyActivity,Copy of Data,Copy of Data 1,Copy of Data 2"</formula1>
    </dataValidation>
    <dataValidation type="list" allowBlank="1" sqref="F580">
      <formula1>"RestartServer,UpdateServerConfig,,,,,,,,,,,,,,,,,,,,,,,,,,,,,,,,,,,,,,,,,,,,,,,,,,,,,,,,,,,,,,,,,,,,,,,,,,,,,,,,,,,,,,,,,,,,,,,,,,,,,,,,,,,,,,,,,,,,,,,,,,,,,,,,,,,,,,,,,,,,,,,,,,,,,,,,,,,,,,,,,,,,,,,,,,,,,,,,,,,,,,,,,,,,,,,,,,,,,,,,,,,,,,,,,,,,,,,,,,,,,,,"&amp;",,,,,,,,,,,,,,,,,,,,,,,,,,,,,,,,,,,,,,,,,,,,,,,,,,,,,,,,,,,,,,,,,,,,,,,,,,,,,,,,,,,,,,,,,,,,,,,,,,,,,,,,,,,,,,,,,,,,,,,,,,,,,,,,,,,,,,,,,,,,,,,,,,,,,,,,,,,,,,,,,,,,,,,,,,,,,,,,,,,,,,,,,,,,,,,,,,,,,,,,,,,,,,,,,,,,,,,,,,,,,,,,,,,,,,,,,,,,,,,,,,,,,,,,,,,,,,,"&amp;",,,,,,,,,,,,,,,,,"</formula1>
    </dataValidation>
    <dataValidation type="list" allowBlank="1" sqref="H283:K283">
      <formula1>"CreateDoneAwayOrder,SelectUnallocatedGroup,EnterAllocatePreference,EnterAccountValuesToAllocate,CheckAllocatedGroups,CheckUnallocatedGroups,GetDataAllocation,GetDataClosing,VerifyLongPositionsGrid,VerifyShortPositionsGrid,CheckPortfolioManagement,GetActiv"&amp;"ityData,VerifyActivity,Copy of Data"</formula1>
    </dataValidation>
    <dataValidation type="list" allowBlank="1" sqref="H69:K69 H73:K74">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opy of Data,Copy of Data 1,Copy of Data 2,Copy of Data 3,Copy of Data 4"</formula1>
    </dataValidation>
    <dataValidation type="list" allowBlank="1" sqref="H116:K116">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Copy of Data"</formula1>
    </dataValidation>
    <dataValidation type="list" allowBlank="1" sqref="H404:K404">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formula1>
    </dataValidation>
    <dataValidation type="list" allowBlank="1" sqref="H530:K530">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CheckPortfolioManagement,Copy of Data,Copy of Data 1,Copy of Data 2,Copy of Data 3"</formula1>
    </dataValidation>
    <dataValidation type="list" allowBlank="1" sqref="H225:K225">
      <formula1>"CreateDoneAwayOrder,SelectUnallocatedGroup,EnterAllocatePreference,EnterAccountValuesToAllocate,CheckAllocatedGroups,CheckUnallocatedGroups,GetDataAllocation,GetDataClosing,VerifyLongPositionsGrid,CheckPortfolioManagement,GetActivityData,VerifyActivity,Co"&amp;"py of Data,Copy of Data 1,Copy of Data 2"</formula1>
    </dataValidation>
    <dataValidation type="list" allowBlank="1" sqref="H284:K284">
      <formula1>"CreateDoneAwayOrder,SelectUnallocatedGroup,EnterAllocatePreference,EnterAccountValuesToAllocate,CheckAllocatedGroups,CheckUnallocatedGroups,GetDataAllocation,GetDataClosing,VerifyLongPositionsGrid,VerifyShortPositionsGrid,CheckPortfolioManagement,GetActiv"&amp;"ityData,VerifyActivity,Copy of Data,Copy of Data 1"</formula1>
    </dataValidation>
    <dataValidation type="list" allowBlank="1" sqref="H493:K493">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3,Copy of Data 4,Copy of Data 5,Copy of Data 6"</formula1>
    </dataValidation>
    <dataValidation type="list" allowBlank="1" sqref="H413:K415">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8,Copy of Da"&amp;"ta 9,Copy of Data 10,Copy of Data 11,Copy of Data 11_conflict1284206099,Copy of Data 12,Copy of Data 13,Allocate,Copy of Data 14"</formula1>
    </dataValidation>
    <dataValidation type="list" allowBlank="1" sqref="H403:K403">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formula1>
    </dataValidation>
    <dataValidation type="list" allowBlank="1" sqref="H240:K240 H242:K242">
      <formula1>"CreateDoneAwayOrder,SelectUnallocatedGroup,EnterAllocatePreference,CheckAllocatedGroups,CheckUnallocatedGroups,GetDataAllocation,GetDataClosing,VerifyLongPositionsGrid,CheckPortfolioManagement,GetActivityData,VerifyActivity,VerifyShortPositionsGrid,Copy o"&amp;"f Data,Copy of Data 1,Copy of Data 2"</formula1>
    </dataValidation>
    <dataValidation type="list" allowBlank="1" sqref="H428:K428">
      <formula1>"CreateDoneAwayOrder,GetDailyCash,UpdateDailyCash,TradePTT,CreateDoneAwayOrderPTT,SelectUnallocatedGroup,Unallocate,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3,Copy of Data 4,Copy of Data 5,Copy of Data 6"</formula1>
    </dataValidation>
    <dataValidation type="list" allowBlank="1" sqref="H6:K6">
      <formula1>"UpdateServerConfig,RestartExpnl"</formula1>
    </dataValidation>
    <dataValidation type="list" allowBlank="1" sqref="H331:K331">
      <formula1>"CreateDoneAwayOrder,GetDailyCash,UpdateDailyCash,SelectUnallocatedGroup,EnterAllocatePreference,CheckAllocatedGroups,CheckUnallocatedGroups,GetDataAllocation,GetDataClosing,GetActivityData,VerifyActivity,CheckPortfolioManagement,VerifyLongPositionsGrid,Ve"&amp;"rifyShortPositionsGrid,Copy of Data,Copy of Data 1,Copy of Data 2,Allocate,Copy of Data 3,Copy of Data 4"</formula1>
    </dataValidation>
    <dataValidation type="list" allowBlank="1" sqref="H402:K402">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formula1>
    </dataValidation>
    <dataValidation type="list" allowBlank="1" sqref="H426:K426">
      <formula1>"CreateDoneAwayOrder,GetDailyCash,UpdateDailyCash,TradePTT,CreateDoneAwayOrderPTT,SelectUnallocatedGroup,Unallocate,EnterAllocatePreference,EnterAccountValuesToAllocate,CheckAllocatedGroups,CheckUnallocatedGroups,PricingInput,GetDataAllocation,GetDataClosi"&amp;"ng,VerifyLongPositionsGrid,VerifyShortPositionsGrid,GetActivityData,VerifyActivity,CheckPortfolioManagement,Copy of Data,Copy of Data 1,Copy of Data 2,Copy of Data 3,Copy of Data 4,Copy of Data 5"</formula1>
    </dataValidation>
    <dataValidation type="list" allowBlank="1" sqref="H270:K270 H272:K272">
      <formula1>"CreateDoneAwayOrder,SelectUnallocatedGroup,EnterAllocatePreference,EnterAccountValuesToAllocate,CheckAllocatedGroups,CheckUnallocatedGroups,GetDataAllocation,GetDataClosing,VerifyLongPositionsGrid,GetActivityData,VerifyShortPositionsGrid,VerifyActivity,Ch"&amp;"eckPortfolioManagement,Copy of Data,Copy of Data 1,Copy of Data 2,Copy of Data 3"</formula1>
    </dataValidation>
    <dataValidation type="list" allowBlank="1" sqref="H298:K298">
      <formula1>"CreateDoneAwayOrder,SelectUnallocatedGroup,EnterAllocatePreference,EnterAccountValuesToAllocate,CheckAllocatedGroups,GetDataClosing,VerifyLongPositionsGrid,GetActivityData,VerifyActivity,GetDataAllocation,VerifyShortPositionsGrid,CheckPortfolioManagement,"&amp;"SetGeneralPreferences"</formula1>
    </dataValidation>
    <dataValidation type="list" allowBlank="1" sqref="H146:K157 H159:K159">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formula1>
    </dataValidation>
    <dataValidation type="list" allowBlank="1" sqref="H445:K445">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Copy of Data,Copy of Data 1"</formula1>
    </dataValidation>
    <dataValidation type="list" allowBlank="1" sqref="H572:K579">
      <formula1>"CreateDoneAwayOrder,SelectUnallocatedGroup,EnterAllocatePreference,GetDataAllocation,CheckAllocatedGroups,CheckUnallocatedGroups,GetDataClosing,VerifyShortPositionsGrid,CheckPortfolioManagement,GetActivityData,VerifyActivity,Copy of Data,Copy of Data 1,En"&amp;"terAllocatePerference,Copy of Data 2,Copy of Data 3"</formula1>
    </dataValidation>
    <dataValidation type="list" allowBlank="1" sqref="H7:K7">
      <formula1>"CreateTransaction,GetDataAllocation,CheckUnallocatedGroups,CheckAllocatedGroups,GetDataClosing,VerifyLongPositionsGrid,CheckPortfolioManagement,GetActivityData,VerifyActivity,Copy of Data,Copy of Data_conflict1317484394"</formula1>
    </dataValidation>
    <dataValidation type="list" allowBlank="1" sqref="H387:K387 H390:K390">
      <formula1>"CreateDoneAwayOrder,GetDailyCash,UpdateDailyCash,TradePTT,CreateDoneAwayOrderPTT,Unallocate,SelectUnallocatedGroup,EnterAllocatePreference,CheckAllocatedGroups,CheckUnallocatedGroups,PricingInput,GetDataAllocation,GetDataClosing,VerifyLongPositionsGrid,Ge"&amp;"tActivityData,VerifyActivity,CheckPortfolioManagement,SetGeneralPreferences,Copy of Data,Copy of Data 1,Copy of Data 2,Copy of Data 3,Copy of Data 4"</formula1>
    </dataValidation>
    <dataValidation type="list" allowBlank="1" sqref="H93:K94">
      <formula1>"CreateDoneAwayOrder,SetGeneralPreferences,SelectUnallocatedGroup,EnterAccountValuesToAllocate,EnterAllocatePreference,CheckAllocatedGroups,GetDataClosing,VerifyLongPositionsGrid,VerifyShortPositionsGrid,CheckPortfolioManagement,GetActivityData,VerifyActiv"&amp;"ity,SelectUnallocatedGroup1,EnterAccountValuesToAllocate1,SetGeneralPreferences1,SelectUnallocatedGroup2,CheckUnallocatedGroups,EnterAccountValuesToAllocate2,Copy of Data"</formula1>
    </dataValidation>
    <dataValidation type="list" allowBlank="1" sqref="H446:K447 H449:K449">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Copy of Data,Copy of Data 1,Copy of Data 2"</formula1>
    </dataValidation>
    <dataValidation type="list" allowBlank="1" sqref="H487:K487">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formula1>
    </dataValidation>
    <dataValidation type="list" allowBlank="1" sqref="H119:K119 H130:K141">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Copy of Data,Copy of Data 1,Copy of Data 2,Copy of Data 3"</formula1>
    </dataValidation>
    <dataValidation type="list" allowBlank="1" sqref="H254:K254">
      <formula1>"CreateDoneAwayOrder,SelectUnallocatedGroup,EnterAllocatePreference,CheckAllocatedGroups,CheckUnallocatedGroups,GetDataAllocation,GetDataClosing,VerifyLongPositionsGrid,VerifyShortPositionsGrid,GetActivityData,VerifyActivity,Copy of Data,Copy of Data 1"</formula1>
    </dataValidation>
    <dataValidation type="list" allowBlank="1" sqref="H405:K405">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formula1>
    </dataValidation>
    <dataValidation type="list" allowBlank="1" sqref="H309:K311">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1,Copy of Data 2,Copy of Data 3,Copy of Data 4,Copy of Data 5,Copy of Data 6,Copy of Data 7"</formula1>
    </dataValidation>
    <dataValidation type="list" allowBlank="1" sqref="H470:K470">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VerifyActivity,CheckPortfolioManagement,Allocate,Copy of Data,Copy of Data 1,Copy of Data 2"</formula1>
    </dataValidation>
    <dataValidation type="list" allowBlank="1" sqref="H352:K353 H355:K362 H370:K371 H373:K381">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Data,Copy of Data 1,Copy of Data 2,Copy of Data 3"</formula1>
    </dataValidation>
    <dataValidation type="list" allowBlank="1" sqref="H567:K568">
      <formula1>"CreateDoneAwayOrder,SelectUnallocatedGroup,EnterAllocatePreference,GetDataAllocation,CheckAllocatedGroups,CheckUnallocatedGroups,GetDataClosing,VerifyShortPositionsGrid,CheckPortfolioManagement,GetActivityData,VerifyActivity,Copy of Data"</formula1>
    </dataValidation>
    <dataValidation type="list" allowBlank="1" sqref="H528:K528">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CheckPortfolioManagement,Copy of Data,Copy of Data 1"</formula1>
    </dataValidation>
    <dataValidation type="list" allowBlank="1" sqref="F29 F63 F91 F113 F186 F204 F223 F236 F251 F265 F281 F297 F312 F329 F346 F364 F421 F441 F463 F484 F506 F526 F546 F566">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StrategyValuesToAllocate,SetGeneralRuleCalculatedPref,CopyCalculatedPreferenceToolbar,EnterAllocatePreference,ExportAllCalculatedPreferences,SaveCalculatedPreferences,CloseCalculatedPreferences,ExportCalculatedPreference,EditUnal"&amp;"locatedGroupSidePanel,ImportCalculatedPreferences,OpenAuditTrailUnallocatedGroup,DeleteCalculatedPreferencesTool,ImportCalculatedPreferencesTool,ExportAllCalculatedPreferTool,CheckFixedPreference,DeleteFixedPreference,OpenSymbolLookupUnallocateGroup,OpenS"&amp;"ymbolLookupAllocatedGroup,GetFixedPreference,CheckAllocatedGroups,CheckUnallocatedGroups,SetGeneralPreferences,EditAllocatedGroupSidePanel,OpenAuditTrailAllocatedGroup,GroupTrades,UngroupTrades,DeleteGroup,CloseOrder,Unallocate,CloseAllocation,GeneralPref"&amp;"CompanyUserWise,SetGeneralRuleCalPreference,UpdateGRAccountValue,UpdateGRStrategyValue,UpdateGRDefaultRule,UpdateGeneralRulePref,ModifyGRPreferenceValues,AddMFPreferences,AddMFPreferenceToolbar,DeleteMFPreferences,DeleteMFPreferenceToolbar,RenameMFPrefere"&amp;"nces,SaveCloseMFPreference,SetMFPrefAccountValues,ModifyMFPrefGeneralRuleValues,SetMFPrefStrategyValues,SetMFPrefFundDistribution,SetMFPreferencesDefaultRule,SetMFPrefGeneralRule,SetMFPrefFundDefaultRule,ClearPrefetchFilters,ExpandCollapseAllUnallocated,E"&amp;"xpandCollapseAllAllocated,GenerateCashTransaction,SaveAllocation,UnallocateWithOutSave,,,,,,,,,,,,,,,,,,,,,,,,,,,,,,,,,,,,,,,,,,,,,,,,,,,,,,,,,,,,,,,,,,,,,,,,,,,,,,,,,,,,,,,,,,,,,,,,,,,,,,,,,,,,,,,,,,,,,,,,,,,,,,,,,,,,,,,,,,,,,,,,,,,,,,,,,,,,,,,,,,,,,,,,,"&amp;",,,,,,,,,,,,,,,,,,,,,,,,,,,,,,,,,,,,,,,,,,,,,,,,,,,,,,,,,,,,,,,,,,,,,,,,,,,,,,,,,,,,,,,,,,,,,,,,,,,,,,,,,,,,,,,,,,,,,,,,,,,,,,,,,,,,,,,,,,,,,,,,,,,,,,,,,,,,,,,,,,,,,,,,,,,,,,,,,,,,,,,,,,,,,,,,,,,,,,,,,,,,,,,,,,,,,,,,,,,,,,,,,,"</formula1>
    </dataValidation>
    <dataValidation type="list" allowBlank="1" sqref="H273:K273">
      <formula1>"CreateDoneAwayOrder,SelectUnallocatedGroup,EnterAllocatePreference,EnterAccountValuesToAllocate,CheckAllocatedGroups,CheckUnallocatedGroups,GetDataAllocation,GetDataClosing,VerifyLongPositionsGrid,GetActivityData,VerifyShortPositionsGrid,VerifyActivity,Ch"&amp;"eckPortfolioManagement,Copy of Data,Copy of Data 1,Copy of Data 2,Copy of Data 3,Copy of Data 4"</formula1>
    </dataValidation>
    <dataValidation type="list" allowBlank="1" sqref="H259:K264">
      <formula1>"CreateDoneAwayOrder,SelectUnallocatedGroup,EnterAllocatePreference,CheckAllocatedGroups,CheckUnallocatedGroups,GetDataAllocation,GetDataClosing,VerifyLongPositionsGrid,VerifyShortPositionsGrid,GetActivityData,VerifyActivity,Copy of Data,Copy of Data 1,Cop"&amp;"y of Data 2,Copy of Data 3,Copy of Data 4,Copy of Data 5"</formula1>
    </dataValidation>
    <dataValidation type="list" allowBlank="1" sqref="F7 F22">
      <formula1>"CreateTransaction,AddNewTransaction,,,,,,,,,,,,,,,,,,,,,,,,,,,,,,,,,,,,,,,,,,,,,,,,,,,,,,,,,,,,,,,,,,,,,,,,,,,,,,,,,,,,,,,,,,,,,,,,,,,,,,,,,,,,,,,,,,,,,,,,,,,,,,,,,,,,,,,,,,,,,,,,,,,,,,,,,,,,,,,,,,,,,,,,,,,,,,,,,,,,,,,,,,,,,,,,,,,,,,,,,,,,,,,,,,,,,,,,,,,,"&amp;",,,,,,,,,,,,,,,,,,,,,,,,,,,,,,,,,,,,,,,,,,,,,,,,,,,,,,,,,,,,,,,,,,,,,,,,,,,,,,,,,,,,,,,,,,,,,,,,,,,,,,,,,,,,,,,,,,,,,,,,,,,,,,,,,,,,,,,,,,,,,,,,,,,,,,,,,,,,,,,,,,,,,,,,,,,,,,,,,,,,,,,,,,,,,,,,,,,,,,,,,,,,,,,,,,,,,,,,,,,,,,,,,,,,,,,,,,,,,,,,,,,,,,,,,,,,,,,"&amp;",,,,,,,,,,,,,,,,,,,,"</formula1>
    </dataValidation>
    <dataValidation type="list" allowBlank="1" sqref="H174:K174">
      <formula1>"CreateDoneAwayOrder,GetDataAllocation,GetDataClosing,CheckAllocatedGroups,VerifyLongPositionsGrid,VerifyShortPositionsGrid,CheckPortfolioManagement,GetActivityData,VerifyActivity,RunProrata,SelectUnallocatedGroup,EnterAllocatePreference,CheckUnallocatedGr"&amp;"oups,SetGeneralPreferences,Copy of Data,Copy of Data 1,Copy of Data 2"</formula1>
    </dataValidation>
    <dataValidation type="list" allowBlank="1" sqref="F132 F161 F238 F253 F267 F283 F299 F331 F348 F366 F383 F388 F403 F408 F422 F427 F443 F448 F465 F470 F486 F491 F507 F512 F527 F532 F547 F552">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196:K203">
      <formula1>"AddCalculatedPreferences,SetDefaultRuleCalculatedPref,CreateDoneAwayOrder,SelectUnallocatedGroup,EnterAllocatePreference,GetDataAllocation,CheckUnallocatedGroups,CheckAllocatedGroups,GetDataClosing,VerifyLongPositionsGrid,GetActivityData,VerifyActivity,Ch"&amp;"eckPortfolioManagement,SetGeneralPreferences,Copy of Data,Copy of Data_conflict338176396,set,Copy of Data 1,Copy of Data 2,Copy of Data 3,SaveCalculatedPreferences,Copy of Data 4,CloseCalculatedPreferences,Copy of Data 5,Copy of Data 6,EnterAllocatePerfer"&amp;"ence"</formula1>
    </dataValidation>
    <dataValidation type="list" allowBlank="1" sqref="H67:K67">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opy of Data,Copy of Data 1,Copy of Data 2"</formula1>
    </dataValidation>
    <dataValidation type="list" allowBlank="1" sqref="H409:K411">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8,Copy of Da"&amp;"ta 9,Copy of Data 10,Copy of Data 11,Copy of Data 11_conflict1284206099,Copy of Data 12,Copy of Data 13"</formula1>
    </dataValidation>
    <dataValidation type="list" allowBlank="1" sqref="H580:K580">
      <formula1>"UpdateServerConfig"</formula1>
    </dataValidation>
    <dataValidation type="list" allowBlank="1" sqref="H494:K494">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3,Copy of Data 4,Copy of Data 5,Copy of Data 6,Copy of Data "&amp;"7"</formula1>
    </dataValidation>
    <dataValidation type="list" allowBlank="1" sqref="H548:K549 H551:K551">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opy of Data,Copy of Data 1"</formula1>
    </dataValidation>
    <dataValidation type="list" allowBlank="1" sqref="H299:K299">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formula1>
    </dataValidation>
    <dataValidation type="list" allowBlank="1" sqref="H95:K95 H97:K98">
      <formula1>"CreateDoneAwayOrder,SetGeneralPreferences,SelectUnallocatedGroup,EnterAccountValuesToAllocate,EnterAllocatePreference,CheckAllocatedGroups,GetDataClosing,VerifyLongPositionsGrid,VerifyShortPositionsGrid,CheckPortfolioManagement,GetActivityData,VerifyActiv"&amp;"ity,SelectUnallocatedGroup1,EnterAccountValuesToAllocate1,SetGeneralPreferences1,SelectUnallocatedGroup2,CheckUnallocatedGroups,EnterAccountValuesToAllocate2,Copy of Data,Copy of Data 1,Copy of Data 2,Copy of Data 3,sele,Copy of Data 4"</formula1>
    </dataValidation>
    <dataValidation type="list" allowBlank="1" sqref="H173:K173">
      <formula1>"CreateDoneAwayOrder,GetDataAllocation,GetDataClosing,CheckAllocatedGroups,VerifyLongPositionsGrid,VerifyShortPositionsGrid,CheckPortfolioManagement,GetActivityData,VerifyActivity,RunProrata,SelectUnallocatedGroup,EnterAllocatePreference,CheckUnallocatedGr"&amp;"oups,SetGeneralPreferences,Copy of Data,Copy of Data 1"</formula1>
    </dataValidation>
    <dataValidation type="list" allowBlank="1" sqref="H18:K18">
      <formula1>"SetGeneralPreferences,AddCalculatedPreferences,SetAccountValueCalculatedPref,CreateTransaction,CheckAllocatedGroups,GetDataClosing,VerifyLongPositionsGrid,GetActivityData,VerifyActivity,CheckPortfolioManagement,Copy of Data"</formula1>
    </dataValidation>
    <dataValidation type="list" allowBlank="1" sqref="H302:K302">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1,Copy of Data 2,Copy of Data 3"</formula1>
    </dataValidation>
    <dataValidation type="list" allowBlank="1" sqref="H145:K145">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Copy of Data,Copy of Data_conflict2123007354,Copy of Data 1,Copy of Data 2"</formula1>
    </dataValidation>
    <dataValidation type="list" allowBlank="1" sqref="H407:K407">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8,Copy of Da"&amp;"ta 9,Copy of Data 10,Copy of Data 11,Copy of Data 11_conflict1284206099"</formula1>
    </dataValidation>
    <dataValidation type="list" allowBlank="1" sqref="H258:K258">
      <formula1>"CreateDoneAwayOrder,SelectUnallocatedGroup,EnterAllocatePreference,CheckAllocatedGroups,CheckUnallocatedGroups,GetDataAllocation,GetDataClosing,VerifyLongPositionsGrid,VerifyShortPositionsGrid,GetActivityData,VerifyActivity,Copy of Data,Copy of Data 1,Cop"&amp;"y of Data 2,Copy of Data 3,Copy of Data 4"</formula1>
    </dataValidation>
    <dataValidation type="list" allowBlank="1" sqref="H335:K335 H337:K337">
      <formula1>"CreateDoneAwayOrder,GetDailyCash,UpdateDailyCash,SelectUnallocatedGroup,EnterAllocatePreference,CheckAllocatedGroups,CheckUnallocatedGroups,GetDataAllocation,GetDataClosing,GetActivityData,VerifyActivity,CheckPortfolioManagement,VerifyLongPositionsGrid,Ve"&amp;"rifyShortPositionsGrid,Copy of Data,Copy of Data 1,Copy of Data 2,Allocate,Copy of Data 3,Copy of Data 4,Copy of Data 5,Copy of Data 6,Copy of Data 7"</formula1>
    </dataValidation>
    <dataValidation type="list" allowBlank="1" sqref="F136:F138 F165:F166 F245 F260 F308 F323 F340:F342 F358 F376:F378 F397:F398 F416:F417 F435:F437 F500:F501 F520:F522 F540:F542 F560:F562">
      <formula1>"GetDataClosing,ManualClosing,UnwindClosing,VerifyClosedTrades,VerifyLongPositionsGrid,VerifyShortPositionsGrid,SelectTradeUnexpiredUnsettled,CashSettlementAtCost,CashSettlementAtZeroPrice,CashSettlementAtClosingDtSpotPx,PhysicalSettlement,AutomaticClosing"&amp;",Expire,ExerciseAssignment,ExerciseAssignmentAtZero,SwapExpireAndRollover,SwapExpire,VerifyExpiredSettledGrid,VerifyUnExpiredUnSettledGrid,UnWindTradeSettlement,CloseOrder,VerifyCloseOrder,UnWindCloseOrder,ClosingCleanUp,CloseClosingUI,,,,,,,,,,,,,,,,,,,,"&amp;",,,,,,,,,,,,,,,,,,,,,,,,,,,,,,,,,,,,,,,,,,,,,,,,,,,,,,,,,,,,,,,,,,,,,,,,,,,,,,,,,,,,,,,,,,,,,,,,,,,,,,,,,,,,,,,,,,,,,,,,,,,,,,,,,,,,,,,,,,,,,,,,,,,,,,,,,,,,,,,,,,,,,,,,,,,,,,,,,,,,,,,,,,,,,,,,,,,,,,,,,,,,,,,,,,,,,,,,,,,,,,,,,,,,,,,,,,,,,,,,,,,,,,,,,,,,,,,"&amp;",,,,,,,,,,,,,,,,,,,,,,,,,,,,,,,,,,,,,,,,,,,,,,,,,,,,,,,,,,,,,,,,,,,,,,,,,,,,,,,,,,,,,,,,,,,,,,,,,,,,,,,,,,,,,,,,,,,,,,,,,,,,,,,,,,,,,,,,,,,,,,,,,,,,,,,,,,,,,,,,,,,,,,,,,,,,,,,,,,,,,,,,,,,,,,,,,,,,,"</formula1>
    </dataValidation>
    <dataValidation type="list" allowBlank="1" sqref="H226:K226">
      <formula1>"CreateDoneAwayOrder,SelectUnallocatedGroup,EnterAllocatePreference,EnterAccountValuesToAllocate,CheckAllocatedGroups,CheckUnallocatedGroups,GetDataAllocation,GetDataClosing,VerifyLongPositionsGrid,CheckPortfolioManagement,GetActivityData,VerifyActivity,Co"&amp;"py of Data,Copy of Data 1,Copy of Data 2,Copy of Data 3"</formula1>
    </dataValidation>
    <dataValidation type="list" allowBlank="1" sqref="H187:K188">
      <formula1>"AddCalculatedPreferences,SetDefaultRuleCalculatedPref,CreateDoneAwayOrder,SelectUnallocatedGroup,EnterAllocatePreference,GetDataAllocation,CheckUnallocatedGroups,CheckAllocatedGroups,GetDataClosing,VerifyLongPositionsGrid,GetActivityData,VerifyActivity,Ch"&amp;"eckPortfolioManagement,SetGeneralPreferences,Copy of Data,Copy of Data_conflict338176396,set"</formula1>
    </dataValidation>
    <dataValidation type="list" allowBlank="1" sqref="H509:K509">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1_conflict1556460951,Copy of Data 2,Copy of Data 3"</formula1>
    </dataValidation>
    <dataValidation type="list" allowBlank="1" sqref="H569:K569">
      <formula1>"CreateDoneAwayOrder,SelectUnallocatedGroup,EnterAllocatePreference,GetDataAllocation,CheckAllocatedGroups,CheckUnallocatedGroups,GetDataClosing,VerifyShortPositionsGrid,CheckPortfolioManagement,GetActivityData,VerifyActivity,EnterAllocatePerference"</formula1>
    </dataValidation>
    <dataValidation type="list" allowBlank="1" sqref="H511:K511 H513:K515">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1_conflict1556460951,Copy of Data 2,Copy of Data 3,Copy of Data 4,Copy of Data 5"</formula1>
    </dataValidation>
    <dataValidation type="list" allowBlank="1" sqref="H314:K314">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Data,Copy of Data_conflict1572742578"</formula1>
    </dataValidation>
    <dataValidation type="list" allowBlank="1" sqref="H104:K104">
      <formula1>"CreateDoneAwayOrder,SetGeneralPreferences,SelectUnallocatedGroup,EnterAccountValuesToAllocate,EnterAllocatePreference,CheckAllocatedGroups,GetDataClosing,VerifyLongPositionsGrid,VerifyShortPositionsGrid,CheckPortfolioManagement,GetActivityData,VerifyActiv"&amp;"ity,SelectUnallocatedGroup1,EnterAccountValuesToAllocate1,SetGeneralPreferences1,SelectUnallocatedGroup2,CheckUnallocatedGroups,EnterAccountValuesToAllocate2,GetDataAllocation"</formula1>
    </dataValidation>
    <dataValidation type="list" allowBlank="1" sqref="H408:K408 H417:K420">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8,Copy of Da"&amp;"ta 9,Copy of Data 10,Copy of Data 11,Copy of Data 11_conflict1284206099,Copy of Data 12,Copy of Data 13,Allocate,Copy of Data 14,Copy of Data 15,Copy of Data 16"</formula1>
    </dataValidation>
    <dataValidation type="list" allowBlank="1" sqref="H92:K92">
      <formula1>"CreateDoneAwayOrder,SetGeneralPreferences,SelectUnallocatedGroup,EnterAccountValuesToAllocate,EnterAllocatePreference,CheckAllocatedGroups,GetDataClosing,VerifyLongPositionsGrid,VerifyShortPositionsGrid,CheckPortfolioManagement,GetActivityData,VerifyActiv"&amp;"ity,SelectUnallocatedGroup1,EnterAccountValuesToAllocate1,SetGeneralPreferences1,SelectUnallocatedGroup2,CheckUnallocatedGroups,EnterAccountValuesToAllocate2,Copy of Data,Copy of Data_conflict1959546971"</formula1>
    </dataValidation>
    <dataValidation type="list" allowBlank="1" sqref="H175:K175 H177:K185">
      <formula1>"CreateDoneAwayOrder,GetDataAllocation,GetDataClosing,CheckAllocatedGroups,VerifyLongPositionsGrid,VerifyShortPositionsGrid,CheckPortfolioManagement,GetActivityData,VerifyActivity,RunProrata,SelectUnallocatedGroup,EnterAllocatePreference,CheckUnallocatedGr"&amp;"oups,SetGeneralPreferences,Copy of Data,Copy of Data 1,Copy of Data 2,Copy of Data 3,EnterAllocatePerference"</formula1>
    </dataValidation>
    <dataValidation type="list" allowBlank="1" sqref="F130:F131 F159:F160 F315:F316 F332:F333 F349:F350 F367:F368 F384:F385 F404:F405 F423:F424 F444:F445 F466:F467 F487:F488 F508:F509 F528:F529 F548:F549">
      <formula1>"UpdateBeta,UpdateDailyCash,UpdateForexConversion,UpdateMarkPrice,CleanUp,GetMarkPriceData,UpdateForwardPoints,GetForwardPoints,UpdateForwardPoints,GetForexConversion,DeleteNAV,GetDailyCash,GetDailyOutstandings,GetDailyVolatility,GetDailyDividendYield,GetD"&amp;"ailyBeta,GetDailyTradingVolume,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H189:K189">
      <formula1>"AddCalculatedPreferences,SetDefaultRuleCalculatedPref,CreateDoneAwayOrder,SelectUnallocatedGroup,EnterAllocatePreference,GetDataAllocation,CheckUnallocatedGroups,CheckAllocatedGroups,GetDataClosing,VerifyLongPositionsGrid,GetActivityData,VerifyActivity,Ch"&amp;"eckPortfolioManagement,SetGeneralPreferences,Copy of Data,Copy of Data_conflict338176396,set,Copy of Data 1,Copy of Data 2"</formula1>
    </dataValidation>
    <dataValidation type="list" allowBlank="1" sqref="H269:K269">
      <formula1>"CreateDoneAwayOrder,SelectUnallocatedGroup,EnterAllocatePreference,EnterAccountValuesToAllocate,CheckAllocatedGroups,CheckUnallocatedGroups,GetDataAllocation,GetDataClosing,VerifyLongPositionsGrid,GetActivityData,VerifyShortPositionsGrid,VerifyActivity,Ch"&amp;"eckPortfolioManagement,Copy of Data,Copy of Data 1,Copy of Data 2"</formula1>
    </dataValidation>
    <dataValidation type="list" allowBlank="1" sqref="H229:K235">
      <formula1>"CreateDoneAwayOrder,SelectUnallocatedGroup,EnterAllocatePreference,EnterAccountValuesToAllocate,CheckAllocatedGroups,CheckUnallocatedGroups,GetDataAllocation,GetDataClosing,VerifyLongPositionsGrid,CheckPortfolioManagement,GetActivityData,VerifyActivity,Co"&amp;"py of Data,Copy of Data 1,Copy of Data 2,Copy of Data 3,Copy of Data 4,Copy of Data 5"</formula1>
    </dataValidation>
    <dataValidation type="list" allowBlank="1" sqref="H8:K8">
      <formula1>"CreateTransaction,GetDataAllocation,CheckUnallocatedGroups,CheckAllocatedGroups,GetDataClosing,VerifyLongPositionsGrid,CheckPortfolioManagement,GetActivityData,VerifyActivity,Copy of Data,Copy of Data_conflict1317484394,Copy of Data 1"</formula1>
    </dataValidation>
    <dataValidation type="list" allowBlank="1" sqref="H531:K535 H537:K545">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CheckPortfolioManagement,Copy of Data,Copy of Data 1,Copy of Data 2,Copy of Data 3,tra"</formula1>
    </dataValidation>
    <dataValidation type="list" allowBlank="1" sqref="H160:K163">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Copy of Data"</formula1>
    </dataValidation>
    <dataValidation type="list" allowBlank="1" sqref="F351 F369 F386 F406 F425 F446 F468 F489 F510 F530 F550">
      <formula1>"PricingInput,UpdateSharesOutstanding,EODTPreferences,LiveData,,,,,,,,,,,,,,,,,,,,,,,,,,,,,,,,,,,,,,,,,,,,,,,,,,,,,,,,,,,,,,,,,,,,,,,,,,,,,,,,,,,,,,,,,,,,,,,,,,,,,,,,,,,,,,,,,,,,,,,,,,,,,,,,,,,,,,,,,,,,,,,,,,,,,,,,,,,,,,,,,,,,,,,,,,,,,,,,,,,,,,,,,,,,,,,,,,"&amp;",,,,,,,,,,,,,,,,,,,,,,,,,,,,,,,,,,,,,,,,,,,,,,,,,,,,,,,,,,,,,,,,,,,,,,,,,,,,,,,,,,,,,,,,,,,,,,,,,,,,,,,,,,,,,,,,,,,,,,,,,,,,,,,,,,,,,,,,,,,,,,,,,,,,,,,,,,,,,,,,,,,,,,,,,,,,,,,,,,,,,,,,,,,,,,,,,,,,,,,,,,,,,,,,,,,,,,,,,,,,,,,,,,,,,,,,,,,,,,,,,,,,,,,,,,,,,,,"&amp;",,,,,,,,,,,,,,,,,,,,,,,,,,,,,,,,,,,,,,,,,,,,"</formula1>
    </dataValidation>
    <dataValidation type="list" allowBlank="1" sqref="H315:K315">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Data,Copy of Data_conflict1572742578,Copy of Data 1"</formula1>
    </dataValidation>
    <dataValidation type="list" allowBlank="1" sqref="H478:K482">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VerifyActivity,CheckPortfolioManagement,Allocate,Copy of Data"</formula1>
    </dataValidation>
    <dataValidation type="list" allowBlank="1" sqref="H383:K385">
      <formula1>"CreateDoneAwayOrder,GetDailyCash,UpdateDailyCash,TradePTT,CreateDoneAwayOrderPTT,Unallocate,SelectUnallocatedGroup,EnterAllocatePreference,CheckAllocatedGroups,CheckUnallocatedGroups,PricingInput,GetDataAllocation,GetDataClosing,VerifyLongPositionsGrid,Ge"&amp;"tActivityData,VerifyActivity,CheckPortfolioManagement,SetGeneralPreferences,Copy of Data,Copy of Data 1"</formula1>
    </dataValidation>
    <dataValidation type="list" allowBlank="1" sqref="H488:K488">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formula1>
    </dataValidation>
    <dataValidation type="list" allowBlank="1" sqref="H267:K267">
      <formula1>"CreateDoneAwayOrder,SelectUnallocatedGroup,EnterAllocatePreference,EnterAccountValuesToAllocate,CheckAllocatedGroups,CheckUnallocatedGroups,GetDataAllocation,GetDataClosing,VerifyLongPositionsGrid,GetActivityData,VerifyShortPositionsGrid,VerifyActivity,Ch"&amp;"eckPortfolioManagement,Copy of Data"</formula1>
    </dataValidation>
    <dataValidation type="list" allowBlank="1" sqref="F6">
      <formula1>"UpdateServerConfig,RestartServer,,,,,,,,,,,,,,,,,,,,,,,,,,,,,,,,,,,,,,,,,,,,,,,,,,,,,,,,,,,,,,,,,,,,,,,,,,,,,,,,,,,,,,,,,,,,,,,,,,,,,,,,,,,,,,,,,,,,,,,,,,,,,,,,,,,,,,,,,,,,,,,,,,,,,,,,,,,,,,,,,,,,,,,,,,,,,,,,,,,,,,,,,,,,,,,,,,,,,,,,,,,,,,,,,,,,,,,,,,,,,,,"&amp;",,,,,,,,,,,,,,,,,,,,,,,,,,,,,,,,,,,,,,,,,,,,,,,,,,,,,,,,,,,,,,,,,,,,,,,,,,,,,,,,,,,,,,,,,,,,,,,,,,,,,,,,,,,,,,,,,,,,,,,,,,,,,,,,,,,,,,,,,,,,,,,,,,,,,,,,,,,,,,,,,,,,,,,,,,,,,,,,,,,,,,,,,,,,,,,,,,,,,,,,,,,,,,,,,,,,,,,,,,,,,,,,,,,,,,,,,,,,,,,,,,,,,,,,,,,,,,,"&amp;",,,,,,,,,,,,,,,,,"</formula1>
    </dataValidation>
    <dataValidation type="list" allowBlank="1" sqref="H194:K194">
      <formula1>"SetGeneralPreferences,AddCalculatedPreferences,SetDefaultRuleCalculatedPref,CreateDoneAwayOrder,SelectUnallocatedGroup,EnterAllocatePreference,GetDataAllocation,CheckUnallocatedGroups,CheckAllocatedGroups,GetDataClosing,VerifyLongPositionsGrid,GetActivity"&amp;"Data,VerifyActivity,CheckPortfolioManagement,EnterAllocatePerference"</formula1>
    </dataValidation>
    <dataValidation type="list" allowBlank="1" sqref="H167:K169">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Copy of Data,Copy of Data 1,Copy of Data 2,Copy of Data 3"</formula1>
    </dataValidation>
    <dataValidation type="list" allowBlank="1" sqref="H495:K495 H497:K497">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3,Copy of Data 4,Copy of Data 5,Copy of Data 6,Copy of Data "&amp;"7,Copy of Data 8"</formula1>
    </dataValidation>
    <dataValidation type="list" allowBlank="1" sqref="H552:K552">
      <formula1>"CreateDoneAwayOrder,GetDailyCash,UpdateDailyCash,TradePTT,CreateDoneAwayOrderPTT,Unallocate,PricingInput,SelectUnallocatedGroup,EnterAllocatePreference,CheckAllocatedGroups,CheckUnallocatedGroups,GetDataAllocation,GetDataClosing,VerifyShortPositionsGrid,V"&amp;"erifyLongPositionsGrid,GetActivityData,VerifyActivity,CheckPortfolioManagement"</formula1>
    </dataValidation>
    <dataValidation type="list" allowBlank="1" sqref="H117:K117">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Copy of Data,Copy of Data 1"</formula1>
    </dataValidation>
    <dataValidation type="list" allowBlank="1" sqref="H66:K66">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opy of Data,Copy of Data 1"</formula1>
    </dataValidation>
    <dataValidation type="list" allowBlank="1" sqref="H334:K334 H338:K338">
      <formula1>"CreateDoneAwayOrder,GetDailyCash,UpdateDailyCash,SelectUnallocatedGroup,EnterAllocatePreference,CheckAllocatedGroups,CheckUnallocatedGroups,GetDataAllocation,GetDataClosing,GetActivityData,VerifyActivity,CheckPortfolioManagement,VerifyLongPositionsGrid,Ve"&amp;"rifyShortPositionsGrid,Copy of Data,Copy of Data 1,Copy of Data 2,Allocate,Copy of Data 3,Copy of Data 4,Copy of Data 5,Copy of Data 6,Copy of Data 7,Copy of Data 8,Copy of Data 9"</formula1>
    </dataValidation>
    <dataValidation type="list" allowBlank="1" sqref="H228:K228">
      <formula1>"CreateDoneAwayOrder,SelectUnallocatedGroup,EnterAllocatePreference,EnterAccountValuesToAllocate,CheckAllocatedGroups,CheckUnallocatedGroups,GetDataAllocation,GetDataClosing,VerifyLongPositionsGrid,CheckPortfolioManagement,GetActivityData,VerifyActivity,Co"&amp;"py of Data,Copy of Data 1,Copy of Data 2,Copy of Data 3,Copy of Data 4"</formula1>
    </dataValidation>
    <dataValidation type="list" allowBlank="1" sqref="H489:K490">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formula1>
    </dataValidation>
    <dataValidation type="list" allowBlank="1" sqref="H81:K81">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formula1>
    </dataValidation>
    <dataValidation type="list" allowBlank="1" sqref="D6:D7 D17 D29 D63 D91 D113 D142 D170 D186 D204 D223 D236 D251 D265 D281 D297 D312 D329 D346 D364 D382 D402 D421 D441 D463 D484 D506 D526 D546 D566 D579:D1013">
      <formula1>'_Categories'!$A$4:$A1013</formula1>
    </dataValidation>
    <dataValidation type="list" allowBlank="1" sqref="H286:K286 H288:K296">
      <formula1>"CreateDoneAwayOrder,SelectUnallocatedGroup,EnterAllocatePreference,EnterAccountValuesToAllocate,CheckAllocatedGroups,CheckUnallocatedGroups,GetDataAllocation,GetDataClosing,VerifyLongPositionsGrid,VerifyShortPositionsGrid,CheckPortfolioManagement,GetActiv"&amp;"ityData,VerifyActivity,Copy of Data,Copy of Data 1,Copy of Data 2,Copy of Data 3"</formula1>
    </dataValidation>
    <dataValidation type="list" allowBlank="1" sqref="H118:K118">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Copy of Data,Copy of Data 1,Copy of Data 2"</formula1>
    </dataValidation>
    <dataValidation type="list" allowBlank="1" sqref="H443:K444">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Copy of Data"</formula1>
    </dataValidation>
    <dataValidation type="list" allowBlank="1" sqref="H207:K207">
      <formula1>"SetGeneralPreferences,AddCalculatedPreferences,SetDefaultRuleCalculatedPref,CreateDoneAwayOrder,SelectUnallocatedGroup,EnterAllocatePreference,GetDataAllocation,CheckAllocatedGroups,CheckUnallocatedGroups,GetDataClosing,VerifyLongPositionsGrid,GetActivity"&amp;"Data,VerifyActivity,CheckPortfolioManagement,VerifyShortPositionsGrid,Copy of Data,Copy of Data_conflict884068288,Copy of Data 1,Copy of Data 2"</formula1>
    </dataValidation>
    <dataValidation type="list" allowBlank="1" sqref="H301:K301">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1,Copy of Data 2"</formula1>
    </dataValidation>
    <dataValidation type="list" allowBlank="1" sqref="H65:K65">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opy of Data"</formula1>
    </dataValidation>
    <dataValidation type="list" allowBlank="1" sqref="H19:K19 H22:K22">
      <formula1>"SetGeneralPreferences,AddCalculatedPreferences,SetAccountValueCalculatedPref,CreateTransaction,CheckAllocatedGroups,GetDataClosing,VerifyLongPositionsGrid,GetActivityData,VerifyActivity,CheckPortfolioManagement,Copy of Data,Copy of Data 1"</formula1>
    </dataValidation>
    <dataValidation type="list" allowBlank="1" sqref="H349:K350 H367:K368">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Data,Copy of Data 1"</formula1>
    </dataValidation>
    <dataValidation type="list" allowBlank="1" sqref="F314">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491:K491 H499:K505">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3,Copy of Data 4,Copy of Data 5,Copy of Data 6,Copy of Data "&amp;"7,Copy of Data 8,Copy of Data 9,Copy of Data 10"</formula1>
    </dataValidation>
    <dataValidation type="list" allowBlank="1" sqref="H83:K90">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opy of Data,Copy of Data 1,Copy of Data 2,Copy of Data 3,Copy of Data 4,Copy of Data 5"</formula1>
    </dataValidation>
    <dataValidation type="list" allowBlank="1" sqref="H143:K143">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Copy of Data,Copy of Data_conflict2123007354"</formula1>
    </dataValidation>
    <dataValidation type="list" allowBlank="1" sqref="H205:K206">
      <formula1>"SetGeneralPreferences,AddCalculatedPreferences,SetDefaultRuleCalculatedPref,CreateDoneAwayOrder,SelectUnallocatedGroup,EnterAllocatePreference,GetDataAllocation,CheckAllocatedGroups,CheckUnallocatedGroups,GetDataClosing,VerifyLongPositionsGrid,GetActivity"&amp;"Data,VerifyActivity,CheckPortfolioManagement,VerifyShortPositionsGrid,Copy of Data,Copy of Data_conflict884068288"</formula1>
    </dataValidation>
    <dataValidation type="list" allowBlank="1" sqref="H492:K492">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3,Copy of Data 4,Copy of Data 5"</formula1>
    </dataValidation>
    <dataValidation type="list" allowBlank="1" sqref="H512:K512 H518:K525">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1_conflict1556460951,Copy of Data 2,Copy of Data 3,Copy of Data 4,Copy of Data 5,Allocate,Copy of "&amp;"Data 6"</formula1>
    </dataValidation>
    <dataValidation type="list" allowBlank="1" sqref="H268:K268">
      <formula1>"CreateDoneAwayOrder,SelectUnallocatedGroup,EnterAllocatePreference,EnterAccountValuesToAllocate,CheckAllocatedGroups,CheckUnallocatedGroups,GetDataAllocation,GetDataClosing,VerifyLongPositionsGrid,GetActivityData,VerifyShortPositionsGrid,VerifyActivity,Ch"&amp;"eckPortfolioManagement,Copy of Data,Copy of Data 1"</formula1>
    </dataValidation>
    <dataValidation type="list" allowBlank="1" sqref="H308:K308">
      <formula1>"CreateDoneAwayOrder,SelectUnallocatedGroup,EnterAllocatePreference,EnterAccountValuesToAllocate,CheckAllocatedGroups,GetDataClosing,VerifyLongPositionsGrid,GetActivityData,VerifyActivity,GetDataAllocation,VerifyShortPositionsGrid,CheckPortfolioManagement,"&amp;"Copy of Data,Copy of Data_conflict276735670,Copy of Data 1,Copy of Data 2,Copy of Data 3,Copy of Data 4,Copy of Data 5,Copy of Data 6"</formula1>
    </dataValidation>
    <dataValidation type="list" allowBlank="1" sqref="H120:K128">
      <formula1>"SetGeneralPreferences,AddMFPreferences,SetMFPreferencesDefaultRule,SetMFPrefFundDistribution,SetMFPrefFundDefaultRule,SetMFPrefGeneralRule,UpdateGRAccountValue,SetMFPrefGeneralRule1,UpdateGRDefaultRule1,SetMFPrefAccountValues1,SetMFPrefFundDefaultRule1,Se"&amp;"tMFPrefGeneralRule2,UpdateGRAccountValue1,GetDailyCash,UpdateDailyCash,CreateDoneAwayOrder,GetDataAllocation,GetDataClosing,CheckAllocatedGroups,VerifyLongPositionsGrid,VerifyShortPositionsGrid,CheckPortfolioManagement,GetActivityData,VerifyActivity,SetMF"&amp;"PrefGeneralRule3,UpdateGRDefaultRule2,UpdateGRDefaultRule3,UpdateGRDefaultRule,CheckUnallocatedGroups"</formula1>
    </dataValidation>
    <dataValidation type="list" allowBlank="1" sqref="H100:K102 H105:K112">
      <formula1>"CreateDoneAwayOrder,SetGeneralPreferences,SelectUnallocatedGroup,EnterAccountValuesToAllocate,EnterAllocatePreference,CheckAllocatedGroups,GetDataClosing,VerifyLongPositionsGrid,VerifyShortPositionsGrid,CheckPortfolioManagement,GetActivityData,VerifyActiv"&amp;"ity,SelectUnallocatedGroup1,EnterAccountValuesToAllocate1,SetGeneralPreferences1,SelectUnallocatedGroup2,CheckUnallocatedGroups,EnterAccountValuesToAllocate2,Copy of Data,Copy of Data 1,Copy of Data 2,Copy of Data 3,sele,Copy of Data 4,EnterAllocatePerfer"&amp;"ence,Copy of Data 5"</formula1>
    </dataValidation>
    <dataValidation type="list" allowBlank="1" sqref="H64:K64">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CleanUp,Copy of Data"</formula1>
    </dataValidation>
    <dataValidation type="list" allowBlank="1" sqref="H224:K224">
      <formula1>"CreateDoneAwayOrder,SelectUnallocatedGroup,EnterAllocatePreference,EnterAccountValuesToAllocate,CheckAllocatedGroups,CheckUnallocatedGroups,GetDataAllocation,GetDataClosing,VerifyLongPositionsGrid,CheckPortfolioManagement,GetActivityData,VerifyActivity,Co"&amp;"py of Data,Copy of Data 1"</formula1>
    </dataValidation>
    <dataValidation type="list" allowBlank="1" sqref="H527:K527">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CheckPortfolioManagement,Copy of Data,Copy of Data 1,Copy of Data 2,Copy of Data 3,tra,Copy of Data 4,Copy of Data 5"</formula1>
    </dataValidation>
    <dataValidation type="list" allowBlank="1" sqref="H366:K366">
      <formula1>"CreateDoneAwayOrder,GetDailyCash,UpdateDailyCash,SelectUnallocatedGroup,EnterAllocatePreference,CheckAllocatedGroups,CheckUnallocatedGroups,GetDataAllocation,GetDataClosing,VerifyLongPositionsGrid,VerifyShortPositionsGrid,GetActivityData,VerifyActivity,Ch"&amp;"eckPortfolioManagement"</formula1>
    </dataValidation>
    <dataValidation type="list" allowBlank="1" sqref="H210:K212 H214:K222">
      <formula1>"SetGeneralPreferences,AddCalculatedPreferences,SetDefaultRuleCalculatedPref,CreateDoneAwayOrder,SelectUnallocatedGroup,EnterAllocatePreference,GetDataAllocation,CheckAllocatedGroups,CheckUnallocatedGroups,GetDataClosing,VerifyLongPositionsGrid,GetActivity"&amp;"Data,VerifyActivity,CheckPortfolioManagement,VerifyShortPositionsGrid,Copy of Data,Copy of Data_conflict884068288,Copy of Data 1,Copy of Data 2,Copy of Data 3"</formula1>
    </dataValidation>
    <dataValidation type="list" allowBlank="1" sqref="H422:K423">
      <formula1>"CreateDoneAwayOrder,GetDailyCash,UpdateDailyCash,TradePTT,CreateDoneAwayOrderPTT,SelectUnallocatedGroup,Unallocate,EnterAllocatePreference,EnterAccountValuesToAllocate,CheckAllocatedGroups,CheckUnallocatedGroups,PricingInput,GetDataAllocation,GetDataClosi"&amp;"ng,VerifyLongPositionsGrid,VerifyShortPositionsGrid,GetActivityData,VerifyActivity,CheckPortfolioManagement,Copy of Data,Copy of Data 1"</formula1>
    </dataValidation>
    <dataValidation type="list" allowBlank="1" sqref="F11:F12 F24:F25 F58:F59 F86:F87 F107:F109 F180:F182 F199:F200 F217:F219 F231:F232 F246:F247 F261:F262 F275:F277 F291:F293 F306:F307 F324:F325 F359:F360 F457:F459 F478:F480 F502 F574:F575">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F139 F167 F381 F483">
      <formula1>"CheckDashboardPM,CheckPortfolioManagement,OpenPSTFromPM,ClosePM,OpenPTTFromPM,FilterPM,GroupRowPM,CheckDashboardWithPM,RemoveFilterPM,CheckSummaryRows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498:K498">
      <formula1>"CreateDoneAwayOrder,GetDailyCash,UpdateDailyCash,TradePTT,CreateDoneAwayOrderPTT,Unallocate,SelectUnallocatedGroup,EnterAllocatePreference,EnterAccountValuesToAllocate,CheckUnallocatedGroups,CheckAllocatedGroups,PricingInput,GetDataAllocation,VerifyLongPo"&amp;"sitionsGrid,GetActivityData,VerifyActivity,CheckPortfolioManagement,GetDataClosing,VerifyShortPositionsGrid,Copy of Data,Copy of Data_conflict454736093,Copy of Data 1,Copy of Data 2,Copy of Data 3,Copy of Data 4,Copy of Data 5,Copy of Data 6,Copy of Data "&amp;"7,Copy of Data 8,Copy of Data 9"</formula1>
    </dataValidation>
    <dataValidation type="list" allowBlank="1" sqref="H244:K250">
      <formula1>"CreateDoneAwayOrder,SelectUnallocatedGroup,EnterAllocatePreference,CheckAllocatedGroups,CheckUnallocatedGroups,GetDataAllocation,GetDataClosing,VerifyLongPositionsGrid,CheckPortfolioManagement,GetActivityData,VerifyActivity,VerifyShortPositionsGrid,Copy o"&amp;"f Data,Copy of Data 1,Copy of Data 2,Copy of Data 3,Copy of Data 3_conflict351290001,Copy of Data 4"</formula1>
    </dataValidation>
    <dataValidation type="list" allowBlank="1" sqref="H339:K345">
      <formula1>"CreateDoneAwayOrder,GetDailyCash,UpdateDailyCash,SelectUnallocatedGroup,EnterAllocatePreference,CheckAllocatedGroups,CheckUnallocatedGroups,GetDataAllocation,GetDataClosing,GetActivityData,VerifyActivity,CheckPortfolioManagement,VerifyLongPositionsGrid,Ve"&amp;"rifyShortPositionsGrid,Copy of Data,Copy of Data 1,Copy of Data 2,Allocate,Copy of Data 3"</formula1>
    </dataValidation>
    <dataValidation type="list" allowBlank="1" sqref="H255:K255">
      <formula1>"CreateDoneAwayOrder,SelectUnallocatedGroup,EnterAllocatePreference,CheckAllocatedGroups,CheckUnallocatedGroups,GetDataAllocation,GetDataClosing,VerifyLongPositionsGrid,VerifyShortPositionsGrid,GetActivityData,VerifyActivity,Copy of Data,Copy of Data 1,Cop"&amp;"y of Data 2"</formula1>
    </dataValidation>
    <dataValidation type="list" allowBlank="1" sqref="H317:K318 H320:K328">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Data,Copy of Data_conflict1572742578,Copy of Data 1,Copy of Data 2,Copy of Data 3"</formula1>
    </dataValidation>
    <dataValidation type="list" allowBlank="1" sqref="H347:K347 H365:K365">
      <formula1>"CreateDoneAwayOrder,GetDailyCash,UpdateDailyCash,SelectUnallocatedGroup,EnterAllocatePreference,CheckAllocatedGroups,CheckUnallocatedGroups,GetDataAllocation,GetDataClosing,VerifyLongPositionsGrid,VerifyShortPositionsGrid,GetActivityData,VerifyActivity,Ch"&amp;"eckPortfolioManagement,PricingInput,SetGeneralPreferences"</formula1>
    </dataValidation>
    <dataValidation type="list" allowBlank="1" sqref="H388:K388 H391:K392 H394:K401">
      <formula1>"CreateDoneAwayOrder,GetDailyCash,UpdateDailyCash,TradePTT,CreateDoneAwayOrderPTT,Unallocate,SelectUnallocatedGroup,EnterAllocatePreference,CheckAllocatedGroups,CheckUnallocatedGroups,PricingInput,GetDataAllocation,GetDataClosing,VerifyLongPositionsGrid,Ge"&amp;"tActivityData,VerifyActivity,CheckPortfolioManagement,SetGeneralPreferences,Copy of Data,Copy of Data 1,Copy of Data 2,Copy of Data 3,Copy of Data 4,Copy of Data 5"</formula1>
    </dataValidation>
    <dataValidation type="list" allowBlank="1" sqref="H363:K363">
      <formula1>"CreateDoneAwayOrder,GetDailyCash,UpdateDailyCash,SelectUnallocatedGroup,EnterAllocatePreference,EnterAccountValuesToAllocate,CheckAllocatedGroups,CheckUnallocatedGroups,GetDataAllocation,GetDataClosing,VerifyLongPositionsGrid,VerifyShortPositionsGrid,GetA"&amp;"ctivityData,VerifyActivity,CheckPortfolioManagement"</formula1>
    </dataValidation>
    <dataValidation type="list" allowBlank="1" sqref="F30 F64 F92 F171 F192 F210 F224 F567">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H70:K70 H76:K77 H79:K80">
      <formula1>"CreateDoneAwayOrder,SetGeneralPreferences,AddCalculatedPreferenceToolbar,SetDefaultRuleCalculatedPref,SetAccountValueCalculatedPref,SetGeneralRuleCalculatedPref,UpdateGRAccountValues,SelectUnallocatedGroup,EnterAccountValuesToAllocate,SelectUnallocatedGro"&amp;"up1,EnterAccountValuesToAllocate1,SetGeneralPreferences1,SelectUnallocatedGroup2,EnterAllocatePreference,GetDataAllocation,CheckAllocatedGroups,CheckUnallocatedGroups,GetDataClosing,VerifyLongPositionsGrid,GetActivityData,VerifyActivity,CheckPortfolioMana"&amp;"gement,EnterAllocatePerference"</formula1>
    </dataValidation>
    <dataValidation type="list" allowBlank="1" sqref="H243:K243">
      <formula1>"CreateDoneAwayOrder,SelectUnallocatedGroup,EnterAllocatePreference,CheckAllocatedGroups,CheckUnallocatedGroups,GetDataAllocation,GetDataClosing,VerifyLongPositionsGrid,CheckPortfolioManagement,GetActivityData,VerifyActivity,VerifyShortPositionsGrid,Copy o"&amp;"f Data,Copy of Data 1,Copy of Data 2,Copy of Data 3,Copy of Data 3_conflict351290001"</formula1>
    </dataValidation>
    <dataValidation type="list" allowBlank="1" sqref="H348:K348">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formula1>
    </dataValidation>
    <dataValidation type="list" allowBlank="1" sqref="H316:K316">
      <formula1>"CreateDoneAwayOrder,GetDailyCash,UpdateDailyCash,SelectUnallocatedGroup,EnterAllocatePreference,CheckAllocatedGroups,CheckUnallocatedGroups,GetDataAllocation,GetDataClosing,VerifyLongPositionsGrid,VerifyShortPositionsGrid,GetActivityData,VerifyActivity,Ch"&amp;"eckPortfolioManagement,Copy of Data,Copy of Data_conflict1572742578,Copy of Data 1,Copy of Data 2"</formula1>
    </dataValidation>
    <dataValidation type="list" allowBlank="1" sqref="H406:K406">
      <formula1>"CreateDoneAwayOrder,GetDailyCash,UpdateDailyCash,TradePTT,CreateDoneAwayOrderPTT,SelectUnallocatedGroup,EnterAllocatePreference,EnterAccountValuesToAllocate,CheckAllocatedGroups,CheckUnallocatedGroups,PricingInput,Unallocate,GetDataAllocation,GetDataClosi"&amp;"ng,VerifyLongPositionsGrid,GetActivityData,VerifyActivity,CheckPortfolioManagement,Copy of Data,Copy of Data 1,Copy of Data 2,Copy of Data 3,Copy of Data 4,Copy of Data 5,SelectAllocatedGroup,CleanUp,Copy of Data 6,Copy of Data 7,Copy of Data 8,Copy of Da"&amp;"ta 9"</formula1>
    </dataValidation>
    <dataValidation type="list" allowBlank="1" sqref="H517:K517">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1_conflict1556460951,Copy of Data 2,Copy of Data 3,Copy of Data 4,Copy of Data 5,Allocate"</formula1>
    </dataValidation>
    <dataValidation type="list" allowBlank="1" sqref="H313:K313">
      <formula1>"CreateDoneAwayOrder,GetDailyCash,UpdateDailyCash,SelectUnallocatedGroup,EnterAllocatePreference,CheckAllocatedGroups,CheckUnallocatedGroups,GetDataAllocation,GetDataClosing,VerifyLongPositionsGrid,VerifyShortPositionsGrid,GetActivityData,VerifyActivity,Ch"&amp;"eckPortfolioManagement,SetGeneralPreference,Copy of Data,Copy of Data 1,Copy of Data 2,SetGeneralPreferences"</formula1>
    </dataValidation>
    <dataValidation type="list" allowBlank="1" sqref="H164:K166">
      <formula1>"SetGeneralPreferences,AddMFPreferences,SetMFPreferencesDefaultRule,SetMFPrefFundDefaultRule,SetMFPrefGeneralRule,UpdateGRAccountValue,SetMFPrefGeneralRule1,UpdateGRDefaultRule1,SetMFPrefAccountValues1,SetMFPrefFundDefaultRule1,SetMFPrefGeneralRule2,Update"&amp;"GRAccountValue1,GetDailyCash,UpdateDailyCash,CreateDoneAwayOrder,GetDataAllocation,GetDataClosing,CheckAllocatedGroups,VerifyLongPositionsGrid,CheckPortfolioManagement,GetActivityData,VerifyActivity,SetMFPrefGeneralRule3,UpdateGRDefaultRule2,UpdateGRDefau"&amp;"ltRule3,UpdateGRDefaultRule,CheckUnallocatedGroups,SetMFPrefAccountValues,Copy of Data,Copy of Data 1"</formula1>
    </dataValidation>
    <dataValidation type="list" allowBlank="1" sqref="H172:K172">
      <formula1>"CreateDoneAwayOrder,GetDataAllocation,GetDataClosing,CheckAllocatedGroups,VerifyLongPositionsGrid,VerifyShortPositionsGrid,CheckPortfolioManagement,GetActivityData,VerifyActivity,RunProrata,SelectUnallocatedGroup,EnterAllocatePreference,CheckUnallocatedGr"&amp;"oups,SetGeneralPreferences,Copy of Data"</formula1>
    </dataValidation>
    <dataValidation type="list" allowBlank="1" sqref="H508:K508">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VerifyLongPositionsGrid,GetActivityData,VerifyActivity,CheckPortfolioManagement,CleanUp,Copy of Data,Copy of Data 1,Copy of Data 1_conflict1556460951,Copy of Data 2"</formula1>
    </dataValidation>
    <dataValidation type="list" allowBlank="1" sqref="H9:K15">
      <formula1>"CreateTransaction,GetDataAllocation,CheckUnallocatedGroups,CheckAllocatedGroups,GetDataClosing,VerifyLongPositionsGrid,CheckPortfolioManagement,GetActivityData,VerifyActivity,Copy of Data,Copy of Data_conflict1317484394,Copy of Data 1,Copy of Data 2"</formula1>
    </dataValidation>
    <dataValidation type="list" allowBlank="1" sqref="H429:K429">
      <formula1>"CreateDoneAwayOrder,GetDailyCash,UpdateDailyCash,TradePTT,CreateDoneAwayOrderPTT,SelectUnallocatedGroup,Unallocate,EnterAllocatePreference,CheckAllocatedGroups,CheckUnallocatedGroups,PricingInput,GetDataAllocation,GetDataClosing,VerifyLongPositionsGrid,Ve"&amp;"rifyShortPositionsGrid,GetActivityData,VerifyActivity,CheckPortfolioManagement"</formula1>
    </dataValidation>
    <dataValidation type="list" allowBlank="1" sqref="H332:K332">
      <formula1>"CreateDoneAwayOrder,GetDailyCash,UpdateDailyCash,SelectUnallocatedGroup,EnterAllocatePreference,CheckAllocatedGroups,CheckUnallocatedGroups,GetDataAllocation,GetDataClosing,GetActivityData,VerifyActivity,CheckPortfolioManagement,VerifyLongPositionsGrid,Ve"&amp;"rifyShortPositionsGrid,Copy of Data,Copy of Data 1,Copy of Data 2,Allocate,Copy of Data 3,Copy of Data 4,Copy of Data 5"</formula1>
    </dataValidation>
    <dataValidation type="list" allowBlank="1" sqref="F14:F15 F26:F27 F60:F61 F88:F89 F111:F112 F169 F183:F184 F201:F202 F220:F221 F234:F235 F249:F250 F263:F264 F279:F280 F295:F296 F310 F326:F327 F343:F344 F361:F362 F400 F438:F439 F460:F461 F481:F482 F503:F504 F523:F524 F543:F544 F563:F564 F577:F579">
      <formula1>"GetDataCash,EnterCashDividends,EnterNonTradingTransaction,VerifyCash,VerifyActivityTabData,VerifyTradingTransactionData,VerifyActivityTabData,VerifyTradingTransactionData,GetTransactionData,GetTradingTransaction,GetActivityData,VerifyTradingTransaction,Ge"&amp;"tRevaluationData,VerifyActivity,GetAccountDetails,GetAccountDetails,GetNonTradingTransactio,GetNonTradingTransaction,GetDividendData,VerifyNonTradingTransaction,VerifyNonTradingTransaction,VerifyRevaluationData,VerifyDividend,GetOpeningBalance,GetOpeningB"&amp;"alanceData,GetAccountBalance,SelectNonTradingTransaction,SelectNonTradingTranItem,DeleteNonTradingTransaction,DeleteNonTradingTranItem,AddNonTradingTransaction,AddNonTradingTranItem,VerifyOpeningBalance,VerifyOpeningBalanceData,SelectOpeningBalanceTransac"&amp;"tion,SelectOpeningBalanceTransaction,SelectOpeningBalanceTransaction,SelectOpeningBalanceTransaction,SelectOpeningBalanceTranItem,EditNonTradingTransaction,EditNonTradingTransaction,EditNonTradingTranItem,DeleteOpeningBalanceTransaction,DeleteOpeningBalan"&amp;"ceTransaction,DeleteOpeningBalanceTranItem,GetDayEndCash,CalculateDayEndCash,VerifyDayEndCash,RunRevaluation,CalculateDayEndCash,GetCashTransaction,SelectCashTransaction,DeleteCashTransaction,EditCashTransaction,AddCashTransaction,AddOpeningBalanceTransac"&amp;"tion,AddOpeningBalanceTranItem,GetDailyCalculationsData,CalculateDailyCalculations,EditNonTradingTransaction,EditOpeningBalanceTranItem,EditOpeningBalanceTransaction,VerifyDailyCalTransactions,CloseGeneralLedger,VerifyAccountDetails,,,,,,,,,,,,,,,,,,,,,,,"&amp;",,,,,,,,,,,,,,,,,,,,,,,,,,,,,,,,,,,,,,,,,,,,,,,,,,,,,,,,,,,,,,,,,,,,,,,,,,,,,,,,,,,,,,,,,,,,,,,,,,,,,,,,,,,,,,,,,,,,,,,,,,,,,,,,,,,,,,,,,,,,,,,,,,,,,,,,,,,,,,,,,,,,,,,,,,,,,,,,,,,,,,,,,,,,,,,,,,,,,,,,,,,,,,,,,,,,,,,,,,,,,,,,,,,,,,,,,,,,,,,,,,,,,,,,,,,,,,,"&amp;",,,,,,,,,,,,,,,,,,,,,,,,,,,,,,,,,,,,,,,,,,,,,,,,,,,,,,,,,,,,,,,,,,,,,,,,,,,,,,,,,,,,,,,,,,,,,,,,,,,,,,,,,,,,,,,,,,,,,,,,,,,,,,,,,,,,,,,,,,,,,,,,,,,,,,,,,,"</formula1>
    </dataValidation>
  </dataValidations>
  <hyperlinks>
    <hyperlink r:id="rId1" location="gid=1032723098" ref="G6"/>
    <hyperlink r:id="rId2" location="gid=677031523" ref="G7"/>
    <hyperlink r:id="rId3" location="gid=1892168799" ref="G8"/>
    <hyperlink r:id="rId4" location="gid=1109228169" ref="G9"/>
    <hyperlink r:id="rId5" location="gid=383733109" ref="G10"/>
    <hyperlink r:id="rId6" location="gid=995884546" ref="G11"/>
    <hyperlink r:id="rId7" location="gid=1202701838" ref="G12"/>
    <hyperlink r:id="rId8" location="gid=1085480291" ref="G13"/>
    <hyperlink r:id="rId9" location="gid=1168349389" ref="G14"/>
    <hyperlink r:id="rId10" location="gid=687934931" ref="G15"/>
    <hyperlink r:id="rId11" location="gid=1633091888" ref="G18"/>
    <hyperlink r:id="rId12" location="gid=659016613" ref="G19"/>
    <hyperlink r:id="rId13" location="gid=960859286" ref="G22"/>
    <hyperlink r:id="rId14" location="gid=238807824" ref="G23"/>
    <hyperlink r:id="rId15" location="gid=72234129" ref="G24"/>
    <hyperlink r:id="rId16" location="gid=1262690982" ref="G25"/>
    <hyperlink r:id="rId17" location="gid=1934323807" ref="G26"/>
    <hyperlink r:id="rId18" location="gid=704270215" ref="G27"/>
    <hyperlink r:id="rId19" location="gid=1487681793" ref="G28"/>
    <hyperlink r:id="rId20" location="gid=367717642" ref="G30"/>
    <hyperlink r:id="rId21" location="gid=1612615939" ref="G31"/>
    <hyperlink r:id="rId22" location="gid=2087931669" ref="G32"/>
    <hyperlink r:id="rId23" location="gid=550547993" ref="G33"/>
    <hyperlink r:id="rId24" location="gid=476099991" ref="G34"/>
    <hyperlink r:id="rId25" location="gid=1762765270" ref="G35"/>
    <hyperlink r:id="rId26" location="gid=1274036195" ref="G36"/>
    <hyperlink r:id="rId27" location="gid=1137103662" ref="G37"/>
    <hyperlink r:id="rId28" location="gid=905142057" ref="G38"/>
    <hyperlink r:id="rId29" location="gid=375560679" ref="G39"/>
    <hyperlink r:id="rId30" location="gid=1637246456" ref="G40"/>
    <hyperlink r:id="rId31" location="gid=978408483" ref="G41"/>
    <hyperlink r:id="rId32" location="gid=71249393" ref="G42"/>
    <hyperlink r:id="rId33" location="gid=1964834422" ref="G45"/>
    <hyperlink r:id="rId34" location="gid=1235810985" ref="G46"/>
    <hyperlink r:id="rId35" location="gid=729598570" ref="G48"/>
    <hyperlink r:id="rId36" location="gid=522492230" ref="G49"/>
    <hyperlink r:id="rId37" location="gid=685296886" ref="G51"/>
    <hyperlink r:id="rId38" location="gid=1719413178" ref="G52"/>
    <hyperlink r:id="rId39" location="gid=937934366" ref="G53"/>
    <hyperlink r:id="rId40" location="gid=586998465" ref="G55"/>
    <hyperlink r:id="rId41" location="gid=526956775" ref="G56"/>
    <hyperlink r:id="rId42" location="gid=1577099073" ref="G57"/>
    <hyperlink r:id="rId43" location="gid=1415967468" ref="G58"/>
    <hyperlink r:id="rId44" location="gid=709380590" ref="G59"/>
    <hyperlink r:id="rId45" location="gid=1436432701" ref="G60"/>
    <hyperlink r:id="rId46" location="gid=355962075" ref="G61"/>
    <hyperlink r:id="rId47" location="gid=1212451983" ref="G62"/>
    <hyperlink r:id="rId48" location="gid=1548301589" ref="G64"/>
    <hyperlink r:id="rId49" location="gid=612853227" ref="G65"/>
    <hyperlink r:id="rId50" location="gid=2085179004" ref="G66"/>
    <hyperlink r:id="rId51" location="gid=853812573" ref="G67"/>
    <hyperlink r:id="rId52" location="gid=403032626" ref="G68"/>
    <hyperlink r:id="rId53" location="gid=294981913" ref="G69"/>
    <hyperlink r:id="rId54" location="gid=622624878" ref="G70"/>
    <hyperlink r:id="rId55" location="gid=468501397" ref="G73"/>
    <hyperlink r:id="rId56" location="gid=1275951778" ref="G74"/>
    <hyperlink r:id="rId57" location="gid=1559163657" ref="G76"/>
    <hyperlink r:id="rId58" location="gid=1741185767" ref="G77"/>
    <hyperlink r:id="rId59" location="gid=1977396895" ref="G79"/>
    <hyperlink r:id="rId60" location="gid=242978687" ref="G80"/>
    <hyperlink r:id="rId61" location="gid=614020673" ref="G81"/>
    <hyperlink r:id="rId62" location="gid=2071098674" ref="G83"/>
    <hyperlink r:id="rId63" location="gid=279754350" ref="G84"/>
    <hyperlink r:id="rId64" location="gid=1433045504" ref="G85"/>
    <hyperlink r:id="rId65" location="gid=1030162289" ref="G86"/>
    <hyperlink r:id="rId66" location="gid=372312404" ref="G87"/>
    <hyperlink r:id="rId67" location="gid=2110881127" ref="G88"/>
    <hyperlink r:id="rId68" location="gid=2105491196" ref="G89"/>
    <hyperlink r:id="rId69" location="gid=1851579530" ref="G90"/>
    <hyperlink r:id="rId70" location="gid=2007244545" ref="G92"/>
    <hyperlink r:id="rId71" location="gid=1445382958" ref="G93"/>
    <hyperlink r:id="rId72" location="gid=2055503114" ref="G94"/>
    <hyperlink r:id="rId73" location="gid=1916285723" ref="G95"/>
    <hyperlink r:id="rId74" location="gid=890229943" ref="G97"/>
    <hyperlink r:id="rId75" location="gid=432601253" ref="G98"/>
    <hyperlink r:id="rId76" location="gid=1673821000" ref="G100"/>
    <hyperlink r:id="rId77" location="gid=20985493" ref="G101"/>
    <hyperlink r:id="rId78" location="gid=1591706467" ref="G102"/>
    <hyperlink r:id="rId79" location="gid=1189241310" ref="G104"/>
    <hyperlink r:id="rId80" location="gid=230053500" ref="G105"/>
    <hyperlink r:id="rId81" location="gid=1314799634" ref="G106"/>
    <hyperlink r:id="rId82" location="gid=202699328" ref="G107"/>
    <hyperlink r:id="rId83" location="gid=1426873256" ref="G108"/>
    <hyperlink r:id="rId84" location="gid=1832573996" ref="G109"/>
    <hyperlink r:id="rId85" location="gid=209647740" ref="G110"/>
    <hyperlink r:id="rId86" location="gid=1661044519" ref="G111"/>
    <hyperlink r:id="rId87" location="gid=739168183" ref="G112"/>
    <hyperlink r:id="rId88" location="gid=1305194819" ref="G114"/>
    <hyperlink r:id="rId89" location="gid=1546561872" ref="G115"/>
    <hyperlink r:id="rId90" location="gid=1742218283" ref="G116"/>
    <hyperlink r:id="rId91" location="gid=1458768524" ref="G117"/>
    <hyperlink r:id="rId92" location="gid=660695438" ref="G118"/>
    <hyperlink r:id="rId93" location="gid=322799078" ref="G119"/>
    <hyperlink r:id="rId94" location="gid=702363680" ref="G120"/>
    <hyperlink r:id="rId95" location="gid=1163224697" ref="G121"/>
    <hyperlink r:id="rId96" location="gid=2050778962" ref="G122"/>
    <hyperlink r:id="rId97" location="gid=794333204" ref="G123"/>
    <hyperlink r:id="rId98" location="gid=958084548" ref="G124"/>
    <hyperlink r:id="rId99" location="gid=561426849" ref="G125"/>
    <hyperlink r:id="rId100" location="gid=318236679" ref="G126"/>
    <hyperlink r:id="rId101" location="gid=1980645691" ref="G127"/>
    <hyperlink r:id="rId102" location="gid=387645812" ref="G128"/>
    <hyperlink r:id="rId103" location="gid=213979415" ref="G130"/>
    <hyperlink r:id="rId104" location="gid=1573667454" ref="G131"/>
    <hyperlink r:id="rId105" location="gid=140400591" ref="G132"/>
    <hyperlink r:id="rId106" location="gid=1157515824" ref="G133"/>
    <hyperlink r:id="rId107" location="gid=2021468042" ref="G134"/>
    <hyperlink r:id="rId108" location="gid=1984196043" ref="G135"/>
    <hyperlink r:id="rId109" location="gid=1158808988" ref="G136"/>
    <hyperlink r:id="rId110" location="gid=55998853" ref="G137"/>
    <hyperlink r:id="rId111" location="gid=1895355460" ref="G138"/>
    <hyperlink r:id="rId112" location="gid=1689855614" ref="G139"/>
    <hyperlink r:id="rId113" location="gid=1317782446" ref="G140"/>
    <hyperlink r:id="rId114" location="gid=305452351" ref="G141"/>
    <hyperlink r:id="rId115" location="gid=1305194819" ref="G143"/>
    <hyperlink r:id="rId116" location="gid=1546561872" ref="G144"/>
    <hyperlink r:id="rId117" location="gid=1742218283" ref="G145"/>
    <hyperlink r:id="rId118" location="gid=660695438" ref="G146"/>
    <hyperlink r:id="rId119" location="gid=151523946" ref="G147"/>
    <hyperlink r:id="rId120" location="gid=322799078" ref="G148"/>
    <hyperlink r:id="rId121" location="gid=702363680" ref="G149"/>
    <hyperlink r:id="rId122" location="gid=1163224697" ref="G150"/>
    <hyperlink r:id="rId123" location="gid=2050778962" ref="G151"/>
    <hyperlink r:id="rId124" location="gid=794333204" ref="G152"/>
    <hyperlink r:id="rId125" location="gid=660695438" ref="G153"/>
    <hyperlink r:id="rId126" location="gid=561426849" ref="G154"/>
    <hyperlink r:id="rId127" location="gid=318236679" ref="G155"/>
    <hyperlink r:id="rId128" location="gid=1980645691" ref="G156"/>
    <hyperlink r:id="rId129" location="gid=387645812" ref="G157"/>
    <hyperlink r:id="rId130" location="gid=213979415" ref="G159"/>
    <hyperlink r:id="rId131" location="gid=1573667454" ref="G160"/>
    <hyperlink r:id="rId132" location="gid=140400591" ref="G161"/>
    <hyperlink r:id="rId133" location="gid=1157515824" ref="G162"/>
    <hyperlink r:id="rId134" location="gid=2021468042" ref="G163"/>
    <hyperlink r:id="rId135" location="gid=1984196043" ref="G164"/>
    <hyperlink r:id="rId136" location="gid=1158808988" ref="G165"/>
    <hyperlink r:id="rId137" location="gid=55998853" ref="G166"/>
    <hyperlink r:id="rId138" location="gid=1689855614" ref="G167"/>
    <hyperlink r:id="rId139" location="gid=1317782446" ref="G168"/>
    <hyperlink r:id="rId140" location="gid=305452351" ref="G169"/>
    <hyperlink r:id="rId141" location="gid=652429438" ref="G171"/>
    <hyperlink r:id="rId142" location="gid=1644862806" ref="G172"/>
    <hyperlink r:id="rId143" location="gid=482012982" ref="G173"/>
    <hyperlink r:id="rId144" location="gid=62865506" ref="G174"/>
    <hyperlink r:id="rId145" location="gid=1090776282" ref="G175"/>
    <hyperlink r:id="rId146" location="gid=563020176" ref="G177"/>
    <hyperlink r:id="rId147" location="gid=260971981" ref="G178"/>
    <hyperlink r:id="rId148" location="gid=574771294" ref="G179"/>
    <hyperlink r:id="rId149" location="gid=99037407" ref="G180"/>
    <hyperlink r:id="rId150" location="gid=324427661" ref="G181"/>
    <hyperlink r:id="rId151" location="gid=568674242" ref="G182"/>
    <hyperlink r:id="rId152" location="gid=1800216839" ref="G183"/>
    <hyperlink r:id="rId153" location="gid=868902322" ref="G184"/>
    <hyperlink r:id="rId154" location="gid=1794902119" ref="G185"/>
    <hyperlink r:id="rId155" location="gid=1404724005" ref="G187"/>
    <hyperlink r:id="rId156" location="gid=1256191087" ref="G188"/>
    <hyperlink r:id="rId157" location="gid=464618459" ref="G189"/>
    <hyperlink r:id="rId158" location="gid=1806999586" ref="G192"/>
    <hyperlink r:id="rId159" location="gid=679847661" ref="G193"/>
    <hyperlink r:id="rId160" location="gid=1176839911" ref="G194"/>
    <hyperlink r:id="rId161" location="gid=1964889971" ref="G196"/>
    <hyperlink r:id="rId162" location="gid=1518427308" ref="G197"/>
    <hyperlink r:id="rId163" location="gid=365904245" ref="G198"/>
    <hyperlink r:id="rId164" location="gid=296122258" ref="G199"/>
    <hyperlink r:id="rId165" location="gid=1194151577" ref="G200"/>
    <hyperlink r:id="rId166" location="gid=2137962541" ref="G201"/>
    <hyperlink r:id="rId167" location="gid=1184102961" ref="G202"/>
    <hyperlink r:id="rId168" location="gid=2032916572" ref="G203"/>
    <hyperlink r:id="rId169" location="gid=901158445" ref="G205"/>
    <hyperlink r:id="rId170" location="gid=1706576135" ref="G206"/>
    <hyperlink r:id="rId171" location="gid=239733622" ref="G207"/>
    <hyperlink r:id="rId172" location="gid=249703697" ref="G210"/>
    <hyperlink r:id="rId173" location="gid=1007913188" ref="G211"/>
    <hyperlink r:id="rId174" location="gid=290738027" ref="G212"/>
    <hyperlink r:id="rId175" location="gid=799072693" ref="G214"/>
    <hyperlink r:id="rId176" location="gid=843814807" ref="G215"/>
    <hyperlink r:id="rId177" location="gid=619655395" ref="G216"/>
    <hyperlink r:id="rId178" location="gid=1787575037" ref="G217"/>
    <hyperlink r:id="rId179" location="gid=516882526" ref="G218"/>
    <hyperlink r:id="rId180" location="gid=1092419506" ref="G219"/>
    <hyperlink r:id="rId181" location="gid=1413594196" ref="G220"/>
    <hyperlink r:id="rId182" location="gid=299079412" ref="G221"/>
    <hyperlink r:id="rId183" location="gid=980454735" ref="G222"/>
    <hyperlink r:id="rId184" location="gid=848067204" ref="G224"/>
    <hyperlink r:id="rId185" location="gid=1346728959" ref="G225"/>
    <hyperlink r:id="rId186" location="gid=942762225" ref="G226"/>
    <hyperlink r:id="rId187" location="gid=1944714733" ref="G228"/>
    <hyperlink r:id="rId188" location="gid=444533656" ref="G229"/>
    <hyperlink r:id="rId189" location="gid=300311665" ref="G230"/>
    <hyperlink r:id="rId190" location="gid=1255683906" ref="G231"/>
    <hyperlink r:id="rId191" location="gid=1571648221" ref="G232"/>
    <hyperlink r:id="rId192" location="gid=484698995" ref="G233"/>
    <hyperlink r:id="rId193" location="gid=465646479" ref="G234"/>
    <hyperlink r:id="rId194" location="gid=165354283" ref="G235"/>
    <hyperlink r:id="rId195" location="gid=492569724" ref="G237"/>
    <hyperlink r:id="rId196" location="gid=848067204" ref="G238"/>
    <hyperlink r:id="rId197" location="gid=1346728959" ref="G239"/>
    <hyperlink r:id="rId198" location="gid=942762225" ref="G240"/>
    <hyperlink r:id="rId199" location="gid=889213188" ref="G242"/>
    <hyperlink r:id="rId200" location="gid=444533656" ref="G243"/>
    <hyperlink r:id="rId201" location="gid=300311665" ref="G244"/>
    <hyperlink r:id="rId202" location="gid=801454614" ref="G245"/>
    <hyperlink r:id="rId203" location="gid=1593253725" ref="G246"/>
    <hyperlink r:id="rId204" location="gid=216744799" ref="G247"/>
    <hyperlink r:id="rId205" location="gid=2055958241" ref="G248"/>
    <hyperlink r:id="rId206" location="gid=595247504" ref="G249"/>
    <hyperlink r:id="rId207" location="gid=789543714" ref="G250"/>
    <hyperlink r:id="rId208" location="gid=2109097011" ref="G252"/>
    <hyperlink r:id="rId209" location="gid=848067204" ref="G253"/>
    <hyperlink r:id="rId210" location="gid=1346728959" ref="G254"/>
    <hyperlink r:id="rId211" location="gid=942762225" ref="G255"/>
    <hyperlink r:id="rId212" location="gid=1770624506" ref="G257"/>
    <hyperlink r:id="rId213" location="gid=444533656" ref="G258"/>
    <hyperlink r:id="rId214" location="gid=300311665" ref="G259"/>
    <hyperlink r:id="rId215" location="gid=322835838" ref="G260"/>
    <hyperlink r:id="rId216" location="gid=1495519006" ref="G261"/>
    <hyperlink r:id="rId217" location="gid=1496318493" ref="G262"/>
    <hyperlink r:id="rId218" location="gid=1838715397" ref="G263"/>
    <hyperlink r:id="rId219" location="gid=1421480123" ref="G264"/>
    <hyperlink r:id="rId220" location="gid=1434180584" ref="G266"/>
    <hyperlink r:id="rId221" location="gid=848067204" ref="G267"/>
    <hyperlink r:id="rId222" location="gid=1346728959" ref="G268"/>
    <hyperlink r:id="rId223" location="gid=942762225" ref="G269"/>
    <hyperlink r:id="rId224" location="gid=316886168" ref="G270"/>
    <hyperlink r:id="rId225" location="gid=160881167" ref="G272"/>
    <hyperlink r:id="rId226" location="gid=444533656" ref="G273"/>
    <hyperlink r:id="rId227" location="gid=300311665" ref="G274"/>
    <hyperlink r:id="rId228" location="gid=665575312" ref="G275"/>
    <hyperlink r:id="rId229" location="gid=404711736" ref="G276"/>
    <hyperlink r:id="rId230" location="gid=14817648" ref="G277"/>
    <hyperlink r:id="rId231" location="gid=2095958277" ref="G278"/>
    <hyperlink r:id="rId232" location="gid=516928529" ref="G279"/>
    <hyperlink r:id="rId233" location="gid=2078721553" ref="G280"/>
    <hyperlink r:id="rId234" location="gid=1234233463" ref="G282"/>
    <hyperlink r:id="rId235" location="gid=848067204" ref="G283"/>
    <hyperlink r:id="rId236" location="gid=1346728959" ref="G284"/>
    <hyperlink r:id="rId237" location="gid=942762225" ref="G285"/>
    <hyperlink r:id="rId238" location="gid=316886168" ref="G286"/>
    <hyperlink r:id="rId239" location="gid=67601295" ref="G288"/>
    <hyperlink r:id="rId240" location="gid=444533656" ref="G289"/>
    <hyperlink r:id="rId241" location="gid=300311665" ref="G290"/>
    <hyperlink r:id="rId242" location="gid=132026624" ref="G291"/>
    <hyperlink r:id="rId243" location="gid=253696978" ref="G292"/>
    <hyperlink r:id="rId244" location="gid=1997247795" ref="G293"/>
    <hyperlink r:id="rId245" location="gid=1712290633" ref="G294"/>
    <hyperlink r:id="rId246" location="gid=792851348" ref="G295"/>
    <hyperlink r:id="rId247" location="gid=2091277952" ref="G296"/>
    <hyperlink r:id="rId248" location="gid=1783346107" ref="G298"/>
    <hyperlink r:id="rId249" location="gid=848067204" ref="G299"/>
    <hyperlink r:id="rId250" location="gid=1346728959" ref="G300"/>
    <hyperlink r:id="rId251" location="gid=942762225" ref="G301"/>
    <hyperlink r:id="rId252" location="gid=316886168" ref="G302"/>
    <hyperlink r:id="rId253" location="gid=1672571474" ref="G304"/>
    <hyperlink r:id="rId254" location="gid=444533656" ref="G305"/>
    <hyperlink r:id="rId255" location="gid=105345496" ref="G306"/>
    <hyperlink r:id="rId256" location="gid=901439104" ref="G307"/>
    <hyperlink r:id="rId257" location="gid=1760597763" ref="G308"/>
    <hyperlink r:id="rId258" location="gid=1110022122" ref="G309"/>
    <hyperlink r:id="rId259" location="gid=1755556893" ref="G310"/>
    <hyperlink r:id="rId260" location="gid=2012103781" ref="G311"/>
    <hyperlink r:id="rId261" location="gid=1969120090" ref="G313"/>
    <hyperlink r:id="rId262" location="gid=848067204" ref="G314"/>
    <hyperlink r:id="rId263" location="gid=1766871142" ref="G315"/>
    <hyperlink r:id="rId264" location="gid=677013789" ref="G316"/>
    <hyperlink r:id="rId265" location="gid=1346728959" ref="G317"/>
    <hyperlink r:id="rId266" location="gid=942762225" ref="G318"/>
    <hyperlink r:id="rId267" location="gid=1815634135" ref="G320"/>
    <hyperlink r:id="rId268" location="gid=444533656" ref="G321"/>
    <hyperlink r:id="rId269" location="gid=300311665" ref="G322"/>
    <hyperlink r:id="rId270" location="gid=384574781" ref="G323"/>
    <hyperlink r:id="rId271" location="gid=1674078072" ref="G324"/>
    <hyperlink r:id="rId272" location="gid=1946932997" ref="G325"/>
    <hyperlink r:id="rId273" location="gid=842126974" ref="G326"/>
    <hyperlink r:id="rId274" location="gid=2074978730" ref="G327"/>
    <hyperlink r:id="rId275" location="gid=698429192" ref="G328"/>
    <hyperlink r:id="rId276" location="gid=2033802082" ref="G330"/>
    <hyperlink r:id="rId277" location="gid=848067204" ref="G331"/>
    <hyperlink r:id="rId278" location="gid=1257809224" ref="G332"/>
    <hyperlink r:id="rId279" location="gid=330033151" ref="G333"/>
    <hyperlink r:id="rId280" location="gid=1346728959" ref="G334"/>
    <hyperlink r:id="rId281" location="gid=942762225" ref="G335"/>
    <hyperlink r:id="rId282" location="gid=789259" ref="G337"/>
    <hyperlink r:id="rId283" location="gid=444533656" ref="G338"/>
    <hyperlink r:id="rId284" location="gid=300311665" ref="G339"/>
    <hyperlink r:id="rId285" location="gid=2027270313" ref="G340"/>
    <hyperlink r:id="rId286" location="gid=1778087754" ref="G341"/>
    <hyperlink r:id="rId287" location="gid=391479486" ref="G342"/>
    <hyperlink r:id="rId288" location="gid=1807697616" ref="G343"/>
    <hyperlink r:id="rId289" location="gid=458321891" ref="G344"/>
    <hyperlink r:id="rId290" location="gid=65526600" ref="G345"/>
    <hyperlink r:id="rId291" location="gid=144857693" ref="G347"/>
    <hyperlink r:id="rId292" location="gid=848067204" ref="G348"/>
    <hyperlink r:id="rId293" location="gid=254125730" ref="G349"/>
    <hyperlink r:id="rId294" location="gid=1088402940" ref="G350"/>
    <hyperlink r:id="rId295" location="gid=2119260987" ref="G351"/>
    <hyperlink r:id="rId296" location="gid=1346728959" ref="G352"/>
    <hyperlink r:id="rId297" location="gid=942762225" ref="G353"/>
    <hyperlink r:id="rId298" location="gid=333319580" ref="G355"/>
    <hyperlink r:id="rId299" location="gid=444533656" ref="G356"/>
    <hyperlink r:id="rId300" location="gid=300311665" ref="G357"/>
    <hyperlink r:id="rId301" location="gid=2003423096" ref="G358"/>
    <hyperlink r:id="rId302" location="gid=1067099642" ref="G359"/>
    <hyperlink r:id="rId303" location="gid=1955783531" ref="G360"/>
    <hyperlink r:id="rId304" location="gid=755644100" ref="G361"/>
    <hyperlink r:id="rId305" location="gid=1553795187" ref="G362"/>
    <hyperlink r:id="rId306" location="gid=522075596" ref="G363"/>
    <hyperlink r:id="rId307" location="gid=2059234165" ref="G365"/>
    <hyperlink r:id="rId308" location="gid=848067204" ref="G366"/>
    <hyperlink r:id="rId309" location="gid=988303276" ref="G367"/>
    <hyperlink r:id="rId310" location="gid=696755075" ref="G368"/>
    <hyperlink r:id="rId311" location="gid=548627245" ref="G369"/>
    <hyperlink r:id="rId312" location="gid=1346728959" ref="G370"/>
    <hyperlink r:id="rId313" location="gid=942762225" ref="G371"/>
    <hyperlink r:id="rId314" location="gid=1466385981" ref="G373"/>
    <hyperlink r:id="rId315" location="gid=444533656" ref="G374"/>
    <hyperlink r:id="rId316" location="gid=300311665" ref="G375"/>
    <hyperlink r:id="rId317" location="gid=170896797" ref="G376"/>
    <hyperlink r:id="rId318" location="gid=800605117" ref="G377"/>
    <hyperlink r:id="rId319" location="gid=1794687608" ref="G378"/>
    <hyperlink r:id="rId320" location="gid=1758918844" ref="G379"/>
    <hyperlink r:id="rId321" location="gid=152445010" ref="G380"/>
    <hyperlink r:id="rId322" location="gid=970515459" ref="G381"/>
    <hyperlink r:id="rId323" location="gid=848067204" ref="G383"/>
    <hyperlink r:id="rId324" location="gid=291486577" ref="G384"/>
    <hyperlink r:id="rId325" location="gid=901960590" ref="G385"/>
    <hyperlink r:id="rId326" location="gid=731662688" ref="G386"/>
    <hyperlink r:id="rId327" location="gid=1167725034" ref="G387"/>
    <hyperlink r:id="rId328" location="gid=1498824902" ref="G388"/>
    <hyperlink r:id="rId329" location="gid=912850243" ref="G389"/>
    <hyperlink r:id="rId330" location="gid=1484309022" ref="G390"/>
    <hyperlink r:id="rId331" location="gid=1346728959" ref="G391"/>
    <hyperlink r:id="rId332" location="gid=942762225" ref="G392"/>
    <hyperlink r:id="rId333" location="gid=2106052673" ref="G394"/>
    <hyperlink r:id="rId334" location="gid=444533656" ref="G395"/>
    <hyperlink r:id="rId335" location="gid=300311665" ref="G396"/>
    <hyperlink r:id="rId336" location="gid=1918725552" ref="G397"/>
    <hyperlink r:id="rId337" location="gid=1362298106" ref="G398"/>
    <hyperlink r:id="rId338" location="gid=35022370" ref="G399"/>
    <hyperlink r:id="rId339" location="gid=11815714" ref="G400"/>
    <hyperlink r:id="rId340" location="gid=1147037116" ref="G401"/>
    <hyperlink r:id="rId341" location="gid=848067204" ref="G403"/>
    <hyperlink r:id="rId342" location="gid=291486577" ref="G404"/>
    <hyperlink r:id="rId343" location="gid=901960590" ref="G405"/>
    <hyperlink r:id="rId344" location="gid=1919964335" ref="G406"/>
    <hyperlink r:id="rId345" location="gid=1167725034" ref="G407"/>
    <hyperlink r:id="rId346" location="gid=1498824902" ref="G408"/>
    <hyperlink r:id="rId347" location="gid=1986732099" ref="G409"/>
    <hyperlink r:id="rId348" location="gid=1346728959" ref="G410"/>
    <hyperlink r:id="rId349" location="gid=942762225" ref="G411"/>
    <hyperlink r:id="rId350" location="gid=1249286410" ref="G413"/>
    <hyperlink r:id="rId351" location="gid=444533656" ref="G414"/>
    <hyperlink r:id="rId352" location="gid=300311665" ref="G415"/>
    <hyperlink r:id="rId353" location="gid=1090952177" ref="G416"/>
    <hyperlink r:id="rId354" location="gid=1506588713" ref="G417"/>
    <hyperlink r:id="rId355" location="gid=1964892765" ref="G418"/>
    <hyperlink r:id="rId356" location="gid=1469030678" ref="G419"/>
    <hyperlink r:id="rId357" location="gid=1584641108" ref="G420"/>
    <hyperlink r:id="rId358" location="gid=848067204" ref="G422"/>
    <hyperlink r:id="rId359" location="gid=291486577" ref="G423"/>
    <hyperlink r:id="rId360" location="gid=901960590" ref="G424"/>
    <hyperlink r:id="rId361" location="gid=1062053463" ref="G425"/>
    <hyperlink r:id="rId362" location="gid=1167725034" ref="G426"/>
    <hyperlink r:id="rId363" location="gid=1498824902" ref="G427"/>
    <hyperlink r:id="rId364" location="gid=1366741626" ref="G428"/>
    <hyperlink r:id="rId365" location="gid=1346728959" ref="G429"/>
    <hyperlink r:id="rId366" location="gid=942762225" ref="G430"/>
    <hyperlink r:id="rId367" location="gid=1784765414" ref="G432"/>
    <hyperlink r:id="rId368" location="gid=444533656" ref="G433"/>
    <hyperlink r:id="rId369" location="gid=300311665" ref="G434"/>
    <hyperlink r:id="rId370" location="gid=1469760881" ref="G435"/>
    <hyperlink r:id="rId371" location="gid=2137228459" ref="G436"/>
    <hyperlink r:id="rId372" location="gid=70027090" ref="G437"/>
    <hyperlink r:id="rId373" location="gid=170025553" ref="G438"/>
    <hyperlink r:id="rId374" location="gid=1106915653" ref="G439"/>
    <hyperlink r:id="rId375" location="gid=2122330047" ref="G440"/>
    <hyperlink r:id="rId376" location="gid=731665734" ref="G442"/>
    <hyperlink r:id="rId377" location="gid=848067204" ref="G443"/>
    <hyperlink r:id="rId378" location="gid=291486577" ref="G444"/>
    <hyperlink r:id="rId379" location="gid=901960590" ref="G445"/>
    <hyperlink r:id="rId380" location="gid=1062053463" ref="G446"/>
    <hyperlink r:id="rId381" location="gid=1167725034" ref="G447"/>
    <hyperlink r:id="rId382" location="gid=1498824902" ref="G448"/>
    <hyperlink r:id="rId383" location="gid=1366741626" ref="G449"/>
    <hyperlink r:id="rId384" location="gid=1346728959" ref="G450"/>
    <hyperlink r:id="rId385" location="gid=942762225" ref="G451"/>
    <hyperlink r:id="rId386" location="gid=316886168" ref="G452"/>
    <hyperlink r:id="rId387" location="gid=1629835680" ref="G454"/>
    <hyperlink r:id="rId388" location="gid=444533656" ref="G455"/>
    <hyperlink r:id="rId389" location="gid=300311665" ref="G456"/>
    <hyperlink r:id="rId390" location="gid=680980751" ref="G457"/>
    <hyperlink r:id="rId391" location="gid=1116578740" ref="G458"/>
    <hyperlink r:id="rId392" location="gid=1084661218" ref="G459"/>
    <hyperlink r:id="rId393" location="gid=912773589" ref="G460"/>
    <hyperlink r:id="rId394" location="gid=860119283" ref="G461"/>
    <hyperlink r:id="rId395" location="gid=1273400155" ref="G462"/>
    <hyperlink r:id="rId396" location="gid=2119508949" ref="G464"/>
    <hyperlink r:id="rId397" location="gid=848067204" ref="G465"/>
    <hyperlink r:id="rId398" location="gid=291486577" ref="G466"/>
    <hyperlink r:id="rId399" location="gid=901960590" ref="G467"/>
    <hyperlink r:id="rId400" location="gid=1062053463" ref="G468"/>
    <hyperlink r:id="rId401" location="gid=1167725034" ref="G469"/>
    <hyperlink r:id="rId402" location="gid=1498824902" ref="G470"/>
    <hyperlink r:id="rId403" location="gid=1366741626" ref="G471"/>
    <hyperlink r:id="rId404" location="gid=1346728959" ref="G472"/>
    <hyperlink r:id="rId405" location="gid=942762225" ref="G473"/>
    <hyperlink r:id="rId406" location="gid=316886168" ref="G474"/>
    <hyperlink r:id="rId407" location="gid=301566170" ref="G476"/>
    <hyperlink r:id="rId408" location="gid=444533656" ref="G477"/>
    <hyperlink r:id="rId409" location="gid=1548152248" ref="G478"/>
    <hyperlink r:id="rId410" location="gid=935192376" ref="G479"/>
    <hyperlink r:id="rId411" location="gid=338225756" ref="G480"/>
    <hyperlink r:id="rId412" location="gid=590955740" ref="G481"/>
    <hyperlink r:id="rId413" location="gid=1666803237" ref="G482"/>
    <hyperlink r:id="rId414" location="gid=394206818" ref="G483"/>
    <hyperlink r:id="rId415" location="gid=1630912510" ref="G485"/>
    <hyperlink r:id="rId416" location="gid=848067204" ref="G486"/>
    <hyperlink r:id="rId417" location="gid=291486577" ref="G487"/>
    <hyperlink r:id="rId418" location="gid=901960590" ref="G488"/>
    <hyperlink r:id="rId419" location="gid=1062053463" ref="G489"/>
    <hyperlink r:id="rId420" location="gid=1167725034" ref="G490"/>
    <hyperlink r:id="rId421" location="gid=1498824902" ref="G491"/>
    <hyperlink r:id="rId422" location="gid=1366741626" ref="G492"/>
    <hyperlink r:id="rId423" location="gid=1346728959" ref="G493"/>
    <hyperlink r:id="rId424" location="gid=942762225" ref="G494"/>
    <hyperlink r:id="rId425" location="gid=316886168" ref="G495"/>
    <hyperlink r:id="rId426" location="gid=498739811" ref="G497"/>
    <hyperlink r:id="rId427" location="gid=444533656" ref="G498"/>
    <hyperlink r:id="rId428" location="gid=534362231" ref="G499"/>
    <hyperlink r:id="rId429" location="gid=404935663" ref="G500"/>
    <hyperlink r:id="rId430" location="gid=83922945" ref="G501"/>
    <hyperlink r:id="rId431" location="gid=1434298868" ref="G502"/>
    <hyperlink r:id="rId432" location="gid=183741488" ref="G503"/>
    <hyperlink r:id="rId433" location="gid=1579916542" ref="G504"/>
    <hyperlink r:id="rId434" location="gid=1284291604" ref="G505"/>
    <hyperlink r:id="rId435" location="gid=848067204" ref="G507"/>
    <hyperlink r:id="rId436" location="gid=291486577" ref="G508"/>
    <hyperlink r:id="rId437" location="gid=901960590" ref="G509"/>
    <hyperlink r:id="rId438" location="gid=731662688" ref="G510"/>
    <hyperlink r:id="rId439" location="gid=1167725034" ref="G511"/>
    <hyperlink r:id="rId440" location="gid=1498824902" ref="G512"/>
    <hyperlink r:id="rId441" location="gid=1484309022" ref="G513"/>
    <hyperlink r:id="rId442" location="gid=1346728959" ref="G514"/>
    <hyperlink r:id="rId443" location="gid=942762225" ref="G515"/>
    <hyperlink r:id="rId444" location="gid=151513935" ref="G517"/>
    <hyperlink r:id="rId445" location="gid=444533656" ref="G518"/>
    <hyperlink r:id="rId446" location="gid=300311665" ref="G519"/>
    <hyperlink r:id="rId447" location="gid=1949369643" ref="G520"/>
    <hyperlink r:id="rId448" location="gid=2035017987" ref="G521"/>
    <hyperlink r:id="rId449" location="gid=1626254989" ref="G522"/>
    <hyperlink r:id="rId450" location="gid=2008447490" ref="G523"/>
    <hyperlink r:id="rId451" location="gid=14692605" ref="G524"/>
    <hyperlink r:id="rId452" location="gid=461190990" ref="G525"/>
    <hyperlink r:id="rId453" location="gid=848067204" ref="G527"/>
    <hyperlink r:id="rId454" location="gid=291486577" ref="G528"/>
    <hyperlink r:id="rId455" location="gid=901960590" ref="G529"/>
    <hyperlink r:id="rId456" location="gid=731662688" ref="G530"/>
    <hyperlink r:id="rId457" location="gid=1167725034" ref="G531"/>
    <hyperlink r:id="rId458" location="gid=1498824902" ref="G532"/>
    <hyperlink r:id="rId459" location="gid=1484309022" ref="G533"/>
    <hyperlink r:id="rId460" location="gid=1346728959" ref="G534"/>
    <hyperlink r:id="rId461" location="gid=942762225" ref="G535"/>
    <hyperlink r:id="rId462" location="gid=1403632598" ref="G537"/>
    <hyperlink r:id="rId463" location="gid=444533656" ref="G538"/>
    <hyperlink r:id="rId464" location="gid=300311665" ref="G539"/>
    <hyperlink r:id="rId465" location="gid=591091457" ref="G540"/>
    <hyperlink r:id="rId466" location="gid=1623525537" ref="G541"/>
    <hyperlink r:id="rId467" location="gid=534738508" ref="G542"/>
    <hyperlink r:id="rId468" location="gid=906706195" ref="G543"/>
    <hyperlink r:id="rId469" location="gid=769763900" ref="G544"/>
    <hyperlink r:id="rId470" location="gid=1099297943" ref="G545"/>
    <hyperlink r:id="rId471" location="gid=848067204" ref="G547"/>
    <hyperlink r:id="rId472" location="gid=291486577" ref="G548"/>
    <hyperlink r:id="rId473" location="gid=901960590" ref="G549"/>
    <hyperlink r:id="rId474" location="gid=731662688" ref="G550"/>
    <hyperlink r:id="rId475" location="gid=1167725034" ref="G551"/>
    <hyperlink r:id="rId476" location="gid=1498824902" ref="G552"/>
    <hyperlink r:id="rId477" location="gid=1484309022" ref="G553"/>
    <hyperlink r:id="rId478" location="gid=1346728959" ref="G554"/>
    <hyperlink r:id="rId479" location="gid=942762225" ref="G555"/>
    <hyperlink r:id="rId480" location="gid=2001781774" ref="G557"/>
    <hyperlink r:id="rId481" location="gid=444533656" ref="G558"/>
    <hyperlink r:id="rId482" location="gid=300311665" ref="G559"/>
    <hyperlink r:id="rId483" location="gid=1245807922" ref="G560"/>
    <hyperlink r:id="rId484" location="gid=1768509361" ref="G561"/>
    <hyperlink r:id="rId485" location="gid=12078598" ref="G562"/>
    <hyperlink r:id="rId486" location="gid=1267960685" ref="G563"/>
    <hyperlink r:id="rId487" location="gid=232111261" ref="G564"/>
    <hyperlink r:id="rId488" location="gid=1560473405" ref="G565"/>
    <hyperlink r:id="rId489" location="gid=154962266" ref="G567"/>
    <hyperlink r:id="rId490" location="gid=1323893497" ref="G568"/>
    <hyperlink r:id="rId491" location="gid=1105477973" ref="G569"/>
    <hyperlink r:id="rId492" location="gid=1625390407" ref="G571"/>
    <hyperlink r:id="rId493" location="gid=852316954" ref="G572"/>
    <hyperlink r:id="rId494" location="gid=1957580865" ref="G573"/>
    <hyperlink r:id="rId495" location="gid=187840640" ref="G574"/>
    <hyperlink r:id="rId496" location="gid=1696188823" ref="G575"/>
    <hyperlink r:id="rId497" location="gid=112890901" ref="G576"/>
    <hyperlink r:id="rId498" location="gid=1957759462" ref="G577"/>
    <hyperlink r:id="rId499" location="gid=1532497245" ref="G578"/>
  </hyperlinks>
  <drawing r:id="rId50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7.29" defaultRowHeight="15.0"/>
  <cols>
    <col customWidth="1" min="1" max="1" width="0.43"/>
    <col customWidth="1" min="2" max="2" width="16.43"/>
    <col customWidth="1" min="3" max="3" width="55.43"/>
    <col customWidth="1" min="4" max="4" width="16.86"/>
    <col customWidth="1" min="5" max="5" width="24.71"/>
    <col customWidth="1" min="6" max="6" width="41.86"/>
    <col customWidth="1" min="7" max="7" width="81.57"/>
    <col customWidth="1" min="8" max="8" width="26.29"/>
    <col customWidth="1" min="9" max="12" width="18.0"/>
    <col customWidth="1" min="13" max="32" width="14.43"/>
  </cols>
  <sheetData>
    <row r="1" ht="1.5" customHeight="1">
      <c r="A1" s="12"/>
      <c r="B1" s="12"/>
      <c r="C1" s="13"/>
      <c r="D1" s="14"/>
      <c r="E1" s="14"/>
      <c r="F1" s="14"/>
      <c r="G1" s="14"/>
      <c r="H1" s="14"/>
      <c r="I1" s="14"/>
      <c r="J1" s="12"/>
      <c r="K1" s="12"/>
      <c r="L1" s="12"/>
      <c r="M1" s="15"/>
      <c r="N1" s="15"/>
      <c r="O1" s="15"/>
      <c r="P1" s="15"/>
      <c r="Q1" s="15"/>
      <c r="R1" s="15"/>
      <c r="S1" s="15"/>
      <c r="T1" s="15"/>
      <c r="U1" s="15"/>
      <c r="V1" s="15"/>
      <c r="W1" s="15"/>
      <c r="X1" s="15"/>
      <c r="Y1" s="15"/>
      <c r="Z1" s="15"/>
      <c r="AA1" s="15"/>
      <c r="AB1" s="15"/>
      <c r="AC1" s="15"/>
      <c r="AD1" s="15"/>
      <c r="AE1" s="15"/>
      <c r="AF1" s="15"/>
    </row>
    <row r="2" ht="1.5" hidden="1" customHeight="1">
      <c r="A2" s="12"/>
      <c r="B2" s="12"/>
      <c r="C2" s="13"/>
      <c r="D2" s="14"/>
      <c r="E2" s="14"/>
      <c r="F2" s="14"/>
      <c r="G2" s="14"/>
      <c r="H2" s="14"/>
      <c r="I2" s="14"/>
      <c r="J2" s="12"/>
      <c r="K2" s="12"/>
      <c r="L2" s="12"/>
      <c r="M2" s="15"/>
      <c r="N2" s="15"/>
      <c r="O2" s="15"/>
      <c r="P2" s="15"/>
      <c r="Q2" s="15"/>
      <c r="R2" s="15"/>
      <c r="S2" s="15"/>
      <c r="T2" s="15"/>
      <c r="U2" s="15"/>
      <c r="V2" s="15"/>
      <c r="W2" s="15"/>
      <c r="X2" s="15"/>
      <c r="Y2" s="15"/>
      <c r="Z2" s="15"/>
      <c r="AA2" s="15"/>
      <c r="AB2" s="15"/>
      <c r="AC2" s="15"/>
      <c r="AD2" s="15"/>
      <c r="AE2" s="15"/>
      <c r="AF2" s="15"/>
    </row>
    <row r="3" ht="15.75" customHeight="1">
      <c r="A3" s="14" t="s">
        <v>5</v>
      </c>
      <c r="B3" s="14"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row>
    <row r="4" ht="15.75" customHeight="1">
      <c r="A4" s="20"/>
      <c r="B4" s="20"/>
      <c r="C4" s="21"/>
      <c r="D4" s="20"/>
      <c r="E4" s="20"/>
      <c r="F4" s="20"/>
      <c r="G4" s="20"/>
      <c r="H4" s="20"/>
      <c r="I4" s="20"/>
      <c r="J4" s="20"/>
      <c r="K4" s="20"/>
      <c r="L4" s="20"/>
      <c r="M4" s="15"/>
      <c r="N4" s="15"/>
      <c r="O4" s="15"/>
      <c r="P4" s="15"/>
      <c r="Q4" s="15"/>
      <c r="R4" s="15"/>
      <c r="S4" s="15"/>
      <c r="T4" s="15"/>
      <c r="U4" s="15"/>
      <c r="V4" s="15"/>
      <c r="W4" s="15"/>
      <c r="X4" s="15"/>
      <c r="Y4" s="15"/>
      <c r="Z4" s="15"/>
      <c r="AA4" s="15"/>
      <c r="AB4" s="15"/>
      <c r="AC4" s="15"/>
      <c r="AD4" s="15"/>
      <c r="AE4" s="15"/>
      <c r="AF4" s="15"/>
    </row>
    <row r="5" ht="15.75" customHeight="1">
      <c r="A5" s="22" t="s">
        <v>5</v>
      </c>
      <c r="B5" s="22" t="s">
        <v>7</v>
      </c>
      <c r="C5" s="514" t="s">
        <v>8</v>
      </c>
      <c r="D5" s="515" t="s">
        <v>9</v>
      </c>
      <c r="E5" s="24" t="s">
        <v>10</v>
      </c>
      <c r="F5" s="24" t="s">
        <v>11</v>
      </c>
      <c r="G5" s="24" t="s">
        <v>12</v>
      </c>
      <c r="H5" s="229" t="s">
        <v>13</v>
      </c>
      <c r="I5" s="24" t="s">
        <v>14</v>
      </c>
      <c r="J5" s="22" t="s">
        <v>15</v>
      </c>
      <c r="K5" s="22" t="s">
        <v>16</v>
      </c>
      <c r="L5" s="516" t="s">
        <v>17</v>
      </c>
      <c r="M5" s="15"/>
      <c r="N5" s="15"/>
      <c r="O5" s="15"/>
      <c r="P5" s="15"/>
      <c r="Q5" s="15"/>
      <c r="R5" s="15"/>
      <c r="S5" s="15"/>
      <c r="T5" s="15"/>
      <c r="U5" s="15"/>
      <c r="V5" s="15"/>
      <c r="W5" s="15"/>
      <c r="X5" s="15"/>
      <c r="Y5" s="15"/>
      <c r="Z5" s="15"/>
      <c r="AA5" s="15"/>
      <c r="AB5" s="15"/>
      <c r="AC5" s="15"/>
      <c r="AD5" s="15"/>
      <c r="AE5" s="15"/>
      <c r="AF5" s="15"/>
    </row>
    <row r="6" ht="15.75" customHeight="1">
      <c r="A6" s="28" t="s">
        <v>5</v>
      </c>
      <c r="B6" s="517" t="s">
        <v>5019</v>
      </c>
      <c r="C6" s="518" t="s">
        <v>5020</v>
      </c>
      <c r="D6" s="517" t="s">
        <v>42</v>
      </c>
      <c r="E6" s="28" t="s">
        <v>88</v>
      </c>
      <c r="F6" s="395" t="s">
        <v>89</v>
      </c>
      <c r="G6" s="37"/>
      <c r="H6" s="35"/>
      <c r="I6" s="36"/>
      <c r="J6" s="36"/>
      <c r="L6" s="45"/>
      <c r="M6" s="45"/>
      <c r="N6" s="15"/>
      <c r="O6" s="15"/>
      <c r="P6" s="15"/>
      <c r="Q6" s="15"/>
      <c r="R6" s="15"/>
      <c r="S6" s="15"/>
      <c r="T6" s="15"/>
      <c r="U6" s="15"/>
      <c r="V6" s="15"/>
      <c r="W6" s="15"/>
      <c r="X6" s="15"/>
      <c r="Y6" s="15"/>
      <c r="Z6" s="15"/>
      <c r="AA6" s="15"/>
      <c r="AB6" s="15"/>
      <c r="AC6" s="15"/>
      <c r="AD6" s="15"/>
      <c r="AE6" s="15"/>
      <c r="AF6" s="15"/>
    </row>
    <row r="7" ht="15.75" customHeight="1">
      <c r="A7" s="28" t="s">
        <v>5</v>
      </c>
      <c r="B7" s="461"/>
      <c r="C7" s="461"/>
      <c r="D7" s="461"/>
      <c r="E7" s="28" t="s">
        <v>21</v>
      </c>
      <c r="F7" s="395" t="s">
        <v>51</v>
      </c>
      <c r="G7" s="166" t="s">
        <v>5021</v>
      </c>
      <c r="H7" s="35" t="s">
        <v>51</v>
      </c>
      <c r="I7" s="36"/>
      <c r="J7" s="36"/>
      <c r="L7" s="45"/>
      <c r="M7" s="45"/>
      <c r="N7" s="15"/>
      <c r="O7" s="15"/>
      <c r="P7" s="15"/>
      <c r="Q7" s="15"/>
      <c r="R7" s="15"/>
      <c r="S7" s="15"/>
      <c r="T7" s="15"/>
      <c r="U7" s="15"/>
      <c r="V7" s="15"/>
      <c r="W7" s="15"/>
      <c r="X7" s="15"/>
      <c r="Y7" s="15"/>
      <c r="Z7" s="15"/>
      <c r="AA7" s="15"/>
      <c r="AB7" s="15"/>
      <c r="AC7" s="15"/>
      <c r="AD7" s="15"/>
      <c r="AE7" s="15"/>
      <c r="AF7" s="15"/>
    </row>
    <row r="8" ht="15.75" customHeight="1">
      <c r="A8" s="28" t="s">
        <v>5</v>
      </c>
      <c r="B8" s="461"/>
      <c r="C8" s="461"/>
      <c r="D8" s="461"/>
      <c r="E8" s="28" t="s">
        <v>88</v>
      </c>
      <c r="F8" s="395" t="s">
        <v>481</v>
      </c>
      <c r="G8" s="166" t="s">
        <v>5022</v>
      </c>
      <c r="H8" s="35" t="s">
        <v>481</v>
      </c>
      <c r="I8" s="36"/>
      <c r="J8" s="36"/>
      <c r="L8" s="45"/>
      <c r="M8" s="45"/>
      <c r="N8" s="15"/>
      <c r="O8" s="15"/>
      <c r="P8" s="15"/>
      <c r="Q8" s="15"/>
      <c r="R8" s="15"/>
      <c r="S8" s="15"/>
      <c r="T8" s="15"/>
      <c r="U8" s="15"/>
      <c r="V8" s="15"/>
      <c r="W8" s="15"/>
      <c r="X8" s="15"/>
      <c r="Y8" s="15"/>
      <c r="Z8" s="15"/>
      <c r="AA8" s="15"/>
      <c r="AB8" s="15"/>
      <c r="AC8" s="15"/>
      <c r="AD8" s="15"/>
      <c r="AE8" s="15"/>
      <c r="AF8" s="15"/>
    </row>
    <row r="9" ht="15.75" customHeight="1">
      <c r="A9" s="28" t="s">
        <v>5</v>
      </c>
      <c r="B9" s="461"/>
      <c r="C9" s="461"/>
      <c r="D9" s="461"/>
      <c r="E9" s="28" t="s">
        <v>88</v>
      </c>
      <c r="F9" s="395" t="s">
        <v>515</v>
      </c>
      <c r="G9" s="166" t="s">
        <v>5023</v>
      </c>
      <c r="H9" s="35" t="s">
        <v>515</v>
      </c>
      <c r="I9" s="36"/>
      <c r="J9" s="36"/>
      <c r="L9" s="45"/>
      <c r="M9" s="45"/>
      <c r="N9" s="15"/>
      <c r="O9" s="15"/>
      <c r="P9" s="15"/>
      <c r="Q9" s="15"/>
      <c r="R9" s="15"/>
      <c r="S9" s="15"/>
      <c r="T9" s="15"/>
      <c r="U9" s="15"/>
      <c r="V9" s="15"/>
      <c r="W9" s="15"/>
      <c r="X9" s="15"/>
      <c r="Y9" s="15"/>
      <c r="Z9" s="15"/>
      <c r="AA9" s="15"/>
      <c r="AB9" s="15"/>
      <c r="AC9" s="15"/>
      <c r="AD9" s="15"/>
      <c r="AE9" s="15"/>
      <c r="AF9" s="15"/>
    </row>
    <row r="10" ht="15.75" customHeight="1">
      <c r="A10" s="28" t="s">
        <v>5</v>
      </c>
      <c r="B10" s="461"/>
      <c r="C10" s="461"/>
      <c r="D10" s="461"/>
      <c r="E10" s="28" t="s">
        <v>88</v>
      </c>
      <c r="F10" s="395" t="s">
        <v>570</v>
      </c>
      <c r="G10" s="37"/>
      <c r="H10" s="36"/>
      <c r="I10" s="36"/>
      <c r="J10" s="36"/>
      <c r="L10" s="45"/>
      <c r="M10" s="45"/>
      <c r="N10" s="15"/>
      <c r="O10" s="15"/>
      <c r="P10" s="15"/>
      <c r="Q10" s="15"/>
      <c r="R10" s="15"/>
      <c r="S10" s="15"/>
      <c r="T10" s="15"/>
      <c r="U10" s="15"/>
      <c r="V10" s="15"/>
      <c r="W10" s="15"/>
      <c r="X10" s="15"/>
      <c r="Y10" s="15"/>
      <c r="Z10" s="15"/>
      <c r="AA10" s="15"/>
      <c r="AB10" s="15"/>
      <c r="AC10" s="15"/>
      <c r="AD10" s="15"/>
      <c r="AE10" s="15"/>
      <c r="AF10" s="15"/>
    </row>
    <row r="11" ht="15.75" customHeight="1">
      <c r="A11" s="28" t="s">
        <v>5</v>
      </c>
      <c r="B11" s="461"/>
      <c r="C11" s="461"/>
      <c r="D11" s="461"/>
      <c r="E11" s="28" t="s">
        <v>88</v>
      </c>
      <c r="F11" s="395" t="s">
        <v>598</v>
      </c>
      <c r="G11" s="37"/>
      <c r="H11" s="36"/>
      <c r="I11" s="36"/>
      <c r="J11" s="36"/>
      <c r="L11" s="45"/>
      <c r="M11" s="45"/>
      <c r="N11" s="15"/>
      <c r="O11" s="15"/>
      <c r="P11" s="15"/>
      <c r="Q11" s="15"/>
      <c r="R11" s="15"/>
      <c r="S11" s="15"/>
      <c r="T11" s="15"/>
      <c r="U11" s="15"/>
      <c r="V11" s="15"/>
      <c r="W11" s="15"/>
      <c r="X11" s="15"/>
      <c r="Y11" s="15"/>
      <c r="Z11" s="15"/>
      <c r="AA11" s="15"/>
      <c r="AB11" s="15"/>
      <c r="AC11" s="15"/>
      <c r="AD11" s="15"/>
      <c r="AE11" s="15"/>
      <c r="AF11" s="15"/>
    </row>
    <row r="12" ht="15.75" customHeight="1">
      <c r="A12" s="28" t="s">
        <v>5</v>
      </c>
      <c r="B12" s="461"/>
      <c r="C12" s="461"/>
      <c r="D12" s="461"/>
      <c r="E12" s="28" t="s">
        <v>88</v>
      </c>
      <c r="F12" s="395" t="s">
        <v>95</v>
      </c>
      <c r="G12" s="166" t="s">
        <v>5024</v>
      </c>
      <c r="H12" s="35" t="s">
        <v>95</v>
      </c>
      <c r="I12" s="36"/>
      <c r="J12" s="36"/>
      <c r="L12" s="45"/>
      <c r="M12" s="45"/>
      <c r="N12" s="15"/>
      <c r="O12" s="15"/>
      <c r="P12" s="15"/>
      <c r="Q12" s="15"/>
      <c r="R12" s="15"/>
      <c r="S12" s="15"/>
      <c r="T12" s="15"/>
      <c r="U12" s="15"/>
      <c r="V12" s="15"/>
      <c r="W12" s="15"/>
      <c r="X12" s="15"/>
      <c r="Y12" s="15"/>
      <c r="Z12" s="15"/>
      <c r="AA12" s="15"/>
      <c r="AB12" s="15"/>
      <c r="AC12" s="15"/>
      <c r="AD12" s="15"/>
      <c r="AE12" s="15"/>
      <c r="AF12" s="15"/>
    </row>
    <row r="13" ht="15.75" customHeight="1">
      <c r="A13" s="28" t="s">
        <v>5</v>
      </c>
      <c r="B13" s="461"/>
      <c r="C13" s="461"/>
      <c r="D13" s="461"/>
      <c r="E13" s="28" t="s">
        <v>88</v>
      </c>
      <c r="F13" s="395" t="s">
        <v>120</v>
      </c>
      <c r="G13" s="166" t="s">
        <v>5025</v>
      </c>
      <c r="H13" s="35" t="s">
        <v>120</v>
      </c>
      <c r="I13" s="36"/>
      <c r="J13" s="36"/>
      <c r="L13" s="45"/>
      <c r="M13" s="45"/>
      <c r="N13" s="15"/>
      <c r="O13" s="15"/>
      <c r="P13" s="15"/>
      <c r="Q13" s="15"/>
      <c r="R13" s="15"/>
      <c r="S13" s="15"/>
      <c r="T13" s="15"/>
      <c r="U13" s="15"/>
      <c r="V13" s="15"/>
      <c r="W13" s="15"/>
      <c r="X13" s="15"/>
      <c r="Y13" s="15"/>
      <c r="Z13" s="15"/>
      <c r="AA13" s="15"/>
      <c r="AB13" s="15"/>
      <c r="AC13" s="15"/>
      <c r="AD13" s="15"/>
      <c r="AE13" s="15"/>
      <c r="AF13" s="15"/>
    </row>
    <row r="14" ht="15.75" customHeight="1">
      <c r="A14" s="28" t="s">
        <v>5</v>
      </c>
      <c r="B14" s="461"/>
      <c r="C14" s="461"/>
      <c r="D14" s="461"/>
      <c r="E14" s="28" t="s">
        <v>88</v>
      </c>
      <c r="F14" s="35" t="s">
        <v>544</v>
      </c>
      <c r="G14" s="166" t="s">
        <v>5026</v>
      </c>
      <c r="H14" s="35" t="s">
        <v>544</v>
      </c>
      <c r="I14" s="36"/>
      <c r="J14" s="36"/>
      <c r="L14" s="45"/>
      <c r="M14" s="45"/>
      <c r="N14" s="15"/>
      <c r="O14" s="15"/>
      <c r="P14" s="15"/>
      <c r="Q14" s="15"/>
      <c r="R14" s="15"/>
      <c r="S14" s="15"/>
      <c r="T14" s="15"/>
      <c r="U14" s="15"/>
      <c r="V14" s="15"/>
      <c r="W14" s="15"/>
      <c r="X14" s="15"/>
      <c r="Y14" s="15"/>
      <c r="Z14" s="15"/>
      <c r="AA14" s="15"/>
      <c r="AB14" s="15"/>
      <c r="AC14" s="15"/>
      <c r="AD14" s="15"/>
      <c r="AE14" s="15"/>
      <c r="AF14" s="15"/>
    </row>
    <row r="15" ht="15.75" customHeight="1">
      <c r="A15" s="28" t="s">
        <v>5</v>
      </c>
      <c r="B15" s="461"/>
      <c r="C15" s="461"/>
      <c r="D15" s="461"/>
      <c r="E15" s="28" t="s">
        <v>88</v>
      </c>
      <c r="F15" s="35" t="s">
        <v>247</v>
      </c>
      <c r="G15" s="37"/>
      <c r="H15" s="36"/>
      <c r="I15" s="36"/>
      <c r="J15" s="36"/>
      <c r="L15" s="45"/>
      <c r="M15" s="45"/>
      <c r="N15" s="15"/>
      <c r="O15" s="15"/>
      <c r="P15" s="15"/>
      <c r="Q15" s="15"/>
      <c r="R15" s="15"/>
      <c r="S15" s="15"/>
      <c r="T15" s="15"/>
      <c r="U15" s="15"/>
      <c r="V15" s="15"/>
      <c r="W15" s="15"/>
      <c r="X15" s="15"/>
      <c r="Y15" s="15"/>
      <c r="Z15" s="15"/>
      <c r="AA15" s="15"/>
      <c r="AB15" s="15"/>
      <c r="AC15" s="15"/>
      <c r="AD15" s="15"/>
      <c r="AE15" s="15"/>
      <c r="AF15" s="15"/>
    </row>
    <row r="16" ht="15.75" customHeight="1">
      <c r="A16" s="28" t="s">
        <v>5</v>
      </c>
      <c r="B16" s="461"/>
      <c r="C16" s="461"/>
      <c r="D16" s="461"/>
      <c r="E16" s="28" t="s">
        <v>88</v>
      </c>
      <c r="F16" s="35" t="s">
        <v>95</v>
      </c>
      <c r="G16" s="166" t="s">
        <v>5024</v>
      </c>
      <c r="H16" s="35" t="s">
        <v>95</v>
      </c>
      <c r="I16" s="36"/>
      <c r="J16" s="36"/>
      <c r="L16" s="45"/>
      <c r="M16" s="45"/>
      <c r="N16" s="15"/>
      <c r="O16" s="15"/>
      <c r="P16" s="15"/>
      <c r="Q16" s="15"/>
      <c r="R16" s="15"/>
      <c r="S16" s="15"/>
      <c r="T16" s="15"/>
      <c r="U16" s="15"/>
      <c r="V16" s="15"/>
      <c r="W16" s="15"/>
      <c r="X16" s="15"/>
      <c r="Y16" s="15"/>
      <c r="Z16" s="15"/>
      <c r="AA16" s="15"/>
      <c r="AB16" s="15"/>
      <c r="AC16" s="15"/>
      <c r="AD16" s="15"/>
      <c r="AE16" s="15"/>
      <c r="AF16" s="15"/>
    </row>
    <row r="17" ht="15.75" customHeight="1">
      <c r="A17" s="28" t="s">
        <v>5</v>
      </c>
      <c r="B17" s="461"/>
      <c r="C17" s="461"/>
      <c r="D17" s="461"/>
      <c r="E17" s="28" t="s">
        <v>88</v>
      </c>
      <c r="F17" s="35" t="s">
        <v>96</v>
      </c>
      <c r="G17" s="166" t="s">
        <v>5027</v>
      </c>
      <c r="H17" s="35" t="s">
        <v>96</v>
      </c>
      <c r="I17" s="36"/>
      <c r="J17" s="36"/>
      <c r="L17" s="45"/>
      <c r="M17" s="45"/>
      <c r="N17" s="15"/>
      <c r="O17" s="15"/>
      <c r="P17" s="15"/>
      <c r="Q17" s="15"/>
      <c r="R17" s="15"/>
      <c r="S17" s="15"/>
      <c r="T17" s="15"/>
      <c r="U17" s="15"/>
      <c r="V17" s="15"/>
      <c r="W17" s="15"/>
      <c r="X17" s="15"/>
      <c r="Y17" s="15"/>
      <c r="Z17" s="15"/>
      <c r="AA17" s="15"/>
      <c r="AB17" s="15"/>
      <c r="AC17" s="15"/>
      <c r="AD17" s="15"/>
      <c r="AE17" s="15"/>
      <c r="AF17" s="15"/>
    </row>
    <row r="18" ht="15.75" customHeight="1">
      <c r="A18" s="28" t="s">
        <v>5</v>
      </c>
      <c r="B18" s="461"/>
      <c r="C18" s="461"/>
      <c r="D18" s="461"/>
      <c r="E18" s="28" t="s">
        <v>86</v>
      </c>
      <c r="F18" s="395" t="s">
        <v>90</v>
      </c>
      <c r="G18" s="166" t="s">
        <v>5028</v>
      </c>
      <c r="H18" s="35" t="s">
        <v>90</v>
      </c>
      <c r="I18" s="36"/>
      <c r="J18" s="36"/>
      <c r="L18" s="45"/>
      <c r="M18" s="45"/>
      <c r="N18" s="15"/>
      <c r="O18" s="15"/>
      <c r="P18" s="15"/>
      <c r="Q18" s="15"/>
      <c r="R18" s="15"/>
      <c r="S18" s="15"/>
      <c r="T18" s="15"/>
      <c r="U18" s="15"/>
      <c r="V18" s="15"/>
      <c r="W18" s="15"/>
      <c r="X18" s="15"/>
      <c r="Y18" s="15"/>
      <c r="Z18" s="15"/>
      <c r="AA18" s="15"/>
      <c r="AB18" s="15"/>
      <c r="AC18" s="15"/>
      <c r="AD18" s="15"/>
      <c r="AE18" s="15"/>
      <c r="AF18" s="15"/>
    </row>
    <row r="19" ht="15.75" customHeight="1">
      <c r="A19" s="28" t="s">
        <v>5</v>
      </c>
      <c r="B19" s="461"/>
      <c r="C19" s="461"/>
      <c r="D19" s="461"/>
      <c r="E19" s="28" t="s">
        <v>86</v>
      </c>
      <c r="F19" s="395" t="s">
        <v>91</v>
      </c>
      <c r="G19" s="166" t="s">
        <v>5029</v>
      </c>
      <c r="H19" s="35" t="s">
        <v>91</v>
      </c>
      <c r="I19" s="36"/>
      <c r="J19" s="36"/>
      <c r="L19" s="45"/>
      <c r="M19" s="45"/>
      <c r="N19" s="15"/>
      <c r="O19" s="15"/>
      <c r="P19" s="15"/>
      <c r="Q19" s="15"/>
      <c r="R19" s="15"/>
      <c r="S19" s="15"/>
      <c r="T19" s="15"/>
      <c r="U19" s="15"/>
      <c r="V19" s="15"/>
      <c r="W19" s="15"/>
      <c r="X19" s="15"/>
      <c r="Y19" s="15"/>
      <c r="Z19" s="15"/>
      <c r="AA19" s="15"/>
      <c r="AB19" s="15"/>
      <c r="AC19" s="15"/>
      <c r="AD19" s="15"/>
      <c r="AE19" s="15"/>
      <c r="AF19" s="15"/>
    </row>
    <row r="20" ht="15.75" customHeight="1">
      <c r="A20" s="28" t="s">
        <v>5</v>
      </c>
      <c r="B20" s="461"/>
      <c r="C20" s="461"/>
      <c r="D20" s="461"/>
      <c r="E20" s="28" t="s">
        <v>104</v>
      </c>
      <c r="F20" s="395" t="s">
        <v>250</v>
      </c>
      <c r="G20" s="166" t="s">
        <v>5030</v>
      </c>
      <c r="H20" s="35" t="s">
        <v>250</v>
      </c>
      <c r="I20" s="36"/>
      <c r="J20" s="36"/>
      <c r="L20" s="45"/>
      <c r="M20" s="45"/>
      <c r="N20" s="15"/>
      <c r="O20" s="15"/>
      <c r="P20" s="15"/>
      <c r="Q20" s="15"/>
      <c r="R20" s="15"/>
      <c r="S20" s="15"/>
      <c r="T20" s="15"/>
      <c r="U20" s="15"/>
      <c r="V20" s="15"/>
      <c r="W20" s="15"/>
      <c r="X20" s="15"/>
      <c r="Y20" s="15"/>
      <c r="Z20" s="15"/>
      <c r="AA20" s="15"/>
      <c r="AB20" s="15"/>
      <c r="AC20" s="15"/>
      <c r="AD20" s="15"/>
      <c r="AE20" s="15"/>
      <c r="AF20" s="15"/>
    </row>
    <row r="21" ht="15.75" customHeight="1">
      <c r="A21" s="28" t="s">
        <v>5</v>
      </c>
      <c r="B21" s="461"/>
      <c r="C21" s="461"/>
      <c r="D21" s="461"/>
      <c r="E21" s="28" t="s">
        <v>178</v>
      </c>
      <c r="F21" s="395" t="s">
        <v>209</v>
      </c>
      <c r="G21" s="166" t="s">
        <v>5031</v>
      </c>
      <c r="H21" s="35" t="s">
        <v>209</v>
      </c>
      <c r="I21" s="36"/>
      <c r="J21" s="36"/>
      <c r="L21" s="45"/>
      <c r="M21" s="45"/>
      <c r="N21" s="15"/>
      <c r="O21" s="15"/>
      <c r="P21" s="15"/>
      <c r="Q21" s="15"/>
      <c r="R21" s="15"/>
      <c r="S21" s="15"/>
      <c r="T21" s="15"/>
      <c r="U21" s="15"/>
      <c r="V21" s="15"/>
      <c r="W21" s="15"/>
      <c r="X21" s="15"/>
      <c r="Y21" s="15"/>
      <c r="Z21" s="15"/>
      <c r="AA21" s="15"/>
      <c r="AB21" s="15"/>
      <c r="AC21" s="15"/>
      <c r="AD21" s="15"/>
      <c r="AE21" s="15"/>
      <c r="AF21" s="15"/>
    </row>
    <row r="22" ht="15.75" customHeight="1">
      <c r="A22" s="28" t="s">
        <v>5</v>
      </c>
      <c r="B22" s="461"/>
      <c r="C22" s="461"/>
      <c r="D22" s="461"/>
      <c r="E22" s="28" t="s">
        <v>178</v>
      </c>
      <c r="F22" s="395" t="s">
        <v>210</v>
      </c>
      <c r="G22" s="166" t="s">
        <v>5032</v>
      </c>
      <c r="H22" s="35" t="s">
        <v>210</v>
      </c>
      <c r="I22" s="36"/>
      <c r="J22" s="36"/>
      <c r="L22" s="45"/>
      <c r="M22" s="45"/>
      <c r="N22" s="15"/>
      <c r="O22" s="15"/>
      <c r="P22" s="15"/>
      <c r="Q22" s="15"/>
      <c r="R22" s="15"/>
      <c r="S22" s="15"/>
      <c r="T22" s="15"/>
      <c r="U22" s="15"/>
      <c r="V22" s="15"/>
      <c r="W22" s="15"/>
      <c r="X22" s="15"/>
      <c r="Y22" s="15"/>
      <c r="Z22" s="15"/>
      <c r="AA22" s="15"/>
      <c r="AB22" s="15"/>
      <c r="AC22" s="15"/>
      <c r="AD22" s="15"/>
      <c r="AE22" s="15"/>
      <c r="AF22" s="15"/>
    </row>
    <row r="23" ht="15.75" customHeight="1">
      <c r="A23" s="28" t="s">
        <v>5</v>
      </c>
      <c r="B23" s="461"/>
      <c r="C23" s="461"/>
      <c r="D23" s="461"/>
      <c r="E23" s="28" t="s">
        <v>178</v>
      </c>
      <c r="F23" s="395" t="s">
        <v>179</v>
      </c>
      <c r="G23" s="166" t="s">
        <v>5033</v>
      </c>
      <c r="H23" s="35" t="s">
        <v>179</v>
      </c>
      <c r="I23" s="36"/>
      <c r="J23" s="36"/>
      <c r="L23" s="45"/>
      <c r="M23" s="45"/>
      <c r="N23" s="15"/>
      <c r="O23" s="15"/>
      <c r="P23" s="15"/>
      <c r="Q23" s="15"/>
      <c r="R23" s="15"/>
      <c r="S23" s="15"/>
      <c r="T23" s="15"/>
      <c r="U23" s="15"/>
      <c r="V23" s="15"/>
      <c r="W23" s="15"/>
      <c r="X23" s="15"/>
      <c r="Y23" s="15"/>
      <c r="Z23" s="15"/>
      <c r="AA23" s="15"/>
      <c r="AB23" s="15"/>
      <c r="AC23" s="15"/>
      <c r="AD23" s="15"/>
      <c r="AE23" s="15"/>
      <c r="AF23" s="15"/>
    </row>
    <row r="24" ht="15.75" customHeight="1">
      <c r="A24" s="28" t="s">
        <v>5</v>
      </c>
      <c r="B24" s="461"/>
      <c r="C24" s="461"/>
      <c r="D24" s="461"/>
      <c r="E24" s="28" t="s">
        <v>178</v>
      </c>
      <c r="F24" s="395" t="s">
        <v>180</v>
      </c>
      <c r="G24" s="166" t="s">
        <v>5034</v>
      </c>
      <c r="H24" s="35" t="s">
        <v>180</v>
      </c>
      <c r="I24" s="36"/>
      <c r="J24" s="36"/>
      <c r="L24" s="45"/>
      <c r="M24" s="45"/>
      <c r="N24" s="15"/>
      <c r="O24" s="15"/>
      <c r="P24" s="15"/>
      <c r="Q24" s="15"/>
      <c r="R24" s="15"/>
      <c r="S24" s="15"/>
      <c r="T24" s="15"/>
      <c r="U24" s="15"/>
      <c r="V24" s="15"/>
      <c r="W24" s="15"/>
      <c r="X24" s="15"/>
      <c r="Y24" s="15"/>
      <c r="Z24" s="15"/>
      <c r="AA24" s="15"/>
      <c r="AB24" s="15"/>
      <c r="AC24" s="15"/>
      <c r="AD24" s="15"/>
      <c r="AE24" s="15"/>
      <c r="AF24" s="15"/>
    </row>
    <row r="25" ht="15.75" customHeight="1">
      <c r="A25" s="28" t="s">
        <v>5</v>
      </c>
      <c r="B25" s="461"/>
      <c r="C25" s="461"/>
      <c r="D25" s="461"/>
      <c r="E25" s="28" t="s">
        <v>178</v>
      </c>
      <c r="F25" s="395" t="s">
        <v>207</v>
      </c>
      <c r="G25" s="166" t="s">
        <v>5035</v>
      </c>
      <c r="H25" s="35" t="s">
        <v>207</v>
      </c>
      <c r="I25" s="36"/>
      <c r="J25" s="36"/>
      <c r="L25" s="45"/>
      <c r="M25" s="45"/>
      <c r="N25" s="15"/>
      <c r="O25" s="15"/>
      <c r="P25" s="15"/>
      <c r="Q25" s="15"/>
      <c r="R25" s="15"/>
      <c r="S25" s="15"/>
      <c r="T25" s="15"/>
      <c r="U25" s="15"/>
      <c r="V25" s="15"/>
      <c r="W25" s="15"/>
      <c r="X25" s="15"/>
      <c r="Y25" s="15"/>
      <c r="Z25" s="15"/>
      <c r="AA25" s="15"/>
      <c r="AB25" s="15"/>
      <c r="AC25" s="15"/>
      <c r="AD25" s="15"/>
      <c r="AE25" s="15"/>
      <c r="AF25" s="15"/>
    </row>
    <row r="26" ht="15.75" customHeight="1">
      <c r="A26" s="28" t="s">
        <v>5</v>
      </c>
      <c r="B26" s="461"/>
      <c r="C26" s="461"/>
      <c r="D26" s="461"/>
      <c r="E26" s="28" t="s">
        <v>178</v>
      </c>
      <c r="F26" s="395" t="s">
        <v>208</v>
      </c>
      <c r="G26" s="166" t="s">
        <v>5036</v>
      </c>
      <c r="H26" s="35" t="s">
        <v>208</v>
      </c>
      <c r="I26" s="36"/>
      <c r="J26" s="36"/>
      <c r="L26" s="45"/>
      <c r="M26" s="45"/>
      <c r="N26" s="15"/>
      <c r="O26" s="15"/>
      <c r="P26" s="15"/>
      <c r="Q26" s="15"/>
      <c r="R26" s="15"/>
      <c r="S26" s="15"/>
      <c r="T26" s="15"/>
      <c r="U26" s="15"/>
      <c r="V26" s="15"/>
      <c r="W26" s="15"/>
      <c r="X26" s="15"/>
      <c r="Y26" s="15"/>
      <c r="Z26" s="15"/>
      <c r="AA26" s="15"/>
      <c r="AB26" s="15"/>
      <c r="AC26" s="15"/>
      <c r="AD26" s="15"/>
      <c r="AE26" s="15"/>
      <c r="AF26" s="15"/>
    </row>
    <row r="27" ht="15.75" customHeight="1">
      <c r="A27" s="28" t="s">
        <v>5</v>
      </c>
      <c r="B27" s="461"/>
      <c r="C27" s="461"/>
      <c r="D27" s="461"/>
      <c r="E27" s="28" t="s">
        <v>178</v>
      </c>
      <c r="F27" s="395" t="s">
        <v>182</v>
      </c>
      <c r="G27" s="166" t="s">
        <v>5037</v>
      </c>
      <c r="H27" s="35" t="s">
        <v>182</v>
      </c>
      <c r="I27" s="36"/>
      <c r="J27" s="36"/>
      <c r="L27" s="45"/>
      <c r="M27" s="45"/>
      <c r="N27" s="15"/>
      <c r="O27" s="15"/>
      <c r="P27" s="15"/>
      <c r="Q27" s="15"/>
      <c r="R27" s="15"/>
      <c r="S27" s="15"/>
      <c r="T27" s="15"/>
      <c r="U27" s="15"/>
      <c r="V27" s="15"/>
      <c r="W27" s="15"/>
      <c r="X27" s="15"/>
      <c r="Y27" s="15"/>
      <c r="Z27" s="15"/>
      <c r="AA27" s="15"/>
      <c r="AB27" s="15"/>
      <c r="AC27" s="15"/>
      <c r="AD27" s="15"/>
      <c r="AE27" s="15"/>
      <c r="AF27" s="15"/>
    </row>
    <row r="28" ht="15.75" customHeight="1">
      <c r="A28" s="28" t="s">
        <v>5</v>
      </c>
      <c r="B28" s="517" t="s">
        <v>5038</v>
      </c>
      <c r="C28" s="186" t="s">
        <v>5039</v>
      </c>
      <c r="D28" s="517" t="s">
        <v>42</v>
      </c>
      <c r="E28" s="28" t="s">
        <v>21</v>
      </c>
      <c r="F28" s="395" t="s">
        <v>51</v>
      </c>
      <c r="G28" s="166" t="s">
        <v>5040</v>
      </c>
      <c r="H28" s="35" t="s">
        <v>51</v>
      </c>
      <c r="I28" s="36"/>
      <c r="J28" s="36"/>
      <c r="L28" s="45"/>
      <c r="M28" s="45"/>
      <c r="N28" s="15"/>
      <c r="O28" s="15"/>
      <c r="P28" s="15"/>
      <c r="Q28" s="15"/>
      <c r="R28" s="15"/>
      <c r="S28" s="15"/>
      <c r="T28" s="15"/>
      <c r="U28" s="15"/>
      <c r="V28" s="15"/>
      <c r="W28" s="15"/>
      <c r="X28" s="15"/>
      <c r="Y28" s="15"/>
      <c r="Z28" s="15"/>
      <c r="AA28" s="15"/>
      <c r="AB28" s="15"/>
      <c r="AC28" s="15"/>
      <c r="AD28" s="15"/>
      <c r="AE28" s="15"/>
      <c r="AF28" s="15"/>
    </row>
    <row r="29" ht="15.75" customHeight="1">
      <c r="A29" s="28" t="s">
        <v>5</v>
      </c>
      <c r="B29" s="461"/>
      <c r="D29" s="461"/>
      <c r="E29" s="28" t="s">
        <v>88</v>
      </c>
      <c r="F29" s="395" t="s">
        <v>95</v>
      </c>
      <c r="G29" s="166" t="s">
        <v>5041</v>
      </c>
      <c r="H29" s="35" t="s">
        <v>95</v>
      </c>
      <c r="I29" s="36"/>
      <c r="J29" s="36"/>
      <c r="L29" s="45"/>
      <c r="M29" s="45"/>
      <c r="N29" s="15"/>
      <c r="O29" s="15"/>
      <c r="P29" s="15"/>
      <c r="Q29" s="15"/>
      <c r="R29" s="15"/>
      <c r="S29" s="15"/>
      <c r="T29" s="15"/>
      <c r="U29" s="15"/>
      <c r="V29" s="15"/>
      <c r="W29" s="15"/>
      <c r="X29" s="15"/>
      <c r="Y29" s="15"/>
      <c r="Z29" s="15"/>
      <c r="AA29" s="15"/>
      <c r="AB29" s="15"/>
      <c r="AC29" s="15"/>
      <c r="AD29" s="15"/>
      <c r="AE29" s="15"/>
      <c r="AF29" s="15"/>
    </row>
    <row r="30" ht="15.75" customHeight="1">
      <c r="A30" s="28" t="s">
        <v>5</v>
      </c>
      <c r="B30" s="461"/>
      <c r="D30" s="461"/>
      <c r="E30" s="28" t="s">
        <v>88</v>
      </c>
      <c r="F30" s="395" t="s">
        <v>125</v>
      </c>
      <c r="G30" s="166" t="s">
        <v>5042</v>
      </c>
      <c r="H30" s="35" t="s">
        <v>125</v>
      </c>
      <c r="I30" s="36"/>
      <c r="J30" s="36"/>
      <c r="L30" s="45"/>
      <c r="M30" s="45"/>
      <c r="N30" s="15"/>
      <c r="O30" s="15"/>
      <c r="P30" s="15"/>
      <c r="Q30" s="15"/>
      <c r="R30" s="15"/>
      <c r="S30" s="15"/>
      <c r="T30" s="15"/>
      <c r="U30" s="15"/>
      <c r="V30" s="15"/>
      <c r="W30" s="15"/>
      <c r="X30" s="15"/>
      <c r="Y30" s="15"/>
      <c r="Z30" s="15"/>
      <c r="AA30" s="15"/>
      <c r="AB30" s="15"/>
      <c r="AC30" s="15"/>
      <c r="AD30" s="15"/>
      <c r="AE30" s="15"/>
      <c r="AF30" s="15"/>
    </row>
    <row r="31" ht="15.75" customHeight="1">
      <c r="A31" s="28" t="s">
        <v>5</v>
      </c>
      <c r="B31" s="461"/>
      <c r="D31" s="461"/>
      <c r="E31" s="28" t="s">
        <v>88</v>
      </c>
      <c r="F31" s="395" t="s">
        <v>246</v>
      </c>
      <c r="G31" s="166" t="s">
        <v>5043</v>
      </c>
      <c r="H31" s="35" t="s">
        <v>246</v>
      </c>
      <c r="I31" s="36"/>
      <c r="J31" s="36"/>
      <c r="L31" s="45"/>
      <c r="M31" s="45"/>
      <c r="N31" s="15"/>
      <c r="O31" s="15"/>
      <c r="P31" s="15"/>
      <c r="Q31" s="15"/>
      <c r="R31" s="15"/>
      <c r="S31" s="15"/>
      <c r="T31" s="15"/>
      <c r="U31" s="15"/>
      <c r="V31" s="15"/>
      <c r="W31" s="15"/>
      <c r="X31" s="15"/>
      <c r="Y31" s="15"/>
      <c r="Z31" s="15"/>
      <c r="AA31" s="15"/>
      <c r="AB31" s="15"/>
      <c r="AC31" s="15"/>
      <c r="AD31" s="15"/>
      <c r="AE31" s="15"/>
      <c r="AF31" s="15"/>
    </row>
    <row r="32" ht="15.75" customHeight="1">
      <c r="A32" s="28" t="s">
        <v>5</v>
      </c>
      <c r="B32" s="461"/>
      <c r="D32" s="461"/>
      <c r="E32" s="28" t="s">
        <v>88</v>
      </c>
      <c r="F32" s="395" t="s">
        <v>247</v>
      </c>
      <c r="G32" s="37"/>
      <c r="H32" s="35"/>
      <c r="I32" s="36"/>
      <c r="J32" s="36"/>
      <c r="L32" s="45"/>
      <c r="M32" s="45"/>
      <c r="N32" s="15"/>
      <c r="O32" s="15"/>
      <c r="P32" s="15"/>
      <c r="Q32" s="15"/>
      <c r="R32" s="15"/>
      <c r="S32" s="15"/>
      <c r="T32" s="15"/>
      <c r="U32" s="15"/>
      <c r="V32" s="15"/>
      <c r="W32" s="15"/>
      <c r="X32" s="15"/>
      <c r="Y32" s="15"/>
      <c r="Z32" s="15"/>
      <c r="AA32" s="15"/>
      <c r="AB32" s="15"/>
      <c r="AC32" s="15"/>
      <c r="AD32" s="15"/>
      <c r="AE32" s="15"/>
      <c r="AF32" s="15"/>
    </row>
    <row r="33" ht="15.75" customHeight="1">
      <c r="A33" s="28" t="s">
        <v>5</v>
      </c>
      <c r="B33" s="461"/>
      <c r="D33" s="461"/>
      <c r="E33" s="28" t="s">
        <v>88</v>
      </c>
      <c r="F33" s="395" t="s">
        <v>95</v>
      </c>
      <c r="G33" s="166" t="s">
        <v>5041</v>
      </c>
      <c r="H33" s="35" t="s">
        <v>95</v>
      </c>
      <c r="I33" s="36"/>
      <c r="J33" s="36"/>
      <c r="L33" s="45"/>
      <c r="M33" s="45"/>
      <c r="N33" s="15"/>
      <c r="O33" s="15"/>
      <c r="P33" s="15"/>
      <c r="Q33" s="15"/>
      <c r="R33" s="15"/>
      <c r="S33" s="15"/>
      <c r="T33" s="15"/>
      <c r="U33" s="15"/>
      <c r="V33" s="15"/>
      <c r="W33" s="15"/>
      <c r="X33" s="15"/>
      <c r="Y33" s="15"/>
      <c r="Z33" s="15"/>
      <c r="AA33" s="15"/>
      <c r="AB33" s="15"/>
      <c r="AC33" s="15"/>
      <c r="AD33" s="15"/>
      <c r="AE33" s="15"/>
      <c r="AF33" s="15"/>
    </row>
    <row r="34" ht="15.75" customHeight="1">
      <c r="A34" s="28" t="s">
        <v>5</v>
      </c>
      <c r="B34" s="461"/>
      <c r="D34" s="461"/>
      <c r="E34" s="28" t="s">
        <v>88</v>
      </c>
      <c r="F34" s="395" t="s">
        <v>96</v>
      </c>
      <c r="G34" s="166" t="s">
        <v>5044</v>
      </c>
      <c r="H34" s="35" t="s">
        <v>96</v>
      </c>
      <c r="I34" s="36"/>
      <c r="J34" s="36"/>
      <c r="L34" s="45"/>
      <c r="M34" s="45"/>
      <c r="N34" s="15"/>
      <c r="O34" s="15"/>
      <c r="P34" s="15"/>
      <c r="Q34" s="15"/>
      <c r="R34" s="15"/>
      <c r="S34" s="15"/>
      <c r="T34" s="15"/>
      <c r="U34" s="15"/>
      <c r="V34" s="15"/>
      <c r="W34" s="15"/>
      <c r="X34" s="15"/>
      <c r="Y34" s="15"/>
      <c r="Z34" s="15"/>
      <c r="AA34" s="15"/>
      <c r="AB34" s="15"/>
      <c r="AC34" s="15"/>
      <c r="AD34" s="15"/>
      <c r="AE34" s="15"/>
      <c r="AF34" s="15"/>
    </row>
    <row r="35" ht="15.75" customHeight="1">
      <c r="A35" s="28" t="s">
        <v>5</v>
      </c>
      <c r="B35" s="461"/>
      <c r="D35" s="461"/>
      <c r="E35" s="28" t="s">
        <v>86</v>
      </c>
      <c r="F35" s="395" t="s">
        <v>90</v>
      </c>
      <c r="G35" s="166" t="s">
        <v>5045</v>
      </c>
      <c r="H35" s="35" t="s">
        <v>90</v>
      </c>
      <c r="I35" s="36"/>
      <c r="J35" s="36"/>
      <c r="L35" s="45"/>
      <c r="M35" s="45"/>
      <c r="N35" s="15"/>
      <c r="O35" s="15"/>
      <c r="P35" s="15"/>
      <c r="Q35" s="15"/>
      <c r="R35" s="15"/>
      <c r="S35" s="15"/>
      <c r="T35" s="15"/>
      <c r="U35" s="15"/>
      <c r="V35" s="15"/>
      <c r="W35" s="15"/>
      <c r="X35" s="15"/>
      <c r="Y35" s="15"/>
      <c r="Z35" s="15"/>
      <c r="AA35" s="15"/>
      <c r="AB35" s="15"/>
      <c r="AC35" s="15"/>
      <c r="AD35" s="15"/>
      <c r="AE35" s="15"/>
      <c r="AF35" s="15"/>
    </row>
    <row r="36" ht="15.75" customHeight="1">
      <c r="A36" s="28" t="s">
        <v>5</v>
      </c>
      <c r="B36" s="461"/>
      <c r="D36" s="461"/>
      <c r="E36" s="28" t="s">
        <v>86</v>
      </c>
      <c r="F36" s="395" t="s">
        <v>91</v>
      </c>
      <c r="G36" s="166" t="s">
        <v>5046</v>
      </c>
      <c r="H36" s="35" t="s">
        <v>91</v>
      </c>
      <c r="I36" s="36"/>
      <c r="J36" s="36"/>
      <c r="L36" s="45"/>
      <c r="M36" s="45"/>
      <c r="N36" s="15"/>
      <c r="O36" s="15"/>
      <c r="P36" s="15"/>
      <c r="Q36" s="15"/>
      <c r="R36" s="15"/>
      <c r="S36" s="15"/>
      <c r="T36" s="15"/>
      <c r="U36" s="15"/>
      <c r="V36" s="15"/>
      <c r="W36" s="15"/>
      <c r="X36" s="15"/>
      <c r="Y36" s="15"/>
      <c r="Z36" s="15"/>
      <c r="AA36" s="15"/>
      <c r="AB36" s="15"/>
      <c r="AC36" s="15"/>
      <c r="AD36" s="15"/>
      <c r="AE36" s="15"/>
      <c r="AF36" s="15"/>
    </row>
    <row r="37" ht="15.75" customHeight="1">
      <c r="A37" s="28" t="s">
        <v>5</v>
      </c>
      <c r="B37" s="461"/>
      <c r="D37" s="461"/>
      <c r="E37" s="28" t="s">
        <v>104</v>
      </c>
      <c r="F37" s="395" t="s">
        <v>250</v>
      </c>
      <c r="G37" s="166" t="s">
        <v>5047</v>
      </c>
      <c r="H37" s="35" t="s">
        <v>250</v>
      </c>
      <c r="I37" s="36"/>
      <c r="J37" s="36"/>
      <c r="L37" s="45"/>
      <c r="M37" s="45"/>
      <c r="N37" s="15"/>
      <c r="O37" s="15"/>
      <c r="P37" s="15"/>
      <c r="Q37" s="15"/>
      <c r="R37" s="15"/>
      <c r="S37" s="15"/>
      <c r="T37" s="15"/>
      <c r="U37" s="15"/>
      <c r="V37" s="15"/>
      <c r="W37" s="15"/>
      <c r="X37" s="15"/>
      <c r="Y37" s="15"/>
      <c r="Z37" s="15"/>
      <c r="AA37" s="15"/>
      <c r="AB37" s="15"/>
      <c r="AC37" s="15"/>
      <c r="AD37" s="15"/>
      <c r="AE37" s="15"/>
      <c r="AF37" s="15"/>
    </row>
    <row r="38" ht="15.75" customHeight="1">
      <c r="A38" s="28" t="s">
        <v>5</v>
      </c>
      <c r="B38" s="461"/>
      <c r="D38" s="461"/>
      <c r="E38" s="28" t="s">
        <v>178</v>
      </c>
      <c r="F38" s="395" t="s">
        <v>209</v>
      </c>
      <c r="G38" s="166" t="s">
        <v>5048</v>
      </c>
      <c r="H38" s="35" t="s">
        <v>209</v>
      </c>
      <c r="I38" s="36"/>
      <c r="J38" s="36"/>
      <c r="L38" s="45"/>
      <c r="M38" s="45"/>
      <c r="N38" s="15"/>
      <c r="O38" s="15"/>
      <c r="P38" s="15"/>
      <c r="Q38" s="15"/>
      <c r="R38" s="15"/>
      <c r="S38" s="15"/>
      <c r="T38" s="15"/>
      <c r="U38" s="15"/>
      <c r="V38" s="15"/>
      <c r="W38" s="15"/>
      <c r="X38" s="15"/>
      <c r="Y38" s="15"/>
      <c r="Z38" s="15"/>
      <c r="AA38" s="15"/>
      <c r="AB38" s="15"/>
      <c r="AC38" s="15"/>
      <c r="AD38" s="15"/>
      <c r="AE38" s="15"/>
      <c r="AF38" s="15"/>
    </row>
    <row r="39" ht="24.0" customHeight="1">
      <c r="A39" s="28" t="s">
        <v>5</v>
      </c>
      <c r="B39" s="461"/>
      <c r="D39" s="461"/>
      <c r="E39" s="28" t="s">
        <v>178</v>
      </c>
      <c r="F39" s="395" t="s">
        <v>210</v>
      </c>
      <c r="G39" s="166" t="s">
        <v>5049</v>
      </c>
      <c r="H39" s="35" t="s">
        <v>210</v>
      </c>
      <c r="I39" s="36"/>
      <c r="J39" s="36"/>
      <c r="L39" s="45"/>
      <c r="M39" s="45"/>
      <c r="N39" s="15"/>
      <c r="O39" s="15"/>
      <c r="P39" s="15"/>
      <c r="Q39" s="15"/>
      <c r="R39" s="15"/>
      <c r="S39" s="15"/>
      <c r="T39" s="15"/>
      <c r="U39" s="15"/>
      <c r="V39" s="15"/>
      <c r="W39" s="15"/>
      <c r="X39" s="15"/>
      <c r="Y39" s="15"/>
      <c r="Z39" s="15"/>
      <c r="AA39" s="15"/>
      <c r="AB39" s="15"/>
      <c r="AC39" s="15"/>
      <c r="AD39" s="15"/>
      <c r="AE39" s="15"/>
      <c r="AF39" s="15"/>
    </row>
    <row r="40" ht="15.75" customHeight="1">
      <c r="A40" s="28" t="s">
        <v>5</v>
      </c>
      <c r="B40" s="461"/>
      <c r="D40" s="461"/>
      <c r="E40" s="28" t="s">
        <v>178</v>
      </c>
      <c r="F40" s="395" t="s">
        <v>179</v>
      </c>
      <c r="G40" s="166" t="s">
        <v>5050</v>
      </c>
      <c r="H40" s="35" t="s">
        <v>179</v>
      </c>
      <c r="I40" s="36"/>
      <c r="J40" s="36"/>
      <c r="L40" s="45"/>
      <c r="M40" s="45"/>
      <c r="N40" s="15"/>
      <c r="O40" s="15"/>
      <c r="P40" s="15"/>
      <c r="Q40" s="15"/>
      <c r="R40" s="15"/>
      <c r="S40" s="15"/>
      <c r="T40" s="15"/>
      <c r="U40" s="15"/>
      <c r="V40" s="15"/>
      <c r="W40" s="15"/>
      <c r="X40" s="15"/>
      <c r="Y40" s="15"/>
      <c r="Z40" s="15"/>
      <c r="AA40" s="15"/>
      <c r="AB40" s="15"/>
      <c r="AC40" s="15"/>
      <c r="AD40" s="15"/>
      <c r="AE40" s="15"/>
      <c r="AF40" s="15"/>
    </row>
    <row r="41" ht="15.75" customHeight="1">
      <c r="A41" s="28" t="s">
        <v>5</v>
      </c>
      <c r="B41" s="461"/>
      <c r="D41" s="461"/>
      <c r="E41" s="28" t="s">
        <v>178</v>
      </c>
      <c r="F41" s="395" t="s">
        <v>180</v>
      </c>
      <c r="G41" s="166" t="s">
        <v>5051</v>
      </c>
      <c r="H41" s="35" t="s">
        <v>180</v>
      </c>
      <c r="I41" s="36"/>
      <c r="J41" s="36"/>
      <c r="L41" s="45"/>
      <c r="M41" s="45"/>
      <c r="N41" s="15"/>
      <c r="O41" s="15"/>
      <c r="P41" s="15"/>
      <c r="Q41" s="15"/>
      <c r="R41" s="15"/>
      <c r="S41" s="15"/>
      <c r="T41" s="15"/>
      <c r="U41" s="15"/>
      <c r="V41" s="15"/>
      <c r="W41" s="15"/>
      <c r="X41" s="15"/>
      <c r="Y41" s="15"/>
      <c r="Z41" s="15"/>
      <c r="AA41" s="15"/>
      <c r="AB41" s="15"/>
      <c r="AC41" s="15"/>
      <c r="AD41" s="15"/>
      <c r="AE41" s="15"/>
      <c r="AF41" s="15"/>
    </row>
    <row r="42" ht="15.75" customHeight="1">
      <c r="A42" s="28" t="s">
        <v>5</v>
      </c>
      <c r="B42" s="461"/>
      <c r="D42" s="461"/>
      <c r="E42" s="28" t="s">
        <v>178</v>
      </c>
      <c r="F42" s="395" t="s">
        <v>181</v>
      </c>
      <c r="G42" s="166" t="s">
        <v>5052</v>
      </c>
      <c r="H42" s="35" t="s">
        <v>181</v>
      </c>
      <c r="I42" s="36"/>
      <c r="J42" s="36"/>
      <c r="L42" s="45"/>
      <c r="M42" s="45"/>
      <c r="N42" s="15"/>
      <c r="O42" s="15"/>
      <c r="P42" s="15"/>
      <c r="Q42" s="15"/>
      <c r="R42" s="15"/>
      <c r="S42" s="15"/>
      <c r="T42" s="15"/>
      <c r="U42" s="15"/>
      <c r="V42" s="15"/>
      <c r="W42" s="15"/>
      <c r="X42" s="15"/>
      <c r="Y42" s="15"/>
      <c r="Z42" s="15"/>
      <c r="AA42" s="15"/>
      <c r="AB42" s="15"/>
      <c r="AC42" s="15"/>
      <c r="AD42" s="15"/>
      <c r="AE42" s="15"/>
      <c r="AF42" s="15"/>
    </row>
    <row r="43" ht="15.75" customHeight="1">
      <c r="A43" s="28" t="s">
        <v>5</v>
      </c>
      <c r="B43" s="461"/>
      <c r="D43" s="461"/>
      <c r="E43" s="28" t="s">
        <v>178</v>
      </c>
      <c r="F43" s="395" t="s">
        <v>182</v>
      </c>
      <c r="G43" s="166" t="s">
        <v>5053</v>
      </c>
      <c r="H43" s="35" t="s">
        <v>182</v>
      </c>
      <c r="I43" s="36"/>
      <c r="J43" s="36"/>
      <c r="L43" s="45"/>
      <c r="M43" s="45"/>
      <c r="N43" s="15"/>
      <c r="O43" s="15"/>
      <c r="P43" s="15"/>
      <c r="Q43" s="15"/>
      <c r="R43" s="15"/>
      <c r="S43" s="15"/>
      <c r="T43" s="15"/>
      <c r="U43" s="15"/>
      <c r="V43" s="15"/>
      <c r="W43" s="15"/>
      <c r="X43" s="15"/>
      <c r="Y43" s="15"/>
      <c r="Z43" s="15"/>
      <c r="AA43" s="15"/>
      <c r="AB43" s="15"/>
      <c r="AC43" s="15"/>
      <c r="AD43" s="15"/>
      <c r="AE43" s="15"/>
      <c r="AF43" s="15"/>
    </row>
    <row r="44" ht="15.75" customHeight="1">
      <c r="A44" s="28" t="s">
        <v>5</v>
      </c>
      <c r="B44" s="519" t="s">
        <v>5054</v>
      </c>
      <c r="C44" s="186" t="s">
        <v>5055</v>
      </c>
      <c r="D44" s="519" t="s">
        <v>42</v>
      </c>
      <c r="E44" s="520" t="s">
        <v>88</v>
      </c>
      <c r="F44" s="521" t="s">
        <v>89</v>
      </c>
      <c r="G44" s="522"/>
      <c r="H44" s="523"/>
      <c r="I44" s="524"/>
      <c r="J44" s="524"/>
      <c r="K44" s="525"/>
      <c r="L44" s="526"/>
      <c r="M44" s="45"/>
      <c r="N44" s="15"/>
      <c r="O44" s="15"/>
      <c r="P44" s="15"/>
      <c r="Q44" s="15"/>
      <c r="R44" s="15"/>
      <c r="S44" s="15"/>
      <c r="T44" s="15"/>
      <c r="U44" s="15"/>
      <c r="V44" s="15"/>
      <c r="W44" s="15"/>
      <c r="X44" s="15"/>
      <c r="Y44" s="15"/>
      <c r="Z44" s="15"/>
      <c r="AA44" s="15"/>
      <c r="AB44" s="15"/>
      <c r="AC44" s="15"/>
      <c r="AD44" s="15"/>
      <c r="AE44" s="15"/>
      <c r="AF44" s="15"/>
    </row>
    <row r="45" ht="15.75" customHeight="1">
      <c r="A45" s="28" t="s">
        <v>5</v>
      </c>
      <c r="B45" s="461"/>
      <c r="D45" s="461"/>
      <c r="E45" s="520" t="s">
        <v>300</v>
      </c>
      <c r="F45" s="521" t="s">
        <v>300</v>
      </c>
      <c r="G45" s="527" t="s">
        <v>5056</v>
      </c>
      <c r="H45" s="523" t="s">
        <v>300</v>
      </c>
      <c r="I45" s="524"/>
      <c r="J45" s="524"/>
      <c r="K45" s="525"/>
      <c r="L45" s="526"/>
      <c r="M45" s="45"/>
      <c r="N45" s="15"/>
      <c r="O45" s="15"/>
      <c r="P45" s="15"/>
      <c r="Q45" s="15"/>
      <c r="R45" s="15"/>
      <c r="S45" s="15"/>
      <c r="T45" s="15"/>
      <c r="U45" s="15"/>
      <c r="V45" s="15"/>
      <c r="W45" s="15"/>
      <c r="X45" s="15"/>
      <c r="Y45" s="15"/>
      <c r="Z45" s="15"/>
      <c r="AA45" s="15"/>
      <c r="AB45" s="15"/>
      <c r="AC45" s="15"/>
      <c r="AD45" s="15"/>
      <c r="AE45" s="15"/>
      <c r="AF45" s="15"/>
    </row>
    <row r="46" ht="15.75" customHeight="1">
      <c r="A46" s="28" t="s">
        <v>5</v>
      </c>
      <c r="B46" s="461"/>
      <c r="D46" s="461"/>
      <c r="E46" s="520" t="s">
        <v>88</v>
      </c>
      <c r="F46" s="521" t="s">
        <v>95</v>
      </c>
      <c r="G46" s="527" t="s">
        <v>5056</v>
      </c>
      <c r="H46" s="523" t="s">
        <v>95</v>
      </c>
      <c r="I46" s="524"/>
      <c r="J46" s="524"/>
      <c r="K46" s="525"/>
      <c r="L46" s="526"/>
      <c r="M46" s="45"/>
      <c r="N46" s="15"/>
      <c r="O46" s="15"/>
      <c r="P46" s="15"/>
      <c r="Q46" s="15"/>
      <c r="R46" s="15"/>
      <c r="S46" s="15"/>
      <c r="T46" s="15"/>
      <c r="U46" s="15"/>
      <c r="V46" s="15"/>
      <c r="W46" s="15"/>
      <c r="X46" s="15"/>
      <c r="Y46" s="15"/>
      <c r="Z46" s="15"/>
      <c r="AA46" s="15"/>
      <c r="AB46" s="15"/>
      <c r="AC46" s="15"/>
      <c r="AD46" s="15"/>
      <c r="AE46" s="15"/>
      <c r="AF46" s="15"/>
    </row>
    <row r="47" ht="15.75" customHeight="1">
      <c r="A47" s="28" t="s">
        <v>5</v>
      </c>
      <c r="B47" s="461"/>
      <c r="D47" s="461"/>
      <c r="E47" s="520" t="s">
        <v>88</v>
      </c>
      <c r="F47" s="521" t="s">
        <v>96</v>
      </c>
      <c r="G47" s="527" t="s">
        <v>5056</v>
      </c>
      <c r="H47" s="523" t="s">
        <v>96</v>
      </c>
      <c r="I47" s="524"/>
      <c r="J47" s="524"/>
      <c r="K47" s="525"/>
      <c r="L47" s="526"/>
      <c r="M47" s="45"/>
      <c r="N47" s="15"/>
      <c r="O47" s="15"/>
      <c r="P47" s="15"/>
      <c r="Q47" s="15"/>
      <c r="R47" s="15"/>
      <c r="S47" s="15"/>
      <c r="T47" s="15"/>
      <c r="U47" s="15"/>
      <c r="V47" s="15"/>
      <c r="W47" s="15"/>
      <c r="X47" s="15"/>
      <c r="Y47" s="15"/>
      <c r="Z47" s="15"/>
      <c r="AA47" s="15"/>
      <c r="AB47" s="15"/>
      <c r="AC47" s="15"/>
      <c r="AD47" s="15"/>
      <c r="AE47" s="15"/>
      <c r="AF47" s="15"/>
    </row>
    <row r="48" ht="15.75" customHeight="1">
      <c r="A48" s="28" t="s">
        <v>5</v>
      </c>
      <c r="B48" s="461"/>
      <c r="D48" s="461"/>
      <c r="E48" s="520" t="s">
        <v>104</v>
      </c>
      <c r="F48" s="521" t="s">
        <v>250</v>
      </c>
      <c r="G48" s="527" t="s">
        <v>5056</v>
      </c>
      <c r="H48" s="523" t="s">
        <v>250</v>
      </c>
      <c r="I48" s="524"/>
      <c r="J48" s="524"/>
      <c r="K48" s="525"/>
      <c r="L48" s="526"/>
      <c r="M48" s="45"/>
      <c r="N48" s="15"/>
      <c r="O48" s="15"/>
      <c r="P48" s="15"/>
      <c r="Q48" s="15"/>
      <c r="R48" s="15"/>
      <c r="S48" s="15"/>
      <c r="T48" s="15"/>
      <c r="U48" s="15"/>
      <c r="V48" s="15"/>
      <c r="W48" s="15"/>
      <c r="X48" s="15"/>
      <c r="Y48" s="15"/>
      <c r="Z48" s="15"/>
      <c r="AA48" s="15"/>
      <c r="AB48" s="15"/>
      <c r="AC48" s="15"/>
      <c r="AD48" s="15"/>
      <c r="AE48" s="15"/>
      <c r="AF48" s="15"/>
    </row>
    <row r="49" ht="15.75" customHeight="1">
      <c r="A49" s="28" t="s">
        <v>5</v>
      </c>
      <c r="B49" s="461"/>
      <c r="D49" s="461"/>
      <c r="E49" s="520" t="s">
        <v>86</v>
      </c>
      <c r="F49" s="521" t="s">
        <v>90</v>
      </c>
      <c r="G49" s="527" t="s">
        <v>5056</v>
      </c>
      <c r="H49" s="523" t="s">
        <v>90</v>
      </c>
      <c r="I49" s="524"/>
      <c r="J49" s="524"/>
      <c r="K49" s="525"/>
      <c r="L49" s="526"/>
      <c r="M49" s="45"/>
      <c r="N49" s="15"/>
      <c r="O49" s="15"/>
      <c r="P49" s="15"/>
      <c r="Q49" s="15"/>
      <c r="R49" s="15"/>
      <c r="S49" s="15"/>
      <c r="T49" s="15"/>
      <c r="U49" s="15"/>
      <c r="V49" s="15"/>
      <c r="W49" s="15"/>
      <c r="X49" s="15"/>
      <c r="Y49" s="15"/>
      <c r="Z49" s="15"/>
      <c r="AA49" s="15"/>
      <c r="AB49" s="15"/>
      <c r="AC49" s="15"/>
      <c r="AD49" s="15"/>
      <c r="AE49" s="15"/>
      <c r="AF49" s="15"/>
    </row>
    <row r="50" ht="15.75" customHeight="1">
      <c r="A50" s="28" t="s">
        <v>5</v>
      </c>
      <c r="B50" s="461"/>
      <c r="D50" s="461"/>
      <c r="E50" s="520" t="s">
        <v>86</v>
      </c>
      <c r="F50" s="521" t="s">
        <v>338</v>
      </c>
      <c r="G50" s="527" t="s">
        <v>5056</v>
      </c>
      <c r="H50" s="523" t="s">
        <v>338</v>
      </c>
      <c r="I50" s="524"/>
      <c r="J50" s="524"/>
      <c r="K50" s="525"/>
      <c r="L50" s="526"/>
      <c r="M50" s="45"/>
      <c r="N50" s="15"/>
      <c r="O50" s="15"/>
      <c r="P50" s="15"/>
      <c r="Q50" s="15"/>
      <c r="R50" s="15"/>
      <c r="S50" s="15"/>
      <c r="T50" s="15"/>
      <c r="U50" s="15"/>
      <c r="V50" s="15"/>
      <c r="W50" s="15"/>
      <c r="X50" s="15"/>
      <c r="Y50" s="15"/>
      <c r="Z50" s="15"/>
      <c r="AA50" s="15"/>
      <c r="AB50" s="15"/>
      <c r="AC50" s="15"/>
      <c r="AD50" s="15"/>
      <c r="AE50" s="15"/>
      <c r="AF50" s="15"/>
    </row>
    <row r="51" ht="15.75" customHeight="1">
      <c r="A51" s="28" t="s">
        <v>5</v>
      </c>
      <c r="B51" s="461"/>
      <c r="D51" s="461"/>
      <c r="E51" s="520" t="s">
        <v>86</v>
      </c>
      <c r="F51" s="521" t="s">
        <v>91</v>
      </c>
      <c r="G51" s="527" t="s">
        <v>5056</v>
      </c>
      <c r="H51" s="523" t="s">
        <v>91</v>
      </c>
      <c r="I51" s="524"/>
      <c r="J51" s="524"/>
      <c r="K51" s="525"/>
      <c r="L51" s="526"/>
      <c r="M51" s="45"/>
      <c r="N51" s="15"/>
      <c r="O51" s="15"/>
      <c r="P51" s="15"/>
      <c r="Q51" s="15"/>
      <c r="R51" s="15"/>
      <c r="S51" s="15"/>
      <c r="T51" s="15"/>
      <c r="U51" s="15"/>
      <c r="V51" s="15"/>
      <c r="W51" s="15"/>
      <c r="X51" s="15"/>
      <c r="Y51" s="15"/>
      <c r="Z51" s="15"/>
      <c r="AA51" s="15"/>
      <c r="AB51" s="15"/>
      <c r="AC51" s="15"/>
      <c r="AD51" s="15"/>
      <c r="AE51" s="15"/>
      <c r="AF51" s="15"/>
    </row>
    <row r="52" ht="15.75" customHeight="1">
      <c r="A52" s="28" t="s">
        <v>5</v>
      </c>
      <c r="B52" s="519" t="s">
        <v>5057</v>
      </c>
      <c r="C52" s="518" t="s">
        <v>5058</v>
      </c>
      <c r="D52" s="519" t="s">
        <v>42</v>
      </c>
      <c r="E52" s="520" t="s">
        <v>88</v>
      </c>
      <c r="F52" s="521" t="s">
        <v>89</v>
      </c>
      <c r="G52" s="522"/>
      <c r="H52" s="523"/>
      <c r="I52" s="524"/>
      <c r="J52" s="524"/>
      <c r="K52" s="525"/>
      <c r="L52" s="526"/>
      <c r="M52" s="45"/>
      <c r="N52" s="15"/>
      <c r="O52" s="15"/>
      <c r="P52" s="15"/>
      <c r="Q52" s="15"/>
      <c r="R52" s="15"/>
      <c r="S52" s="15"/>
      <c r="T52" s="15"/>
      <c r="U52" s="15"/>
      <c r="V52" s="15"/>
      <c r="W52" s="15"/>
      <c r="X52" s="15"/>
      <c r="Y52" s="15"/>
      <c r="Z52" s="15"/>
      <c r="AA52" s="15"/>
      <c r="AB52" s="15"/>
      <c r="AC52" s="15"/>
      <c r="AD52" s="15"/>
      <c r="AE52" s="15"/>
      <c r="AF52" s="15"/>
    </row>
    <row r="53" ht="15.75" customHeight="1">
      <c r="A53" s="28" t="s">
        <v>5</v>
      </c>
      <c r="B53" s="461"/>
      <c r="C53" s="461"/>
      <c r="D53" s="461"/>
      <c r="E53" s="520" t="s">
        <v>397</v>
      </c>
      <c r="F53" s="521" t="s">
        <v>397</v>
      </c>
      <c r="G53" s="527" t="s">
        <v>5059</v>
      </c>
      <c r="H53" s="523" t="s">
        <v>397</v>
      </c>
      <c r="I53" s="524"/>
      <c r="J53" s="524"/>
      <c r="K53" s="525"/>
      <c r="L53" s="526"/>
      <c r="M53" s="45"/>
      <c r="N53" s="15"/>
      <c r="O53" s="15"/>
      <c r="P53" s="15"/>
      <c r="Q53" s="15"/>
      <c r="R53" s="15"/>
      <c r="S53" s="15"/>
      <c r="T53" s="15"/>
      <c r="U53" s="15"/>
      <c r="V53" s="15"/>
      <c r="W53" s="15"/>
      <c r="X53" s="15"/>
      <c r="Y53" s="15"/>
      <c r="Z53" s="15"/>
      <c r="AA53" s="15"/>
      <c r="AB53" s="15"/>
      <c r="AC53" s="15"/>
      <c r="AD53" s="15"/>
      <c r="AE53" s="15"/>
      <c r="AF53" s="15"/>
    </row>
    <row r="54" ht="15.75" customHeight="1">
      <c r="A54" s="28" t="s">
        <v>5</v>
      </c>
      <c r="B54" s="461"/>
      <c r="C54" s="461"/>
      <c r="D54" s="461"/>
      <c r="E54" s="520" t="s">
        <v>397</v>
      </c>
      <c r="F54" s="521" t="s">
        <v>924</v>
      </c>
      <c r="G54" s="522"/>
      <c r="H54" s="36"/>
      <c r="I54" s="36"/>
      <c r="J54" s="36"/>
      <c r="L54" s="526"/>
      <c r="M54" s="45"/>
      <c r="N54" s="15"/>
      <c r="O54" s="15"/>
      <c r="P54" s="15"/>
      <c r="Q54" s="15"/>
      <c r="R54" s="15"/>
      <c r="S54" s="15"/>
      <c r="T54" s="15"/>
      <c r="U54" s="15"/>
      <c r="V54" s="15"/>
      <c r="W54" s="15"/>
      <c r="X54" s="15"/>
      <c r="Y54" s="15"/>
      <c r="Z54" s="15"/>
      <c r="AA54" s="15"/>
      <c r="AB54" s="15"/>
      <c r="AC54" s="15"/>
      <c r="AD54" s="15"/>
      <c r="AE54" s="15"/>
      <c r="AF54" s="15"/>
    </row>
    <row r="55" ht="15.75" customHeight="1">
      <c r="A55" s="28" t="s">
        <v>5</v>
      </c>
      <c r="B55" s="461"/>
      <c r="C55" s="461"/>
      <c r="D55" s="461"/>
      <c r="E55" s="520" t="s">
        <v>408</v>
      </c>
      <c r="F55" s="521" t="s">
        <v>408</v>
      </c>
      <c r="G55" s="527" t="s">
        <v>5060</v>
      </c>
      <c r="H55" s="523" t="s">
        <v>408</v>
      </c>
      <c r="I55" s="524"/>
      <c r="J55" s="524"/>
      <c r="K55" s="525"/>
      <c r="L55" s="526"/>
      <c r="M55" s="45"/>
      <c r="N55" s="15"/>
      <c r="O55" s="15"/>
      <c r="P55" s="15"/>
      <c r="Q55" s="15"/>
      <c r="R55" s="15"/>
      <c r="S55" s="15"/>
      <c r="T55" s="15"/>
      <c r="U55" s="15"/>
      <c r="V55" s="15"/>
      <c r="W55" s="15"/>
      <c r="X55" s="15"/>
      <c r="Y55" s="15"/>
      <c r="Z55" s="15"/>
      <c r="AA55" s="15"/>
      <c r="AB55" s="15"/>
      <c r="AC55" s="15"/>
      <c r="AD55" s="15"/>
      <c r="AE55" s="15"/>
      <c r="AF55" s="15"/>
    </row>
    <row r="56" ht="15.75" customHeight="1">
      <c r="A56" s="28" t="s">
        <v>5</v>
      </c>
      <c r="B56" s="461"/>
      <c r="C56" s="461"/>
      <c r="D56" s="461"/>
      <c r="E56" s="520" t="s">
        <v>104</v>
      </c>
      <c r="F56" s="521" t="s">
        <v>250</v>
      </c>
      <c r="G56" s="527" t="s">
        <v>5061</v>
      </c>
      <c r="H56" s="523" t="s">
        <v>250</v>
      </c>
      <c r="I56" s="524"/>
      <c r="J56" s="524"/>
      <c r="K56" s="525"/>
      <c r="L56" s="526"/>
      <c r="M56" s="45"/>
      <c r="N56" s="15"/>
      <c r="O56" s="15"/>
      <c r="P56" s="15"/>
      <c r="Q56" s="15"/>
      <c r="R56" s="15"/>
      <c r="S56" s="15"/>
      <c r="T56" s="15"/>
      <c r="U56" s="15"/>
      <c r="V56" s="15"/>
      <c r="W56" s="15"/>
      <c r="X56" s="15"/>
      <c r="Y56" s="15"/>
      <c r="Z56" s="15"/>
      <c r="AA56" s="15"/>
      <c r="AB56" s="15"/>
      <c r="AC56" s="15"/>
      <c r="AD56" s="15"/>
      <c r="AE56" s="15"/>
      <c r="AF56" s="15"/>
    </row>
    <row r="57" ht="15.75" customHeight="1">
      <c r="A57" s="28" t="s">
        <v>5</v>
      </c>
      <c r="B57" s="461"/>
      <c r="C57" s="461"/>
      <c r="D57" s="461"/>
      <c r="E57" s="520" t="s">
        <v>88</v>
      </c>
      <c r="F57" s="521" t="s">
        <v>89</v>
      </c>
      <c r="G57" s="522"/>
      <c r="H57" s="524"/>
      <c r="I57" s="524"/>
      <c r="J57" s="524"/>
      <c r="K57" s="525"/>
      <c r="L57" s="526"/>
      <c r="M57" s="45"/>
      <c r="N57" s="15"/>
      <c r="O57" s="15"/>
      <c r="P57" s="15"/>
      <c r="Q57" s="15"/>
      <c r="R57" s="15"/>
      <c r="S57" s="15"/>
      <c r="T57" s="15"/>
      <c r="U57" s="15"/>
      <c r="V57" s="15"/>
      <c r="W57" s="15"/>
      <c r="X57" s="15"/>
      <c r="Y57" s="15"/>
      <c r="Z57" s="15"/>
      <c r="AA57" s="15"/>
      <c r="AB57" s="15"/>
      <c r="AC57" s="15"/>
      <c r="AD57" s="15"/>
      <c r="AE57" s="15"/>
      <c r="AF57" s="15"/>
    </row>
    <row r="58" ht="15.75" customHeight="1">
      <c r="A58" s="28" t="s">
        <v>5</v>
      </c>
      <c r="B58" s="519" t="s">
        <v>5062</v>
      </c>
      <c r="C58" s="518" t="s">
        <v>5063</v>
      </c>
      <c r="D58" s="519" t="s">
        <v>42</v>
      </c>
      <c r="E58" s="520" t="s">
        <v>397</v>
      </c>
      <c r="F58" s="528" t="s">
        <v>397</v>
      </c>
      <c r="G58" s="527" t="s">
        <v>5064</v>
      </c>
      <c r="H58" s="528" t="s">
        <v>397</v>
      </c>
      <c r="I58" s="525"/>
      <c r="J58" s="525"/>
      <c r="K58" s="525"/>
      <c r="L58" s="529"/>
      <c r="M58" s="15"/>
      <c r="N58" s="15"/>
      <c r="O58" s="15"/>
      <c r="P58" s="15"/>
      <c r="Q58" s="15"/>
      <c r="R58" s="15"/>
      <c r="S58" s="15"/>
      <c r="T58" s="15"/>
      <c r="U58" s="15"/>
      <c r="V58" s="15"/>
      <c r="W58" s="15"/>
      <c r="X58" s="15"/>
      <c r="Y58" s="15"/>
      <c r="Z58" s="15"/>
      <c r="AA58" s="15"/>
      <c r="AB58" s="15"/>
      <c r="AC58" s="15"/>
      <c r="AD58" s="15"/>
      <c r="AE58" s="15"/>
      <c r="AF58" s="15"/>
    </row>
    <row r="59" ht="15.75" customHeight="1">
      <c r="A59" s="28" t="s">
        <v>5</v>
      </c>
      <c r="B59" s="461"/>
      <c r="C59" s="461"/>
      <c r="D59" s="461"/>
      <c r="E59" s="520" t="s">
        <v>397</v>
      </c>
      <c r="F59" s="528" t="s">
        <v>924</v>
      </c>
      <c r="G59" s="520"/>
      <c r="H59" s="36"/>
      <c r="L59" s="529"/>
      <c r="M59" s="15"/>
      <c r="N59" s="15"/>
      <c r="O59" s="15"/>
      <c r="P59" s="15"/>
      <c r="Q59" s="15"/>
      <c r="R59" s="15"/>
      <c r="S59" s="15"/>
      <c r="T59" s="15"/>
      <c r="U59" s="15"/>
      <c r="V59" s="15"/>
      <c r="W59" s="15"/>
      <c r="X59" s="15"/>
      <c r="Y59" s="15"/>
      <c r="Z59" s="15"/>
      <c r="AA59" s="15"/>
      <c r="AB59" s="15"/>
      <c r="AC59" s="15"/>
      <c r="AD59" s="15"/>
      <c r="AE59" s="15"/>
      <c r="AF59" s="15"/>
    </row>
    <row r="60" ht="15.75" customHeight="1">
      <c r="A60" s="28" t="s">
        <v>5</v>
      </c>
      <c r="B60" s="461"/>
      <c r="C60" s="461"/>
      <c r="D60" s="461"/>
      <c r="E60" s="520" t="s">
        <v>172</v>
      </c>
      <c r="F60" s="528" t="s">
        <v>203</v>
      </c>
      <c r="G60" s="530" t="s">
        <v>5065</v>
      </c>
      <c r="H60" s="523" t="s">
        <v>203</v>
      </c>
      <c r="I60" s="523"/>
      <c r="J60" s="523"/>
      <c r="K60" s="523"/>
      <c r="L60" s="529"/>
      <c r="M60" s="15"/>
      <c r="N60" s="15"/>
      <c r="O60" s="15"/>
      <c r="P60" s="15"/>
      <c r="Q60" s="15"/>
      <c r="R60" s="15"/>
      <c r="S60" s="15"/>
      <c r="T60" s="15"/>
      <c r="U60" s="15"/>
      <c r="V60" s="15"/>
      <c r="W60" s="15"/>
      <c r="X60" s="15"/>
      <c r="Y60" s="15"/>
      <c r="Z60" s="15"/>
      <c r="AA60" s="15"/>
      <c r="AB60" s="15"/>
      <c r="AC60" s="15"/>
      <c r="AD60" s="15"/>
      <c r="AE60" s="15"/>
      <c r="AF60" s="15"/>
    </row>
    <row r="61" ht="15.75" customHeight="1">
      <c r="A61" s="28" t="s">
        <v>5</v>
      </c>
      <c r="B61" s="461"/>
      <c r="C61" s="461"/>
      <c r="D61" s="461"/>
      <c r="E61" s="520" t="s">
        <v>172</v>
      </c>
      <c r="F61" s="528" t="s">
        <v>204</v>
      </c>
      <c r="G61" s="530" t="s">
        <v>5066</v>
      </c>
      <c r="H61" s="523" t="s">
        <v>204</v>
      </c>
      <c r="I61" s="523"/>
      <c r="J61" s="525"/>
      <c r="K61" s="525"/>
      <c r="L61" s="529"/>
      <c r="M61" s="15"/>
      <c r="N61" s="15"/>
      <c r="O61" s="15"/>
      <c r="P61" s="15"/>
      <c r="Q61" s="15"/>
      <c r="R61" s="15"/>
      <c r="S61" s="15"/>
      <c r="T61" s="15"/>
      <c r="U61" s="15"/>
      <c r="V61" s="15"/>
      <c r="W61" s="15"/>
      <c r="X61" s="15"/>
      <c r="Y61" s="15"/>
      <c r="Z61" s="15"/>
      <c r="AA61" s="15"/>
      <c r="AB61" s="15"/>
      <c r="AC61" s="15"/>
      <c r="AD61" s="15"/>
      <c r="AE61" s="15"/>
      <c r="AF61" s="15"/>
    </row>
    <row r="62" ht="15.75" customHeight="1">
      <c r="A62" s="28" t="s">
        <v>5</v>
      </c>
      <c r="B62" s="461"/>
      <c r="C62" s="461"/>
      <c r="D62" s="461"/>
      <c r="E62" s="520" t="s">
        <v>172</v>
      </c>
      <c r="F62" s="528" t="s">
        <v>686</v>
      </c>
      <c r="G62" s="527" t="s">
        <v>5067</v>
      </c>
      <c r="H62" s="523" t="s">
        <v>686</v>
      </c>
      <c r="I62" s="525"/>
      <c r="J62" s="525"/>
      <c r="K62" s="525"/>
      <c r="L62" s="529"/>
      <c r="M62" s="15"/>
      <c r="N62" s="15"/>
      <c r="O62" s="15"/>
      <c r="P62" s="15"/>
      <c r="Q62" s="15"/>
      <c r="R62" s="15"/>
      <c r="S62" s="15"/>
      <c r="T62" s="15"/>
      <c r="U62" s="15"/>
      <c r="V62" s="15"/>
      <c r="W62" s="15"/>
      <c r="X62" s="15"/>
      <c r="Y62" s="15"/>
      <c r="Z62" s="15"/>
      <c r="AA62" s="15"/>
      <c r="AB62" s="15"/>
      <c r="AC62" s="15"/>
      <c r="AD62" s="15"/>
      <c r="AE62" s="15"/>
      <c r="AF62" s="15"/>
    </row>
    <row r="63" ht="15.75" customHeight="1">
      <c r="A63" s="28" t="s">
        <v>5</v>
      </c>
      <c r="B63" s="461"/>
      <c r="C63" s="461"/>
      <c r="D63" s="461"/>
      <c r="E63" s="520" t="s">
        <v>172</v>
      </c>
      <c r="F63" s="528" t="s">
        <v>399</v>
      </c>
      <c r="G63" s="527" t="s">
        <v>5068</v>
      </c>
      <c r="H63" s="523" t="s">
        <v>399</v>
      </c>
      <c r="I63" s="523"/>
      <c r="J63" s="525"/>
      <c r="K63" s="525"/>
      <c r="L63" s="529"/>
      <c r="M63" s="15"/>
      <c r="N63" s="15"/>
      <c r="O63" s="15"/>
      <c r="P63" s="15"/>
      <c r="Q63" s="15"/>
      <c r="R63" s="15"/>
      <c r="S63" s="15"/>
      <c r="T63" s="15"/>
      <c r="U63" s="15"/>
      <c r="V63" s="15"/>
      <c r="W63" s="15"/>
      <c r="X63" s="15"/>
      <c r="Y63" s="15"/>
      <c r="Z63" s="15"/>
      <c r="AA63" s="15"/>
      <c r="AB63" s="15"/>
      <c r="AC63" s="15"/>
      <c r="AD63" s="15"/>
      <c r="AE63" s="15"/>
      <c r="AF63" s="15"/>
    </row>
    <row r="64" ht="15.75" customHeight="1">
      <c r="A64" s="28" t="s">
        <v>5</v>
      </c>
      <c r="B64" s="461"/>
      <c r="C64" s="461"/>
      <c r="D64" s="461"/>
      <c r="E64" s="520" t="s">
        <v>104</v>
      </c>
      <c r="F64" s="528" t="s">
        <v>250</v>
      </c>
      <c r="G64" s="527" t="s">
        <v>5069</v>
      </c>
      <c r="H64" s="523" t="s">
        <v>250</v>
      </c>
      <c r="I64" s="523"/>
      <c r="J64" s="525"/>
      <c r="K64" s="525"/>
      <c r="L64" s="529"/>
      <c r="M64" s="15"/>
      <c r="N64" s="15"/>
      <c r="O64" s="15"/>
      <c r="P64" s="15"/>
      <c r="Q64" s="15"/>
      <c r="R64" s="15"/>
      <c r="S64" s="15"/>
      <c r="T64" s="15"/>
      <c r="U64" s="15"/>
      <c r="V64" s="15"/>
      <c r="W64" s="15"/>
      <c r="X64" s="15"/>
      <c r="Y64" s="15"/>
      <c r="Z64" s="15"/>
      <c r="AA64" s="15"/>
      <c r="AB64" s="15"/>
      <c r="AC64" s="15"/>
      <c r="AD64" s="15"/>
      <c r="AE64" s="15"/>
      <c r="AF64" s="15"/>
    </row>
    <row r="65" ht="15.75" customHeight="1">
      <c r="A65" s="28" t="s">
        <v>5</v>
      </c>
      <c r="B65" s="461"/>
      <c r="C65" s="461"/>
      <c r="D65" s="461"/>
      <c r="E65" s="520" t="s">
        <v>86</v>
      </c>
      <c r="F65" s="528" t="s">
        <v>87</v>
      </c>
      <c r="G65" s="520"/>
      <c r="H65" s="524"/>
      <c r="I65" s="524"/>
      <c r="J65" s="525"/>
      <c r="K65" s="525"/>
      <c r="L65" s="529"/>
      <c r="M65" s="15"/>
      <c r="N65" s="15"/>
      <c r="O65" s="15"/>
      <c r="P65" s="15"/>
      <c r="Q65" s="15"/>
      <c r="R65" s="15"/>
      <c r="S65" s="15"/>
      <c r="T65" s="15"/>
      <c r="U65" s="15"/>
      <c r="V65" s="15"/>
      <c r="W65" s="15"/>
      <c r="X65" s="15"/>
      <c r="Y65" s="15"/>
      <c r="Z65" s="15"/>
      <c r="AA65" s="15"/>
      <c r="AB65" s="15"/>
      <c r="AC65" s="15"/>
      <c r="AD65" s="15"/>
      <c r="AE65" s="15"/>
      <c r="AF65" s="15"/>
    </row>
    <row r="66" ht="15.75" customHeight="1">
      <c r="A66" s="28" t="s">
        <v>5</v>
      </c>
      <c r="B66" s="461"/>
      <c r="C66" s="461"/>
      <c r="D66" s="461"/>
      <c r="E66" s="520" t="s">
        <v>88</v>
      </c>
      <c r="F66" s="528" t="s">
        <v>89</v>
      </c>
      <c r="G66" s="520"/>
      <c r="H66" s="524"/>
      <c r="I66" s="525"/>
      <c r="J66" s="525"/>
      <c r="K66" s="525"/>
      <c r="L66" s="529"/>
      <c r="M66" s="15"/>
      <c r="N66" s="15"/>
      <c r="O66" s="15"/>
      <c r="P66" s="15"/>
      <c r="Q66" s="15"/>
      <c r="R66" s="15"/>
      <c r="S66" s="15"/>
      <c r="T66" s="15"/>
      <c r="U66" s="15"/>
      <c r="V66" s="15"/>
      <c r="W66" s="15"/>
      <c r="X66" s="15"/>
      <c r="Y66" s="15"/>
      <c r="Z66" s="15"/>
      <c r="AA66" s="15"/>
      <c r="AB66" s="15"/>
      <c r="AC66" s="15"/>
      <c r="AD66" s="15"/>
      <c r="AE66" s="15"/>
      <c r="AF66" s="15"/>
    </row>
    <row r="67" ht="15.75" customHeight="1">
      <c r="A67" s="28" t="s">
        <v>5</v>
      </c>
      <c r="B67" s="520" t="s">
        <v>5070</v>
      </c>
      <c r="C67" s="56" t="s">
        <v>5071</v>
      </c>
      <c r="D67" s="520" t="s">
        <v>42</v>
      </c>
      <c r="E67" s="520" t="s">
        <v>21</v>
      </c>
      <c r="F67" s="528" t="s">
        <v>51</v>
      </c>
      <c r="G67" s="527" t="s">
        <v>5072</v>
      </c>
      <c r="H67" s="523" t="s">
        <v>51</v>
      </c>
      <c r="I67" s="525"/>
      <c r="J67" s="525"/>
      <c r="K67" s="525"/>
      <c r="L67" s="529"/>
      <c r="M67" s="15"/>
      <c r="N67" s="15"/>
      <c r="O67" s="15"/>
      <c r="P67" s="15"/>
      <c r="Q67" s="15"/>
      <c r="R67" s="15"/>
      <c r="S67" s="15"/>
      <c r="T67" s="15"/>
      <c r="U67" s="15"/>
      <c r="V67" s="15"/>
      <c r="W67" s="15"/>
      <c r="X67" s="15"/>
      <c r="Y67" s="15"/>
      <c r="Z67" s="15"/>
      <c r="AA67" s="15"/>
      <c r="AB67" s="15"/>
      <c r="AC67" s="15"/>
      <c r="AD67" s="15"/>
      <c r="AE67" s="15"/>
      <c r="AF67" s="15"/>
    </row>
    <row r="68" ht="15.75" customHeight="1">
      <c r="A68" s="28" t="s">
        <v>5</v>
      </c>
      <c r="E68" s="520" t="s">
        <v>408</v>
      </c>
      <c r="F68" s="528" t="s">
        <v>410</v>
      </c>
      <c r="G68" s="527" t="s">
        <v>5073</v>
      </c>
      <c r="H68" s="523" t="s">
        <v>410</v>
      </c>
      <c r="I68" s="525"/>
      <c r="J68" s="525"/>
      <c r="K68" s="525"/>
      <c r="L68" s="529"/>
      <c r="M68" s="15"/>
      <c r="N68" s="15"/>
      <c r="O68" s="15"/>
      <c r="P68" s="15"/>
      <c r="Q68" s="15"/>
      <c r="R68" s="15"/>
      <c r="S68" s="15"/>
      <c r="T68" s="15"/>
      <c r="U68" s="15"/>
      <c r="V68" s="15"/>
      <c r="W68" s="15"/>
      <c r="X68" s="15"/>
      <c r="Y68" s="15"/>
      <c r="Z68" s="15"/>
      <c r="AA68" s="15"/>
      <c r="AB68" s="15"/>
      <c r="AC68" s="15"/>
      <c r="AD68" s="15"/>
      <c r="AE68" s="15"/>
      <c r="AF68" s="15"/>
    </row>
    <row r="69" ht="15.75" customHeight="1">
      <c r="A69" s="28" t="s">
        <v>5</v>
      </c>
      <c r="E69" s="520" t="s">
        <v>104</v>
      </c>
      <c r="F69" s="528" t="s">
        <v>250</v>
      </c>
      <c r="G69" s="527" t="s">
        <v>5074</v>
      </c>
      <c r="H69" s="523" t="s">
        <v>250</v>
      </c>
      <c r="I69" s="525"/>
      <c r="J69" s="525"/>
      <c r="K69" s="525"/>
      <c r="L69" s="529"/>
      <c r="M69" s="15"/>
      <c r="N69" s="15"/>
      <c r="O69" s="15"/>
      <c r="P69" s="15"/>
      <c r="Q69" s="15"/>
      <c r="R69" s="15"/>
      <c r="S69" s="15"/>
      <c r="T69" s="15"/>
      <c r="U69" s="15"/>
      <c r="V69" s="15"/>
      <c r="W69" s="15"/>
      <c r="X69" s="15"/>
      <c r="Y69" s="15"/>
      <c r="Z69" s="15"/>
      <c r="AA69" s="15"/>
      <c r="AB69" s="15"/>
      <c r="AC69" s="15"/>
      <c r="AD69" s="15"/>
      <c r="AE69" s="15"/>
      <c r="AF69" s="15"/>
    </row>
    <row r="70" ht="15.75" customHeight="1">
      <c r="A70" s="32" t="s">
        <v>5</v>
      </c>
      <c r="B70" s="528" t="s">
        <v>5075</v>
      </c>
      <c r="C70" s="163" t="s">
        <v>5076</v>
      </c>
      <c r="D70" s="528" t="s">
        <v>42</v>
      </c>
      <c r="E70" s="528" t="s">
        <v>21</v>
      </c>
      <c r="F70" s="528" t="s">
        <v>810</v>
      </c>
      <c r="G70" s="531" t="s">
        <v>5077</v>
      </c>
      <c r="H70" s="528" t="s">
        <v>810</v>
      </c>
      <c r="I70" s="532"/>
      <c r="J70" s="529"/>
      <c r="K70" s="529"/>
      <c r="L70" s="529"/>
      <c r="M70" s="15"/>
      <c r="N70" s="15"/>
      <c r="O70" s="15"/>
      <c r="P70" s="15"/>
      <c r="Q70" s="15"/>
      <c r="R70" s="15"/>
      <c r="S70" s="15"/>
      <c r="T70" s="15"/>
      <c r="U70" s="15"/>
      <c r="V70" s="15"/>
      <c r="W70" s="15"/>
      <c r="X70" s="15"/>
      <c r="Y70" s="15"/>
      <c r="Z70" s="15"/>
      <c r="AA70" s="15"/>
      <c r="AB70" s="15"/>
      <c r="AC70" s="15"/>
      <c r="AD70" s="15"/>
      <c r="AE70" s="15"/>
      <c r="AF70" s="15"/>
    </row>
    <row r="71" ht="15.75" customHeight="1">
      <c r="A71" s="32" t="s">
        <v>5</v>
      </c>
      <c r="E71" s="528" t="s">
        <v>412</v>
      </c>
      <c r="F71" s="528" t="s">
        <v>415</v>
      </c>
      <c r="G71" s="531" t="s">
        <v>5078</v>
      </c>
      <c r="H71" s="523" t="s">
        <v>412</v>
      </c>
      <c r="I71" s="524"/>
      <c r="J71" s="525"/>
      <c r="K71" s="525"/>
      <c r="L71" s="529"/>
      <c r="M71" s="15"/>
      <c r="N71" s="15"/>
      <c r="O71" s="15"/>
      <c r="P71" s="15"/>
      <c r="Q71" s="15"/>
      <c r="R71" s="15"/>
      <c r="S71" s="15"/>
      <c r="T71" s="15"/>
      <c r="U71" s="15"/>
      <c r="V71" s="15"/>
      <c r="W71" s="15"/>
      <c r="X71" s="15"/>
      <c r="Y71" s="15"/>
      <c r="Z71" s="15"/>
      <c r="AA71" s="15"/>
      <c r="AB71" s="15"/>
      <c r="AC71" s="15"/>
      <c r="AD71" s="15"/>
      <c r="AE71" s="15"/>
      <c r="AF71" s="15"/>
    </row>
    <row r="72" ht="15.75" customHeight="1">
      <c r="A72" s="32" t="s">
        <v>5</v>
      </c>
      <c r="B72" s="528" t="s">
        <v>5079</v>
      </c>
      <c r="C72" s="163" t="s">
        <v>5080</v>
      </c>
      <c r="D72" s="528" t="s">
        <v>42</v>
      </c>
      <c r="E72" s="528" t="s">
        <v>412</v>
      </c>
      <c r="F72" s="528" t="s">
        <v>421</v>
      </c>
      <c r="G72" s="531" t="s">
        <v>5081</v>
      </c>
      <c r="H72" s="528" t="s">
        <v>421</v>
      </c>
      <c r="I72" s="532"/>
      <c r="J72" s="529"/>
      <c r="K72" s="529"/>
      <c r="L72" s="529"/>
      <c r="M72" s="15"/>
      <c r="N72" s="15"/>
      <c r="O72" s="15"/>
      <c r="P72" s="15"/>
      <c r="Q72" s="15"/>
      <c r="R72" s="15"/>
      <c r="S72" s="15"/>
      <c r="T72" s="15"/>
      <c r="U72" s="15"/>
      <c r="V72" s="15"/>
      <c r="W72" s="15"/>
      <c r="X72" s="15"/>
      <c r="Y72" s="15"/>
      <c r="Z72" s="15"/>
      <c r="AA72" s="15"/>
      <c r="AB72" s="15"/>
      <c r="AC72" s="15"/>
      <c r="AD72" s="15"/>
      <c r="AE72" s="15"/>
      <c r="AF72" s="15"/>
    </row>
    <row r="73" ht="15.75" customHeight="1">
      <c r="A73" s="32" t="s">
        <v>5</v>
      </c>
      <c r="E73" s="532" t="s">
        <v>412</v>
      </c>
      <c r="F73" s="528" t="s">
        <v>413</v>
      </c>
      <c r="G73" s="531" t="s">
        <v>5082</v>
      </c>
      <c r="H73" s="528" t="s">
        <v>413</v>
      </c>
      <c r="I73" s="532"/>
      <c r="J73" s="529"/>
      <c r="K73" s="529"/>
      <c r="L73" s="529"/>
      <c r="M73" s="15"/>
      <c r="N73" s="15"/>
      <c r="O73" s="15"/>
      <c r="P73" s="15"/>
      <c r="Q73" s="15"/>
      <c r="R73" s="15"/>
      <c r="S73" s="15"/>
      <c r="T73" s="15"/>
      <c r="U73" s="15"/>
      <c r="V73" s="15"/>
      <c r="W73" s="15"/>
      <c r="X73" s="15"/>
      <c r="Y73" s="15"/>
      <c r="Z73" s="15"/>
      <c r="AA73" s="15"/>
      <c r="AB73" s="15"/>
      <c r="AC73" s="15"/>
      <c r="AD73" s="15"/>
      <c r="AE73" s="15"/>
      <c r="AF73" s="15"/>
    </row>
    <row r="74" ht="15.75" customHeight="1">
      <c r="A74" s="32" t="s">
        <v>5</v>
      </c>
      <c r="B74" s="528" t="s">
        <v>5083</v>
      </c>
      <c r="C74" s="163" t="s">
        <v>5084</v>
      </c>
      <c r="D74" s="528" t="s">
        <v>42</v>
      </c>
      <c r="E74" s="528" t="s">
        <v>21</v>
      </c>
      <c r="F74" s="528" t="s">
        <v>51</v>
      </c>
      <c r="G74" s="531" t="s">
        <v>5085</v>
      </c>
      <c r="H74" s="528" t="s">
        <v>51</v>
      </c>
      <c r="I74" s="529"/>
      <c r="J74" s="529"/>
      <c r="K74" s="529"/>
      <c r="L74" s="529"/>
      <c r="M74" s="15"/>
      <c r="N74" s="15"/>
      <c r="O74" s="15"/>
      <c r="P74" s="15"/>
      <c r="Q74" s="15"/>
      <c r="R74" s="15"/>
      <c r="S74" s="15"/>
      <c r="T74" s="15"/>
      <c r="U74" s="15"/>
      <c r="V74" s="15"/>
      <c r="W74" s="15"/>
      <c r="X74" s="15"/>
      <c r="Y74" s="15"/>
      <c r="Z74" s="15"/>
      <c r="AA74" s="15"/>
      <c r="AB74" s="15"/>
      <c r="AC74" s="15"/>
      <c r="AD74" s="15"/>
      <c r="AE74" s="15"/>
      <c r="AF74" s="15"/>
    </row>
    <row r="75" ht="15.75" customHeight="1">
      <c r="A75" s="32" t="s">
        <v>5</v>
      </c>
      <c r="E75" s="528" t="s">
        <v>412</v>
      </c>
      <c r="F75" s="528" t="s">
        <v>417</v>
      </c>
      <c r="G75" s="531" t="s">
        <v>5086</v>
      </c>
      <c r="H75" s="533" t="s">
        <v>421</v>
      </c>
      <c r="I75" s="532" t="s">
        <v>417</v>
      </c>
      <c r="J75" s="529"/>
      <c r="K75" s="529"/>
      <c r="L75" s="529"/>
      <c r="M75" s="15"/>
      <c r="N75" s="15"/>
      <c r="O75" s="15"/>
      <c r="P75" s="15"/>
      <c r="Q75" s="15"/>
      <c r="R75" s="15"/>
      <c r="S75" s="15"/>
      <c r="T75" s="15"/>
      <c r="U75" s="15"/>
      <c r="V75" s="15"/>
      <c r="W75" s="15"/>
      <c r="X75" s="15"/>
      <c r="Y75" s="15"/>
      <c r="Z75" s="15"/>
      <c r="AA75" s="15"/>
      <c r="AB75" s="15"/>
      <c r="AC75" s="15"/>
      <c r="AD75" s="15"/>
      <c r="AE75" s="15"/>
      <c r="AF75" s="15"/>
    </row>
    <row r="76" ht="15.75" customHeight="1">
      <c r="A76" s="32" t="s">
        <v>5</v>
      </c>
      <c r="E76" s="523" t="s">
        <v>104</v>
      </c>
      <c r="F76" s="523" t="s">
        <v>250</v>
      </c>
      <c r="G76" s="530" t="s">
        <v>5087</v>
      </c>
      <c r="H76" s="523" t="s">
        <v>250</v>
      </c>
      <c r="I76" s="529"/>
      <c r="J76" s="529"/>
      <c r="K76" s="529"/>
      <c r="L76" s="529"/>
      <c r="M76" s="15"/>
      <c r="N76" s="15"/>
      <c r="O76" s="15"/>
      <c r="P76" s="15"/>
      <c r="Q76" s="15"/>
      <c r="R76" s="15"/>
      <c r="S76" s="15"/>
      <c r="T76" s="15"/>
      <c r="U76" s="15"/>
      <c r="V76" s="15"/>
      <c r="W76" s="15"/>
      <c r="X76" s="15"/>
      <c r="Y76" s="15"/>
      <c r="Z76" s="15"/>
      <c r="AA76" s="15"/>
      <c r="AB76" s="15"/>
      <c r="AC76" s="15"/>
      <c r="AD76" s="15"/>
      <c r="AE76" s="15"/>
      <c r="AF76" s="15"/>
    </row>
    <row r="77" ht="15.75" customHeight="1">
      <c r="A77" s="32" t="s">
        <v>5</v>
      </c>
      <c r="B77" s="528" t="s">
        <v>5088</v>
      </c>
      <c r="C77" s="163" t="s">
        <v>5089</v>
      </c>
      <c r="D77" s="528" t="s">
        <v>42</v>
      </c>
      <c r="E77" s="528" t="s">
        <v>397</v>
      </c>
      <c r="F77" s="523" t="s">
        <v>397</v>
      </c>
      <c r="G77" s="534" t="s">
        <v>5090</v>
      </c>
      <c r="H77" s="36"/>
      <c r="L77" s="529"/>
      <c r="M77" s="15"/>
      <c r="N77" s="15"/>
      <c r="O77" s="15"/>
      <c r="P77" s="15"/>
      <c r="Q77" s="15"/>
      <c r="R77" s="15"/>
      <c r="S77" s="15"/>
      <c r="T77" s="15"/>
      <c r="U77" s="15"/>
      <c r="V77" s="15"/>
      <c r="W77" s="15"/>
      <c r="X77" s="15"/>
      <c r="Y77" s="15"/>
      <c r="Z77" s="15"/>
      <c r="AA77" s="15"/>
      <c r="AB77" s="15"/>
      <c r="AC77" s="15"/>
      <c r="AD77" s="15"/>
      <c r="AE77" s="15"/>
      <c r="AF77" s="15"/>
    </row>
    <row r="78" ht="15.75" customHeight="1">
      <c r="A78" s="32" t="s">
        <v>5</v>
      </c>
      <c r="E78" s="528" t="s">
        <v>397</v>
      </c>
      <c r="F78" s="523" t="s">
        <v>924</v>
      </c>
      <c r="G78" s="523"/>
      <c r="H78" s="36"/>
      <c r="L78" s="529"/>
      <c r="M78" s="15"/>
      <c r="N78" s="15"/>
      <c r="O78" s="15"/>
      <c r="P78" s="15"/>
      <c r="Q78" s="15"/>
      <c r="R78" s="15"/>
      <c r="S78" s="15"/>
      <c r="T78" s="15"/>
      <c r="U78" s="15"/>
      <c r="V78" s="15"/>
      <c r="W78" s="15"/>
      <c r="X78" s="15"/>
      <c r="Y78" s="15"/>
      <c r="Z78" s="15"/>
      <c r="AA78" s="15"/>
      <c r="AB78" s="15"/>
      <c r="AC78" s="15"/>
      <c r="AD78" s="15"/>
      <c r="AE78" s="15"/>
      <c r="AF78" s="15"/>
    </row>
    <row r="79" ht="15.75" customHeight="1">
      <c r="A79" s="32" t="s">
        <v>5</v>
      </c>
      <c r="E79" s="528" t="s">
        <v>86</v>
      </c>
      <c r="F79" s="523" t="s">
        <v>90</v>
      </c>
      <c r="G79" s="530" t="s">
        <v>5091</v>
      </c>
      <c r="H79" s="528" t="s">
        <v>90</v>
      </c>
      <c r="I79" s="529"/>
      <c r="J79" s="529"/>
      <c r="K79" s="529"/>
      <c r="L79" s="529"/>
      <c r="M79" s="15"/>
      <c r="N79" s="15"/>
      <c r="O79" s="15"/>
      <c r="P79" s="15"/>
      <c r="Q79" s="15"/>
      <c r="R79" s="15"/>
      <c r="S79" s="15"/>
      <c r="T79" s="15"/>
      <c r="U79" s="15"/>
      <c r="V79" s="15"/>
      <c r="W79" s="15"/>
      <c r="X79" s="15"/>
      <c r="Y79" s="15"/>
      <c r="Z79" s="15"/>
      <c r="AA79" s="15"/>
      <c r="AB79" s="15"/>
      <c r="AC79" s="15"/>
      <c r="AD79" s="15"/>
      <c r="AE79" s="15"/>
      <c r="AF79" s="15"/>
    </row>
    <row r="80" ht="15.75" customHeight="1">
      <c r="A80" s="32" t="s">
        <v>5</v>
      </c>
      <c r="E80" s="528" t="s">
        <v>86</v>
      </c>
      <c r="F80" s="523" t="s">
        <v>92</v>
      </c>
      <c r="G80" s="530" t="s">
        <v>5092</v>
      </c>
      <c r="H80" s="523" t="s">
        <v>92</v>
      </c>
      <c r="I80" s="525"/>
      <c r="J80" s="525"/>
      <c r="K80" s="525"/>
      <c r="L80" s="529"/>
      <c r="M80" s="15"/>
      <c r="N80" s="15"/>
      <c r="O80" s="15"/>
      <c r="P80" s="15"/>
      <c r="Q80" s="15"/>
      <c r="R80" s="15"/>
      <c r="S80" s="15"/>
      <c r="T80" s="15"/>
      <c r="U80" s="15"/>
      <c r="V80" s="15"/>
      <c r="W80" s="15"/>
      <c r="X80" s="15"/>
      <c r="Y80" s="15"/>
      <c r="Z80" s="15"/>
      <c r="AA80" s="15"/>
      <c r="AB80" s="15"/>
      <c r="AC80" s="15"/>
      <c r="AD80" s="15"/>
      <c r="AE80" s="15"/>
      <c r="AF80" s="15"/>
    </row>
    <row r="81" ht="15.75" customHeight="1">
      <c r="A81" s="32" t="s">
        <v>5</v>
      </c>
      <c r="E81" s="528" t="s">
        <v>86</v>
      </c>
      <c r="F81" s="523" t="s">
        <v>358</v>
      </c>
      <c r="G81" s="530" t="s">
        <v>5093</v>
      </c>
      <c r="H81" s="523" t="s">
        <v>358</v>
      </c>
      <c r="I81" s="529"/>
      <c r="J81" s="529"/>
      <c r="K81" s="529"/>
      <c r="L81" s="529"/>
      <c r="M81" s="15"/>
      <c r="N81" s="15"/>
      <c r="O81" s="15"/>
      <c r="P81" s="15"/>
      <c r="Q81" s="15"/>
      <c r="R81" s="15"/>
      <c r="S81" s="15"/>
      <c r="T81" s="15"/>
      <c r="U81" s="15"/>
      <c r="V81" s="15"/>
      <c r="W81" s="15"/>
      <c r="X81" s="15"/>
      <c r="Y81" s="15"/>
      <c r="Z81" s="15"/>
      <c r="AA81" s="15"/>
      <c r="AB81" s="15"/>
      <c r="AC81" s="15"/>
      <c r="AD81" s="15"/>
      <c r="AE81" s="15"/>
      <c r="AF81" s="15"/>
    </row>
    <row r="82" ht="15.75" customHeight="1">
      <c r="A82" s="32" t="s">
        <v>5</v>
      </c>
      <c r="E82" s="528" t="s">
        <v>86</v>
      </c>
      <c r="F82" s="523" t="s">
        <v>94</v>
      </c>
      <c r="G82" s="530" t="s">
        <v>5094</v>
      </c>
      <c r="H82" s="523" t="s">
        <v>94</v>
      </c>
      <c r="I82" s="529"/>
      <c r="J82" s="529"/>
      <c r="K82" s="529"/>
      <c r="L82" s="529"/>
      <c r="M82" s="15"/>
      <c r="N82" s="15"/>
      <c r="O82" s="15"/>
      <c r="P82" s="15"/>
      <c r="Q82" s="15"/>
      <c r="R82" s="15"/>
      <c r="S82" s="15"/>
      <c r="T82" s="15"/>
      <c r="U82" s="15"/>
      <c r="V82" s="15"/>
      <c r="W82" s="15"/>
      <c r="X82" s="15"/>
      <c r="Y82" s="15"/>
      <c r="Z82" s="15"/>
      <c r="AA82" s="15"/>
      <c r="AB82" s="15"/>
      <c r="AC82" s="15"/>
      <c r="AD82" s="15"/>
      <c r="AE82" s="15"/>
      <c r="AF82" s="15"/>
    </row>
    <row r="83" ht="15.75" customHeight="1">
      <c r="A83" s="32" t="s">
        <v>5</v>
      </c>
      <c r="E83" s="523" t="s">
        <v>88</v>
      </c>
      <c r="F83" s="523" t="s">
        <v>95</v>
      </c>
      <c r="G83" s="530" t="s">
        <v>5095</v>
      </c>
      <c r="H83" s="523" t="s">
        <v>95</v>
      </c>
      <c r="I83" s="529"/>
      <c r="J83" s="529"/>
      <c r="K83" s="529"/>
      <c r="L83" s="529"/>
      <c r="M83" s="15"/>
      <c r="N83" s="15"/>
      <c r="O83" s="15"/>
      <c r="P83" s="15"/>
      <c r="Q83" s="15"/>
      <c r="R83" s="15"/>
      <c r="S83" s="15"/>
      <c r="T83" s="15"/>
      <c r="U83" s="15"/>
      <c r="V83" s="15"/>
      <c r="W83" s="15"/>
      <c r="X83" s="15"/>
      <c r="Y83" s="15"/>
      <c r="Z83" s="15"/>
      <c r="AA83" s="15"/>
      <c r="AB83" s="15"/>
      <c r="AC83" s="15"/>
      <c r="AD83" s="15"/>
      <c r="AE83" s="15"/>
      <c r="AF83" s="15"/>
    </row>
    <row r="84" ht="15.75" customHeight="1">
      <c r="A84" s="32" t="s">
        <v>5</v>
      </c>
      <c r="E84" s="523" t="s">
        <v>88</v>
      </c>
      <c r="F84" s="523" t="s">
        <v>96</v>
      </c>
      <c r="G84" s="530" t="s">
        <v>5096</v>
      </c>
      <c r="H84" s="523" t="s">
        <v>96</v>
      </c>
      <c r="I84" s="529"/>
      <c r="J84" s="529"/>
      <c r="K84" s="529"/>
      <c r="L84" s="529"/>
      <c r="M84" s="15"/>
      <c r="N84" s="15"/>
      <c r="O84" s="15"/>
      <c r="P84" s="15"/>
      <c r="Q84" s="15"/>
      <c r="R84" s="15"/>
      <c r="S84" s="15"/>
      <c r="T84" s="15"/>
      <c r="U84" s="15"/>
      <c r="V84" s="15"/>
      <c r="W84" s="15"/>
      <c r="X84" s="15"/>
      <c r="Y84" s="15"/>
      <c r="Z84" s="15"/>
      <c r="AA84" s="15"/>
      <c r="AB84" s="15"/>
      <c r="AC84" s="15"/>
      <c r="AD84" s="15"/>
      <c r="AE84" s="15"/>
      <c r="AF84" s="15"/>
    </row>
    <row r="85" ht="15.75" customHeight="1">
      <c r="A85" s="32" t="s">
        <v>5</v>
      </c>
      <c r="E85" s="528" t="s">
        <v>86</v>
      </c>
      <c r="F85" s="523" t="s">
        <v>87</v>
      </c>
      <c r="G85" s="523"/>
      <c r="H85" s="524"/>
      <c r="I85" s="525"/>
      <c r="J85" s="525"/>
      <c r="K85" s="525"/>
      <c r="L85" s="529"/>
      <c r="M85" s="15"/>
      <c r="N85" s="15"/>
      <c r="O85" s="15"/>
      <c r="P85" s="15"/>
      <c r="Q85" s="15"/>
      <c r="R85" s="15"/>
      <c r="S85" s="15"/>
      <c r="T85" s="15"/>
      <c r="U85" s="15"/>
      <c r="V85" s="15"/>
      <c r="W85" s="15"/>
      <c r="X85" s="15"/>
      <c r="Y85" s="15"/>
      <c r="Z85" s="15"/>
      <c r="AA85" s="15"/>
      <c r="AB85" s="15"/>
      <c r="AC85" s="15"/>
      <c r="AD85" s="15"/>
      <c r="AE85" s="15"/>
      <c r="AF85" s="15"/>
    </row>
    <row r="86" ht="15.75" customHeight="1">
      <c r="A86" s="32" t="s">
        <v>5</v>
      </c>
      <c r="E86" s="528" t="s">
        <v>88</v>
      </c>
      <c r="F86" s="523" t="s">
        <v>89</v>
      </c>
      <c r="G86" s="523"/>
      <c r="H86" s="524"/>
      <c r="I86" s="525"/>
      <c r="J86" s="525"/>
      <c r="K86" s="525"/>
      <c r="L86" s="529"/>
      <c r="M86" s="15"/>
      <c r="N86" s="15"/>
      <c r="O86" s="15"/>
      <c r="P86" s="15"/>
      <c r="Q86" s="15"/>
      <c r="R86" s="15"/>
      <c r="S86" s="15"/>
      <c r="T86" s="15"/>
      <c r="U86" s="15"/>
      <c r="V86" s="15"/>
      <c r="W86" s="15"/>
      <c r="X86" s="15"/>
      <c r="Y86" s="15"/>
      <c r="Z86" s="15"/>
      <c r="AA86" s="15"/>
      <c r="AB86" s="15"/>
      <c r="AC86" s="15"/>
      <c r="AD86" s="15"/>
      <c r="AE86" s="15"/>
      <c r="AF86" s="15"/>
    </row>
    <row r="87" ht="15.75" customHeight="1">
      <c r="A87" s="32" t="s">
        <v>5</v>
      </c>
      <c r="B87" s="528" t="s">
        <v>5097</v>
      </c>
      <c r="C87" s="523" t="s">
        <v>5098</v>
      </c>
      <c r="D87" s="528" t="s">
        <v>42</v>
      </c>
      <c r="E87" s="528" t="s">
        <v>21</v>
      </c>
      <c r="F87" s="523" t="s">
        <v>51</v>
      </c>
      <c r="G87" s="530" t="s">
        <v>5099</v>
      </c>
      <c r="H87" s="523" t="s">
        <v>51</v>
      </c>
      <c r="I87" s="529"/>
      <c r="J87" s="529"/>
      <c r="K87" s="529"/>
      <c r="L87" s="529"/>
      <c r="M87" s="15"/>
      <c r="N87" s="15"/>
      <c r="O87" s="15"/>
      <c r="P87" s="15"/>
      <c r="Q87" s="15"/>
      <c r="R87" s="15"/>
      <c r="S87" s="15"/>
      <c r="T87" s="15"/>
      <c r="U87" s="15"/>
      <c r="V87" s="15"/>
      <c r="W87" s="15"/>
      <c r="X87" s="15"/>
      <c r="Y87" s="15"/>
      <c r="Z87" s="15"/>
      <c r="AA87" s="15"/>
      <c r="AB87" s="15"/>
      <c r="AC87" s="15"/>
      <c r="AD87" s="15"/>
      <c r="AE87" s="15"/>
      <c r="AF87" s="15"/>
    </row>
    <row r="88" ht="15.75" customHeight="1">
      <c r="A88" s="32" t="s">
        <v>5</v>
      </c>
      <c r="E88" s="528" t="s">
        <v>157</v>
      </c>
      <c r="F88" s="523" t="s">
        <v>157</v>
      </c>
      <c r="G88" s="530" t="s">
        <v>5100</v>
      </c>
      <c r="H88" s="523" t="s">
        <v>453</v>
      </c>
      <c r="I88" s="529"/>
      <c r="J88" s="529"/>
      <c r="K88" s="529"/>
      <c r="L88" s="529"/>
      <c r="M88" s="15"/>
      <c r="N88" s="15"/>
      <c r="O88" s="15"/>
      <c r="P88" s="15"/>
      <c r="Q88" s="15"/>
      <c r="R88" s="15"/>
      <c r="S88" s="15"/>
      <c r="T88" s="15"/>
      <c r="U88" s="15"/>
      <c r="V88" s="15"/>
      <c r="W88" s="15"/>
      <c r="X88" s="15"/>
      <c r="Y88" s="15"/>
      <c r="Z88" s="15"/>
      <c r="AA88" s="15"/>
      <c r="AB88" s="15"/>
      <c r="AC88" s="15"/>
      <c r="AD88" s="15"/>
      <c r="AE88" s="15"/>
      <c r="AF88" s="15"/>
    </row>
    <row r="89" ht="15.75" customHeight="1">
      <c r="A89" s="32" t="s">
        <v>5</v>
      </c>
      <c r="E89" s="520" t="s">
        <v>104</v>
      </c>
      <c r="F89" s="441" t="s">
        <v>250</v>
      </c>
      <c r="G89" s="535" t="s">
        <v>5101</v>
      </c>
      <c r="H89" s="441" t="s">
        <v>250</v>
      </c>
      <c r="I89" s="536"/>
      <c r="J89" s="536"/>
      <c r="K89" s="529"/>
      <c r="L89" s="529"/>
      <c r="M89" s="15"/>
      <c r="N89" s="15"/>
      <c r="O89" s="15"/>
      <c r="P89" s="15"/>
      <c r="Q89" s="15"/>
      <c r="R89" s="15"/>
      <c r="S89" s="15"/>
      <c r="T89" s="15"/>
      <c r="U89" s="15"/>
      <c r="V89" s="15"/>
      <c r="W89" s="15"/>
      <c r="X89" s="15"/>
      <c r="Y89" s="15"/>
      <c r="Z89" s="15"/>
      <c r="AA89" s="15"/>
      <c r="AB89" s="15"/>
      <c r="AC89" s="15"/>
      <c r="AD89" s="15"/>
      <c r="AE89" s="15"/>
      <c r="AF89" s="15"/>
    </row>
    <row r="90" ht="15.75" customHeight="1">
      <c r="A90" s="32" t="s">
        <v>5</v>
      </c>
      <c r="B90" s="441" t="s">
        <v>5102</v>
      </c>
      <c r="C90" s="56" t="s">
        <v>5103</v>
      </c>
      <c r="D90" s="441" t="s">
        <v>42</v>
      </c>
      <c r="E90" s="441" t="s">
        <v>157</v>
      </c>
      <c r="F90" s="441" t="s">
        <v>89</v>
      </c>
      <c r="G90" s="537"/>
      <c r="H90" s="441"/>
      <c r="I90" s="536"/>
      <c r="J90" s="536"/>
      <c r="K90" s="529"/>
      <c r="L90" s="529"/>
      <c r="M90" s="15"/>
      <c r="N90" s="15"/>
      <c r="O90" s="15"/>
      <c r="P90" s="15"/>
      <c r="Q90" s="15"/>
      <c r="R90" s="15"/>
      <c r="S90" s="15"/>
      <c r="T90" s="15"/>
      <c r="U90" s="15"/>
      <c r="V90" s="15"/>
      <c r="W90" s="15"/>
      <c r="X90" s="15"/>
      <c r="Y90" s="15"/>
      <c r="Z90" s="15"/>
      <c r="AA90" s="15"/>
      <c r="AB90" s="15"/>
      <c r="AC90" s="15"/>
      <c r="AD90" s="15"/>
      <c r="AE90" s="15"/>
      <c r="AF90" s="15"/>
    </row>
    <row r="91" ht="15.75" customHeight="1">
      <c r="A91" s="32" t="s">
        <v>5</v>
      </c>
      <c r="E91" s="441" t="s">
        <v>21</v>
      </c>
      <c r="F91" s="441" t="s">
        <v>51</v>
      </c>
      <c r="G91" s="538" t="s">
        <v>5104</v>
      </c>
      <c r="H91" s="441" t="s">
        <v>51</v>
      </c>
      <c r="I91" s="536"/>
      <c r="J91" s="536"/>
      <c r="K91" s="529"/>
      <c r="L91" s="529"/>
      <c r="M91" s="15"/>
      <c r="N91" s="15"/>
      <c r="O91" s="15"/>
      <c r="P91" s="15"/>
      <c r="Q91" s="15"/>
      <c r="R91" s="15"/>
      <c r="S91" s="15"/>
      <c r="T91" s="15"/>
      <c r="U91" s="15"/>
      <c r="V91" s="15"/>
      <c r="W91" s="15"/>
      <c r="X91" s="15"/>
      <c r="Y91" s="15"/>
      <c r="Z91" s="15"/>
      <c r="AA91" s="15"/>
      <c r="AB91" s="15"/>
      <c r="AC91" s="15"/>
      <c r="AD91" s="15"/>
      <c r="AE91" s="15"/>
      <c r="AF91" s="15"/>
    </row>
    <row r="92" ht="15.75" customHeight="1">
      <c r="A92" s="32" t="s">
        <v>5</v>
      </c>
      <c r="E92" s="441" t="s">
        <v>157</v>
      </c>
      <c r="F92" s="441" t="s">
        <v>157</v>
      </c>
      <c r="G92" s="538" t="s">
        <v>5105</v>
      </c>
      <c r="H92" s="441" t="s">
        <v>158</v>
      </c>
      <c r="I92" s="536"/>
      <c r="J92" s="539"/>
      <c r="K92" s="529"/>
      <c r="L92" s="529"/>
      <c r="M92" s="15"/>
      <c r="N92" s="15"/>
      <c r="O92" s="15"/>
      <c r="P92" s="15"/>
      <c r="Q92" s="15"/>
      <c r="R92" s="15"/>
      <c r="S92" s="15"/>
      <c r="T92" s="15"/>
      <c r="U92" s="15"/>
      <c r="V92" s="15"/>
      <c r="W92" s="15"/>
      <c r="X92" s="15"/>
      <c r="Y92" s="15"/>
      <c r="Z92" s="15"/>
      <c r="AA92" s="15"/>
      <c r="AB92" s="15"/>
      <c r="AC92" s="15"/>
      <c r="AD92" s="15"/>
      <c r="AE92" s="15"/>
      <c r="AF92" s="15"/>
    </row>
    <row r="93" ht="15.75" customHeight="1">
      <c r="A93" s="32" t="s">
        <v>5</v>
      </c>
      <c r="E93" s="441" t="s">
        <v>88</v>
      </c>
      <c r="F93" s="441" t="s">
        <v>95</v>
      </c>
      <c r="G93" s="538" t="s">
        <v>5106</v>
      </c>
      <c r="H93" s="441" t="s">
        <v>95</v>
      </c>
      <c r="I93" s="539"/>
      <c r="J93" s="539"/>
      <c r="K93" s="529"/>
      <c r="L93" s="529"/>
      <c r="M93" s="15"/>
      <c r="N93" s="15"/>
      <c r="O93" s="15"/>
      <c r="P93" s="15"/>
      <c r="Q93" s="15"/>
      <c r="R93" s="15"/>
      <c r="S93" s="15"/>
      <c r="T93" s="15"/>
      <c r="U93" s="15"/>
      <c r="V93" s="15"/>
      <c r="W93" s="15"/>
      <c r="X93" s="15"/>
      <c r="Y93" s="15"/>
      <c r="Z93" s="15"/>
      <c r="AA93" s="15"/>
      <c r="AB93" s="15"/>
      <c r="AC93" s="15"/>
      <c r="AD93" s="15"/>
      <c r="AE93" s="15"/>
      <c r="AF93" s="15"/>
    </row>
    <row r="94" ht="15.75" customHeight="1">
      <c r="A94" s="32" t="s">
        <v>5</v>
      </c>
      <c r="E94" s="520" t="s">
        <v>88</v>
      </c>
      <c r="F94" s="441" t="s">
        <v>96</v>
      </c>
      <c r="G94" s="538" t="s">
        <v>5107</v>
      </c>
      <c r="H94" s="441" t="s">
        <v>96</v>
      </c>
      <c r="I94" s="539"/>
      <c r="J94" s="539"/>
      <c r="K94" s="529"/>
      <c r="L94" s="529"/>
      <c r="M94" s="15"/>
      <c r="N94" s="15"/>
      <c r="O94" s="15"/>
      <c r="P94" s="15"/>
      <c r="Q94" s="15"/>
      <c r="R94" s="15"/>
      <c r="S94" s="15"/>
      <c r="T94" s="15"/>
      <c r="U94" s="15"/>
      <c r="V94" s="15"/>
      <c r="W94" s="15"/>
      <c r="X94" s="15"/>
      <c r="Y94" s="15"/>
      <c r="Z94" s="15"/>
      <c r="AA94" s="15"/>
      <c r="AB94" s="15"/>
      <c r="AC94" s="15"/>
      <c r="AD94" s="15"/>
      <c r="AE94" s="15"/>
      <c r="AF94" s="15"/>
    </row>
    <row r="95" ht="15.75" customHeight="1">
      <c r="A95" s="32" t="s">
        <v>5</v>
      </c>
      <c r="E95" s="520" t="s">
        <v>104</v>
      </c>
      <c r="F95" s="540" t="s">
        <v>250</v>
      </c>
      <c r="G95" s="538" t="s">
        <v>5108</v>
      </c>
      <c r="H95" s="540" t="s">
        <v>250</v>
      </c>
      <c r="I95" s="539"/>
      <c r="J95" s="539"/>
      <c r="K95" s="529"/>
      <c r="L95" s="529"/>
      <c r="M95" s="15"/>
      <c r="N95" s="15"/>
      <c r="O95" s="15"/>
      <c r="P95" s="15"/>
      <c r="Q95" s="15"/>
      <c r="R95" s="15"/>
      <c r="S95" s="15"/>
      <c r="T95" s="15"/>
      <c r="U95" s="15"/>
      <c r="V95" s="15"/>
      <c r="W95" s="15"/>
      <c r="X95" s="15"/>
      <c r="Y95" s="15"/>
      <c r="Z95" s="15"/>
      <c r="AA95" s="15"/>
      <c r="AB95" s="15"/>
      <c r="AC95" s="15"/>
      <c r="AD95" s="15"/>
      <c r="AE95" s="15"/>
      <c r="AF95" s="15"/>
    </row>
    <row r="96" ht="15.75" customHeight="1">
      <c r="A96" s="32" t="s">
        <v>5</v>
      </c>
      <c r="E96" s="520" t="s">
        <v>178</v>
      </c>
      <c r="F96" s="520" t="s">
        <v>209</v>
      </c>
      <c r="G96" s="538" t="s">
        <v>5109</v>
      </c>
      <c r="H96" s="523" t="s">
        <v>209</v>
      </c>
      <c r="I96" s="524"/>
      <c r="J96" s="524"/>
      <c r="K96" s="525"/>
      <c r="L96" s="529"/>
      <c r="M96" s="15"/>
      <c r="N96" s="15"/>
      <c r="O96" s="15"/>
      <c r="P96" s="15"/>
      <c r="Q96" s="15"/>
      <c r="R96" s="15"/>
      <c r="S96" s="15"/>
      <c r="T96" s="15"/>
      <c r="U96" s="15"/>
      <c r="V96" s="15"/>
      <c r="W96" s="15"/>
      <c r="X96" s="15"/>
      <c r="Y96" s="15"/>
      <c r="Z96" s="15"/>
      <c r="AA96" s="15"/>
      <c r="AB96" s="15"/>
      <c r="AC96" s="15"/>
      <c r="AD96" s="15"/>
      <c r="AE96" s="15"/>
      <c r="AF96" s="15"/>
    </row>
    <row r="97" ht="15.75" customHeight="1">
      <c r="A97" s="32" t="s">
        <v>5</v>
      </c>
      <c r="E97" s="520" t="s">
        <v>178</v>
      </c>
      <c r="F97" s="540" t="s">
        <v>210</v>
      </c>
      <c r="G97" s="538" t="s">
        <v>5110</v>
      </c>
      <c r="H97" s="523" t="s">
        <v>210</v>
      </c>
      <c r="I97" s="524"/>
      <c r="J97" s="524"/>
      <c r="K97" s="525"/>
      <c r="L97" s="529"/>
      <c r="M97" s="15"/>
      <c r="N97" s="15"/>
      <c r="O97" s="15"/>
      <c r="P97" s="15"/>
      <c r="Q97" s="15"/>
      <c r="R97" s="15"/>
      <c r="S97" s="15"/>
      <c r="T97" s="15"/>
      <c r="U97" s="15"/>
      <c r="V97" s="15"/>
      <c r="W97" s="15"/>
      <c r="X97" s="15"/>
      <c r="Y97" s="15"/>
      <c r="Z97" s="15"/>
      <c r="AA97" s="15"/>
      <c r="AB97" s="15"/>
      <c r="AC97" s="15"/>
      <c r="AD97" s="15"/>
      <c r="AE97" s="15"/>
      <c r="AF97" s="15"/>
    </row>
    <row r="98" ht="15.75" customHeight="1">
      <c r="A98" s="32" t="s">
        <v>5</v>
      </c>
      <c r="E98" s="520" t="s">
        <v>178</v>
      </c>
      <c r="F98" s="520" t="s">
        <v>179</v>
      </c>
      <c r="G98" s="538" t="s">
        <v>5111</v>
      </c>
      <c r="H98" s="186" t="s">
        <v>179</v>
      </c>
      <c r="I98" s="539"/>
      <c r="J98" s="539"/>
      <c r="K98" s="529"/>
      <c r="L98" s="529"/>
      <c r="M98" s="15"/>
      <c r="N98" s="15"/>
      <c r="O98" s="15"/>
      <c r="P98" s="15"/>
      <c r="Q98" s="15"/>
      <c r="R98" s="15"/>
      <c r="S98" s="15"/>
      <c r="T98" s="15"/>
      <c r="U98" s="15"/>
      <c r="V98" s="15"/>
      <c r="W98" s="15"/>
      <c r="X98" s="15"/>
      <c r="Y98" s="15"/>
      <c r="Z98" s="15"/>
      <c r="AA98" s="15"/>
      <c r="AB98" s="15"/>
      <c r="AC98" s="15"/>
      <c r="AD98" s="15"/>
      <c r="AE98" s="15"/>
      <c r="AF98" s="15"/>
    </row>
    <row r="99" ht="15.75" customHeight="1">
      <c r="A99" s="32" t="s">
        <v>5</v>
      </c>
      <c r="E99" s="520" t="s">
        <v>178</v>
      </c>
      <c r="F99" s="540" t="s">
        <v>180</v>
      </c>
      <c r="G99" s="538" t="s">
        <v>5112</v>
      </c>
      <c r="H99" s="540" t="s">
        <v>5113</v>
      </c>
      <c r="I99" s="539"/>
      <c r="J99" s="539"/>
      <c r="K99" s="529"/>
      <c r="L99" s="529"/>
      <c r="M99" s="15"/>
      <c r="N99" s="15"/>
      <c r="O99" s="15"/>
      <c r="P99" s="15"/>
      <c r="Q99" s="15"/>
      <c r="R99" s="15"/>
      <c r="S99" s="15"/>
      <c r="T99" s="15"/>
      <c r="U99" s="15"/>
      <c r="V99" s="15"/>
      <c r="W99" s="15"/>
      <c r="X99" s="15"/>
      <c r="Y99" s="15"/>
      <c r="Z99" s="15"/>
      <c r="AA99" s="15"/>
      <c r="AB99" s="15"/>
      <c r="AC99" s="15"/>
      <c r="AD99" s="15"/>
      <c r="AE99" s="15"/>
      <c r="AF99" s="15"/>
    </row>
    <row r="100" ht="15.75" customHeight="1">
      <c r="A100" s="32" t="s">
        <v>5</v>
      </c>
      <c r="B100" s="441" t="s">
        <v>5114</v>
      </c>
      <c r="C100" s="56" t="s">
        <v>5115</v>
      </c>
      <c r="D100" s="441" t="s">
        <v>42</v>
      </c>
      <c r="E100" s="441" t="s">
        <v>157</v>
      </c>
      <c r="F100" s="441" t="s">
        <v>89</v>
      </c>
      <c r="G100" s="537"/>
      <c r="H100" s="524"/>
      <c r="I100" s="524"/>
      <c r="J100" s="525"/>
      <c r="K100" s="525"/>
      <c r="L100" s="529"/>
      <c r="M100" s="15"/>
      <c r="N100" s="15"/>
      <c r="O100" s="15"/>
      <c r="P100" s="15"/>
      <c r="Q100" s="15"/>
      <c r="R100" s="15"/>
      <c r="S100" s="15"/>
      <c r="T100" s="15"/>
      <c r="U100" s="15"/>
      <c r="V100" s="15"/>
      <c r="W100" s="15"/>
      <c r="X100" s="15"/>
      <c r="Y100" s="15"/>
      <c r="Z100" s="15"/>
      <c r="AA100" s="15"/>
      <c r="AB100" s="15"/>
      <c r="AC100" s="15"/>
      <c r="AD100" s="15"/>
      <c r="AE100" s="15"/>
      <c r="AF100" s="15"/>
    </row>
    <row r="101" ht="15.75" customHeight="1">
      <c r="A101" s="32" t="s">
        <v>5</v>
      </c>
      <c r="B101" s="441" t="s">
        <v>5116</v>
      </c>
      <c r="C101" s="56" t="s">
        <v>5117</v>
      </c>
      <c r="D101" s="441" t="s">
        <v>42</v>
      </c>
      <c r="E101" s="520" t="s">
        <v>21</v>
      </c>
      <c r="F101" s="441" t="s">
        <v>51</v>
      </c>
      <c r="G101" s="538" t="s">
        <v>5118</v>
      </c>
      <c r="H101" s="441" t="s">
        <v>51</v>
      </c>
      <c r="I101" s="536"/>
      <c r="J101" s="536"/>
      <c r="K101" s="529"/>
      <c r="L101" s="529"/>
      <c r="M101" s="15"/>
      <c r="N101" s="15"/>
      <c r="O101" s="15"/>
      <c r="P101" s="15"/>
      <c r="Q101" s="15"/>
      <c r="R101" s="15"/>
      <c r="S101" s="15"/>
      <c r="T101" s="15"/>
      <c r="U101" s="15"/>
      <c r="V101" s="15"/>
      <c r="W101" s="15"/>
      <c r="X101" s="15"/>
      <c r="Y101" s="15"/>
      <c r="Z101" s="15"/>
      <c r="AA101" s="15"/>
      <c r="AB101" s="15"/>
      <c r="AC101" s="15"/>
      <c r="AD101" s="15"/>
      <c r="AE101" s="15"/>
      <c r="AF101" s="15"/>
    </row>
    <row r="102" ht="15.75" customHeight="1">
      <c r="A102" s="32" t="s">
        <v>5</v>
      </c>
      <c r="E102" s="520" t="s">
        <v>24</v>
      </c>
      <c r="F102" s="540" t="s">
        <v>25</v>
      </c>
      <c r="G102" s="538" t="s">
        <v>5119</v>
      </c>
      <c r="H102" s="540" t="s">
        <v>427</v>
      </c>
      <c r="I102" s="441" t="s">
        <v>429</v>
      </c>
      <c r="J102" s="536"/>
      <c r="K102" s="529"/>
      <c r="L102" s="529"/>
      <c r="M102" s="15"/>
      <c r="N102" s="15"/>
      <c r="O102" s="15"/>
      <c r="P102" s="15"/>
      <c r="Q102" s="15"/>
      <c r="R102" s="15"/>
      <c r="S102" s="15"/>
      <c r="T102" s="15"/>
      <c r="U102" s="15"/>
      <c r="V102" s="15"/>
      <c r="W102" s="15"/>
      <c r="X102" s="15"/>
      <c r="Y102" s="15"/>
      <c r="Z102" s="15"/>
      <c r="AA102" s="15"/>
      <c r="AB102" s="15"/>
      <c r="AC102" s="15"/>
      <c r="AD102" s="15"/>
      <c r="AE102" s="15"/>
      <c r="AF102" s="15"/>
    </row>
    <row r="103" ht="15.75" customHeight="1">
      <c r="A103" s="32" t="s">
        <v>5</v>
      </c>
      <c r="E103" s="520" t="s">
        <v>24</v>
      </c>
      <c r="F103" s="520" t="s">
        <v>352</v>
      </c>
      <c r="G103" s="538" t="s">
        <v>5119</v>
      </c>
      <c r="H103" s="540" t="s">
        <v>427</v>
      </c>
      <c r="I103" s="441" t="s">
        <v>352</v>
      </c>
      <c r="J103" s="536"/>
      <c r="K103" s="529"/>
      <c r="L103" s="529"/>
      <c r="M103" s="15"/>
      <c r="N103" s="15"/>
      <c r="O103" s="15"/>
      <c r="P103" s="15"/>
      <c r="Q103" s="15"/>
      <c r="R103" s="15"/>
      <c r="S103" s="15"/>
      <c r="T103" s="15"/>
      <c r="U103" s="15"/>
      <c r="V103" s="15"/>
      <c r="W103" s="15"/>
      <c r="X103" s="15"/>
      <c r="Y103" s="15"/>
      <c r="Z103" s="15"/>
      <c r="AA103" s="15"/>
      <c r="AB103" s="15"/>
      <c r="AC103" s="15"/>
      <c r="AD103" s="15"/>
      <c r="AE103" s="15"/>
      <c r="AF103" s="15"/>
    </row>
    <row r="104" ht="15.75" customHeight="1">
      <c r="A104" s="32" t="s">
        <v>5</v>
      </c>
      <c r="E104" s="520" t="s">
        <v>24</v>
      </c>
      <c r="F104" s="540" t="s">
        <v>424</v>
      </c>
      <c r="G104" s="538" t="s">
        <v>5119</v>
      </c>
      <c r="H104" s="540" t="s">
        <v>427</v>
      </c>
      <c r="I104" s="441" t="s">
        <v>429</v>
      </c>
      <c r="J104" s="441" t="s">
        <v>352</v>
      </c>
      <c r="K104" s="529"/>
      <c r="L104" s="529"/>
      <c r="M104" s="15"/>
      <c r="N104" s="15"/>
      <c r="O104" s="15"/>
      <c r="P104" s="15"/>
      <c r="Q104" s="15"/>
      <c r="R104" s="15"/>
      <c r="S104" s="15"/>
      <c r="T104" s="15"/>
      <c r="U104" s="15"/>
      <c r="V104" s="15"/>
      <c r="W104" s="15"/>
      <c r="X104" s="15"/>
      <c r="Y104" s="15"/>
      <c r="Z104" s="15"/>
      <c r="AA104" s="15"/>
      <c r="AB104" s="15"/>
      <c r="AC104" s="15"/>
      <c r="AD104" s="15"/>
      <c r="AE104" s="15"/>
      <c r="AF104" s="15"/>
    </row>
    <row r="105" ht="15.75" customHeight="1">
      <c r="A105" s="15"/>
      <c r="B105" s="539"/>
      <c r="C105" s="541"/>
      <c r="D105" s="539"/>
      <c r="E105" s="539"/>
      <c r="F105" s="539"/>
      <c r="G105" s="537"/>
      <c r="H105" s="539"/>
      <c r="I105" s="536"/>
      <c r="J105" s="536"/>
      <c r="K105" s="529"/>
      <c r="L105" s="529"/>
      <c r="M105" s="15"/>
      <c r="N105" s="15"/>
      <c r="O105" s="15"/>
      <c r="P105" s="15"/>
      <c r="Q105" s="15"/>
      <c r="R105" s="15"/>
      <c r="S105" s="15"/>
      <c r="T105" s="15"/>
      <c r="U105" s="15"/>
      <c r="V105" s="15"/>
      <c r="W105" s="15"/>
      <c r="X105" s="15"/>
      <c r="Y105" s="15"/>
      <c r="Z105" s="15"/>
      <c r="AA105" s="15"/>
      <c r="AB105" s="15"/>
      <c r="AC105" s="15"/>
      <c r="AD105" s="15"/>
      <c r="AE105" s="15"/>
      <c r="AF105" s="15"/>
    </row>
    <row r="106" ht="15.75" customHeight="1">
      <c r="A106" s="15"/>
      <c r="B106" s="539"/>
      <c r="C106" s="541"/>
      <c r="D106" s="539"/>
      <c r="E106" s="539"/>
      <c r="F106" s="539"/>
      <c r="G106" s="537"/>
      <c r="H106" s="539"/>
      <c r="I106" s="536"/>
      <c r="J106" s="536"/>
      <c r="K106" s="529"/>
      <c r="L106" s="529"/>
      <c r="M106" s="15"/>
      <c r="N106" s="15"/>
      <c r="O106" s="15"/>
      <c r="P106" s="15"/>
      <c r="Q106" s="15"/>
      <c r="R106" s="15"/>
      <c r="S106" s="15"/>
      <c r="T106" s="15"/>
      <c r="U106" s="15"/>
      <c r="V106" s="15"/>
      <c r="W106" s="15"/>
      <c r="X106" s="15"/>
      <c r="Y106" s="15"/>
      <c r="Z106" s="15"/>
      <c r="AA106" s="15"/>
      <c r="AB106" s="15"/>
      <c r="AC106" s="15"/>
      <c r="AD106" s="15"/>
      <c r="AE106" s="15"/>
      <c r="AF106" s="15"/>
    </row>
    <row r="107" ht="15.75" customHeight="1">
      <c r="A107" s="15"/>
      <c r="B107" s="539"/>
      <c r="C107" s="541"/>
      <c r="D107" s="539"/>
      <c r="E107" s="539"/>
      <c r="F107" s="539"/>
      <c r="G107" s="537"/>
      <c r="H107" s="539"/>
      <c r="I107" s="536"/>
      <c r="J107" s="536"/>
      <c r="K107" s="529"/>
      <c r="L107" s="529"/>
      <c r="M107" s="15"/>
      <c r="N107" s="15"/>
      <c r="O107" s="15"/>
      <c r="P107" s="15"/>
      <c r="Q107" s="15"/>
      <c r="R107" s="15"/>
      <c r="S107" s="15"/>
      <c r="T107" s="15"/>
      <c r="U107" s="15"/>
      <c r="V107" s="15"/>
      <c r="W107" s="15"/>
      <c r="X107" s="15"/>
      <c r="Y107" s="15"/>
      <c r="Z107" s="15"/>
      <c r="AA107" s="15"/>
      <c r="AB107" s="15"/>
      <c r="AC107" s="15"/>
      <c r="AD107" s="15"/>
      <c r="AE107" s="15"/>
      <c r="AF107" s="15"/>
    </row>
    <row r="108" ht="15.75" customHeight="1">
      <c r="A108" s="15"/>
      <c r="B108" s="539"/>
      <c r="C108" s="541"/>
      <c r="D108" s="539"/>
      <c r="E108" s="539"/>
      <c r="F108" s="539"/>
      <c r="G108" s="537"/>
      <c r="H108" s="539"/>
      <c r="I108" s="536"/>
      <c r="J108" s="536"/>
      <c r="K108" s="529"/>
      <c r="L108" s="529"/>
      <c r="M108" s="15"/>
      <c r="N108" s="15"/>
      <c r="O108" s="15"/>
      <c r="P108" s="15"/>
      <c r="Q108" s="15"/>
      <c r="R108" s="15"/>
      <c r="S108" s="15"/>
      <c r="T108" s="15"/>
      <c r="U108" s="15"/>
      <c r="V108" s="15"/>
      <c r="W108" s="15"/>
      <c r="X108" s="15"/>
      <c r="Y108" s="15"/>
      <c r="Z108" s="15"/>
      <c r="AA108" s="15"/>
      <c r="AB108" s="15"/>
      <c r="AC108" s="15"/>
      <c r="AD108" s="15"/>
      <c r="AE108" s="15"/>
      <c r="AF108" s="15"/>
    </row>
    <row r="109" ht="15.75" customHeight="1">
      <c r="A109" s="15"/>
      <c r="B109" s="539"/>
      <c r="C109" s="541"/>
      <c r="D109" s="539"/>
      <c r="E109" s="539"/>
      <c r="F109" s="539"/>
      <c r="G109" s="537"/>
      <c r="H109" s="539"/>
      <c r="I109" s="536"/>
      <c r="J109" s="536"/>
      <c r="K109" s="529"/>
      <c r="L109" s="529"/>
      <c r="M109" s="15"/>
      <c r="N109" s="15"/>
      <c r="O109" s="15"/>
      <c r="P109" s="15"/>
      <c r="Q109" s="15"/>
      <c r="R109" s="15"/>
      <c r="S109" s="15"/>
      <c r="T109" s="15"/>
      <c r="U109" s="15"/>
      <c r="V109" s="15"/>
      <c r="W109" s="15"/>
      <c r="X109" s="15"/>
      <c r="Y109" s="15"/>
      <c r="Z109" s="15"/>
      <c r="AA109" s="15"/>
      <c r="AB109" s="15"/>
      <c r="AC109" s="15"/>
      <c r="AD109" s="15"/>
      <c r="AE109" s="15"/>
      <c r="AF109" s="15"/>
    </row>
    <row r="110" ht="15.75" customHeight="1">
      <c r="A110" s="15"/>
      <c r="B110" s="539"/>
      <c r="C110" s="541"/>
      <c r="D110" s="539"/>
      <c r="E110" s="522"/>
      <c r="F110" s="539"/>
      <c r="G110" s="537"/>
      <c r="H110" s="539"/>
      <c r="I110" s="539"/>
      <c r="J110" s="536"/>
      <c r="K110" s="529"/>
      <c r="L110" s="529"/>
      <c r="M110" s="15"/>
      <c r="N110" s="15"/>
      <c r="O110" s="15"/>
      <c r="P110" s="15"/>
      <c r="Q110" s="15"/>
      <c r="R110" s="15"/>
      <c r="S110" s="15"/>
      <c r="T110" s="15"/>
      <c r="U110" s="15"/>
      <c r="V110" s="15"/>
      <c r="W110" s="15"/>
      <c r="X110" s="15"/>
      <c r="Y110" s="15"/>
      <c r="Z110" s="15"/>
      <c r="AA110" s="15"/>
      <c r="AB110" s="15"/>
      <c r="AC110" s="15"/>
      <c r="AD110" s="15"/>
      <c r="AE110" s="15"/>
      <c r="AF110" s="15"/>
    </row>
    <row r="111" ht="15.75" customHeight="1">
      <c r="A111" s="15"/>
      <c r="B111" s="449"/>
      <c r="C111" s="450"/>
      <c r="D111" s="31"/>
      <c r="E111" s="37"/>
      <c r="F111" s="30"/>
      <c r="G111" s="29"/>
      <c r="H111" s="30"/>
      <c r="I111" s="31"/>
      <c r="J111" s="9"/>
      <c r="K111" s="11"/>
      <c r="L111" s="11"/>
      <c r="M111" s="15"/>
      <c r="N111" s="15"/>
      <c r="O111" s="15"/>
      <c r="P111" s="15"/>
      <c r="Q111" s="15"/>
      <c r="R111" s="15"/>
      <c r="S111" s="15"/>
      <c r="T111" s="15"/>
      <c r="U111" s="15"/>
      <c r="V111" s="15"/>
      <c r="W111" s="15"/>
      <c r="X111" s="15"/>
      <c r="Y111" s="15"/>
      <c r="Z111" s="15"/>
      <c r="AA111" s="15"/>
      <c r="AB111" s="15"/>
      <c r="AC111" s="15"/>
      <c r="AD111" s="15"/>
      <c r="AE111" s="15"/>
      <c r="AF111" s="15"/>
    </row>
    <row r="112" ht="15.75" customHeight="1">
      <c r="A112" s="15"/>
      <c r="B112" s="449"/>
      <c r="C112" s="450"/>
      <c r="D112" s="31"/>
      <c r="E112" s="37"/>
      <c r="F112" s="37"/>
      <c r="G112" s="29"/>
      <c r="H112" s="30"/>
      <c r="I112" s="9"/>
      <c r="J112" s="9"/>
      <c r="K112" s="11"/>
      <c r="L112" s="11"/>
      <c r="M112" s="15"/>
      <c r="N112" s="15"/>
      <c r="O112" s="15"/>
      <c r="P112" s="15"/>
      <c r="Q112" s="15"/>
      <c r="R112" s="15"/>
      <c r="S112" s="15"/>
      <c r="T112" s="15"/>
      <c r="U112" s="15"/>
      <c r="V112" s="15"/>
      <c r="W112" s="15"/>
      <c r="X112" s="15"/>
      <c r="Y112" s="15"/>
      <c r="Z112" s="15"/>
      <c r="AA112" s="15"/>
      <c r="AB112" s="15"/>
      <c r="AC112" s="15"/>
      <c r="AD112" s="15"/>
      <c r="AE112" s="15"/>
      <c r="AF112" s="15"/>
    </row>
    <row r="113" ht="15.75" customHeight="1">
      <c r="A113" s="15"/>
      <c r="B113" s="449"/>
      <c r="C113" s="450"/>
      <c r="D113" s="31"/>
      <c r="E113" s="31"/>
      <c r="F113" s="31"/>
      <c r="G113" s="29"/>
      <c r="H113" s="31"/>
      <c r="I113" s="9"/>
      <c r="J113" s="9"/>
      <c r="K113" s="11"/>
      <c r="L113" s="11"/>
      <c r="M113" s="15"/>
      <c r="N113" s="15"/>
      <c r="O113" s="15"/>
      <c r="P113" s="15"/>
      <c r="Q113" s="15"/>
      <c r="R113" s="15"/>
      <c r="S113" s="15"/>
      <c r="T113" s="15"/>
      <c r="U113" s="15"/>
      <c r="V113" s="15"/>
      <c r="W113" s="15"/>
      <c r="X113" s="15"/>
      <c r="Y113" s="15"/>
      <c r="Z113" s="15"/>
      <c r="AA113" s="15"/>
      <c r="AB113" s="15"/>
      <c r="AC113" s="15"/>
      <c r="AD113" s="15"/>
      <c r="AE113" s="15"/>
      <c r="AF113" s="15"/>
    </row>
    <row r="114" ht="15.75" customHeight="1">
      <c r="A114" s="15"/>
      <c r="B114" s="449"/>
      <c r="C114" s="450"/>
      <c r="D114" s="31"/>
      <c r="E114" s="31"/>
      <c r="F114" s="31"/>
      <c r="G114" s="29"/>
      <c r="H114" s="31"/>
      <c r="I114" s="9"/>
      <c r="J114" s="9"/>
      <c r="K114" s="11"/>
      <c r="L114" s="11"/>
      <c r="M114" s="15"/>
      <c r="N114" s="15"/>
      <c r="O114" s="15"/>
      <c r="P114" s="15"/>
      <c r="Q114" s="15"/>
      <c r="R114" s="15"/>
      <c r="S114" s="15"/>
      <c r="T114" s="15"/>
      <c r="U114" s="15"/>
      <c r="V114" s="15"/>
      <c r="W114" s="15"/>
      <c r="X114" s="15"/>
      <c r="Y114" s="15"/>
      <c r="Z114" s="15"/>
      <c r="AA114" s="15"/>
      <c r="AB114" s="15"/>
      <c r="AC114" s="15"/>
      <c r="AD114" s="15"/>
      <c r="AE114" s="15"/>
      <c r="AF114" s="15"/>
    </row>
    <row r="115" ht="15.75" customHeight="1">
      <c r="A115" s="15"/>
      <c r="B115" s="449"/>
      <c r="C115" s="450"/>
      <c r="D115" s="31"/>
      <c r="E115" s="31"/>
      <c r="F115" s="31"/>
      <c r="G115" s="29"/>
      <c r="H115" s="31"/>
      <c r="I115" s="9"/>
      <c r="J115" s="9"/>
      <c r="K115" s="11"/>
      <c r="L115" s="11"/>
      <c r="M115" s="15"/>
      <c r="N115" s="15"/>
      <c r="O115" s="15"/>
      <c r="P115" s="15"/>
      <c r="Q115" s="15"/>
      <c r="R115" s="15"/>
      <c r="S115" s="15"/>
      <c r="T115" s="15"/>
      <c r="U115" s="15"/>
      <c r="V115" s="15"/>
      <c r="W115" s="15"/>
      <c r="X115" s="15"/>
      <c r="Y115" s="15"/>
      <c r="Z115" s="15"/>
      <c r="AA115" s="15"/>
      <c r="AB115" s="15"/>
      <c r="AC115" s="15"/>
      <c r="AD115" s="15"/>
      <c r="AE115" s="15"/>
      <c r="AF115" s="15"/>
    </row>
    <row r="116" ht="15.75" customHeight="1">
      <c r="A116" s="15"/>
      <c r="B116" s="449"/>
      <c r="C116" s="450"/>
      <c r="D116" s="31"/>
      <c r="E116" s="31"/>
      <c r="F116" s="31"/>
      <c r="G116" s="29"/>
      <c r="H116" s="31"/>
      <c r="I116" s="9"/>
      <c r="J116" s="9"/>
      <c r="K116" s="11"/>
      <c r="L116" s="11"/>
      <c r="M116" s="15"/>
      <c r="N116" s="15"/>
      <c r="O116" s="15"/>
      <c r="P116" s="15"/>
      <c r="Q116" s="15"/>
      <c r="R116" s="15"/>
      <c r="S116" s="15"/>
      <c r="T116" s="15"/>
      <c r="U116" s="15"/>
      <c r="V116" s="15"/>
      <c r="W116" s="15"/>
      <c r="X116" s="15"/>
      <c r="Y116" s="15"/>
      <c r="Z116" s="15"/>
      <c r="AA116" s="15"/>
      <c r="AB116" s="15"/>
      <c r="AC116" s="15"/>
      <c r="AD116" s="15"/>
      <c r="AE116" s="15"/>
      <c r="AF116" s="15"/>
    </row>
    <row r="117" ht="15.75" customHeight="1">
      <c r="A117" s="15"/>
      <c r="B117" s="449"/>
      <c r="C117" s="450"/>
      <c r="D117" s="31"/>
      <c r="E117" s="31"/>
      <c r="F117" s="31"/>
      <c r="G117" s="29"/>
      <c r="H117" s="31"/>
      <c r="I117" s="9"/>
      <c r="J117" s="9"/>
      <c r="K117" s="11"/>
      <c r="L117" s="11"/>
      <c r="M117" s="15"/>
      <c r="N117" s="15"/>
      <c r="O117" s="15"/>
      <c r="P117" s="15"/>
      <c r="Q117" s="15"/>
      <c r="R117" s="15"/>
      <c r="S117" s="15"/>
      <c r="T117" s="15"/>
      <c r="U117" s="15"/>
      <c r="V117" s="15"/>
      <c r="W117" s="15"/>
      <c r="X117" s="15"/>
      <c r="Y117" s="15"/>
      <c r="Z117" s="15"/>
      <c r="AA117" s="15"/>
      <c r="AB117" s="15"/>
      <c r="AC117" s="15"/>
      <c r="AD117" s="15"/>
      <c r="AE117" s="15"/>
      <c r="AF117" s="15"/>
    </row>
    <row r="118" ht="15.75" customHeight="1">
      <c r="A118" s="15"/>
      <c r="B118" s="449"/>
      <c r="C118" s="450"/>
      <c r="D118" s="31"/>
      <c r="E118" s="37"/>
      <c r="F118" s="31"/>
      <c r="G118" s="29"/>
      <c r="H118" s="31"/>
      <c r="I118" s="31"/>
      <c r="J118" s="9"/>
      <c r="K118" s="11"/>
      <c r="L118" s="11"/>
      <c r="M118" s="15"/>
      <c r="N118" s="15"/>
      <c r="O118" s="15"/>
      <c r="P118" s="15"/>
      <c r="Q118" s="15"/>
      <c r="R118" s="15"/>
      <c r="S118" s="15"/>
      <c r="T118" s="15"/>
      <c r="U118" s="15"/>
      <c r="V118" s="15"/>
      <c r="W118" s="15"/>
      <c r="X118" s="15"/>
      <c r="Y118" s="15"/>
      <c r="Z118" s="15"/>
      <c r="AA118" s="15"/>
      <c r="AB118" s="15"/>
      <c r="AC118" s="15"/>
      <c r="AD118" s="15"/>
      <c r="AE118" s="15"/>
      <c r="AF118" s="15"/>
    </row>
    <row r="119" ht="15.75" customHeight="1">
      <c r="A119" s="15"/>
      <c r="B119" s="449"/>
      <c r="C119" s="450"/>
      <c r="D119" s="31"/>
      <c r="E119" s="37"/>
      <c r="F119" s="30"/>
      <c r="G119" s="29"/>
      <c r="H119" s="30"/>
      <c r="I119" s="31"/>
      <c r="J119" s="9"/>
      <c r="K119" s="11"/>
      <c r="L119" s="11"/>
      <c r="M119" s="15"/>
      <c r="N119" s="15"/>
      <c r="O119" s="15"/>
      <c r="P119" s="15"/>
      <c r="Q119" s="15"/>
      <c r="R119" s="15"/>
      <c r="S119" s="15"/>
      <c r="T119" s="15"/>
      <c r="U119" s="15"/>
      <c r="V119" s="15"/>
      <c r="W119" s="15"/>
      <c r="X119" s="15"/>
      <c r="Y119" s="15"/>
      <c r="Z119" s="15"/>
      <c r="AA119" s="15"/>
      <c r="AB119" s="15"/>
      <c r="AC119" s="15"/>
      <c r="AD119" s="15"/>
      <c r="AE119" s="15"/>
      <c r="AF119" s="15"/>
    </row>
    <row r="120" ht="15.75" customHeight="1">
      <c r="A120" s="15"/>
      <c r="B120" s="449"/>
      <c r="C120" s="450"/>
      <c r="D120" s="31"/>
      <c r="E120" s="37"/>
      <c r="F120" s="37"/>
      <c r="G120" s="29"/>
      <c r="H120" s="30"/>
      <c r="I120" s="9"/>
      <c r="J120" s="9"/>
      <c r="K120" s="11"/>
      <c r="L120" s="11"/>
      <c r="M120" s="15"/>
      <c r="N120" s="15"/>
      <c r="O120" s="15"/>
      <c r="P120" s="15"/>
      <c r="Q120" s="15"/>
      <c r="R120" s="15"/>
      <c r="S120" s="15"/>
      <c r="T120" s="15"/>
      <c r="U120" s="15"/>
      <c r="V120" s="15"/>
      <c r="W120" s="15"/>
      <c r="X120" s="15"/>
      <c r="Y120" s="15"/>
      <c r="Z120" s="15"/>
      <c r="AA120" s="15"/>
      <c r="AB120" s="15"/>
      <c r="AC120" s="15"/>
      <c r="AD120" s="15"/>
      <c r="AE120" s="15"/>
      <c r="AF120" s="15"/>
    </row>
    <row r="121" ht="15.75" customHeight="1">
      <c r="A121" s="15"/>
      <c r="B121" s="449"/>
      <c r="C121" s="450"/>
      <c r="D121" s="31"/>
      <c r="E121" s="31"/>
      <c r="F121" s="31"/>
      <c r="G121" s="29"/>
      <c r="H121" s="31"/>
      <c r="I121" s="9"/>
      <c r="J121" s="9"/>
      <c r="K121" s="11"/>
      <c r="L121" s="11"/>
      <c r="M121" s="15"/>
      <c r="N121" s="15"/>
      <c r="O121" s="15"/>
      <c r="P121" s="15"/>
      <c r="Q121" s="15"/>
      <c r="R121" s="15"/>
      <c r="S121" s="15"/>
      <c r="T121" s="15"/>
      <c r="U121" s="15"/>
      <c r="V121" s="15"/>
      <c r="W121" s="15"/>
      <c r="X121" s="15"/>
      <c r="Y121" s="15"/>
      <c r="Z121" s="15"/>
      <c r="AA121" s="15"/>
      <c r="AB121" s="15"/>
      <c r="AC121" s="15"/>
      <c r="AD121" s="15"/>
      <c r="AE121" s="15"/>
      <c r="AF121" s="15"/>
    </row>
    <row r="122" ht="15.75" customHeight="1">
      <c r="A122" s="15"/>
      <c r="B122" s="449"/>
      <c r="C122" s="450"/>
      <c r="D122" s="31"/>
      <c r="E122" s="31"/>
      <c r="F122" s="31"/>
      <c r="G122" s="29"/>
      <c r="H122" s="31"/>
      <c r="I122" s="9"/>
      <c r="J122" s="9"/>
      <c r="K122" s="11"/>
      <c r="L122" s="11"/>
      <c r="M122" s="15"/>
      <c r="N122" s="15"/>
      <c r="O122" s="15"/>
      <c r="P122" s="15"/>
      <c r="Q122" s="15"/>
      <c r="R122" s="15"/>
      <c r="S122" s="15"/>
      <c r="T122" s="15"/>
      <c r="U122" s="15"/>
      <c r="V122" s="15"/>
      <c r="W122" s="15"/>
      <c r="X122" s="15"/>
      <c r="Y122" s="15"/>
      <c r="Z122" s="15"/>
      <c r="AA122" s="15"/>
      <c r="AB122" s="15"/>
      <c r="AC122" s="15"/>
      <c r="AD122" s="15"/>
      <c r="AE122" s="15"/>
      <c r="AF122" s="15"/>
    </row>
    <row r="123" ht="15.75" customHeight="1">
      <c r="A123" s="15"/>
      <c r="B123" s="449"/>
      <c r="C123" s="450"/>
      <c r="D123" s="31"/>
      <c r="E123" s="31"/>
      <c r="F123" s="31"/>
      <c r="G123" s="29"/>
      <c r="H123" s="31"/>
      <c r="I123" s="9"/>
      <c r="J123" s="9"/>
      <c r="K123" s="11"/>
      <c r="L123" s="11"/>
      <c r="M123" s="15"/>
      <c r="N123" s="15"/>
      <c r="O123" s="15"/>
      <c r="P123" s="15"/>
      <c r="Q123" s="15"/>
      <c r="R123" s="15"/>
      <c r="S123" s="15"/>
      <c r="T123" s="15"/>
      <c r="U123" s="15"/>
      <c r="V123" s="15"/>
      <c r="W123" s="15"/>
      <c r="X123" s="15"/>
      <c r="Y123" s="15"/>
      <c r="Z123" s="15"/>
      <c r="AA123" s="15"/>
      <c r="AB123" s="15"/>
      <c r="AC123" s="15"/>
      <c r="AD123" s="15"/>
      <c r="AE123" s="15"/>
      <c r="AF123" s="15"/>
    </row>
    <row r="124" ht="15.75" customHeight="1">
      <c r="A124" s="15"/>
      <c r="B124" s="449"/>
      <c r="C124" s="450"/>
      <c r="D124" s="31"/>
      <c r="E124" s="31"/>
      <c r="F124" s="31"/>
      <c r="G124" s="29"/>
      <c r="H124" s="31"/>
      <c r="I124" s="9"/>
      <c r="J124" s="9"/>
      <c r="K124" s="11"/>
      <c r="L124" s="11"/>
      <c r="M124" s="15"/>
      <c r="N124" s="15"/>
      <c r="O124" s="15"/>
      <c r="P124" s="15"/>
      <c r="Q124" s="15"/>
      <c r="R124" s="15"/>
      <c r="S124" s="15"/>
      <c r="T124" s="15"/>
      <c r="U124" s="15"/>
      <c r="V124" s="15"/>
      <c r="W124" s="15"/>
      <c r="X124" s="15"/>
      <c r="Y124" s="15"/>
      <c r="Z124" s="15"/>
      <c r="AA124" s="15"/>
      <c r="AB124" s="15"/>
      <c r="AC124" s="15"/>
      <c r="AD124" s="15"/>
      <c r="AE124" s="15"/>
      <c r="AF124" s="15"/>
    </row>
    <row r="125" ht="15.75" customHeight="1">
      <c r="A125" s="15"/>
      <c r="B125" s="449"/>
      <c r="C125" s="450"/>
      <c r="D125" s="31"/>
      <c r="E125" s="31"/>
      <c r="F125" s="31"/>
      <c r="G125" s="29"/>
      <c r="H125" s="31"/>
      <c r="I125" s="9"/>
      <c r="J125" s="9"/>
      <c r="K125" s="11"/>
      <c r="L125" s="11"/>
      <c r="M125" s="15"/>
      <c r="N125" s="15"/>
      <c r="O125" s="15"/>
      <c r="P125" s="15"/>
      <c r="Q125" s="15"/>
      <c r="R125" s="15"/>
      <c r="S125" s="15"/>
      <c r="T125" s="15"/>
      <c r="U125" s="15"/>
      <c r="V125" s="15"/>
      <c r="W125" s="15"/>
      <c r="X125" s="15"/>
      <c r="Y125" s="15"/>
      <c r="Z125" s="15"/>
      <c r="AA125" s="15"/>
      <c r="AB125" s="15"/>
      <c r="AC125" s="15"/>
      <c r="AD125" s="15"/>
      <c r="AE125" s="15"/>
      <c r="AF125" s="15"/>
    </row>
    <row r="126" ht="15.75" customHeight="1">
      <c r="A126" s="15"/>
      <c r="B126" s="449"/>
      <c r="C126" s="450"/>
      <c r="D126" s="31"/>
      <c r="E126" s="37"/>
      <c r="F126" s="31"/>
      <c r="G126" s="29"/>
      <c r="H126" s="31"/>
      <c r="I126" s="31"/>
      <c r="J126" s="9"/>
      <c r="K126" s="11"/>
      <c r="L126" s="11"/>
      <c r="M126" s="15"/>
      <c r="N126" s="15"/>
      <c r="O126" s="15"/>
      <c r="P126" s="15"/>
      <c r="Q126" s="15"/>
      <c r="R126" s="15"/>
      <c r="S126" s="15"/>
      <c r="T126" s="15"/>
      <c r="U126" s="15"/>
      <c r="V126" s="15"/>
      <c r="W126" s="15"/>
      <c r="X126" s="15"/>
      <c r="Y126" s="15"/>
      <c r="Z126" s="15"/>
      <c r="AA126" s="15"/>
      <c r="AB126" s="15"/>
      <c r="AC126" s="15"/>
      <c r="AD126" s="15"/>
      <c r="AE126" s="15"/>
      <c r="AF126" s="15"/>
    </row>
    <row r="127" ht="15.75" customHeight="1">
      <c r="A127" s="15"/>
      <c r="B127" s="449"/>
      <c r="C127" s="450"/>
      <c r="D127" s="31"/>
      <c r="E127" s="37"/>
      <c r="F127" s="30"/>
      <c r="G127" s="29"/>
      <c r="H127" s="30"/>
      <c r="I127" s="9"/>
      <c r="J127" s="9"/>
      <c r="K127" s="11"/>
      <c r="L127" s="11"/>
      <c r="M127" s="15"/>
      <c r="N127" s="15"/>
      <c r="O127" s="15"/>
      <c r="P127" s="15"/>
      <c r="Q127" s="15"/>
      <c r="R127" s="15"/>
      <c r="S127" s="15"/>
      <c r="T127" s="15"/>
      <c r="U127" s="15"/>
      <c r="V127" s="15"/>
      <c r="W127" s="15"/>
      <c r="X127" s="15"/>
      <c r="Y127" s="15"/>
      <c r="Z127" s="15"/>
      <c r="AA127" s="15"/>
      <c r="AB127" s="15"/>
      <c r="AC127" s="15"/>
      <c r="AD127" s="15"/>
      <c r="AE127" s="15"/>
      <c r="AF127" s="15"/>
    </row>
    <row r="128" ht="15.75" customHeight="1">
      <c r="A128" s="15"/>
      <c r="B128" s="449"/>
      <c r="C128" s="450"/>
      <c r="D128" s="31"/>
      <c r="E128" s="37"/>
      <c r="F128" s="37"/>
      <c r="G128" s="29"/>
      <c r="H128" s="30"/>
      <c r="I128" s="9"/>
      <c r="J128" s="9"/>
      <c r="K128" s="11"/>
      <c r="L128" s="11"/>
      <c r="M128" s="15"/>
      <c r="N128" s="15"/>
      <c r="O128" s="15"/>
      <c r="P128" s="15"/>
      <c r="Q128" s="15"/>
      <c r="R128" s="15"/>
      <c r="S128" s="15"/>
      <c r="T128" s="15"/>
      <c r="U128" s="15"/>
      <c r="V128" s="15"/>
      <c r="W128" s="15"/>
      <c r="X128" s="15"/>
      <c r="Y128" s="15"/>
      <c r="Z128" s="15"/>
      <c r="AA128" s="15"/>
      <c r="AB128" s="15"/>
      <c r="AC128" s="15"/>
      <c r="AD128" s="15"/>
      <c r="AE128" s="15"/>
      <c r="AF128" s="15"/>
    </row>
    <row r="129" ht="15.75" customHeight="1">
      <c r="A129" s="15"/>
      <c r="B129" s="449"/>
      <c r="C129" s="450"/>
      <c r="D129" s="31"/>
      <c r="E129" s="31"/>
      <c r="F129" s="31"/>
      <c r="G129" s="29"/>
      <c r="H129" s="31"/>
      <c r="I129" s="9"/>
      <c r="J129" s="9"/>
      <c r="K129" s="11"/>
      <c r="L129" s="11"/>
      <c r="M129" s="15"/>
      <c r="N129" s="15"/>
      <c r="O129" s="15"/>
      <c r="P129" s="15"/>
      <c r="Q129" s="15"/>
      <c r="R129" s="15"/>
      <c r="S129" s="15"/>
      <c r="T129" s="15"/>
      <c r="U129" s="15"/>
      <c r="V129" s="15"/>
      <c r="W129" s="15"/>
      <c r="X129" s="15"/>
      <c r="Y129" s="15"/>
      <c r="Z129" s="15"/>
      <c r="AA129" s="15"/>
      <c r="AB129" s="15"/>
      <c r="AC129" s="15"/>
      <c r="AD129" s="15"/>
      <c r="AE129" s="15"/>
      <c r="AF129" s="15"/>
    </row>
    <row r="130" ht="15.75" customHeight="1">
      <c r="A130" s="15"/>
      <c r="B130" s="449"/>
      <c r="C130" s="450"/>
      <c r="D130" s="31"/>
      <c r="E130" s="31"/>
      <c r="F130" s="31"/>
      <c r="G130" s="29"/>
      <c r="H130" s="31"/>
      <c r="I130" s="9"/>
      <c r="J130" s="9"/>
      <c r="K130" s="11"/>
      <c r="L130" s="11"/>
      <c r="M130" s="15"/>
      <c r="N130" s="15"/>
      <c r="O130" s="15"/>
      <c r="P130" s="15"/>
      <c r="Q130" s="15"/>
      <c r="R130" s="15"/>
      <c r="S130" s="15"/>
      <c r="T130" s="15"/>
      <c r="U130" s="15"/>
      <c r="V130" s="15"/>
      <c r="W130" s="15"/>
      <c r="X130" s="15"/>
      <c r="Y130" s="15"/>
      <c r="Z130" s="15"/>
      <c r="AA130" s="15"/>
      <c r="AB130" s="15"/>
      <c r="AC130" s="15"/>
      <c r="AD130" s="15"/>
      <c r="AE130" s="15"/>
      <c r="AF130" s="15"/>
    </row>
    <row r="131" ht="15.75" customHeight="1">
      <c r="A131" s="15"/>
      <c r="B131" s="449"/>
      <c r="C131" s="450"/>
      <c r="D131" s="31"/>
      <c r="E131" s="31"/>
      <c r="F131" s="31"/>
      <c r="G131" s="29"/>
      <c r="H131" s="31"/>
      <c r="I131" s="9"/>
      <c r="J131" s="9"/>
      <c r="K131" s="11"/>
      <c r="L131" s="11"/>
      <c r="M131" s="15"/>
      <c r="N131" s="15"/>
      <c r="O131" s="15"/>
      <c r="P131" s="15"/>
      <c r="Q131" s="15"/>
      <c r="R131" s="15"/>
      <c r="S131" s="15"/>
      <c r="T131" s="15"/>
      <c r="U131" s="15"/>
      <c r="V131" s="15"/>
      <c r="W131" s="15"/>
      <c r="X131" s="15"/>
      <c r="Y131" s="15"/>
      <c r="Z131" s="15"/>
      <c r="AA131" s="15"/>
      <c r="AB131" s="15"/>
      <c r="AC131" s="15"/>
      <c r="AD131" s="15"/>
      <c r="AE131" s="15"/>
      <c r="AF131" s="15"/>
    </row>
    <row r="132" ht="15.75" customHeight="1">
      <c r="A132" s="15"/>
      <c r="B132" s="449"/>
      <c r="C132" s="450"/>
      <c r="D132" s="31"/>
      <c r="E132" s="31"/>
      <c r="F132" s="31"/>
      <c r="G132" s="29"/>
      <c r="H132" s="31"/>
      <c r="I132" s="9"/>
      <c r="J132" s="9"/>
      <c r="K132" s="11"/>
      <c r="L132" s="11"/>
      <c r="M132" s="15"/>
      <c r="N132" s="15"/>
      <c r="O132" s="15"/>
      <c r="P132" s="15"/>
      <c r="Q132" s="15"/>
      <c r="R132" s="15"/>
      <c r="S132" s="15"/>
      <c r="T132" s="15"/>
      <c r="U132" s="15"/>
      <c r="V132" s="15"/>
      <c r="W132" s="15"/>
      <c r="X132" s="15"/>
      <c r="Y132" s="15"/>
      <c r="Z132" s="15"/>
      <c r="AA132" s="15"/>
      <c r="AB132" s="15"/>
      <c r="AC132" s="15"/>
      <c r="AD132" s="15"/>
      <c r="AE132" s="15"/>
      <c r="AF132" s="15"/>
    </row>
    <row r="133" ht="15.75" customHeight="1">
      <c r="A133" s="15"/>
      <c r="B133" s="449"/>
      <c r="C133" s="450"/>
      <c r="D133" s="31"/>
      <c r="E133" s="37"/>
      <c r="F133" s="31"/>
      <c r="G133" s="29"/>
      <c r="H133" s="31"/>
      <c r="I133" s="31"/>
      <c r="J133" s="9"/>
      <c r="K133" s="11"/>
      <c r="L133" s="11"/>
      <c r="M133" s="15"/>
      <c r="N133" s="15"/>
      <c r="O133" s="15"/>
      <c r="P133" s="15"/>
      <c r="Q133" s="15"/>
      <c r="R133" s="15"/>
      <c r="S133" s="15"/>
      <c r="T133" s="15"/>
      <c r="U133" s="15"/>
      <c r="V133" s="15"/>
      <c r="W133" s="15"/>
      <c r="X133" s="15"/>
      <c r="Y133" s="15"/>
      <c r="Z133" s="15"/>
      <c r="AA133" s="15"/>
      <c r="AB133" s="15"/>
      <c r="AC133" s="15"/>
      <c r="AD133" s="15"/>
      <c r="AE133" s="15"/>
      <c r="AF133" s="15"/>
    </row>
    <row r="134" ht="15.75" customHeight="1">
      <c r="A134" s="15"/>
      <c r="B134" s="449"/>
      <c r="C134" s="450"/>
      <c r="D134" s="31"/>
      <c r="E134" s="37"/>
      <c r="F134" s="30"/>
      <c r="G134" s="29"/>
      <c r="H134" s="30"/>
      <c r="I134" s="31"/>
      <c r="J134" s="9"/>
      <c r="K134" s="11"/>
      <c r="L134" s="11"/>
      <c r="M134" s="15"/>
      <c r="N134" s="15"/>
      <c r="O134" s="15"/>
      <c r="P134" s="15"/>
      <c r="Q134" s="15"/>
      <c r="R134" s="15"/>
      <c r="S134" s="15"/>
      <c r="T134" s="15"/>
      <c r="U134" s="15"/>
      <c r="V134" s="15"/>
      <c r="W134" s="15"/>
      <c r="X134" s="15"/>
      <c r="Y134" s="15"/>
      <c r="Z134" s="15"/>
      <c r="AA134" s="15"/>
      <c r="AB134" s="15"/>
      <c r="AC134" s="15"/>
      <c r="AD134" s="15"/>
      <c r="AE134" s="15"/>
      <c r="AF134" s="15"/>
    </row>
    <row r="135" ht="15.75" customHeight="1">
      <c r="A135" s="15"/>
      <c r="B135" s="449"/>
      <c r="C135" s="450"/>
      <c r="D135" s="31"/>
      <c r="E135" s="37"/>
      <c r="F135" s="37"/>
      <c r="G135" s="29"/>
      <c r="H135" s="30"/>
      <c r="I135" s="9"/>
      <c r="J135" s="9"/>
      <c r="K135" s="11"/>
      <c r="L135" s="11"/>
      <c r="M135" s="15"/>
      <c r="N135" s="15"/>
      <c r="O135" s="15"/>
      <c r="P135" s="15"/>
      <c r="Q135" s="15"/>
      <c r="R135" s="15"/>
      <c r="S135" s="15"/>
      <c r="T135" s="15"/>
      <c r="U135" s="15"/>
      <c r="V135" s="15"/>
      <c r="W135" s="15"/>
      <c r="X135" s="15"/>
      <c r="Y135" s="15"/>
      <c r="Z135" s="15"/>
      <c r="AA135" s="15"/>
      <c r="AB135" s="15"/>
      <c r="AC135" s="15"/>
      <c r="AD135" s="15"/>
      <c r="AE135" s="15"/>
      <c r="AF135" s="15"/>
    </row>
    <row r="136" ht="15.75" customHeight="1">
      <c r="A136" s="15"/>
      <c r="B136" s="449"/>
      <c r="C136" s="450"/>
      <c r="D136" s="31"/>
      <c r="E136" s="31"/>
      <c r="F136" s="31"/>
      <c r="G136" s="29"/>
      <c r="H136" s="31"/>
      <c r="I136" s="9"/>
      <c r="J136" s="9"/>
      <c r="K136" s="11"/>
      <c r="L136" s="11"/>
      <c r="M136" s="15"/>
      <c r="N136" s="15"/>
      <c r="O136" s="15"/>
      <c r="P136" s="15"/>
      <c r="Q136" s="15"/>
      <c r="R136" s="15"/>
      <c r="S136" s="15"/>
      <c r="T136" s="15"/>
      <c r="U136" s="15"/>
      <c r="V136" s="15"/>
      <c r="W136" s="15"/>
      <c r="X136" s="15"/>
      <c r="Y136" s="15"/>
      <c r="Z136" s="15"/>
      <c r="AA136" s="15"/>
      <c r="AB136" s="15"/>
      <c r="AC136" s="15"/>
      <c r="AD136" s="15"/>
      <c r="AE136" s="15"/>
      <c r="AF136" s="15"/>
    </row>
    <row r="137" ht="15.75" customHeight="1">
      <c r="A137" s="15"/>
      <c r="B137" s="449"/>
      <c r="C137" s="450"/>
      <c r="D137" s="31"/>
      <c r="E137" s="31"/>
      <c r="F137" s="31"/>
      <c r="G137" s="29"/>
      <c r="H137" s="31"/>
      <c r="I137" s="9"/>
      <c r="J137" s="9"/>
      <c r="K137" s="11"/>
      <c r="L137" s="11"/>
      <c r="M137" s="15"/>
      <c r="N137" s="15"/>
      <c r="O137" s="15"/>
      <c r="P137" s="15"/>
      <c r="Q137" s="15"/>
      <c r="R137" s="15"/>
      <c r="S137" s="15"/>
      <c r="T137" s="15"/>
      <c r="U137" s="15"/>
      <c r="V137" s="15"/>
      <c r="W137" s="15"/>
      <c r="X137" s="15"/>
      <c r="Y137" s="15"/>
      <c r="Z137" s="15"/>
      <c r="AA137" s="15"/>
      <c r="AB137" s="15"/>
      <c r="AC137" s="15"/>
      <c r="AD137" s="15"/>
      <c r="AE137" s="15"/>
      <c r="AF137" s="15"/>
    </row>
    <row r="138" ht="15.75" customHeight="1">
      <c r="A138" s="15"/>
      <c r="B138" s="449"/>
      <c r="C138" s="450"/>
      <c r="D138" s="31"/>
      <c r="E138" s="31"/>
      <c r="F138" s="31"/>
      <c r="G138" s="29"/>
      <c r="H138" s="31"/>
      <c r="I138" s="9"/>
      <c r="J138" s="9"/>
      <c r="K138" s="11"/>
      <c r="L138" s="11"/>
      <c r="M138" s="15"/>
      <c r="N138" s="15"/>
      <c r="O138" s="15"/>
      <c r="P138" s="15"/>
      <c r="Q138" s="15"/>
      <c r="R138" s="15"/>
      <c r="S138" s="15"/>
      <c r="T138" s="15"/>
      <c r="U138" s="15"/>
      <c r="V138" s="15"/>
      <c r="W138" s="15"/>
      <c r="X138" s="15"/>
      <c r="Y138" s="15"/>
      <c r="Z138" s="15"/>
      <c r="AA138" s="15"/>
      <c r="AB138" s="15"/>
      <c r="AC138" s="15"/>
      <c r="AD138" s="15"/>
      <c r="AE138" s="15"/>
      <c r="AF138" s="15"/>
    </row>
    <row r="139" ht="15.75" customHeight="1">
      <c r="A139" s="15"/>
      <c r="B139" s="449"/>
      <c r="C139" s="450"/>
      <c r="D139" s="31"/>
      <c r="E139" s="31"/>
      <c r="F139" s="31"/>
      <c r="G139" s="29"/>
      <c r="H139" s="31"/>
      <c r="I139" s="9"/>
      <c r="J139" s="9"/>
      <c r="K139" s="11"/>
      <c r="L139" s="11"/>
      <c r="M139" s="15"/>
      <c r="N139" s="15"/>
      <c r="O139" s="15"/>
      <c r="P139" s="15"/>
      <c r="Q139" s="15"/>
      <c r="R139" s="15"/>
      <c r="S139" s="15"/>
      <c r="T139" s="15"/>
      <c r="U139" s="15"/>
      <c r="V139" s="15"/>
      <c r="W139" s="15"/>
      <c r="X139" s="15"/>
      <c r="Y139" s="15"/>
      <c r="Z139" s="15"/>
      <c r="AA139" s="15"/>
      <c r="AB139" s="15"/>
      <c r="AC139" s="15"/>
      <c r="AD139" s="15"/>
      <c r="AE139" s="15"/>
      <c r="AF139" s="15"/>
    </row>
    <row r="140" ht="15.75" customHeight="1">
      <c r="A140" s="15"/>
      <c r="B140" s="449"/>
      <c r="C140" s="450"/>
      <c r="D140" s="31"/>
      <c r="E140" s="31"/>
      <c r="F140" s="31"/>
      <c r="G140" s="29"/>
      <c r="H140" s="31"/>
      <c r="I140" s="9"/>
      <c r="J140" s="9"/>
      <c r="K140" s="11"/>
      <c r="L140" s="11"/>
      <c r="M140" s="15"/>
      <c r="N140" s="15"/>
      <c r="O140" s="15"/>
      <c r="P140" s="15"/>
      <c r="Q140" s="15"/>
      <c r="R140" s="15"/>
      <c r="S140" s="15"/>
      <c r="T140" s="15"/>
      <c r="U140" s="15"/>
      <c r="V140" s="15"/>
      <c r="W140" s="15"/>
      <c r="X140" s="15"/>
      <c r="Y140" s="15"/>
      <c r="Z140" s="15"/>
      <c r="AA140" s="15"/>
      <c r="AB140" s="15"/>
      <c r="AC140" s="15"/>
      <c r="AD140" s="15"/>
      <c r="AE140" s="15"/>
      <c r="AF140" s="15"/>
    </row>
    <row r="141" ht="15.75" customHeight="1">
      <c r="A141" s="15"/>
      <c r="B141" s="449"/>
      <c r="C141" s="450"/>
      <c r="D141" s="31"/>
      <c r="E141" s="37"/>
      <c r="F141" s="31"/>
      <c r="G141" s="29"/>
      <c r="H141" s="31"/>
      <c r="I141" s="31"/>
      <c r="J141" s="9"/>
      <c r="K141" s="11"/>
      <c r="L141" s="11"/>
      <c r="M141" s="15"/>
      <c r="N141" s="15"/>
      <c r="O141" s="15"/>
      <c r="P141" s="15"/>
      <c r="Q141" s="15"/>
      <c r="R141" s="15"/>
      <c r="S141" s="15"/>
      <c r="T141" s="15"/>
      <c r="U141" s="15"/>
      <c r="V141" s="15"/>
      <c r="W141" s="15"/>
      <c r="X141" s="15"/>
      <c r="Y141" s="15"/>
      <c r="Z141" s="15"/>
      <c r="AA141" s="15"/>
      <c r="AB141" s="15"/>
      <c r="AC141" s="15"/>
      <c r="AD141" s="15"/>
      <c r="AE141" s="15"/>
      <c r="AF141" s="15"/>
    </row>
    <row r="142" ht="15.75" customHeight="1">
      <c r="A142" s="15"/>
      <c r="B142" s="449"/>
      <c r="C142" s="450"/>
      <c r="D142" s="31"/>
      <c r="E142" s="37"/>
      <c r="F142" s="30"/>
      <c r="G142" s="29"/>
      <c r="H142" s="30"/>
      <c r="I142" s="31"/>
      <c r="J142" s="9"/>
      <c r="K142" s="11"/>
      <c r="L142" s="11"/>
      <c r="M142" s="15"/>
      <c r="N142" s="15"/>
      <c r="O142" s="15"/>
      <c r="P142" s="15"/>
      <c r="Q142" s="15"/>
      <c r="R142" s="15"/>
      <c r="S142" s="15"/>
      <c r="T142" s="15"/>
      <c r="U142" s="15"/>
      <c r="V142" s="15"/>
      <c r="W142" s="15"/>
      <c r="X142" s="15"/>
      <c r="Y142" s="15"/>
      <c r="Z142" s="15"/>
      <c r="AA142" s="15"/>
      <c r="AB142" s="15"/>
      <c r="AC142" s="15"/>
      <c r="AD142" s="15"/>
      <c r="AE142" s="15"/>
      <c r="AF142" s="15"/>
    </row>
    <row r="143" ht="15.75" customHeight="1">
      <c r="A143" s="15"/>
      <c r="B143" s="449"/>
      <c r="C143" s="450"/>
      <c r="D143" s="31"/>
      <c r="E143" s="37"/>
      <c r="F143" s="37"/>
      <c r="G143" s="29"/>
      <c r="H143" s="30"/>
      <c r="I143" s="9"/>
      <c r="J143" s="9"/>
      <c r="K143" s="11"/>
      <c r="L143" s="11"/>
      <c r="M143" s="15"/>
      <c r="N143" s="15"/>
      <c r="O143" s="15"/>
      <c r="P143" s="15"/>
      <c r="Q143" s="15"/>
      <c r="R143" s="15"/>
      <c r="S143" s="15"/>
      <c r="T143" s="15"/>
      <c r="U143" s="15"/>
      <c r="V143" s="15"/>
      <c r="W143" s="15"/>
      <c r="X143" s="15"/>
      <c r="Y143" s="15"/>
      <c r="Z143" s="15"/>
      <c r="AA143" s="15"/>
      <c r="AB143" s="15"/>
      <c r="AC143" s="15"/>
      <c r="AD143" s="15"/>
      <c r="AE143" s="15"/>
      <c r="AF143" s="15"/>
    </row>
    <row r="144" ht="15.75" customHeight="1">
      <c r="A144" s="15"/>
      <c r="B144" s="449"/>
      <c r="C144" s="450"/>
      <c r="D144" s="31"/>
      <c r="E144" s="31"/>
      <c r="F144" s="31"/>
      <c r="G144" s="29"/>
      <c r="H144" s="31"/>
      <c r="I144" s="9"/>
      <c r="J144" s="9"/>
      <c r="K144" s="11"/>
      <c r="L144" s="11"/>
      <c r="M144" s="15"/>
      <c r="N144" s="15"/>
      <c r="O144" s="15"/>
      <c r="P144" s="15"/>
      <c r="Q144" s="15"/>
      <c r="R144" s="15"/>
      <c r="S144" s="15"/>
      <c r="T144" s="15"/>
      <c r="U144" s="15"/>
      <c r="V144" s="15"/>
      <c r="W144" s="15"/>
      <c r="X144" s="15"/>
      <c r="Y144" s="15"/>
      <c r="Z144" s="15"/>
      <c r="AA144" s="15"/>
      <c r="AB144" s="15"/>
      <c r="AC144" s="15"/>
      <c r="AD144" s="15"/>
      <c r="AE144" s="15"/>
      <c r="AF144" s="15"/>
    </row>
    <row r="145" ht="15.75" customHeight="1">
      <c r="A145" s="15"/>
      <c r="B145" s="449"/>
      <c r="C145" s="450"/>
      <c r="D145" s="31"/>
      <c r="E145" s="31"/>
      <c r="F145" s="31"/>
      <c r="G145" s="29"/>
      <c r="H145" s="31"/>
      <c r="I145" s="9"/>
      <c r="J145" s="9"/>
      <c r="K145" s="11"/>
      <c r="L145" s="11"/>
      <c r="M145" s="15"/>
      <c r="N145" s="15"/>
      <c r="O145" s="15"/>
      <c r="P145" s="15"/>
      <c r="Q145" s="15"/>
      <c r="R145" s="15"/>
      <c r="S145" s="15"/>
      <c r="T145" s="15"/>
      <c r="U145" s="15"/>
      <c r="V145" s="15"/>
      <c r="W145" s="15"/>
      <c r="X145" s="15"/>
      <c r="Y145" s="15"/>
      <c r="Z145" s="15"/>
      <c r="AA145" s="15"/>
      <c r="AB145" s="15"/>
      <c r="AC145" s="15"/>
      <c r="AD145" s="15"/>
      <c r="AE145" s="15"/>
      <c r="AF145" s="15"/>
    </row>
    <row r="146" ht="15.75" customHeight="1">
      <c r="A146" s="15"/>
      <c r="B146" s="449"/>
      <c r="C146" s="450"/>
      <c r="D146" s="31"/>
      <c r="E146" s="31"/>
      <c r="F146" s="31"/>
      <c r="G146" s="29"/>
      <c r="H146" s="31"/>
      <c r="I146" s="9"/>
      <c r="J146" s="9"/>
      <c r="K146" s="11"/>
      <c r="L146" s="11"/>
      <c r="M146" s="15"/>
      <c r="N146" s="15"/>
      <c r="O146" s="15"/>
      <c r="P146" s="15"/>
      <c r="Q146" s="15"/>
      <c r="R146" s="15"/>
      <c r="S146" s="15"/>
      <c r="T146" s="15"/>
      <c r="U146" s="15"/>
      <c r="V146" s="15"/>
      <c r="W146" s="15"/>
      <c r="X146" s="15"/>
      <c r="Y146" s="15"/>
      <c r="Z146" s="15"/>
      <c r="AA146" s="15"/>
      <c r="AB146" s="15"/>
      <c r="AC146" s="15"/>
      <c r="AD146" s="15"/>
      <c r="AE146" s="15"/>
      <c r="AF146" s="15"/>
    </row>
    <row r="147" ht="15.75" customHeight="1">
      <c r="A147" s="15"/>
      <c r="B147" s="449"/>
      <c r="C147" s="450"/>
      <c r="D147" s="31"/>
      <c r="E147" s="31"/>
      <c r="F147" s="31"/>
      <c r="G147" s="29"/>
      <c r="H147" s="31"/>
      <c r="I147" s="9"/>
      <c r="J147" s="9"/>
      <c r="K147" s="11"/>
      <c r="L147" s="11"/>
      <c r="M147" s="15"/>
      <c r="N147" s="15"/>
      <c r="O147" s="15"/>
      <c r="P147" s="15"/>
      <c r="Q147" s="15"/>
      <c r="R147" s="15"/>
      <c r="S147" s="15"/>
      <c r="T147" s="15"/>
      <c r="U147" s="15"/>
      <c r="V147" s="15"/>
      <c r="W147" s="15"/>
      <c r="X147" s="15"/>
      <c r="Y147" s="15"/>
      <c r="Z147" s="15"/>
      <c r="AA147" s="15"/>
      <c r="AB147" s="15"/>
      <c r="AC147" s="15"/>
      <c r="AD147" s="15"/>
      <c r="AE147" s="15"/>
      <c r="AF147" s="15"/>
    </row>
    <row r="148" ht="15.75" customHeight="1">
      <c r="A148" s="15"/>
      <c r="B148" s="449"/>
      <c r="C148" s="450"/>
      <c r="D148" s="31"/>
      <c r="E148" s="31"/>
      <c r="F148" s="31"/>
      <c r="G148" s="29"/>
      <c r="H148" s="31"/>
      <c r="I148" s="9"/>
      <c r="J148" s="9"/>
      <c r="K148" s="11"/>
      <c r="L148" s="11"/>
      <c r="M148" s="15"/>
      <c r="N148" s="15"/>
      <c r="O148" s="15"/>
      <c r="P148" s="15"/>
      <c r="Q148" s="15"/>
      <c r="R148" s="15"/>
      <c r="S148" s="15"/>
      <c r="T148" s="15"/>
      <c r="U148" s="15"/>
      <c r="V148" s="15"/>
      <c r="W148" s="15"/>
      <c r="X148" s="15"/>
      <c r="Y148" s="15"/>
      <c r="Z148" s="15"/>
      <c r="AA148" s="15"/>
      <c r="AB148" s="15"/>
      <c r="AC148" s="15"/>
      <c r="AD148" s="15"/>
      <c r="AE148" s="15"/>
      <c r="AF148" s="15"/>
    </row>
    <row r="149" ht="15.75" customHeight="1">
      <c r="A149" s="15"/>
      <c r="B149" s="449"/>
      <c r="C149" s="450"/>
      <c r="D149" s="31"/>
      <c r="E149" s="37"/>
      <c r="F149" s="31"/>
      <c r="G149" s="29"/>
      <c r="H149" s="31"/>
      <c r="I149" s="31"/>
      <c r="J149" s="9"/>
      <c r="K149" s="11"/>
      <c r="L149" s="11"/>
      <c r="M149" s="15"/>
      <c r="N149" s="15"/>
      <c r="O149" s="15"/>
      <c r="P149" s="15"/>
      <c r="Q149" s="15"/>
      <c r="R149" s="15"/>
      <c r="S149" s="15"/>
      <c r="T149" s="15"/>
      <c r="U149" s="15"/>
      <c r="V149" s="15"/>
      <c r="W149" s="15"/>
      <c r="X149" s="15"/>
      <c r="Y149" s="15"/>
      <c r="Z149" s="15"/>
      <c r="AA149" s="15"/>
      <c r="AB149" s="15"/>
      <c r="AC149" s="15"/>
      <c r="AD149" s="15"/>
      <c r="AE149" s="15"/>
      <c r="AF149" s="15"/>
    </row>
    <row r="150" ht="15.75" customHeight="1">
      <c r="A150" s="15"/>
      <c r="B150" s="449"/>
      <c r="C150" s="450"/>
      <c r="D150" s="31"/>
      <c r="E150" s="37"/>
      <c r="F150" s="30"/>
      <c r="G150" s="29"/>
      <c r="H150" s="30"/>
      <c r="I150" s="31"/>
      <c r="J150" s="9"/>
      <c r="K150" s="11"/>
      <c r="L150" s="11"/>
      <c r="M150" s="15"/>
      <c r="N150" s="15"/>
      <c r="O150" s="15"/>
      <c r="P150" s="15"/>
      <c r="Q150" s="15"/>
      <c r="R150" s="15"/>
      <c r="S150" s="15"/>
      <c r="T150" s="15"/>
      <c r="U150" s="15"/>
      <c r="V150" s="15"/>
      <c r="W150" s="15"/>
      <c r="X150" s="15"/>
      <c r="Y150" s="15"/>
      <c r="Z150" s="15"/>
      <c r="AA150" s="15"/>
      <c r="AB150" s="15"/>
      <c r="AC150" s="15"/>
      <c r="AD150" s="15"/>
      <c r="AE150" s="15"/>
      <c r="AF150" s="15"/>
    </row>
    <row r="151" ht="15.75" customHeight="1">
      <c r="A151" s="15"/>
      <c r="B151" s="449"/>
      <c r="C151" s="450"/>
      <c r="D151" s="31"/>
      <c r="E151" s="37"/>
      <c r="F151" s="37"/>
      <c r="G151" s="29"/>
      <c r="H151" s="30"/>
      <c r="I151" s="9"/>
      <c r="J151" s="9"/>
      <c r="K151" s="11"/>
      <c r="L151" s="11"/>
      <c r="M151" s="15"/>
      <c r="N151" s="15"/>
      <c r="O151" s="15"/>
      <c r="P151" s="15"/>
      <c r="Q151" s="15"/>
      <c r="R151" s="15"/>
      <c r="S151" s="15"/>
      <c r="T151" s="15"/>
      <c r="U151" s="15"/>
      <c r="V151" s="15"/>
      <c r="W151" s="15"/>
      <c r="X151" s="15"/>
      <c r="Y151" s="15"/>
      <c r="Z151" s="15"/>
      <c r="AA151" s="15"/>
      <c r="AB151" s="15"/>
      <c r="AC151" s="15"/>
      <c r="AD151" s="15"/>
      <c r="AE151" s="15"/>
      <c r="AF151" s="15"/>
    </row>
    <row r="152" ht="15.75" customHeight="1">
      <c r="A152" s="15"/>
      <c r="B152" s="449"/>
      <c r="C152" s="450"/>
      <c r="D152" s="31"/>
      <c r="E152" s="31"/>
      <c r="F152" s="31"/>
      <c r="G152" s="29"/>
      <c r="H152" s="31"/>
      <c r="I152" s="9"/>
      <c r="J152" s="9"/>
      <c r="K152" s="11"/>
      <c r="L152" s="11"/>
      <c r="M152" s="15"/>
      <c r="N152" s="15"/>
      <c r="O152" s="15"/>
      <c r="P152" s="15"/>
      <c r="Q152" s="15"/>
      <c r="R152" s="15"/>
      <c r="S152" s="15"/>
      <c r="T152" s="15"/>
      <c r="U152" s="15"/>
      <c r="V152" s="15"/>
      <c r="W152" s="15"/>
      <c r="X152" s="15"/>
      <c r="Y152" s="15"/>
      <c r="Z152" s="15"/>
      <c r="AA152" s="15"/>
      <c r="AB152" s="15"/>
      <c r="AC152" s="15"/>
      <c r="AD152" s="15"/>
      <c r="AE152" s="15"/>
      <c r="AF152" s="15"/>
    </row>
    <row r="153" ht="15.75" customHeight="1">
      <c r="A153" s="15"/>
      <c r="B153" s="449"/>
      <c r="C153" s="450"/>
      <c r="D153" s="31"/>
      <c r="E153" s="31"/>
      <c r="F153" s="31"/>
      <c r="G153" s="29"/>
      <c r="H153" s="31"/>
      <c r="I153" s="9"/>
      <c r="J153" s="9"/>
      <c r="K153" s="11"/>
      <c r="L153" s="11"/>
      <c r="M153" s="15"/>
      <c r="N153" s="15"/>
      <c r="O153" s="15"/>
      <c r="P153" s="15"/>
      <c r="Q153" s="15"/>
      <c r="R153" s="15"/>
      <c r="S153" s="15"/>
      <c r="T153" s="15"/>
      <c r="U153" s="15"/>
      <c r="V153" s="15"/>
      <c r="W153" s="15"/>
      <c r="X153" s="15"/>
      <c r="Y153" s="15"/>
      <c r="Z153" s="15"/>
      <c r="AA153" s="15"/>
      <c r="AB153" s="15"/>
      <c r="AC153" s="15"/>
      <c r="AD153" s="15"/>
      <c r="AE153" s="15"/>
      <c r="AF153" s="15"/>
    </row>
    <row r="154" ht="15.75" customHeight="1">
      <c r="A154" s="15"/>
      <c r="B154" s="449"/>
      <c r="C154" s="450"/>
      <c r="D154" s="31"/>
      <c r="E154" s="31"/>
      <c r="F154" s="31"/>
      <c r="G154" s="29"/>
      <c r="H154" s="31"/>
      <c r="I154" s="9"/>
      <c r="J154" s="9"/>
      <c r="K154" s="11"/>
      <c r="L154" s="11"/>
      <c r="M154" s="15"/>
      <c r="N154" s="15"/>
      <c r="O154" s="15"/>
      <c r="P154" s="15"/>
      <c r="Q154" s="15"/>
      <c r="R154" s="15"/>
      <c r="S154" s="15"/>
      <c r="T154" s="15"/>
      <c r="U154" s="15"/>
      <c r="V154" s="15"/>
      <c r="W154" s="15"/>
      <c r="X154" s="15"/>
      <c r="Y154" s="15"/>
      <c r="Z154" s="15"/>
      <c r="AA154" s="15"/>
      <c r="AB154" s="15"/>
      <c r="AC154" s="15"/>
      <c r="AD154" s="15"/>
      <c r="AE154" s="15"/>
      <c r="AF154" s="15"/>
    </row>
    <row r="155" ht="15.75" customHeight="1">
      <c r="A155" s="15"/>
      <c r="B155" s="449"/>
      <c r="C155" s="450"/>
      <c r="D155" s="31"/>
      <c r="E155" s="31"/>
      <c r="F155" s="31"/>
      <c r="G155" s="29"/>
      <c r="H155" s="31"/>
      <c r="I155" s="9"/>
      <c r="J155" s="9"/>
      <c r="K155" s="11"/>
      <c r="L155" s="11"/>
      <c r="M155" s="15"/>
      <c r="N155" s="15"/>
      <c r="O155" s="15"/>
      <c r="P155" s="15"/>
      <c r="Q155" s="15"/>
      <c r="R155" s="15"/>
      <c r="S155" s="15"/>
      <c r="T155" s="15"/>
      <c r="U155" s="15"/>
      <c r="V155" s="15"/>
      <c r="W155" s="15"/>
      <c r="X155" s="15"/>
      <c r="Y155" s="15"/>
      <c r="Z155" s="15"/>
      <c r="AA155" s="15"/>
      <c r="AB155" s="15"/>
      <c r="AC155" s="15"/>
      <c r="AD155" s="15"/>
      <c r="AE155" s="15"/>
      <c r="AF155" s="15"/>
    </row>
    <row r="156" ht="15.75" customHeight="1">
      <c r="A156" s="15"/>
      <c r="B156" s="449"/>
      <c r="C156" s="450"/>
      <c r="D156" s="31"/>
      <c r="E156" s="31"/>
      <c r="F156" s="31"/>
      <c r="G156" s="29"/>
      <c r="H156" s="31"/>
      <c r="I156" s="9"/>
      <c r="J156" s="9"/>
      <c r="K156" s="11"/>
      <c r="L156" s="11"/>
      <c r="M156" s="15"/>
      <c r="N156" s="15"/>
      <c r="O156" s="15"/>
      <c r="P156" s="15"/>
      <c r="Q156" s="15"/>
      <c r="R156" s="15"/>
      <c r="S156" s="15"/>
      <c r="T156" s="15"/>
      <c r="U156" s="15"/>
      <c r="V156" s="15"/>
      <c r="W156" s="15"/>
      <c r="X156" s="15"/>
      <c r="Y156" s="15"/>
      <c r="Z156" s="15"/>
      <c r="AA156" s="15"/>
      <c r="AB156" s="15"/>
      <c r="AC156" s="15"/>
      <c r="AD156" s="15"/>
      <c r="AE156" s="15"/>
      <c r="AF156" s="15"/>
    </row>
    <row r="157" ht="15.75" customHeight="1">
      <c r="A157" s="15"/>
      <c r="B157" s="449"/>
      <c r="C157" s="450"/>
      <c r="D157" s="31"/>
      <c r="E157" s="37"/>
      <c r="F157" s="31"/>
      <c r="G157" s="29"/>
      <c r="H157" s="31"/>
      <c r="I157" s="9"/>
      <c r="J157" s="9"/>
      <c r="K157" s="11"/>
      <c r="L157" s="11"/>
      <c r="M157" s="15"/>
      <c r="N157" s="15"/>
      <c r="O157" s="15"/>
      <c r="P157" s="15"/>
      <c r="Q157" s="15"/>
      <c r="R157" s="15"/>
      <c r="S157" s="15"/>
      <c r="T157" s="15"/>
      <c r="U157" s="15"/>
      <c r="V157" s="15"/>
      <c r="W157" s="15"/>
      <c r="X157" s="15"/>
      <c r="Y157" s="15"/>
      <c r="Z157" s="15"/>
      <c r="AA157" s="15"/>
      <c r="AB157" s="15"/>
      <c r="AC157" s="15"/>
      <c r="AD157" s="15"/>
      <c r="AE157" s="15"/>
      <c r="AF157" s="15"/>
    </row>
    <row r="158" ht="15.75" customHeight="1">
      <c r="A158" s="15"/>
      <c r="B158" s="449"/>
      <c r="C158" s="450"/>
      <c r="D158" s="31"/>
      <c r="E158" s="37"/>
      <c r="F158" s="30"/>
      <c r="G158" s="29"/>
      <c r="H158" s="30"/>
      <c r="I158" s="9"/>
      <c r="J158" s="9"/>
      <c r="K158" s="11"/>
      <c r="L158" s="11"/>
      <c r="M158" s="15"/>
      <c r="N158" s="15"/>
      <c r="O158" s="15"/>
      <c r="P158" s="15"/>
      <c r="Q158" s="15"/>
      <c r="R158" s="15"/>
      <c r="S158" s="15"/>
      <c r="T158" s="15"/>
      <c r="U158" s="15"/>
      <c r="V158" s="15"/>
      <c r="W158" s="15"/>
      <c r="X158" s="15"/>
      <c r="Y158" s="15"/>
      <c r="Z158" s="15"/>
      <c r="AA158" s="15"/>
      <c r="AB158" s="15"/>
      <c r="AC158" s="15"/>
      <c r="AD158" s="15"/>
      <c r="AE158" s="15"/>
      <c r="AF158" s="15"/>
    </row>
    <row r="159" ht="15.75" customHeight="1">
      <c r="A159" s="15"/>
      <c r="B159" s="449"/>
      <c r="C159" s="450"/>
      <c r="D159" s="31"/>
      <c r="E159" s="37"/>
      <c r="F159" s="37"/>
      <c r="G159" s="29"/>
      <c r="H159" s="30"/>
      <c r="I159" s="9"/>
      <c r="J159" s="9"/>
      <c r="K159" s="11"/>
      <c r="L159" s="11"/>
      <c r="M159" s="15"/>
      <c r="N159" s="15"/>
      <c r="O159" s="15"/>
      <c r="P159" s="15"/>
      <c r="Q159" s="15"/>
      <c r="R159" s="15"/>
      <c r="S159" s="15"/>
      <c r="T159" s="15"/>
      <c r="U159" s="15"/>
      <c r="V159" s="15"/>
      <c r="W159" s="15"/>
      <c r="X159" s="15"/>
      <c r="Y159" s="15"/>
      <c r="Z159" s="15"/>
      <c r="AA159" s="15"/>
      <c r="AB159" s="15"/>
      <c r="AC159" s="15"/>
      <c r="AD159" s="15"/>
      <c r="AE159" s="15"/>
      <c r="AF159" s="15"/>
    </row>
    <row r="160" ht="15.75" customHeight="1">
      <c r="A160" s="15"/>
      <c r="B160" s="449"/>
      <c r="C160" s="450"/>
      <c r="D160" s="31"/>
      <c r="E160" s="31"/>
      <c r="F160" s="31"/>
      <c r="G160" s="29"/>
      <c r="H160" s="31"/>
      <c r="I160" s="9"/>
      <c r="J160" s="9"/>
      <c r="K160" s="11"/>
      <c r="L160" s="11"/>
      <c r="M160" s="15"/>
      <c r="N160" s="15"/>
      <c r="O160" s="15"/>
      <c r="P160" s="15"/>
      <c r="Q160" s="15"/>
      <c r="R160" s="15"/>
      <c r="S160" s="15"/>
      <c r="T160" s="15"/>
      <c r="U160" s="15"/>
      <c r="V160" s="15"/>
      <c r="W160" s="15"/>
      <c r="X160" s="15"/>
      <c r="Y160" s="15"/>
      <c r="Z160" s="15"/>
      <c r="AA160" s="15"/>
      <c r="AB160" s="15"/>
      <c r="AC160" s="15"/>
      <c r="AD160" s="15"/>
      <c r="AE160" s="15"/>
      <c r="AF160" s="15"/>
    </row>
    <row r="161" ht="15.75" customHeight="1">
      <c r="A161" s="15"/>
      <c r="B161" s="449"/>
      <c r="C161" s="450"/>
      <c r="D161" s="31"/>
      <c r="E161" s="31"/>
      <c r="F161" s="31"/>
      <c r="G161" s="29"/>
      <c r="H161" s="31"/>
      <c r="I161" s="9"/>
      <c r="J161" s="9"/>
      <c r="K161" s="11"/>
      <c r="L161" s="11"/>
      <c r="M161" s="15"/>
      <c r="N161" s="15"/>
      <c r="O161" s="15"/>
      <c r="P161" s="15"/>
      <c r="Q161" s="15"/>
      <c r="R161" s="15"/>
      <c r="S161" s="15"/>
      <c r="T161" s="15"/>
      <c r="U161" s="15"/>
      <c r="V161" s="15"/>
      <c r="W161" s="15"/>
      <c r="X161" s="15"/>
      <c r="Y161" s="15"/>
      <c r="Z161" s="15"/>
      <c r="AA161" s="15"/>
      <c r="AB161" s="15"/>
      <c r="AC161" s="15"/>
      <c r="AD161" s="15"/>
      <c r="AE161" s="15"/>
      <c r="AF161" s="15"/>
    </row>
    <row r="162" ht="15.75" customHeight="1">
      <c r="A162" s="15"/>
      <c r="B162" s="449"/>
      <c r="C162" s="450"/>
      <c r="D162" s="31"/>
      <c r="E162" s="31"/>
      <c r="F162" s="31"/>
      <c r="G162" s="29"/>
      <c r="H162" s="31"/>
      <c r="I162" s="9"/>
      <c r="J162" s="9"/>
      <c r="K162" s="11"/>
      <c r="L162" s="11"/>
      <c r="M162" s="15"/>
      <c r="N162" s="15"/>
      <c r="O162" s="15"/>
      <c r="P162" s="15"/>
      <c r="Q162" s="15"/>
      <c r="R162" s="15"/>
      <c r="S162" s="15"/>
      <c r="T162" s="15"/>
      <c r="U162" s="15"/>
      <c r="V162" s="15"/>
      <c r="W162" s="15"/>
      <c r="X162" s="15"/>
      <c r="Y162" s="15"/>
      <c r="Z162" s="15"/>
      <c r="AA162" s="15"/>
      <c r="AB162" s="15"/>
      <c r="AC162" s="15"/>
      <c r="AD162" s="15"/>
      <c r="AE162" s="15"/>
      <c r="AF162" s="15"/>
    </row>
    <row r="163" ht="15.75" customHeight="1">
      <c r="A163" s="15"/>
      <c r="B163" s="449"/>
      <c r="C163" s="450"/>
      <c r="D163" s="31"/>
      <c r="E163" s="31"/>
      <c r="F163" s="31"/>
      <c r="G163" s="29"/>
      <c r="H163" s="31"/>
      <c r="I163" s="9"/>
      <c r="J163" s="9"/>
      <c r="K163" s="11"/>
      <c r="L163" s="11"/>
      <c r="M163" s="15"/>
      <c r="N163" s="15"/>
      <c r="O163" s="15"/>
      <c r="P163" s="15"/>
      <c r="Q163" s="15"/>
      <c r="R163" s="15"/>
      <c r="S163" s="15"/>
      <c r="T163" s="15"/>
      <c r="U163" s="15"/>
      <c r="V163" s="15"/>
      <c r="W163" s="15"/>
      <c r="X163" s="15"/>
      <c r="Y163" s="15"/>
      <c r="Z163" s="15"/>
      <c r="AA163" s="15"/>
      <c r="AB163" s="15"/>
      <c r="AC163" s="15"/>
      <c r="AD163" s="15"/>
      <c r="AE163" s="15"/>
      <c r="AF163" s="15"/>
    </row>
    <row r="164" ht="15.75" customHeight="1">
      <c r="A164" s="15"/>
      <c r="B164" s="449"/>
      <c r="C164" s="450"/>
      <c r="D164" s="31"/>
      <c r="E164" s="37"/>
      <c r="F164" s="31"/>
      <c r="G164" s="29"/>
      <c r="H164" s="31"/>
      <c r="I164" s="31"/>
      <c r="J164" s="9"/>
      <c r="K164" s="11"/>
      <c r="L164" s="11"/>
      <c r="M164" s="15"/>
      <c r="N164" s="15"/>
      <c r="O164" s="15"/>
      <c r="P164" s="15"/>
      <c r="Q164" s="15"/>
      <c r="R164" s="15"/>
      <c r="S164" s="15"/>
      <c r="T164" s="15"/>
      <c r="U164" s="15"/>
      <c r="V164" s="15"/>
      <c r="W164" s="15"/>
      <c r="X164" s="15"/>
      <c r="Y164" s="15"/>
      <c r="Z164" s="15"/>
      <c r="AA164" s="15"/>
      <c r="AB164" s="15"/>
      <c r="AC164" s="15"/>
      <c r="AD164" s="15"/>
      <c r="AE164" s="15"/>
      <c r="AF164" s="15"/>
    </row>
    <row r="165" ht="15.75" customHeight="1">
      <c r="A165" s="15"/>
      <c r="B165" s="449"/>
      <c r="C165" s="450"/>
      <c r="D165" s="31"/>
      <c r="E165" s="37"/>
      <c r="F165" s="30"/>
      <c r="G165" s="29"/>
      <c r="H165" s="30"/>
      <c r="I165" s="31"/>
      <c r="J165" s="9"/>
      <c r="K165" s="11"/>
      <c r="L165" s="11"/>
      <c r="M165" s="15"/>
      <c r="N165" s="15"/>
      <c r="O165" s="15"/>
      <c r="P165" s="15"/>
      <c r="Q165" s="15"/>
      <c r="R165" s="15"/>
      <c r="S165" s="15"/>
      <c r="T165" s="15"/>
      <c r="U165" s="15"/>
      <c r="V165" s="15"/>
      <c r="W165" s="15"/>
      <c r="X165" s="15"/>
      <c r="Y165" s="15"/>
      <c r="Z165" s="15"/>
      <c r="AA165" s="15"/>
      <c r="AB165" s="15"/>
      <c r="AC165" s="15"/>
      <c r="AD165" s="15"/>
      <c r="AE165" s="15"/>
      <c r="AF165" s="15"/>
    </row>
    <row r="166" ht="15.75" customHeight="1">
      <c r="A166" s="15"/>
      <c r="B166" s="449"/>
      <c r="C166" s="450"/>
      <c r="D166" s="31"/>
      <c r="E166" s="37"/>
      <c r="F166" s="37"/>
      <c r="G166" s="29"/>
      <c r="H166" s="30"/>
      <c r="I166" s="9"/>
      <c r="J166" s="9"/>
      <c r="K166" s="11"/>
      <c r="L166" s="11"/>
      <c r="M166" s="15"/>
      <c r="N166" s="15"/>
      <c r="O166" s="15"/>
      <c r="P166" s="15"/>
      <c r="Q166" s="15"/>
      <c r="R166" s="15"/>
      <c r="S166" s="15"/>
      <c r="T166" s="15"/>
      <c r="U166" s="15"/>
      <c r="V166" s="15"/>
      <c r="W166" s="15"/>
      <c r="X166" s="15"/>
      <c r="Y166" s="15"/>
      <c r="Z166" s="15"/>
      <c r="AA166" s="15"/>
      <c r="AB166" s="15"/>
      <c r="AC166" s="15"/>
      <c r="AD166" s="15"/>
      <c r="AE166" s="15"/>
      <c r="AF166" s="15"/>
    </row>
    <row r="167" ht="15.75" customHeight="1">
      <c r="A167" s="15"/>
      <c r="B167" s="449"/>
      <c r="C167" s="450"/>
      <c r="D167" s="31"/>
      <c r="E167" s="31"/>
      <c r="F167" s="31"/>
      <c r="G167" s="29"/>
      <c r="H167" s="31"/>
      <c r="I167" s="9"/>
      <c r="J167" s="9"/>
      <c r="K167" s="11"/>
      <c r="L167" s="11"/>
      <c r="M167" s="15"/>
      <c r="N167" s="15"/>
      <c r="O167" s="15"/>
      <c r="P167" s="15"/>
      <c r="Q167" s="15"/>
      <c r="R167" s="15"/>
      <c r="S167" s="15"/>
      <c r="T167" s="15"/>
      <c r="U167" s="15"/>
      <c r="V167" s="15"/>
      <c r="W167" s="15"/>
      <c r="X167" s="15"/>
      <c r="Y167" s="15"/>
      <c r="Z167" s="15"/>
      <c r="AA167" s="15"/>
      <c r="AB167" s="15"/>
      <c r="AC167" s="15"/>
      <c r="AD167" s="15"/>
      <c r="AE167" s="15"/>
      <c r="AF167" s="15"/>
    </row>
    <row r="168" ht="15.75" customHeight="1">
      <c r="A168" s="15"/>
      <c r="B168" s="449"/>
      <c r="C168" s="450"/>
      <c r="D168" s="31"/>
      <c r="E168" s="31"/>
      <c r="F168" s="31"/>
      <c r="G168" s="29"/>
      <c r="H168" s="31"/>
      <c r="I168" s="9"/>
      <c r="J168" s="9"/>
      <c r="K168" s="11"/>
      <c r="L168" s="11"/>
      <c r="M168" s="15"/>
      <c r="N168" s="15"/>
      <c r="O168" s="15"/>
      <c r="P168" s="15"/>
      <c r="Q168" s="15"/>
      <c r="R168" s="15"/>
      <c r="S168" s="15"/>
      <c r="T168" s="15"/>
      <c r="U168" s="15"/>
      <c r="V168" s="15"/>
      <c r="W168" s="15"/>
      <c r="X168" s="15"/>
      <c r="Y168" s="15"/>
      <c r="Z168" s="15"/>
      <c r="AA168" s="15"/>
      <c r="AB168" s="15"/>
      <c r="AC168" s="15"/>
      <c r="AD168" s="15"/>
      <c r="AE168" s="15"/>
      <c r="AF168" s="15"/>
    </row>
    <row r="169" ht="15.75" customHeight="1">
      <c r="A169" s="15"/>
      <c r="B169" s="449"/>
      <c r="C169" s="450"/>
      <c r="D169" s="31"/>
      <c r="E169" s="31"/>
      <c r="F169" s="31"/>
      <c r="G169" s="29"/>
      <c r="H169" s="31"/>
      <c r="I169" s="9"/>
      <c r="J169" s="9"/>
      <c r="K169" s="11"/>
      <c r="L169" s="11"/>
      <c r="M169" s="15"/>
      <c r="N169" s="15"/>
      <c r="O169" s="15"/>
      <c r="P169" s="15"/>
      <c r="Q169" s="15"/>
      <c r="R169" s="15"/>
      <c r="S169" s="15"/>
      <c r="T169" s="15"/>
      <c r="U169" s="15"/>
      <c r="V169" s="15"/>
      <c r="W169" s="15"/>
      <c r="X169" s="15"/>
      <c r="Y169" s="15"/>
      <c r="Z169" s="15"/>
      <c r="AA169" s="15"/>
      <c r="AB169" s="15"/>
      <c r="AC169" s="15"/>
      <c r="AD169" s="15"/>
      <c r="AE169" s="15"/>
      <c r="AF169" s="15"/>
    </row>
    <row r="170" ht="15.75" customHeight="1">
      <c r="A170" s="15"/>
      <c r="B170" s="449"/>
      <c r="C170" s="450"/>
      <c r="D170" s="31"/>
      <c r="E170" s="31"/>
      <c r="F170" s="31"/>
      <c r="G170" s="29"/>
      <c r="H170" s="31"/>
      <c r="I170" s="9"/>
      <c r="J170" s="9"/>
      <c r="K170" s="11"/>
      <c r="L170" s="11"/>
      <c r="M170" s="15"/>
      <c r="N170" s="15"/>
      <c r="O170" s="15"/>
      <c r="P170" s="15"/>
      <c r="Q170" s="15"/>
      <c r="R170" s="15"/>
      <c r="S170" s="15"/>
      <c r="T170" s="15"/>
      <c r="U170" s="15"/>
      <c r="V170" s="15"/>
      <c r="W170" s="15"/>
      <c r="X170" s="15"/>
      <c r="Y170" s="15"/>
      <c r="Z170" s="15"/>
      <c r="AA170" s="15"/>
      <c r="AB170" s="15"/>
      <c r="AC170" s="15"/>
      <c r="AD170" s="15"/>
      <c r="AE170" s="15"/>
      <c r="AF170" s="15"/>
    </row>
    <row r="171" ht="15.75" customHeight="1">
      <c r="A171" s="15"/>
      <c r="B171" s="449"/>
      <c r="C171" s="450"/>
      <c r="D171" s="31"/>
      <c r="E171" s="31"/>
      <c r="F171" s="31"/>
      <c r="G171" s="29"/>
      <c r="H171" s="31"/>
      <c r="I171" s="9"/>
      <c r="J171" s="9"/>
      <c r="K171" s="11"/>
      <c r="L171" s="11"/>
      <c r="M171" s="15"/>
      <c r="N171" s="15"/>
      <c r="O171" s="15"/>
      <c r="P171" s="15"/>
      <c r="Q171" s="15"/>
      <c r="R171" s="15"/>
      <c r="S171" s="15"/>
      <c r="T171" s="15"/>
      <c r="U171" s="15"/>
      <c r="V171" s="15"/>
      <c r="W171" s="15"/>
      <c r="X171" s="15"/>
      <c r="Y171" s="15"/>
      <c r="Z171" s="15"/>
      <c r="AA171" s="15"/>
      <c r="AB171" s="15"/>
      <c r="AC171" s="15"/>
      <c r="AD171" s="15"/>
      <c r="AE171" s="15"/>
      <c r="AF171" s="15"/>
    </row>
    <row r="172" ht="15.75" customHeight="1">
      <c r="A172" s="15"/>
      <c r="B172" s="449"/>
      <c r="C172" s="450"/>
      <c r="D172" s="31"/>
      <c r="E172" s="37"/>
      <c r="F172" s="31"/>
      <c r="G172" s="29"/>
      <c r="H172" s="31"/>
      <c r="I172" s="31"/>
      <c r="J172" s="9"/>
      <c r="K172" s="11"/>
      <c r="L172" s="11"/>
      <c r="M172" s="15"/>
      <c r="N172" s="15"/>
      <c r="O172" s="15"/>
      <c r="P172" s="15"/>
      <c r="Q172" s="15"/>
      <c r="R172" s="15"/>
      <c r="S172" s="15"/>
      <c r="T172" s="15"/>
      <c r="U172" s="15"/>
      <c r="V172" s="15"/>
      <c r="W172" s="15"/>
      <c r="X172" s="15"/>
      <c r="Y172" s="15"/>
      <c r="Z172" s="15"/>
      <c r="AA172" s="15"/>
      <c r="AB172" s="15"/>
      <c r="AC172" s="15"/>
      <c r="AD172" s="15"/>
      <c r="AE172" s="15"/>
      <c r="AF172" s="15"/>
    </row>
    <row r="173" ht="15.75" customHeight="1">
      <c r="A173" s="15"/>
      <c r="B173" s="449"/>
      <c r="C173" s="450"/>
      <c r="D173" s="31"/>
      <c r="E173" s="37"/>
      <c r="F173" s="30"/>
      <c r="G173" s="29"/>
      <c r="H173" s="30"/>
      <c r="I173" s="31"/>
      <c r="J173" s="9"/>
      <c r="K173" s="11"/>
      <c r="L173" s="11"/>
      <c r="M173" s="15"/>
      <c r="N173" s="15"/>
      <c r="O173" s="15"/>
      <c r="P173" s="15"/>
      <c r="Q173" s="15"/>
      <c r="R173" s="15"/>
      <c r="S173" s="15"/>
      <c r="T173" s="15"/>
      <c r="U173" s="15"/>
      <c r="V173" s="15"/>
      <c r="W173" s="15"/>
      <c r="X173" s="15"/>
      <c r="Y173" s="15"/>
      <c r="Z173" s="15"/>
      <c r="AA173" s="15"/>
      <c r="AB173" s="15"/>
      <c r="AC173" s="15"/>
      <c r="AD173" s="15"/>
      <c r="AE173" s="15"/>
      <c r="AF173" s="15"/>
    </row>
    <row r="174" ht="15.75" customHeight="1">
      <c r="A174" s="15"/>
      <c r="B174" s="449"/>
      <c r="C174" s="450"/>
      <c r="D174" s="31"/>
      <c r="E174" s="45"/>
      <c r="F174" s="45"/>
      <c r="G174" s="42"/>
      <c r="H174" s="51"/>
      <c r="I174" s="9"/>
      <c r="J174" s="9"/>
      <c r="K174" s="11"/>
      <c r="L174" s="11"/>
      <c r="M174" s="15"/>
      <c r="N174" s="15"/>
      <c r="O174" s="15"/>
      <c r="P174" s="15"/>
      <c r="Q174" s="15"/>
      <c r="R174" s="15"/>
      <c r="S174" s="15"/>
      <c r="T174" s="15"/>
      <c r="U174" s="15"/>
      <c r="V174" s="15"/>
      <c r="W174" s="15"/>
      <c r="X174" s="15"/>
      <c r="Y174" s="15"/>
      <c r="Z174" s="15"/>
      <c r="AA174" s="15"/>
      <c r="AB174" s="15"/>
      <c r="AC174" s="15"/>
      <c r="AD174" s="15"/>
      <c r="AE174" s="15"/>
      <c r="AF174" s="15"/>
    </row>
    <row r="175" ht="15.75" customHeight="1">
      <c r="A175" s="15"/>
      <c r="B175" s="449"/>
      <c r="C175" s="450"/>
      <c r="D175" s="31"/>
      <c r="E175" s="9"/>
      <c r="F175" s="9"/>
      <c r="G175" s="42"/>
      <c r="H175" s="9"/>
      <c r="I175" s="9"/>
      <c r="J175" s="9"/>
      <c r="K175" s="11"/>
      <c r="L175" s="11"/>
      <c r="M175" s="15"/>
      <c r="N175" s="15"/>
      <c r="O175" s="15"/>
      <c r="P175" s="15"/>
      <c r="Q175" s="15"/>
      <c r="R175" s="15"/>
      <c r="S175" s="15"/>
      <c r="T175" s="15"/>
      <c r="U175" s="15"/>
      <c r="V175" s="15"/>
      <c r="W175" s="15"/>
      <c r="X175" s="15"/>
      <c r="Y175" s="15"/>
      <c r="Z175" s="15"/>
      <c r="AA175" s="15"/>
      <c r="AB175" s="15"/>
      <c r="AC175" s="15"/>
      <c r="AD175" s="15"/>
      <c r="AE175" s="15"/>
      <c r="AF175" s="15"/>
    </row>
    <row r="176" ht="15.75" customHeight="1">
      <c r="A176" s="15"/>
      <c r="B176" s="449"/>
      <c r="C176" s="450"/>
      <c r="D176" s="31"/>
      <c r="E176" s="9"/>
      <c r="F176" s="9"/>
      <c r="G176" s="42"/>
      <c r="H176" s="9"/>
      <c r="I176" s="9"/>
      <c r="J176" s="9"/>
      <c r="K176" s="11"/>
      <c r="L176" s="11"/>
      <c r="M176" s="15"/>
      <c r="N176" s="15"/>
      <c r="O176" s="15"/>
      <c r="P176" s="15"/>
      <c r="Q176" s="15"/>
      <c r="R176" s="15"/>
      <c r="S176" s="15"/>
      <c r="T176" s="15"/>
      <c r="U176" s="15"/>
      <c r="V176" s="15"/>
      <c r="W176" s="15"/>
      <c r="X176" s="15"/>
      <c r="Y176" s="15"/>
      <c r="Z176" s="15"/>
      <c r="AA176" s="15"/>
      <c r="AB176" s="15"/>
      <c r="AC176" s="15"/>
      <c r="AD176" s="15"/>
      <c r="AE176" s="15"/>
      <c r="AF176" s="15"/>
    </row>
    <row r="177" ht="15.75" customHeight="1">
      <c r="A177" s="15"/>
      <c r="B177" s="75"/>
      <c r="C177" s="209"/>
      <c r="D177" s="9"/>
      <c r="E177" s="45"/>
      <c r="F177" s="9"/>
      <c r="G177" s="9"/>
      <c r="H177" s="9"/>
      <c r="I177" s="9"/>
      <c r="J177" s="9"/>
      <c r="K177" s="11"/>
      <c r="L177" s="11"/>
      <c r="M177" s="15"/>
      <c r="N177" s="15"/>
      <c r="O177" s="15"/>
      <c r="P177" s="15"/>
      <c r="Q177" s="15"/>
      <c r="R177" s="15"/>
      <c r="S177" s="15"/>
      <c r="T177" s="15"/>
      <c r="U177" s="15"/>
      <c r="V177" s="15"/>
      <c r="W177" s="15"/>
      <c r="X177" s="15"/>
      <c r="Y177" s="15"/>
      <c r="Z177" s="15"/>
      <c r="AA177" s="15"/>
      <c r="AB177" s="15"/>
      <c r="AC177" s="15"/>
      <c r="AD177" s="15"/>
      <c r="AE177" s="15"/>
      <c r="AF177" s="15"/>
    </row>
    <row r="178" ht="15.75" customHeight="1">
      <c r="A178" s="15"/>
      <c r="B178" s="75"/>
      <c r="C178" s="9"/>
      <c r="D178" s="9"/>
      <c r="E178" s="9"/>
      <c r="F178" s="9"/>
      <c r="G178" s="9"/>
      <c r="H178" s="9"/>
      <c r="I178" s="9"/>
      <c r="J178" s="9"/>
      <c r="K178" s="11"/>
      <c r="L178" s="11"/>
      <c r="M178" s="15"/>
      <c r="N178" s="15"/>
      <c r="O178" s="15"/>
      <c r="P178" s="15"/>
      <c r="Q178" s="15"/>
      <c r="R178" s="15"/>
      <c r="S178" s="15"/>
      <c r="T178" s="15"/>
      <c r="U178" s="15"/>
      <c r="V178" s="15"/>
      <c r="W178" s="15"/>
      <c r="X178" s="15"/>
      <c r="Y178" s="15"/>
      <c r="Z178" s="15"/>
      <c r="AA178" s="15"/>
      <c r="AB178" s="15"/>
      <c r="AC178" s="15"/>
      <c r="AD178" s="15"/>
      <c r="AE178" s="15"/>
      <c r="AF178" s="15"/>
    </row>
    <row r="179" ht="15.75" customHeight="1">
      <c r="A179" s="15"/>
      <c r="B179" s="75"/>
      <c r="C179" s="9"/>
      <c r="D179" s="9"/>
      <c r="E179" s="9"/>
      <c r="F179" s="9"/>
      <c r="G179" s="9"/>
      <c r="H179" s="9"/>
      <c r="I179" s="9"/>
      <c r="J179" s="9"/>
      <c r="K179" s="11"/>
      <c r="L179" s="11"/>
      <c r="M179" s="15"/>
      <c r="N179" s="15"/>
      <c r="O179" s="15"/>
      <c r="P179" s="15"/>
      <c r="Q179" s="15"/>
      <c r="R179" s="15"/>
      <c r="S179" s="15"/>
      <c r="T179" s="15"/>
      <c r="U179" s="15"/>
      <c r="V179" s="15"/>
      <c r="W179" s="15"/>
      <c r="X179" s="15"/>
      <c r="Y179" s="15"/>
      <c r="Z179" s="15"/>
      <c r="AA179" s="15"/>
      <c r="AB179" s="15"/>
      <c r="AC179" s="15"/>
      <c r="AD179" s="15"/>
      <c r="AE179" s="15"/>
      <c r="AF179" s="15"/>
    </row>
    <row r="180" ht="15.75" customHeight="1">
      <c r="A180" s="15"/>
      <c r="B180" s="75"/>
      <c r="C180" s="9"/>
      <c r="D180" s="9"/>
      <c r="E180" s="9"/>
      <c r="F180" s="9"/>
      <c r="G180" s="9"/>
      <c r="H180" s="9"/>
      <c r="I180" s="9"/>
      <c r="J180" s="9"/>
      <c r="K180" s="11"/>
      <c r="L180" s="11"/>
      <c r="M180" s="15"/>
      <c r="N180" s="15"/>
      <c r="O180" s="15"/>
      <c r="P180" s="15"/>
      <c r="Q180" s="15"/>
      <c r="R180" s="15"/>
      <c r="S180" s="15"/>
      <c r="T180" s="15"/>
      <c r="U180" s="15"/>
      <c r="V180" s="15"/>
      <c r="W180" s="15"/>
      <c r="X180" s="15"/>
      <c r="Y180" s="15"/>
      <c r="Z180" s="15"/>
      <c r="AA180" s="15"/>
      <c r="AB180" s="15"/>
      <c r="AC180" s="15"/>
      <c r="AD180" s="15"/>
      <c r="AE180" s="15"/>
      <c r="AF180" s="15"/>
    </row>
    <row r="181" ht="15.75" customHeight="1">
      <c r="A181" s="15"/>
      <c r="B181" s="75"/>
      <c r="C181" s="209"/>
      <c r="D181" s="9"/>
      <c r="E181" s="45"/>
      <c r="F181" s="9"/>
      <c r="G181" s="9"/>
      <c r="H181" s="9"/>
      <c r="I181" s="9"/>
      <c r="J181" s="9"/>
      <c r="K181" s="11"/>
      <c r="L181" s="11"/>
      <c r="M181" s="15"/>
      <c r="N181" s="15"/>
      <c r="O181" s="15"/>
      <c r="P181" s="15"/>
      <c r="Q181" s="15"/>
      <c r="R181" s="15"/>
      <c r="S181" s="15"/>
      <c r="T181" s="15"/>
      <c r="U181" s="15"/>
      <c r="V181" s="15"/>
      <c r="W181" s="15"/>
      <c r="X181" s="15"/>
      <c r="Y181" s="15"/>
      <c r="Z181" s="15"/>
      <c r="AA181" s="15"/>
      <c r="AB181" s="15"/>
      <c r="AC181" s="15"/>
      <c r="AD181" s="15"/>
      <c r="AE181" s="15"/>
      <c r="AF181" s="15"/>
    </row>
    <row r="182" ht="15.75" customHeight="1">
      <c r="A182" s="15"/>
      <c r="B182" s="75"/>
      <c r="C182" s="50"/>
      <c r="D182" s="50"/>
      <c r="E182" s="9"/>
      <c r="F182" s="9"/>
      <c r="G182" s="42"/>
      <c r="H182" s="9"/>
      <c r="I182" s="9"/>
      <c r="J182" s="9"/>
      <c r="K182" s="11"/>
      <c r="L182" s="11"/>
      <c r="M182" s="15"/>
      <c r="N182" s="15"/>
      <c r="O182" s="15"/>
      <c r="P182" s="15"/>
      <c r="Q182" s="15"/>
      <c r="R182" s="15"/>
      <c r="S182" s="15"/>
      <c r="T182" s="15"/>
      <c r="U182" s="15"/>
      <c r="V182" s="15"/>
      <c r="W182" s="15"/>
      <c r="X182" s="15"/>
      <c r="Y182" s="15"/>
      <c r="Z182" s="15"/>
      <c r="AA182" s="15"/>
      <c r="AB182" s="15"/>
      <c r="AC182" s="15"/>
      <c r="AD182" s="15"/>
      <c r="AE182" s="15"/>
      <c r="AF182" s="15"/>
    </row>
    <row r="183" ht="15.75" customHeight="1">
      <c r="A183" s="15"/>
      <c r="B183" s="75"/>
      <c r="C183" s="50"/>
      <c r="D183" s="50"/>
      <c r="E183" s="9"/>
      <c r="F183" s="9"/>
      <c r="G183" s="42"/>
      <c r="H183" s="9"/>
      <c r="I183" s="9"/>
      <c r="J183" s="9"/>
      <c r="K183" s="11"/>
      <c r="L183" s="11"/>
      <c r="M183" s="15"/>
      <c r="N183" s="15"/>
      <c r="O183" s="15"/>
      <c r="P183" s="15"/>
      <c r="Q183" s="15"/>
      <c r="R183" s="15"/>
      <c r="S183" s="15"/>
      <c r="T183" s="15"/>
      <c r="U183" s="15"/>
      <c r="V183" s="15"/>
      <c r="W183" s="15"/>
      <c r="X183" s="15"/>
      <c r="Y183" s="15"/>
      <c r="Z183" s="15"/>
      <c r="AA183" s="15"/>
      <c r="AB183" s="15"/>
      <c r="AC183" s="15"/>
      <c r="AD183" s="15"/>
      <c r="AE183" s="15"/>
      <c r="AF183" s="15"/>
    </row>
    <row r="184" ht="15.75" customHeight="1">
      <c r="A184" s="15"/>
      <c r="B184" s="75"/>
      <c r="C184" s="50"/>
      <c r="D184" s="50"/>
      <c r="E184" s="9"/>
      <c r="F184" s="9"/>
      <c r="G184" s="42"/>
      <c r="H184" s="9"/>
      <c r="I184" s="9"/>
      <c r="J184" s="9"/>
      <c r="K184" s="11"/>
      <c r="L184" s="11"/>
      <c r="M184" s="15"/>
      <c r="N184" s="15"/>
      <c r="O184" s="15"/>
      <c r="P184" s="15"/>
      <c r="Q184" s="15"/>
      <c r="R184" s="15"/>
      <c r="S184" s="15"/>
      <c r="T184" s="15"/>
      <c r="U184" s="15"/>
      <c r="V184" s="15"/>
      <c r="W184" s="15"/>
      <c r="X184" s="15"/>
      <c r="Y184" s="15"/>
      <c r="Z184" s="15"/>
      <c r="AA184" s="15"/>
      <c r="AB184" s="15"/>
      <c r="AC184" s="15"/>
      <c r="AD184" s="15"/>
      <c r="AE184" s="15"/>
      <c r="AF184" s="15"/>
    </row>
    <row r="185" ht="15.75" customHeight="1">
      <c r="A185" s="15"/>
      <c r="B185" s="75"/>
      <c r="C185" s="50"/>
      <c r="D185" s="50"/>
      <c r="E185" s="45"/>
      <c r="F185" s="9"/>
      <c r="G185" s="42"/>
      <c r="H185" s="9"/>
      <c r="I185" s="9"/>
      <c r="J185" s="9"/>
      <c r="K185" s="11"/>
      <c r="L185" s="11"/>
      <c r="M185" s="15"/>
      <c r="N185" s="15"/>
      <c r="O185" s="15"/>
      <c r="P185" s="15"/>
      <c r="Q185" s="15"/>
      <c r="R185" s="15"/>
      <c r="S185" s="15"/>
      <c r="T185" s="15"/>
      <c r="U185" s="15"/>
      <c r="V185" s="15"/>
      <c r="W185" s="15"/>
      <c r="X185" s="15"/>
      <c r="Y185" s="15"/>
      <c r="Z185" s="15"/>
      <c r="AA185" s="15"/>
      <c r="AB185" s="15"/>
      <c r="AC185" s="15"/>
      <c r="AD185" s="15"/>
      <c r="AE185" s="15"/>
      <c r="AF185" s="15"/>
    </row>
    <row r="186" ht="15.75" customHeight="1">
      <c r="A186" s="15"/>
      <c r="B186" s="75"/>
      <c r="C186" s="50"/>
      <c r="D186" s="50"/>
      <c r="E186" s="45"/>
      <c r="F186" s="51"/>
      <c r="G186" s="42"/>
      <c r="H186" s="51"/>
      <c r="I186" s="9"/>
      <c r="J186" s="9"/>
      <c r="K186" s="11"/>
      <c r="L186" s="11"/>
      <c r="M186" s="15"/>
      <c r="N186" s="15"/>
      <c r="O186" s="15"/>
      <c r="P186" s="15"/>
      <c r="Q186" s="15"/>
      <c r="R186" s="15"/>
      <c r="S186" s="15"/>
      <c r="T186" s="15"/>
      <c r="U186" s="15"/>
      <c r="V186" s="15"/>
      <c r="W186" s="15"/>
      <c r="X186" s="15"/>
      <c r="Y186" s="15"/>
      <c r="Z186" s="15"/>
      <c r="AA186" s="15"/>
      <c r="AB186" s="15"/>
      <c r="AC186" s="15"/>
      <c r="AD186" s="15"/>
      <c r="AE186" s="15"/>
      <c r="AF186" s="15"/>
    </row>
    <row r="187" ht="15.75" customHeight="1">
      <c r="A187" s="15"/>
      <c r="B187" s="75"/>
      <c r="C187" s="50"/>
      <c r="D187" s="50"/>
      <c r="E187" s="45"/>
      <c r="F187" s="45"/>
      <c r="G187" s="42"/>
      <c r="H187" s="51"/>
      <c r="I187" s="9"/>
      <c r="J187" s="9"/>
      <c r="K187" s="11"/>
      <c r="L187" s="11"/>
      <c r="M187" s="15"/>
      <c r="N187" s="15"/>
      <c r="O187" s="15"/>
      <c r="P187" s="15"/>
      <c r="Q187" s="15"/>
      <c r="R187" s="15"/>
      <c r="S187" s="15"/>
      <c r="T187" s="15"/>
      <c r="U187" s="15"/>
      <c r="V187" s="15"/>
      <c r="W187" s="15"/>
      <c r="X187" s="15"/>
      <c r="Y187" s="15"/>
      <c r="Z187" s="15"/>
      <c r="AA187" s="15"/>
      <c r="AB187" s="15"/>
      <c r="AC187" s="15"/>
      <c r="AD187" s="15"/>
      <c r="AE187" s="15"/>
      <c r="AF187" s="15"/>
    </row>
    <row r="188" ht="15.75" customHeight="1">
      <c r="A188" s="15"/>
      <c r="B188" s="75"/>
      <c r="C188" s="50"/>
      <c r="D188" s="50"/>
      <c r="E188" s="9"/>
      <c r="F188" s="9"/>
      <c r="G188" s="42"/>
      <c r="H188" s="9"/>
      <c r="I188" s="9"/>
      <c r="J188" s="9"/>
      <c r="K188" s="11"/>
      <c r="L188" s="11"/>
      <c r="M188" s="15"/>
      <c r="N188" s="15"/>
      <c r="O188" s="15"/>
      <c r="P188" s="15"/>
      <c r="Q188" s="15"/>
      <c r="R188" s="15"/>
      <c r="S188" s="15"/>
      <c r="T188" s="15"/>
      <c r="U188" s="15"/>
      <c r="V188" s="15"/>
      <c r="W188" s="15"/>
      <c r="X188" s="15"/>
      <c r="Y188" s="15"/>
      <c r="Z188" s="15"/>
      <c r="AA188" s="15"/>
      <c r="AB188" s="15"/>
      <c r="AC188" s="15"/>
      <c r="AD188" s="15"/>
      <c r="AE188" s="15"/>
      <c r="AF188" s="15"/>
    </row>
    <row r="189" ht="15.75" customHeight="1">
      <c r="A189" s="15"/>
      <c r="B189" s="75"/>
      <c r="C189" s="50"/>
      <c r="D189" s="50"/>
      <c r="E189" s="9"/>
      <c r="F189" s="9"/>
      <c r="G189" s="42"/>
      <c r="H189" s="9"/>
      <c r="I189" s="9"/>
      <c r="J189" s="9"/>
      <c r="K189" s="11"/>
      <c r="L189" s="11"/>
      <c r="M189" s="15"/>
      <c r="N189" s="15"/>
      <c r="O189" s="15"/>
      <c r="P189" s="15"/>
      <c r="Q189" s="15"/>
      <c r="R189" s="15"/>
      <c r="S189" s="15"/>
      <c r="T189" s="15"/>
      <c r="U189" s="15"/>
      <c r="V189" s="15"/>
      <c r="W189" s="15"/>
      <c r="X189" s="15"/>
      <c r="Y189" s="15"/>
      <c r="Z189" s="15"/>
      <c r="AA189" s="15"/>
      <c r="AB189" s="15"/>
      <c r="AC189" s="15"/>
      <c r="AD189" s="15"/>
      <c r="AE189" s="15"/>
      <c r="AF189" s="15"/>
    </row>
    <row r="190" ht="15.75" customHeight="1">
      <c r="A190" s="15"/>
      <c r="B190" s="75"/>
      <c r="C190" s="50"/>
      <c r="D190" s="50"/>
      <c r="E190" s="9"/>
      <c r="F190" s="9"/>
      <c r="G190" s="42"/>
      <c r="H190" s="9"/>
      <c r="I190" s="9"/>
      <c r="J190" s="9"/>
      <c r="K190" s="11"/>
      <c r="L190" s="11"/>
      <c r="M190" s="15"/>
      <c r="N190" s="15"/>
      <c r="O190" s="15"/>
      <c r="P190" s="15"/>
      <c r="Q190" s="15"/>
      <c r="R190" s="15"/>
      <c r="S190" s="15"/>
      <c r="T190" s="15"/>
      <c r="U190" s="15"/>
      <c r="V190" s="15"/>
      <c r="W190" s="15"/>
      <c r="X190" s="15"/>
      <c r="Y190" s="15"/>
      <c r="Z190" s="15"/>
      <c r="AA190" s="15"/>
      <c r="AB190" s="15"/>
      <c r="AC190" s="15"/>
      <c r="AD190" s="15"/>
      <c r="AE190" s="15"/>
      <c r="AF190" s="15"/>
    </row>
    <row r="191" ht="15.75" customHeight="1">
      <c r="A191" s="15"/>
      <c r="B191" s="75"/>
      <c r="C191" s="50"/>
      <c r="D191" s="50"/>
      <c r="E191" s="9"/>
      <c r="F191" s="9"/>
      <c r="G191" s="42"/>
      <c r="H191" s="9"/>
      <c r="I191" s="9"/>
      <c r="J191" s="9"/>
      <c r="K191" s="11"/>
      <c r="L191" s="11"/>
      <c r="M191" s="15"/>
      <c r="N191" s="15"/>
      <c r="O191" s="15"/>
      <c r="P191" s="15"/>
      <c r="Q191" s="15"/>
      <c r="R191" s="15"/>
      <c r="S191" s="15"/>
      <c r="T191" s="15"/>
      <c r="U191" s="15"/>
      <c r="V191" s="15"/>
      <c r="W191" s="15"/>
      <c r="X191" s="15"/>
      <c r="Y191" s="15"/>
      <c r="Z191" s="15"/>
      <c r="AA191" s="15"/>
      <c r="AB191" s="15"/>
      <c r="AC191" s="15"/>
      <c r="AD191" s="15"/>
      <c r="AE191" s="15"/>
      <c r="AF191" s="15"/>
    </row>
    <row r="192" ht="15.75" customHeight="1">
      <c r="A192" s="15"/>
      <c r="B192" s="75"/>
      <c r="C192" s="50"/>
      <c r="D192" s="50"/>
      <c r="E192" s="9"/>
      <c r="F192" s="9"/>
      <c r="G192" s="42"/>
      <c r="H192" s="9"/>
      <c r="I192" s="9"/>
      <c r="J192" s="9"/>
      <c r="K192" s="11"/>
      <c r="L192" s="11"/>
      <c r="M192" s="15"/>
      <c r="N192" s="15"/>
      <c r="O192" s="15"/>
      <c r="P192" s="15"/>
      <c r="Q192" s="15"/>
      <c r="R192" s="15"/>
      <c r="S192" s="15"/>
      <c r="T192" s="15"/>
      <c r="U192" s="15"/>
      <c r="V192" s="15"/>
      <c r="W192" s="15"/>
      <c r="X192" s="15"/>
      <c r="Y192" s="15"/>
      <c r="Z192" s="15"/>
      <c r="AA192" s="15"/>
      <c r="AB192" s="15"/>
      <c r="AC192" s="15"/>
      <c r="AD192" s="15"/>
      <c r="AE192" s="15"/>
      <c r="AF192" s="15"/>
    </row>
    <row r="193" ht="15.75" customHeight="1">
      <c r="A193" s="15"/>
      <c r="B193" s="75"/>
      <c r="C193" s="50"/>
      <c r="D193" s="50"/>
      <c r="E193" s="45"/>
      <c r="F193" s="9"/>
      <c r="G193" s="42"/>
      <c r="H193" s="9"/>
      <c r="I193" s="9"/>
      <c r="J193" s="9"/>
      <c r="K193" s="11"/>
      <c r="L193" s="11"/>
      <c r="M193" s="15"/>
      <c r="N193" s="15"/>
      <c r="O193" s="15"/>
      <c r="P193" s="15"/>
      <c r="Q193" s="15"/>
      <c r="R193" s="15"/>
      <c r="S193" s="15"/>
      <c r="T193" s="15"/>
      <c r="U193" s="15"/>
      <c r="V193" s="15"/>
      <c r="W193" s="15"/>
      <c r="X193" s="15"/>
      <c r="Y193" s="15"/>
      <c r="Z193" s="15"/>
      <c r="AA193" s="15"/>
      <c r="AB193" s="15"/>
      <c r="AC193" s="15"/>
      <c r="AD193" s="15"/>
      <c r="AE193" s="15"/>
      <c r="AF193" s="15"/>
    </row>
    <row r="194" ht="15.75" customHeight="1">
      <c r="A194" s="15"/>
      <c r="B194" s="75"/>
      <c r="C194" s="50"/>
      <c r="D194" s="50"/>
      <c r="E194" s="45"/>
      <c r="F194" s="51"/>
      <c r="G194" s="42"/>
      <c r="H194" s="51"/>
      <c r="I194" s="9"/>
      <c r="J194" s="9"/>
      <c r="K194" s="11"/>
      <c r="L194" s="11"/>
      <c r="M194" s="15"/>
      <c r="N194" s="15"/>
      <c r="O194" s="15"/>
      <c r="P194" s="15"/>
      <c r="Q194" s="15"/>
      <c r="R194" s="15"/>
      <c r="S194" s="15"/>
      <c r="T194" s="15"/>
      <c r="U194" s="15"/>
      <c r="V194" s="15"/>
      <c r="W194" s="15"/>
      <c r="X194" s="15"/>
      <c r="Y194" s="15"/>
      <c r="Z194" s="15"/>
      <c r="AA194" s="15"/>
      <c r="AB194" s="15"/>
      <c r="AC194" s="15"/>
      <c r="AD194" s="15"/>
      <c r="AE194" s="15"/>
      <c r="AF194" s="15"/>
    </row>
    <row r="195" ht="15.75" customHeight="1">
      <c r="A195" s="15"/>
      <c r="B195" s="75"/>
      <c r="C195" s="50"/>
      <c r="D195" s="50"/>
      <c r="E195" s="45"/>
      <c r="F195" s="45"/>
      <c r="G195" s="42"/>
      <c r="H195" s="51"/>
      <c r="I195" s="9"/>
      <c r="J195" s="9"/>
      <c r="K195" s="11"/>
      <c r="L195" s="11"/>
      <c r="M195" s="15"/>
      <c r="N195" s="15"/>
      <c r="O195" s="15"/>
      <c r="P195" s="15"/>
      <c r="Q195" s="15"/>
      <c r="R195" s="15"/>
      <c r="S195" s="15"/>
      <c r="T195" s="15"/>
      <c r="U195" s="15"/>
      <c r="V195" s="15"/>
      <c r="W195" s="15"/>
      <c r="X195" s="15"/>
      <c r="Y195" s="15"/>
      <c r="Z195" s="15"/>
      <c r="AA195" s="15"/>
      <c r="AB195" s="15"/>
      <c r="AC195" s="15"/>
      <c r="AD195" s="15"/>
      <c r="AE195" s="15"/>
      <c r="AF195" s="15"/>
    </row>
    <row r="196" ht="15.75" customHeight="1">
      <c r="A196" s="15"/>
      <c r="B196" s="75"/>
      <c r="C196" s="50"/>
      <c r="D196" s="50"/>
      <c r="E196" s="9"/>
      <c r="F196" s="9"/>
      <c r="G196" s="42"/>
      <c r="H196" s="9"/>
      <c r="I196" s="9"/>
      <c r="J196" s="9"/>
      <c r="K196" s="11"/>
      <c r="L196" s="11"/>
      <c r="M196" s="15"/>
      <c r="N196" s="15"/>
      <c r="O196" s="15"/>
      <c r="P196" s="15"/>
      <c r="Q196" s="15"/>
      <c r="R196" s="15"/>
      <c r="S196" s="15"/>
      <c r="T196" s="15"/>
      <c r="U196" s="15"/>
      <c r="V196" s="15"/>
      <c r="W196" s="15"/>
      <c r="X196" s="15"/>
      <c r="Y196" s="15"/>
      <c r="Z196" s="15"/>
      <c r="AA196" s="15"/>
      <c r="AB196" s="15"/>
      <c r="AC196" s="15"/>
      <c r="AD196" s="15"/>
      <c r="AE196" s="15"/>
      <c r="AF196" s="15"/>
    </row>
    <row r="197" ht="15.75" customHeight="1">
      <c r="A197" s="15"/>
      <c r="B197" s="75"/>
      <c r="C197" s="50"/>
      <c r="D197" s="50"/>
      <c r="E197" s="9"/>
      <c r="F197" s="9"/>
      <c r="G197" s="42"/>
      <c r="H197" s="9"/>
      <c r="I197" s="9"/>
      <c r="J197" s="9"/>
      <c r="K197" s="11"/>
      <c r="L197" s="11"/>
      <c r="M197" s="15"/>
      <c r="N197" s="15"/>
      <c r="O197" s="15"/>
      <c r="P197" s="15"/>
      <c r="Q197" s="15"/>
      <c r="R197" s="15"/>
      <c r="S197" s="15"/>
      <c r="T197" s="15"/>
      <c r="U197" s="15"/>
      <c r="V197" s="15"/>
      <c r="W197" s="15"/>
      <c r="X197" s="15"/>
      <c r="Y197" s="15"/>
      <c r="Z197" s="15"/>
      <c r="AA197" s="15"/>
      <c r="AB197" s="15"/>
      <c r="AC197" s="15"/>
      <c r="AD197" s="15"/>
      <c r="AE197" s="15"/>
      <c r="AF197" s="15"/>
    </row>
    <row r="198" ht="15.75" customHeight="1">
      <c r="A198" s="15"/>
      <c r="B198" s="75"/>
      <c r="C198" s="50"/>
      <c r="D198" s="50"/>
      <c r="E198" s="9"/>
      <c r="F198" s="9"/>
      <c r="G198" s="42"/>
      <c r="H198" s="9"/>
      <c r="I198" s="9"/>
      <c r="J198" s="9"/>
      <c r="K198" s="11"/>
      <c r="L198" s="11"/>
      <c r="M198" s="15"/>
      <c r="N198" s="15"/>
      <c r="O198" s="15"/>
      <c r="P198" s="15"/>
      <c r="Q198" s="15"/>
      <c r="R198" s="15"/>
      <c r="S198" s="15"/>
      <c r="T198" s="15"/>
      <c r="U198" s="15"/>
      <c r="V198" s="15"/>
      <c r="W198" s="15"/>
      <c r="X198" s="15"/>
      <c r="Y198" s="15"/>
      <c r="Z198" s="15"/>
      <c r="AA198" s="15"/>
      <c r="AB198" s="15"/>
      <c r="AC198" s="15"/>
      <c r="AD198" s="15"/>
      <c r="AE198" s="15"/>
      <c r="AF198" s="15"/>
    </row>
    <row r="199" ht="15.75" customHeight="1">
      <c r="A199" s="15"/>
      <c r="B199" s="75"/>
      <c r="C199" s="50"/>
      <c r="D199" s="50"/>
      <c r="E199" s="9"/>
      <c r="F199" s="9"/>
      <c r="G199" s="42"/>
      <c r="H199" s="9"/>
      <c r="I199" s="9"/>
      <c r="J199" s="9"/>
      <c r="K199" s="11"/>
      <c r="L199" s="11"/>
      <c r="M199" s="15"/>
      <c r="N199" s="15"/>
      <c r="O199" s="15"/>
      <c r="P199" s="15"/>
      <c r="Q199" s="15"/>
      <c r="R199" s="15"/>
      <c r="S199" s="15"/>
      <c r="T199" s="15"/>
      <c r="U199" s="15"/>
      <c r="V199" s="15"/>
      <c r="W199" s="15"/>
      <c r="X199" s="15"/>
      <c r="Y199" s="15"/>
      <c r="Z199" s="15"/>
      <c r="AA199" s="15"/>
      <c r="AB199" s="15"/>
      <c r="AC199" s="15"/>
      <c r="AD199" s="15"/>
      <c r="AE199" s="15"/>
      <c r="AF199" s="15"/>
    </row>
    <row r="200" ht="15.75" customHeight="1">
      <c r="A200" s="15"/>
      <c r="B200" s="75"/>
      <c r="C200" s="50"/>
      <c r="D200" s="50"/>
      <c r="E200" s="9"/>
      <c r="F200" s="9"/>
      <c r="G200" s="42"/>
      <c r="H200" s="9"/>
      <c r="I200" s="9"/>
      <c r="J200" s="9"/>
      <c r="K200" s="11"/>
      <c r="L200" s="11"/>
      <c r="M200" s="15"/>
      <c r="N200" s="15"/>
      <c r="O200" s="15"/>
      <c r="P200" s="15"/>
      <c r="Q200" s="15"/>
      <c r="R200" s="15"/>
      <c r="S200" s="15"/>
      <c r="T200" s="15"/>
      <c r="U200" s="15"/>
      <c r="V200" s="15"/>
      <c r="W200" s="15"/>
      <c r="X200" s="15"/>
      <c r="Y200" s="15"/>
      <c r="Z200" s="15"/>
      <c r="AA200" s="15"/>
      <c r="AB200" s="15"/>
      <c r="AC200" s="15"/>
      <c r="AD200" s="15"/>
      <c r="AE200" s="15"/>
      <c r="AF200" s="15"/>
    </row>
    <row r="201" ht="15.75" customHeight="1">
      <c r="A201" s="15"/>
      <c r="B201" s="75"/>
      <c r="C201" s="50"/>
      <c r="D201" s="50"/>
      <c r="E201" s="45"/>
      <c r="F201" s="9"/>
      <c r="G201" s="42"/>
      <c r="H201" s="9"/>
      <c r="I201" s="9"/>
      <c r="J201" s="9"/>
      <c r="K201" s="11"/>
      <c r="L201" s="11"/>
      <c r="M201" s="15"/>
      <c r="N201" s="15"/>
      <c r="O201" s="15"/>
      <c r="P201" s="15"/>
      <c r="Q201" s="15"/>
      <c r="R201" s="15"/>
      <c r="S201" s="15"/>
      <c r="T201" s="15"/>
      <c r="U201" s="15"/>
      <c r="V201" s="15"/>
      <c r="W201" s="15"/>
      <c r="X201" s="15"/>
      <c r="Y201" s="15"/>
      <c r="Z201" s="15"/>
      <c r="AA201" s="15"/>
      <c r="AB201" s="15"/>
      <c r="AC201" s="15"/>
      <c r="AD201" s="15"/>
      <c r="AE201" s="15"/>
      <c r="AF201" s="15"/>
    </row>
    <row r="202" ht="15.75" customHeight="1">
      <c r="A202" s="15"/>
      <c r="B202" s="75"/>
      <c r="C202" s="50"/>
      <c r="D202" s="50"/>
      <c r="E202" s="45"/>
      <c r="F202" s="51"/>
      <c r="G202" s="42"/>
      <c r="H202" s="51"/>
      <c r="I202" s="9"/>
      <c r="J202" s="9"/>
      <c r="K202" s="11"/>
      <c r="L202" s="11"/>
      <c r="M202" s="15"/>
      <c r="N202" s="15"/>
      <c r="O202" s="15"/>
      <c r="P202" s="15"/>
      <c r="Q202" s="15"/>
      <c r="R202" s="15"/>
      <c r="S202" s="15"/>
      <c r="T202" s="15"/>
      <c r="U202" s="15"/>
      <c r="V202" s="15"/>
      <c r="W202" s="15"/>
      <c r="X202" s="15"/>
      <c r="Y202" s="15"/>
      <c r="Z202" s="15"/>
      <c r="AA202" s="15"/>
      <c r="AB202" s="15"/>
      <c r="AC202" s="15"/>
      <c r="AD202" s="15"/>
      <c r="AE202" s="15"/>
      <c r="AF202" s="15"/>
    </row>
    <row r="203" ht="15.75" customHeight="1">
      <c r="A203" s="15"/>
      <c r="B203" s="75"/>
      <c r="C203" s="50"/>
      <c r="D203" s="50"/>
      <c r="E203" s="37"/>
      <c r="F203" s="37"/>
      <c r="G203" s="29"/>
      <c r="H203" s="30"/>
      <c r="I203" s="9"/>
      <c r="J203" s="9"/>
      <c r="K203" s="11"/>
      <c r="L203" s="11"/>
      <c r="M203" s="15"/>
      <c r="N203" s="15"/>
      <c r="O203" s="15"/>
      <c r="P203" s="15"/>
      <c r="Q203" s="15"/>
      <c r="R203" s="15"/>
      <c r="S203" s="15"/>
      <c r="T203" s="15"/>
      <c r="U203" s="15"/>
      <c r="V203" s="15"/>
      <c r="W203" s="15"/>
      <c r="X203" s="15"/>
      <c r="Y203" s="15"/>
      <c r="Z203" s="15"/>
      <c r="AA203" s="15"/>
      <c r="AB203" s="15"/>
      <c r="AC203" s="15"/>
      <c r="AD203" s="15"/>
      <c r="AE203" s="15"/>
      <c r="AF203" s="15"/>
    </row>
    <row r="204" ht="15.75" customHeight="1">
      <c r="A204" s="15"/>
      <c r="B204" s="75"/>
      <c r="C204" s="50"/>
      <c r="D204" s="50"/>
      <c r="E204" s="31"/>
      <c r="F204" s="31"/>
      <c r="G204" s="29"/>
      <c r="H204" s="31"/>
      <c r="I204" s="9"/>
      <c r="J204" s="9"/>
      <c r="K204" s="11"/>
      <c r="L204" s="11"/>
      <c r="M204" s="15"/>
      <c r="N204" s="15"/>
      <c r="O204" s="15"/>
      <c r="P204" s="15"/>
      <c r="Q204" s="15"/>
      <c r="R204" s="15"/>
      <c r="S204" s="15"/>
      <c r="T204" s="15"/>
      <c r="U204" s="15"/>
      <c r="V204" s="15"/>
      <c r="W204" s="15"/>
      <c r="X204" s="15"/>
      <c r="Y204" s="15"/>
      <c r="Z204" s="15"/>
      <c r="AA204" s="15"/>
      <c r="AB204" s="15"/>
      <c r="AC204" s="15"/>
      <c r="AD204" s="15"/>
      <c r="AE204" s="15"/>
      <c r="AF204" s="15"/>
    </row>
    <row r="205" ht="15.75" customHeight="1">
      <c r="A205" s="15"/>
      <c r="B205" s="75"/>
      <c r="C205" s="50"/>
      <c r="D205" s="50"/>
      <c r="E205" s="31"/>
      <c r="F205" s="31"/>
      <c r="G205" s="29"/>
      <c r="H205" s="31"/>
      <c r="I205" s="9"/>
      <c r="J205" s="9"/>
      <c r="K205" s="11"/>
      <c r="L205" s="11"/>
      <c r="M205" s="15"/>
      <c r="N205" s="15"/>
      <c r="O205" s="15"/>
      <c r="P205" s="15"/>
      <c r="Q205" s="15"/>
      <c r="R205" s="15"/>
      <c r="S205" s="15"/>
      <c r="T205" s="15"/>
      <c r="U205" s="15"/>
      <c r="V205" s="15"/>
      <c r="W205" s="15"/>
      <c r="X205" s="15"/>
      <c r="Y205" s="15"/>
      <c r="Z205" s="15"/>
      <c r="AA205" s="15"/>
      <c r="AB205" s="15"/>
      <c r="AC205" s="15"/>
      <c r="AD205" s="15"/>
      <c r="AE205" s="15"/>
      <c r="AF205" s="15"/>
    </row>
    <row r="206" ht="15.75" customHeight="1">
      <c r="A206" s="15"/>
      <c r="B206" s="449"/>
      <c r="C206" s="450"/>
      <c r="D206" s="31"/>
      <c r="E206" s="31"/>
      <c r="F206" s="31"/>
      <c r="G206" s="29"/>
      <c r="H206" s="31"/>
      <c r="I206" s="9"/>
      <c r="J206" s="9"/>
      <c r="K206" s="11"/>
      <c r="L206" s="11"/>
      <c r="M206" s="15"/>
      <c r="N206" s="15"/>
      <c r="O206" s="15"/>
      <c r="P206" s="15"/>
      <c r="Q206" s="15"/>
      <c r="R206" s="15"/>
      <c r="S206" s="15"/>
      <c r="T206" s="15"/>
      <c r="U206" s="15"/>
      <c r="V206" s="15"/>
      <c r="W206" s="15"/>
      <c r="X206" s="15"/>
      <c r="Y206" s="15"/>
      <c r="Z206" s="15"/>
      <c r="AA206" s="15"/>
      <c r="AB206" s="15"/>
      <c r="AC206" s="15"/>
      <c r="AD206" s="15"/>
      <c r="AE206" s="15"/>
      <c r="AF206" s="15"/>
    </row>
    <row r="207" ht="15.75" customHeight="1">
      <c r="A207" s="15"/>
      <c r="B207" s="449"/>
      <c r="C207" s="450"/>
      <c r="D207" s="31"/>
      <c r="E207" s="31"/>
      <c r="F207" s="31"/>
      <c r="G207" s="29"/>
      <c r="H207" s="31"/>
      <c r="I207" s="9"/>
      <c r="J207" s="9"/>
      <c r="K207" s="11"/>
      <c r="L207" s="11"/>
      <c r="M207" s="15"/>
      <c r="N207" s="15"/>
      <c r="O207" s="15"/>
      <c r="P207" s="15"/>
      <c r="Q207" s="15"/>
      <c r="R207" s="15"/>
      <c r="S207" s="15"/>
      <c r="T207" s="15"/>
      <c r="U207" s="15"/>
      <c r="V207" s="15"/>
      <c r="W207" s="15"/>
      <c r="X207" s="15"/>
      <c r="Y207" s="15"/>
      <c r="Z207" s="15"/>
      <c r="AA207" s="15"/>
      <c r="AB207" s="15"/>
      <c r="AC207" s="15"/>
      <c r="AD207" s="15"/>
      <c r="AE207" s="15"/>
      <c r="AF207" s="15"/>
    </row>
    <row r="208" ht="15.75" customHeight="1">
      <c r="A208" s="15"/>
      <c r="B208" s="449"/>
      <c r="C208" s="450"/>
      <c r="D208" s="31"/>
      <c r="E208" s="31"/>
      <c r="F208" s="31"/>
      <c r="G208" s="29"/>
      <c r="H208" s="31"/>
      <c r="I208" s="9"/>
      <c r="J208" s="9"/>
      <c r="K208" s="11"/>
      <c r="L208" s="11"/>
      <c r="M208" s="15"/>
      <c r="N208" s="15"/>
      <c r="O208" s="15"/>
      <c r="P208" s="15"/>
      <c r="Q208" s="15"/>
      <c r="R208" s="15"/>
      <c r="S208" s="15"/>
      <c r="T208" s="15"/>
      <c r="U208" s="15"/>
      <c r="V208" s="15"/>
      <c r="W208" s="15"/>
      <c r="X208" s="15"/>
      <c r="Y208" s="15"/>
      <c r="Z208" s="15"/>
      <c r="AA208" s="15"/>
      <c r="AB208" s="15"/>
      <c r="AC208" s="15"/>
      <c r="AD208" s="15"/>
      <c r="AE208" s="15"/>
      <c r="AF208" s="15"/>
    </row>
    <row r="209" ht="15.75" customHeight="1">
      <c r="A209" s="15"/>
      <c r="B209" s="449"/>
      <c r="C209" s="450"/>
      <c r="D209" s="31"/>
      <c r="E209" s="37"/>
      <c r="F209" s="31"/>
      <c r="G209" s="29"/>
      <c r="H209" s="31"/>
      <c r="I209" s="9"/>
      <c r="J209" s="9"/>
      <c r="K209" s="11"/>
      <c r="L209" s="11"/>
      <c r="M209" s="15"/>
      <c r="N209" s="15"/>
      <c r="O209" s="15"/>
      <c r="P209" s="15"/>
      <c r="Q209" s="15"/>
      <c r="R209" s="15"/>
      <c r="S209" s="15"/>
      <c r="T209" s="15"/>
      <c r="U209" s="15"/>
      <c r="V209" s="15"/>
      <c r="W209" s="15"/>
      <c r="X209" s="15"/>
      <c r="Y209" s="15"/>
      <c r="Z209" s="15"/>
      <c r="AA209" s="15"/>
      <c r="AB209" s="15"/>
      <c r="AC209" s="15"/>
      <c r="AD209" s="15"/>
      <c r="AE209" s="15"/>
      <c r="AF209" s="15"/>
    </row>
    <row r="210" ht="15.75" customHeight="1">
      <c r="A210" s="15"/>
      <c r="B210" s="449"/>
      <c r="C210" s="450"/>
      <c r="D210" s="31"/>
      <c r="E210" s="37"/>
      <c r="F210" s="30"/>
      <c r="G210" s="29"/>
      <c r="H210" s="30"/>
      <c r="I210" s="9"/>
      <c r="J210" s="9"/>
      <c r="K210" s="11"/>
      <c r="L210" s="11"/>
      <c r="M210" s="15"/>
      <c r="N210" s="15"/>
      <c r="O210" s="15"/>
      <c r="P210" s="15"/>
      <c r="Q210" s="15"/>
      <c r="R210" s="15"/>
      <c r="S210" s="15"/>
      <c r="T210" s="15"/>
      <c r="U210" s="15"/>
      <c r="V210" s="15"/>
      <c r="W210" s="15"/>
      <c r="X210" s="15"/>
      <c r="Y210" s="15"/>
      <c r="Z210" s="15"/>
      <c r="AA210" s="15"/>
      <c r="AB210" s="15"/>
      <c r="AC210" s="15"/>
      <c r="AD210" s="15"/>
      <c r="AE210" s="15"/>
      <c r="AF210" s="15"/>
    </row>
    <row r="211" ht="15.75" customHeight="1">
      <c r="A211" s="15"/>
      <c r="B211" s="449"/>
      <c r="C211" s="450"/>
      <c r="D211" s="31"/>
      <c r="E211" s="37"/>
      <c r="F211" s="37"/>
      <c r="G211" s="29"/>
      <c r="H211" s="30"/>
      <c r="I211" s="31"/>
      <c r="J211" s="9"/>
      <c r="K211" s="11"/>
      <c r="L211" s="11"/>
      <c r="M211" s="15"/>
      <c r="N211" s="15"/>
      <c r="O211" s="15"/>
      <c r="P211" s="15"/>
      <c r="Q211" s="15"/>
      <c r="R211" s="15"/>
      <c r="S211" s="15"/>
      <c r="T211" s="15"/>
      <c r="U211" s="15"/>
      <c r="V211" s="15"/>
      <c r="W211" s="15"/>
      <c r="X211" s="15"/>
      <c r="Y211" s="15"/>
      <c r="Z211" s="15"/>
      <c r="AA211" s="15"/>
      <c r="AB211" s="15"/>
      <c r="AC211" s="15"/>
      <c r="AD211" s="15"/>
      <c r="AE211" s="15"/>
      <c r="AF211" s="15"/>
    </row>
    <row r="212" ht="15.75" customHeight="1">
      <c r="A212" s="15"/>
      <c r="B212" s="449"/>
      <c r="C212" s="450"/>
      <c r="D212" s="31"/>
      <c r="E212" s="31"/>
      <c r="F212" s="31"/>
      <c r="G212" s="29"/>
      <c r="H212" s="31"/>
      <c r="I212" s="31"/>
      <c r="J212" s="9"/>
      <c r="K212" s="11"/>
      <c r="L212" s="11"/>
      <c r="M212" s="15"/>
      <c r="N212" s="15"/>
      <c r="O212" s="15"/>
      <c r="P212" s="15"/>
      <c r="Q212" s="15"/>
      <c r="R212" s="15"/>
      <c r="S212" s="15"/>
      <c r="T212" s="15"/>
      <c r="U212" s="15"/>
      <c r="V212" s="15"/>
      <c r="W212" s="15"/>
      <c r="X212" s="15"/>
      <c r="Y212" s="15"/>
      <c r="Z212" s="15"/>
      <c r="AA212" s="15"/>
      <c r="AB212" s="15"/>
      <c r="AC212" s="15"/>
      <c r="AD212" s="15"/>
      <c r="AE212" s="15"/>
      <c r="AF212" s="15"/>
    </row>
    <row r="213" ht="15.75" customHeight="1">
      <c r="A213" s="15"/>
      <c r="B213" s="449"/>
      <c r="C213" s="55"/>
      <c r="D213" s="55"/>
      <c r="E213" s="31"/>
      <c r="F213" s="31"/>
      <c r="G213" s="29"/>
      <c r="H213" s="31"/>
      <c r="I213" s="9"/>
      <c r="J213" s="9"/>
      <c r="K213" s="11"/>
      <c r="L213" s="11"/>
      <c r="M213" s="15"/>
      <c r="N213" s="15"/>
      <c r="O213" s="15"/>
      <c r="P213" s="15"/>
      <c r="Q213" s="15"/>
      <c r="R213" s="15"/>
      <c r="S213" s="15"/>
      <c r="T213" s="15"/>
      <c r="U213" s="15"/>
      <c r="V213" s="15"/>
      <c r="W213" s="15"/>
      <c r="X213" s="15"/>
      <c r="Y213" s="15"/>
      <c r="Z213" s="15"/>
      <c r="AA213" s="15"/>
      <c r="AB213" s="15"/>
      <c r="AC213" s="15"/>
      <c r="AD213" s="15"/>
      <c r="AE213" s="15"/>
      <c r="AF213" s="15"/>
    </row>
    <row r="214" ht="15.75" customHeight="1">
      <c r="A214" s="15"/>
      <c r="B214" s="449"/>
      <c r="C214" s="55"/>
      <c r="D214" s="55"/>
      <c r="E214" s="31"/>
      <c r="F214" s="31"/>
      <c r="G214" s="29"/>
      <c r="H214" s="31"/>
      <c r="I214" s="9"/>
      <c r="J214" s="9"/>
      <c r="K214" s="11"/>
      <c r="L214" s="11"/>
      <c r="M214" s="15"/>
      <c r="N214" s="15"/>
      <c r="O214" s="15"/>
      <c r="P214" s="15"/>
      <c r="Q214" s="15"/>
      <c r="R214" s="15"/>
      <c r="S214" s="15"/>
      <c r="T214" s="15"/>
      <c r="U214" s="15"/>
      <c r="V214" s="15"/>
      <c r="W214" s="15"/>
      <c r="X214" s="15"/>
      <c r="Y214" s="15"/>
      <c r="Z214" s="15"/>
      <c r="AA214" s="15"/>
      <c r="AB214" s="15"/>
      <c r="AC214" s="15"/>
      <c r="AD214" s="15"/>
      <c r="AE214" s="15"/>
      <c r="AF214" s="15"/>
    </row>
    <row r="215" ht="15.75" customHeight="1">
      <c r="A215" s="15"/>
      <c r="B215" s="449"/>
      <c r="C215" s="55"/>
      <c r="D215" s="55"/>
      <c r="E215" s="31"/>
      <c r="F215" s="31"/>
      <c r="G215" s="29"/>
      <c r="H215" s="31"/>
      <c r="I215" s="9"/>
      <c r="J215" s="9"/>
      <c r="K215" s="11"/>
      <c r="L215" s="11"/>
      <c r="M215" s="15"/>
      <c r="N215" s="15"/>
      <c r="O215" s="15"/>
      <c r="P215" s="15"/>
      <c r="Q215" s="15"/>
      <c r="R215" s="15"/>
      <c r="S215" s="15"/>
      <c r="T215" s="15"/>
      <c r="U215" s="15"/>
      <c r="V215" s="15"/>
      <c r="W215" s="15"/>
      <c r="X215" s="15"/>
      <c r="Y215" s="15"/>
      <c r="Z215" s="15"/>
      <c r="AA215" s="15"/>
      <c r="AB215" s="15"/>
      <c r="AC215" s="15"/>
      <c r="AD215" s="15"/>
      <c r="AE215" s="15"/>
      <c r="AF215" s="15"/>
    </row>
    <row r="216" ht="15.75" customHeight="1">
      <c r="A216" s="15"/>
      <c r="B216" s="449"/>
      <c r="C216" s="55"/>
      <c r="D216" s="55"/>
      <c r="E216" s="37"/>
      <c r="F216" s="31"/>
      <c r="G216" s="29"/>
      <c r="H216" s="31"/>
      <c r="I216" s="9"/>
      <c r="J216" s="9"/>
      <c r="K216" s="11"/>
      <c r="L216" s="11"/>
      <c r="M216" s="15"/>
      <c r="N216" s="15"/>
      <c r="O216" s="15"/>
      <c r="P216" s="15"/>
      <c r="Q216" s="15"/>
      <c r="R216" s="15"/>
      <c r="S216" s="15"/>
      <c r="T216" s="15"/>
      <c r="U216" s="15"/>
      <c r="V216" s="15"/>
      <c r="W216" s="15"/>
      <c r="X216" s="15"/>
      <c r="Y216" s="15"/>
      <c r="Z216" s="15"/>
      <c r="AA216" s="15"/>
      <c r="AB216" s="15"/>
      <c r="AC216" s="15"/>
      <c r="AD216" s="15"/>
      <c r="AE216" s="15"/>
      <c r="AF216" s="15"/>
    </row>
    <row r="217" ht="15.75" customHeight="1">
      <c r="A217" s="15"/>
      <c r="B217" s="449"/>
      <c r="C217" s="55"/>
      <c r="D217" s="55"/>
      <c r="E217" s="37"/>
      <c r="F217" s="30"/>
      <c r="G217" s="29"/>
      <c r="H217" s="30"/>
      <c r="I217" s="9"/>
      <c r="J217" s="9"/>
      <c r="K217" s="11"/>
      <c r="L217" s="11"/>
      <c r="M217" s="15"/>
      <c r="N217" s="15"/>
      <c r="O217" s="15"/>
      <c r="P217" s="15"/>
      <c r="Q217" s="15"/>
      <c r="R217" s="15"/>
      <c r="S217" s="15"/>
      <c r="T217" s="15"/>
      <c r="U217" s="15"/>
      <c r="V217" s="15"/>
      <c r="W217" s="15"/>
      <c r="X217" s="15"/>
      <c r="Y217" s="15"/>
      <c r="Z217" s="15"/>
      <c r="AA217" s="15"/>
      <c r="AB217" s="15"/>
      <c r="AC217" s="15"/>
      <c r="AD217" s="15"/>
      <c r="AE217" s="15"/>
      <c r="AF217" s="15"/>
    </row>
    <row r="218" ht="15.75" customHeight="1">
      <c r="A218" s="15"/>
      <c r="B218" s="449"/>
      <c r="C218" s="55"/>
      <c r="D218" s="55"/>
      <c r="E218" s="37"/>
      <c r="F218" s="37"/>
      <c r="G218" s="29"/>
      <c r="H218" s="30"/>
      <c r="I218" s="9"/>
      <c r="J218" s="9"/>
      <c r="K218" s="11"/>
      <c r="L218" s="11"/>
      <c r="M218" s="15"/>
      <c r="N218" s="15"/>
      <c r="O218" s="15"/>
      <c r="P218" s="15"/>
      <c r="Q218" s="15"/>
      <c r="R218" s="15"/>
      <c r="S218" s="15"/>
      <c r="T218" s="15"/>
      <c r="U218" s="15"/>
      <c r="V218" s="15"/>
      <c r="W218" s="15"/>
      <c r="X218" s="15"/>
      <c r="Y218" s="15"/>
      <c r="Z218" s="15"/>
      <c r="AA218" s="15"/>
      <c r="AB218" s="15"/>
      <c r="AC218" s="15"/>
      <c r="AD218" s="15"/>
      <c r="AE218" s="15"/>
      <c r="AF218" s="15"/>
    </row>
    <row r="219" ht="15.75" customHeight="1">
      <c r="A219" s="15"/>
      <c r="B219" s="449"/>
      <c r="C219" s="55"/>
      <c r="D219" s="55"/>
      <c r="E219" s="31"/>
      <c r="F219" s="31"/>
      <c r="G219" s="29"/>
      <c r="H219" s="31"/>
      <c r="I219" s="31"/>
      <c r="J219" s="9"/>
      <c r="K219" s="11"/>
      <c r="L219" s="11"/>
      <c r="M219" s="15"/>
      <c r="N219" s="15"/>
      <c r="O219" s="15"/>
      <c r="P219" s="15"/>
      <c r="Q219" s="15"/>
      <c r="R219" s="15"/>
      <c r="S219" s="15"/>
      <c r="T219" s="15"/>
      <c r="U219" s="15"/>
      <c r="V219" s="15"/>
      <c r="W219" s="15"/>
      <c r="X219" s="15"/>
      <c r="Y219" s="15"/>
      <c r="Z219" s="15"/>
      <c r="AA219" s="15"/>
      <c r="AB219" s="15"/>
      <c r="AC219" s="15"/>
      <c r="AD219" s="15"/>
      <c r="AE219" s="15"/>
      <c r="AF219" s="15"/>
    </row>
    <row r="220" ht="15.75" customHeight="1">
      <c r="A220" s="15"/>
      <c r="B220" s="449"/>
      <c r="C220" s="55"/>
      <c r="D220" s="55"/>
      <c r="E220" s="31"/>
      <c r="F220" s="31"/>
      <c r="G220" s="29"/>
      <c r="H220" s="31"/>
      <c r="I220" s="31"/>
      <c r="J220" s="9"/>
      <c r="K220" s="11"/>
      <c r="L220" s="11"/>
      <c r="M220" s="15"/>
      <c r="N220" s="15"/>
      <c r="O220" s="15"/>
      <c r="P220" s="15"/>
      <c r="Q220" s="15"/>
      <c r="R220" s="15"/>
      <c r="S220" s="15"/>
      <c r="T220" s="15"/>
      <c r="U220" s="15"/>
      <c r="V220" s="15"/>
      <c r="W220" s="15"/>
      <c r="X220" s="15"/>
      <c r="Y220" s="15"/>
      <c r="Z220" s="15"/>
      <c r="AA220" s="15"/>
      <c r="AB220" s="15"/>
      <c r="AC220" s="15"/>
      <c r="AD220" s="15"/>
      <c r="AE220" s="15"/>
      <c r="AF220" s="15"/>
    </row>
    <row r="221" ht="15.75" customHeight="1">
      <c r="A221" s="15"/>
      <c r="B221" s="449"/>
      <c r="C221" s="55"/>
      <c r="D221" s="55"/>
      <c r="E221" s="31"/>
      <c r="F221" s="31"/>
      <c r="G221" s="29"/>
      <c r="H221" s="31"/>
      <c r="I221" s="9"/>
      <c r="J221" s="9"/>
      <c r="K221" s="11"/>
      <c r="L221" s="11"/>
      <c r="M221" s="15"/>
      <c r="N221" s="15"/>
      <c r="O221" s="15"/>
      <c r="P221" s="15"/>
      <c r="Q221" s="15"/>
      <c r="R221" s="15"/>
      <c r="S221" s="15"/>
      <c r="T221" s="15"/>
      <c r="U221" s="15"/>
      <c r="V221" s="15"/>
      <c r="W221" s="15"/>
      <c r="X221" s="15"/>
      <c r="Y221" s="15"/>
      <c r="Z221" s="15"/>
      <c r="AA221" s="15"/>
      <c r="AB221" s="15"/>
      <c r="AC221" s="15"/>
      <c r="AD221" s="15"/>
      <c r="AE221" s="15"/>
      <c r="AF221" s="15"/>
    </row>
    <row r="222" ht="15.75" customHeight="1">
      <c r="A222" s="15"/>
      <c r="B222" s="449"/>
      <c r="C222" s="55"/>
      <c r="D222" s="55"/>
      <c r="E222" s="31"/>
      <c r="F222" s="31"/>
      <c r="G222" s="29"/>
      <c r="H222" s="31"/>
      <c r="I222" s="9"/>
      <c r="J222" s="9"/>
      <c r="K222" s="11"/>
      <c r="L222" s="11"/>
      <c r="M222" s="15"/>
      <c r="N222" s="15"/>
      <c r="O222" s="15"/>
      <c r="P222" s="15"/>
      <c r="Q222" s="15"/>
      <c r="R222" s="15"/>
      <c r="S222" s="15"/>
      <c r="T222" s="15"/>
      <c r="U222" s="15"/>
      <c r="V222" s="15"/>
      <c r="W222" s="15"/>
      <c r="X222" s="15"/>
      <c r="Y222" s="15"/>
      <c r="Z222" s="15"/>
      <c r="AA222" s="15"/>
      <c r="AB222" s="15"/>
      <c r="AC222" s="15"/>
      <c r="AD222" s="15"/>
      <c r="AE222" s="15"/>
      <c r="AF222" s="15"/>
    </row>
    <row r="223" ht="15.75" customHeight="1">
      <c r="A223" s="15"/>
      <c r="B223" s="449"/>
      <c r="C223" s="55"/>
      <c r="D223" s="55"/>
      <c r="E223" s="31"/>
      <c r="F223" s="31"/>
      <c r="G223" s="29"/>
      <c r="H223" s="31"/>
      <c r="I223" s="9"/>
      <c r="J223" s="9"/>
      <c r="K223" s="11"/>
      <c r="L223" s="11"/>
      <c r="M223" s="15"/>
      <c r="N223" s="15"/>
      <c r="O223" s="15"/>
      <c r="P223" s="15"/>
      <c r="Q223" s="15"/>
      <c r="R223" s="15"/>
      <c r="S223" s="15"/>
      <c r="T223" s="15"/>
      <c r="U223" s="15"/>
      <c r="V223" s="15"/>
      <c r="W223" s="15"/>
      <c r="X223" s="15"/>
      <c r="Y223" s="15"/>
      <c r="Z223" s="15"/>
      <c r="AA223" s="15"/>
      <c r="AB223" s="15"/>
      <c r="AC223" s="15"/>
      <c r="AD223" s="15"/>
      <c r="AE223" s="15"/>
      <c r="AF223" s="15"/>
    </row>
    <row r="224" ht="15.75" customHeight="1">
      <c r="A224" s="15"/>
      <c r="B224" s="449"/>
      <c r="C224" s="55"/>
      <c r="D224" s="55"/>
      <c r="E224" s="37"/>
      <c r="F224" s="31"/>
      <c r="G224" s="29"/>
      <c r="H224" s="31"/>
      <c r="I224" s="9"/>
      <c r="J224" s="9"/>
      <c r="K224" s="11"/>
      <c r="L224" s="11"/>
      <c r="M224" s="15"/>
      <c r="N224" s="15"/>
      <c r="O224" s="15"/>
      <c r="P224" s="15"/>
      <c r="Q224" s="15"/>
      <c r="R224" s="15"/>
      <c r="S224" s="15"/>
      <c r="T224" s="15"/>
      <c r="U224" s="15"/>
      <c r="V224" s="15"/>
      <c r="W224" s="15"/>
      <c r="X224" s="15"/>
      <c r="Y224" s="15"/>
      <c r="Z224" s="15"/>
      <c r="AA224" s="15"/>
      <c r="AB224" s="15"/>
      <c r="AC224" s="15"/>
      <c r="AD224" s="15"/>
      <c r="AE224" s="15"/>
      <c r="AF224" s="15"/>
    </row>
    <row r="225" ht="15.75" customHeight="1">
      <c r="A225" s="15"/>
      <c r="B225" s="449"/>
      <c r="C225" s="55"/>
      <c r="D225" s="55"/>
      <c r="E225" s="37"/>
      <c r="F225" s="30"/>
      <c r="G225" s="29"/>
      <c r="H225" s="30"/>
      <c r="I225" s="9"/>
      <c r="J225" s="9"/>
      <c r="K225" s="11"/>
      <c r="L225" s="11"/>
      <c r="M225" s="15"/>
      <c r="N225" s="15"/>
      <c r="O225" s="15"/>
      <c r="P225" s="15"/>
      <c r="Q225" s="15"/>
      <c r="R225" s="15"/>
      <c r="S225" s="15"/>
      <c r="T225" s="15"/>
      <c r="U225" s="15"/>
      <c r="V225" s="15"/>
      <c r="W225" s="15"/>
      <c r="X225" s="15"/>
      <c r="Y225" s="15"/>
      <c r="Z225" s="15"/>
      <c r="AA225" s="15"/>
      <c r="AB225" s="15"/>
      <c r="AC225" s="15"/>
      <c r="AD225" s="15"/>
      <c r="AE225" s="15"/>
      <c r="AF225" s="15"/>
    </row>
    <row r="226" ht="15.75" customHeight="1">
      <c r="A226" s="15"/>
      <c r="B226" s="449"/>
      <c r="C226" s="55"/>
      <c r="D226" s="55"/>
      <c r="E226" s="37"/>
      <c r="F226" s="37"/>
      <c r="G226" s="29"/>
      <c r="H226" s="30"/>
      <c r="I226" s="9"/>
      <c r="J226" s="9"/>
      <c r="K226" s="11"/>
      <c r="L226" s="11"/>
      <c r="M226" s="15"/>
      <c r="N226" s="15"/>
      <c r="O226" s="15"/>
      <c r="P226" s="15"/>
      <c r="Q226" s="15"/>
      <c r="R226" s="15"/>
      <c r="S226" s="15"/>
      <c r="T226" s="15"/>
      <c r="U226" s="15"/>
      <c r="V226" s="15"/>
      <c r="W226" s="15"/>
      <c r="X226" s="15"/>
      <c r="Y226" s="15"/>
      <c r="Z226" s="15"/>
      <c r="AA226" s="15"/>
      <c r="AB226" s="15"/>
      <c r="AC226" s="15"/>
      <c r="AD226" s="15"/>
      <c r="AE226" s="15"/>
      <c r="AF226" s="15"/>
    </row>
    <row r="227" ht="15.75" customHeight="1">
      <c r="A227" s="15"/>
      <c r="B227" s="449"/>
      <c r="C227" s="55"/>
      <c r="D227" s="55"/>
      <c r="E227" s="31"/>
      <c r="F227" s="31"/>
      <c r="G227" s="29"/>
      <c r="H227" s="31"/>
      <c r="I227" s="31"/>
      <c r="J227" s="9"/>
      <c r="K227" s="11"/>
      <c r="L227" s="11"/>
      <c r="M227" s="15"/>
      <c r="N227" s="15"/>
      <c r="O227" s="15"/>
      <c r="P227" s="15"/>
      <c r="Q227" s="15"/>
      <c r="R227" s="15"/>
      <c r="S227" s="15"/>
      <c r="T227" s="15"/>
      <c r="U227" s="15"/>
      <c r="V227" s="15"/>
      <c r="W227" s="15"/>
      <c r="X227" s="15"/>
      <c r="Y227" s="15"/>
      <c r="Z227" s="15"/>
      <c r="AA227" s="15"/>
      <c r="AB227" s="15"/>
      <c r="AC227" s="15"/>
      <c r="AD227" s="15"/>
      <c r="AE227" s="15"/>
      <c r="AF227" s="15"/>
    </row>
    <row r="228" ht="15.75" customHeight="1">
      <c r="A228" s="15"/>
      <c r="B228" s="449"/>
      <c r="C228" s="55"/>
      <c r="D228" s="55"/>
      <c r="E228" s="31"/>
      <c r="F228" s="31"/>
      <c r="G228" s="29"/>
      <c r="H228" s="31"/>
      <c r="I228" s="31"/>
      <c r="J228" s="9"/>
      <c r="K228" s="11"/>
      <c r="L228" s="11"/>
      <c r="M228" s="15"/>
      <c r="N228" s="15"/>
      <c r="O228" s="15"/>
      <c r="P228" s="15"/>
      <c r="Q228" s="15"/>
      <c r="R228" s="15"/>
      <c r="S228" s="15"/>
      <c r="T228" s="15"/>
      <c r="U228" s="15"/>
      <c r="V228" s="15"/>
      <c r="W228" s="15"/>
      <c r="X228" s="15"/>
      <c r="Y228" s="15"/>
      <c r="Z228" s="15"/>
      <c r="AA228" s="15"/>
      <c r="AB228" s="15"/>
      <c r="AC228" s="15"/>
      <c r="AD228" s="15"/>
      <c r="AE228" s="15"/>
      <c r="AF228" s="15"/>
    </row>
    <row r="229" ht="15.75" customHeight="1">
      <c r="A229" s="15"/>
      <c r="B229" s="449"/>
      <c r="C229" s="450"/>
      <c r="D229" s="31"/>
      <c r="E229" s="31"/>
      <c r="F229" s="31"/>
      <c r="G229" s="29"/>
      <c r="H229" s="31"/>
      <c r="I229" s="9"/>
      <c r="J229" s="9"/>
      <c r="K229" s="11"/>
      <c r="L229" s="11"/>
      <c r="M229" s="15"/>
      <c r="N229" s="15"/>
      <c r="O229" s="15"/>
      <c r="P229" s="15"/>
      <c r="Q229" s="15"/>
      <c r="R229" s="15"/>
      <c r="S229" s="15"/>
      <c r="T229" s="15"/>
      <c r="U229" s="15"/>
      <c r="V229" s="15"/>
      <c r="W229" s="15"/>
      <c r="X229" s="15"/>
      <c r="Y229" s="15"/>
      <c r="Z229" s="15"/>
      <c r="AA229" s="15"/>
      <c r="AB229" s="15"/>
      <c r="AC229" s="15"/>
      <c r="AD229" s="15"/>
      <c r="AE229" s="15"/>
      <c r="AF229" s="15"/>
    </row>
    <row r="230" ht="15.75" customHeight="1">
      <c r="A230" s="15"/>
      <c r="B230" s="449"/>
      <c r="C230" s="450"/>
      <c r="D230" s="31"/>
      <c r="E230" s="31"/>
      <c r="F230" s="31"/>
      <c r="G230" s="29"/>
      <c r="H230" s="31"/>
      <c r="I230" s="9"/>
      <c r="J230" s="9"/>
      <c r="K230" s="11"/>
      <c r="L230" s="11"/>
      <c r="M230" s="15"/>
      <c r="N230" s="15"/>
      <c r="O230" s="15"/>
      <c r="P230" s="15"/>
      <c r="Q230" s="15"/>
      <c r="R230" s="15"/>
      <c r="S230" s="15"/>
      <c r="T230" s="15"/>
      <c r="U230" s="15"/>
      <c r="V230" s="15"/>
      <c r="W230" s="15"/>
      <c r="X230" s="15"/>
      <c r="Y230" s="15"/>
      <c r="Z230" s="15"/>
      <c r="AA230" s="15"/>
      <c r="AB230" s="15"/>
      <c r="AC230" s="15"/>
      <c r="AD230" s="15"/>
      <c r="AE230" s="15"/>
      <c r="AF230" s="15"/>
    </row>
    <row r="231" ht="15.75" customHeight="1">
      <c r="A231" s="15"/>
      <c r="B231" s="449"/>
      <c r="C231" s="450"/>
      <c r="D231" s="31"/>
      <c r="E231" s="31"/>
      <c r="F231" s="31"/>
      <c r="G231" s="29"/>
      <c r="H231" s="31"/>
      <c r="I231" s="9"/>
      <c r="J231" s="9"/>
      <c r="K231" s="11"/>
      <c r="L231" s="11"/>
      <c r="M231" s="15"/>
      <c r="N231" s="15"/>
      <c r="O231" s="15"/>
      <c r="P231" s="15"/>
      <c r="Q231" s="15"/>
      <c r="R231" s="15"/>
      <c r="S231" s="15"/>
      <c r="T231" s="15"/>
      <c r="U231" s="15"/>
      <c r="V231" s="15"/>
      <c r="W231" s="15"/>
      <c r="X231" s="15"/>
      <c r="Y231" s="15"/>
      <c r="Z231" s="15"/>
      <c r="AA231" s="15"/>
      <c r="AB231" s="15"/>
      <c r="AC231" s="15"/>
      <c r="AD231" s="15"/>
      <c r="AE231" s="15"/>
      <c r="AF231" s="15"/>
    </row>
    <row r="232" ht="15.75" customHeight="1">
      <c r="A232" s="15"/>
      <c r="B232" s="449"/>
      <c r="C232" s="450"/>
      <c r="D232" s="31"/>
      <c r="E232" s="37"/>
      <c r="F232" s="31"/>
      <c r="G232" s="29"/>
      <c r="H232" s="31"/>
      <c r="I232" s="9"/>
      <c r="J232" s="9"/>
      <c r="K232" s="11"/>
      <c r="L232" s="11"/>
      <c r="M232" s="15"/>
      <c r="N232" s="15"/>
      <c r="O232" s="15"/>
      <c r="P232" s="15"/>
      <c r="Q232" s="15"/>
      <c r="R232" s="15"/>
      <c r="S232" s="15"/>
      <c r="T232" s="15"/>
      <c r="U232" s="15"/>
      <c r="V232" s="15"/>
      <c r="W232" s="15"/>
      <c r="X232" s="15"/>
      <c r="Y232" s="15"/>
      <c r="Z232" s="15"/>
      <c r="AA232" s="15"/>
      <c r="AB232" s="15"/>
      <c r="AC232" s="15"/>
      <c r="AD232" s="15"/>
      <c r="AE232" s="15"/>
      <c r="AF232" s="15"/>
    </row>
    <row r="233" ht="15.75" customHeight="1">
      <c r="A233" s="15"/>
      <c r="B233" s="449"/>
      <c r="C233" s="450"/>
      <c r="D233" s="31"/>
      <c r="E233" s="37"/>
      <c r="F233" s="30"/>
      <c r="G233" s="29"/>
      <c r="H233" s="30"/>
      <c r="I233" s="9"/>
      <c r="J233" s="9"/>
      <c r="K233" s="11"/>
      <c r="L233" s="11"/>
      <c r="M233" s="15"/>
      <c r="N233" s="15"/>
      <c r="O233" s="15"/>
      <c r="P233" s="15"/>
      <c r="Q233" s="15"/>
      <c r="R233" s="15"/>
      <c r="S233" s="15"/>
      <c r="T233" s="15"/>
      <c r="U233" s="15"/>
      <c r="V233" s="15"/>
      <c r="W233" s="15"/>
      <c r="X233" s="15"/>
      <c r="Y233" s="15"/>
      <c r="Z233" s="15"/>
      <c r="AA233" s="15"/>
      <c r="AB233" s="15"/>
      <c r="AC233" s="15"/>
      <c r="AD233" s="15"/>
      <c r="AE233" s="15"/>
      <c r="AF233" s="15"/>
    </row>
    <row r="234" ht="15.75" customHeight="1">
      <c r="A234" s="15"/>
      <c r="B234" s="449"/>
      <c r="C234" s="450"/>
      <c r="D234" s="31"/>
      <c r="E234" s="37"/>
      <c r="F234" s="37"/>
      <c r="G234" s="29"/>
      <c r="H234" s="30"/>
      <c r="I234" s="9"/>
      <c r="J234" s="9"/>
      <c r="K234" s="11"/>
      <c r="L234" s="11"/>
      <c r="M234" s="15"/>
      <c r="N234" s="15"/>
      <c r="O234" s="15"/>
      <c r="P234" s="15"/>
      <c r="Q234" s="15"/>
      <c r="R234" s="15"/>
      <c r="S234" s="15"/>
      <c r="T234" s="15"/>
      <c r="U234" s="15"/>
      <c r="V234" s="15"/>
      <c r="W234" s="15"/>
      <c r="X234" s="15"/>
      <c r="Y234" s="15"/>
      <c r="Z234" s="15"/>
      <c r="AA234" s="15"/>
      <c r="AB234" s="15"/>
      <c r="AC234" s="15"/>
      <c r="AD234" s="15"/>
      <c r="AE234" s="15"/>
      <c r="AF234" s="15"/>
    </row>
    <row r="235" ht="15.75" customHeight="1">
      <c r="A235" s="15"/>
      <c r="B235" s="449"/>
      <c r="C235" s="450"/>
      <c r="D235" s="31"/>
      <c r="E235" s="31"/>
      <c r="F235" s="31"/>
      <c r="G235" s="29"/>
      <c r="H235" s="31"/>
      <c r="I235" s="9"/>
      <c r="J235" s="9"/>
      <c r="K235" s="11"/>
      <c r="L235" s="11"/>
      <c r="M235" s="15"/>
      <c r="N235" s="15"/>
      <c r="O235" s="15"/>
      <c r="P235" s="15"/>
      <c r="Q235" s="15"/>
      <c r="R235" s="15"/>
      <c r="S235" s="15"/>
      <c r="T235" s="15"/>
      <c r="U235" s="15"/>
      <c r="V235" s="15"/>
      <c r="W235" s="15"/>
      <c r="X235" s="15"/>
      <c r="Y235" s="15"/>
      <c r="Z235" s="15"/>
      <c r="AA235" s="15"/>
      <c r="AB235" s="15"/>
      <c r="AC235" s="15"/>
      <c r="AD235" s="15"/>
      <c r="AE235" s="15"/>
      <c r="AF235" s="15"/>
    </row>
    <row r="236" ht="15.75" customHeight="1">
      <c r="A236" s="15"/>
      <c r="B236" s="449"/>
      <c r="C236" s="55"/>
      <c r="D236" s="55"/>
      <c r="E236" s="31"/>
      <c r="F236" s="31"/>
      <c r="G236" s="29"/>
      <c r="H236" s="31"/>
      <c r="I236" s="9"/>
      <c r="J236" s="9"/>
      <c r="K236" s="11"/>
      <c r="L236" s="11"/>
      <c r="M236" s="15"/>
      <c r="N236" s="15"/>
      <c r="O236" s="15"/>
      <c r="P236" s="15"/>
      <c r="Q236" s="15"/>
      <c r="R236" s="15"/>
      <c r="S236" s="15"/>
      <c r="T236" s="15"/>
      <c r="U236" s="15"/>
      <c r="V236" s="15"/>
      <c r="W236" s="15"/>
      <c r="X236" s="15"/>
      <c r="Y236" s="15"/>
      <c r="Z236" s="15"/>
      <c r="AA236" s="15"/>
      <c r="AB236" s="15"/>
      <c r="AC236" s="15"/>
      <c r="AD236" s="15"/>
      <c r="AE236" s="15"/>
      <c r="AF236" s="15"/>
    </row>
    <row r="237" ht="15.75" customHeight="1">
      <c r="A237" s="15"/>
      <c r="B237" s="449"/>
      <c r="C237" s="55"/>
      <c r="D237" s="55"/>
      <c r="E237" s="31"/>
      <c r="F237" s="31"/>
      <c r="G237" s="29"/>
      <c r="H237" s="31"/>
      <c r="I237" s="9"/>
      <c r="J237" s="9"/>
      <c r="K237" s="11"/>
      <c r="L237" s="11"/>
      <c r="M237" s="15"/>
      <c r="N237" s="15"/>
      <c r="O237" s="15"/>
      <c r="P237" s="15"/>
      <c r="Q237" s="15"/>
      <c r="R237" s="15"/>
      <c r="S237" s="15"/>
      <c r="T237" s="15"/>
      <c r="U237" s="15"/>
      <c r="V237" s="15"/>
      <c r="W237" s="15"/>
      <c r="X237" s="15"/>
      <c r="Y237" s="15"/>
      <c r="Z237" s="15"/>
      <c r="AA237" s="15"/>
      <c r="AB237" s="15"/>
      <c r="AC237" s="15"/>
      <c r="AD237" s="15"/>
      <c r="AE237" s="15"/>
      <c r="AF237" s="15"/>
    </row>
    <row r="238" ht="15.75" customHeight="1">
      <c r="A238" s="15"/>
      <c r="B238" s="449"/>
      <c r="C238" s="55"/>
      <c r="D238" s="55"/>
      <c r="E238" s="31"/>
      <c r="F238" s="31"/>
      <c r="G238" s="29"/>
      <c r="H238" s="31"/>
      <c r="I238" s="9"/>
      <c r="J238" s="9"/>
      <c r="K238" s="11"/>
      <c r="L238" s="11"/>
      <c r="M238" s="15"/>
      <c r="N238" s="15"/>
      <c r="O238" s="15"/>
      <c r="P238" s="15"/>
      <c r="Q238" s="15"/>
      <c r="R238" s="15"/>
      <c r="S238" s="15"/>
      <c r="T238" s="15"/>
      <c r="U238" s="15"/>
      <c r="V238" s="15"/>
      <c r="W238" s="15"/>
      <c r="X238" s="15"/>
      <c r="Y238" s="15"/>
      <c r="Z238" s="15"/>
      <c r="AA238" s="15"/>
      <c r="AB238" s="15"/>
      <c r="AC238" s="15"/>
      <c r="AD238" s="15"/>
      <c r="AE238" s="15"/>
      <c r="AF238" s="15"/>
    </row>
    <row r="239" ht="15.75" customHeight="1">
      <c r="A239" s="15"/>
      <c r="B239" s="449"/>
      <c r="C239" s="55"/>
      <c r="D239" s="55"/>
      <c r="E239" s="37"/>
      <c r="F239" s="31"/>
      <c r="G239" s="29"/>
      <c r="H239" s="31"/>
      <c r="I239" s="9"/>
      <c r="J239" s="9"/>
      <c r="K239" s="11"/>
      <c r="L239" s="11"/>
      <c r="M239" s="15"/>
      <c r="N239" s="15"/>
      <c r="O239" s="15"/>
      <c r="P239" s="15"/>
      <c r="Q239" s="15"/>
      <c r="R239" s="15"/>
      <c r="S239" s="15"/>
      <c r="T239" s="15"/>
      <c r="U239" s="15"/>
      <c r="V239" s="15"/>
      <c r="W239" s="15"/>
      <c r="X239" s="15"/>
      <c r="Y239" s="15"/>
      <c r="Z239" s="15"/>
      <c r="AA239" s="15"/>
      <c r="AB239" s="15"/>
      <c r="AC239" s="15"/>
      <c r="AD239" s="15"/>
      <c r="AE239" s="15"/>
      <c r="AF239" s="15"/>
    </row>
    <row r="240" ht="15.75" customHeight="1">
      <c r="A240" s="15"/>
      <c r="B240" s="449"/>
      <c r="C240" s="55"/>
      <c r="D240" s="55"/>
      <c r="E240" s="37"/>
      <c r="F240" s="30"/>
      <c r="G240" s="29"/>
      <c r="H240" s="30"/>
      <c r="I240" s="9"/>
      <c r="J240" s="9"/>
      <c r="K240" s="11"/>
      <c r="L240" s="11"/>
      <c r="M240" s="15"/>
      <c r="N240" s="15"/>
      <c r="O240" s="15"/>
      <c r="P240" s="15"/>
      <c r="Q240" s="15"/>
      <c r="R240" s="15"/>
      <c r="S240" s="15"/>
      <c r="T240" s="15"/>
      <c r="U240" s="15"/>
      <c r="V240" s="15"/>
      <c r="W240" s="15"/>
      <c r="X240" s="15"/>
      <c r="Y240" s="15"/>
      <c r="Z240" s="15"/>
      <c r="AA240" s="15"/>
      <c r="AB240" s="15"/>
      <c r="AC240" s="15"/>
      <c r="AD240" s="15"/>
      <c r="AE240" s="15"/>
      <c r="AF240" s="15"/>
    </row>
    <row r="241" ht="15.75" customHeight="1">
      <c r="A241" s="15"/>
      <c r="B241" s="449"/>
      <c r="C241" s="55"/>
      <c r="D241" s="55"/>
      <c r="E241" s="37"/>
      <c r="F241" s="37"/>
      <c r="G241" s="29"/>
      <c r="H241" s="30"/>
      <c r="I241" s="9"/>
      <c r="J241" s="9"/>
      <c r="K241" s="11"/>
      <c r="L241" s="11"/>
      <c r="M241" s="15"/>
      <c r="N241" s="15"/>
      <c r="O241" s="15"/>
      <c r="P241" s="15"/>
      <c r="Q241" s="15"/>
      <c r="R241" s="15"/>
      <c r="S241" s="15"/>
      <c r="T241" s="15"/>
      <c r="U241" s="15"/>
      <c r="V241" s="15"/>
      <c r="W241" s="15"/>
      <c r="X241" s="15"/>
      <c r="Y241" s="15"/>
      <c r="Z241" s="15"/>
      <c r="AA241" s="15"/>
      <c r="AB241" s="15"/>
      <c r="AC241" s="15"/>
      <c r="AD241" s="15"/>
      <c r="AE241" s="15"/>
      <c r="AF241" s="15"/>
    </row>
    <row r="242" ht="15.75" customHeight="1">
      <c r="A242" s="15"/>
      <c r="B242" s="449"/>
      <c r="C242" s="55"/>
      <c r="D242" s="55"/>
      <c r="E242" s="31"/>
      <c r="F242" s="31"/>
      <c r="G242" s="29"/>
      <c r="H242" s="31"/>
      <c r="I242" s="31"/>
      <c r="J242" s="9"/>
      <c r="K242" s="11"/>
      <c r="L242" s="11"/>
      <c r="M242" s="15"/>
      <c r="N242" s="15"/>
      <c r="O242" s="15"/>
      <c r="P242" s="15"/>
      <c r="Q242" s="15"/>
      <c r="R242" s="15"/>
      <c r="S242" s="15"/>
      <c r="T242" s="15"/>
      <c r="U242" s="15"/>
      <c r="V242" s="15"/>
      <c r="W242" s="15"/>
      <c r="X242" s="15"/>
      <c r="Y242" s="15"/>
      <c r="Z242" s="15"/>
      <c r="AA242" s="15"/>
      <c r="AB242" s="15"/>
      <c r="AC242" s="15"/>
      <c r="AD242" s="15"/>
      <c r="AE242" s="15"/>
      <c r="AF242" s="15"/>
    </row>
    <row r="243" ht="15.75" customHeight="1">
      <c r="A243" s="15"/>
      <c r="B243" s="449"/>
      <c r="C243" s="55"/>
      <c r="D243" s="55"/>
      <c r="E243" s="31"/>
      <c r="F243" s="31"/>
      <c r="G243" s="29"/>
      <c r="H243" s="31"/>
      <c r="I243" s="31"/>
      <c r="J243" s="9"/>
      <c r="K243" s="11"/>
      <c r="L243" s="11"/>
      <c r="M243" s="15"/>
      <c r="N243" s="15"/>
      <c r="O243" s="15"/>
      <c r="P243" s="15"/>
      <c r="Q243" s="15"/>
      <c r="R243" s="15"/>
      <c r="S243" s="15"/>
      <c r="T243" s="15"/>
      <c r="U243" s="15"/>
      <c r="V243" s="15"/>
      <c r="W243" s="15"/>
      <c r="X243" s="15"/>
      <c r="Y243" s="15"/>
      <c r="Z243" s="15"/>
      <c r="AA243" s="15"/>
      <c r="AB243" s="15"/>
      <c r="AC243" s="15"/>
      <c r="AD243" s="15"/>
      <c r="AE243" s="15"/>
      <c r="AF243" s="15"/>
    </row>
    <row r="244" ht="15.75" customHeight="1">
      <c r="A244" s="15"/>
      <c r="B244" s="449"/>
      <c r="C244" s="55"/>
      <c r="D244" s="55"/>
      <c r="E244" s="31"/>
      <c r="F244" s="31"/>
      <c r="G244" s="29"/>
      <c r="H244" s="31"/>
      <c r="I244" s="9"/>
      <c r="J244" s="9"/>
      <c r="K244" s="11"/>
      <c r="L244" s="11"/>
      <c r="M244" s="15"/>
      <c r="N244" s="15"/>
      <c r="O244" s="15"/>
      <c r="P244" s="15"/>
      <c r="Q244" s="15"/>
      <c r="R244" s="15"/>
      <c r="S244" s="15"/>
      <c r="T244" s="15"/>
      <c r="U244" s="15"/>
      <c r="V244" s="15"/>
      <c r="W244" s="15"/>
      <c r="X244" s="15"/>
      <c r="Y244" s="15"/>
      <c r="Z244" s="15"/>
      <c r="AA244" s="15"/>
      <c r="AB244" s="15"/>
      <c r="AC244" s="15"/>
      <c r="AD244" s="15"/>
      <c r="AE244" s="15"/>
      <c r="AF244" s="15"/>
    </row>
    <row r="245" ht="15.75" customHeight="1">
      <c r="A245" s="15"/>
      <c r="B245" s="449"/>
      <c r="C245" s="55"/>
      <c r="D245" s="55"/>
      <c r="E245" s="31"/>
      <c r="F245" s="31"/>
      <c r="G245" s="29"/>
      <c r="H245" s="31"/>
      <c r="I245" s="9"/>
      <c r="J245" s="9"/>
      <c r="K245" s="11"/>
      <c r="L245" s="11"/>
      <c r="M245" s="15"/>
      <c r="N245" s="15"/>
      <c r="O245" s="15"/>
      <c r="P245" s="15"/>
      <c r="Q245" s="15"/>
      <c r="R245" s="15"/>
      <c r="S245" s="15"/>
      <c r="T245" s="15"/>
      <c r="U245" s="15"/>
      <c r="V245" s="15"/>
      <c r="W245" s="15"/>
      <c r="X245" s="15"/>
      <c r="Y245" s="15"/>
      <c r="Z245" s="15"/>
      <c r="AA245" s="15"/>
      <c r="AB245" s="15"/>
      <c r="AC245" s="15"/>
      <c r="AD245" s="15"/>
      <c r="AE245" s="15"/>
      <c r="AF245" s="15"/>
    </row>
    <row r="246" ht="15.75" customHeight="1">
      <c r="A246" s="15"/>
      <c r="B246" s="449"/>
      <c r="C246" s="55"/>
      <c r="D246" s="55"/>
      <c r="E246" s="31"/>
      <c r="F246" s="31"/>
      <c r="G246" s="29"/>
      <c r="H246" s="31"/>
      <c r="I246" s="9"/>
      <c r="J246" s="9"/>
      <c r="K246" s="11"/>
      <c r="L246" s="11"/>
      <c r="M246" s="15"/>
      <c r="N246" s="15"/>
      <c r="O246" s="15"/>
      <c r="P246" s="15"/>
      <c r="Q246" s="15"/>
      <c r="R246" s="15"/>
      <c r="S246" s="15"/>
      <c r="T246" s="15"/>
      <c r="U246" s="15"/>
      <c r="V246" s="15"/>
      <c r="W246" s="15"/>
      <c r="X246" s="15"/>
      <c r="Y246" s="15"/>
      <c r="Z246" s="15"/>
      <c r="AA246" s="15"/>
      <c r="AB246" s="15"/>
      <c r="AC246" s="15"/>
      <c r="AD246" s="15"/>
      <c r="AE246" s="15"/>
      <c r="AF246" s="15"/>
    </row>
    <row r="247" ht="15.75" customHeight="1">
      <c r="A247" s="15"/>
      <c r="B247" s="449"/>
      <c r="C247" s="55"/>
      <c r="D247" s="55"/>
      <c r="E247" s="37"/>
      <c r="F247" s="31"/>
      <c r="G247" s="29"/>
      <c r="H247" s="31"/>
      <c r="I247" s="9"/>
      <c r="J247" s="9"/>
      <c r="K247" s="11"/>
      <c r="L247" s="11"/>
      <c r="M247" s="15"/>
      <c r="N247" s="15"/>
      <c r="O247" s="15"/>
      <c r="P247" s="15"/>
      <c r="Q247" s="15"/>
      <c r="R247" s="15"/>
      <c r="S247" s="15"/>
      <c r="T247" s="15"/>
      <c r="U247" s="15"/>
      <c r="V247" s="15"/>
      <c r="W247" s="15"/>
      <c r="X247" s="15"/>
      <c r="Y247" s="15"/>
      <c r="Z247" s="15"/>
      <c r="AA247" s="15"/>
      <c r="AB247" s="15"/>
      <c r="AC247" s="15"/>
      <c r="AD247" s="15"/>
      <c r="AE247" s="15"/>
      <c r="AF247" s="15"/>
    </row>
    <row r="248" ht="15.75" customHeight="1">
      <c r="A248" s="15"/>
      <c r="B248" s="449"/>
      <c r="C248" s="55"/>
      <c r="D248" s="55"/>
      <c r="E248" s="37"/>
      <c r="F248" s="30"/>
      <c r="G248" s="29"/>
      <c r="H248" s="30"/>
      <c r="I248" s="9"/>
      <c r="J248" s="9"/>
      <c r="K248" s="11"/>
      <c r="L248" s="11"/>
      <c r="M248" s="15"/>
      <c r="N248" s="15"/>
      <c r="O248" s="15"/>
      <c r="P248" s="15"/>
      <c r="Q248" s="15"/>
      <c r="R248" s="15"/>
      <c r="S248" s="15"/>
      <c r="T248" s="15"/>
      <c r="U248" s="15"/>
      <c r="V248" s="15"/>
      <c r="W248" s="15"/>
      <c r="X248" s="15"/>
      <c r="Y248" s="15"/>
      <c r="Z248" s="15"/>
      <c r="AA248" s="15"/>
      <c r="AB248" s="15"/>
      <c r="AC248" s="15"/>
      <c r="AD248" s="15"/>
      <c r="AE248" s="15"/>
      <c r="AF248" s="15"/>
    </row>
    <row r="249" ht="15.75" customHeight="1">
      <c r="A249" s="15"/>
      <c r="B249" s="449"/>
      <c r="C249" s="55"/>
      <c r="D249" s="55"/>
      <c r="E249" s="37"/>
      <c r="F249" s="37"/>
      <c r="G249" s="29"/>
      <c r="H249" s="30"/>
      <c r="I249" s="9"/>
      <c r="J249" s="9"/>
      <c r="K249" s="11"/>
      <c r="L249" s="11"/>
      <c r="M249" s="15"/>
      <c r="N249" s="15"/>
      <c r="O249" s="15"/>
      <c r="P249" s="15"/>
      <c r="Q249" s="15"/>
      <c r="R249" s="15"/>
      <c r="S249" s="15"/>
      <c r="T249" s="15"/>
      <c r="U249" s="15"/>
      <c r="V249" s="15"/>
      <c r="W249" s="15"/>
      <c r="X249" s="15"/>
      <c r="Y249" s="15"/>
      <c r="Z249" s="15"/>
      <c r="AA249" s="15"/>
      <c r="AB249" s="15"/>
      <c r="AC249" s="15"/>
      <c r="AD249" s="15"/>
      <c r="AE249" s="15"/>
      <c r="AF249" s="15"/>
    </row>
    <row r="250" ht="15.75" customHeight="1">
      <c r="A250" s="15"/>
      <c r="B250" s="449"/>
      <c r="C250" s="55"/>
      <c r="D250" s="55"/>
      <c r="E250" s="31"/>
      <c r="F250" s="31"/>
      <c r="G250" s="29"/>
      <c r="H250" s="31"/>
      <c r="I250" s="31"/>
      <c r="J250" s="9"/>
      <c r="K250" s="11"/>
      <c r="L250" s="11"/>
      <c r="M250" s="15"/>
      <c r="N250" s="15"/>
      <c r="O250" s="15"/>
      <c r="P250" s="15"/>
      <c r="Q250" s="15"/>
      <c r="R250" s="15"/>
      <c r="S250" s="15"/>
      <c r="T250" s="15"/>
      <c r="U250" s="15"/>
      <c r="V250" s="15"/>
      <c r="W250" s="15"/>
      <c r="X250" s="15"/>
      <c r="Y250" s="15"/>
      <c r="Z250" s="15"/>
      <c r="AA250" s="15"/>
      <c r="AB250" s="15"/>
      <c r="AC250" s="15"/>
      <c r="AD250" s="15"/>
      <c r="AE250" s="15"/>
      <c r="AF250" s="15"/>
    </row>
    <row r="251" ht="15.75" customHeight="1">
      <c r="A251" s="15"/>
      <c r="B251" s="449"/>
      <c r="C251" s="55"/>
      <c r="D251" s="55"/>
      <c r="E251" s="31"/>
      <c r="F251" s="31"/>
      <c r="G251" s="29"/>
      <c r="H251" s="31"/>
      <c r="I251" s="31"/>
      <c r="J251" s="9"/>
      <c r="K251" s="11"/>
      <c r="L251" s="11"/>
      <c r="M251" s="15"/>
      <c r="N251" s="15"/>
      <c r="O251" s="15"/>
      <c r="P251" s="15"/>
      <c r="Q251" s="15"/>
      <c r="R251" s="15"/>
      <c r="S251" s="15"/>
      <c r="T251" s="15"/>
      <c r="U251" s="15"/>
      <c r="V251" s="15"/>
      <c r="W251" s="15"/>
      <c r="X251" s="15"/>
      <c r="Y251" s="15"/>
      <c r="Z251" s="15"/>
      <c r="AA251" s="15"/>
      <c r="AB251" s="15"/>
      <c r="AC251" s="15"/>
      <c r="AD251" s="15"/>
      <c r="AE251" s="15"/>
      <c r="AF251" s="15"/>
    </row>
    <row r="252" ht="15.75" customHeight="1">
      <c r="A252" s="15"/>
      <c r="B252" s="449"/>
      <c r="C252" s="55"/>
      <c r="D252" s="55"/>
      <c r="E252" s="31"/>
      <c r="F252" s="31"/>
      <c r="G252" s="29"/>
      <c r="H252" s="31"/>
      <c r="I252" s="9"/>
      <c r="J252" s="9"/>
      <c r="K252" s="11"/>
      <c r="L252" s="11"/>
      <c r="M252" s="15"/>
      <c r="N252" s="15"/>
      <c r="O252" s="15"/>
      <c r="P252" s="15"/>
      <c r="Q252" s="15"/>
      <c r="R252" s="15"/>
      <c r="S252" s="15"/>
      <c r="T252" s="15"/>
      <c r="U252" s="15"/>
      <c r="V252" s="15"/>
      <c r="W252" s="15"/>
      <c r="X252" s="15"/>
      <c r="Y252" s="15"/>
      <c r="Z252" s="15"/>
      <c r="AA252" s="15"/>
      <c r="AB252" s="15"/>
      <c r="AC252" s="15"/>
      <c r="AD252" s="15"/>
      <c r="AE252" s="15"/>
      <c r="AF252" s="15"/>
    </row>
    <row r="253" ht="15.75" customHeight="1">
      <c r="A253" s="15"/>
      <c r="B253" s="449"/>
      <c r="C253" s="55"/>
      <c r="D253" s="55"/>
      <c r="E253" s="31"/>
      <c r="F253" s="31"/>
      <c r="G253" s="29"/>
      <c r="H253" s="31"/>
      <c r="I253" s="9"/>
      <c r="J253" s="9"/>
      <c r="K253" s="11"/>
      <c r="L253" s="11"/>
      <c r="M253" s="15"/>
      <c r="N253" s="15"/>
      <c r="O253" s="15"/>
      <c r="P253" s="15"/>
      <c r="Q253" s="15"/>
      <c r="R253" s="15"/>
      <c r="S253" s="15"/>
      <c r="T253" s="15"/>
      <c r="U253" s="15"/>
      <c r="V253" s="15"/>
      <c r="W253" s="15"/>
      <c r="X253" s="15"/>
      <c r="Y253" s="15"/>
      <c r="Z253" s="15"/>
      <c r="AA253" s="15"/>
      <c r="AB253" s="15"/>
      <c r="AC253" s="15"/>
      <c r="AD253" s="15"/>
      <c r="AE253" s="15"/>
      <c r="AF253" s="15"/>
    </row>
    <row r="254" ht="15.75" customHeight="1">
      <c r="A254" s="15"/>
      <c r="B254" s="449"/>
      <c r="C254" s="55"/>
      <c r="D254" s="55"/>
      <c r="E254" s="31"/>
      <c r="F254" s="31"/>
      <c r="G254" s="29"/>
      <c r="H254" s="31"/>
      <c r="I254" s="9"/>
      <c r="J254" s="9"/>
      <c r="K254" s="11"/>
      <c r="L254" s="11"/>
      <c r="M254" s="15"/>
      <c r="N254" s="15"/>
      <c r="O254" s="15"/>
      <c r="P254" s="15"/>
      <c r="Q254" s="15"/>
      <c r="R254" s="15"/>
      <c r="S254" s="15"/>
      <c r="T254" s="15"/>
      <c r="U254" s="15"/>
      <c r="V254" s="15"/>
      <c r="W254" s="15"/>
      <c r="X254" s="15"/>
      <c r="Y254" s="15"/>
      <c r="Z254" s="15"/>
      <c r="AA254" s="15"/>
      <c r="AB254" s="15"/>
      <c r="AC254" s="15"/>
      <c r="AD254" s="15"/>
      <c r="AE254" s="15"/>
      <c r="AF254" s="15"/>
    </row>
    <row r="255" ht="15.75" customHeight="1">
      <c r="A255" s="15"/>
      <c r="B255" s="449"/>
      <c r="C255" s="55"/>
      <c r="D255" s="55"/>
      <c r="E255" s="37"/>
      <c r="F255" s="31"/>
      <c r="G255" s="29"/>
      <c r="H255" s="31"/>
      <c r="I255" s="9"/>
      <c r="J255" s="9"/>
      <c r="K255" s="11"/>
      <c r="L255" s="11"/>
      <c r="M255" s="15"/>
      <c r="N255" s="15"/>
      <c r="O255" s="15"/>
      <c r="P255" s="15"/>
      <c r="Q255" s="15"/>
      <c r="R255" s="15"/>
      <c r="S255" s="15"/>
      <c r="T255" s="15"/>
      <c r="U255" s="15"/>
      <c r="V255" s="15"/>
      <c r="W255" s="15"/>
      <c r="X255" s="15"/>
      <c r="Y255" s="15"/>
      <c r="Z255" s="15"/>
      <c r="AA255" s="15"/>
      <c r="AB255" s="15"/>
      <c r="AC255" s="15"/>
      <c r="AD255" s="15"/>
      <c r="AE255" s="15"/>
      <c r="AF255" s="15"/>
    </row>
    <row r="256" ht="15.75" customHeight="1">
      <c r="A256" s="15"/>
      <c r="B256" s="449"/>
      <c r="C256" s="55"/>
      <c r="D256" s="55"/>
      <c r="E256" s="37"/>
      <c r="F256" s="30"/>
      <c r="G256" s="29"/>
      <c r="H256" s="30"/>
      <c r="I256" s="9"/>
      <c r="J256" s="9"/>
      <c r="K256" s="11"/>
      <c r="L256" s="11"/>
      <c r="M256" s="15"/>
      <c r="N256" s="15"/>
      <c r="O256" s="15"/>
      <c r="P256" s="15"/>
      <c r="Q256" s="15"/>
      <c r="R256" s="15"/>
      <c r="S256" s="15"/>
      <c r="T256" s="15"/>
      <c r="U256" s="15"/>
      <c r="V256" s="15"/>
      <c r="W256" s="15"/>
      <c r="X256" s="15"/>
      <c r="Y256" s="15"/>
      <c r="Z256" s="15"/>
      <c r="AA256" s="15"/>
      <c r="AB256" s="15"/>
      <c r="AC256" s="15"/>
      <c r="AD256" s="15"/>
      <c r="AE256" s="15"/>
      <c r="AF256" s="15"/>
    </row>
    <row r="257" ht="15.75" customHeight="1">
      <c r="A257" s="15"/>
      <c r="B257" s="449"/>
      <c r="C257" s="55"/>
      <c r="D257" s="55"/>
      <c r="E257" s="37"/>
      <c r="F257" s="37"/>
      <c r="G257" s="29"/>
      <c r="H257" s="30"/>
      <c r="I257" s="9"/>
      <c r="J257" s="9"/>
      <c r="K257" s="11"/>
      <c r="L257" s="11"/>
      <c r="M257" s="15"/>
      <c r="N257" s="15"/>
      <c r="O257" s="15"/>
      <c r="P257" s="15"/>
      <c r="Q257" s="15"/>
      <c r="R257" s="15"/>
      <c r="S257" s="15"/>
      <c r="T257" s="15"/>
      <c r="U257" s="15"/>
      <c r="V257" s="15"/>
      <c r="W257" s="15"/>
      <c r="X257" s="15"/>
      <c r="Y257" s="15"/>
      <c r="Z257" s="15"/>
      <c r="AA257" s="15"/>
      <c r="AB257" s="15"/>
      <c r="AC257" s="15"/>
      <c r="AD257" s="15"/>
      <c r="AE257" s="15"/>
      <c r="AF257" s="15"/>
    </row>
    <row r="258" ht="15.75" customHeight="1">
      <c r="A258" s="15"/>
      <c r="B258" s="449"/>
      <c r="C258" s="55"/>
      <c r="D258" s="55"/>
      <c r="E258" s="31"/>
      <c r="F258" s="31"/>
      <c r="G258" s="29"/>
      <c r="H258" s="31"/>
      <c r="I258" s="9"/>
      <c r="J258" s="9"/>
      <c r="K258" s="11"/>
      <c r="L258" s="11"/>
      <c r="M258" s="15"/>
      <c r="N258" s="15"/>
      <c r="O258" s="15"/>
      <c r="P258" s="15"/>
      <c r="Q258" s="15"/>
      <c r="R258" s="15"/>
      <c r="S258" s="15"/>
      <c r="T258" s="15"/>
      <c r="U258" s="15"/>
      <c r="V258" s="15"/>
      <c r="W258" s="15"/>
      <c r="X258" s="15"/>
      <c r="Y258" s="15"/>
      <c r="Z258" s="15"/>
      <c r="AA258" s="15"/>
      <c r="AB258" s="15"/>
      <c r="AC258" s="15"/>
      <c r="AD258" s="15"/>
      <c r="AE258" s="15"/>
      <c r="AF258" s="15"/>
    </row>
    <row r="259" ht="15.75" customHeight="1">
      <c r="A259" s="15"/>
      <c r="B259" s="449"/>
      <c r="C259" s="55"/>
      <c r="D259" s="55"/>
      <c r="E259" s="31"/>
      <c r="F259" s="31"/>
      <c r="G259" s="29"/>
      <c r="H259" s="31"/>
      <c r="I259" s="9"/>
      <c r="J259" s="9"/>
      <c r="K259" s="11"/>
      <c r="L259" s="11"/>
      <c r="M259" s="15"/>
      <c r="N259" s="15"/>
      <c r="O259" s="15"/>
      <c r="P259" s="15"/>
      <c r="Q259" s="15"/>
      <c r="R259" s="15"/>
      <c r="S259" s="15"/>
      <c r="T259" s="15"/>
      <c r="U259" s="15"/>
      <c r="V259" s="15"/>
      <c r="W259" s="15"/>
      <c r="X259" s="15"/>
      <c r="Y259" s="15"/>
      <c r="Z259" s="15"/>
      <c r="AA259" s="15"/>
      <c r="AB259" s="15"/>
      <c r="AC259" s="15"/>
      <c r="AD259" s="15"/>
      <c r="AE259" s="15"/>
      <c r="AF259" s="15"/>
    </row>
    <row r="260" ht="15.75" customHeight="1">
      <c r="A260" s="15"/>
      <c r="B260" s="449"/>
      <c r="C260" s="55"/>
      <c r="D260" s="55"/>
      <c r="E260" s="31"/>
      <c r="F260" s="31"/>
      <c r="G260" s="29"/>
      <c r="H260" s="31"/>
      <c r="I260" s="9"/>
      <c r="J260" s="9"/>
      <c r="K260" s="11"/>
      <c r="L260" s="11"/>
      <c r="M260" s="15"/>
      <c r="N260" s="15"/>
      <c r="O260" s="15"/>
      <c r="P260" s="15"/>
      <c r="Q260" s="15"/>
      <c r="R260" s="15"/>
      <c r="S260" s="15"/>
      <c r="T260" s="15"/>
      <c r="U260" s="15"/>
      <c r="V260" s="15"/>
      <c r="W260" s="15"/>
      <c r="X260" s="15"/>
      <c r="Y260" s="15"/>
      <c r="Z260" s="15"/>
      <c r="AA260" s="15"/>
      <c r="AB260" s="15"/>
      <c r="AC260" s="15"/>
      <c r="AD260" s="15"/>
      <c r="AE260" s="15"/>
      <c r="AF260" s="15"/>
    </row>
    <row r="261" ht="15.75" customHeight="1">
      <c r="A261" s="15"/>
      <c r="B261" s="449"/>
      <c r="C261" s="55"/>
      <c r="D261" s="55"/>
      <c r="E261" s="31"/>
      <c r="F261" s="31"/>
      <c r="G261" s="29"/>
      <c r="H261" s="31"/>
      <c r="I261" s="9"/>
      <c r="J261" s="9"/>
      <c r="K261" s="11"/>
      <c r="L261" s="11"/>
      <c r="M261" s="15"/>
      <c r="N261" s="15"/>
      <c r="O261" s="15"/>
      <c r="P261" s="15"/>
      <c r="Q261" s="15"/>
      <c r="R261" s="15"/>
      <c r="S261" s="15"/>
      <c r="T261" s="15"/>
      <c r="U261" s="15"/>
      <c r="V261" s="15"/>
      <c r="W261" s="15"/>
      <c r="X261" s="15"/>
      <c r="Y261" s="15"/>
      <c r="Z261" s="15"/>
      <c r="AA261" s="15"/>
      <c r="AB261" s="15"/>
      <c r="AC261" s="15"/>
      <c r="AD261" s="15"/>
      <c r="AE261" s="15"/>
      <c r="AF261" s="15"/>
    </row>
    <row r="262" ht="15.75" customHeight="1">
      <c r="A262" s="15"/>
      <c r="B262" s="449"/>
      <c r="C262" s="55"/>
      <c r="D262" s="55"/>
      <c r="E262" s="31"/>
      <c r="F262" s="31"/>
      <c r="G262" s="29"/>
      <c r="H262" s="31"/>
      <c r="I262" s="9"/>
      <c r="J262" s="9"/>
      <c r="K262" s="11"/>
      <c r="L262" s="11"/>
      <c r="M262" s="15"/>
      <c r="N262" s="15"/>
      <c r="O262" s="15"/>
      <c r="P262" s="15"/>
      <c r="Q262" s="15"/>
      <c r="R262" s="15"/>
      <c r="S262" s="15"/>
      <c r="T262" s="15"/>
      <c r="U262" s="15"/>
      <c r="V262" s="15"/>
      <c r="W262" s="15"/>
      <c r="X262" s="15"/>
      <c r="Y262" s="15"/>
      <c r="Z262" s="15"/>
      <c r="AA262" s="15"/>
      <c r="AB262" s="15"/>
      <c r="AC262" s="15"/>
      <c r="AD262" s="15"/>
      <c r="AE262" s="15"/>
      <c r="AF262" s="15"/>
    </row>
    <row r="263" ht="15.75" customHeight="1">
      <c r="A263" s="15"/>
      <c r="B263" s="449"/>
      <c r="C263" s="55"/>
      <c r="D263" s="55"/>
      <c r="E263" s="37"/>
      <c r="F263" s="31"/>
      <c r="G263" s="29"/>
      <c r="H263" s="31"/>
      <c r="I263" s="9"/>
      <c r="J263" s="9"/>
      <c r="K263" s="11"/>
      <c r="L263" s="11"/>
      <c r="M263" s="15"/>
      <c r="N263" s="15"/>
      <c r="O263" s="15"/>
      <c r="P263" s="15"/>
      <c r="Q263" s="15"/>
      <c r="R263" s="15"/>
      <c r="S263" s="15"/>
      <c r="T263" s="15"/>
      <c r="U263" s="15"/>
      <c r="V263" s="15"/>
      <c r="W263" s="15"/>
      <c r="X263" s="15"/>
      <c r="Y263" s="15"/>
      <c r="Z263" s="15"/>
      <c r="AA263" s="15"/>
      <c r="AB263" s="15"/>
      <c r="AC263" s="15"/>
      <c r="AD263" s="15"/>
      <c r="AE263" s="15"/>
      <c r="AF263" s="15"/>
    </row>
    <row r="264" ht="15.75" customHeight="1">
      <c r="A264" s="15"/>
      <c r="B264" s="449"/>
      <c r="C264" s="55"/>
      <c r="D264" s="55"/>
      <c r="E264" s="37"/>
      <c r="F264" s="30"/>
      <c r="G264" s="29"/>
      <c r="H264" s="30"/>
      <c r="I264" s="9"/>
      <c r="J264" s="9"/>
      <c r="K264" s="11"/>
      <c r="L264" s="11"/>
      <c r="M264" s="15"/>
      <c r="N264" s="15"/>
      <c r="O264" s="15"/>
      <c r="P264" s="15"/>
      <c r="Q264" s="15"/>
      <c r="R264" s="15"/>
      <c r="S264" s="15"/>
      <c r="T264" s="15"/>
      <c r="U264" s="15"/>
      <c r="V264" s="15"/>
      <c r="W264" s="15"/>
      <c r="X264" s="15"/>
      <c r="Y264" s="15"/>
      <c r="Z264" s="15"/>
      <c r="AA264" s="15"/>
      <c r="AB264" s="15"/>
      <c r="AC264" s="15"/>
      <c r="AD264" s="15"/>
      <c r="AE264" s="15"/>
      <c r="AF264" s="15"/>
    </row>
    <row r="265" ht="15.75" customHeight="1">
      <c r="A265" s="15"/>
      <c r="B265" s="449"/>
      <c r="C265" s="55"/>
      <c r="D265" s="55"/>
      <c r="E265" s="37"/>
      <c r="F265" s="37"/>
      <c r="G265" s="29"/>
      <c r="H265" s="30"/>
      <c r="I265" s="31"/>
      <c r="J265" s="9"/>
      <c r="K265" s="11"/>
      <c r="L265" s="11"/>
      <c r="M265" s="15"/>
      <c r="N265" s="15"/>
      <c r="O265" s="15"/>
      <c r="P265" s="15"/>
      <c r="Q265" s="15"/>
      <c r="R265" s="15"/>
      <c r="S265" s="15"/>
      <c r="T265" s="15"/>
      <c r="U265" s="15"/>
      <c r="V265" s="15"/>
      <c r="W265" s="15"/>
      <c r="X265" s="15"/>
      <c r="Y265" s="15"/>
      <c r="Z265" s="15"/>
      <c r="AA265" s="15"/>
      <c r="AB265" s="15"/>
      <c r="AC265" s="15"/>
      <c r="AD265" s="15"/>
      <c r="AE265" s="15"/>
      <c r="AF265" s="15"/>
    </row>
    <row r="266" ht="15.75" customHeight="1">
      <c r="A266" s="15"/>
      <c r="B266" s="449"/>
      <c r="C266" s="55"/>
      <c r="D266" s="55"/>
      <c r="E266" s="31"/>
      <c r="F266" s="31"/>
      <c r="G266" s="29"/>
      <c r="H266" s="31"/>
      <c r="I266" s="31"/>
      <c r="J266" s="9"/>
      <c r="K266" s="11"/>
      <c r="L266" s="11"/>
      <c r="M266" s="15"/>
      <c r="N266" s="15"/>
      <c r="O266" s="15"/>
      <c r="P266" s="15"/>
      <c r="Q266" s="15"/>
      <c r="R266" s="15"/>
      <c r="S266" s="15"/>
      <c r="T266" s="15"/>
      <c r="U266" s="15"/>
      <c r="V266" s="15"/>
      <c r="W266" s="15"/>
      <c r="X266" s="15"/>
      <c r="Y266" s="15"/>
      <c r="Z266" s="15"/>
      <c r="AA266" s="15"/>
      <c r="AB266" s="15"/>
      <c r="AC266" s="15"/>
      <c r="AD266" s="15"/>
      <c r="AE266" s="15"/>
      <c r="AF266" s="15"/>
    </row>
    <row r="267" ht="15.75" customHeight="1">
      <c r="A267" s="15"/>
      <c r="B267" s="449"/>
      <c r="C267" s="55"/>
      <c r="D267" s="55"/>
      <c r="E267" s="31"/>
      <c r="F267" s="31"/>
      <c r="G267" s="29"/>
      <c r="H267" s="31"/>
      <c r="I267" s="9"/>
      <c r="J267" s="9"/>
      <c r="K267" s="11"/>
      <c r="L267" s="11"/>
      <c r="M267" s="15"/>
      <c r="N267" s="15"/>
      <c r="O267" s="15"/>
      <c r="P267" s="15"/>
      <c r="Q267" s="15"/>
      <c r="R267" s="15"/>
      <c r="S267" s="15"/>
      <c r="T267" s="15"/>
      <c r="U267" s="15"/>
      <c r="V267" s="15"/>
      <c r="W267" s="15"/>
      <c r="X267" s="15"/>
      <c r="Y267" s="15"/>
      <c r="Z267" s="15"/>
      <c r="AA267" s="15"/>
      <c r="AB267" s="15"/>
      <c r="AC267" s="15"/>
      <c r="AD267" s="15"/>
      <c r="AE267" s="15"/>
      <c r="AF267" s="15"/>
    </row>
    <row r="268" ht="15.75" customHeight="1">
      <c r="A268" s="15"/>
      <c r="B268" s="449"/>
      <c r="C268" s="450"/>
      <c r="D268" s="31"/>
      <c r="E268" s="31"/>
      <c r="F268" s="31"/>
      <c r="G268" s="29"/>
      <c r="H268" s="31"/>
      <c r="I268" s="9"/>
      <c r="J268" s="9"/>
      <c r="K268" s="11"/>
      <c r="L268" s="11"/>
      <c r="M268" s="15"/>
      <c r="N268" s="15"/>
      <c r="O268" s="15"/>
      <c r="P268" s="15"/>
      <c r="Q268" s="15"/>
      <c r="R268" s="15"/>
      <c r="S268" s="15"/>
      <c r="T268" s="15"/>
      <c r="U268" s="15"/>
      <c r="V268" s="15"/>
      <c r="W268" s="15"/>
      <c r="X268" s="15"/>
      <c r="Y268" s="15"/>
      <c r="Z268" s="15"/>
      <c r="AA268" s="15"/>
      <c r="AB268" s="15"/>
      <c r="AC268" s="15"/>
      <c r="AD268" s="15"/>
      <c r="AE268" s="15"/>
      <c r="AF268" s="15"/>
    </row>
    <row r="269" ht="15.75" customHeight="1">
      <c r="A269" s="15"/>
      <c r="B269" s="449"/>
      <c r="C269" s="450"/>
      <c r="D269" s="31"/>
      <c r="E269" s="31"/>
      <c r="F269" s="31"/>
      <c r="G269" s="29"/>
      <c r="H269" s="31"/>
      <c r="I269" s="9"/>
      <c r="J269" s="9"/>
      <c r="K269" s="11"/>
      <c r="L269" s="11"/>
      <c r="M269" s="15"/>
      <c r="N269" s="15"/>
      <c r="O269" s="15"/>
      <c r="P269" s="15"/>
      <c r="Q269" s="15"/>
      <c r="R269" s="15"/>
      <c r="S269" s="15"/>
      <c r="T269" s="15"/>
      <c r="U269" s="15"/>
      <c r="V269" s="15"/>
      <c r="W269" s="15"/>
      <c r="X269" s="15"/>
      <c r="Y269" s="15"/>
      <c r="Z269" s="15"/>
      <c r="AA269" s="15"/>
      <c r="AB269" s="15"/>
      <c r="AC269" s="15"/>
      <c r="AD269" s="15"/>
      <c r="AE269" s="15"/>
      <c r="AF269" s="15"/>
    </row>
    <row r="270" ht="15.75" customHeight="1">
      <c r="A270" s="15"/>
      <c r="B270" s="449"/>
      <c r="C270" s="450"/>
      <c r="D270" s="31"/>
      <c r="E270" s="31"/>
      <c r="F270" s="31"/>
      <c r="G270" s="29"/>
      <c r="H270" s="31"/>
      <c r="I270" s="9"/>
      <c r="J270" s="9"/>
      <c r="K270" s="11"/>
      <c r="L270" s="11"/>
      <c r="M270" s="15"/>
      <c r="N270" s="15"/>
      <c r="O270" s="15"/>
      <c r="P270" s="15"/>
      <c r="Q270" s="15"/>
      <c r="R270" s="15"/>
      <c r="S270" s="15"/>
      <c r="T270" s="15"/>
      <c r="U270" s="15"/>
      <c r="V270" s="15"/>
      <c r="W270" s="15"/>
      <c r="X270" s="15"/>
      <c r="Y270" s="15"/>
      <c r="Z270" s="15"/>
      <c r="AA270" s="15"/>
      <c r="AB270" s="15"/>
      <c r="AC270" s="15"/>
      <c r="AD270" s="15"/>
      <c r="AE270" s="15"/>
      <c r="AF270" s="15"/>
    </row>
    <row r="271" ht="15.75" customHeight="1">
      <c r="A271" s="15"/>
      <c r="B271" s="449"/>
      <c r="C271" s="450"/>
      <c r="D271" s="31"/>
      <c r="E271" s="37"/>
      <c r="F271" s="31"/>
      <c r="G271" s="29"/>
      <c r="H271" s="31"/>
      <c r="I271" s="9"/>
      <c r="J271" s="9"/>
      <c r="K271" s="11"/>
      <c r="L271" s="11"/>
      <c r="M271" s="15"/>
      <c r="N271" s="15"/>
      <c r="O271" s="15"/>
      <c r="P271" s="15"/>
      <c r="Q271" s="15"/>
      <c r="R271" s="15"/>
      <c r="S271" s="15"/>
      <c r="T271" s="15"/>
      <c r="U271" s="15"/>
      <c r="V271" s="15"/>
      <c r="W271" s="15"/>
      <c r="X271" s="15"/>
      <c r="Y271" s="15"/>
      <c r="Z271" s="15"/>
      <c r="AA271" s="15"/>
      <c r="AB271" s="15"/>
      <c r="AC271" s="15"/>
      <c r="AD271" s="15"/>
      <c r="AE271" s="15"/>
      <c r="AF271" s="15"/>
    </row>
    <row r="272" ht="15.75" customHeight="1">
      <c r="A272" s="15"/>
      <c r="B272" s="449"/>
      <c r="C272" s="450"/>
      <c r="D272" s="31"/>
      <c r="E272" s="37"/>
      <c r="F272" s="30"/>
      <c r="G272" s="29"/>
      <c r="H272" s="30"/>
      <c r="I272" s="9"/>
      <c r="J272" s="9"/>
      <c r="K272" s="11"/>
      <c r="L272" s="11"/>
      <c r="M272" s="15"/>
      <c r="N272" s="15"/>
      <c r="O272" s="15"/>
      <c r="P272" s="15"/>
      <c r="Q272" s="15"/>
      <c r="R272" s="15"/>
      <c r="S272" s="15"/>
      <c r="T272" s="15"/>
      <c r="U272" s="15"/>
      <c r="V272" s="15"/>
      <c r="W272" s="15"/>
      <c r="X272" s="15"/>
      <c r="Y272" s="15"/>
      <c r="Z272" s="15"/>
      <c r="AA272" s="15"/>
      <c r="AB272" s="15"/>
      <c r="AC272" s="15"/>
      <c r="AD272" s="15"/>
      <c r="AE272" s="15"/>
      <c r="AF272" s="15"/>
    </row>
    <row r="273" ht="15.75" customHeight="1">
      <c r="A273" s="15"/>
      <c r="B273" s="449"/>
      <c r="C273" s="450"/>
      <c r="D273" s="31"/>
      <c r="E273" s="37"/>
      <c r="F273" s="37"/>
      <c r="G273" s="29"/>
      <c r="H273" s="30"/>
      <c r="I273" s="31"/>
      <c r="J273" s="9"/>
      <c r="K273" s="11"/>
      <c r="L273" s="11"/>
      <c r="M273" s="15"/>
      <c r="N273" s="15"/>
      <c r="O273" s="15"/>
      <c r="P273" s="15"/>
      <c r="Q273" s="15"/>
      <c r="R273" s="15"/>
      <c r="S273" s="15"/>
      <c r="T273" s="15"/>
      <c r="U273" s="15"/>
      <c r="V273" s="15"/>
      <c r="W273" s="15"/>
      <c r="X273" s="15"/>
      <c r="Y273" s="15"/>
      <c r="Z273" s="15"/>
      <c r="AA273" s="15"/>
      <c r="AB273" s="15"/>
      <c r="AC273" s="15"/>
      <c r="AD273" s="15"/>
      <c r="AE273" s="15"/>
      <c r="AF273" s="15"/>
    </row>
    <row r="274" ht="15.75" customHeight="1">
      <c r="A274" s="15"/>
      <c r="B274" s="449"/>
      <c r="C274" s="450"/>
      <c r="D274" s="31"/>
      <c r="E274" s="31"/>
      <c r="F274" s="31"/>
      <c r="G274" s="29"/>
      <c r="H274" s="31"/>
      <c r="I274" s="31"/>
      <c r="J274" s="9"/>
      <c r="K274" s="11"/>
      <c r="L274" s="11"/>
      <c r="M274" s="15"/>
      <c r="N274" s="15"/>
      <c r="O274" s="15"/>
      <c r="P274" s="15"/>
      <c r="Q274" s="15"/>
      <c r="R274" s="15"/>
      <c r="S274" s="15"/>
      <c r="T274" s="15"/>
      <c r="U274" s="15"/>
      <c r="V274" s="15"/>
      <c r="W274" s="15"/>
      <c r="X274" s="15"/>
      <c r="Y274" s="15"/>
      <c r="Z274" s="15"/>
      <c r="AA274" s="15"/>
      <c r="AB274" s="15"/>
      <c r="AC274" s="15"/>
      <c r="AD274" s="15"/>
      <c r="AE274" s="15"/>
      <c r="AF274" s="15"/>
    </row>
    <row r="275" ht="15.75" customHeight="1">
      <c r="A275" s="15"/>
      <c r="B275" s="449"/>
      <c r="C275" s="55"/>
      <c r="D275" s="55"/>
      <c r="E275" s="31"/>
      <c r="F275" s="31"/>
      <c r="G275" s="29"/>
      <c r="H275" s="31"/>
      <c r="I275" s="9"/>
      <c r="J275" s="9"/>
      <c r="K275" s="11"/>
      <c r="L275" s="11"/>
      <c r="M275" s="15"/>
      <c r="N275" s="15"/>
      <c r="O275" s="15"/>
      <c r="P275" s="15"/>
      <c r="Q275" s="15"/>
      <c r="R275" s="15"/>
      <c r="S275" s="15"/>
      <c r="T275" s="15"/>
      <c r="U275" s="15"/>
      <c r="V275" s="15"/>
      <c r="W275" s="15"/>
      <c r="X275" s="15"/>
      <c r="Y275" s="15"/>
      <c r="Z275" s="15"/>
      <c r="AA275" s="15"/>
      <c r="AB275" s="15"/>
      <c r="AC275" s="15"/>
      <c r="AD275" s="15"/>
      <c r="AE275" s="15"/>
      <c r="AF275" s="15"/>
    </row>
    <row r="276" ht="15.75" customHeight="1">
      <c r="A276" s="15"/>
      <c r="B276" s="449"/>
      <c r="C276" s="55"/>
      <c r="D276" s="55"/>
      <c r="E276" s="31"/>
      <c r="F276" s="31"/>
      <c r="G276" s="29"/>
      <c r="H276" s="31"/>
      <c r="I276" s="9"/>
      <c r="J276" s="9"/>
      <c r="K276" s="11"/>
      <c r="L276" s="11"/>
      <c r="M276" s="15"/>
      <c r="N276" s="15"/>
      <c r="O276" s="15"/>
      <c r="P276" s="15"/>
      <c r="Q276" s="15"/>
      <c r="R276" s="15"/>
      <c r="S276" s="15"/>
      <c r="T276" s="15"/>
      <c r="U276" s="15"/>
      <c r="V276" s="15"/>
      <c r="W276" s="15"/>
      <c r="X276" s="15"/>
      <c r="Y276" s="15"/>
      <c r="Z276" s="15"/>
      <c r="AA276" s="15"/>
      <c r="AB276" s="15"/>
      <c r="AC276" s="15"/>
      <c r="AD276" s="15"/>
      <c r="AE276" s="15"/>
      <c r="AF276" s="15"/>
    </row>
    <row r="277" ht="15.75" customHeight="1">
      <c r="A277" s="15"/>
      <c r="B277" s="449"/>
      <c r="C277" s="55"/>
      <c r="D277" s="55"/>
      <c r="E277" s="31"/>
      <c r="F277" s="31"/>
      <c r="G277" s="29"/>
      <c r="H277" s="31"/>
      <c r="I277" s="9"/>
      <c r="J277" s="9"/>
      <c r="K277" s="11"/>
      <c r="L277" s="11"/>
      <c r="M277" s="15"/>
      <c r="N277" s="15"/>
      <c r="O277" s="15"/>
      <c r="P277" s="15"/>
      <c r="Q277" s="15"/>
      <c r="R277" s="15"/>
      <c r="S277" s="15"/>
      <c r="T277" s="15"/>
      <c r="U277" s="15"/>
      <c r="V277" s="15"/>
      <c r="W277" s="15"/>
      <c r="X277" s="15"/>
      <c r="Y277" s="15"/>
      <c r="Z277" s="15"/>
      <c r="AA277" s="15"/>
      <c r="AB277" s="15"/>
      <c r="AC277" s="15"/>
      <c r="AD277" s="15"/>
      <c r="AE277" s="15"/>
      <c r="AF277" s="15"/>
    </row>
    <row r="278" ht="15.75" customHeight="1">
      <c r="A278" s="15"/>
      <c r="B278" s="449"/>
      <c r="C278" s="55"/>
      <c r="D278" s="55"/>
      <c r="E278" s="37"/>
      <c r="F278" s="31"/>
      <c r="G278" s="29"/>
      <c r="H278" s="31"/>
      <c r="I278" s="9"/>
      <c r="J278" s="9"/>
      <c r="K278" s="11"/>
      <c r="L278" s="11"/>
      <c r="M278" s="15"/>
      <c r="N278" s="15"/>
      <c r="O278" s="15"/>
      <c r="P278" s="15"/>
      <c r="Q278" s="15"/>
      <c r="R278" s="15"/>
      <c r="S278" s="15"/>
      <c r="T278" s="15"/>
      <c r="U278" s="15"/>
      <c r="V278" s="15"/>
      <c r="W278" s="15"/>
      <c r="X278" s="15"/>
      <c r="Y278" s="15"/>
      <c r="Z278" s="15"/>
      <c r="AA278" s="15"/>
      <c r="AB278" s="15"/>
      <c r="AC278" s="15"/>
      <c r="AD278" s="15"/>
      <c r="AE278" s="15"/>
      <c r="AF278" s="15"/>
    </row>
    <row r="279" ht="15.75" customHeight="1">
      <c r="A279" s="15"/>
      <c r="B279" s="449"/>
      <c r="C279" s="55"/>
      <c r="D279" s="55"/>
      <c r="E279" s="37"/>
      <c r="F279" s="30"/>
      <c r="G279" s="29"/>
      <c r="H279" s="30"/>
      <c r="I279" s="9"/>
      <c r="J279" s="9"/>
      <c r="K279" s="11"/>
      <c r="L279" s="11"/>
      <c r="M279" s="15"/>
      <c r="N279" s="15"/>
      <c r="O279" s="15"/>
      <c r="P279" s="15"/>
      <c r="Q279" s="15"/>
      <c r="R279" s="15"/>
      <c r="S279" s="15"/>
      <c r="T279" s="15"/>
      <c r="U279" s="15"/>
      <c r="V279" s="15"/>
      <c r="W279" s="15"/>
      <c r="X279" s="15"/>
      <c r="Y279" s="15"/>
      <c r="Z279" s="15"/>
      <c r="AA279" s="15"/>
      <c r="AB279" s="15"/>
      <c r="AC279" s="15"/>
      <c r="AD279" s="15"/>
      <c r="AE279" s="15"/>
      <c r="AF279" s="15"/>
    </row>
    <row r="280" ht="15.75" customHeight="1">
      <c r="A280" s="15"/>
      <c r="B280" s="449"/>
      <c r="C280" s="55"/>
      <c r="D280" s="55"/>
      <c r="E280" s="37"/>
      <c r="F280" s="37"/>
      <c r="G280" s="29"/>
      <c r="H280" s="30"/>
      <c r="I280" s="9"/>
      <c r="J280" s="9"/>
      <c r="K280" s="11"/>
      <c r="L280" s="11"/>
      <c r="M280" s="15"/>
      <c r="N280" s="15"/>
      <c r="O280" s="15"/>
      <c r="P280" s="15"/>
      <c r="Q280" s="15"/>
      <c r="R280" s="15"/>
      <c r="S280" s="15"/>
      <c r="T280" s="15"/>
      <c r="U280" s="15"/>
      <c r="V280" s="15"/>
      <c r="W280" s="15"/>
      <c r="X280" s="15"/>
      <c r="Y280" s="15"/>
      <c r="Z280" s="15"/>
      <c r="AA280" s="15"/>
      <c r="AB280" s="15"/>
      <c r="AC280" s="15"/>
      <c r="AD280" s="15"/>
      <c r="AE280" s="15"/>
      <c r="AF280" s="15"/>
    </row>
    <row r="281" ht="15.75" customHeight="1">
      <c r="A281" s="15"/>
      <c r="B281" s="449"/>
      <c r="C281" s="55"/>
      <c r="D281" s="55"/>
      <c r="E281" s="31"/>
      <c r="F281" s="31"/>
      <c r="G281" s="29"/>
      <c r="H281" s="31"/>
      <c r="I281" s="31"/>
      <c r="J281" s="9"/>
      <c r="K281" s="11"/>
      <c r="L281" s="11"/>
      <c r="M281" s="15"/>
      <c r="N281" s="15"/>
      <c r="O281" s="15"/>
      <c r="P281" s="15"/>
      <c r="Q281" s="15"/>
      <c r="R281" s="15"/>
      <c r="S281" s="15"/>
      <c r="T281" s="15"/>
      <c r="U281" s="15"/>
      <c r="V281" s="15"/>
      <c r="W281" s="15"/>
      <c r="X281" s="15"/>
      <c r="Y281" s="15"/>
      <c r="Z281" s="15"/>
      <c r="AA281" s="15"/>
      <c r="AB281" s="15"/>
      <c r="AC281" s="15"/>
      <c r="AD281" s="15"/>
      <c r="AE281" s="15"/>
      <c r="AF281" s="15"/>
    </row>
    <row r="282" ht="15.75" customHeight="1">
      <c r="A282" s="15"/>
      <c r="B282" s="449"/>
      <c r="C282" s="55"/>
      <c r="D282" s="55"/>
      <c r="E282" s="31"/>
      <c r="F282" s="31"/>
      <c r="G282" s="29"/>
      <c r="H282" s="31"/>
      <c r="I282" s="31"/>
      <c r="J282" s="9"/>
      <c r="K282" s="11"/>
      <c r="L282" s="11"/>
      <c r="M282" s="15"/>
      <c r="N282" s="15"/>
      <c r="O282" s="15"/>
      <c r="P282" s="15"/>
      <c r="Q282" s="15"/>
      <c r="R282" s="15"/>
      <c r="S282" s="15"/>
      <c r="T282" s="15"/>
      <c r="U282" s="15"/>
      <c r="V282" s="15"/>
      <c r="W282" s="15"/>
      <c r="X282" s="15"/>
      <c r="Y282" s="15"/>
      <c r="Z282" s="15"/>
      <c r="AA282" s="15"/>
      <c r="AB282" s="15"/>
      <c r="AC282" s="15"/>
      <c r="AD282" s="15"/>
      <c r="AE282" s="15"/>
      <c r="AF282" s="15"/>
    </row>
    <row r="283" ht="15.75" customHeight="1">
      <c r="A283" s="15"/>
      <c r="B283" s="449"/>
      <c r="C283" s="55"/>
      <c r="D283" s="55"/>
      <c r="E283" s="31"/>
      <c r="F283" s="31"/>
      <c r="G283" s="29"/>
      <c r="H283" s="31"/>
      <c r="I283" s="9"/>
      <c r="J283" s="9"/>
      <c r="K283" s="11"/>
      <c r="L283" s="11"/>
      <c r="M283" s="15"/>
      <c r="N283" s="15"/>
      <c r="O283" s="15"/>
      <c r="P283" s="15"/>
      <c r="Q283" s="15"/>
      <c r="R283" s="15"/>
      <c r="S283" s="15"/>
      <c r="T283" s="15"/>
      <c r="U283" s="15"/>
      <c r="V283" s="15"/>
      <c r="W283" s="15"/>
      <c r="X283" s="15"/>
      <c r="Y283" s="15"/>
      <c r="Z283" s="15"/>
      <c r="AA283" s="15"/>
      <c r="AB283" s="15"/>
      <c r="AC283" s="15"/>
      <c r="AD283" s="15"/>
      <c r="AE283" s="15"/>
      <c r="AF283" s="15"/>
    </row>
    <row r="284" ht="15.75" customHeight="1">
      <c r="A284" s="15"/>
      <c r="B284" s="449"/>
      <c r="C284" s="55"/>
      <c r="D284" s="55"/>
      <c r="E284" s="31"/>
      <c r="F284" s="31"/>
      <c r="G284" s="29"/>
      <c r="H284" s="31"/>
      <c r="I284" s="9"/>
      <c r="J284" s="9"/>
      <c r="K284" s="11"/>
      <c r="L284" s="11"/>
      <c r="M284" s="15"/>
      <c r="N284" s="15"/>
      <c r="O284" s="15"/>
      <c r="P284" s="15"/>
      <c r="Q284" s="15"/>
      <c r="R284" s="15"/>
      <c r="S284" s="15"/>
      <c r="T284" s="15"/>
      <c r="U284" s="15"/>
      <c r="V284" s="15"/>
      <c r="W284" s="15"/>
      <c r="X284" s="15"/>
      <c r="Y284" s="15"/>
      <c r="Z284" s="15"/>
      <c r="AA284" s="15"/>
      <c r="AB284" s="15"/>
      <c r="AC284" s="15"/>
      <c r="AD284" s="15"/>
      <c r="AE284" s="15"/>
      <c r="AF284" s="15"/>
    </row>
    <row r="285" ht="15.75" customHeight="1">
      <c r="A285" s="15"/>
      <c r="B285" s="449"/>
      <c r="C285" s="55"/>
      <c r="D285" s="55"/>
      <c r="E285" s="31"/>
      <c r="F285" s="31"/>
      <c r="G285" s="29"/>
      <c r="H285" s="31"/>
      <c r="I285" s="9"/>
      <c r="J285" s="9"/>
      <c r="K285" s="11"/>
      <c r="L285" s="11"/>
      <c r="M285" s="15"/>
      <c r="N285" s="15"/>
      <c r="O285" s="15"/>
      <c r="P285" s="15"/>
      <c r="Q285" s="15"/>
      <c r="R285" s="15"/>
      <c r="S285" s="15"/>
      <c r="T285" s="15"/>
      <c r="U285" s="15"/>
      <c r="V285" s="15"/>
      <c r="W285" s="15"/>
      <c r="X285" s="15"/>
      <c r="Y285" s="15"/>
      <c r="Z285" s="15"/>
      <c r="AA285" s="15"/>
      <c r="AB285" s="15"/>
      <c r="AC285" s="15"/>
      <c r="AD285" s="15"/>
      <c r="AE285" s="15"/>
      <c r="AF285" s="15"/>
    </row>
    <row r="286" ht="15.75" customHeight="1">
      <c r="A286" s="15"/>
      <c r="B286" s="449"/>
      <c r="C286" s="55"/>
      <c r="D286" s="55"/>
      <c r="E286" s="37"/>
      <c r="F286" s="31"/>
      <c r="G286" s="29"/>
      <c r="H286" s="31"/>
      <c r="I286" s="9"/>
      <c r="J286" s="9"/>
      <c r="K286" s="11"/>
      <c r="L286" s="11"/>
      <c r="M286" s="15"/>
      <c r="N286" s="15"/>
      <c r="O286" s="15"/>
      <c r="P286" s="15"/>
      <c r="Q286" s="15"/>
      <c r="R286" s="15"/>
      <c r="S286" s="15"/>
      <c r="T286" s="15"/>
      <c r="U286" s="15"/>
      <c r="V286" s="15"/>
      <c r="W286" s="15"/>
      <c r="X286" s="15"/>
      <c r="Y286" s="15"/>
      <c r="Z286" s="15"/>
      <c r="AA286" s="15"/>
      <c r="AB286" s="15"/>
      <c r="AC286" s="15"/>
      <c r="AD286" s="15"/>
      <c r="AE286" s="15"/>
      <c r="AF286" s="15"/>
    </row>
    <row r="287" ht="15.75" customHeight="1">
      <c r="A287" s="15"/>
      <c r="B287" s="449"/>
      <c r="C287" s="55"/>
      <c r="D287" s="55"/>
      <c r="E287" s="37"/>
      <c r="F287" s="30"/>
      <c r="G287" s="29"/>
      <c r="H287" s="30"/>
      <c r="I287" s="9"/>
      <c r="J287" s="9"/>
      <c r="K287" s="11"/>
      <c r="L287" s="11"/>
      <c r="M287" s="15"/>
      <c r="N287" s="15"/>
      <c r="O287" s="15"/>
      <c r="P287" s="15"/>
      <c r="Q287" s="15"/>
      <c r="R287" s="15"/>
      <c r="S287" s="15"/>
      <c r="T287" s="15"/>
      <c r="U287" s="15"/>
      <c r="V287" s="15"/>
      <c r="W287" s="15"/>
      <c r="X287" s="15"/>
      <c r="Y287" s="15"/>
      <c r="Z287" s="15"/>
      <c r="AA287" s="15"/>
      <c r="AB287" s="15"/>
      <c r="AC287" s="15"/>
      <c r="AD287" s="15"/>
      <c r="AE287" s="15"/>
      <c r="AF287" s="15"/>
    </row>
    <row r="288" ht="15.75" customHeight="1">
      <c r="A288" s="15"/>
      <c r="B288" s="449"/>
      <c r="C288" s="55"/>
      <c r="D288" s="55"/>
      <c r="E288" s="37"/>
      <c r="F288" s="37"/>
      <c r="G288" s="29"/>
      <c r="H288" s="30"/>
      <c r="I288" s="9"/>
      <c r="J288" s="9"/>
      <c r="K288" s="11"/>
      <c r="L288" s="11"/>
      <c r="M288" s="15"/>
      <c r="N288" s="15"/>
      <c r="O288" s="15"/>
      <c r="P288" s="15"/>
      <c r="Q288" s="15"/>
      <c r="R288" s="15"/>
      <c r="S288" s="15"/>
      <c r="T288" s="15"/>
      <c r="U288" s="15"/>
      <c r="V288" s="15"/>
      <c r="W288" s="15"/>
      <c r="X288" s="15"/>
      <c r="Y288" s="15"/>
      <c r="Z288" s="15"/>
      <c r="AA288" s="15"/>
      <c r="AB288" s="15"/>
      <c r="AC288" s="15"/>
      <c r="AD288" s="15"/>
      <c r="AE288" s="15"/>
      <c r="AF288" s="15"/>
    </row>
    <row r="289" ht="15.75" customHeight="1">
      <c r="A289" s="15"/>
      <c r="B289" s="449"/>
      <c r="C289" s="55"/>
      <c r="D289" s="55"/>
      <c r="E289" s="31"/>
      <c r="F289" s="31"/>
      <c r="G289" s="29"/>
      <c r="H289" s="31"/>
      <c r="I289" s="31"/>
      <c r="J289" s="9"/>
      <c r="K289" s="11"/>
      <c r="L289" s="11"/>
      <c r="M289" s="15"/>
      <c r="N289" s="15"/>
      <c r="O289" s="15"/>
      <c r="P289" s="15"/>
      <c r="Q289" s="15"/>
      <c r="R289" s="15"/>
      <c r="S289" s="15"/>
      <c r="T289" s="15"/>
      <c r="U289" s="15"/>
      <c r="V289" s="15"/>
      <c r="W289" s="15"/>
      <c r="X289" s="15"/>
      <c r="Y289" s="15"/>
      <c r="Z289" s="15"/>
      <c r="AA289" s="15"/>
      <c r="AB289" s="15"/>
      <c r="AC289" s="15"/>
      <c r="AD289" s="15"/>
      <c r="AE289" s="15"/>
      <c r="AF289" s="15"/>
    </row>
    <row r="290" ht="15.75" customHeight="1">
      <c r="A290" s="15"/>
      <c r="B290" s="449"/>
      <c r="C290" s="55"/>
      <c r="D290" s="55"/>
      <c r="E290" s="31"/>
      <c r="F290" s="31"/>
      <c r="G290" s="29"/>
      <c r="H290" s="31"/>
      <c r="I290" s="31"/>
      <c r="J290" s="9"/>
      <c r="K290" s="11"/>
      <c r="L290" s="11"/>
      <c r="M290" s="15"/>
      <c r="N290" s="15"/>
      <c r="O290" s="15"/>
      <c r="P290" s="15"/>
      <c r="Q290" s="15"/>
      <c r="R290" s="15"/>
      <c r="S290" s="15"/>
      <c r="T290" s="15"/>
      <c r="U290" s="15"/>
      <c r="V290" s="15"/>
      <c r="W290" s="15"/>
      <c r="X290" s="15"/>
      <c r="Y290" s="15"/>
      <c r="Z290" s="15"/>
      <c r="AA290" s="15"/>
      <c r="AB290" s="15"/>
      <c r="AC290" s="15"/>
      <c r="AD290" s="15"/>
      <c r="AE290" s="15"/>
      <c r="AF290" s="15"/>
    </row>
    <row r="291" ht="15.75" customHeight="1">
      <c r="A291" s="15"/>
      <c r="B291" s="449"/>
      <c r="C291" s="55"/>
      <c r="D291" s="55"/>
      <c r="E291" s="31"/>
      <c r="F291" s="31"/>
      <c r="G291" s="29"/>
      <c r="H291" s="31"/>
      <c r="I291" s="9"/>
      <c r="J291" s="9"/>
      <c r="K291" s="11"/>
      <c r="L291" s="11"/>
      <c r="M291" s="15"/>
      <c r="N291" s="15"/>
      <c r="O291" s="15"/>
      <c r="P291" s="15"/>
      <c r="Q291" s="15"/>
      <c r="R291" s="15"/>
      <c r="S291" s="15"/>
      <c r="T291" s="15"/>
      <c r="U291" s="15"/>
      <c r="V291" s="15"/>
      <c r="W291" s="15"/>
      <c r="X291" s="15"/>
      <c r="Y291" s="15"/>
      <c r="Z291" s="15"/>
      <c r="AA291" s="15"/>
      <c r="AB291" s="15"/>
      <c r="AC291" s="15"/>
      <c r="AD291" s="15"/>
      <c r="AE291" s="15"/>
      <c r="AF291" s="15"/>
    </row>
    <row r="292" ht="15.75" customHeight="1">
      <c r="A292" s="15"/>
      <c r="B292" s="449"/>
      <c r="C292" s="55"/>
      <c r="D292" s="55"/>
      <c r="E292" s="31"/>
      <c r="F292" s="31"/>
      <c r="G292" s="29"/>
      <c r="H292" s="31"/>
      <c r="I292" s="9"/>
      <c r="J292" s="9"/>
      <c r="K292" s="11"/>
      <c r="L292" s="11"/>
      <c r="M292" s="15"/>
      <c r="N292" s="15"/>
      <c r="O292" s="15"/>
      <c r="P292" s="15"/>
      <c r="Q292" s="15"/>
      <c r="R292" s="15"/>
      <c r="S292" s="15"/>
      <c r="T292" s="15"/>
      <c r="U292" s="15"/>
      <c r="V292" s="15"/>
      <c r="W292" s="15"/>
      <c r="X292" s="15"/>
      <c r="Y292" s="15"/>
      <c r="Z292" s="15"/>
      <c r="AA292" s="15"/>
      <c r="AB292" s="15"/>
      <c r="AC292" s="15"/>
      <c r="AD292" s="15"/>
      <c r="AE292" s="15"/>
      <c r="AF292" s="15"/>
    </row>
    <row r="293" ht="15.75" customHeight="1">
      <c r="A293" s="15"/>
      <c r="B293" s="449"/>
      <c r="C293" s="55"/>
      <c r="D293" s="55"/>
      <c r="E293" s="31"/>
      <c r="F293" s="31"/>
      <c r="G293" s="29"/>
      <c r="H293" s="31"/>
      <c r="I293" s="9"/>
      <c r="J293" s="9"/>
      <c r="K293" s="11"/>
      <c r="L293" s="11"/>
      <c r="M293" s="15"/>
      <c r="N293" s="15"/>
      <c r="O293" s="15"/>
      <c r="P293" s="15"/>
      <c r="Q293" s="15"/>
      <c r="R293" s="15"/>
      <c r="S293" s="15"/>
      <c r="T293" s="15"/>
      <c r="U293" s="15"/>
      <c r="V293" s="15"/>
      <c r="W293" s="15"/>
      <c r="X293" s="15"/>
      <c r="Y293" s="15"/>
      <c r="Z293" s="15"/>
      <c r="AA293" s="15"/>
      <c r="AB293" s="15"/>
      <c r="AC293" s="15"/>
      <c r="AD293" s="15"/>
      <c r="AE293" s="15"/>
      <c r="AF293" s="15"/>
    </row>
    <row r="294" ht="15.75" customHeight="1">
      <c r="A294" s="15"/>
      <c r="B294" s="449"/>
      <c r="C294" s="55"/>
      <c r="D294" s="55"/>
      <c r="E294" s="37"/>
      <c r="F294" s="31"/>
      <c r="G294" s="29"/>
      <c r="H294" s="31"/>
      <c r="I294" s="9"/>
      <c r="J294" s="9"/>
      <c r="K294" s="11"/>
      <c r="L294" s="11"/>
      <c r="M294" s="15"/>
      <c r="N294" s="15"/>
      <c r="O294" s="15"/>
      <c r="P294" s="15"/>
      <c r="Q294" s="15"/>
      <c r="R294" s="15"/>
      <c r="S294" s="15"/>
      <c r="T294" s="15"/>
      <c r="U294" s="15"/>
      <c r="V294" s="15"/>
      <c r="W294" s="15"/>
      <c r="X294" s="15"/>
      <c r="Y294" s="15"/>
      <c r="Z294" s="15"/>
      <c r="AA294" s="15"/>
      <c r="AB294" s="15"/>
      <c r="AC294" s="15"/>
      <c r="AD294" s="15"/>
      <c r="AE294" s="15"/>
      <c r="AF294" s="15"/>
    </row>
    <row r="295" ht="15.75" customHeight="1">
      <c r="A295" s="15"/>
      <c r="B295" s="449"/>
      <c r="C295" s="55"/>
      <c r="D295" s="55"/>
      <c r="E295" s="37"/>
      <c r="F295" s="30"/>
      <c r="G295" s="29"/>
      <c r="H295" s="30"/>
      <c r="I295" s="9"/>
      <c r="J295" s="9"/>
      <c r="K295" s="11"/>
      <c r="L295" s="11"/>
      <c r="M295" s="15"/>
      <c r="N295" s="15"/>
      <c r="O295" s="15"/>
      <c r="P295" s="15"/>
      <c r="Q295" s="15"/>
      <c r="R295" s="15"/>
      <c r="S295" s="15"/>
      <c r="T295" s="15"/>
      <c r="U295" s="15"/>
      <c r="V295" s="15"/>
      <c r="W295" s="15"/>
      <c r="X295" s="15"/>
      <c r="Y295" s="15"/>
      <c r="Z295" s="15"/>
      <c r="AA295" s="15"/>
      <c r="AB295" s="15"/>
      <c r="AC295" s="15"/>
      <c r="AD295" s="15"/>
      <c r="AE295" s="15"/>
      <c r="AF295" s="15"/>
    </row>
    <row r="296" ht="15.75" customHeight="1">
      <c r="A296" s="15"/>
      <c r="B296" s="449"/>
      <c r="C296" s="55"/>
      <c r="D296" s="55"/>
      <c r="E296" s="37"/>
      <c r="F296" s="37"/>
      <c r="G296" s="29"/>
      <c r="H296" s="30"/>
      <c r="I296" s="9"/>
      <c r="J296" s="9"/>
      <c r="K296" s="11"/>
      <c r="L296" s="11"/>
      <c r="M296" s="15"/>
      <c r="N296" s="15"/>
      <c r="O296" s="15"/>
      <c r="P296" s="15"/>
      <c r="Q296" s="15"/>
      <c r="R296" s="15"/>
      <c r="S296" s="15"/>
      <c r="T296" s="15"/>
      <c r="U296" s="15"/>
      <c r="V296" s="15"/>
      <c r="W296" s="15"/>
      <c r="X296" s="15"/>
      <c r="Y296" s="15"/>
      <c r="Z296" s="15"/>
      <c r="AA296" s="15"/>
      <c r="AB296" s="15"/>
      <c r="AC296" s="15"/>
      <c r="AD296" s="15"/>
      <c r="AE296" s="15"/>
      <c r="AF296" s="15"/>
    </row>
    <row r="297" ht="15.75" customHeight="1">
      <c r="A297" s="15"/>
      <c r="B297" s="449"/>
      <c r="C297" s="55"/>
      <c r="D297" s="55"/>
      <c r="E297" s="31"/>
      <c r="F297" s="31"/>
      <c r="G297" s="29"/>
      <c r="H297" s="31"/>
      <c r="I297" s="9"/>
      <c r="J297" s="9"/>
      <c r="K297" s="11"/>
      <c r="L297" s="11"/>
      <c r="M297" s="15"/>
      <c r="N297" s="15"/>
      <c r="O297" s="15"/>
      <c r="P297" s="15"/>
      <c r="Q297" s="15"/>
      <c r="R297" s="15"/>
      <c r="S297" s="15"/>
      <c r="T297" s="15"/>
      <c r="U297" s="15"/>
      <c r="V297" s="15"/>
      <c r="W297" s="15"/>
      <c r="X297" s="15"/>
      <c r="Y297" s="15"/>
      <c r="Z297" s="15"/>
      <c r="AA297" s="15"/>
      <c r="AB297" s="15"/>
      <c r="AC297" s="15"/>
      <c r="AD297" s="15"/>
      <c r="AE297" s="15"/>
      <c r="AF297" s="15"/>
    </row>
    <row r="298" ht="15.75" customHeight="1">
      <c r="A298" s="15"/>
      <c r="B298" s="449"/>
      <c r="C298" s="55"/>
      <c r="D298" s="55"/>
      <c r="E298" s="31"/>
      <c r="F298" s="31"/>
      <c r="G298" s="29"/>
      <c r="H298" s="31"/>
      <c r="I298" s="9"/>
      <c r="J298" s="9"/>
      <c r="K298" s="11"/>
      <c r="L298" s="11"/>
      <c r="M298" s="15"/>
      <c r="N298" s="15"/>
      <c r="O298" s="15"/>
      <c r="P298" s="15"/>
      <c r="Q298" s="15"/>
      <c r="R298" s="15"/>
      <c r="S298" s="15"/>
      <c r="T298" s="15"/>
      <c r="U298" s="15"/>
      <c r="V298" s="15"/>
      <c r="W298" s="15"/>
      <c r="X298" s="15"/>
      <c r="Y298" s="15"/>
      <c r="Z298" s="15"/>
      <c r="AA298" s="15"/>
      <c r="AB298" s="15"/>
      <c r="AC298" s="15"/>
      <c r="AD298" s="15"/>
      <c r="AE298" s="15"/>
      <c r="AF298" s="15"/>
    </row>
    <row r="299" ht="15.75" customHeight="1">
      <c r="A299" s="15"/>
      <c r="B299" s="449"/>
      <c r="C299" s="55"/>
      <c r="D299" s="55"/>
      <c r="E299" s="31"/>
      <c r="F299" s="31"/>
      <c r="G299" s="29"/>
      <c r="H299" s="31"/>
      <c r="I299" s="9"/>
      <c r="J299" s="9"/>
      <c r="K299" s="11"/>
      <c r="L299" s="11"/>
      <c r="M299" s="15"/>
      <c r="N299" s="15"/>
      <c r="O299" s="15"/>
      <c r="P299" s="15"/>
      <c r="Q299" s="15"/>
      <c r="R299" s="15"/>
      <c r="S299" s="15"/>
      <c r="T299" s="15"/>
      <c r="U299" s="15"/>
      <c r="V299" s="15"/>
      <c r="W299" s="15"/>
      <c r="X299" s="15"/>
      <c r="Y299" s="15"/>
      <c r="Z299" s="15"/>
      <c r="AA299" s="15"/>
      <c r="AB299" s="15"/>
      <c r="AC299" s="15"/>
      <c r="AD299" s="15"/>
      <c r="AE299" s="15"/>
      <c r="AF299" s="15"/>
    </row>
    <row r="300" ht="15.75" customHeight="1">
      <c r="A300" s="15"/>
      <c r="B300" s="449"/>
      <c r="C300" s="55"/>
      <c r="D300" s="55"/>
      <c r="E300" s="31"/>
      <c r="F300" s="31"/>
      <c r="G300" s="29"/>
      <c r="H300" s="31"/>
      <c r="I300" s="9"/>
      <c r="J300" s="9"/>
      <c r="K300" s="11"/>
      <c r="L300" s="11"/>
      <c r="M300" s="15"/>
      <c r="N300" s="15"/>
      <c r="O300" s="15"/>
      <c r="P300" s="15"/>
      <c r="Q300" s="15"/>
      <c r="R300" s="15"/>
      <c r="S300" s="15"/>
      <c r="T300" s="15"/>
      <c r="U300" s="15"/>
      <c r="V300" s="15"/>
      <c r="W300" s="15"/>
      <c r="X300" s="15"/>
      <c r="Y300" s="15"/>
      <c r="Z300" s="15"/>
      <c r="AA300" s="15"/>
      <c r="AB300" s="15"/>
      <c r="AC300" s="15"/>
      <c r="AD300" s="15"/>
      <c r="AE300" s="15"/>
      <c r="AF300" s="15"/>
    </row>
    <row r="301" ht="15.75" customHeight="1">
      <c r="A301" s="15"/>
      <c r="B301" s="449"/>
      <c r="C301" s="55"/>
      <c r="D301" s="55"/>
      <c r="E301" s="31"/>
      <c r="F301" s="31"/>
      <c r="G301" s="29"/>
      <c r="H301" s="31"/>
      <c r="I301" s="9"/>
      <c r="J301" s="9"/>
      <c r="K301" s="11"/>
      <c r="L301" s="11"/>
      <c r="M301" s="15"/>
      <c r="N301" s="15"/>
      <c r="O301" s="15"/>
      <c r="P301" s="15"/>
      <c r="Q301" s="15"/>
      <c r="R301" s="15"/>
      <c r="S301" s="15"/>
      <c r="T301" s="15"/>
      <c r="U301" s="15"/>
      <c r="V301" s="15"/>
      <c r="W301" s="15"/>
      <c r="X301" s="15"/>
      <c r="Y301" s="15"/>
      <c r="Z301" s="15"/>
      <c r="AA301" s="15"/>
      <c r="AB301" s="15"/>
      <c r="AC301" s="15"/>
      <c r="AD301" s="15"/>
      <c r="AE301" s="15"/>
      <c r="AF301" s="15"/>
    </row>
    <row r="302" ht="15.75" customHeight="1">
      <c r="A302" s="15"/>
      <c r="B302" s="449"/>
      <c r="C302" s="55"/>
      <c r="D302" s="55"/>
      <c r="E302" s="31"/>
      <c r="F302" s="31"/>
      <c r="G302" s="29"/>
      <c r="H302" s="31"/>
      <c r="I302" s="9"/>
      <c r="J302" s="9"/>
      <c r="K302" s="11"/>
      <c r="L302" s="11"/>
      <c r="M302" s="15"/>
      <c r="N302" s="15"/>
      <c r="O302" s="15"/>
      <c r="P302" s="15"/>
      <c r="Q302" s="15"/>
      <c r="R302" s="15"/>
      <c r="S302" s="15"/>
      <c r="T302" s="15"/>
      <c r="U302" s="15"/>
      <c r="V302" s="15"/>
      <c r="W302" s="15"/>
      <c r="X302" s="15"/>
      <c r="Y302" s="15"/>
      <c r="Z302" s="15"/>
      <c r="AA302" s="15"/>
      <c r="AB302" s="15"/>
      <c r="AC302" s="15"/>
      <c r="AD302" s="15"/>
      <c r="AE302" s="15"/>
      <c r="AF302" s="15"/>
    </row>
    <row r="303" ht="15.75" customHeight="1">
      <c r="A303" s="15"/>
      <c r="B303" s="449"/>
      <c r="C303" s="55"/>
      <c r="D303" s="55"/>
      <c r="E303" s="37"/>
      <c r="F303" s="31"/>
      <c r="G303" s="29"/>
      <c r="H303" s="31"/>
      <c r="I303" s="9"/>
      <c r="J303" s="9"/>
      <c r="K303" s="11"/>
      <c r="L303" s="11"/>
      <c r="M303" s="15"/>
      <c r="N303" s="15"/>
      <c r="O303" s="15"/>
      <c r="P303" s="15"/>
      <c r="Q303" s="15"/>
      <c r="R303" s="15"/>
      <c r="S303" s="15"/>
      <c r="T303" s="15"/>
      <c r="U303" s="15"/>
      <c r="V303" s="15"/>
      <c r="W303" s="15"/>
      <c r="X303" s="15"/>
      <c r="Y303" s="15"/>
      <c r="Z303" s="15"/>
      <c r="AA303" s="15"/>
      <c r="AB303" s="15"/>
      <c r="AC303" s="15"/>
      <c r="AD303" s="15"/>
      <c r="AE303" s="15"/>
      <c r="AF303" s="15"/>
    </row>
    <row r="304" ht="15.75" customHeight="1">
      <c r="A304" s="15"/>
      <c r="B304" s="449"/>
      <c r="C304" s="55"/>
      <c r="D304" s="55"/>
      <c r="E304" s="37"/>
      <c r="F304" s="30"/>
      <c r="G304" s="29"/>
      <c r="H304" s="30"/>
      <c r="I304" s="31"/>
      <c r="J304" s="9"/>
      <c r="K304" s="11"/>
      <c r="L304" s="11"/>
      <c r="M304" s="15"/>
      <c r="N304" s="15"/>
      <c r="O304" s="15"/>
      <c r="P304" s="15"/>
      <c r="Q304" s="15"/>
      <c r="R304" s="15"/>
      <c r="S304" s="15"/>
      <c r="T304" s="15"/>
      <c r="U304" s="15"/>
      <c r="V304" s="15"/>
      <c r="W304" s="15"/>
      <c r="X304" s="15"/>
      <c r="Y304" s="15"/>
      <c r="Z304" s="15"/>
      <c r="AA304" s="15"/>
      <c r="AB304" s="15"/>
      <c r="AC304" s="15"/>
      <c r="AD304" s="15"/>
      <c r="AE304" s="15"/>
      <c r="AF304" s="15"/>
    </row>
    <row r="305" ht="15.75" customHeight="1">
      <c r="A305" s="15"/>
      <c r="B305" s="449"/>
      <c r="C305" s="55"/>
      <c r="D305" s="55"/>
      <c r="E305" s="37"/>
      <c r="F305" s="37"/>
      <c r="G305" s="29"/>
      <c r="H305" s="30"/>
      <c r="I305" s="31"/>
      <c r="J305" s="9"/>
      <c r="K305" s="11"/>
      <c r="L305" s="11"/>
      <c r="M305" s="15"/>
      <c r="N305" s="15"/>
      <c r="O305" s="15"/>
      <c r="P305" s="15"/>
      <c r="Q305" s="15"/>
      <c r="R305" s="15"/>
      <c r="S305" s="15"/>
      <c r="T305" s="15"/>
      <c r="U305" s="15"/>
      <c r="V305" s="15"/>
      <c r="W305" s="15"/>
      <c r="X305" s="15"/>
      <c r="Y305" s="15"/>
      <c r="Z305" s="15"/>
      <c r="AA305" s="15"/>
      <c r="AB305" s="15"/>
      <c r="AC305" s="15"/>
      <c r="AD305" s="15"/>
      <c r="AE305" s="15"/>
      <c r="AF305" s="15"/>
    </row>
    <row r="306" ht="15.75" customHeight="1">
      <c r="A306" s="15"/>
      <c r="B306" s="449"/>
      <c r="C306" s="55"/>
      <c r="D306" s="55"/>
      <c r="E306" s="31"/>
      <c r="F306" s="59"/>
      <c r="G306" s="29"/>
      <c r="H306" s="59"/>
      <c r="I306" s="9"/>
      <c r="J306" s="9"/>
      <c r="K306" s="11"/>
      <c r="L306" s="11"/>
      <c r="M306" s="15"/>
      <c r="N306" s="15"/>
      <c r="O306" s="15"/>
      <c r="P306" s="15"/>
      <c r="Q306" s="15"/>
      <c r="R306" s="15"/>
      <c r="S306" s="15"/>
      <c r="T306" s="15"/>
      <c r="U306" s="15"/>
      <c r="V306" s="15"/>
      <c r="W306" s="15"/>
      <c r="X306" s="15"/>
      <c r="Y306" s="15"/>
      <c r="Z306" s="15"/>
      <c r="AA306" s="15"/>
      <c r="AB306" s="15"/>
      <c r="AC306" s="15"/>
      <c r="AD306" s="15"/>
      <c r="AE306" s="15"/>
      <c r="AF306" s="15"/>
    </row>
    <row r="307" ht="15.75" customHeight="1">
      <c r="A307" s="15"/>
      <c r="B307" s="449"/>
      <c r="C307" s="55"/>
      <c r="D307" s="55"/>
      <c r="E307" s="31"/>
      <c r="F307" s="31"/>
      <c r="G307" s="29"/>
      <c r="H307" s="31"/>
      <c r="I307" s="9"/>
      <c r="J307" s="9"/>
      <c r="K307" s="11"/>
      <c r="L307" s="11"/>
      <c r="M307" s="15"/>
      <c r="N307" s="15"/>
      <c r="O307" s="15"/>
      <c r="P307" s="15"/>
      <c r="Q307" s="15"/>
      <c r="R307" s="15"/>
      <c r="S307" s="15"/>
      <c r="T307" s="15"/>
      <c r="U307" s="15"/>
      <c r="V307" s="15"/>
      <c r="W307" s="15"/>
      <c r="X307" s="15"/>
      <c r="Y307" s="15"/>
      <c r="Z307" s="15"/>
      <c r="AA307" s="15"/>
      <c r="AB307" s="15"/>
      <c r="AC307" s="15"/>
      <c r="AD307" s="15"/>
      <c r="AE307" s="15"/>
      <c r="AF307" s="15"/>
    </row>
    <row r="308" ht="15.75" customHeight="1">
      <c r="A308" s="15"/>
      <c r="B308" s="449"/>
      <c r="C308" s="450"/>
      <c r="D308" s="31"/>
      <c r="E308" s="31"/>
      <c r="F308" s="31"/>
      <c r="G308" s="29"/>
      <c r="H308" s="31"/>
      <c r="I308" s="9"/>
      <c r="J308" s="9"/>
      <c r="K308" s="11"/>
      <c r="L308" s="11"/>
      <c r="M308" s="15"/>
      <c r="N308" s="15"/>
      <c r="O308" s="15"/>
      <c r="P308" s="15"/>
      <c r="Q308" s="15"/>
      <c r="R308" s="15"/>
      <c r="S308" s="15"/>
      <c r="T308" s="15"/>
      <c r="U308" s="15"/>
      <c r="V308" s="15"/>
      <c r="W308" s="15"/>
      <c r="X308" s="15"/>
      <c r="Y308" s="15"/>
      <c r="Z308" s="15"/>
      <c r="AA308" s="15"/>
      <c r="AB308" s="15"/>
      <c r="AC308" s="15"/>
      <c r="AD308" s="15"/>
      <c r="AE308" s="15"/>
      <c r="AF308" s="15"/>
    </row>
    <row r="309" ht="15.75" customHeight="1">
      <c r="A309" s="15"/>
      <c r="B309" s="449"/>
      <c r="C309" s="450"/>
      <c r="D309" s="31"/>
      <c r="E309" s="31"/>
      <c r="F309" s="31"/>
      <c r="G309" s="29"/>
      <c r="H309" s="31"/>
      <c r="I309" s="9"/>
      <c r="J309" s="9"/>
      <c r="K309" s="11"/>
      <c r="L309" s="11"/>
      <c r="M309" s="15"/>
      <c r="N309" s="15"/>
      <c r="O309" s="15"/>
      <c r="P309" s="15"/>
      <c r="Q309" s="15"/>
      <c r="R309" s="15"/>
      <c r="S309" s="15"/>
      <c r="T309" s="15"/>
      <c r="U309" s="15"/>
      <c r="V309" s="15"/>
      <c r="W309" s="15"/>
      <c r="X309" s="15"/>
      <c r="Y309" s="15"/>
      <c r="Z309" s="15"/>
      <c r="AA309" s="15"/>
      <c r="AB309" s="15"/>
      <c r="AC309" s="15"/>
      <c r="AD309" s="15"/>
      <c r="AE309" s="15"/>
      <c r="AF309" s="15"/>
    </row>
    <row r="310" ht="15.75" customHeight="1">
      <c r="A310" s="15"/>
      <c r="B310" s="449"/>
      <c r="C310" s="450"/>
      <c r="D310" s="31"/>
      <c r="E310" s="31"/>
      <c r="F310" s="31"/>
      <c r="G310" s="29"/>
      <c r="H310" s="31"/>
      <c r="I310" s="9"/>
      <c r="J310" s="9"/>
      <c r="K310" s="11"/>
      <c r="L310" s="11"/>
      <c r="M310" s="15"/>
      <c r="N310" s="15"/>
      <c r="O310" s="15"/>
      <c r="P310" s="15"/>
      <c r="Q310" s="15"/>
      <c r="R310" s="15"/>
      <c r="S310" s="15"/>
      <c r="T310" s="15"/>
      <c r="U310" s="15"/>
      <c r="V310" s="15"/>
      <c r="W310" s="15"/>
      <c r="X310" s="15"/>
      <c r="Y310" s="15"/>
      <c r="Z310" s="15"/>
      <c r="AA310" s="15"/>
      <c r="AB310" s="15"/>
      <c r="AC310" s="15"/>
      <c r="AD310" s="15"/>
      <c r="AE310" s="15"/>
      <c r="AF310" s="15"/>
    </row>
    <row r="311" ht="15.75" customHeight="1">
      <c r="A311" s="15"/>
      <c r="B311" s="449"/>
      <c r="C311" s="450"/>
      <c r="D311" s="31"/>
      <c r="E311" s="31"/>
      <c r="F311" s="31"/>
      <c r="G311" s="29"/>
      <c r="H311" s="31"/>
      <c r="I311" s="31"/>
      <c r="J311" s="9"/>
      <c r="K311" s="11"/>
      <c r="L311" s="11"/>
      <c r="M311" s="15"/>
      <c r="N311" s="15"/>
      <c r="O311" s="15"/>
      <c r="P311" s="15"/>
      <c r="Q311" s="15"/>
      <c r="R311" s="15"/>
      <c r="S311" s="15"/>
      <c r="T311" s="15"/>
      <c r="U311" s="15"/>
      <c r="V311" s="15"/>
      <c r="W311" s="15"/>
      <c r="X311" s="15"/>
      <c r="Y311" s="15"/>
      <c r="Z311" s="15"/>
      <c r="AA311" s="15"/>
      <c r="AB311" s="15"/>
      <c r="AC311" s="15"/>
      <c r="AD311" s="15"/>
      <c r="AE311" s="15"/>
      <c r="AF311" s="15"/>
    </row>
    <row r="312" ht="15.75" customHeight="1">
      <c r="A312" s="15"/>
      <c r="B312" s="449"/>
      <c r="C312" s="450"/>
      <c r="D312" s="31"/>
      <c r="E312" s="37"/>
      <c r="F312" s="31"/>
      <c r="G312" s="29"/>
      <c r="H312" s="31"/>
      <c r="I312" s="31"/>
      <c r="J312" s="9"/>
      <c r="K312" s="11"/>
      <c r="L312" s="11"/>
      <c r="M312" s="15"/>
      <c r="N312" s="15"/>
      <c r="O312" s="15"/>
      <c r="P312" s="15"/>
      <c r="Q312" s="15"/>
      <c r="R312" s="15"/>
      <c r="S312" s="15"/>
      <c r="T312" s="15"/>
      <c r="U312" s="15"/>
      <c r="V312" s="15"/>
      <c r="W312" s="15"/>
      <c r="X312" s="15"/>
      <c r="Y312" s="15"/>
      <c r="Z312" s="15"/>
      <c r="AA312" s="15"/>
      <c r="AB312" s="15"/>
      <c r="AC312" s="15"/>
      <c r="AD312" s="15"/>
      <c r="AE312" s="15"/>
      <c r="AF312" s="15"/>
    </row>
    <row r="313" ht="15.75" customHeight="1">
      <c r="A313" s="15"/>
      <c r="B313" s="449"/>
      <c r="C313" s="450"/>
      <c r="D313" s="31"/>
      <c r="E313" s="37"/>
      <c r="F313" s="30"/>
      <c r="G313" s="29"/>
      <c r="H313" s="30"/>
      <c r="I313" s="9"/>
      <c r="J313" s="9"/>
      <c r="K313" s="11"/>
      <c r="L313" s="11"/>
      <c r="M313" s="15"/>
      <c r="N313" s="15"/>
      <c r="O313" s="15"/>
      <c r="P313" s="15"/>
      <c r="Q313" s="15"/>
      <c r="R313" s="15"/>
      <c r="S313" s="15"/>
      <c r="T313" s="15"/>
      <c r="U313" s="15"/>
      <c r="V313" s="15"/>
      <c r="W313" s="15"/>
      <c r="X313" s="15"/>
      <c r="Y313" s="15"/>
      <c r="Z313" s="15"/>
      <c r="AA313" s="15"/>
      <c r="AB313" s="15"/>
      <c r="AC313" s="15"/>
      <c r="AD313" s="15"/>
      <c r="AE313" s="15"/>
      <c r="AF313" s="15"/>
    </row>
    <row r="314" ht="15.75" customHeight="1">
      <c r="A314" s="15"/>
      <c r="B314" s="449"/>
      <c r="C314" s="450"/>
      <c r="D314" s="31"/>
      <c r="E314" s="37"/>
      <c r="F314" s="37"/>
      <c r="G314" s="29"/>
      <c r="H314" s="30"/>
      <c r="I314" s="9"/>
      <c r="J314" s="9"/>
      <c r="K314" s="11"/>
      <c r="L314" s="11"/>
      <c r="M314" s="15"/>
      <c r="N314" s="15"/>
      <c r="O314" s="15"/>
      <c r="P314" s="15"/>
      <c r="Q314" s="15"/>
      <c r="R314" s="15"/>
      <c r="S314" s="15"/>
      <c r="T314" s="15"/>
      <c r="U314" s="15"/>
      <c r="V314" s="15"/>
      <c r="W314" s="15"/>
      <c r="X314" s="15"/>
      <c r="Y314" s="15"/>
      <c r="Z314" s="15"/>
      <c r="AA314" s="15"/>
      <c r="AB314" s="15"/>
      <c r="AC314" s="15"/>
      <c r="AD314" s="15"/>
      <c r="AE314" s="15"/>
      <c r="AF314" s="15"/>
    </row>
    <row r="315" ht="15.75" customHeight="1">
      <c r="A315" s="15"/>
      <c r="B315" s="449"/>
      <c r="C315" s="450"/>
      <c r="D315" s="31"/>
      <c r="E315" s="31"/>
      <c r="F315" s="59"/>
      <c r="G315" s="29"/>
      <c r="H315" s="59"/>
      <c r="I315" s="9"/>
      <c r="J315" s="9"/>
      <c r="K315" s="11"/>
      <c r="L315" s="11"/>
      <c r="M315" s="15"/>
      <c r="N315" s="15"/>
      <c r="O315" s="15"/>
      <c r="P315" s="15"/>
      <c r="Q315" s="15"/>
      <c r="R315" s="15"/>
      <c r="S315" s="15"/>
      <c r="T315" s="15"/>
      <c r="U315" s="15"/>
      <c r="V315" s="15"/>
      <c r="W315" s="15"/>
      <c r="X315" s="15"/>
      <c r="Y315" s="15"/>
      <c r="Z315" s="15"/>
      <c r="AA315" s="15"/>
      <c r="AB315" s="15"/>
      <c r="AC315" s="15"/>
      <c r="AD315" s="15"/>
      <c r="AE315" s="15"/>
      <c r="AF315" s="15"/>
    </row>
    <row r="316" ht="15.75" customHeight="1">
      <c r="A316" s="15"/>
      <c r="B316" s="449"/>
      <c r="C316" s="55"/>
      <c r="D316" s="55"/>
      <c r="E316" s="31"/>
      <c r="F316" s="31"/>
      <c r="G316" s="29"/>
      <c r="H316" s="31"/>
      <c r="I316" s="9"/>
      <c r="J316" s="9"/>
      <c r="K316" s="11"/>
      <c r="L316" s="11"/>
      <c r="M316" s="15"/>
      <c r="N316" s="15"/>
      <c r="O316" s="15"/>
      <c r="P316" s="15"/>
      <c r="Q316" s="15"/>
      <c r="R316" s="15"/>
      <c r="S316" s="15"/>
      <c r="T316" s="15"/>
      <c r="U316" s="15"/>
      <c r="V316" s="15"/>
      <c r="W316" s="15"/>
      <c r="X316" s="15"/>
      <c r="Y316" s="15"/>
      <c r="Z316" s="15"/>
      <c r="AA316" s="15"/>
      <c r="AB316" s="15"/>
      <c r="AC316" s="15"/>
      <c r="AD316" s="15"/>
      <c r="AE316" s="15"/>
      <c r="AF316" s="15"/>
    </row>
    <row r="317" ht="15.75" customHeight="1">
      <c r="A317" s="15"/>
      <c r="B317" s="449"/>
      <c r="C317" s="55"/>
      <c r="D317" s="55"/>
      <c r="E317" s="31"/>
      <c r="F317" s="31"/>
      <c r="G317" s="29"/>
      <c r="H317" s="31"/>
      <c r="I317" s="9"/>
      <c r="J317" s="9"/>
      <c r="K317" s="11"/>
      <c r="L317" s="11"/>
      <c r="M317" s="15"/>
      <c r="N317" s="15"/>
      <c r="O317" s="15"/>
      <c r="P317" s="15"/>
      <c r="Q317" s="15"/>
      <c r="R317" s="15"/>
      <c r="S317" s="15"/>
      <c r="T317" s="15"/>
      <c r="U317" s="15"/>
      <c r="V317" s="15"/>
      <c r="W317" s="15"/>
      <c r="X317" s="15"/>
      <c r="Y317" s="15"/>
      <c r="Z317" s="15"/>
      <c r="AA317" s="15"/>
      <c r="AB317" s="15"/>
      <c r="AC317" s="15"/>
      <c r="AD317" s="15"/>
      <c r="AE317" s="15"/>
      <c r="AF317" s="15"/>
    </row>
    <row r="318" ht="15.75" customHeight="1">
      <c r="A318" s="15"/>
      <c r="B318" s="449"/>
      <c r="C318" s="55"/>
      <c r="D318" s="55"/>
      <c r="E318" s="31"/>
      <c r="F318" s="31"/>
      <c r="G318" s="29"/>
      <c r="H318" s="31"/>
      <c r="I318" s="31"/>
      <c r="J318" s="9"/>
      <c r="K318" s="11"/>
      <c r="L318" s="11"/>
      <c r="M318" s="15"/>
      <c r="N318" s="15"/>
      <c r="O318" s="15"/>
      <c r="P318" s="15"/>
      <c r="Q318" s="15"/>
      <c r="R318" s="15"/>
      <c r="S318" s="15"/>
      <c r="T318" s="15"/>
      <c r="U318" s="15"/>
      <c r="V318" s="15"/>
      <c r="W318" s="15"/>
      <c r="X318" s="15"/>
      <c r="Y318" s="15"/>
      <c r="Z318" s="15"/>
      <c r="AA318" s="15"/>
      <c r="AB318" s="15"/>
      <c r="AC318" s="15"/>
      <c r="AD318" s="15"/>
      <c r="AE318" s="15"/>
      <c r="AF318" s="15"/>
    </row>
    <row r="319" ht="15.75" customHeight="1">
      <c r="A319" s="15"/>
      <c r="B319" s="449"/>
      <c r="C319" s="55"/>
      <c r="D319" s="55"/>
      <c r="E319" s="31"/>
      <c r="F319" s="31"/>
      <c r="G319" s="29"/>
      <c r="H319" s="31"/>
      <c r="I319" s="31"/>
      <c r="J319" s="9"/>
      <c r="K319" s="11"/>
      <c r="L319" s="11"/>
      <c r="M319" s="15"/>
      <c r="N319" s="15"/>
      <c r="O319" s="15"/>
      <c r="P319" s="15"/>
      <c r="Q319" s="15"/>
      <c r="R319" s="15"/>
      <c r="S319" s="15"/>
      <c r="T319" s="15"/>
      <c r="U319" s="15"/>
      <c r="V319" s="15"/>
      <c r="W319" s="15"/>
      <c r="X319" s="15"/>
      <c r="Y319" s="15"/>
      <c r="Z319" s="15"/>
      <c r="AA319" s="15"/>
      <c r="AB319" s="15"/>
      <c r="AC319" s="15"/>
      <c r="AD319" s="15"/>
      <c r="AE319" s="15"/>
      <c r="AF319" s="15"/>
    </row>
    <row r="320" ht="15.75" customHeight="1">
      <c r="A320" s="15"/>
      <c r="B320" s="449"/>
      <c r="C320" s="55"/>
      <c r="D320" s="55"/>
      <c r="E320" s="37"/>
      <c r="F320" s="31"/>
      <c r="G320" s="29"/>
      <c r="H320" s="31"/>
      <c r="I320" s="9"/>
      <c r="J320" s="9"/>
      <c r="K320" s="11"/>
      <c r="L320" s="11"/>
      <c r="M320" s="15"/>
      <c r="N320" s="15"/>
      <c r="O320" s="15"/>
      <c r="P320" s="15"/>
      <c r="Q320" s="15"/>
      <c r="R320" s="15"/>
      <c r="S320" s="15"/>
      <c r="T320" s="15"/>
      <c r="U320" s="15"/>
      <c r="V320" s="15"/>
      <c r="W320" s="15"/>
      <c r="X320" s="15"/>
      <c r="Y320" s="15"/>
      <c r="Z320" s="15"/>
      <c r="AA320" s="15"/>
      <c r="AB320" s="15"/>
      <c r="AC320" s="15"/>
      <c r="AD320" s="15"/>
      <c r="AE320" s="15"/>
      <c r="AF320" s="15"/>
    </row>
    <row r="321" ht="15.75" customHeight="1">
      <c r="A321" s="15"/>
      <c r="B321" s="449"/>
      <c r="C321" s="55"/>
      <c r="D321" s="55"/>
      <c r="E321" s="37"/>
      <c r="F321" s="30"/>
      <c r="G321" s="29"/>
      <c r="H321" s="30"/>
      <c r="I321" s="9"/>
      <c r="J321" s="9"/>
      <c r="K321" s="11"/>
      <c r="L321" s="11"/>
      <c r="M321" s="15"/>
      <c r="N321" s="15"/>
      <c r="O321" s="15"/>
      <c r="P321" s="15"/>
      <c r="Q321" s="15"/>
      <c r="R321" s="15"/>
      <c r="S321" s="15"/>
      <c r="T321" s="15"/>
      <c r="U321" s="15"/>
      <c r="V321" s="15"/>
      <c r="W321" s="15"/>
      <c r="X321" s="15"/>
      <c r="Y321" s="15"/>
      <c r="Z321" s="15"/>
      <c r="AA321" s="15"/>
      <c r="AB321" s="15"/>
      <c r="AC321" s="15"/>
      <c r="AD321" s="15"/>
      <c r="AE321" s="15"/>
      <c r="AF321" s="15"/>
    </row>
    <row r="322" ht="15.75" customHeight="1">
      <c r="A322" s="15"/>
      <c r="B322" s="449"/>
      <c r="C322" s="55"/>
      <c r="D322" s="55"/>
      <c r="E322" s="37"/>
      <c r="F322" s="37"/>
      <c r="G322" s="29"/>
      <c r="H322" s="30"/>
      <c r="I322" s="9"/>
      <c r="J322" s="9"/>
      <c r="K322" s="11"/>
      <c r="L322" s="11"/>
      <c r="M322" s="15"/>
      <c r="N322" s="15"/>
      <c r="O322" s="15"/>
      <c r="P322" s="15"/>
      <c r="Q322" s="15"/>
      <c r="R322" s="15"/>
      <c r="S322" s="15"/>
      <c r="T322" s="15"/>
      <c r="U322" s="15"/>
      <c r="V322" s="15"/>
      <c r="W322" s="15"/>
      <c r="X322" s="15"/>
      <c r="Y322" s="15"/>
      <c r="Z322" s="15"/>
      <c r="AA322" s="15"/>
      <c r="AB322" s="15"/>
      <c r="AC322" s="15"/>
      <c r="AD322" s="15"/>
      <c r="AE322" s="15"/>
      <c r="AF322" s="15"/>
    </row>
    <row r="323" ht="15.75" customHeight="1">
      <c r="A323" s="15"/>
      <c r="B323" s="449"/>
      <c r="C323" s="55"/>
      <c r="D323" s="55"/>
      <c r="E323" s="31"/>
      <c r="F323" s="59"/>
      <c r="G323" s="29"/>
      <c r="H323" s="59"/>
      <c r="I323" s="9"/>
      <c r="J323" s="9"/>
      <c r="K323" s="11"/>
      <c r="L323" s="11"/>
      <c r="M323" s="15"/>
      <c r="N323" s="15"/>
      <c r="O323" s="15"/>
      <c r="P323" s="15"/>
      <c r="Q323" s="15"/>
      <c r="R323" s="15"/>
      <c r="S323" s="15"/>
      <c r="T323" s="15"/>
      <c r="U323" s="15"/>
      <c r="V323" s="15"/>
      <c r="W323" s="15"/>
      <c r="X323" s="15"/>
      <c r="Y323" s="15"/>
      <c r="Z323" s="15"/>
      <c r="AA323" s="15"/>
      <c r="AB323" s="15"/>
      <c r="AC323" s="15"/>
      <c r="AD323" s="15"/>
      <c r="AE323" s="15"/>
      <c r="AF323" s="15"/>
    </row>
    <row r="324" ht="15.75" customHeight="1">
      <c r="A324" s="15"/>
      <c r="B324" s="449"/>
      <c r="C324" s="450"/>
      <c r="D324" s="31"/>
      <c r="E324" s="37"/>
      <c r="F324" s="31"/>
      <c r="G324" s="31"/>
      <c r="H324" s="31"/>
      <c r="I324" s="9"/>
      <c r="J324" s="9"/>
      <c r="K324" s="11"/>
      <c r="L324" s="11"/>
      <c r="M324" s="15"/>
      <c r="N324" s="15"/>
      <c r="O324" s="15"/>
      <c r="P324" s="15"/>
      <c r="Q324" s="15"/>
      <c r="R324" s="15"/>
      <c r="S324" s="15"/>
      <c r="T324" s="15"/>
      <c r="U324" s="15"/>
      <c r="V324" s="15"/>
      <c r="W324" s="15"/>
      <c r="X324" s="15"/>
      <c r="Y324" s="15"/>
      <c r="Z324" s="15"/>
      <c r="AA324" s="15"/>
      <c r="AB324" s="15"/>
      <c r="AC324" s="15"/>
      <c r="AD324" s="15"/>
      <c r="AE324" s="15"/>
      <c r="AF324" s="15"/>
    </row>
    <row r="325" ht="15.75" customHeight="1">
      <c r="A325" s="15"/>
      <c r="B325" s="219"/>
      <c r="C325" s="55"/>
      <c r="D325" s="55"/>
      <c r="E325" s="31"/>
      <c r="F325" s="31"/>
      <c r="G325" s="34"/>
      <c r="H325" s="31"/>
      <c r="I325" s="9"/>
      <c r="J325" s="9"/>
      <c r="K325" s="11"/>
      <c r="L325" s="11"/>
      <c r="M325" s="15"/>
      <c r="N325" s="15"/>
      <c r="O325" s="15"/>
      <c r="P325" s="15"/>
      <c r="Q325" s="15"/>
      <c r="R325" s="15"/>
      <c r="S325" s="15"/>
      <c r="T325" s="15"/>
      <c r="U325" s="15"/>
      <c r="V325" s="15"/>
      <c r="W325" s="15"/>
      <c r="X325" s="15"/>
      <c r="Y325" s="15"/>
      <c r="Z325" s="15"/>
      <c r="AA325" s="15"/>
      <c r="AB325" s="15"/>
      <c r="AC325" s="15"/>
      <c r="AD325" s="15"/>
      <c r="AE325" s="15"/>
      <c r="AF325" s="15"/>
    </row>
    <row r="326" ht="15.75" customHeight="1">
      <c r="A326" s="15"/>
      <c r="B326" s="219"/>
      <c r="C326" s="55"/>
      <c r="D326" s="55"/>
      <c r="E326" s="31"/>
      <c r="F326" s="31"/>
      <c r="G326" s="34"/>
      <c r="H326" s="31"/>
      <c r="I326" s="9"/>
      <c r="J326" s="9"/>
      <c r="K326" s="61"/>
      <c r="L326" s="11"/>
      <c r="M326" s="15"/>
      <c r="N326" s="15"/>
      <c r="O326" s="15"/>
      <c r="P326" s="15"/>
      <c r="Q326" s="15"/>
      <c r="R326" s="15"/>
      <c r="S326" s="15"/>
      <c r="T326" s="15"/>
      <c r="U326" s="15"/>
      <c r="V326" s="15"/>
      <c r="W326" s="15"/>
      <c r="X326" s="15"/>
      <c r="Y326" s="15"/>
      <c r="Z326" s="15"/>
      <c r="AA326" s="15"/>
      <c r="AB326" s="15"/>
      <c r="AC326" s="15"/>
      <c r="AD326" s="15"/>
      <c r="AE326" s="15"/>
      <c r="AF326" s="15"/>
    </row>
    <row r="327" ht="15.75" customHeight="1">
      <c r="A327" s="15"/>
      <c r="B327" s="219"/>
      <c r="C327" s="55"/>
      <c r="D327" s="55"/>
      <c r="E327" s="31"/>
      <c r="F327" s="31"/>
      <c r="G327" s="34"/>
      <c r="H327" s="31"/>
      <c r="I327" s="31"/>
      <c r="J327" s="9"/>
      <c r="K327" s="11"/>
      <c r="L327" s="11"/>
      <c r="M327" s="15"/>
      <c r="N327" s="15"/>
      <c r="O327" s="15"/>
      <c r="P327" s="15"/>
      <c r="Q327" s="15"/>
      <c r="R327" s="15"/>
      <c r="S327" s="15"/>
      <c r="T327" s="15"/>
      <c r="U327" s="15"/>
      <c r="V327" s="15"/>
      <c r="W327" s="15"/>
      <c r="X327" s="15"/>
      <c r="Y327" s="15"/>
      <c r="Z327" s="15"/>
      <c r="AA327" s="15"/>
      <c r="AB327" s="15"/>
      <c r="AC327" s="15"/>
      <c r="AD327" s="15"/>
      <c r="AE327" s="15"/>
      <c r="AF327" s="15"/>
    </row>
    <row r="328" ht="15.75" customHeight="1">
      <c r="A328" s="15"/>
      <c r="B328" s="219"/>
      <c r="C328" s="55"/>
      <c r="D328" s="55"/>
      <c r="E328" s="37"/>
      <c r="F328" s="31"/>
      <c r="G328" s="34"/>
      <c r="H328" s="31"/>
      <c r="I328" s="9"/>
      <c r="J328" s="9"/>
      <c r="K328" s="11"/>
      <c r="L328" s="11"/>
      <c r="M328" s="15"/>
      <c r="N328" s="15"/>
      <c r="O328" s="15"/>
      <c r="P328" s="15"/>
      <c r="Q328" s="15"/>
      <c r="R328" s="15"/>
      <c r="S328" s="15"/>
      <c r="T328" s="15"/>
      <c r="U328" s="15"/>
      <c r="V328" s="15"/>
      <c r="W328" s="15"/>
      <c r="X328" s="15"/>
      <c r="Y328" s="15"/>
      <c r="Z328" s="15"/>
      <c r="AA328" s="15"/>
      <c r="AB328" s="15"/>
      <c r="AC328" s="15"/>
      <c r="AD328" s="15"/>
      <c r="AE328" s="15"/>
      <c r="AF328" s="15"/>
    </row>
    <row r="329" ht="15.75" customHeight="1">
      <c r="A329" s="15"/>
      <c r="B329" s="219"/>
      <c r="C329" s="55"/>
      <c r="D329" s="55"/>
      <c r="E329" s="37"/>
      <c r="F329" s="30"/>
      <c r="G329" s="34"/>
      <c r="H329" s="30"/>
      <c r="I329" s="31"/>
      <c r="J329" s="9"/>
      <c r="K329" s="11"/>
      <c r="L329" s="11"/>
      <c r="M329" s="15"/>
      <c r="N329" s="15"/>
      <c r="O329" s="15"/>
      <c r="P329" s="15"/>
      <c r="Q329" s="15"/>
      <c r="R329" s="15"/>
      <c r="S329" s="15"/>
      <c r="T329" s="15"/>
      <c r="U329" s="15"/>
      <c r="V329" s="15"/>
      <c r="W329" s="15"/>
      <c r="X329" s="15"/>
      <c r="Y329" s="15"/>
      <c r="Z329" s="15"/>
      <c r="AA329" s="15"/>
      <c r="AB329" s="15"/>
      <c r="AC329" s="15"/>
      <c r="AD329" s="15"/>
      <c r="AE329" s="15"/>
      <c r="AF329" s="15"/>
    </row>
    <row r="330" ht="15.75" customHeight="1">
      <c r="A330" s="15"/>
      <c r="B330" s="219"/>
      <c r="C330" s="55"/>
      <c r="D330" s="55"/>
      <c r="E330" s="37"/>
      <c r="F330" s="37"/>
      <c r="G330" s="34"/>
      <c r="H330" s="30"/>
      <c r="I330" s="9"/>
      <c r="J330" s="9"/>
      <c r="K330" s="11"/>
      <c r="L330" s="11"/>
      <c r="M330" s="15"/>
      <c r="N330" s="15"/>
      <c r="O330" s="15"/>
      <c r="P330" s="15"/>
      <c r="Q330" s="15"/>
      <c r="R330" s="15"/>
      <c r="S330" s="15"/>
      <c r="T330" s="15"/>
      <c r="U330" s="15"/>
      <c r="V330" s="15"/>
      <c r="W330" s="15"/>
      <c r="X330" s="15"/>
      <c r="Y330" s="15"/>
      <c r="Z330" s="15"/>
      <c r="AA330" s="15"/>
      <c r="AB330" s="15"/>
      <c r="AC330" s="15"/>
      <c r="AD330" s="15"/>
      <c r="AE330" s="15"/>
      <c r="AF330" s="15"/>
    </row>
    <row r="331" ht="15.75" customHeight="1">
      <c r="A331" s="15"/>
      <c r="B331" s="219"/>
      <c r="C331" s="55"/>
      <c r="D331" s="55"/>
      <c r="E331" s="31"/>
      <c r="F331" s="31"/>
      <c r="G331" s="34"/>
      <c r="H331" s="31"/>
      <c r="I331" s="9"/>
      <c r="J331" s="9"/>
      <c r="K331" s="11"/>
      <c r="L331" s="11"/>
      <c r="M331" s="15"/>
      <c r="N331" s="15"/>
      <c r="O331" s="15"/>
      <c r="P331" s="15"/>
      <c r="Q331" s="15"/>
      <c r="R331" s="15"/>
      <c r="S331" s="15"/>
      <c r="T331" s="15"/>
      <c r="U331" s="15"/>
      <c r="V331" s="15"/>
      <c r="W331" s="15"/>
      <c r="X331" s="15"/>
      <c r="Y331" s="15"/>
      <c r="Z331" s="15"/>
      <c r="AA331" s="15"/>
      <c r="AB331" s="15"/>
      <c r="AC331" s="15"/>
      <c r="AD331" s="15"/>
      <c r="AE331" s="15"/>
      <c r="AF331" s="15"/>
    </row>
    <row r="332" ht="15.75" customHeight="1">
      <c r="A332" s="15"/>
      <c r="B332" s="219"/>
      <c r="C332" s="55"/>
      <c r="D332" s="55"/>
      <c r="E332" s="31"/>
      <c r="F332" s="62"/>
      <c r="G332" s="34"/>
      <c r="H332" s="62"/>
      <c r="J332" s="9"/>
      <c r="K332" s="11"/>
      <c r="L332" s="11"/>
      <c r="M332" s="15"/>
      <c r="N332" s="15"/>
      <c r="O332" s="15"/>
      <c r="P332" s="15"/>
      <c r="Q332" s="15"/>
      <c r="R332" s="15"/>
      <c r="S332" s="15"/>
      <c r="T332" s="15"/>
      <c r="U332" s="15"/>
      <c r="V332" s="15"/>
      <c r="W332" s="15"/>
      <c r="X332" s="15"/>
      <c r="Y332" s="15"/>
      <c r="Z332" s="15"/>
      <c r="AA332" s="15"/>
      <c r="AB332" s="15"/>
      <c r="AC332" s="15"/>
      <c r="AD332" s="15"/>
      <c r="AE332" s="15"/>
      <c r="AF332" s="15"/>
    </row>
    <row r="333" ht="15.75" customHeight="1">
      <c r="A333" s="15"/>
      <c r="B333" s="219"/>
      <c r="C333" s="55"/>
      <c r="D333" s="55"/>
      <c r="E333" s="31"/>
      <c r="F333" s="31"/>
      <c r="G333" s="34"/>
      <c r="H333" s="31"/>
      <c r="I333" s="9"/>
      <c r="J333" s="9"/>
      <c r="K333" s="11"/>
      <c r="L333" s="11"/>
      <c r="M333" s="15"/>
      <c r="N333" s="15"/>
      <c r="O333" s="15"/>
      <c r="P333" s="15"/>
      <c r="Q333" s="15"/>
      <c r="R333" s="15"/>
      <c r="S333" s="15"/>
      <c r="T333" s="15"/>
      <c r="U333" s="15"/>
      <c r="V333" s="15"/>
      <c r="W333" s="15"/>
      <c r="X333" s="15"/>
      <c r="Y333" s="15"/>
      <c r="Z333" s="15"/>
      <c r="AA333" s="15"/>
      <c r="AB333" s="15"/>
      <c r="AC333" s="15"/>
      <c r="AD333" s="15"/>
      <c r="AE333" s="15"/>
      <c r="AF333" s="15"/>
    </row>
    <row r="334" ht="15.75" customHeight="1">
      <c r="A334" s="15"/>
      <c r="B334" s="219"/>
      <c r="C334" s="450"/>
      <c r="D334" s="31"/>
      <c r="E334" s="31"/>
      <c r="F334" s="31"/>
      <c r="G334" s="34"/>
      <c r="H334" s="31"/>
      <c r="I334" s="9"/>
      <c r="J334" s="9"/>
      <c r="K334" s="11"/>
      <c r="L334" s="11"/>
      <c r="M334" s="15"/>
      <c r="N334" s="15"/>
      <c r="O334" s="15"/>
      <c r="P334" s="15"/>
      <c r="Q334" s="15"/>
      <c r="R334" s="15"/>
      <c r="S334" s="15"/>
      <c r="T334" s="15"/>
      <c r="U334" s="15"/>
      <c r="V334" s="15"/>
      <c r="W334" s="15"/>
      <c r="X334" s="15"/>
      <c r="Y334" s="15"/>
      <c r="Z334" s="15"/>
      <c r="AA334" s="15"/>
      <c r="AB334" s="15"/>
      <c r="AC334" s="15"/>
      <c r="AD334" s="15"/>
      <c r="AE334" s="15"/>
      <c r="AF334" s="15"/>
    </row>
    <row r="335" ht="15.75" customHeight="1">
      <c r="A335" s="15"/>
      <c r="B335" s="219"/>
      <c r="C335" s="450"/>
      <c r="D335" s="31"/>
      <c r="E335" s="31"/>
      <c r="F335" s="31"/>
      <c r="G335" s="34"/>
      <c r="H335" s="31"/>
      <c r="I335" s="9"/>
      <c r="J335" s="9"/>
      <c r="K335" s="11"/>
      <c r="L335" s="11"/>
      <c r="M335" s="15"/>
      <c r="N335" s="15"/>
      <c r="O335" s="15"/>
      <c r="P335" s="15"/>
      <c r="Q335" s="15"/>
      <c r="R335" s="15"/>
      <c r="S335" s="15"/>
      <c r="T335" s="15"/>
      <c r="U335" s="15"/>
      <c r="V335" s="15"/>
      <c r="W335" s="15"/>
      <c r="X335" s="15"/>
      <c r="Y335" s="15"/>
      <c r="Z335" s="15"/>
      <c r="AA335" s="15"/>
      <c r="AB335" s="15"/>
      <c r="AC335" s="15"/>
      <c r="AD335" s="15"/>
      <c r="AE335" s="15"/>
      <c r="AF335" s="15"/>
    </row>
    <row r="336" ht="15.75" customHeight="1">
      <c r="A336" s="15"/>
      <c r="B336" s="219"/>
      <c r="C336" s="450"/>
      <c r="D336" s="31"/>
      <c r="E336" s="31"/>
      <c r="F336" s="31"/>
      <c r="G336" s="34"/>
      <c r="H336" s="31"/>
      <c r="I336" s="9"/>
      <c r="J336" s="9"/>
      <c r="K336" s="11"/>
      <c r="L336" s="11"/>
      <c r="M336" s="15"/>
      <c r="N336" s="15"/>
      <c r="O336" s="15"/>
      <c r="P336" s="15"/>
      <c r="Q336" s="15"/>
      <c r="R336" s="15"/>
      <c r="S336" s="15"/>
      <c r="T336" s="15"/>
      <c r="U336" s="15"/>
      <c r="V336" s="15"/>
      <c r="W336" s="15"/>
      <c r="X336" s="15"/>
      <c r="Y336" s="15"/>
      <c r="Z336" s="15"/>
      <c r="AA336" s="15"/>
      <c r="AB336" s="15"/>
      <c r="AC336" s="15"/>
      <c r="AD336" s="15"/>
      <c r="AE336" s="15"/>
      <c r="AF336" s="15"/>
    </row>
    <row r="337" ht="15.75" customHeight="1">
      <c r="A337" s="15"/>
      <c r="B337" s="219"/>
      <c r="C337" s="450"/>
      <c r="D337" s="31"/>
      <c r="E337" s="37"/>
      <c r="F337" s="31"/>
      <c r="G337" s="34"/>
      <c r="H337" s="31"/>
      <c r="I337" s="9"/>
      <c r="J337" s="9"/>
      <c r="K337" s="11"/>
      <c r="L337" s="11"/>
      <c r="M337" s="15"/>
      <c r="N337" s="15"/>
      <c r="O337" s="15"/>
      <c r="P337" s="15"/>
      <c r="Q337" s="15"/>
      <c r="R337" s="15"/>
      <c r="S337" s="15"/>
      <c r="T337" s="15"/>
      <c r="U337" s="15"/>
      <c r="V337" s="15"/>
      <c r="W337" s="15"/>
      <c r="X337" s="15"/>
      <c r="Y337" s="15"/>
      <c r="Z337" s="15"/>
      <c r="AA337" s="15"/>
      <c r="AB337" s="15"/>
      <c r="AC337" s="15"/>
      <c r="AD337" s="15"/>
      <c r="AE337" s="15"/>
      <c r="AF337" s="15"/>
    </row>
    <row r="338" ht="15.75" customHeight="1">
      <c r="A338" s="15"/>
      <c r="B338" s="219"/>
      <c r="C338" s="450"/>
      <c r="D338" s="31"/>
      <c r="E338" s="37"/>
      <c r="F338" s="30"/>
      <c r="G338" s="34"/>
      <c r="H338" s="30"/>
      <c r="I338" s="9"/>
      <c r="J338" s="9"/>
      <c r="K338" s="11"/>
      <c r="L338" s="11"/>
      <c r="M338" s="15"/>
      <c r="N338" s="15"/>
      <c r="O338" s="15"/>
      <c r="P338" s="15"/>
      <c r="Q338" s="15"/>
      <c r="R338" s="15"/>
      <c r="S338" s="15"/>
      <c r="T338" s="15"/>
      <c r="U338" s="15"/>
      <c r="V338" s="15"/>
      <c r="W338" s="15"/>
      <c r="X338" s="15"/>
      <c r="Y338" s="15"/>
      <c r="Z338" s="15"/>
      <c r="AA338" s="15"/>
      <c r="AB338" s="15"/>
      <c r="AC338" s="15"/>
      <c r="AD338" s="15"/>
      <c r="AE338" s="15"/>
      <c r="AF338" s="15"/>
    </row>
    <row r="339" ht="15.75" customHeight="1">
      <c r="A339" s="15"/>
      <c r="B339" s="219"/>
      <c r="C339" s="450"/>
      <c r="D339" s="31"/>
      <c r="E339" s="37"/>
      <c r="F339" s="37"/>
      <c r="G339" s="34"/>
      <c r="H339" s="30"/>
      <c r="I339" s="9"/>
      <c r="J339" s="9"/>
      <c r="K339" s="11"/>
      <c r="L339" s="11"/>
      <c r="M339" s="15"/>
      <c r="N339" s="15"/>
      <c r="O339" s="15"/>
      <c r="P339" s="15"/>
      <c r="Q339" s="15"/>
      <c r="R339" s="15"/>
      <c r="S339" s="15"/>
      <c r="T339" s="15"/>
      <c r="U339" s="15"/>
      <c r="V339" s="15"/>
      <c r="W339" s="15"/>
      <c r="X339" s="15"/>
      <c r="Y339" s="15"/>
      <c r="Z339" s="15"/>
      <c r="AA339" s="15"/>
      <c r="AB339" s="15"/>
      <c r="AC339" s="15"/>
      <c r="AD339" s="15"/>
      <c r="AE339" s="15"/>
      <c r="AF339" s="15"/>
    </row>
    <row r="340" ht="15.75" customHeight="1">
      <c r="A340" s="15"/>
      <c r="B340" s="219"/>
      <c r="C340" s="450"/>
      <c r="D340" s="31"/>
      <c r="E340" s="31"/>
      <c r="F340" s="31"/>
      <c r="G340" s="34"/>
      <c r="H340" s="31"/>
      <c r="I340" s="9"/>
      <c r="J340" s="9"/>
      <c r="K340" s="11"/>
      <c r="L340" s="11"/>
      <c r="M340" s="15"/>
      <c r="N340" s="15"/>
      <c r="O340" s="15"/>
      <c r="P340" s="15"/>
      <c r="Q340" s="15"/>
      <c r="R340" s="15"/>
      <c r="S340" s="15"/>
      <c r="T340" s="15"/>
      <c r="U340" s="15"/>
      <c r="V340" s="15"/>
      <c r="W340" s="15"/>
      <c r="X340" s="15"/>
      <c r="Y340" s="15"/>
      <c r="Z340" s="15"/>
      <c r="AA340" s="15"/>
      <c r="AB340" s="15"/>
      <c r="AC340" s="15"/>
      <c r="AD340" s="15"/>
      <c r="AE340" s="15"/>
      <c r="AF340" s="15"/>
    </row>
    <row r="341" ht="15.75" customHeight="1">
      <c r="A341" s="15"/>
      <c r="B341" s="219"/>
      <c r="C341" s="450"/>
      <c r="D341" s="31"/>
      <c r="E341" s="31"/>
      <c r="F341" s="62"/>
      <c r="G341" s="34"/>
      <c r="H341" s="62"/>
      <c r="J341" s="9"/>
      <c r="K341" s="11"/>
      <c r="L341" s="11"/>
      <c r="M341" s="15"/>
      <c r="N341" s="15"/>
      <c r="O341" s="15"/>
      <c r="P341" s="15"/>
      <c r="Q341" s="15"/>
      <c r="R341" s="15"/>
      <c r="S341" s="15"/>
      <c r="T341" s="15"/>
      <c r="U341" s="15"/>
      <c r="V341" s="15"/>
      <c r="W341" s="15"/>
      <c r="X341" s="15"/>
      <c r="Y341" s="15"/>
      <c r="Z341" s="15"/>
      <c r="AA341" s="15"/>
      <c r="AB341" s="15"/>
      <c r="AC341" s="15"/>
      <c r="AD341" s="15"/>
      <c r="AE341" s="15"/>
      <c r="AF341" s="15"/>
    </row>
    <row r="342" ht="15.75" customHeight="1">
      <c r="A342" s="15"/>
      <c r="B342" s="219"/>
      <c r="C342" s="450"/>
      <c r="D342" s="31"/>
      <c r="E342" s="31"/>
      <c r="F342" s="31"/>
      <c r="G342" s="34"/>
      <c r="H342" s="31"/>
      <c r="I342" s="9"/>
      <c r="J342" s="9"/>
      <c r="K342" s="11"/>
      <c r="L342" s="11"/>
      <c r="M342" s="15"/>
      <c r="N342" s="15"/>
      <c r="O342" s="15"/>
      <c r="P342" s="15"/>
      <c r="Q342" s="15"/>
      <c r="R342" s="15"/>
      <c r="S342" s="15"/>
      <c r="T342" s="15"/>
      <c r="U342" s="15"/>
      <c r="V342" s="15"/>
      <c r="W342" s="15"/>
      <c r="X342" s="15"/>
      <c r="Y342" s="15"/>
      <c r="Z342" s="15"/>
      <c r="AA342" s="15"/>
      <c r="AB342" s="15"/>
      <c r="AC342" s="15"/>
      <c r="AD342" s="15"/>
      <c r="AE342" s="15"/>
      <c r="AF342" s="15"/>
    </row>
    <row r="343" ht="15.75" customHeight="1">
      <c r="A343" s="15"/>
      <c r="B343" s="219"/>
      <c r="C343" s="450"/>
      <c r="D343" s="31"/>
      <c r="E343" s="31"/>
      <c r="F343" s="31"/>
      <c r="G343" s="34"/>
      <c r="H343" s="31"/>
      <c r="I343" s="9"/>
      <c r="J343" s="9"/>
      <c r="K343" s="11"/>
      <c r="L343" s="11"/>
      <c r="M343" s="15"/>
      <c r="N343" s="15"/>
      <c r="O343" s="15"/>
      <c r="P343" s="15"/>
      <c r="Q343" s="15"/>
      <c r="R343" s="15"/>
      <c r="S343" s="15"/>
      <c r="T343" s="15"/>
      <c r="U343" s="15"/>
      <c r="V343" s="15"/>
      <c r="W343" s="15"/>
      <c r="X343" s="15"/>
      <c r="Y343" s="15"/>
      <c r="Z343" s="15"/>
      <c r="AA343" s="15"/>
      <c r="AB343" s="15"/>
      <c r="AC343" s="15"/>
      <c r="AD343" s="15"/>
      <c r="AE343" s="15"/>
      <c r="AF343" s="15"/>
    </row>
    <row r="344" ht="15.75" customHeight="1">
      <c r="A344" s="15"/>
      <c r="B344" s="219"/>
      <c r="C344" s="450"/>
      <c r="D344" s="31"/>
      <c r="E344" s="31"/>
      <c r="F344" s="31"/>
      <c r="G344" s="34"/>
      <c r="H344" s="31"/>
      <c r="I344" s="9"/>
      <c r="J344" s="9"/>
      <c r="K344" s="11"/>
      <c r="L344" s="11"/>
      <c r="M344" s="15"/>
      <c r="N344" s="15"/>
      <c r="O344" s="15"/>
      <c r="P344" s="15"/>
      <c r="Q344" s="15"/>
      <c r="R344" s="15"/>
      <c r="S344" s="15"/>
      <c r="T344" s="15"/>
      <c r="U344" s="15"/>
      <c r="V344" s="15"/>
      <c r="W344" s="15"/>
      <c r="X344" s="15"/>
      <c r="Y344" s="15"/>
      <c r="Z344" s="15"/>
      <c r="AA344" s="15"/>
      <c r="AB344" s="15"/>
      <c r="AC344" s="15"/>
      <c r="AD344" s="15"/>
      <c r="AE344" s="15"/>
      <c r="AF344" s="15"/>
    </row>
    <row r="345" ht="15.75" customHeight="1">
      <c r="A345" s="15"/>
      <c r="B345" s="219"/>
      <c r="C345" s="450"/>
      <c r="D345" s="31"/>
      <c r="E345" s="31"/>
      <c r="F345" s="31"/>
      <c r="G345" s="34"/>
      <c r="H345" s="31"/>
      <c r="J345" s="9"/>
      <c r="K345" s="11"/>
      <c r="L345" s="11"/>
      <c r="M345" s="15"/>
      <c r="N345" s="15"/>
      <c r="O345" s="15"/>
      <c r="P345" s="15"/>
      <c r="Q345" s="15"/>
      <c r="R345" s="15"/>
      <c r="S345" s="15"/>
      <c r="T345" s="15"/>
      <c r="U345" s="15"/>
      <c r="V345" s="15"/>
      <c r="W345" s="15"/>
      <c r="X345" s="15"/>
      <c r="Y345" s="15"/>
      <c r="Z345" s="15"/>
      <c r="AA345" s="15"/>
      <c r="AB345" s="15"/>
      <c r="AC345" s="15"/>
      <c r="AD345" s="15"/>
      <c r="AE345" s="15"/>
      <c r="AF345" s="15"/>
    </row>
    <row r="346" ht="15.75" customHeight="1">
      <c r="A346" s="15"/>
      <c r="B346" s="219"/>
      <c r="C346" s="450"/>
      <c r="D346" s="31"/>
      <c r="E346" s="37"/>
      <c r="F346" s="31"/>
      <c r="G346" s="34"/>
      <c r="H346" s="31"/>
      <c r="I346" s="9"/>
      <c r="J346" s="9"/>
      <c r="K346" s="11"/>
      <c r="L346" s="11"/>
      <c r="M346" s="15"/>
      <c r="N346" s="15"/>
      <c r="O346" s="15"/>
      <c r="P346" s="15"/>
      <c r="Q346" s="15"/>
      <c r="R346" s="15"/>
      <c r="S346" s="15"/>
      <c r="T346" s="15"/>
      <c r="U346" s="15"/>
      <c r="V346" s="15"/>
      <c r="W346" s="15"/>
      <c r="X346" s="15"/>
      <c r="Y346" s="15"/>
      <c r="Z346" s="15"/>
      <c r="AA346" s="15"/>
      <c r="AB346" s="15"/>
      <c r="AC346" s="15"/>
      <c r="AD346" s="15"/>
      <c r="AE346" s="15"/>
      <c r="AF346" s="15"/>
    </row>
    <row r="347" ht="15.75" customHeight="1">
      <c r="A347" s="15"/>
      <c r="B347" s="219"/>
      <c r="C347" s="450"/>
      <c r="D347" s="31"/>
      <c r="E347" s="37"/>
      <c r="F347" s="30"/>
      <c r="G347" s="34"/>
      <c r="H347" s="30"/>
      <c r="I347" s="9"/>
      <c r="J347" s="9"/>
      <c r="K347" s="11"/>
      <c r="L347" s="11"/>
      <c r="M347" s="15"/>
      <c r="N347" s="15"/>
      <c r="O347" s="15"/>
      <c r="P347" s="15"/>
      <c r="Q347" s="15"/>
      <c r="R347" s="15"/>
      <c r="S347" s="15"/>
      <c r="T347" s="15"/>
      <c r="U347" s="15"/>
      <c r="V347" s="15"/>
      <c r="W347" s="15"/>
      <c r="X347" s="15"/>
      <c r="Y347" s="15"/>
      <c r="Z347" s="15"/>
      <c r="AA347" s="15"/>
      <c r="AB347" s="15"/>
      <c r="AC347" s="15"/>
      <c r="AD347" s="15"/>
      <c r="AE347" s="15"/>
      <c r="AF347" s="15"/>
    </row>
    <row r="348" ht="15.75" customHeight="1">
      <c r="A348" s="15"/>
      <c r="B348" s="219"/>
      <c r="C348" s="450"/>
      <c r="D348" s="31"/>
      <c r="E348" s="37"/>
      <c r="F348" s="37"/>
      <c r="G348" s="34"/>
      <c r="H348" s="30"/>
      <c r="I348" s="9"/>
      <c r="J348" s="9"/>
      <c r="K348" s="11"/>
      <c r="L348" s="11"/>
      <c r="M348" s="15"/>
      <c r="N348" s="15"/>
      <c r="O348" s="15"/>
      <c r="P348" s="15"/>
      <c r="Q348" s="15"/>
      <c r="R348" s="15"/>
      <c r="S348" s="15"/>
      <c r="T348" s="15"/>
      <c r="U348" s="15"/>
      <c r="V348" s="15"/>
      <c r="W348" s="15"/>
      <c r="X348" s="15"/>
      <c r="Y348" s="15"/>
      <c r="Z348" s="15"/>
      <c r="AA348" s="15"/>
      <c r="AB348" s="15"/>
      <c r="AC348" s="15"/>
      <c r="AD348" s="15"/>
      <c r="AE348" s="15"/>
      <c r="AF348" s="15"/>
    </row>
    <row r="349" ht="15.75" customHeight="1">
      <c r="A349" s="15"/>
      <c r="B349" s="219"/>
      <c r="C349" s="450"/>
      <c r="D349" s="31"/>
      <c r="E349" s="31"/>
      <c r="F349" s="31"/>
      <c r="G349" s="34"/>
      <c r="H349" s="31"/>
      <c r="I349" s="9"/>
      <c r="J349" s="9"/>
      <c r="K349" s="11"/>
      <c r="L349" s="11"/>
      <c r="M349" s="15"/>
      <c r="N349" s="15"/>
      <c r="O349" s="15"/>
      <c r="P349" s="15"/>
      <c r="Q349" s="15"/>
      <c r="R349" s="15"/>
      <c r="S349" s="15"/>
      <c r="T349" s="15"/>
      <c r="U349" s="15"/>
      <c r="V349" s="15"/>
      <c r="W349" s="15"/>
      <c r="X349" s="15"/>
      <c r="Y349" s="15"/>
      <c r="Z349" s="15"/>
      <c r="AA349" s="15"/>
      <c r="AB349" s="15"/>
      <c r="AC349" s="15"/>
      <c r="AD349" s="15"/>
      <c r="AE349" s="15"/>
      <c r="AF349" s="15"/>
    </row>
    <row r="350" ht="15.75" customHeight="1">
      <c r="A350" s="15"/>
      <c r="B350" s="219"/>
      <c r="C350" s="450"/>
      <c r="D350" s="31"/>
      <c r="E350" s="31"/>
      <c r="F350" s="62"/>
      <c r="G350" s="34"/>
      <c r="H350" s="62"/>
      <c r="I350" s="9"/>
      <c r="J350" s="9"/>
      <c r="K350" s="11"/>
      <c r="L350" s="11"/>
      <c r="M350" s="15"/>
      <c r="N350" s="15"/>
      <c r="O350" s="15"/>
      <c r="P350" s="15"/>
      <c r="Q350" s="15"/>
      <c r="R350" s="15"/>
      <c r="S350" s="15"/>
      <c r="T350" s="15"/>
      <c r="U350" s="15"/>
      <c r="V350" s="15"/>
      <c r="W350" s="15"/>
      <c r="X350" s="15"/>
      <c r="Y350" s="15"/>
      <c r="Z350" s="15"/>
      <c r="AA350" s="15"/>
      <c r="AB350" s="15"/>
      <c r="AC350" s="15"/>
      <c r="AD350" s="15"/>
      <c r="AE350" s="15"/>
      <c r="AF350" s="15"/>
    </row>
    <row r="351" ht="15.75" customHeight="1">
      <c r="A351" s="15"/>
      <c r="B351" s="219"/>
      <c r="C351" s="87"/>
      <c r="D351" s="31"/>
      <c r="E351" s="31"/>
      <c r="F351" s="31"/>
      <c r="G351" s="34"/>
      <c r="H351" s="31"/>
      <c r="I351" s="9"/>
      <c r="J351" s="9"/>
      <c r="K351" s="11"/>
      <c r="L351" s="11"/>
      <c r="M351" s="15"/>
      <c r="N351" s="15"/>
      <c r="O351" s="15"/>
      <c r="P351" s="15"/>
      <c r="Q351" s="15"/>
      <c r="R351" s="15"/>
      <c r="S351" s="15"/>
      <c r="T351" s="15"/>
      <c r="U351" s="15"/>
      <c r="V351" s="15"/>
      <c r="W351" s="15"/>
      <c r="X351" s="15"/>
      <c r="Y351" s="15"/>
      <c r="Z351" s="15"/>
      <c r="AA351" s="15"/>
      <c r="AB351" s="15"/>
      <c r="AC351" s="15"/>
      <c r="AD351" s="15"/>
      <c r="AE351" s="15"/>
      <c r="AF351" s="15"/>
    </row>
    <row r="352" ht="15.75" customHeight="1">
      <c r="A352" s="15"/>
      <c r="B352" s="219"/>
      <c r="C352" s="87"/>
      <c r="D352" s="31"/>
      <c r="E352" s="31"/>
      <c r="F352" s="31"/>
      <c r="G352" s="34"/>
      <c r="H352" s="31"/>
      <c r="I352" s="9"/>
      <c r="J352" s="9"/>
      <c r="K352" s="11"/>
      <c r="L352" s="11"/>
      <c r="M352" s="15"/>
      <c r="N352" s="15"/>
      <c r="O352" s="15"/>
      <c r="P352" s="15"/>
      <c r="Q352" s="15"/>
      <c r="R352" s="15"/>
      <c r="S352" s="15"/>
      <c r="T352" s="15"/>
      <c r="U352" s="15"/>
      <c r="V352" s="15"/>
      <c r="W352" s="15"/>
      <c r="X352" s="15"/>
      <c r="Y352" s="15"/>
      <c r="Z352" s="15"/>
      <c r="AA352" s="15"/>
      <c r="AB352" s="15"/>
      <c r="AC352" s="15"/>
      <c r="AD352" s="15"/>
      <c r="AE352" s="15"/>
      <c r="AF352" s="15"/>
    </row>
    <row r="353" ht="15.75" customHeight="1">
      <c r="A353" s="15"/>
      <c r="B353" s="219"/>
      <c r="C353" s="87"/>
      <c r="D353" s="31"/>
      <c r="E353" s="31"/>
      <c r="F353" s="31"/>
      <c r="G353" s="34"/>
      <c r="H353" s="31"/>
      <c r="I353" s="9"/>
      <c r="J353" s="9"/>
      <c r="K353" s="11"/>
      <c r="L353" s="11"/>
      <c r="M353" s="15"/>
      <c r="N353" s="15"/>
      <c r="O353" s="15"/>
      <c r="P353" s="15"/>
      <c r="Q353" s="15"/>
      <c r="R353" s="15"/>
      <c r="S353" s="15"/>
      <c r="T353" s="15"/>
      <c r="U353" s="15"/>
      <c r="V353" s="15"/>
      <c r="W353" s="15"/>
      <c r="X353" s="15"/>
      <c r="Y353" s="15"/>
      <c r="Z353" s="15"/>
      <c r="AA353" s="15"/>
      <c r="AB353" s="15"/>
      <c r="AC353" s="15"/>
      <c r="AD353" s="15"/>
      <c r="AE353" s="15"/>
      <c r="AF353" s="15"/>
    </row>
    <row r="354" ht="15.75" customHeight="1">
      <c r="A354" s="15"/>
      <c r="B354" s="219"/>
      <c r="C354" s="87"/>
      <c r="D354" s="31"/>
      <c r="E354" s="31"/>
      <c r="F354" s="31"/>
      <c r="G354" s="34"/>
      <c r="H354" s="31"/>
      <c r="J354" s="9"/>
      <c r="K354" s="11"/>
      <c r="L354" s="11"/>
      <c r="M354" s="15"/>
      <c r="N354" s="15"/>
      <c r="O354" s="15"/>
      <c r="P354" s="15"/>
      <c r="Q354" s="15"/>
      <c r="R354" s="15"/>
      <c r="S354" s="15"/>
      <c r="T354" s="15"/>
      <c r="U354" s="15"/>
      <c r="V354" s="15"/>
      <c r="W354" s="15"/>
      <c r="X354" s="15"/>
      <c r="Y354" s="15"/>
      <c r="Z354" s="15"/>
      <c r="AA354" s="15"/>
      <c r="AB354" s="15"/>
      <c r="AC354" s="15"/>
      <c r="AD354" s="15"/>
      <c r="AE354" s="15"/>
      <c r="AF354" s="15"/>
    </row>
    <row r="355" ht="15.75" customHeight="1">
      <c r="A355" s="15"/>
      <c r="B355" s="219"/>
      <c r="C355" s="87"/>
      <c r="D355" s="31"/>
      <c r="E355" s="37"/>
      <c r="F355" s="31"/>
      <c r="G355" s="34"/>
      <c r="H355" s="31"/>
      <c r="I355" s="9"/>
      <c r="J355" s="9"/>
      <c r="K355" s="11"/>
      <c r="L355" s="11"/>
      <c r="M355" s="15"/>
      <c r="N355" s="15"/>
      <c r="O355" s="15"/>
      <c r="P355" s="15"/>
      <c r="Q355" s="15"/>
      <c r="R355" s="15"/>
      <c r="S355" s="15"/>
      <c r="T355" s="15"/>
      <c r="U355" s="15"/>
      <c r="V355" s="15"/>
      <c r="W355" s="15"/>
      <c r="X355" s="15"/>
      <c r="Y355" s="15"/>
      <c r="Z355" s="15"/>
      <c r="AA355" s="15"/>
      <c r="AB355" s="15"/>
      <c r="AC355" s="15"/>
      <c r="AD355" s="15"/>
      <c r="AE355" s="15"/>
      <c r="AF355" s="15"/>
    </row>
    <row r="356" ht="15.75" customHeight="1">
      <c r="A356" s="15"/>
      <c r="B356" s="219"/>
      <c r="C356" s="87"/>
      <c r="D356" s="31"/>
      <c r="E356" s="37"/>
      <c r="F356" s="30"/>
      <c r="G356" s="34"/>
      <c r="H356" s="30"/>
      <c r="I356" s="9"/>
      <c r="J356" s="9"/>
      <c r="K356" s="11"/>
      <c r="L356" s="11"/>
      <c r="M356" s="15"/>
      <c r="N356" s="15"/>
      <c r="O356" s="15"/>
      <c r="P356" s="15"/>
      <c r="Q356" s="15"/>
      <c r="R356" s="15"/>
      <c r="S356" s="15"/>
      <c r="T356" s="15"/>
      <c r="U356" s="15"/>
      <c r="V356" s="15"/>
      <c r="W356" s="15"/>
      <c r="X356" s="15"/>
      <c r="Y356" s="15"/>
      <c r="Z356" s="15"/>
      <c r="AA356" s="15"/>
      <c r="AB356" s="15"/>
      <c r="AC356" s="15"/>
      <c r="AD356" s="15"/>
      <c r="AE356" s="15"/>
      <c r="AF356" s="15"/>
    </row>
    <row r="357" ht="15.75" customHeight="1">
      <c r="A357" s="15"/>
      <c r="B357" s="219"/>
      <c r="C357" s="87"/>
      <c r="D357" s="31"/>
      <c r="E357" s="37"/>
      <c r="F357" s="37"/>
      <c r="G357" s="34"/>
      <c r="H357" s="30"/>
      <c r="I357" s="9"/>
      <c r="J357" s="9"/>
      <c r="K357" s="11"/>
      <c r="L357" s="11"/>
      <c r="M357" s="15"/>
      <c r="N357" s="15"/>
      <c r="O357" s="15"/>
      <c r="P357" s="15"/>
      <c r="Q357" s="15"/>
      <c r="R357" s="15"/>
      <c r="S357" s="15"/>
      <c r="T357" s="15"/>
      <c r="U357" s="15"/>
      <c r="V357" s="15"/>
      <c r="W357" s="15"/>
      <c r="X357" s="15"/>
      <c r="Y357" s="15"/>
      <c r="Z357" s="15"/>
      <c r="AA357" s="15"/>
      <c r="AB357" s="15"/>
      <c r="AC357" s="15"/>
      <c r="AD357" s="15"/>
      <c r="AE357" s="15"/>
      <c r="AF357" s="15"/>
    </row>
    <row r="358" ht="15.75" customHeight="1">
      <c r="A358" s="15"/>
      <c r="B358" s="219"/>
      <c r="C358" s="87"/>
      <c r="D358" s="31"/>
      <c r="E358" s="31"/>
      <c r="F358" s="31"/>
      <c r="G358" s="34"/>
      <c r="H358" s="31"/>
      <c r="I358" s="9"/>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row>
    <row r="359" ht="15.75" customHeight="1">
      <c r="A359" s="15"/>
      <c r="B359" s="219"/>
      <c r="C359" s="87"/>
      <c r="D359" s="31"/>
      <c r="E359" s="31"/>
      <c r="F359" s="62"/>
      <c r="G359" s="34"/>
      <c r="H359" s="62"/>
      <c r="I359" s="9"/>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row>
    <row r="360" ht="15.75" customHeight="1">
      <c r="A360" s="15"/>
      <c r="B360" s="219"/>
      <c r="C360" s="209"/>
      <c r="D360" s="9"/>
      <c r="E360" s="45"/>
      <c r="F360" s="9"/>
      <c r="G360" s="9"/>
      <c r="H360" s="9"/>
      <c r="I360" s="9"/>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row>
    <row r="361" ht="15.75" customHeight="1">
      <c r="A361" s="15"/>
      <c r="B361" s="3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row>
    <row r="362" ht="15.75" customHeight="1">
      <c r="A362" s="15"/>
      <c r="B362" s="219"/>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row>
    <row r="363" ht="15.75" customHeight="1">
      <c r="A363" s="15"/>
      <c r="B363" s="3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row>
    <row r="364" ht="15.75" customHeight="1">
      <c r="A364" s="15"/>
      <c r="B364" s="219"/>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row>
    <row r="365" ht="15.75" customHeight="1">
      <c r="A365" s="15"/>
      <c r="B365" s="35"/>
      <c r="C365" s="450"/>
      <c r="D365" s="31"/>
      <c r="E365" s="31"/>
      <c r="F365" s="31"/>
      <c r="G365" s="34"/>
      <c r="H365" s="9"/>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row>
    <row r="366" ht="15.75" customHeight="1">
      <c r="A366" s="15"/>
      <c r="B366" s="219"/>
      <c r="C366" s="450"/>
      <c r="D366" s="31"/>
      <c r="E366" s="31"/>
      <c r="F366" s="31"/>
      <c r="G366" s="34"/>
      <c r="H366" s="31"/>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row>
    <row r="367" ht="15.75" customHeight="1">
      <c r="A367" s="15"/>
      <c r="B367" s="219"/>
      <c r="C367" s="450"/>
      <c r="D367" s="31"/>
      <c r="E367" s="31"/>
      <c r="F367" s="31"/>
      <c r="G367" s="34"/>
      <c r="H367" s="31"/>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row>
    <row r="368" ht="15.75" customHeight="1">
      <c r="A368" s="15"/>
      <c r="B368" s="35"/>
      <c r="C368" s="450"/>
      <c r="D368" s="31"/>
      <c r="E368" s="37"/>
      <c r="F368" s="31"/>
      <c r="G368" s="34"/>
      <c r="H368" s="31"/>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row>
    <row r="369" ht="15.75" customHeight="1">
      <c r="A369" s="15"/>
      <c r="B369" s="219"/>
      <c r="C369" s="450"/>
      <c r="D369" s="31"/>
      <c r="E369" s="37"/>
      <c r="F369" s="30"/>
      <c r="G369" s="34"/>
      <c r="H369" s="30"/>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row>
    <row r="370" ht="15.75" customHeight="1">
      <c r="A370" s="15"/>
      <c r="B370" s="219"/>
      <c r="C370" s="87"/>
      <c r="D370" s="8"/>
      <c r="E370" s="28"/>
      <c r="F370" s="38"/>
      <c r="G370" s="34"/>
      <c r="H370" s="3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row>
    <row r="371" ht="15.75" customHeight="1">
      <c r="A371" s="15"/>
      <c r="B371" s="219"/>
      <c r="C371" s="87"/>
      <c r="D371" s="8"/>
      <c r="E371" s="8"/>
      <c r="F371" s="38"/>
      <c r="G371" s="34"/>
      <c r="H371" s="3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row>
    <row r="372" ht="15.75" customHeight="1">
      <c r="A372" s="15"/>
      <c r="B372" s="219"/>
      <c r="C372" s="87"/>
      <c r="D372" s="8"/>
      <c r="E372" s="35"/>
      <c r="F372" s="35"/>
      <c r="G372" s="34"/>
      <c r="H372" s="3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row>
    <row r="373" ht="15.75" customHeight="1">
      <c r="A373" s="15"/>
      <c r="B373" s="219"/>
      <c r="C373" s="87"/>
      <c r="D373" s="8"/>
      <c r="E373" s="32"/>
      <c r="F373" s="35"/>
      <c r="G373" s="34"/>
      <c r="H373" s="62"/>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row>
    <row r="374" ht="15.75" customHeight="1">
      <c r="A374" s="15"/>
      <c r="B374" s="32"/>
      <c r="C374" s="66"/>
      <c r="D374" s="32"/>
      <c r="E374" s="32"/>
      <c r="F374" s="35"/>
      <c r="G374" s="35"/>
      <c r="H374" s="3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row>
    <row r="375" ht="15.75" customHeight="1">
      <c r="A375" s="15"/>
      <c r="B375" s="32"/>
      <c r="C375" s="66"/>
      <c r="D375" s="32"/>
      <c r="E375" s="65"/>
      <c r="F375" s="35"/>
      <c r="G375" s="35"/>
      <c r="H375" s="3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row>
    <row r="376" ht="15.75" customHeight="1">
      <c r="A376" s="15"/>
      <c r="B376" s="456"/>
      <c r="C376" s="484"/>
      <c r="D376" s="31"/>
      <c r="E376" s="31"/>
      <c r="F376" s="31"/>
      <c r="G376" s="69"/>
      <c r="H376" s="31"/>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row>
    <row r="377" ht="15.75" customHeight="1">
      <c r="A377" s="15"/>
      <c r="B377" s="456"/>
      <c r="C377" s="484"/>
      <c r="D377" s="31"/>
      <c r="E377" s="31"/>
      <c r="F377" s="31"/>
      <c r="G377" s="31"/>
      <c r="H377" s="31"/>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row>
    <row r="378" ht="15.75" customHeight="1">
      <c r="A378" s="15"/>
      <c r="B378" s="456"/>
      <c r="C378" s="484"/>
      <c r="D378" s="31"/>
      <c r="E378" s="31"/>
      <c r="F378" s="31"/>
      <c r="G378" s="31"/>
      <c r="H378" s="31"/>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row>
    <row r="379" ht="15.75" customHeight="1">
      <c r="A379" s="15"/>
      <c r="B379" s="15"/>
      <c r="C379" s="21"/>
      <c r="D379" s="15"/>
      <c r="E379" s="15"/>
      <c r="F379" s="15"/>
      <c r="G379" s="15"/>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row>
    <row r="380" ht="15.75" customHeight="1">
      <c r="A380" s="15"/>
      <c r="B380" s="15"/>
      <c r="C380" s="21"/>
      <c r="D380" s="15"/>
      <c r="E380" s="15"/>
      <c r="F380" s="15"/>
      <c r="G380" s="15"/>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row>
    <row r="381" ht="15.75" customHeight="1">
      <c r="A381" s="15"/>
      <c r="B381" s="15"/>
      <c r="C381" s="21"/>
      <c r="D381" s="15"/>
      <c r="E381" s="15"/>
      <c r="F381" s="15"/>
      <c r="G381" s="15"/>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row>
    <row r="382" ht="15.75" customHeight="1">
      <c r="A382" s="15"/>
      <c r="B382" s="15"/>
      <c r="C382" s="21"/>
      <c r="D382" s="15"/>
      <c r="E382" s="15"/>
      <c r="F382" s="15"/>
      <c r="G382" s="15"/>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row>
    <row r="383" ht="15.75" customHeight="1">
      <c r="A383" s="15"/>
      <c r="B383" s="15"/>
      <c r="C383" s="21"/>
      <c r="D383" s="15"/>
      <c r="E383" s="15"/>
      <c r="F383" s="15"/>
      <c r="G383" s="15"/>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row>
    <row r="384" ht="15.75" customHeight="1">
      <c r="A384" s="15"/>
      <c r="B384" s="15"/>
      <c r="C384" s="21"/>
      <c r="D384" s="15"/>
      <c r="E384" s="15"/>
      <c r="F384" s="15"/>
      <c r="G384" s="15"/>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row>
    <row r="385" ht="15.75" customHeight="1">
      <c r="A385" s="15"/>
      <c r="B385" s="15"/>
      <c r="C385" s="21"/>
      <c r="D385" s="15"/>
      <c r="E385" s="15"/>
      <c r="F385" s="15"/>
      <c r="G385" s="15"/>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row>
    <row r="386" ht="15.75" customHeight="1">
      <c r="A386" s="15"/>
      <c r="B386" s="15"/>
      <c r="C386" s="21"/>
      <c r="D386" s="15"/>
      <c r="E386" s="15"/>
      <c r="F386" s="15"/>
      <c r="G386" s="15"/>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row>
    <row r="387" ht="15.75" customHeight="1">
      <c r="A387" s="15"/>
      <c r="B387" s="15"/>
      <c r="C387" s="21"/>
      <c r="D387" s="15"/>
      <c r="E387" s="15"/>
      <c r="F387" s="15"/>
      <c r="G387" s="15"/>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row>
    <row r="388" ht="15.75" customHeight="1">
      <c r="A388" s="15"/>
      <c r="B388" s="15"/>
      <c r="C388" s="21"/>
      <c r="D388" s="15"/>
      <c r="E388" s="15"/>
      <c r="F388" s="15"/>
      <c r="G388" s="15"/>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row>
    <row r="389" ht="15.75" customHeight="1">
      <c r="A389" s="15"/>
      <c r="B389" s="15"/>
      <c r="C389" s="21"/>
      <c r="D389" s="15"/>
      <c r="E389" s="15"/>
      <c r="F389" s="15"/>
      <c r="G389" s="15"/>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row>
    <row r="390" ht="15.75" customHeight="1">
      <c r="A390" s="15"/>
      <c r="B390" s="15"/>
      <c r="C390" s="21"/>
      <c r="D390" s="15"/>
      <c r="E390" s="15"/>
      <c r="F390" s="15"/>
      <c r="G390" s="15"/>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row>
    <row r="391" ht="15.75" customHeight="1">
      <c r="A391" s="15"/>
      <c r="B391" s="15"/>
      <c r="C391" s="21"/>
      <c r="D391" s="15"/>
      <c r="E391" s="15"/>
      <c r="F391" s="15"/>
      <c r="G391" s="15"/>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row>
    <row r="392" ht="15.75" customHeight="1">
      <c r="A392" s="15"/>
      <c r="B392" s="15"/>
      <c r="C392" s="21"/>
      <c r="D392" s="15"/>
      <c r="E392" s="15"/>
      <c r="F392" s="15"/>
      <c r="G392" s="15"/>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row>
    <row r="393" ht="15.75" customHeight="1">
      <c r="A393" s="15"/>
      <c r="B393" s="15"/>
      <c r="C393" s="21"/>
      <c r="D393" s="15"/>
      <c r="E393" s="15"/>
      <c r="F393" s="15"/>
      <c r="G393" s="15"/>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row>
    <row r="394" ht="15.75" customHeight="1">
      <c r="A394" s="15"/>
      <c r="B394" s="15"/>
      <c r="C394" s="21"/>
      <c r="D394" s="15"/>
      <c r="E394" s="15"/>
      <c r="F394" s="15"/>
      <c r="G394" s="15"/>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row>
    <row r="395" ht="15.75" customHeight="1">
      <c r="A395" s="15"/>
      <c r="B395" s="15"/>
      <c r="C395" s="21"/>
      <c r="D395" s="15"/>
      <c r="E395" s="15"/>
      <c r="F395" s="15"/>
      <c r="G395" s="15"/>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row>
    <row r="396" ht="15.75" customHeight="1">
      <c r="A396" s="15"/>
      <c r="B396" s="15"/>
      <c r="C396" s="21"/>
      <c r="D396" s="15"/>
      <c r="E396" s="15"/>
      <c r="F396" s="15"/>
      <c r="G396" s="15"/>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row>
    <row r="397" ht="15.75" customHeight="1">
      <c r="A397" s="15"/>
      <c r="B397" s="15"/>
      <c r="C397" s="21"/>
      <c r="D397" s="15"/>
      <c r="E397" s="15"/>
      <c r="F397" s="15"/>
      <c r="G397" s="15"/>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row>
    <row r="398" ht="15.75" customHeight="1">
      <c r="A398" s="15"/>
      <c r="B398" s="15"/>
      <c r="C398" s="21"/>
      <c r="D398" s="15"/>
      <c r="E398" s="15"/>
      <c r="F398" s="15"/>
      <c r="G398" s="15"/>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row>
    <row r="399" ht="15.75" customHeight="1">
      <c r="A399" s="15"/>
      <c r="B399" s="15"/>
      <c r="C399" s="21"/>
      <c r="D399" s="15"/>
      <c r="E399" s="15"/>
      <c r="F399" s="15"/>
      <c r="G399" s="15"/>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row>
    <row r="400" ht="15.75" customHeight="1">
      <c r="A400" s="15"/>
      <c r="B400" s="15"/>
      <c r="C400" s="21"/>
      <c r="D400" s="15"/>
      <c r="E400" s="15"/>
      <c r="F400" s="15"/>
      <c r="G400" s="15"/>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row>
    <row r="401" ht="15.75" customHeight="1">
      <c r="A401" s="15"/>
      <c r="B401" s="15"/>
      <c r="C401" s="21"/>
      <c r="D401" s="15"/>
      <c r="E401" s="15"/>
      <c r="F401" s="15"/>
      <c r="G401" s="15"/>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row>
    <row r="402" ht="15.75" customHeight="1">
      <c r="A402" s="15"/>
      <c r="B402" s="15"/>
      <c r="C402" s="21"/>
      <c r="D402" s="15"/>
      <c r="E402" s="15"/>
      <c r="F402" s="15"/>
      <c r="G402" s="15"/>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row>
    <row r="403" ht="15.75" customHeight="1">
      <c r="A403" s="15"/>
      <c r="B403" s="15"/>
      <c r="C403" s="21"/>
      <c r="D403" s="15"/>
      <c r="E403" s="15"/>
      <c r="F403" s="15"/>
      <c r="G403" s="15"/>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row>
    <row r="404" ht="15.75" customHeight="1">
      <c r="A404" s="15"/>
      <c r="B404" s="15"/>
      <c r="C404" s="21"/>
      <c r="D404" s="15"/>
      <c r="E404" s="15"/>
      <c r="F404" s="15"/>
      <c r="G404" s="15"/>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row>
    <row r="405" ht="15.75" customHeight="1">
      <c r="A405" s="15"/>
      <c r="B405" s="15"/>
      <c r="C405" s="21"/>
      <c r="D405" s="15"/>
      <c r="E405" s="15"/>
      <c r="F405" s="15"/>
      <c r="G405" s="15"/>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row>
    <row r="406" ht="15.75" customHeight="1">
      <c r="A406" s="15"/>
      <c r="B406" s="15"/>
      <c r="C406" s="21"/>
      <c r="D406" s="15"/>
      <c r="E406" s="15"/>
      <c r="F406" s="15"/>
      <c r="G406" s="15"/>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row>
    <row r="407" ht="15.75" customHeight="1">
      <c r="A407" s="15"/>
      <c r="B407" s="15"/>
      <c r="C407" s="21"/>
      <c r="D407" s="15"/>
      <c r="E407" s="15"/>
      <c r="F407" s="15"/>
      <c r="G407" s="15"/>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row>
    <row r="408" ht="15.75" customHeight="1">
      <c r="A408" s="15"/>
      <c r="B408" s="15"/>
      <c r="C408" s="21"/>
      <c r="D408" s="15"/>
      <c r="E408" s="15"/>
      <c r="F408" s="15"/>
      <c r="G408" s="15"/>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row>
    <row r="409" ht="15.75" customHeight="1">
      <c r="A409" s="15"/>
      <c r="B409" s="15"/>
      <c r="C409" s="21"/>
      <c r="D409" s="15"/>
      <c r="E409" s="15"/>
      <c r="F409" s="15"/>
      <c r="G409" s="15"/>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row>
    <row r="410" ht="15.75" customHeight="1">
      <c r="A410" s="15"/>
      <c r="B410" s="15"/>
      <c r="C410" s="21"/>
      <c r="D410" s="15"/>
      <c r="E410" s="15"/>
      <c r="F410" s="15"/>
      <c r="G410" s="15"/>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row>
    <row r="411" ht="15.75" customHeight="1">
      <c r="A411" s="15"/>
      <c r="B411" s="15"/>
      <c r="C411" s="21"/>
      <c r="D411" s="15"/>
      <c r="E411" s="15"/>
      <c r="F411" s="15"/>
      <c r="G411" s="15"/>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row>
    <row r="412" ht="15.75" customHeight="1">
      <c r="A412" s="15"/>
      <c r="B412" s="15"/>
      <c r="C412" s="21"/>
      <c r="D412" s="15"/>
      <c r="E412" s="15"/>
      <c r="F412" s="15"/>
      <c r="G412" s="15"/>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row>
    <row r="413" ht="15.75" customHeight="1">
      <c r="A413" s="15"/>
      <c r="B413" s="15"/>
      <c r="C413" s="21"/>
      <c r="D413" s="15"/>
      <c r="E413" s="15"/>
      <c r="F413" s="15"/>
      <c r="G413" s="15"/>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row>
    <row r="414" ht="15.75" customHeight="1">
      <c r="A414" s="15"/>
      <c r="B414" s="15"/>
      <c r="C414" s="21"/>
      <c r="D414" s="15"/>
      <c r="E414" s="15"/>
      <c r="F414" s="15"/>
      <c r="G414" s="15"/>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row>
    <row r="415" ht="15.75" customHeight="1">
      <c r="A415" s="15"/>
      <c r="B415" s="15"/>
      <c r="C415" s="21"/>
      <c r="D415" s="15"/>
      <c r="E415" s="15"/>
      <c r="F415" s="15"/>
      <c r="G415" s="15"/>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row>
    <row r="416" ht="15.75" customHeight="1">
      <c r="A416" s="15"/>
      <c r="B416" s="15"/>
      <c r="C416" s="21"/>
      <c r="D416" s="15"/>
      <c r="E416" s="15"/>
      <c r="F416" s="15"/>
      <c r="G416" s="15"/>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row>
    <row r="417" ht="15.75" customHeight="1">
      <c r="A417" s="15"/>
      <c r="B417" s="15"/>
      <c r="C417" s="21"/>
      <c r="D417" s="15"/>
      <c r="E417" s="15"/>
      <c r="F417" s="15"/>
      <c r="G417" s="15"/>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row>
    <row r="418" ht="15.75" customHeight="1">
      <c r="A418" s="15"/>
      <c r="B418" s="15"/>
      <c r="C418" s="21"/>
      <c r="D418" s="15"/>
      <c r="E418" s="15"/>
      <c r="F418" s="15"/>
      <c r="G418" s="15"/>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row>
    <row r="419" ht="15.75" customHeight="1">
      <c r="A419" s="15"/>
      <c r="B419" s="15"/>
      <c r="C419" s="21"/>
      <c r="D419" s="15"/>
      <c r="E419" s="15"/>
      <c r="F419" s="15"/>
      <c r="G419" s="15"/>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row>
    <row r="420" ht="15.75" customHeight="1">
      <c r="A420" s="15"/>
      <c r="B420" s="15"/>
      <c r="C420" s="21"/>
      <c r="D420" s="15"/>
      <c r="E420" s="15"/>
      <c r="F420" s="15"/>
      <c r="G420" s="15"/>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row>
    <row r="421" ht="15.75" customHeight="1">
      <c r="A421" s="15"/>
      <c r="B421" s="15"/>
      <c r="C421" s="21"/>
      <c r="D421" s="15"/>
      <c r="E421" s="15"/>
      <c r="F421" s="15"/>
      <c r="G421" s="15"/>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row>
    <row r="422" ht="15.75" customHeight="1">
      <c r="A422" s="15"/>
      <c r="B422" s="15"/>
      <c r="C422" s="21"/>
      <c r="D422" s="15"/>
      <c r="E422" s="15"/>
      <c r="F422" s="15"/>
      <c r="G422" s="15"/>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row>
    <row r="423" ht="15.75" customHeight="1">
      <c r="A423" s="15"/>
      <c r="B423" s="15"/>
      <c r="C423" s="21"/>
      <c r="D423" s="15"/>
      <c r="E423" s="15"/>
      <c r="F423" s="15"/>
      <c r="G423" s="15"/>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row>
    <row r="424" ht="15.75" customHeight="1">
      <c r="A424" s="15"/>
      <c r="B424" s="15"/>
      <c r="C424" s="21"/>
      <c r="D424" s="15"/>
      <c r="E424" s="15"/>
      <c r="F424" s="15"/>
      <c r="G424" s="15"/>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row>
    <row r="425" ht="15.75" customHeight="1">
      <c r="A425" s="15"/>
      <c r="B425" s="15"/>
      <c r="C425" s="21"/>
      <c r="D425" s="15"/>
      <c r="E425" s="15"/>
      <c r="F425" s="15"/>
      <c r="G425" s="15"/>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row>
    <row r="426" ht="15.75" customHeight="1">
      <c r="A426" s="15"/>
      <c r="B426" s="15"/>
      <c r="C426" s="21"/>
      <c r="D426" s="15"/>
      <c r="E426" s="15"/>
      <c r="F426" s="15"/>
      <c r="G426" s="15"/>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row>
    <row r="427" ht="15.75" customHeight="1">
      <c r="A427" s="15"/>
      <c r="B427" s="15"/>
      <c r="C427" s="21"/>
      <c r="D427" s="15"/>
      <c r="E427" s="15"/>
      <c r="F427" s="15"/>
      <c r="G427" s="15"/>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row>
    <row r="428" ht="15.75" customHeight="1">
      <c r="A428" s="15"/>
      <c r="B428" s="15"/>
      <c r="C428" s="21"/>
      <c r="D428" s="15"/>
      <c r="E428" s="15"/>
      <c r="F428" s="15"/>
      <c r="G428" s="15"/>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row>
    <row r="429" ht="15.75" customHeight="1">
      <c r="A429" s="15"/>
      <c r="B429" s="15"/>
      <c r="C429" s="21"/>
      <c r="D429" s="15"/>
      <c r="E429" s="15"/>
      <c r="F429" s="15"/>
      <c r="G429" s="15"/>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row>
    <row r="430" ht="15.75" customHeight="1">
      <c r="A430" s="15"/>
      <c r="B430" s="15"/>
      <c r="C430" s="21"/>
      <c r="D430" s="15"/>
      <c r="E430" s="15"/>
      <c r="F430" s="15"/>
      <c r="G430" s="15"/>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row>
    <row r="431" ht="15.75" customHeight="1">
      <c r="A431" s="15"/>
      <c r="B431" s="15"/>
      <c r="C431" s="21"/>
      <c r="D431" s="15"/>
      <c r="E431" s="15"/>
      <c r="F431" s="15"/>
      <c r="G431" s="15"/>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row>
    <row r="432" ht="15.75" customHeight="1">
      <c r="A432" s="15"/>
      <c r="B432" s="15"/>
      <c r="C432" s="21"/>
      <c r="D432" s="15"/>
      <c r="E432" s="15"/>
      <c r="F432" s="15"/>
      <c r="G432" s="15"/>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row>
    <row r="433" ht="15.75" customHeight="1">
      <c r="A433" s="15"/>
      <c r="B433" s="15"/>
      <c r="C433" s="21"/>
      <c r="D433" s="15"/>
      <c r="E433" s="15"/>
      <c r="F433" s="15"/>
      <c r="G433" s="15"/>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row>
    <row r="434" ht="15.75" customHeight="1">
      <c r="A434" s="15"/>
      <c r="B434" s="15"/>
      <c r="C434" s="21"/>
      <c r="D434" s="15"/>
      <c r="E434" s="15"/>
      <c r="F434" s="15"/>
      <c r="G434" s="15"/>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row>
    <row r="435" ht="15.75" customHeight="1">
      <c r="A435" s="15"/>
      <c r="B435" s="15"/>
      <c r="C435" s="21"/>
      <c r="D435" s="15"/>
      <c r="E435" s="15"/>
      <c r="F435" s="15"/>
      <c r="G435" s="15"/>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row>
    <row r="436" ht="15.75" customHeight="1">
      <c r="A436" s="15"/>
      <c r="B436" s="15"/>
      <c r="C436" s="21"/>
      <c r="D436" s="15"/>
      <c r="E436" s="15"/>
      <c r="F436" s="15"/>
      <c r="G436" s="15"/>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row>
    <row r="437" ht="15.75" customHeight="1">
      <c r="A437" s="15"/>
      <c r="B437" s="15"/>
      <c r="C437" s="21"/>
      <c r="D437" s="15"/>
      <c r="E437" s="15"/>
      <c r="F437" s="15"/>
      <c r="G437" s="15"/>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row>
    <row r="438" ht="15.75" customHeight="1">
      <c r="A438" s="15"/>
      <c r="B438" s="15"/>
      <c r="C438" s="21"/>
      <c r="D438" s="15"/>
      <c r="E438" s="15"/>
      <c r="F438" s="15"/>
      <c r="G438" s="15"/>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row>
    <row r="439" ht="15.75" customHeight="1">
      <c r="A439" s="15"/>
      <c r="B439" s="15"/>
      <c r="C439" s="21"/>
      <c r="D439" s="15"/>
      <c r="E439" s="15"/>
      <c r="F439" s="15"/>
      <c r="G439" s="15"/>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row>
    <row r="440" ht="15.75" customHeight="1">
      <c r="A440" s="15"/>
      <c r="B440" s="15"/>
      <c r="C440" s="21"/>
      <c r="D440" s="15"/>
      <c r="E440" s="15"/>
      <c r="F440" s="15"/>
      <c r="G440" s="15"/>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row>
    <row r="441" ht="15.75" customHeight="1">
      <c r="A441" s="15"/>
      <c r="B441" s="15"/>
      <c r="C441" s="21"/>
      <c r="D441" s="15"/>
      <c r="E441" s="15"/>
      <c r="F441" s="15"/>
      <c r="G441" s="15"/>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row>
    <row r="442" ht="15.75" customHeight="1">
      <c r="A442" s="15"/>
      <c r="B442" s="15"/>
      <c r="C442" s="21"/>
      <c r="D442" s="15"/>
      <c r="E442" s="15"/>
      <c r="F442" s="15"/>
      <c r="G442" s="15"/>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row>
    <row r="443" ht="15.75" customHeight="1">
      <c r="A443" s="15"/>
      <c r="B443" s="15"/>
      <c r="C443" s="21"/>
      <c r="D443" s="15"/>
      <c r="E443" s="15"/>
      <c r="F443" s="15"/>
      <c r="G443" s="15"/>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row>
    <row r="444" ht="15.75" customHeight="1">
      <c r="A444" s="15"/>
      <c r="B444" s="15"/>
      <c r="C444" s="21"/>
      <c r="D444" s="15"/>
      <c r="E444" s="15"/>
      <c r="F444" s="15"/>
      <c r="G444" s="15"/>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row>
    <row r="445" ht="15.75" customHeight="1">
      <c r="A445" s="15"/>
      <c r="B445" s="15"/>
      <c r="C445" s="21"/>
      <c r="D445" s="15"/>
      <c r="E445" s="15"/>
      <c r="F445" s="15"/>
      <c r="G445" s="15"/>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row>
    <row r="446" ht="15.75" customHeight="1">
      <c r="A446" s="15"/>
      <c r="B446" s="15"/>
      <c r="C446" s="21"/>
      <c r="D446" s="15"/>
      <c r="E446" s="15"/>
      <c r="F446" s="15"/>
      <c r="G446" s="15"/>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row>
    <row r="447" ht="15.75" customHeight="1">
      <c r="A447" s="15"/>
      <c r="B447" s="15"/>
      <c r="C447" s="21"/>
      <c r="D447" s="15"/>
      <c r="E447" s="15"/>
      <c r="F447" s="15"/>
      <c r="G447" s="15"/>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row>
    <row r="448" ht="15.75" customHeight="1">
      <c r="A448" s="15"/>
      <c r="B448" s="15"/>
      <c r="C448" s="21"/>
      <c r="D448" s="15"/>
      <c r="E448" s="15"/>
      <c r="F448" s="15"/>
      <c r="G448" s="15"/>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row>
    <row r="449" ht="15.75" customHeight="1">
      <c r="A449" s="15"/>
      <c r="B449" s="15"/>
      <c r="C449" s="21"/>
      <c r="D449" s="15"/>
      <c r="E449" s="15"/>
      <c r="F449" s="15"/>
      <c r="G449" s="15"/>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row>
    <row r="450" ht="15.75" customHeight="1">
      <c r="A450" s="15"/>
      <c r="B450" s="15"/>
      <c r="C450" s="21"/>
      <c r="D450" s="15"/>
      <c r="E450" s="15"/>
      <c r="F450" s="15"/>
      <c r="G450" s="15"/>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row>
    <row r="451" ht="15.75" customHeight="1">
      <c r="A451" s="15"/>
      <c r="B451" s="15"/>
      <c r="C451" s="21"/>
      <c r="D451" s="15"/>
      <c r="E451" s="15"/>
      <c r="F451" s="15"/>
      <c r="G451" s="15"/>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row>
    <row r="452" ht="15.75" customHeight="1">
      <c r="A452" s="15"/>
      <c r="B452" s="15"/>
      <c r="C452" s="21"/>
      <c r="D452" s="15"/>
      <c r="E452" s="15"/>
      <c r="F452" s="15"/>
      <c r="G452" s="15"/>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row>
    <row r="453" ht="15.75" customHeight="1">
      <c r="A453" s="15"/>
      <c r="B453" s="15"/>
      <c r="C453" s="21"/>
      <c r="D453" s="15"/>
      <c r="E453" s="15"/>
      <c r="F453" s="15"/>
      <c r="G453" s="15"/>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row>
    <row r="454" ht="15.75" customHeight="1">
      <c r="A454" s="15"/>
      <c r="B454" s="15"/>
      <c r="C454" s="21"/>
      <c r="D454" s="15"/>
      <c r="E454" s="15"/>
      <c r="F454" s="15"/>
      <c r="G454" s="15"/>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row>
    <row r="455" ht="15.75" customHeight="1">
      <c r="A455" s="15"/>
      <c r="B455" s="15"/>
      <c r="C455" s="21"/>
      <c r="D455" s="15"/>
      <c r="E455" s="15"/>
      <c r="F455" s="15"/>
      <c r="G455" s="15"/>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row>
    <row r="456" ht="15.75" customHeight="1">
      <c r="A456" s="15"/>
      <c r="B456" s="15"/>
      <c r="C456" s="21"/>
      <c r="D456" s="15"/>
      <c r="E456" s="15"/>
      <c r="F456" s="15"/>
      <c r="G456" s="15"/>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row>
    <row r="457" ht="15.75" customHeight="1">
      <c r="A457" s="15"/>
      <c r="B457" s="15"/>
      <c r="C457" s="21"/>
      <c r="D457" s="15"/>
      <c r="E457" s="15"/>
      <c r="F457" s="15"/>
      <c r="G457" s="15"/>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row>
    <row r="458" ht="15.75" customHeight="1">
      <c r="A458" s="15"/>
      <c r="B458" s="15"/>
      <c r="C458" s="21"/>
      <c r="D458" s="15"/>
      <c r="E458" s="15"/>
      <c r="F458" s="15"/>
      <c r="G458" s="15"/>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row>
    <row r="459" ht="15.75" customHeight="1">
      <c r="A459" s="15"/>
      <c r="B459" s="15"/>
      <c r="C459" s="21"/>
      <c r="D459" s="15"/>
      <c r="E459" s="15"/>
      <c r="F459" s="15"/>
      <c r="G459" s="15"/>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row>
    <row r="460" ht="15.75" customHeight="1">
      <c r="A460" s="15"/>
      <c r="B460" s="15"/>
      <c r="C460" s="21"/>
      <c r="D460" s="15"/>
      <c r="E460" s="15"/>
      <c r="F460" s="15"/>
      <c r="G460" s="15"/>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row>
    <row r="461" ht="15.75" customHeight="1">
      <c r="A461" s="15"/>
      <c r="B461" s="15"/>
      <c r="C461" s="21"/>
      <c r="D461" s="15"/>
      <c r="E461" s="15"/>
      <c r="F461" s="15"/>
      <c r="G461" s="15"/>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row>
    <row r="462" ht="15.75" customHeight="1">
      <c r="A462" s="15"/>
      <c r="B462" s="15"/>
      <c r="C462" s="21"/>
      <c r="D462" s="15"/>
      <c r="E462" s="15"/>
      <c r="F462" s="15"/>
      <c r="G462" s="15"/>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row>
    <row r="463" ht="15.75" customHeight="1">
      <c r="A463" s="15"/>
      <c r="B463" s="15"/>
      <c r="C463" s="21"/>
      <c r="D463" s="15"/>
      <c r="E463" s="15"/>
      <c r="F463" s="15"/>
      <c r="G463" s="15"/>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row>
    <row r="464" ht="15.75" customHeight="1">
      <c r="A464" s="15"/>
      <c r="B464" s="15"/>
      <c r="C464" s="21"/>
      <c r="D464" s="15"/>
      <c r="E464" s="15"/>
      <c r="F464" s="15"/>
      <c r="G464" s="15"/>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row>
    <row r="465" ht="15.75" customHeight="1">
      <c r="A465" s="15"/>
      <c r="B465" s="15"/>
      <c r="C465" s="21"/>
      <c r="D465" s="15"/>
      <c r="E465" s="15"/>
      <c r="F465" s="15"/>
      <c r="G465" s="15"/>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row>
    <row r="466" ht="15.75" customHeight="1">
      <c r="A466" s="15"/>
      <c r="B466" s="15"/>
      <c r="C466" s="21"/>
      <c r="D466" s="15"/>
      <c r="E466" s="15"/>
      <c r="F466" s="15"/>
      <c r="G466" s="15"/>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row>
    <row r="467" ht="15.75" customHeight="1">
      <c r="A467" s="15"/>
      <c r="B467" s="15"/>
      <c r="C467" s="21"/>
      <c r="D467" s="15"/>
      <c r="E467" s="15"/>
      <c r="F467" s="15"/>
      <c r="G467" s="15"/>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row>
    <row r="468" ht="15.75" customHeight="1">
      <c r="A468" s="15"/>
      <c r="B468" s="15"/>
      <c r="C468" s="21"/>
      <c r="D468" s="15"/>
      <c r="E468" s="15"/>
      <c r="F468" s="15"/>
      <c r="G468" s="15"/>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row>
    <row r="469" ht="15.75" customHeight="1">
      <c r="A469" s="15"/>
      <c r="B469" s="15"/>
      <c r="C469" s="21"/>
      <c r="D469" s="15"/>
      <c r="E469" s="15"/>
      <c r="F469" s="15"/>
      <c r="G469" s="15"/>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row>
    <row r="470" ht="15.75" customHeight="1">
      <c r="A470" s="15"/>
      <c r="B470" s="15"/>
      <c r="C470" s="21"/>
      <c r="D470" s="15"/>
      <c r="E470" s="15"/>
      <c r="F470" s="15"/>
      <c r="G470" s="15"/>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row>
    <row r="471" ht="15.75" customHeight="1">
      <c r="A471" s="15"/>
      <c r="B471" s="15"/>
      <c r="C471" s="21"/>
      <c r="D471" s="15"/>
      <c r="E471" s="15"/>
      <c r="F471" s="15"/>
      <c r="G471" s="15"/>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row>
    <row r="472" ht="15.75" customHeight="1">
      <c r="A472" s="15"/>
      <c r="B472" s="15"/>
      <c r="C472" s="21"/>
      <c r="D472" s="15"/>
      <c r="E472" s="15"/>
      <c r="F472" s="15"/>
      <c r="G472" s="15"/>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row>
    <row r="473" ht="15.75" customHeight="1">
      <c r="A473" s="15"/>
      <c r="B473" s="15"/>
      <c r="C473" s="21"/>
      <c r="D473" s="15"/>
      <c r="E473" s="15"/>
      <c r="F473" s="15"/>
      <c r="G473" s="15"/>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row>
    <row r="474" ht="15.75" customHeight="1">
      <c r="A474" s="15"/>
      <c r="B474" s="15"/>
      <c r="C474" s="21"/>
      <c r="D474" s="15"/>
      <c r="E474" s="15"/>
      <c r="F474" s="15"/>
      <c r="G474" s="15"/>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row>
    <row r="475" ht="15.75" customHeight="1">
      <c r="A475" s="15"/>
      <c r="B475" s="15"/>
      <c r="C475" s="21"/>
      <c r="D475" s="15"/>
      <c r="E475" s="15"/>
      <c r="F475" s="15"/>
      <c r="G475" s="15"/>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row>
    <row r="476" ht="15.75" customHeight="1">
      <c r="A476" s="15"/>
      <c r="B476" s="15"/>
      <c r="C476" s="21"/>
      <c r="D476" s="15"/>
      <c r="E476" s="15"/>
      <c r="F476" s="15"/>
      <c r="G476" s="15"/>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row>
    <row r="477" ht="15.75" customHeight="1">
      <c r="A477" s="15"/>
      <c r="B477" s="15"/>
      <c r="C477" s="21"/>
      <c r="D477" s="15"/>
      <c r="E477" s="15"/>
      <c r="F477" s="15"/>
      <c r="G477" s="15"/>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row>
    <row r="478" ht="15.75" customHeight="1">
      <c r="A478" s="15"/>
      <c r="B478" s="15"/>
      <c r="C478" s="21"/>
      <c r="D478" s="15"/>
      <c r="E478" s="15"/>
      <c r="F478" s="15"/>
      <c r="G478" s="15"/>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row>
    <row r="479" ht="15.75" customHeight="1">
      <c r="A479" s="15"/>
      <c r="B479" s="15"/>
      <c r="C479" s="21"/>
      <c r="D479" s="15"/>
      <c r="E479" s="15"/>
      <c r="F479" s="15"/>
      <c r="G479" s="15"/>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row>
    <row r="480" ht="15.75" customHeight="1">
      <c r="A480" s="15"/>
      <c r="B480" s="15"/>
      <c r="C480" s="21"/>
      <c r="D480" s="15"/>
      <c r="E480" s="15"/>
      <c r="F480" s="15"/>
      <c r="G480" s="15"/>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row>
    <row r="481" ht="15.75" customHeight="1">
      <c r="A481" s="15"/>
      <c r="B481" s="15"/>
      <c r="C481" s="21"/>
      <c r="D481" s="15"/>
      <c r="E481" s="15"/>
      <c r="F481" s="15"/>
      <c r="G481" s="15"/>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row>
    <row r="482" ht="15.75" customHeight="1">
      <c r="A482" s="15"/>
      <c r="B482" s="15"/>
      <c r="C482" s="21"/>
      <c r="D482" s="15"/>
      <c r="E482" s="15"/>
      <c r="F482" s="15"/>
      <c r="G482" s="15"/>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row>
    <row r="483" ht="15.75" customHeight="1">
      <c r="A483" s="15"/>
      <c r="B483" s="15"/>
      <c r="C483" s="21"/>
      <c r="D483" s="15"/>
      <c r="E483" s="15"/>
      <c r="F483" s="15"/>
      <c r="G483" s="15"/>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row>
    <row r="484" ht="15.75" customHeight="1">
      <c r="A484" s="15"/>
      <c r="B484" s="15"/>
      <c r="C484" s="21"/>
      <c r="D484" s="15"/>
      <c r="E484" s="15"/>
      <c r="F484" s="15"/>
      <c r="G484" s="15"/>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row>
    <row r="485" ht="15.75" customHeight="1">
      <c r="A485" s="15"/>
      <c r="B485" s="15"/>
      <c r="C485" s="21"/>
      <c r="D485" s="15"/>
      <c r="E485" s="15"/>
      <c r="F485" s="15"/>
      <c r="G485" s="15"/>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row>
    <row r="486" ht="15.75" customHeight="1">
      <c r="A486" s="15"/>
      <c r="B486" s="15"/>
      <c r="C486" s="21"/>
      <c r="D486" s="15"/>
      <c r="E486" s="15"/>
      <c r="F486" s="15"/>
      <c r="G486" s="15"/>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row>
    <row r="487" ht="15.75" customHeight="1">
      <c r="A487" s="15"/>
      <c r="B487" s="15"/>
      <c r="C487" s="21"/>
      <c r="D487" s="15"/>
      <c r="E487" s="15"/>
      <c r="F487" s="15"/>
      <c r="G487" s="15"/>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row>
    <row r="488" ht="15.75" customHeight="1">
      <c r="A488" s="15"/>
      <c r="B488" s="15"/>
      <c r="C488" s="21"/>
      <c r="D488" s="15"/>
      <c r="E488" s="15"/>
      <c r="F488" s="15"/>
      <c r="G488" s="15"/>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row>
    <row r="489" ht="15.75" customHeight="1">
      <c r="A489" s="15"/>
      <c r="B489" s="15"/>
      <c r="C489" s="21"/>
      <c r="D489" s="15"/>
      <c r="E489" s="15"/>
      <c r="F489" s="15"/>
      <c r="G489" s="15"/>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row>
    <row r="490" ht="15.75" customHeight="1">
      <c r="A490" s="15"/>
      <c r="B490" s="15"/>
      <c r="C490" s="21"/>
      <c r="D490" s="15"/>
      <c r="E490" s="15"/>
      <c r="F490" s="15"/>
      <c r="G490" s="15"/>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row>
    <row r="491" ht="15.75" customHeight="1">
      <c r="A491" s="15"/>
      <c r="B491" s="15"/>
      <c r="C491" s="21"/>
      <c r="D491" s="15"/>
      <c r="E491" s="15"/>
      <c r="F491" s="15"/>
      <c r="G491" s="15"/>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row>
    <row r="492" ht="15.75" customHeight="1">
      <c r="A492" s="15"/>
      <c r="B492" s="15"/>
      <c r="C492" s="21"/>
      <c r="D492" s="15"/>
      <c r="E492" s="15"/>
      <c r="F492" s="15"/>
      <c r="G492" s="15"/>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row>
    <row r="493" ht="15.75" customHeight="1">
      <c r="A493" s="15"/>
      <c r="B493" s="15"/>
      <c r="C493" s="21"/>
      <c r="D493" s="15"/>
      <c r="E493" s="15"/>
      <c r="F493" s="15"/>
      <c r="G493" s="15"/>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row>
    <row r="494" ht="15.75" customHeight="1">
      <c r="A494" s="15"/>
      <c r="B494" s="15"/>
      <c r="C494" s="21"/>
      <c r="D494" s="15"/>
      <c r="E494" s="15"/>
      <c r="F494" s="15"/>
      <c r="G494" s="15"/>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row>
    <row r="495" ht="15.75" customHeight="1">
      <c r="A495" s="15"/>
      <c r="B495" s="15"/>
      <c r="C495" s="21"/>
      <c r="D495" s="15"/>
      <c r="E495" s="15"/>
      <c r="F495" s="15"/>
      <c r="G495" s="15"/>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row>
    <row r="496" ht="15.75" customHeight="1">
      <c r="A496" s="15"/>
      <c r="B496" s="15"/>
      <c r="C496" s="21"/>
      <c r="D496" s="15"/>
      <c r="E496" s="15"/>
      <c r="F496" s="15"/>
      <c r="G496" s="15"/>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row>
    <row r="497" ht="15.75" customHeight="1">
      <c r="A497" s="15"/>
      <c r="B497" s="15"/>
      <c r="C497" s="21"/>
      <c r="D497" s="15"/>
      <c r="E497" s="15"/>
      <c r="F497" s="15"/>
      <c r="G497" s="15"/>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row>
    <row r="498" ht="15.75" customHeight="1">
      <c r="A498" s="15"/>
      <c r="B498" s="15"/>
      <c r="C498" s="21"/>
      <c r="D498" s="15"/>
      <c r="E498" s="15"/>
      <c r="F498" s="15"/>
      <c r="G498" s="15"/>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row>
    <row r="499" ht="15.75" customHeight="1">
      <c r="A499" s="15"/>
      <c r="B499" s="15"/>
      <c r="C499" s="21"/>
      <c r="D499" s="15"/>
      <c r="E499" s="15"/>
      <c r="F499" s="15"/>
      <c r="G499" s="15"/>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row>
    <row r="500" ht="15.75" customHeight="1">
      <c r="A500" s="15"/>
      <c r="B500" s="15"/>
      <c r="C500" s="21"/>
      <c r="D500" s="15"/>
      <c r="E500" s="15"/>
      <c r="F500" s="15"/>
      <c r="G500" s="15"/>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row>
    <row r="501" ht="15.75" customHeight="1">
      <c r="A501" s="15"/>
      <c r="B501" s="15"/>
      <c r="C501" s="21"/>
      <c r="D501" s="15"/>
      <c r="E501" s="15"/>
      <c r="F501" s="15"/>
      <c r="G501" s="15"/>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row>
    <row r="502" ht="15.75" customHeight="1">
      <c r="A502" s="15"/>
      <c r="B502" s="15"/>
      <c r="C502" s="21"/>
      <c r="D502" s="15"/>
      <c r="E502" s="15"/>
      <c r="F502" s="15"/>
      <c r="G502" s="15"/>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row>
    <row r="503" ht="15.75" customHeight="1">
      <c r="A503" s="15"/>
      <c r="B503" s="15"/>
      <c r="C503" s="21"/>
      <c r="D503" s="15"/>
      <c r="E503" s="15"/>
      <c r="F503" s="15"/>
      <c r="G503" s="15"/>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row>
    <row r="504" ht="15.75" customHeight="1">
      <c r="A504" s="15"/>
      <c r="B504" s="15"/>
      <c r="C504" s="21"/>
      <c r="D504" s="15"/>
      <c r="E504" s="15"/>
      <c r="F504" s="15"/>
      <c r="G504" s="15"/>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row>
    <row r="505" ht="15.75" customHeight="1">
      <c r="A505" s="15"/>
      <c r="B505" s="15"/>
      <c r="C505" s="21"/>
      <c r="D505" s="15"/>
      <c r="E505" s="15"/>
      <c r="F505" s="15"/>
      <c r="G505" s="15"/>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row>
    <row r="506" ht="15.75" customHeight="1">
      <c r="A506" s="15"/>
      <c r="B506" s="15"/>
      <c r="C506" s="21"/>
      <c r="D506" s="15"/>
      <c r="E506" s="15"/>
      <c r="F506" s="15"/>
      <c r="G506" s="15"/>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row>
    <row r="507" ht="15.75" customHeight="1">
      <c r="A507" s="15"/>
      <c r="B507" s="15"/>
      <c r="C507" s="21"/>
      <c r="D507" s="15"/>
      <c r="E507" s="15"/>
      <c r="F507" s="15"/>
      <c r="G507" s="15"/>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row>
    <row r="508" ht="15.75" customHeight="1">
      <c r="A508" s="15"/>
      <c r="B508" s="15"/>
      <c r="C508" s="21"/>
      <c r="D508" s="15"/>
      <c r="E508" s="15"/>
      <c r="F508" s="15"/>
      <c r="G508" s="15"/>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row>
    <row r="509" ht="15.75" customHeight="1">
      <c r="A509" s="15"/>
      <c r="B509" s="15"/>
      <c r="C509" s="21"/>
      <c r="D509" s="15"/>
      <c r="E509" s="15"/>
      <c r="F509" s="15"/>
      <c r="G509" s="15"/>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row>
    <row r="510" ht="15.75" customHeight="1">
      <c r="A510" s="15"/>
      <c r="B510" s="15"/>
      <c r="C510" s="21"/>
      <c r="D510" s="15"/>
      <c r="E510" s="15"/>
      <c r="F510" s="15"/>
      <c r="G510" s="15"/>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row>
    <row r="511" ht="15.75" customHeight="1">
      <c r="A511" s="15"/>
      <c r="B511" s="15"/>
      <c r="C511" s="21"/>
      <c r="D511" s="15"/>
      <c r="E511" s="15"/>
      <c r="F511" s="15"/>
      <c r="G511" s="15"/>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row>
    <row r="512" ht="15.75" customHeight="1">
      <c r="A512" s="15"/>
      <c r="B512" s="15"/>
      <c r="C512" s="21"/>
      <c r="D512" s="15"/>
      <c r="E512" s="15"/>
      <c r="F512" s="15"/>
      <c r="G512" s="15"/>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row>
    <row r="513" ht="15.75" customHeight="1">
      <c r="A513" s="15"/>
      <c r="B513" s="15"/>
      <c r="C513" s="21"/>
      <c r="D513" s="15"/>
      <c r="E513" s="15"/>
      <c r="F513" s="15"/>
      <c r="G513" s="15"/>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row>
    <row r="514" ht="15.75" customHeight="1">
      <c r="A514" s="15"/>
      <c r="B514" s="15"/>
      <c r="C514" s="21"/>
      <c r="D514" s="15"/>
      <c r="E514" s="15"/>
      <c r="F514" s="15"/>
      <c r="G514" s="15"/>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row>
    <row r="515" ht="15.75" customHeight="1">
      <c r="A515" s="15"/>
      <c r="B515" s="15"/>
      <c r="C515" s="21"/>
      <c r="D515" s="15"/>
      <c r="E515" s="15"/>
      <c r="F515" s="15"/>
      <c r="G515" s="15"/>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row>
    <row r="516" ht="15.75" customHeight="1">
      <c r="A516" s="15"/>
      <c r="B516" s="15"/>
      <c r="C516" s="21"/>
      <c r="D516" s="15"/>
      <c r="E516" s="15"/>
      <c r="F516" s="15"/>
      <c r="G516" s="15"/>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row>
    <row r="517" ht="15.75" customHeight="1">
      <c r="A517" s="15"/>
      <c r="B517" s="15"/>
      <c r="C517" s="21"/>
      <c r="D517" s="15"/>
      <c r="E517" s="15"/>
      <c r="F517" s="15"/>
      <c r="G517" s="15"/>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row>
    <row r="518" ht="15.75" customHeight="1">
      <c r="A518" s="15"/>
      <c r="B518" s="15"/>
      <c r="C518" s="21"/>
      <c r="D518" s="15"/>
      <c r="E518" s="15"/>
      <c r="F518" s="15"/>
      <c r="G518" s="15"/>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row>
    <row r="519" ht="15.75" customHeight="1">
      <c r="A519" s="15"/>
      <c r="B519" s="15"/>
      <c r="C519" s="21"/>
      <c r="D519" s="15"/>
      <c r="E519" s="15"/>
      <c r="F519" s="15"/>
      <c r="G519" s="15"/>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row>
    <row r="520" ht="15.75" customHeight="1">
      <c r="A520" s="15"/>
      <c r="B520" s="15"/>
      <c r="C520" s="21"/>
      <c r="D520" s="15"/>
      <c r="E520" s="15"/>
      <c r="F520" s="15"/>
      <c r="G520" s="15"/>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row>
    <row r="521" ht="15.75" customHeight="1">
      <c r="A521" s="15"/>
      <c r="B521" s="15"/>
      <c r="C521" s="21"/>
      <c r="D521" s="15"/>
      <c r="E521" s="15"/>
      <c r="F521" s="15"/>
      <c r="G521" s="15"/>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row>
    <row r="522" ht="15.75" customHeight="1">
      <c r="A522" s="15"/>
      <c r="B522" s="15"/>
      <c r="C522" s="21"/>
      <c r="D522" s="15"/>
      <c r="E522" s="15"/>
      <c r="F522" s="15"/>
      <c r="G522" s="15"/>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row>
    <row r="523" ht="15.75" customHeight="1">
      <c r="A523" s="15"/>
      <c r="B523" s="15"/>
      <c r="C523" s="21"/>
      <c r="D523" s="15"/>
      <c r="E523" s="15"/>
      <c r="F523" s="15"/>
      <c r="G523" s="15"/>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row>
    <row r="524" ht="15.75" customHeight="1">
      <c r="A524" s="15"/>
      <c r="B524" s="15"/>
      <c r="C524" s="21"/>
      <c r="D524" s="15"/>
      <c r="E524" s="15"/>
      <c r="F524" s="15"/>
      <c r="G524" s="15"/>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row>
    <row r="525" ht="15.75" customHeight="1">
      <c r="A525" s="15"/>
      <c r="B525" s="15"/>
      <c r="C525" s="21"/>
      <c r="D525" s="15"/>
      <c r="E525" s="15"/>
      <c r="F525" s="15"/>
      <c r="G525" s="15"/>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row>
    <row r="526" ht="15.75" customHeight="1">
      <c r="A526" s="15"/>
      <c r="B526" s="15"/>
      <c r="C526" s="21"/>
      <c r="D526" s="15"/>
      <c r="E526" s="15"/>
      <c r="F526" s="15"/>
      <c r="G526" s="15"/>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row>
    <row r="527" ht="15.75" customHeight="1">
      <c r="A527" s="15"/>
      <c r="B527" s="15"/>
      <c r="C527" s="21"/>
      <c r="D527" s="15"/>
      <c r="E527" s="15"/>
      <c r="F527" s="15"/>
      <c r="G527" s="15"/>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row>
    <row r="528" ht="15.75" customHeight="1">
      <c r="A528" s="15"/>
      <c r="B528" s="15"/>
      <c r="C528" s="21"/>
      <c r="D528" s="15"/>
      <c r="E528" s="15"/>
      <c r="F528" s="15"/>
      <c r="G528" s="15"/>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row>
    <row r="529" ht="15.75" customHeight="1">
      <c r="A529" s="15"/>
      <c r="B529" s="15"/>
      <c r="C529" s="21"/>
      <c r="D529" s="15"/>
      <c r="E529" s="15"/>
      <c r="F529" s="15"/>
      <c r="G529" s="15"/>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row>
    <row r="530" ht="15.75" customHeight="1">
      <c r="A530" s="15"/>
      <c r="B530" s="15"/>
      <c r="C530" s="21"/>
      <c r="D530" s="15"/>
      <c r="E530" s="15"/>
      <c r="F530" s="15"/>
      <c r="G530" s="15"/>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row>
    <row r="531" ht="15.75" customHeight="1">
      <c r="A531" s="15"/>
      <c r="B531" s="15"/>
      <c r="C531" s="21"/>
      <c r="D531" s="15"/>
      <c r="E531" s="15"/>
      <c r="F531" s="15"/>
      <c r="G531" s="15"/>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row>
    <row r="532" ht="15.75" customHeight="1">
      <c r="A532" s="15"/>
      <c r="B532" s="15"/>
      <c r="C532" s="21"/>
      <c r="D532" s="15"/>
      <c r="E532" s="15"/>
      <c r="F532" s="15"/>
      <c r="G532" s="15"/>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row>
    <row r="533" ht="15.75" customHeight="1">
      <c r="A533" s="15"/>
      <c r="B533" s="15"/>
      <c r="C533" s="21"/>
      <c r="D533" s="15"/>
      <c r="E533" s="15"/>
      <c r="F533" s="15"/>
      <c r="G533" s="15"/>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row>
    <row r="534" ht="15.75" customHeight="1">
      <c r="A534" s="15"/>
      <c r="B534" s="15"/>
      <c r="C534" s="21"/>
      <c r="D534" s="15"/>
      <c r="E534" s="15"/>
      <c r="F534" s="15"/>
      <c r="G534" s="15"/>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row>
    <row r="535" ht="15.75" customHeight="1">
      <c r="A535" s="15"/>
      <c r="B535" s="15"/>
      <c r="C535" s="21"/>
      <c r="D535" s="15"/>
      <c r="E535" s="15"/>
      <c r="F535" s="15"/>
      <c r="G535" s="15"/>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row>
    <row r="536" ht="15.75" customHeight="1">
      <c r="A536" s="15"/>
      <c r="B536" s="15"/>
      <c r="C536" s="21"/>
      <c r="D536" s="15"/>
      <c r="E536" s="15"/>
      <c r="F536" s="15"/>
      <c r="G536" s="15"/>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row>
    <row r="537" ht="15.75" customHeight="1">
      <c r="A537" s="15"/>
      <c r="B537" s="15"/>
      <c r="C537" s="21"/>
      <c r="D537" s="15"/>
      <c r="E537" s="15"/>
      <c r="F537" s="15"/>
      <c r="G537" s="15"/>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row>
    <row r="538" ht="15.75" customHeight="1">
      <c r="A538" s="15"/>
      <c r="B538" s="15"/>
      <c r="C538" s="21"/>
      <c r="D538" s="15"/>
      <c r="E538" s="15"/>
      <c r="F538" s="15"/>
      <c r="G538" s="15"/>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row>
    <row r="539" ht="15.75" customHeight="1">
      <c r="A539" s="15"/>
      <c r="B539" s="15"/>
      <c r="C539" s="21"/>
      <c r="D539" s="15"/>
      <c r="E539" s="15"/>
      <c r="F539" s="15"/>
      <c r="G539" s="15"/>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row>
    <row r="540" ht="15.75" customHeight="1">
      <c r="A540" s="15"/>
      <c r="B540" s="15"/>
      <c r="C540" s="21"/>
      <c r="D540" s="15"/>
      <c r="E540" s="15"/>
      <c r="F540" s="15"/>
      <c r="G540" s="15"/>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row>
    <row r="541" ht="15.75" customHeight="1">
      <c r="A541" s="15"/>
      <c r="B541" s="15"/>
      <c r="C541" s="21"/>
      <c r="D541" s="15"/>
      <c r="E541" s="15"/>
      <c r="F541" s="15"/>
      <c r="G541" s="15"/>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row>
    <row r="542" ht="15.75" customHeight="1">
      <c r="A542" s="15"/>
      <c r="B542" s="15"/>
      <c r="C542" s="21"/>
      <c r="D542" s="15"/>
      <c r="E542" s="15"/>
      <c r="F542" s="15"/>
      <c r="G542" s="15"/>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row>
    <row r="543" ht="15.75" customHeight="1">
      <c r="A543" s="15"/>
      <c r="B543" s="15"/>
      <c r="C543" s="21"/>
      <c r="D543" s="15"/>
      <c r="E543" s="15"/>
      <c r="F543" s="15"/>
      <c r="G543" s="15"/>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row>
    <row r="544" ht="15.75" customHeight="1">
      <c r="A544" s="15"/>
      <c r="B544" s="15"/>
      <c r="C544" s="21"/>
      <c r="D544" s="15"/>
      <c r="E544" s="15"/>
      <c r="F544" s="15"/>
      <c r="G544" s="15"/>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row>
    <row r="545" ht="15.75" customHeight="1">
      <c r="A545" s="15"/>
      <c r="B545" s="15"/>
      <c r="C545" s="21"/>
      <c r="D545" s="15"/>
      <c r="E545" s="15"/>
      <c r="F545" s="15"/>
      <c r="G545" s="15"/>
      <c r="H545" s="15"/>
      <c r="I545" s="11"/>
      <c r="J545" s="11"/>
      <c r="K545" s="11"/>
      <c r="L545" s="11"/>
      <c r="M545" s="15"/>
      <c r="N545" s="15"/>
      <c r="O545" s="15"/>
      <c r="P545" s="15"/>
      <c r="Q545" s="15"/>
      <c r="R545" s="15"/>
      <c r="S545" s="15"/>
      <c r="T545" s="15"/>
      <c r="U545" s="15"/>
      <c r="V545" s="15"/>
      <c r="W545" s="15"/>
      <c r="X545" s="15"/>
      <c r="Y545" s="15"/>
      <c r="Z545" s="15"/>
      <c r="AA545" s="15"/>
      <c r="AB545" s="15"/>
      <c r="AC545" s="15"/>
      <c r="AD545" s="15"/>
      <c r="AE545" s="15"/>
      <c r="AF545" s="15"/>
    </row>
    <row r="546" ht="15.75" customHeight="1">
      <c r="A546" s="15"/>
      <c r="B546" s="15"/>
      <c r="C546" s="21"/>
      <c r="D546" s="15"/>
      <c r="E546" s="15"/>
      <c r="F546" s="15"/>
      <c r="G546" s="15"/>
      <c r="H546" s="15"/>
      <c r="I546" s="11"/>
      <c r="J546" s="11"/>
      <c r="K546" s="11"/>
      <c r="L546" s="11"/>
      <c r="M546" s="15"/>
      <c r="N546" s="15"/>
      <c r="O546" s="15"/>
      <c r="P546" s="15"/>
      <c r="Q546" s="15"/>
      <c r="R546" s="15"/>
      <c r="S546" s="15"/>
      <c r="T546" s="15"/>
      <c r="U546" s="15"/>
      <c r="V546" s="15"/>
      <c r="W546" s="15"/>
      <c r="X546" s="15"/>
      <c r="Y546" s="15"/>
      <c r="Z546" s="15"/>
      <c r="AA546" s="15"/>
      <c r="AB546" s="15"/>
      <c r="AC546" s="15"/>
      <c r="AD546" s="15"/>
      <c r="AE546" s="15"/>
      <c r="AF546" s="15"/>
    </row>
    <row r="547" ht="15.75" customHeight="1">
      <c r="A547" s="15"/>
      <c r="B547" s="15"/>
      <c r="C547" s="21"/>
      <c r="D547" s="15"/>
      <c r="E547" s="15"/>
      <c r="F547" s="15"/>
      <c r="G547" s="15"/>
      <c r="H547" s="15"/>
      <c r="I547" s="11"/>
      <c r="J547" s="11"/>
      <c r="K547" s="11"/>
      <c r="L547" s="11"/>
      <c r="M547" s="15"/>
      <c r="N547" s="15"/>
      <c r="O547" s="15"/>
      <c r="P547" s="15"/>
      <c r="Q547" s="15"/>
      <c r="R547" s="15"/>
      <c r="S547" s="15"/>
      <c r="T547" s="15"/>
      <c r="U547" s="15"/>
      <c r="V547" s="15"/>
      <c r="W547" s="15"/>
      <c r="X547" s="15"/>
      <c r="Y547" s="15"/>
      <c r="Z547" s="15"/>
      <c r="AA547" s="15"/>
      <c r="AB547" s="15"/>
      <c r="AC547" s="15"/>
      <c r="AD547" s="15"/>
      <c r="AE547" s="15"/>
      <c r="AF547" s="15"/>
    </row>
    <row r="548" ht="15.75" customHeight="1">
      <c r="A548" s="15"/>
      <c r="B548" s="15"/>
      <c r="C548" s="21"/>
      <c r="D548" s="15"/>
      <c r="E548" s="15"/>
      <c r="F548" s="15"/>
      <c r="G548" s="15"/>
      <c r="H548" s="15"/>
      <c r="I548" s="11"/>
      <c r="J548" s="11"/>
      <c r="K548" s="11"/>
      <c r="L548" s="11"/>
      <c r="M548" s="15"/>
      <c r="N548" s="15"/>
      <c r="O548" s="15"/>
      <c r="P548" s="15"/>
      <c r="Q548" s="15"/>
      <c r="R548" s="15"/>
      <c r="S548" s="15"/>
      <c r="T548" s="15"/>
      <c r="U548" s="15"/>
      <c r="V548" s="15"/>
      <c r="W548" s="15"/>
      <c r="X548" s="15"/>
      <c r="Y548" s="15"/>
      <c r="Z548" s="15"/>
      <c r="AA548" s="15"/>
      <c r="AB548" s="15"/>
      <c r="AC548" s="15"/>
      <c r="AD548" s="15"/>
      <c r="AE548" s="15"/>
      <c r="AF548" s="15"/>
    </row>
    <row r="549" ht="15.75" customHeight="1">
      <c r="A549" s="15"/>
      <c r="B549" s="15"/>
      <c r="C549" s="21"/>
      <c r="D549" s="15"/>
      <c r="E549" s="15"/>
      <c r="F549" s="15"/>
      <c r="G549" s="15"/>
      <c r="H549" s="15"/>
      <c r="I549" s="11"/>
      <c r="J549" s="11"/>
      <c r="K549" s="11"/>
      <c r="L549" s="11"/>
      <c r="M549" s="15"/>
      <c r="N549" s="15"/>
      <c r="O549" s="15"/>
      <c r="P549" s="15"/>
      <c r="Q549" s="15"/>
      <c r="R549" s="15"/>
      <c r="S549" s="15"/>
      <c r="T549" s="15"/>
      <c r="U549" s="15"/>
      <c r="V549" s="15"/>
      <c r="W549" s="15"/>
      <c r="X549" s="15"/>
      <c r="Y549" s="15"/>
      <c r="Z549" s="15"/>
      <c r="AA549" s="15"/>
      <c r="AB549" s="15"/>
      <c r="AC549" s="15"/>
      <c r="AD549" s="15"/>
      <c r="AE549" s="15"/>
      <c r="AF549" s="15"/>
    </row>
    <row r="550" ht="15.75" customHeight="1">
      <c r="A550" s="15"/>
      <c r="B550" s="15"/>
      <c r="C550" s="21"/>
      <c r="D550" s="15"/>
      <c r="E550" s="15"/>
      <c r="F550" s="15"/>
      <c r="G550" s="15"/>
      <c r="H550" s="15"/>
      <c r="I550" s="11"/>
      <c r="J550" s="11"/>
      <c r="K550" s="11"/>
      <c r="L550" s="11"/>
      <c r="M550" s="15"/>
      <c r="N550" s="15"/>
      <c r="O550" s="15"/>
      <c r="P550" s="15"/>
      <c r="Q550" s="15"/>
      <c r="R550" s="15"/>
      <c r="S550" s="15"/>
      <c r="T550" s="15"/>
      <c r="U550" s="15"/>
      <c r="V550" s="15"/>
      <c r="W550" s="15"/>
      <c r="X550" s="15"/>
      <c r="Y550" s="15"/>
      <c r="Z550" s="15"/>
      <c r="AA550" s="15"/>
      <c r="AB550" s="15"/>
      <c r="AC550" s="15"/>
      <c r="AD550" s="15"/>
      <c r="AE550" s="15"/>
      <c r="AF550" s="15"/>
    </row>
    <row r="551" ht="15.75" customHeight="1">
      <c r="A551" s="15"/>
      <c r="B551" s="15"/>
      <c r="C551" s="21"/>
      <c r="D551" s="15"/>
      <c r="E551" s="15"/>
      <c r="F551" s="15"/>
      <c r="G551" s="15"/>
      <c r="H551" s="15"/>
      <c r="I551" s="11"/>
      <c r="J551" s="11"/>
      <c r="K551" s="11"/>
      <c r="L551" s="11"/>
      <c r="M551" s="15"/>
      <c r="N551" s="15"/>
      <c r="O551" s="15"/>
      <c r="P551" s="15"/>
      <c r="Q551" s="15"/>
      <c r="R551" s="15"/>
      <c r="S551" s="15"/>
      <c r="T551" s="15"/>
      <c r="U551" s="15"/>
      <c r="V551" s="15"/>
      <c r="W551" s="15"/>
      <c r="X551" s="15"/>
      <c r="Y551" s="15"/>
      <c r="Z551" s="15"/>
      <c r="AA551" s="15"/>
      <c r="AB551" s="15"/>
      <c r="AC551" s="15"/>
      <c r="AD551" s="15"/>
      <c r="AE551" s="15"/>
      <c r="AF551" s="15"/>
    </row>
    <row r="552" ht="15.75" customHeight="1">
      <c r="A552" s="15"/>
      <c r="B552" s="15"/>
      <c r="C552" s="21"/>
      <c r="D552" s="15"/>
      <c r="E552" s="15"/>
      <c r="F552" s="15"/>
      <c r="G552" s="15"/>
      <c r="H552" s="15"/>
      <c r="I552" s="11"/>
      <c r="J552" s="11"/>
      <c r="K552" s="11"/>
      <c r="L552" s="11"/>
      <c r="M552" s="15"/>
      <c r="N552" s="15"/>
      <c r="O552" s="15"/>
      <c r="P552" s="15"/>
      <c r="Q552" s="15"/>
      <c r="R552" s="15"/>
      <c r="S552" s="15"/>
      <c r="T552" s="15"/>
      <c r="U552" s="15"/>
      <c r="V552" s="15"/>
      <c r="W552" s="15"/>
      <c r="X552" s="15"/>
      <c r="Y552" s="15"/>
      <c r="Z552" s="15"/>
      <c r="AA552" s="15"/>
      <c r="AB552" s="15"/>
      <c r="AC552" s="15"/>
      <c r="AD552" s="15"/>
      <c r="AE552" s="15"/>
      <c r="AF552" s="15"/>
    </row>
    <row r="553" ht="15.75" customHeight="1">
      <c r="A553" s="15"/>
      <c r="B553" s="15"/>
      <c r="C553" s="21"/>
      <c r="D553" s="15"/>
      <c r="E553" s="15"/>
      <c r="F553" s="15"/>
      <c r="G553" s="15"/>
      <c r="H553" s="15"/>
      <c r="I553" s="11"/>
      <c r="J553" s="11"/>
      <c r="K553" s="11"/>
      <c r="L553" s="11"/>
      <c r="M553" s="15"/>
      <c r="N553" s="15"/>
      <c r="O553" s="15"/>
      <c r="P553" s="15"/>
      <c r="Q553" s="15"/>
      <c r="R553" s="15"/>
      <c r="S553" s="15"/>
      <c r="T553" s="15"/>
      <c r="U553" s="15"/>
      <c r="V553" s="15"/>
      <c r="W553" s="15"/>
      <c r="X553" s="15"/>
      <c r="Y553" s="15"/>
      <c r="Z553" s="15"/>
      <c r="AA553" s="15"/>
      <c r="AB553" s="15"/>
      <c r="AC553" s="15"/>
      <c r="AD553" s="15"/>
      <c r="AE553" s="15"/>
      <c r="AF553" s="15"/>
    </row>
    <row r="554" ht="15.75" customHeight="1">
      <c r="A554" s="15"/>
      <c r="B554" s="15"/>
      <c r="C554" s="21"/>
      <c r="D554" s="15"/>
      <c r="E554" s="15"/>
      <c r="F554" s="15"/>
      <c r="G554" s="15"/>
      <c r="H554" s="15"/>
      <c r="I554" s="11"/>
      <c r="J554" s="11"/>
      <c r="K554" s="11"/>
      <c r="L554" s="11"/>
      <c r="M554" s="15"/>
      <c r="N554" s="15"/>
      <c r="O554" s="15"/>
      <c r="P554" s="15"/>
      <c r="Q554" s="15"/>
      <c r="R554" s="15"/>
      <c r="S554" s="15"/>
      <c r="T554" s="15"/>
      <c r="U554" s="15"/>
      <c r="V554" s="15"/>
      <c r="W554" s="15"/>
      <c r="X554" s="15"/>
      <c r="Y554" s="15"/>
      <c r="Z554" s="15"/>
      <c r="AA554" s="15"/>
      <c r="AB554" s="15"/>
      <c r="AC554" s="15"/>
      <c r="AD554" s="15"/>
      <c r="AE554" s="15"/>
      <c r="AF554" s="15"/>
    </row>
    <row r="555" ht="15.75" customHeight="1">
      <c r="A555" s="15"/>
      <c r="B555" s="15"/>
      <c r="C555" s="21"/>
      <c r="D555" s="15"/>
      <c r="E555" s="15"/>
      <c r="F555" s="15"/>
      <c r="G555" s="15"/>
      <c r="H555" s="15"/>
      <c r="I555" s="11"/>
      <c r="J555" s="11"/>
      <c r="K555" s="11"/>
      <c r="L555" s="11"/>
      <c r="M555" s="15"/>
      <c r="N555" s="15"/>
      <c r="O555" s="15"/>
      <c r="P555" s="15"/>
      <c r="Q555" s="15"/>
      <c r="R555" s="15"/>
      <c r="S555" s="15"/>
      <c r="T555" s="15"/>
      <c r="U555" s="15"/>
      <c r="V555" s="15"/>
      <c r="W555" s="15"/>
      <c r="X555" s="15"/>
      <c r="Y555" s="15"/>
      <c r="Z555" s="15"/>
      <c r="AA555" s="15"/>
      <c r="AB555" s="15"/>
      <c r="AC555" s="15"/>
      <c r="AD555" s="15"/>
      <c r="AE555" s="15"/>
      <c r="AF555" s="15"/>
    </row>
    <row r="556" ht="15.75" customHeight="1">
      <c r="A556" s="15"/>
      <c r="B556" s="15"/>
      <c r="C556" s="21"/>
      <c r="D556" s="15"/>
      <c r="E556" s="15"/>
      <c r="F556" s="15"/>
      <c r="G556" s="15"/>
      <c r="H556" s="15"/>
      <c r="I556" s="11"/>
      <c r="J556" s="11"/>
      <c r="K556" s="11"/>
      <c r="L556" s="11"/>
      <c r="M556" s="15"/>
      <c r="N556" s="15"/>
      <c r="O556" s="15"/>
      <c r="P556" s="15"/>
      <c r="Q556" s="15"/>
      <c r="R556" s="15"/>
      <c r="S556" s="15"/>
      <c r="T556" s="15"/>
      <c r="U556" s="15"/>
      <c r="V556" s="15"/>
      <c r="W556" s="15"/>
      <c r="X556" s="15"/>
      <c r="Y556" s="15"/>
      <c r="Z556" s="15"/>
      <c r="AA556" s="15"/>
      <c r="AB556" s="15"/>
      <c r="AC556" s="15"/>
      <c r="AD556" s="15"/>
      <c r="AE556" s="15"/>
      <c r="AF556" s="15"/>
    </row>
    <row r="557" ht="15.75" customHeight="1">
      <c r="A557" s="15"/>
      <c r="B557" s="15"/>
      <c r="C557" s="21"/>
      <c r="D557" s="15"/>
      <c r="E557" s="15"/>
      <c r="F557" s="15"/>
      <c r="G557" s="15"/>
      <c r="H557" s="15"/>
      <c r="I557" s="11"/>
      <c r="J557" s="11"/>
      <c r="K557" s="11"/>
      <c r="L557" s="11"/>
      <c r="M557" s="15"/>
      <c r="N557" s="15"/>
      <c r="O557" s="15"/>
      <c r="P557" s="15"/>
      <c r="Q557" s="15"/>
      <c r="R557" s="15"/>
      <c r="S557" s="15"/>
      <c r="T557" s="15"/>
      <c r="U557" s="15"/>
      <c r="V557" s="15"/>
      <c r="W557" s="15"/>
      <c r="X557" s="15"/>
      <c r="Y557" s="15"/>
      <c r="Z557" s="15"/>
      <c r="AA557" s="15"/>
      <c r="AB557" s="15"/>
      <c r="AC557" s="15"/>
      <c r="AD557" s="15"/>
      <c r="AE557" s="15"/>
      <c r="AF557" s="15"/>
    </row>
    <row r="558" ht="15.75" customHeight="1">
      <c r="A558" s="15"/>
      <c r="B558" s="15"/>
      <c r="C558" s="21"/>
      <c r="D558" s="15"/>
      <c r="E558" s="15"/>
      <c r="F558" s="15"/>
      <c r="G558" s="15"/>
      <c r="H558" s="15"/>
      <c r="I558" s="11"/>
      <c r="J558" s="11"/>
      <c r="K558" s="11"/>
      <c r="L558" s="11"/>
      <c r="M558" s="15"/>
      <c r="N558" s="15"/>
      <c r="O558" s="15"/>
      <c r="P558" s="15"/>
      <c r="Q558" s="15"/>
      <c r="R558" s="15"/>
      <c r="S558" s="15"/>
      <c r="T558" s="15"/>
      <c r="U558" s="15"/>
      <c r="V558" s="15"/>
      <c r="W558" s="15"/>
      <c r="X558" s="15"/>
      <c r="Y558" s="15"/>
      <c r="Z558" s="15"/>
      <c r="AA558" s="15"/>
      <c r="AB558" s="15"/>
      <c r="AC558" s="15"/>
      <c r="AD558" s="15"/>
      <c r="AE558" s="15"/>
      <c r="AF558" s="15"/>
    </row>
    <row r="559" ht="15.75" customHeight="1">
      <c r="A559" s="15"/>
      <c r="B559" s="15"/>
      <c r="C559" s="21"/>
      <c r="D559" s="15"/>
      <c r="E559" s="15"/>
      <c r="F559" s="15"/>
      <c r="G559" s="15"/>
      <c r="H559" s="15"/>
      <c r="I559" s="11"/>
      <c r="J559" s="11"/>
      <c r="K559" s="11"/>
      <c r="L559" s="11"/>
      <c r="M559" s="15"/>
      <c r="N559" s="15"/>
      <c r="O559" s="15"/>
      <c r="P559" s="15"/>
      <c r="Q559" s="15"/>
      <c r="R559" s="15"/>
      <c r="S559" s="15"/>
      <c r="T559" s="15"/>
      <c r="U559" s="15"/>
      <c r="V559" s="15"/>
      <c r="W559" s="15"/>
      <c r="X559" s="15"/>
      <c r="Y559" s="15"/>
      <c r="Z559" s="15"/>
      <c r="AA559" s="15"/>
      <c r="AB559" s="15"/>
      <c r="AC559" s="15"/>
      <c r="AD559" s="15"/>
      <c r="AE559" s="15"/>
      <c r="AF559" s="15"/>
    </row>
    <row r="560" ht="15.75" customHeight="1">
      <c r="A560" s="15"/>
      <c r="B560" s="15"/>
      <c r="C560" s="21"/>
      <c r="D560" s="15"/>
      <c r="E560" s="15"/>
      <c r="F560" s="15"/>
      <c r="G560" s="15"/>
      <c r="H560" s="15"/>
      <c r="I560" s="11"/>
      <c r="J560" s="11"/>
      <c r="K560" s="11"/>
      <c r="L560" s="11"/>
      <c r="M560" s="15"/>
      <c r="N560" s="15"/>
      <c r="O560" s="15"/>
      <c r="P560" s="15"/>
      <c r="Q560" s="15"/>
      <c r="R560" s="15"/>
      <c r="S560" s="15"/>
      <c r="T560" s="15"/>
      <c r="U560" s="15"/>
      <c r="V560" s="15"/>
      <c r="W560" s="15"/>
      <c r="X560" s="15"/>
      <c r="Y560" s="15"/>
      <c r="Z560" s="15"/>
      <c r="AA560" s="15"/>
      <c r="AB560" s="15"/>
      <c r="AC560" s="15"/>
      <c r="AD560" s="15"/>
      <c r="AE560" s="15"/>
      <c r="AF560" s="15"/>
    </row>
    <row r="561" ht="15.75" customHeight="1">
      <c r="A561" s="15"/>
      <c r="B561" s="15"/>
      <c r="C561" s="21"/>
      <c r="D561" s="15"/>
      <c r="E561" s="15"/>
      <c r="F561" s="15"/>
      <c r="G561" s="15"/>
      <c r="H561" s="15"/>
      <c r="I561" s="11"/>
      <c r="J561" s="11"/>
      <c r="K561" s="11"/>
      <c r="L561" s="11"/>
      <c r="M561" s="15"/>
      <c r="N561" s="15"/>
      <c r="O561" s="15"/>
      <c r="P561" s="15"/>
      <c r="Q561" s="15"/>
      <c r="R561" s="15"/>
      <c r="S561" s="15"/>
      <c r="T561" s="15"/>
      <c r="U561" s="15"/>
      <c r="V561" s="15"/>
      <c r="W561" s="15"/>
      <c r="X561" s="15"/>
      <c r="Y561" s="15"/>
      <c r="Z561" s="15"/>
      <c r="AA561" s="15"/>
      <c r="AB561" s="15"/>
      <c r="AC561" s="15"/>
      <c r="AD561" s="15"/>
      <c r="AE561" s="15"/>
      <c r="AF561" s="15"/>
    </row>
    <row r="562" ht="15.75" customHeight="1">
      <c r="A562" s="15"/>
      <c r="B562" s="15"/>
      <c r="C562" s="21"/>
      <c r="D562" s="15"/>
      <c r="E562" s="15"/>
      <c r="F562" s="15"/>
      <c r="G562" s="15"/>
      <c r="H562" s="15"/>
      <c r="I562" s="11"/>
      <c r="J562" s="11"/>
      <c r="K562" s="11"/>
      <c r="L562" s="11"/>
      <c r="M562" s="15"/>
      <c r="N562" s="15"/>
      <c r="O562" s="15"/>
      <c r="P562" s="15"/>
      <c r="Q562" s="15"/>
      <c r="R562" s="15"/>
      <c r="S562" s="15"/>
      <c r="T562" s="15"/>
      <c r="U562" s="15"/>
      <c r="V562" s="15"/>
      <c r="W562" s="15"/>
      <c r="X562" s="15"/>
      <c r="Y562" s="15"/>
      <c r="Z562" s="15"/>
      <c r="AA562" s="15"/>
      <c r="AB562" s="15"/>
      <c r="AC562" s="15"/>
      <c r="AD562" s="15"/>
      <c r="AE562" s="15"/>
      <c r="AF562" s="15"/>
    </row>
    <row r="563" ht="15.75" customHeight="1">
      <c r="A563" s="15"/>
      <c r="B563" s="15"/>
      <c r="C563" s="21"/>
      <c r="D563" s="15"/>
      <c r="E563" s="15"/>
      <c r="F563" s="15"/>
      <c r="G563" s="15"/>
      <c r="H563" s="15"/>
      <c r="I563" s="11"/>
      <c r="J563" s="11"/>
      <c r="K563" s="11"/>
      <c r="L563" s="11"/>
      <c r="M563" s="15"/>
      <c r="N563" s="15"/>
      <c r="O563" s="15"/>
      <c r="P563" s="15"/>
      <c r="Q563" s="15"/>
      <c r="R563" s="15"/>
      <c r="S563" s="15"/>
      <c r="T563" s="15"/>
      <c r="U563" s="15"/>
      <c r="V563" s="15"/>
      <c r="W563" s="15"/>
      <c r="X563" s="15"/>
      <c r="Y563" s="15"/>
      <c r="Z563" s="15"/>
      <c r="AA563" s="15"/>
      <c r="AB563" s="15"/>
      <c r="AC563" s="15"/>
      <c r="AD563" s="15"/>
      <c r="AE563" s="15"/>
      <c r="AF563" s="15"/>
    </row>
    <row r="564" ht="15.75" customHeight="1">
      <c r="A564" s="15"/>
      <c r="B564" s="15"/>
      <c r="C564" s="21"/>
      <c r="D564" s="15"/>
      <c r="E564" s="15"/>
      <c r="F564" s="15"/>
      <c r="G564" s="15"/>
      <c r="H564" s="15"/>
      <c r="I564" s="11"/>
      <c r="J564" s="11"/>
      <c r="K564" s="11"/>
      <c r="L564" s="11"/>
      <c r="M564" s="15"/>
      <c r="N564" s="15"/>
      <c r="O564" s="15"/>
      <c r="P564" s="15"/>
      <c r="Q564" s="15"/>
      <c r="R564" s="15"/>
      <c r="S564" s="15"/>
      <c r="T564" s="15"/>
      <c r="U564" s="15"/>
      <c r="V564" s="15"/>
      <c r="W564" s="15"/>
      <c r="X564" s="15"/>
      <c r="Y564" s="15"/>
      <c r="Z564" s="15"/>
      <c r="AA564" s="15"/>
      <c r="AB564" s="15"/>
      <c r="AC564" s="15"/>
      <c r="AD564" s="15"/>
      <c r="AE564" s="15"/>
      <c r="AF564" s="15"/>
    </row>
    <row r="565" ht="15.75" customHeight="1">
      <c r="A565" s="15"/>
      <c r="B565" s="15"/>
      <c r="C565" s="21"/>
      <c r="D565" s="15"/>
      <c r="E565" s="15"/>
      <c r="F565" s="15"/>
      <c r="G565" s="15"/>
      <c r="H565" s="15"/>
      <c r="I565" s="11"/>
      <c r="J565" s="11"/>
      <c r="K565" s="11"/>
      <c r="L565" s="11"/>
      <c r="M565" s="15"/>
      <c r="N565" s="15"/>
      <c r="O565" s="15"/>
      <c r="P565" s="15"/>
      <c r="Q565" s="15"/>
      <c r="R565" s="15"/>
      <c r="S565" s="15"/>
      <c r="T565" s="15"/>
      <c r="U565" s="15"/>
      <c r="V565" s="15"/>
      <c r="W565" s="15"/>
      <c r="X565" s="15"/>
      <c r="Y565" s="15"/>
      <c r="Z565" s="15"/>
      <c r="AA565" s="15"/>
      <c r="AB565" s="15"/>
      <c r="AC565" s="15"/>
      <c r="AD565" s="15"/>
      <c r="AE565" s="15"/>
      <c r="AF565" s="15"/>
    </row>
    <row r="566" ht="15.75" customHeight="1">
      <c r="A566" s="15"/>
      <c r="B566" s="15"/>
      <c r="C566" s="21"/>
      <c r="D566" s="15"/>
      <c r="E566" s="15"/>
      <c r="F566" s="15"/>
      <c r="G566" s="15"/>
      <c r="H566" s="15"/>
      <c r="I566" s="11"/>
      <c r="J566" s="11"/>
      <c r="K566" s="11"/>
      <c r="L566" s="11"/>
      <c r="M566" s="15"/>
      <c r="N566" s="15"/>
      <c r="O566" s="15"/>
      <c r="P566" s="15"/>
      <c r="Q566" s="15"/>
      <c r="R566" s="15"/>
      <c r="S566" s="15"/>
      <c r="T566" s="15"/>
      <c r="U566" s="15"/>
      <c r="V566" s="15"/>
      <c r="W566" s="15"/>
      <c r="X566" s="15"/>
      <c r="Y566" s="15"/>
      <c r="Z566" s="15"/>
      <c r="AA566" s="15"/>
      <c r="AB566" s="15"/>
      <c r="AC566" s="15"/>
      <c r="AD566" s="15"/>
      <c r="AE566" s="15"/>
      <c r="AF566" s="15"/>
    </row>
    <row r="567" ht="15.75" customHeight="1">
      <c r="A567" s="15"/>
      <c r="B567" s="15"/>
      <c r="C567" s="21"/>
      <c r="D567" s="15"/>
      <c r="E567" s="15"/>
      <c r="F567" s="15"/>
      <c r="G567" s="15"/>
      <c r="H567" s="15"/>
      <c r="I567" s="11"/>
      <c r="J567" s="11"/>
      <c r="K567" s="11"/>
      <c r="L567" s="11"/>
      <c r="M567" s="15"/>
      <c r="N567" s="15"/>
      <c r="O567" s="15"/>
      <c r="P567" s="15"/>
      <c r="Q567" s="15"/>
      <c r="R567" s="15"/>
      <c r="S567" s="15"/>
      <c r="T567" s="15"/>
      <c r="U567" s="15"/>
      <c r="V567" s="15"/>
      <c r="W567" s="15"/>
      <c r="X567" s="15"/>
      <c r="Y567" s="15"/>
      <c r="Z567" s="15"/>
      <c r="AA567" s="15"/>
      <c r="AB567" s="15"/>
      <c r="AC567" s="15"/>
      <c r="AD567" s="15"/>
      <c r="AE567" s="15"/>
      <c r="AF567" s="15"/>
    </row>
    <row r="568" ht="15.75" customHeight="1">
      <c r="A568" s="15"/>
      <c r="B568" s="15"/>
      <c r="C568" s="21"/>
      <c r="D568" s="15"/>
      <c r="E568" s="15"/>
      <c r="F568" s="15"/>
      <c r="G568" s="15"/>
      <c r="H568" s="15"/>
      <c r="I568" s="11"/>
      <c r="J568" s="11"/>
      <c r="K568" s="11"/>
      <c r="L568" s="11"/>
      <c r="M568" s="15"/>
      <c r="N568" s="15"/>
      <c r="O568" s="15"/>
      <c r="P568" s="15"/>
      <c r="Q568" s="15"/>
      <c r="R568" s="15"/>
      <c r="S568" s="15"/>
      <c r="T568" s="15"/>
      <c r="U568" s="15"/>
      <c r="V568" s="15"/>
      <c r="W568" s="15"/>
      <c r="X568" s="15"/>
      <c r="Y568" s="15"/>
      <c r="Z568" s="15"/>
      <c r="AA568" s="15"/>
      <c r="AB568" s="15"/>
      <c r="AC568" s="15"/>
      <c r="AD568" s="15"/>
      <c r="AE568" s="15"/>
      <c r="AF568" s="15"/>
    </row>
    <row r="569" ht="15.75" customHeight="1">
      <c r="A569" s="15"/>
      <c r="B569" s="15"/>
      <c r="C569" s="21"/>
      <c r="D569" s="15"/>
      <c r="E569" s="15"/>
      <c r="F569" s="15"/>
      <c r="G569" s="15"/>
      <c r="H569" s="15"/>
      <c r="I569" s="11"/>
      <c r="J569" s="11"/>
      <c r="K569" s="11"/>
      <c r="L569" s="11"/>
      <c r="M569" s="15"/>
      <c r="N569" s="15"/>
      <c r="O569" s="15"/>
      <c r="P569" s="15"/>
      <c r="Q569" s="15"/>
      <c r="R569" s="15"/>
      <c r="S569" s="15"/>
      <c r="T569" s="15"/>
      <c r="U569" s="15"/>
      <c r="V569" s="15"/>
      <c r="W569" s="15"/>
      <c r="X569" s="15"/>
      <c r="Y569" s="15"/>
      <c r="Z569" s="15"/>
      <c r="AA569" s="15"/>
      <c r="AB569" s="15"/>
      <c r="AC569" s="15"/>
      <c r="AD569" s="15"/>
      <c r="AE569" s="15"/>
      <c r="AF569" s="15"/>
    </row>
    <row r="570" ht="15.75" customHeight="1">
      <c r="A570" s="15"/>
      <c r="B570" s="15"/>
      <c r="C570" s="21"/>
      <c r="D570" s="15"/>
      <c r="E570" s="15"/>
      <c r="F570" s="15"/>
      <c r="G570" s="15"/>
      <c r="H570" s="15"/>
      <c r="I570" s="11"/>
      <c r="J570" s="11"/>
      <c r="K570" s="11"/>
      <c r="L570" s="11"/>
      <c r="M570" s="15"/>
      <c r="N570" s="15"/>
      <c r="O570" s="15"/>
      <c r="P570" s="15"/>
      <c r="Q570" s="15"/>
      <c r="R570" s="15"/>
      <c r="S570" s="15"/>
      <c r="T570" s="15"/>
      <c r="U570" s="15"/>
      <c r="V570" s="15"/>
      <c r="W570" s="15"/>
      <c r="X570" s="15"/>
      <c r="Y570" s="15"/>
      <c r="Z570" s="15"/>
      <c r="AA570" s="15"/>
      <c r="AB570" s="15"/>
      <c r="AC570" s="15"/>
      <c r="AD570" s="15"/>
      <c r="AE570" s="15"/>
      <c r="AF570" s="15"/>
    </row>
    <row r="571" ht="15.75" customHeight="1">
      <c r="A571" s="15"/>
      <c r="B571" s="15"/>
      <c r="C571" s="21"/>
      <c r="D571" s="15"/>
      <c r="E571" s="15"/>
      <c r="F571" s="15"/>
      <c r="G571" s="15"/>
      <c r="H571" s="15"/>
      <c r="I571" s="11"/>
      <c r="J571" s="11"/>
      <c r="K571" s="11"/>
      <c r="L571" s="11"/>
      <c r="M571" s="15"/>
      <c r="N571" s="15"/>
      <c r="O571" s="15"/>
      <c r="P571" s="15"/>
      <c r="Q571" s="15"/>
      <c r="R571" s="15"/>
      <c r="S571" s="15"/>
      <c r="T571" s="15"/>
      <c r="U571" s="15"/>
      <c r="V571" s="15"/>
      <c r="W571" s="15"/>
      <c r="X571" s="15"/>
      <c r="Y571" s="15"/>
      <c r="Z571" s="15"/>
      <c r="AA571" s="15"/>
      <c r="AB571" s="15"/>
      <c r="AC571" s="15"/>
      <c r="AD571" s="15"/>
      <c r="AE571" s="15"/>
      <c r="AF571" s="15"/>
    </row>
    <row r="572" ht="15.75" customHeight="1">
      <c r="A572" s="15"/>
      <c r="B572" s="15"/>
      <c r="C572" s="21"/>
      <c r="D572" s="15"/>
      <c r="E572" s="15"/>
      <c r="F572" s="15"/>
      <c r="G572" s="15"/>
      <c r="H572" s="15"/>
      <c r="I572" s="11"/>
      <c r="J572" s="11"/>
      <c r="K572" s="11"/>
      <c r="L572" s="11"/>
      <c r="M572" s="15"/>
      <c r="N572" s="15"/>
      <c r="O572" s="15"/>
      <c r="P572" s="15"/>
      <c r="Q572" s="15"/>
      <c r="R572" s="15"/>
      <c r="S572" s="15"/>
      <c r="T572" s="15"/>
      <c r="U572" s="15"/>
      <c r="V572" s="15"/>
      <c r="W572" s="15"/>
      <c r="X572" s="15"/>
      <c r="Y572" s="15"/>
      <c r="Z572" s="15"/>
      <c r="AA572" s="15"/>
      <c r="AB572" s="15"/>
      <c r="AC572" s="15"/>
      <c r="AD572" s="15"/>
      <c r="AE572" s="15"/>
      <c r="AF572" s="15"/>
    </row>
    <row r="573" ht="15.75" customHeight="1">
      <c r="A573" s="15"/>
      <c r="B573" s="15"/>
      <c r="C573" s="21"/>
      <c r="D573" s="15"/>
      <c r="E573" s="15"/>
      <c r="F573" s="15"/>
      <c r="G573" s="15"/>
      <c r="H573" s="15"/>
      <c r="I573" s="11"/>
      <c r="J573" s="11"/>
      <c r="K573" s="11"/>
      <c r="L573" s="11"/>
      <c r="M573" s="15"/>
      <c r="N573" s="15"/>
      <c r="O573" s="15"/>
      <c r="P573" s="15"/>
      <c r="Q573" s="15"/>
      <c r="R573" s="15"/>
      <c r="S573" s="15"/>
      <c r="T573" s="15"/>
      <c r="U573" s="15"/>
      <c r="V573" s="15"/>
      <c r="W573" s="15"/>
      <c r="X573" s="15"/>
      <c r="Y573" s="15"/>
      <c r="Z573" s="15"/>
      <c r="AA573" s="15"/>
      <c r="AB573" s="15"/>
      <c r="AC573" s="15"/>
      <c r="AD573" s="15"/>
      <c r="AE573" s="15"/>
      <c r="AF573" s="15"/>
    </row>
    <row r="574" ht="15.75" customHeight="1">
      <c r="A574" s="15"/>
      <c r="B574" s="15"/>
      <c r="C574" s="21"/>
      <c r="D574" s="15"/>
      <c r="E574" s="15"/>
      <c r="F574" s="15"/>
      <c r="G574" s="15"/>
      <c r="H574" s="15"/>
      <c r="I574" s="11"/>
      <c r="J574" s="11"/>
      <c r="K574" s="11"/>
      <c r="L574" s="11"/>
      <c r="M574" s="15"/>
      <c r="N574" s="15"/>
      <c r="O574" s="15"/>
      <c r="P574" s="15"/>
      <c r="Q574" s="15"/>
      <c r="R574" s="15"/>
      <c r="S574" s="15"/>
      <c r="T574" s="15"/>
      <c r="U574" s="15"/>
      <c r="V574" s="15"/>
      <c r="W574" s="15"/>
      <c r="X574" s="15"/>
      <c r="Y574" s="15"/>
      <c r="Z574" s="15"/>
      <c r="AA574" s="15"/>
      <c r="AB574" s="15"/>
      <c r="AC574" s="15"/>
      <c r="AD574" s="15"/>
      <c r="AE574" s="15"/>
      <c r="AF574" s="15"/>
    </row>
    <row r="575" ht="15.75" customHeight="1">
      <c r="A575" s="15"/>
      <c r="B575" s="15"/>
      <c r="C575" s="21"/>
      <c r="D575" s="15"/>
      <c r="E575" s="15"/>
      <c r="F575" s="15"/>
      <c r="G575" s="15"/>
      <c r="H575" s="15"/>
      <c r="I575" s="11"/>
      <c r="J575" s="11"/>
      <c r="K575" s="11"/>
      <c r="L575" s="11"/>
      <c r="M575" s="15"/>
      <c r="N575" s="15"/>
      <c r="O575" s="15"/>
      <c r="P575" s="15"/>
      <c r="Q575" s="15"/>
      <c r="R575" s="15"/>
      <c r="S575" s="15"/>
      <c r="T575" s="15"/>
      <c r="U575" s="15"/>
      <c r="V575" s="15"/>
      <c r="W575" s="15"/>
      <c r="X575" s="15"/>
      <c r="Y575" s="15"/>
      <c r="Z575" s="15"/>
      <c r="AA575" s="15"/>
      <c r="AB575" s="15"/>
      <c r="AC575" s="15"/>
      <c r="AD575" s="15"/>
      <c r="AE575" s="15"/>
      <c r="AF575" s="15"/>
    </row>
    <row r="576" ht="15.75" customHeight="1">
      <c r="A576" s="15"/>
      <c r="B576" s="15"/>
      <c r="C576" s="21"/>
      <c r="D576" s="15"/>
      <c r="E576" s="15"/>
      <c r="F576" s="15"/>
      <c r="G576" s="15"/>
      <c r="H576" s="15"/>
      <c r="I576" s="11"/>
      <c r="J576" s="11"/>
      <c r="K576" s="11"/>
      <c r="L576" s="11"/>
      <c r="M576" s="15"/>
      <c r="N576" s="15"/>
      <c r="O576" s="15"/>
      <c r="P576" s="15"/>
      <c r="Q576" s="15"/>
      <c r="R576" s="15"/>
      <c r="S576" s="15"/>
      <c r="T576" s="15"/>
      <c r="U576" s="15"/>
      <c r="V576" s="15"/>
      <c r="W576" s="15"/>
      <c r="X576" s="15"/>
      <c r="Y576" s="15"/>
      <c r="Z576" s="15"/>
      <c r="AA576" s="15"/>
      <c r="AB576" s="15"/>
      <c r="AC576" s="15"/>
      <c r="AD576" s="15"/>
      <c r="AE576" s="15"/>
      <c r="AF576" s="15"/>
    </row>
    <row r="577" ht="15.75" customHeight="1">
      <c r="A577" s="15"/>
      <c r="B577" s="15"/>
      <c r="C577" s="21"/>
      <c r="D577" s="15"/>
      <c r="E577" s="15"/>
      <c r="F577" s="15"/>
      <c r="G577" s="15"/>
      <c r="H577" s="15"/>
      <c r="I577" s="11"/>
      <c r="J577" s="11"/>
      <c r="K577" s="11"/>
      <c r="L577" s="11"/>
      <c r="M577" s="15"/>
      <c r="N577" s="15"/>
      <c r="O577" s="15"/>
      <c r="P577" s="15"/>
      <c r="Q577" s="15"/>
      <c r="R577" s="15"/>
      <c r="S577" s="15"/>
      <c r="T577" s="15"/>
      <c r="U577" s="15"/>
      <c r="V577" s="15"/>
      <c r="W577" s="15"/>
      <c r="X577" s="15"/>
      <c r="Y577" s="15"/>
      <c r="Z577" s="15"/>
      <c r="AA577" s="15"/>
      <c r="AB577" s="15"/>
      <c r="AC577" s="15"/>
      <c r="AD577" s="15"/>
      <c r="AE577" s="15"/>
      <c r="AF577" s="15"/>
    </row>
    <row r="578" ht="15.75" customHeight="1">
      <c r="A578" s="15"/>
      <c r="B578" s="15"/>
      <c r="C578" s="21"/>
      <c r="D578" s="15"/>
      <c r="E578" s="15"/>
      <c r="F578" s="15"/>
      <c r="G578" s="15"/>
      <c r="H578" s="15"/>
      <c r="I578" s="11"/>
      <c r="J578" s="11"/>
      <c r="K578" s="11"/>
      <c r="L578" s="11"/>
      <c r="M578" s="15"/>
      <c r="N578" s="15"/>
      <c r="O578" s="15"/>
      <c r="P578" s="15"/>
      <c r="Q578" s="15"/>
      <c r="R578" s="15"/>
      <c r="S578" s="15"/>
      <c r="T578" s="15"/>
      <c r="U578" s="15"/>
      <c r="V578" s="15"/>
      <c r="W578" s="15"/>
      <c r="X578" s="15"/>
      <c r="Y578" s="15"/>
      <c r="Z578" s="15"/>
      <c r="AA578" s="15"/>
      <c r="AB578" s="15"/>
      <c r="AC578" s="15"/>
      <c r="AD578" s="15"/>
      <c r="AE578" s="15"/>
      <c r="AF578" s="15"/>
    </row>
    <row r="579" ht="15.75" customHeight="1">
      <c r="A579" s="15"/>
      <c r="B579" s="15"/>
      <c r="C579" s="21"/>
      <c r="D579" s="15"/>
      <c r="E579" s="15"/>
      <c r="F579" s="15"/>
      <c r="G579" s="15"/>
      <c r="H579" s="15"/>
      <c r="I579" s="11"/>
      <c r="J579" s="11"/>
      <c r="K579" s="11"/>
      <c r="L579" s="11"/>
      <c r="M579" s="15"/>
      <c r="N579" s="15"/>
      <c r="O579" s="15"/>
      <c r="P579" s="15"/>
      <c r="Q579" s="15"/>
      <c r="R579" s="15"/>
      <c r="S579" s="15"/>
      <c r="T579" s="15"/>
      <c r="U579" s="15"/>
      <c r="V579" s="15"/>
      <c r="W579" s="15"/>
      <c r="X579" s="15"/>
      <c r="Y579" s="15"/>
      <c r="Z579" s="15"/>
      <c r="AA579" s="15"/>
      <c r="AB579" s="15"/>
      <c r="AC579" s="15"/>
      <c r="AD579" s="15"/>
      <c r="AE579" s="15"/>
      <c r="AF579" s="15"/>
    </row>
    <row r="580" ht="15.75" customHeight="1">
      <c r="A580" s="15"/>
      <c r="B580" s="15"/>
      <c r="C580" s="21"/>
      <c r="D580" s="15"/>
      <c r="E580" s="15"/>
      <c r="F580" s="15"/>
      <c r="G580" s="15"/>
      <c r="H580" s="15"/>
      <c r="I580" s="11"/>
      <c r="J580" s="11"/>
      <c r="K580" s="11"/>
      <c r="L580" s="11"/>
      <c r="M580" s="15"/>
      <c r="N580" s="15"/>
      <c r="O580" s="15"/>
      <c r="P580" s="15"/>
      <c r="Q580" s="15"/>
      <c r="R580" s="15"/>
      <c r="S580" s="15"/>
      <c r="T580" s="15"/>
      <c r="U580" s="15"/>
      <c r="V580" s="15"/>
      <c r="W580" s="15"/>
      <c r="X580" s="15"/>
      <c r="Y580" s="15"/>
      <c r="Z580" s="15"/>
      <c r="AA580" s="15"/>
      <c r="AB580" s="15"/>
      <c r="AC580" s="15"/>
      <c r="AD580" s="15"/>
      <c r="AE580" s="15"/>
      <c r="AF580" s="15"/>
    </row>
    <row r="581" ht="15.75" customHeight="1">
      <c r="A581" s="15"/>
      <c r="B581" s="15"/>
      <c r="C581" s="21"/>
      <c r="D581" s="15"/>
      <c r="E581" s="15"/>
      <c r="F581" s="15"/>
      <c r="G581" s="15"/>
      <c r="H581" s="15"/>
      <c r="I581" s="11"/>
      <c r="J581" s="11"/>
      <c r="K581" s="11"/>
      <c r="L581" s="11"/>
      <c r="M581" s="15"/>
      <c r="N581" s="15"/>
      <c r="O581" s="15"/>
      <c r="P581" s="15"/>
      <c r="Q581" s="15"/>
      <c r="R581" s="15"/>
      <c r="S581" s="15"/>
      <c r="T581" s="15"/>
      <c r="U581" s="15"/>
      <c r="V581" s="15"/>
      <c r="W581" s="15"/>
      <c r="X581" s="15"/>
      <c r="Y581" s="15"/>
      <c r="Z581" s="15"/>
      <c r="AA581" s="15"/>
      <c r="AB581" s="15"/>
      <c r="AC581" s="15"/>
      <c r="AD581" s="15"/>
      <c r="AE581" s="15"/>
      <c r="AF581" s="15"/>
    </row>
    <row r="582" ht="15.75" customHeight="1">
      <c r="A582" s="15"/>
      <c r="B582" s="15"/>
      <c r="C582" s="21"/>
      <c r="D582" s="15"/>
      <c r="E582" s="15"/>
      <c r="F582" s="15"/>
      <c r="G582" s="15"/>
      <c r="H582" s="15"/>
      <c r="I582" s="11"/>
      <c r="J582" s="11"/>
      <c r="K582" s="11"/>
      <c r="L582" s="11"/>
      <c r="M582" s="15"/>
      <c r="N582" s="15"/>
      <c r="O582" s="15"/>
      <c r="P582" s="15"/>
      <c r="Q582" s="15"/>
      <c r="R582" s="15"/>
      <c r="S582" s="15"/>
      <c r="T582" s="15"/>
      <c r="U582" s="15"/>
      <c r="V582" s="15"/>
      <c r="W582" s="15"/>
      <c r="X582" s="15"/>
      <c r="Y582" s="15"/>
      <c r="Z582" s="15"/>
      <c r="AA582" s="15"/>
      <c r="AB582" s="15"/>
      <c r="AC582" s="15"/>
      <c r="AD582" s="15"/>
      <c r="AE582" s="15"/>
      <c r="AF582" s="15"/>
    </row>
    <row r="583" ht="15.75" customHeight="1">
      <c r="A583" s="15"/>
      <c r="B583" s="15"/>
      <c r="C583" s="21"/>
      <c r="D583" s="15"/>
      <c r="E583" s="15"/>
      <c r="F583" s="15"/>
      <c r="G583" s="15"/>
      <c r="H583" s="15"/>
      <c r="I583" s="11"/>
      <c r="J583" s="11"/>
      <c r="K583" s="11"/>
      <c r="L583" s="11"/>
      <c r="M583" s="15"/>
      <c r="N583" s="15"/>
      <c r="O583" s="15"/>
      <c r="P583" s="15"/>
      <c r="Q583" s="15"/>
      <c r="R583" s="15"/>
      <c r="S583" s="15"/>
      <c r="T583" s="15"/>
      <c r="U583" s="15"/>
      <c r="V583" s="15"/>
      <c r="W583" s="15"/>
      <c r="X583" s="15"/>
      <c r="Y583" s="15"/>
      <c r="Z583" s="15"/>
      <c r="AA583" s="15"/>
      <c r="AB583" s="15"/>
      <c r="AC583" s="15"/>
      <c r="AD583" s="15"/>
      <c r="AE583" s="15"/>
      <c r="AF583" s="15"/>
    </row>
    <row r="584" ht="15.75" customHeight="1">
      <c r="A584" s="15"/>
      <c r="B584" s="15"/>
      <c r="C584" s="21"/>
      <c r="D584" s="15"/>
      <c r="E584" s="15"/>
      <c r="F584" s="15"/>
      <c r="G584" s="15"/>
      <c r="H584" s="15"/>
      <c r="I584" s="11"/>
      <c r="J584" s="11"/>
      <c r="K584" s="11"/>
      <c r="L584" s="11"/>
      <c r="M584" s="15"/>
      <c r="N584" s="15"/>
      <c r="O584" s="15"/>
      <c r="P584" s="15"/>
      <c r="Q584" s="15"/>
      <c r="R584" s="15"/>
      <c r="S584" s="15"/>
      <c r="T584" s="15"/>
      <c r="U584" s="15"/>
      <c r="V584" s="15"/>
      <c r="W584" s="15"/>
      <c r="X584" s="15"/>
      <c r="Y584" s="15"/>
      <c r="Z584" s="15"/>
      <c r="AA584" s="15"/>
      <c r="AB584" s="15"/>
      <c r="AC584" s="15"/>
      <c r="AD584" s="15"/>
      <c r="AE584" s="15"/>
      <c r="AF584" s="15"/>
    </row>
    <row r="585" ht="15.75" customHeight="1">
      <c r="A585" s="15"/>
      <c r="B585" s="15"/>
      <c r="C585" s="21"/>
      <c r="D585" s="15"/>
      <c r="E585" s="15"/>
      <c r="F585" s="15"/>
      <c r="G585" s="15"/>
      <c r="H585" s="15"/>
      <c r="I585" s="11"/>
      <c r="J585" s="11"/>
      <c r="K585" s="11"/>
      <c r="L585" s="11"/>
      <c r="M585" s="15"/>
      <c r="N585" s="15"/>
      <c r="O585" s="15"/>
      <c r="P585" s="15"/>
      <c r="Q585" s="15"/>
      <c r="R585" s="15"/>
      <c r="S585" s="15"/>
      <c r="T585" s="15"/>
      <c r="U585" s="15"/>
      <c r="V585" s="15"/>
      <c r="W585" s="15"/>
      <c r="X585" s="15"/>
      <c r="Y585" s="15"/>
      <c r="Z585" s="15"/>
      <c r="AA585" s="15"/>
      <c r="AB585" s="15"/>
      <c r="AC585" s="15"/>
      <c r="AD585" s="15"/>
      <c r="AE585" s="15"/>
      <c r="AF585" s="15"/>
    </row>
    <row r="586" ht="15.75" customHeight="1">
      <c r="A586" s="15"/>
      <c r="B586" s="15"/>
      <c r="C586" s="21"/>
      <c r="D586" s="15"/>
      <c r="E586" s="15"/>
      <c r="F586" s="15"/>
      <c r="G586" s="15"/>
      <c r="H586" s="15"/>
      <c r="I586" s="11"/>
      <c r="J586" s="11"/>
      <c r="K586" s="11"/>
      <c r="L586" s="11"/>
      <c r="M586" s="15"/>
      <c r="N586" s="15"/>
      <c r="O586" s="15"/>
      <c r="P586" s="15"/>
      <c r="Q586" s="15"/>
      <c r="R586" s="15"/>
      <c r="S586" s="15"/>
      <c r="T586" s="15"/>
      <c r="U586" s="15"/>
      <c r="V586" s="15"/>
      <c r="W586" s="15"/>
      <c r="X586" s="15"/>
      <c r="Y586" s="15"/>
      <c r="Z586" s="15"/>
      <c r="AA586" s="15"/>
      <c r="AB586" s="15"/>
      <c r="AC586" s="15"/>
      <c r="AD586" s="15"/>
      <c r="AE586" s="15"/>
      <c r="AF586" s="15"/>
    </row>
    <row r="587" ht="15.75" customHeight="1">
      <c r="A587" s="15"/>
      <c r="B587" s="15"/>
      <c r="C587" s="21"/>
      <c r="D587" s="15"/>
      <c r="E587" s="15"/>
      <c r="F587" s="15"/>
      <c r="G587" s="15"/>
      <c r="H587" s="15"/>
      <c r="I587" s="11"/>
      <c r="J587" s="11"/>
      <c r="K587" s="11"/>
      <c r="L587" s="11"/>
      <c r="M587" s="15"/>
      <c r="N587" s="15"/>
      <c r="O587" s="15"/>
      <c r="P587" s="15"/>
      <c r="Q587" s="15"/>
      <c r="R587" s="15"/>
      <c r="S587" s="15"/>
      <c r="T587" s="15"/>
      <c r="U587" s="15"/>
      <c r="V587" s="15"/>
      <c r="W587" s="15"/>
      <c r="X587" s="15"/>
      <c r="Y587" s="15"/>
      <c r="Z587" s="15"/>
      <c r="AA587" s="15"/>
      <c r="AB587" s="15"/>
      <c r="AC587" s="15"/>
      <c r="AD587" s="15"/>
      <c r="AE587" s="15"/>
      <c r="AF587" s="15"/>
    </row>
    <row r="588" ht="15.75" customHeight="1">
      <c r="A588" s="15"/>
      <c r="B588" s="15"/>
      <c r="C588" s="21"/>
      <c r="D588" s="15"/>
      <c r="E588" s="15"/>
      <c r="F588" s="15"/>
      <c r="G588" s="15"/>
      <c r="H588" s="15"/>
      <c r="I588" s="11"/>
      <c r="J588" s="11"/>
      <c r="K588" s="11"/>
      <c r="L588" s="11"/>
      <c r="M588" s="15"/>
      <c r="N588" s="15"/>
      <c r="O588" s="15"/>
      <c r="P588" s="15"/>
      <c r="Q588" s="15"/>
      <c r="R588" s="15"/>
      <c r="S588" s="15"/>
      <c r="T588" s="15"/>
      <c r="U588" s="15"/>
      <c r="V588" s="15"/>
      <c r="W588" s="15"/>
      <c r="X588" s="15"/>
      <c r="Y588" s="15"/>
      <c r="Z588" s="15"/>
      <c r="AA588" s="15"/>
      <c r="AB588" s="15"/>
      <c r="AC588" s="15"/>
      <c r="AD588" s="15"/>
      <c r="AE588" s="15"/>
      <c r="AF588" s="15"/>
    </row>
    <row r="589" ht="15.75" customHeight="1">
      <c r="A589" s="15"/>
      <c r="B589" s="15"/>
      <c r="C589" s="21"/>
      <c r="D589" s="15"/>
      <c r="E589" s="15"/>
      <c r="F589" s="15"/>
      <c r="G589" s="15"/>
      <c r="H589" s="15"/>
      <c r="I589" s="11"/>
      <c r="J589" s="11"/>
      <c r="K589" s="11"/>
      <c r="L589" s="11"/>
      <c r="M589" s="15"/>
      <c r="N589" s="15"/>
      <c r="O589" s="15"/>
      <c r="P589" s="15"/>
      <c r="Q589" s="15"/>
      <c r="R589" s="15"/>
      <c r="S589" s="15"/>
      <c r="T589" s="15"/>
      <c r="U589" s="15"/>
      <c r="V589" s="15"/>
      <c r="W589" s="15"/>
      <c r="X589" s="15"/>
      <c r="Y589" s="15"/>
      <c r="Z589" s="15"/>
      <c r="AA589" s="15"/>
      <c r="AB589" s="15"/>
      <c r="AC589" s="15"/>
      <c r="AD589" s="15"/>
      <c r="AE589" s="15"/>
      <c r="AF589" s="15"/>
    </row>
    <row r="590" ht="15.75" customHeight="1">
      <c r="A590" s="15"/>
      <c r="B590" s="15"/>
      <c r="C590" s="21"/>
      <c r="D590" s="15"/>
      <c r="E590" s="15"/>
      <c r="F590" s="15"/>
      <c r="G590" s="15"/>
      <c r="H590" s="15"/>
      <c r="I590" s="11"/>
      <c r="J590" s="11"/>
      <c r="K590" s="11"/>
      <c r="L590" s="11"/>
      <c r="M590" s="15"/>
      <c r="N590" s="15"/>
      <c r="O590" s="15"/>
      <c r="P590" s="15"/>
      <c r="Q590" s="15"/>
      <c r="R590" s="15"/>
      <c r="S590" s="15"/>
      <c r="T590" s="15"/>
      <c r="U590" s="15"/>
      <c r="V590" s="15"/>
      <c r="W590" s="15"/>
      <c r="X590" s="15"/>
      <c r="Y590" s="15"/>
      <c r="Z590" s="15"/>
      <c r="AA590" s="15"/>
      <c r="AB590" s="15"/>
      <c r="AC590" s="15"/>
      <c r="AD590" s="15"/>
      <c r="AE590" s="15"/>
      <c r="AF590" s="15"/>
    </row>
    <row r="591" ht="15.75" customHeight="1">
      <c r="A591" s="15"/>
      <c r="B591" s="15"/>
      <c r="C591" s="21"/>
      <c r="D591" s="15"/>
      <c r="E591" s="15"/>
      <c r="F591" s="15"/>
      <c r="G591" s="15"/>
      <c r="H591" s="15"/>
      <c r="I591" s="11"/>
      <c r="J591" s="11"/>
      <c r="K591" s="11"/>
      <c r="L591" s="11"/>
      <c r="M591" s="15"/>
      <c r="N591" s="15"/>
      <c r="O591" s="15"/>
      <c r="P591" s="15"/>
      <c r="Q591" s="15"/>
      <c r="R591" s="15"/>
      <c r="S591" s="15"/>
      <c r="T591" s="15"/>
      <c r="U591" s="15"/>
      <c r="V591" s="15"/>
      <c r="W591" s="15"/>
      <c r="X591" s="15"/>
      <c r="Y591" s="15"/>
      <c r="Z591" s="15"/>
      <c r="AA591" s="15"/>
      <c r="AB591" s="15"/>
      <c r="AC591" s="15"/>
      <c r="AD591" s="15"/>
      <c r="AE591" s="15"/>
      <c r="AF591" s="15"/>
    </row>
    <row r="592" ht="15.75" customHeight="1">
      <c r="A592" s="15"/>
      <c r="B592" s="15"/>
      <c r="C592" s="21"/>
      <c r="D592" s="15"/>
      <c r="E592" s="15"/>
      <c r="F592" s="15"/>
      <c r="G592" s="15"/>
      <c r="H592" s="15"/>
      <c r="I592" s="11"/>
      <c r="J592" s="11"/>
      <c r="K592" s="11"/>
      <c r="L592" s="11"/>
      <c r="M592" s="15"/>
      <c r="N592" s="15"/>
      <c r="O592" s="15"/>
      <c r="P592" s="15"/>
      <c r="Q592" s="15"/>
      <c r="R592" s="15"/>
      <c r="S592" s="15"/>
      <c r="T592" s="15"/>
      <c r="U592" s="15"/>
      <c r="V592" s="15"/>
      <c r="W592" s="15"/>
      <c r="X592" s="15"/>
      <c r="Y592" s="15"/>
      <c r="Z592" s="15"/>
      <c r="AA592" s="15"/>
      <c r="AB592" s="15"/>
      <c r="AC592" s="15"/>
      <c r="AD592" s="15"/>
      <c r="AE592" s="15"/>
      <c r="AF592" s="15"/>
    </row>
    <row r="593" ht="15.75" customHeight="1">
      <c r="A593" s="15"/>
      <c r="B593" s="15"/>
      <c r="C593" s="21"/>
      <c r="D593" s="15"/>
      <c r="E593" s="15"/>
      <c r="F593" s="15"/>
      <c r="G593" s="15"/>
      <c r="H593" s="15"/>
      <c r="I593" s="11"/>
      <c r="J593" s="11"/>
      <c r="K593" s="11"/>
      <c r="L593" s="11"/>
      <c r="M593" s="15"/>
      <c r="N593" s="15"/>
      <c r="O593" s="15"/>
      <c r="P593" s="15"/>
      <c r="Q593" s="15"/>
      <c r="R593" s="15"/>
      <c r="S593" s="15"/>
      <c r="T593" s="15"/>
      <c r="U593" s="15"/>
      <c r="V593" s="15"/>
      <c r="W593" s="15"/>
      <c r="X593" s="15"/>
      <c r="Y593" s="15"/>
      <c r="Z593" s="15"/>
      <c r="AA593" s="15"/>
      <c r="AB593" s="15"/>
      <c r="AC593" s="15"/>
      <c r="AD593" s="15"/>
      <c r="AE593" s="15"/>
      <c r="AF593" s="15"/>
    </row>
    <row r="594" ht="15.75" customHeight="1">
      <c r="A594" s="15"/>
      <c r="B594" s="15"/>
      <c r="C594" s="21"/>
      <c r="D594" s="15"/>
      <c r="E594" s="15"/>
      <c r="F594" s="15"/>
      <c r="G594" s="15"/>
      <c r="H594" s="15"/>
      <c r="I594" s="11"/>
      <c r="J594" s="11"/>
      <c r="K594" s="11"/>
      <c r="L594" s="11"/>
      <c r="M594" s="15"/>
      <c r="N594" s="15"/>
      <c r="O594" s="15"/>
      <c r="P594" s="15"/>
      <c r="Q594" s="15"/>
      <c r="R594" s="15"/>
      <c r="S594" s="15"/>
      <c r="T594" s="15"/>
      <c r="U594" s="15"/>
      <c r="V594" s="15"/>
      <c r="W594" s="15"/>
      <c r="X594" s="15"/>
      <c r="Y594" s="15"/>
      <c r="Z594" s="15"/>
      <c r="AA594" s="15"/>
      <c r="AB594" s="15"/>
      <c r="AC594" s="15"/>
      <c r="AD594" s="15"/>
      <c r="AE594" s="15"/>
      <c r="AF594" s="15"/>
    </row>
    <row r="595" ht="15.75" customHeight="1">
      <c r="A595" s="15"/>
      <c r="B595" s="15"/>
      <c r="C595" s="21"/>
      <c r="D595" s="15"/>
      <c r="E595" s="15"/>
      <c r="F595" s="15"/>
      <c r="G595" s="15"/>
      <c r="H595" s="15"/>
      <c r="I595" s="11"/>
      <c r="J595" s="11"/>
      <c r="K595" s="11"/>
      <c r="L595" s="11"/>
      <c r="M595" s="15"/>
      <c r="N595" s="15"/>
      <c r="O595" s="15"/>
      <c r="P595" s="15"/>
      <c r="Q595" s="15"/>
      <c r="R595" s="15"/>
      <c r="S595" s="15"/>
      <c r="T595" s="15"/>
      <c r="U595" s="15"/>
      <c r="V595" s="15"/>
      <c r="W595" s="15"/>
      <c r="X595" s="15"/>
      <c r="Y595" s="15"/>
      <c r="Z595" s="15"/>
      <c r="AA595" s="15"/>
      <c r="AB595" s="15"/>
      <c r="AC595" s="15"/>
      <c r="AD595" s="15"/>
      <c r="AE595" s="15"/>
      <c r="AF595" s="15"/>
    </row>
    <row r="596" ht="15.75" customHeight="1">
      <c r="A596" s="15"/>
      <c r="B596" s="15"/>
      <c r="C596" s="21"/>
      <c r="D596" s="15"/>
      <c r="E596" s="15"/>
      <c r="F596" s="15"/>
      <c r="G596" s="15"/>
      <c r="H596" s="15"/>
      <c r="I596" s="11"/>
      <c r="J596" s="11"/>
      <c r="K596" s="11"/>
      <c r="L596" s="11"/>
      <c r="M596" s="15"/>
      <c r="N596" s="15"/>
      <c r="O596" s="15"/>
      <c r="P596" s="15"/>
      <c r="Q596" s="15"/>
      <c r="R596" s="15"/>
      <c r="S596" s="15"/>
      <c r="T596" s="15"/>
      <c r="U596" s="15"/>
      <c r="V596" s="15"/>
      <c r="W596" s="15"/>
      <c r="X596" s="15"/>
      <c r="Y596" s="15"/>
      <c r="Z596" s="15"/>
      <c r="AA596" s="15"/>
      <c r="AB596" s="15"/>
      <c r="AC596" s="15"/>
      <c r="AD596" s="15"/>
      <c r="AE596" s="15"/>
      <c r="AF596" s="15"/>
    </row>
    <row r="597" ht="15.75" customHeight="1">
      <c r="A597" s="15"/>
      <c r="B597" s="15"/>
      <c r="C597" s="21"/>
      <c r="D597" s="15"/>
      <c r="E597" s="15"/>
      <c r="F597" s="15"/>
      <c r="G597" s="15"/>
      <c r="H597" s="15"/>
      <c r="I597" s="11"/>
      <c r="J597" s="11"/>
      <c r="K597" s="11"/>
      <c r="L597" s="11"/>
      <c r="M597" s="15"/>
      <c r="N597" s="15"/>
      <c r="O597" s="15"/>
      <c r="P597" s="15"/>
      <c r="Q597" s="15"/>
      <c r="R597" s="15"/>
      <c r="S597" s="15"/>
      <c r="T597" s="15"/>
      <c r="U597" s="15"/>
      <c r="V597" s="15"/>
      <c r="W597" s="15"/>
      <c r="X597" s="15"/>
      <c r="Y597" s="15"/>
      <c r="Z597" s="15"/>
      <c r="AA597" s="15"/>
      <c r="AB597" s="15"/>
      <c r="AC597" s="15"/>
      <c r="AD597" s="15"/>
      <c r="AE597" s="15"/>
      <c r="AF597" s="15"/>
    </row>
    <row r="598" ht="15.75" customHeight="1">
      <c r="A598" s="15"/>
      <c r="B598" s="15"/>
      <c r="C598" s="21"/>
      <c r="D598" s="15"/>
      <c r="E598" s="15"/>
      <c r="F598" s="15"/>
      <c r="G598" s="15"/>
      <c r="H598" s="15"/>
      <c r="I598" s="11"/>
      <c r="J598" s="11"/>
      <c r="K598" s="11"/>
      <c r="L598" s="11"/>
      <c r="M598" s="15"/>
      <c r="N598" s="15"/>
      <c r="O598" s="15"/>
      <c r="P598" s="15"/>
      <c r="Q598" s="15"/>
      <c r="R598" s="15"/>
      <c r="S598" s="15"/>
      <c r="T598" s="15"/>
      <c r="U598" s="15"/>
      <c r="V598" s="15"/>
      <c r="W598" s="15"/>
      <c r="X598" s="15"/>
      <c r="Y598" s="15"/>
      <c r="Z598" s="15"/>
      <c r="AA598" s="15"/>
      <c r="AB598" s="15"/>
      <c r="AC598" s="15"/>
      <c r="AD598" s="15"/>
      <c r="AE598" s="15"/>
      <c r="AF598" s="15"/>
    </row>
    <row r="599" ht="15.75" customHeight="1">
      <c r="A599" s="15"/>
      <c r="B599" s="15"/>
      <c r="C599" s="21"/>
      <c r="D599" s="15"/>
      <c r="E599" s="15"/>
      <c r="F599" s="15"/>
      <c r="G599" s="15"/>
      <c r="H599" s="15"/>
      <c r="I599" s="11"/>
      <c r="J599" s="11"/>
      <c r="K599" s="11"/>
      <c r="L599" s="11"/>
      <c r="M599" s="15"/>
      <c r="N599" s="15"/>
      <c r="O599" s="15"/>
      <c r="P599" s="15"/>
      <c r="Q599" s="15"/>
      <c r="R599" s="15"/>
      <c r="S599" s="15"/>
      <c r="T599" s="15"/>
      <c r="U599" s="15"/>
      <c r="V599" s="15"/>
      <c r="W599" s="15"/>
      <c r="X599" s="15"/>
      <c r="Y599" s="15"/>
      <c r="Z599" s="15"/>
      <c r="AA599" s="15"/>
      <c r="AB599" s="15"/>
      <c r="AC599" s="15"/>
      <c r="AD599" s="15"/>
      <c r="AE599" s="15"/>
      <c r="AF599" s="15"/>
    </row>
    <row r="600" ht="15.75" customHeight="1">
      <c r="A600" s="15"/>
      <c r="B600" s="15"/>
      <c r="C600" s="21"/>
      <c r="D600" s="15"/>
      <c r="E600" s="15"/>
      <c r="F600" s="15"/>
      <c r="G600" s="15"/>
      <c r="H600" s="15"/>
      <c r="I600" s="11"/>
      <c r="J600" s="11"/>
      <c r="K600" s="11"/>
      <c r="L600" s="11"/>
      <c r="M600" s="15"/>
      <c r="N600" s="15"/>
      <c r="O600" s="15"/>
      <c r="P600" s="15"/>
      <c r="Q600" s="15"/>
      <c r="R600" s="15"/>
      <c r="S600" s="15"/>
      <c r="T600" s="15"/>
      <c r="U600" s="15"/>
      <c r="V600" s="15"/>
      <c r="W600" s="15"/>
      <c r="X600" s="15"/>
      <c r="Y600" s="15"/>
      <c r="Z600" s="15"/>
      <c r="AA600" s="15"/>
      <c r="AB600" s="15"/>
      <c r="AC600" s="15"/>
      <c r="AD600" s="15"/>
      <c r="AE600" s="15"/>
      <c r="AF600" s="15"/>
    </row>
    <row r="601" ht="15.75" customHeight="1">
      <c r="A601" s="15"/>
      <c r="B601" s="15"/>
      <c r="C601" s="21"/>
      <c r="D601" s="15"/>
      <c r="E601" s="15"/>
      <c r="F601" s="15"/>
      <c r="G601" s="15"/>
      <c r="H601" s="15"/>
      <c r="I601" s="11"/>
      <c r="J601" s="11"/>
      <c r="K601" s="11"/>
      <c r="L601" s="11"/>
      <c r="M601" s="15"/>
      <c r="N601" s="15"/>
      <c r="O601" s="15"/>
      <c r="P601" s="15"/>
      <c r="Q601" s="15"/>
      <c r="R601" s="15"/>
      <c r="S601" s="15"/>
      <c r="T601" s="15"/>
      <c r="U601" s="15"/>
      <c r="V601" s="15"/>
      <c r="W601" s="15"/>
      <c r="X601" s="15"/>
      <c r="Y601" s="15"/>
      <c r="Z601" s="15"/>
      <c r="AA601" s="15"/>
      <c r="AB601" s="15"/>
      <c r="AC601" s="15"/>
      <c r="AD601" s="15"/>
      <c r="AE601" s="15"/>
      <c r="AF601" s="15"/>
    </row>
    <row r="602" ht="15.75" customHeight="1">
      <c r="A602" s="15"/>
      <c r="B602" s="15"/>
      <c r="C602" s="21"/>
      <c r="D602" s="15"/>
      <c r="E602" s="15"/>
      <c r="F602" s="15"/>
      <c r="G602" s="15"/>
      <c r="H602" s="15"/>
      <c r="I602" s="11"/>
      <c r="J602" s="11"/>
      <c r="K602" s="11"/>
      <c r="L602" s="11"/>
      <c r="M602" s="15"/>
      <c r="N602" s="15"/>
      <c r="O602" s="15"/>
      <c r="P602" s="15"/>
      <c r="Q602" s="15"/>
      <c r="R602" s="15"/>
      <c r="S602" s="15"/>
      <c r="T602" s="15"/>
      <c r="U602" s="15"/>
      <c r="V602" s="15"/>
      <c r="W602" s="15"/>
      <c r="X602" s="15"/>
      <c r="Y602" s="15"/>
      <c r="Z602" s="15"/>
      <c r="AA602" s="15"/>
      <c r="AB602" s="15"/>
      <c r="AC602" s="15"/>
      <c r="AD602" s="15"/>
      <c r="AE602" s="15"/>
      <c r="AF602" s="15"/>
    </row>
    <row r="603" ht="15.75" customHeight="1">
      <c r="A603" s="15"/>
      <c r="B603" s="15"/>
      <c r="C603" s="21"/>
      <c r="D603" s="15"/>
      <c r="E603" s="15"/>
      <c r="F603" s="15"/>
      <c r="G603" s="15"/>
      <c r="H603" s="15"/>
      <c r="I603" s="11"/>
      <c r="J603" s="11"/>
      <c r="K603" s="11"/>
      <c r="L603" s="11"/>
      <c r="M603" s="15"/>
      <c r="N603" s="15"/>
      <c r="O603" s="15"/>
      <c r="P603" s="15"/>
      <c r="Q603" s="15"/>
      <c r="R603" s="15"/>
      <c r="S603" s="15"/>
      <c r="T603" s="15"/>
      <c r="U603" s="15"/>
      <c r="V603" s="15"/>
      <c r="W603" s="15"/>
      <c r="X603" s="15"/>
      <c r="Y603" s="15"/>
      <c r="Z603" s="15"/>
      <c r="AA603" s="15"/>
      <c r="AB603" s="15"/>
      <c r="AC603" s="15"/>
      <c r="AD603" s="15"/>
      <c r="AE603" s="15"/>
      <c r="AF603" s="15"/>
    </row>
    <row r="604" ht="15.75" customHeight="1">
      <c r="A604" s="15"/>
      <c r="B604" s="15"/>
      <c r="C604" s="21"/>
      <c r="D604" s="15"/>
      <c r="E604" s="15"/>
      <c r="F604" s="15"/>
      <c r="G604" s="15"/>
      <c r="H604" s="15"/>
      <c r="I604" s="11"/>
      <c r="J604" s="11"/>
      <c r="K604" s="11"/>
      <c r="L604" s="11"/>
      <c r="M604" s="15"/>
      <c r="N604" s="15"/>
      <c r="O604" s="15"/>
      <c r="P604" s="15"/>
      <c r="Q604" s="15"/>
      <c r="R604" s="15"/>
      <c r="S604" s="15"/>
      <c r="T604" s="15"/>
      <c r="U604" s="15"/>
      <c r="V604" s="15"/>
      <c r="W604" s="15"/>
      <c r="X604" s="15"/>
      <c r="Y604" s="15"/>
      <c r="Z604" s="15"/>
      <c r="AA604" s="15"/>
      <c r="AB604" s="15"/>
      <c r="AC604" s="15"/>
      <c r="AD604" s="15"/>
      <c r="AE604" s="15"/>
      <c r="AF604" s="15"/>
    </row>
    <row r="605" ht="15.75" customHeight="1">
      <c r="A605" s="15"/>
      <c r="B605" s="15"/>
      <c r="C605" s="21"/>
      <c r="D605" s="15"/>
      <c r="E605" s="15"/>
      <c r="F605" s="15"/>
      <c r="G605" s="15"/>
      <c r="H605" s="15"/>
      <c r="I605" s="11"/>
      <c r="J605" s="11"/>
      <c r="K605" s="11"/>
      <c r="L605" s="11"/>
      <c r="M605" s="15"/>
      <c r="N605" s="15"/>
      <c r="O605" s="15"/>
      <c r="P605" s="15"/>
      <c r="Q605" s="15"/>
      <c r="R605" s="15"/>
      <c r="S605" s="15"/>
      <c r="T605" s="15"/>
      <c r="U605" s="15"/>
      <c r="V605" s="15"/>
      <c r="W605" s="15"/>
      <c r="X605" s="15"/>
      <c r="Y605" s="15"/>
      <c r="Z605" s="15"/>
      <c r="AA605" s="15"/>
      <c r="AB605" s="15"/>
      <c r="AC605" s="15"/>
      <c r="AD605" s="15"/>
      <c r="AE605" s="15"/>
      <c r="AF605" s="15"/>
    </row>
    <row r="606" ht="15.75" customHeight="1">
      <c r="A606" s="15"/>
      <c r="B606" s="15"/>
      <c r="C606" s="21"/>
      <c r="D606" s="15"/>
      <c r="E606" s="15"/>
      <c r="F606" s="15"/>
      <c r="G606" s="15"/>
      <c r="H606" s="15"/>
      <c r="I606" s="11"/>
      <c r="J606" s="11"/>
      <c r="K606" s="11"/>
      <c r="L606" s="11"/>
      <c r="M606" s="15"/>
      <c r="N606" s="15"/>
      <c r="O606" s="15"/>
      <c r="P606" s="15"/>
      <c r="Q606" s="15"/>
      <c r="R606" s="15"/>
      <c r="S606" s="15"/>
      <c r="T606" s="15"/>
      <c r="U606" s="15"/>
      <c r="V606" s="15"/>
      <c r="W606" s="15"/>
      <c r="X606" s="15"/>
      <c r="Y606" s="15"/>
      <c r="Z606" s="15"/>
      <c r="AA606" s="15"/>
      <c r="AB606" s="15"/>
      <c r="AC606" s="15"/>
      <c r="AD606" s="15"/>
      <c r="AE606" s="15"/>
      <c r="AF606" s="15"/>
    </row>
    <row r="607" ht="15.75" customHeight="1">
      <c r="A607" s="15"/>
      <c r="B607" s="15"/>
      <c r="C607" s="21"/>
      <c r="D607" s="15"/>
      <c r="E607" s="15"/>
      <c r="F607" s="15"/>
      <c r="G607" s="15"/>
      <c r="H607" s="15"/>
      <c r="I607" s="11"/>
      <c r="J607" s="11"/>
      <c r="K607" s="11"/>
      <c r="L607" s="11"/>
      <c r="M607" s="15"/>
      <c r="N607" s="15"/>
      <c r="O607" s="15"/>
      <c r="P607" s="15"/>
      <c r="Q607" s="15"/>
      <c r="R607" s="15"/>
      <c r="S607" s="15"/>
      <c r="T607" s="15"/>
      <c r="U607" s="15"/>
      <c r="V607" s="15"/>
      <c r="W607" s="15"/>
      <c r="X607" s="15"/>
      <c r="Y607" s="15"/>
      <c r="Z607" s="15"/>
      <c r="AA607" s="15"/>
      <c r="AB607" s="15"/>
      <c r="AC607" s="15"/>
      <c r="AD607" s="15"/>
      <c r="AE607" s="15"/>
      <c r="AF607" s="15"/>
    </row>
    <row r="608" ht="15.75" customHeight="1">
      <c r="A608" s="15"/>
      <c r="B608" s="15"/>
      <c r="C608" s="21"/>
      <c r="D608" s="15"/>
      <c r="E608" s="15"/>
      <c r="F608" s="15"/>
      <c r="G608" s="15"/>
      <c r="H608" s="15"/>
      <c r="I608" s="11"/>
      <c r="J608" s="11"/>
      <c r="K608" s="11"/>
      <c r="L608" s="11"/>
      <c r="M608" s="15"/>
      <c r="N608" s="15"/>
      <c r="O608" s="15"/>
      <c r="P608" s="15"/>
      <c r="Q608" s="15"/>
      <c r="R608" s="15"/>
      <c r="S608" s="15"/>
      <c r="T608" s="15"/>
      <c r="U608" s="15"/>
      <c r="V608" s="15"/>
      <c r="W608" s="15"/>
      <c r="X608" s="15"/>
      <c r="Y608" s="15"/>
      <c r="Z608" s="15"/>
      <c r="AA608" s="15"/>
      <c r="AB608" s="15"/>
      <c r="AC608" s="15"/>
      <c r="AD608" s="15"/>
      <c r="AE608" s="15"/>
      <c r="AF608" s="15"/>
    </row>
    <row r="609" ht="15.75" customHeight="1">
      <c r="A609" s="15"/>
      <c r="B609" s="15"/>
      <c r="C609" s="21"/>
      <c r="D609" s="15"/>
      <c r="E609" s="15"/>
      <c r="F609" s="15"/>
      <c r="G609" s="15"/>
      <c r="H609" s="15"/>
      <c r="I609" s="11"/>
      <c r="J609" s="11"/>
      <c r="K609" s="11"/>
      <c r="L609" s="11"/>
      <c r="M609" s="15"/>
      <c r="N609" s="15"/>
      <c r="O609" s="15"/>
      <c r="P609" s="15"/>
      <c r="Q609" s="15"/>
      <c r="R609" s="15"/>
      <c r="S609" s="15"/>
      <c r="T609" s="15"/>
      <c r="U609" s="15"/>
      <c r="V609" s="15"/>
      <c r="W609" s="15"/>
      <c r="X609" s="15"/>
      <c r="Y609" s="15"/>
      <c r="Z609" s="15"/>
      <c r="AA609" s="15"/>
      <c r="AB609" s="15"/>
      <c r="AC609" s="15"/>
      <c r="AD609" s="15"/>
      <c r="AE609" s="15"/>
      <c r="AF609" s="15"/>
    </row>
    <row r="610" ht="15.75" customHeight="1">
      <c r="A610" s="15"/>
      <c r="B610" s="15"/>
      <c r="C610" s="21"/>
      <c r="D610" s="15"/>
      <c r="E610" s="15"/>
      <c r="F610" s="15"/>
      <c r="G610" s="15"/>
      <c r="H610" s="15"/>
      <c r="I610" s="11"/>
      <c r="J610" s="11"/>
      <c r="K610" s="11"/>
      <c r="L610" s="11"/>
      <c r="M610" s="15"/>
      <c r="N610" s="15"/>
      <c r="O610" s="15"/>
      <c r="P610" s="15"/>
      <c r="Q610" s="15"/>
      <c r="R610" s="15"/>
      <c r="S610" s="15"/>
      <c r="T610" s="15"/>
      <c r="U610" s="15"/>
      <c r="V610" s="15"/>
      <c r="W610" s="15"/>
      <c r="X610" s="15"/>
      <c r="Y610" s="15"/>
      <c r="Z610" s="15"/>
      <c r="AA610" s="15"/>
      <c r="AB610" s="15"/>
      <c r="AC610" s="15"/>
      <c r="AD610" s="15"/>
      <c r="AE610" s="15"/>
      <c r="AF610" s="15"/>
    </row>
    <row r="611" ht="15.75" customHeight="1">
      <c r="A611" s="15"/>
      <c r="B611" s="15"/>
      <c r="C611" s="21"/>
      <c r="D611" s="15"/>
      <c r="E611" s="15"/>
      <c r="F611" s="15"/>
      <c r="G611" s="15"/>
      <c r="H611" s="15"/>
      <c r="I611" s="11"/>
      <c r="J611" s="11"/>
      <c r="K611" s="11"/>
      <c r="L611" s="11"/>
      <c r="M611" s="15"/>
      <c r="N611" s="15"/>
      <c r="O611" s="15"/>
      <c r="P611" s="15"/>
      <c r="Q611" s="15"/>
      <c r="R611" s="15"/>
      <c r="S611" s="15"/>
      <c r="T611" s="15"/>
      <c r="U611" s="15"/>
      <c r="V611" s="15"/>
      <c r="W611" s="15"/>
      <c r="X611" s="15"/>
      <c r="Y611" s="15"/>
      <c r="Z611" s="15"/>
      <c r="AA611" s="15"/>
      <c r="AB611" s="15"/>
      <c r="AC611" s="15"/>
      <c r="AD611" s="15"/>
      <c r="AE611" s="15"/>
      <c r="AF611" s="15"/>
    </row>
    <row r="612" ht="15.75" customHeight="1">
      <c r="A612" s="15"/>
      <c r="B612" s="15"/>
      <c r="C612" s="21"/>
      <c r="D612" s="15"/>
      <c r="E612" s="15"/>
      <c r="F612" s="15"/>
      <c r="G612" s="15"/>
      <c r="H612" s="15"/>
      <c r="I612" s="11"/>
      <c r="J612" s="11"/>
      <c r="K612" s="11"/>
      <c r="L612" s="11"/>
      <c r="M612" s="15"/>
      <c r="N612" s="15"/>
      <c r="O612" s="15"/>
      <c r="P612" s="15"/>
      <c r="Q612" s="15"/>
      <c r="R612" s="15"/>
      <c r="S612" s="15"/>
      <c r="T612" s="15"/>
      <c r="U612" s="15"/>
      <c r="V612" s="15"/>
      <c r="W612" s="15"/>
      <c r="X612" s="15"/>
      <c r="Y612" s="15"/>
      <c r="Z612" s="15"/>
      <c r="AA612" s="15"/>
      <c r="AB612" s="15"/>
      <c r="AC612" s="15"/>
      <c r="AD612" s="15"/>
      <c r="AE612" s="15"/>
      <c r="AF612" s="15"/>
    </row>
    <row r="613" ht="15.75" customHeight="1">
      <c r="A613" s="15"/>
      <c r="B613" s="15"/>
      <c r="C613" s="21"/>
      <c r="D613" s="15"/>
      <c r="E613" s="15"/>
      <c r="F613" s="15"/>
      <c r="G613" s="15"/>
      <c r="H613" s="15"/>
      <c r="I613" s="11"/>
      <c r="J613" s="11"/>
      <c r="K613" s="11"/>
      <c r="L613" s="11"/>
      <c r="M613" s="15"/>
      <c r="N613" s="15"/>
      <c r="O613" s="15"/>
      <c r="P613" s="15"/>
      <c r="Q613" s="15"/>
      <c r="R613" s="15"/>
      <c r="S613" s="15"/>
      <c r="T613" s="15"/>
      <c r="U613" s="15"/>
      <c r="V613" s="15"/>
      <c r="W613" s="15"/>
      <c r="X613" s="15"/>
      <c r="Y613" s="15"/>
      <c r="Z613" s="15"/>
      <c r="AA613" s="15"/>
      <c r="AB613" s="15"/>
      <c r="AC613" s="15"/>
      <c r="AD613" s="15"/>
      <c r="AE613" s="15"/>
      <c r="AF613" s="15"/>
    </row>
    <row r="614" ht="15.75" customHeight="1">
      <c r="A614" s="15"/>
      <c r="B614" s="15"/>
      <c r="C614" s="21"/>
      <c r="D614" s="15"/>
      <c r="E614" s="15"/>
      <c r="F614" s="15"/>
      <c r="G614" s="15"/>
      <c r="H614" s="15"/>
      <c r="I614" s="11"/>
      <c r="J614" s="11"/>
      <c r="K614" s="11"/>
      <c r="L614" s="11"/>
      <c r="M614" s="15"/>
      <c r="N614" s="15"/>
      <c r="O614" s="15"/>
      <c r="P614" s="15"/>
      <c r="Q614" s="15"/>
      <c r="R614" s="15"/>
      <c r="S614" s="15"/>
      <c r="T614" s="15"/>
      <c r="U614" s="15"/>
      <c r="V614" s="15"/>
      <c r="W614" s="15"/>
      <c r="X614" s="15"/>
      <c r="Y614" s="15"/>
      <c r="Z614" s="15"/>
      <c r="AA614" s="15"/>
      <c r="AB614" s="15"/>
      <c r="AC614" s="15"/>
      <c r="AD614" s="15"/>
      <c r="AE614" s="15"/>
      <c r="AF614" s="15"/>
    </row>
    <row r="615" ht="15.75" customHeight="1">
      <c r="A615" s="15"/>
      <c r="B615" s="15"/>
      <c r="C615" s="21"/>
      <c r="D615" s="15"/>
      <c r="E615" s="15"/>
      <c r="F615" s="15"/>
      <c r="G615" s="15"/>
      <c r="H615" s="15"/>
      <c r="I615" s="11"/>
      <c r="J615" s="11"/>
      <c r="K615" s="11"/>
      <c r="L615" s="11"/>
      <c r="M615" s="15"/>
      <c r="N615" s="15"/>
      <c r="O615" s="15"/>
      <c r="P615" s="15"/>
      <c r="Q615" s="15"/>
      <c r="R615" s="15"/>
      <c r="S615" s="15"/>
      <c r="T615" s="15"/>
      <c r="U615" s="15"/>
      <c r="V615" s="15"/>
      <c r="W615" s="15"/>
      <c r="X615" s="15"/>
      <c r="Y615" s="15"/>
      <c r="Z615" s="15"/>
      <c r="AA615" s="15"/>
      <c r="AB615" s="15"/>
      <c r="AC615" s="15"/>
      <c r="AD615" s="15"/>
      <c r="AE615" s="15"/>
      <c r="AF615" s="15"/>
    </row>
    <row r="616" ht="15.75" customHeight="1">
      <c r="A616" s="15"/>
      <c r="B616" s="15"/>
      <c r="C616" s="21"/>
      <c r="D616" s="15"/>
      <c r="E616" s="15"/>
      <c r="F616" s="15"/>
      <c r="G616" s="15"/>
      <c r="H616" s="15"/>
      <c r="I616" s="11"/>
      <c r="J616" s="11"/>
      <c r="K616" s="11"/>
      <c r="L616" s="11"/>
      <c r="M616" s="15"/>
      <c r="N616" s="15"/>
      <c r="O616" s="15"/>
      <c r="P616" s="15"/>
      <c r="Q616" s="15"/>
      <c r="R616" s="15"/>
      <c r="S616" s="15"/>
      <c r="T616" s="15"/>
      <c r="U616" s="15"/>
      <c r="V616" s="15"/>
      <c r="W616" s="15"/>
      <c r="X616" s="15"/>
      <c r="Y616" s="15"/>
      <c r="Z616" s="15"/>
      <c r="AA616" s="15"/>
      <c r="AB616" s="15"/>
      <c r="AC616" s="15"/>
      <c r="AD616" s="15"/>
      <c r="AE616" s="15"/>
      <c r="AF616" s="15"/>
    </row>
    <row r="617" ht="15.75" customHeight="1">
      <c r="A617" s="15"/>
      <c r="B617" s="15"/>
      <c r="C617" s="21"/>
      <c r="D617" s="15"/>
      <c r="E617" s="15"/>
      <c r="F617" s="15"/>
      <c r="G617" s="15"/>
      <c r="H617" s="15"/>
      <c r="I617" s="11"/>
      <c r="J617" s="11"/>
      <c r="K617" s="11"/>
      <c r="L617" s="11"/>
      <c r="M617" s="15"/>
      <c r="N617" s="15"/>
      <c r="O617" s="15"/>
      <c r="P617" s="15"/>
      <c r="Q617" s="15"/>
      <c r="R617" s="15"/>
      <c r="S617" s="15"/>
      <c r="T617" s="15"/>
      <c r="U617" s="15"/>
      <c r="V617" s="15"/>
      <c r="W617" s="15"/>
      <c r="X617" s="15"/>
      <c r="Y617" s="15"/>
      <c r="Z617" s="15"/>
      <c r="AA617" s="15"/>
      <c r="AB617" s="15"/>
      <c r="AC617" s="15"/>
      <c r="AD617" s="15"/>
      <c r="AE617" s="15"/>
      <c r="AF617" s="15"/>
    </row>
    <row r="618" ht="15.75" customHeight="1">
      <c r="A618" s="15"/>
      <c r="B618" s="15"/>
      <c r="C618" s="21"/>
      <c r="D618" s="15"/>
      <c r="E618" s="15"/>
      <c r="F618" s="15"/>
      <c r="G618" s="15"/>
      <c r="H618" s="15"/>
      <c r="I618" s="11"/>
      <c r="J618" s="11"/>
      <c r="K618" s="11"/>
      <c r="L618" s="11"/>
      <c r="M618" s="15"/>
      <c r="N618" s="15"/>
      <c r="O618" s="15"/>
      <c r="P618" s="15"/>
      <c r="Q618" s="15"/>
      <c r="R618" s="15"/>
      <c r="S618" s="15"/>
      <c r="T618" s="15"/>
      <c r="U618" s="15"/>
      <c r="V618" s="15"/>
      <c r="W618" s="15"/>
      <c r="X618" s="15"/>
      <c r="Y618" s="15"/>
      <c r="Z618" s="15"/>
      <c r="AA618" s="15"/>
      <c r="AB618" s="15"/>
      <c r="AC618" s="15"/>
      <c r="AD618" s="15"/>
      <c r="AE618" s="15"/>
      <c r="AF618" s="15"/>
    </row>
    <row r="619" ht="15.75" customHeight="1">
      <c r="A619" s="15"/>
      <c r="B619" s="15"/>
      <c r="C619" s="21"/>
      <c r="D619" s="15"/>
      <c r="E619" s="15"/>
      <c r="F619" s="15"/>
      <c r="G619" s="15"/>
      <c r="H619" s="15"/>
      <c r="I619" s="11"/>
      <c r="J619" s="11"/>
      <c r="K619" s="11"/>
      <c r="L619" s="11"/>
      <c r="M619" s="15"/>
      <c r="N619" s="15"/>
      <c r="O619" s="15"/>
      <c r="P619" s="15"/>
      <c r="Q619" s="15"/>
      <c r="R619" s="15"/>
      <c r="S619" s="15"/>
      <c r="T619" s="15"/>
      <c r="U619" s="15"/>
      <c r="V619" s="15"/>
      <c r="W619" s="15"/>
      <c r="X619" s="15"/>
      <c r="Y619" s="15"/>
      <c r="Z619" s="15"/>
      <c r="AA619" s="15"/>
      <c r="AB619" s="15"/>
      <c r="AC619" s="15"/>
      <c r="AD619" s="15"/>
      <c r="AE619" s="15"/>
      <c r="AF619" s="15"/>
    </row>
    <row r="620" ht="15.75" customHeight="1">
      <c r="A620" s="15"/>
      <c r="B620" s="15"/>
      <c r="C620" s="21"/>
      <c r="D620" s="15"/>
      <c r="E620" s="15"/>
      <c r="F620" s="15"/>
      <c r="G620" s="15"/>
      <c r="H620" s="15"/>
      <c r="I620" s="11"/>
      <c r="J620" s="11"/>
      <c r="K620" s="11"/>
      <c r="L620" s="11"/>
      <c r="M620" s="15"/>
      <c r="N620" s="15"/>
      <c r="O620" s="15"/>
      <c r="P620" s="15"/>
      <c r="Q620" s="15"/>
      <c r="R620" s="15"/>
      <c r="S620" s="15"/>
      <c r="T620" s="15"/>
      <c r="U620" s="15"/>
      <c r="V620" s="15"/>
      <c r="W620" s="15"/>
      <c r="X620" s="15"/>
      <c r="Y620" s="15"/>
      <c r="Z620" s="15"/>
      <c r="AA620" s="15"/>
      <c r="AB620" s="15"/>
      <c r="AC620" s="15"/>
      <c r="AD620" s="15"/>
      <c r="AE620" s="15"/>
      <c r="AF620" s="15"/>
    </row>
    <row r="621" ht="15.75" customHeight="1">
      <c r="A621" s="15"/>
      <c r="B621" s="15"/>
      <c r="C621" s="21"/>
      <c r="D621" s="15"/>
      <c r="E621" s="15"/>
      <c r="F621" s="15"/>
      <c r="G621" s="15"/>
      <c r="H621" s="15"/>
      <c r="I621" s="11"/>
      <c r="J621" s="11"/>
      <c r="K621" s="11"/>
      <c r="L621" s="11"/>
      <c r="M621" s="15"/>
      <c r="N621" s="15"/>
      <c r="O621" s="15"/>
      <c r="P621" s="15"/>
      <c r="Q621" s="15"/>
      <c r="R621" s="15"/>
      <c r="S621" s="15"/>
      <c r="T621" s="15"/>
      <c r="U621" s="15"/>
      <c r="V621" s="15"/>
      <c r="W621" s="15"/>
      <c r="X621" s="15"/>
      <c r="Y621" s="15"/>
      <c r="Z621" s="15"/>
      <c r="AA621" s="15"/>
      <c r="AB621" s="15"/>
      <c r="AC621" s="15"/>
      <c r="AD621" s="15"/>
      <c r="AE621" s="15"/>
      <c r="AF621" s="15"/>
    </row>
    <row r="622" ht="15.75" customHeight="1">
      <c r="A622" s="15"/>
      <c r="B622" s="15"/>
      <c r="C622" s="21"/>
      <c r="D622" s="15"/>
      <c r="E622" s="15"/>
      <c r="F622" s="15"/>
      <c r="G622" s="15"/>
      <c r="H622" s="15"/>
      <c r="I622" s="11"/>
      <c r="J622" s="11"/>
      <c r="K622" s="11"/>
      <c r="L622" s="11"/>
      <c r="M622" s="15"/>
      <c r="N622" s="15"/>
      <c r="O622" s="15"/>
      <c r="P622" s="15"/>
      <c r="Q622" s="15"/>
      <c r="R622" s="15"/>
      <c r="S622" s="15"/>
      <c r="T622" s="15"/>
      <c r="U622" s="15"/>
      <c r="V622" s="15"/>
      <c r="W622" s="15"/>
      <c r="X622" s="15"/>
      <c r="Y622" s="15"/>
      <c r="Z622" s="15"/>
      <c r="AA622" s="15"/>
      <c r="AB622" s="15"/>
      <c r="AC622" s="15"/>
      <c r="AD622" s="15"/>
      <c r="AE622" s="15"/>
      <c r="AF622" s="15"/>
    </row>
    <row r="623" ht="15.75" customHeight="1">
      <c r="A623" s="15"/>
      <c r="B623" s="15"/>
      <c r="C623" s="21"/>
      <c r="D623" s="15"/>
      <c r="E623" s="15"/>
      <c r="F623" s="15"/>
      <c r="G623" s="15"/>
      <c r="H623" s="15"/>
      <c r="I623" s="11"/>
      <c r="J623" s="11"/>
      <c r="K623" s="11"/>
      <c r="L623" s="11"/>
      <c r="M623" s="15"/>
      <c r="N623" s="15"/>
      <c r="O623" s="15"/>
      <c r="P623" s="15"/>
      <c r="Q623" s="15"/>
      <c r="R623" s="15"/>
      <c r="S623" s="15"/>
      <c r="T623" s="15"/>
      <c r="U623" s="15"/>
      <c r="V623" s="15"/>
      <c r="W623" s="15"/>
      <c r="X623" s="15"/>
      <c r="Y623" s="15"/>
      <c r="Z623" s="15"/>
      <c r="AA623" s="15"/>
      <c r="AB623" s="15"/>
      <c r="AC623" s="15"/>
      <c r="AD623" s="15"/>
      <c r="AE623" s="15"/>
      <c r="AF623" s="15"/>
    </row>
    <row r="624" ht="15.75" customHeight="1">
      <c r="A624" s="15"/>
      <c r="B624" s="15"/>
      <c r="C624" s="21"/>
      <c r="D624" s="15"/>
      <c r="E624" s="15"/>
      <c r="F624" s="15"/>
      <c r="G624" s="15"/>
      <c r="H624" s="15"/>
      <c r="I624" s="11"/>
      <c r="J624" s="11"/>
      <c r="K624" s="11"/>
      <c r="L624" s="11"/>
      <c r="M624" s="15"/>
      <c r="N624" s="15"/>
      <c r="O624" s="15"/>
      <c r="P624" s="15"/>
      <c r="Q624" s="15"/>
      <c r="R624" s="15"/>
      <c r="S624" s="15"/>
      <c r="T624" s="15"/>
      <c r="U624" s="15"/>
      <c r="V624" s="15"/>
      <c r="W624" s="15"/>
      <c r="X624" s="15"/>
      <c r="Y624" s="15"/>
      <c r="Z624" s="15"/>
      <c r="AA624" s="15"/>
      <c r="AB624" s="15"/>
      <c r="AC624" s="15"/>
      <c r="AD624" s="15"/>
      <c r="AE624" s="15"/>
      <c r="AF624" s="15"/>
    </row>
    <row r="625" ht="15.75" customHeight="1">
      <c r="A625" s="15"/>
      <c r="B625" s="15"/>
      <c r="C625" s="21"/>
      <c r="D625" s="15"/>
      <c r="E625" s="15"/>
      <c r="F625" s="15"/>
      <c r="G625" s="15"/>
      <c r="H625" s="15"/>
      <c r="I625" s="11"/>
      <c r="J625" s="11"/>
      <c r="K625" s="11"/>
      <c r="L625" s="11"/>
      <c r="M625" s="15"/>
      <c r="N625" s="15"/>
      <c r="O625" s="15"/>
      <c r="P625" s="15"/>
      <c r="Q625" s="15"/>
      <c r="R625" s="15"/>
      <c r="S625" s="15"/>
      <c r="T625" s="15"/>
      <c r="U625" s="15"/>
      <c r="V625" s="15"/>
      <c r="W625" s="15"/>
      <c r="X625" s="15"/>
      <c r="Y625" s="15"/>
      <c r="Z625" s="15"/>
      <c r="AA625" s="15"/>
      <c r="AB625" s="15"/>
      <c r="AC625" s="15"/>
      <c r="AD625" s="15"/>
      <c r="AE625" s="15"/>
      <c r="AF625" s="15"/>
    </row>
    <row r="626" ht="15.75" customHeight="1">
      <c r="A626" s="15"/>
      <c r="B626" s="15"/>
      <c r="C626" s="21"/>
      <c r="D626" s="15"/>
      <c r="E626" s="15"/>
      <c r="F626" s="15"/>
      <c r="G626" s="15"/>
      <c r="H626" s="15"/>
      <c r="I626" s="11"/>
      <c r="J626" s="11"/>
      <c r="K626" s="11"/>
      <c r="L626" s="11"/>
      <c r="M626" s="15"/>
      <c r="N626" s="15"/>
      <c r="O626" s="15"/>
      <c r="P626" s="15"/>
      <c r="Q626" s="15"/>
      <c r="R626" s="15"/>
      <c r="S626" s="15"/>
      <c r="T626" s="15"/>
      <c r="U626" s="15"/>
      <c r="V626" s="15"/>
      <c r="W626" s="15"/>
      <c r="X626" s="15"/>
      <c r="Y626" s="15"/>
      <c r="Z626" s="15"/>
      <c r="AA626" s="15"/>
      <c r="AB626" s="15"/>
      <c r="AC626" s="15"/>
      <c r="AD626" s="15"/>
      <c r="AE626" s="15"/>
      <c r="AF626" s="15"/>
    </row>
    <row r="627" ht="15.75" customHeight="1">
      <c r="A627" s="15"/>
      <c r="B627" s="15"/>
      <c r="C627" s="21"/>
      <c r="D627" s="15"/>
      <c r="E627" s="15"/>
      <c r="F627" s="15"/>
      <c r="G627" s="15"/>
      <c r="H627" s="15"/>
      <c r="I627" s="11"/>
      <c r="J627" s="11"/>
      <c r="K627" s="11"/>
      <c r="L627" s="11"/>
      <c r="M627" s="15"/>
      <c r="N627" s="15"/>
      <c r="O627" s="15"/>
      <c r="P627" s="15"/>
      <c r="Q627" s="15"/>
      <c r="R627" s="15"/>
      <c r="S627" s="15"/>
      <c r="T627" s="15"/>
      <c r="U627" s="15"/>
      <c r="V627" s="15"/>
      <c r="W627" s="15"/>
      <c r="X627" s="15"/>
      <c r="Y627" s="15"/>
      <c r="Z627" s="15"/>
      <c r="AA627" s="15"/>
      <c r="AB627" s="15"/>
      <c r="AC627" s="15"/>
      <c r="AD627" s="15"/>
      <c r="AE627" s="15"/>
      <c r="AF627" s="15"/>
    </row>
    <row r="628" ht="15.75" customHeight="1">
      <c r="A628" s="15"/>
      <c r="B628" s="15"/>
      <c r="C628" s="21"/>
      <c r="D628" s="15"/>
      <c r="E628" s="15"/>
      <c r="F628" s="15"/>
      <c r="G628" s="15"/>
      <c r="H628" s="15"/>
      <c r="I628" s="11"/>
      <c r="J628" s="11"/>
      <c r="K628" s="11"/>
      <c r="L628" s="11"/>
      <c r="M628" s="15"/>
      <c r="N628" s="15"/>
      <c r="O628" s="15"/>
      <c r="P628" s="15"/>
      <c r="Q628" s="15"/>
      <c r="R628" s="15"/>
      <c r="S628" s="15"/>
      <c r="T628" s="15"/>
      <c r="U628" s="15"/>
      <c r="V628" s="15"/>
      <c r="W628" s="15"/>
      <c r="X628" s="15"/>
      <c r="Y628" s="15"/>
      <c r="Z628" s="15"/>
      <c r="AA628" s="15"/>
      <c r="AB628" s="15"/>
      <c r="AC628" s="15"/>
      <c r="AD628" s="15"/>
      <c r="AE628" s="15"/>
      <c r="AF628" s="15"/>
    </row>
    <row r="629" ht="15.75" customHeight="1">
      <c r="A629" s="15"/>
      <c r="B629" s="15"/>
      <c r="C629" s="21"/>
      <c r="D629" s="15"/>
      <c r="E629" s="15"/>
      <c r="F629" s="15"/>
      <c r="G629" s="15"/>
      <c r="H629" s="15"/>
      <c r="I629" s="11"/>
      <c r="J629" s="11"/>
      <c r="K629" s="11"/>
      <c r="L629" s="11"/>
      <c r="M629" s="15"/>
      <c r="N629" s="15"/>
      <c r="O629" s="15"/>
      <c r="P629" s="15"/>
      <c r="Q629" s="15"/>
      <c r="R629" s="15"/>
      <c r="S629" s="15"/>
      <c r="T629" s="15"/>
      <c r="U629" s="15"/>
      <c r="V629" s="15"/>
      <c r="W629" s="15"/>
      <c r="X629" s="15"/>
      <c r="Y629" s="15"/>
      <c r="Z629" s="15"/>
      <c r="AA629" s="15"/>
      <c r="AB629" s="15"/>
      <c r="AC629" s="15"/>
      <c r="AD629" s="15"/>
      <c r="AE629" s="15"/>
      <c r="AF629" s="15"/>
    </row>
    <row r="630" ht="15.75" customHeight="1">
      <c r="A630" s="15"/>
      <c r="B630" s="15"/>
      <c r="C630" s="21"/>
      <c r="D630" s="15"/>
      <c r="E630" s="15"/>
      <c r="F630" s="15"/>
      <c r="G630" s="15"/>
      <c r="H630" s="15"/>
      <c r="I630" s="11"/>
      <c r="J630" s="11"/>
      <c r="K630" s="11"/>
      <c r="L630" s="11"/>
      <c r="M630" s="15"/>
      <c r="N630" s="15"/>
      <c r="O630" s="15"/>
      <c r="P630" s="15"/>
      <c r="Q630" s="15"/>
      <c r="R630" s="15"/>
      <c r="S630" s="15"/>
      <c r="T630" s="15"/>
      <c r="U630" s="15"/>
      <c r="V630" s="15"/>
      <c r="W630" s="15"/>
      <c r="X630" s="15"/>
      <c r="Y630" s="15"/>
      <c r="Z630" s="15"/>
      <c r="AA630" s="15"/>
      <c r="AB630" s="15"/>
      <c r="AC630" s="15"/>
      <c r="AD630" s="15"/>
      <c r="AE630" s="15"/>
      <c r="AF630" s="15"/>
    </row>
    <row r="631" ht="15.75" customHeight="1">
      <c r="A631" s="15"/>
      <c r="B631" s="15"/>
      <c r="C631" s="21"/>
      <c r="D631" s="15"/>
      <c r="E631" s="15"/>
      <c r="F631" s="15"/>
      <c r="G631" s="15"/>
      <c r="H631" s="15"/>
      <c r="I631" s="11"/>
      <c r="J631" s="11"/>
      <c r="K631" s="11"/>
      <c r="L631" s="11"/>
      <c r="M631" s="15"/>
      <c r="N631" s="15"/>
      <c r="O631" s="15"/>
      <c r="P631" s="15"/>
      <c r="Q631" s="15"/>
      <c r="R631" s="15"/>
      <c r="S631" s="15"/>
      <c r="T631" s="15"/>
      <c r="U631" s="15"/>
      <c r="V631" s="15"/>
      <c r="W631" s="15"/>
      <c r="X631" s="15"/>
      <c r="Y631" s="15"/>
      <c r="Z631" s="15"/>
      <c r="AA631" s="15"/>
      <c r="AB631" s="15"/>
      <c r="AC631" s="15"/>
      <c r="AD631" s="15"/>
      <c r="AE631" s="15"/>
      <c r="AF631" s="15"/>
    </row>
    <row r="632" ht="15.75" customHeight="1">
      <c r="A632" s="15"/>
      <c r="B632" s="15"/>
      <c r="C632" s="21"/>
      <c r="D632" s="15"/>
      <c r="E632" s="15"/>
      <c r="F632" s="15"/>
      <c r="G632" s="15"/>
      <c r="H632" s="15"/>
      <c r="I632" s="11"/>
      <c r="J632" s="11"/>
      <c r="K632" s="11"/>
      <c r="L632" s="11"/>
      <c r="M632" s="15"/>
      <c r="N632" s="15"/>
      <c r="O632" s="15"/>
      <c r="P632" s="15"/>
      <c r="Q632" s="15"/>
      <c r="R632" s="15"/>
      <c r="S632" s="15"/>
      <c r="T632" s="15"/>
      <c r="U632" s="15"/>
      <c r="V632" s="15"/>
      <c r="W632" s="15"/>
      <c r="X632" s="15"/>
      <c r="Y632" s="15"/>
      <c r="Z632" s="15"/>
      <c r="AA632" s="15"/>
      <c r="AB632" s="15"/>
      <c r="AC632" s="15"/>
      <c r="AD632" s="15"/>
      <c r="AE632" s="15"/>
      <c r="AF632" s="15"/>
    </row>
    <row r="633" ht="15.75" customHeight="1">
      <c r="A633" s="15"/>
      <c r="B633" s="15"/>
      <c r="C633" s="21"/>
      <c r="D633" s="15"/>
      <c r="E633" s="15"/>
      <c r="F633" s="15"/>
      <c r="G633" s="15"/>
      <c r="H633" s="15"/>
      <c r="I633" s="11"/>
      <c r="J633" s="11"/>
      <c r="K633" s="11"/>
      <c r="L633" s="11"/>
      <c r="M633" s="15"/>
      <c r="N633" s="15"/>
      <c r="O633" s="15"/>
      <c r="P633" s="15"/>
      <c r="Q633" s="15"/>
      <c r="R633" s="15"/>
      <c r="S633" s="15"/>
      <c r="T633" s="15"/>
      <c r="U633" s="15"/>
      <c r="V633" s="15"/>
      <c r="W633" s="15"/>
      <c r="X633" s="15"/>
      <c r="Y633" s="15"/>
      <c r="Z633" s="15"/>
      <c r="AA633" s="15"/>
      <c r="AB633" s="15"/>
      <c r="AC633" s="15"/>
      <c r="AD633" s="15"/>
      <c r="AE633" s="15"/>
      <c r="AF633" s="15"/>
    </row>
    <row r="634" ht="15.75" customHeight="1">
      <c r="A634" s="15"/>
      <c r="B634" s="15"/>
      <c r="C634" s="21"/>
      <c r="D634" s="15"/>
      <c r="E634" s="15"/>
      <c r="F634" s="15"/>
      <c r="G634" s="15"/>
      <c r="H634" s="15"/>
      <c r="I634" s="11"/>
      <c r="J634" s="11"/>
      <c r="K634" s="11"/>
      <c r="L634" s="11"/>
      <c r="M634" s="15"/>
      <c r="N634" s="15"/>
      <c r="O634" s="15"/>
      <c r="P634" s="15"/>
      <c r="Q634" s="15"/>
      <c r="R634" s="15"/>
      <c r="S634" s="15"/>
      <c r="T634" s="15"/>
      <c r="U634" s="15"/>
      <c r="V634" s="15"/>
      <c r="W634" s="15"/>
      <c r="X634" s="15"/>
      <c r="Y634" s="15"/>
      <c r="Z634" s="15"/>
      <c r="AA634" s="15"/>
      <c r="AB634" s="15"/>
      <c r="AC634" s="15"/>
      <c r="AD634" s="15"/>
      <c r="AE634" s="15"/>
      <c r="AF634" s="15"/>
    </row>
    <row r="635" ht="15.75" customHeight="1">
      <c r="A635" s="15"/>
      <c r="B635" s="15"/>
      <c r="C635" s="21"/>
      <c r="D635" s="15"/>
      <c r="E635" s="15"/>
      <c r="F635" s="15"/>
      <c r="G635" s="15"/>
      <c r="H635" s="15"/>
      <c r="I635" s="11"/>
      <c r="J635" s="11"/>
      <c r="K635" s="11"/>
      <c r="L635" s="11"/>
      <c r="M635" s="15"/>
      <c r="N635" s="15"/>
      <c r="O635" s="15"/>
      <c r="P635" s="15"/>
      <c r="Q635" s="15"/>
      <c r="R635" s="15"/>
      <c r="S635" s="15"/>
      <c r="T635" s="15"/>
      <c r="U635" s="15"/>
      <c r="V635" s="15"/>
      <c r="W635" s="15"/>
      <c r="X635" s="15"/>
      <c r="Y635" s="15"/>
      <c r="Z635" s="15"/>
      <c r="AA635" s="15"/>
      <c r="AB635" s="15"/>
      <c r="AC635" s="15"/>
      <c r="AD635" s="15"/>
      <c r="AE635" s="15"/>
      <c r="AF635" s="15"/>
    </row>
    <row r="636" ht="15.75" customHeight="1">
      <c r="A636" s="15"/>
      <c r="B636" s="15"/>
      <c r="C636" s="21"/>
      <c r="D636" s="15"/>
      <c r="E636" s="15"/>
      <c r="F636" s="15"/>
      <c r="G636" s="15"/>
      <c r="H636" s="15"/>
      <c r="I636" s="11"/>
      <c r="J636" s="11"/>
      <c r="K636" s="11"/>
      <c r="L636" s="11"/>
      <c r="M636" s="15"/>
      <c r="N636" s="15"/>
      <c r="O636" s="15"/>
      <c r="P636" s="15"/>
      <c r="Q636" s="15"/>
      <c r="R636" s="15"/>
      <c r="S636" s="15"/>
      <c r="T636" s="15"/>
      <c r="U636" s="15"/>
      <c r="V636" s="15"/>
      <c r="W636" s="15"/>
      <c r="X636" s="15"/>
      <c r="Y636" s="15"/>
      <c r="Z636" s="15"/>
      <c r="AA636" s="15"/>
      <c r="AB636" s="15"/>
      <c r="AC636" s="15"/>
      <c r="AD636" s="15"/>
      <c r="AE636" s="15"/>
      <c r="AF636" s="15"/>
    </row>
    <row r="637" ht="15.75" customHeight="1">
      <c r="A637" s="15"/>
      <c r="B637" s="15"/>
      <c r="C637" s="21"/>
      <c r="D637" s="15"/>
      <c r="E637" s="15"/>
      <c r="F637" s="15"/>
      <c r="G637" s="15"/>
      <c r="H637" s="15"/>
      <c r="I637" s="11"/>
      <c r="J637" s="11"/>
      <c r="K637" s="11"/>
      <c r="L637" s="11"/>
      <c r="M637" s="15"/>
      <c r="N637" s="15"/>
      <c r="O637" s="15"/>
      <c r="P637" s="15"/>
      <c r="Q637" s="15"/>
      <c r="R637" s="15"/>
      <c r="S637" s="15"/>
      <c r="T637" s="15"/>
      <c r="U637" s="15"/>
      <c r="V637" s="15"/>
      <c r="W637" s="15"/>
      <c r="X637" s="15"/>
      <c r="Y637" s="15"/>
      <c r="Z637" s="15"/>
      <c r="AA637" s="15"/>
      <c r="AB637" s="15"/>
      <c r="AC637" s="15"/>
      <c r="AD637" s="15"/>
      <c r="AE637" s="15"/>
      <c r="AF637" s="15"/>
    </row>
    <row r="638" ht="15.75" customHeight="1">
      <c r="A638" s="15"/>
      <c r="B638" s="15"/>
      <c r="C638" s="21"/>
      <c r="D638" s="15"/>
      <c r="E638" s="15"/>
      <c r="F638" s="15"/>
      <c r="G638" s="15"/>
      <c r="H638" s="15"/>
      <c r="I638" s="11"/>
      <c r="J638" s="11"/>
      <c r="K638" s="11"/>
      <c r="L638" s="11"/>
      <c r="M638" s="15"/>
      <c r="N638" s="15"/>
      <c r="O638" s="15"/>
      <c r="P638" s="15"/>
      <c r="Q638" s="15"/>
      <c r="R638" s="15"/>
      <c r="S638" s="15"/>
      <c r="T638" s="15"/>
      <c r="U638" s="15"/>
      <c r="V638" s="15"/>
      <c r="W638" s="15"/>
      <c r="X638" s="15"/>
      <c r="Y638" s="15"/>
      <c r="Z638" s="15"/>
      <c r="AA638" s="15"/>
      <c r="AB638" s="15"/>
      <c r="AC638" s="15"/>
      <c r="AD638" s="15"/>
      <c r="AE638" s="15"/>
      <c r="AF638" s="15"/>
    </row>
    <row r="639" ht="15.75" customHeight="1">
      <c r="A639" s="15"/>
      <c r="B639" s="15"/>
      <c r="C639" s="21"/>
      <c r="D639" s="15"/>
      <c r="E639" s="15"/>
      <c r="F639" s="15"/>
      <c r="G639" s="15"/>
      <c r="H639" s="15"/>
      <c r="I639" s="11"/>
      <c r="J639" s="11"/>
      <c r="K639" s="11"/>
      <c r="L639" s="11"/>
      <c r="M639" s="15"/>
      <c r="N639" s="15"/>
      <c r="O639" s="15"/>
      <c r="P639" s="15"/>
      <c r="Q639" s="15"/>
      <c r="R639" s="15"/>
      <c r="S639" s="15"/>
      <c r="T639" s="15"/>
      <c r="U639" s="15"/>
      <c r="V639" s="15"/>
      <c r="W639" s="15"/>
      <c r="X639" s="15"/>
      <c r="Y639" s="15"/>
      <c r="Z639" s="15"/>
      <c r="AA639" s="15"/>
      <c r="AB639" s="15"/>
      <c r="AC639" s="15"/>
      <c r="AD639" s="15"/>
      <c r="AE639" s="15"/>
      <c r="AF639" s="15"/>
    </row>
    <row r="640" ht="15.75" customHeight="1">
      <c r="A640" s="15"/>
      <c r="B640" s="15"/>
      <c r="C640" s="21"/>
      <c r="D640" s="15"/>
      <c r="E640" s="15"/>
      <c r="F640" s="15"/>
      <c r="G640" s="15"/>
      <c r="H640" s="15"/>
      <c r="I640" s="11"/>
      <c r="J640" s="11"/>
      <c r="K640" s="11"/>
      <c r="L640" s="11"/>
      <c r="M640" s="15"/>
      <c r="N640" s="15"/>
      <c r="O640" s="15"/>
      <c r="P640" s="15"/>
      <c r="Q640" s="15"/>
      <c r="R640" s="15"/>
      <c r="S640" s="15"/>
      <c r="T640" s="15"/>
      <c r="U640" s="15"/>
      <c r="V640" s="15"/>
      <c r="W640" s="15"/>
      <c r="X640" s="15"/>
      <c r="Y640" s="15"/>
      <c r="Z640" s="15"/>
      <c r="AA640" s="15"/>
      <c r="AB640" s="15"/>
      <c r="AC640" s="15"/>
      <c r="AD640" s="15"/>
      <c r="AE640" s="15"/>
      <c r="AF640" s="15"/>
    </row>
    <row r="641" ht="15.75" customHeight="1">
      <c r="A641" s="15"/>
      <c r="B641" s="15"/>
      <c r="C641" s="21"/>
      <c r="D641" s="15"/>
      <c r="E641" s="15"/>
      <c r="F641" s="15"/>
      <c r="G641" s="15"/>
      <c r="H641" s="15"/>
      <c r="I641" s="11"/>
      <c r="J641" s="11"/>
      <c r="K641" s="11"/>
      <c r="L641" s="11"/>
      <c r="M641" s="15"/>
      <c r="N641" s="15"/>
      <c r="O641" s="15"/>
      <c r="P641" s="15"/>
      <c r="Q641" s="15"/>
      <c r="R641" s="15"/>
      <c r="S641" s="15"/>
      <c r="T641" s="15"/>
      <c r="U641" s="15"/>
      <c r="V641" s="15"/>
      <c r="W641" s="15"/>
      <c r="X641" s="15"/>
      <c r="Y641" s="15"/>
      <c r="Z641" s="15"/>
      <c r="AA641" s="15"/>
      <c r="AB641" s="15"/>
      <c r="AC641" s="15"/>
      <c r="AD641" s="15"/>
      <c r="AE641" s="15"/>
      <c r="AF641" s="15"/>
    </row>
    <row r="642" ht="15.75" customHeight="1">
      <c r="A642" s="15"/>
      <c r="B642" s="15"/>
      <c r="C642" s="21"/>
      <c r="D642" s="15"/>
      <c r="E642" s="15"/>
      <c r="F642" s="15"/>
      <c r="G642" s="15"/>
      <c r="H642" s="15"/>
      <c r="I642" s="11"/>
      <c r="J642" s="11"/>
      <c r="K642" s="11"/>
      <c r="L642" s="11"/>
      <c r="M642" s="15"/>
      <c r="N642" s="15"/>
      <c r="O642" s="15"/>
      <c r="P642" s="15"/>
      <c r="Q642" s="15"/>
      <c r="R642" s="15"/>
      <c r="S642" s="15"/>
      <c r="T642" s="15"/>
      <c r="U642" s="15"/>
      <c r="V642" s="15"/>
      <c r="W642" s="15"/>
      <c r="X642" s="15"/>
      <c r="Y642" s="15"/>
      <c r="Z642" s="15"/>
      <c r="AA642" s="15"/>
      <c r="AB642" s="15"/>
      <c r="AC642" s="15"/>
      <c r="AD642" s="15"/>
      <c r="AE642" s="15"/>
      <c r="AF642" s="15"/>
    </row>
    <row r="643" ht="15.75" customHeight="1">
      <c r="A643" s="15"/>
      <c r="B643" s="15"/>
      <c r="C643" s="21"/>
      <c r="D643" s="15"/>
      <c r="E643" s="15"/>
      <c r="F643" s="15"/>
      <c r="G643" s="15"/>
      <c r="H643" s="15"/>
      <c r="I643" s="11"/>
      <c r="J643" s="11"/>
      <c r="K643" s="11"/>
      <c r="L643" s="11"/>
      <c r="M643" s="15"/>
      <c r="N643" s="15"/>
      <c r="O643" s="15"/>
      <c r="P643" s="15"/>
      <c r="Q643" s="15"/>
      <c r="R643" s="15"/>
      <c r="S643" s="15"/>
      <c r="T643" s="15"/>
      <c r="U643" s="15"/>
      <c r="V643" s="15"/>
      <c r="W643" s="15"/>
      <c r="X643" s="15"/>
      <c r="Y643" s="15"/>
      <c r="Z643" s="15"/>
      <c r="AA643" s="15"/>
      <c r="AB643" s="15"/>
      <c r="AC643" s="15"/>
      <c r="AD643" s="15"/>
      <c r="AE643" s="15"/>
      <c r="AF643" s="15"/>
    </row>
    <row r="644" ht="15.75" customHeight="1">
      <c r="A644" s="15"/>
      <c r="B644" s="15"/>
      <c r="C644" s="21"/>
      <c r="D644" s="15"/>
      <c r="E644" s="15"/>
      <c r="F644" s="15"/>
      <c r="G644" s="15"/>
      <c r="H644" s="15"/>
      <c r="I644" s="11"/>
      <c r="J644" s="11"/>
      <c r="K644" s="11"/>
      <c r="L644" s="11"/>
      <c r="M644" s="15"/>
      <c r="N644" s="15"/>
      <c r="O644" s="15"/>
      <c r="P644" s="15"/>
      <c r="Q644" s="15"/>
      <c r="R644" s="15"/>
      <c r="S644" s="15"/>
      <c r="T644" s="15"/>
      <c r="U644" s="15"/>
      <c r="V644" s="15"/>
      <c r="W644" s="15"/>
      <c r="X644" s="15"/>
      <c r="Y644" s="15"/>
      <c r="Z644" s="15"/>
      <c r="AA644" s="15"/>
      <c r="AB644" s="15"/>
      <c r="AC644" s="15"/>
      <c r="AD644" s="15"/>
      <c r="AE644" s="15"/>
      <c r="AF644" s="15"/>
    </row>
    <row r="645" ht="15.75" customHeight="1">
      <c r="A645" s="15"/>
      <c r="B645" s="15"/>
      <c r="C645" s="21"/>
      <c r="D645" s="15"/>
      <c r="E645" s="15"/>
      <c r="F645" s="15"/>
      <c r="G645" s="15"/>
      <c r="H645" s="15"/>
      <c r="I645" s="11"/>
      <c r="J645" s="11"/>
      <c r="K645" s="11"/>
      <c r="L645" s="11"/>
      <c r="M645" s="15"/>
      <c r="N645" s="15"/>
      <c r="O645" s="15"/>
      <c r="P645" s="15"/>
      <c r="Q645" s="15"/>
      <c r="R645" s="15"/>
      <c r="S645" s="15"/>
      <c r="T645" s="15"/>
      <c r="U645" s="15"/>
      <c r="V645" s="15"/>
      <c r="W645" s="15"/>
      <c r="X645" s="15"/>
      <c r="Y645" s="15"/>
      <c r="Z645" s="15"/>
      <c r="AA645" s="15"/>
      <c r="AB645" s="15"/>
      <c r="AC645" s="15"/>
      <c r="AD645" s="15"/>
      <c r="AE645" s="15"/>
      <c r="AF645" s="15"/>
    </row>
    <row r="646" ht="15.75" customHeight="1">
      <c r="A646" s="15"/>
      <c r="B646" s="15"/>
      <c r="C646" s="21"/>
      <c r="D646" s="15"/>
      <c r="E646" s="15"/>
      <c r="F646" s="15"/>
      <c r="G646" s="15"/>
      <c r="H646" s="15"/>
      <c r="I646" s="11"/>
      <c r="J646" s="11"/>
      <c r="K646" s="11"/>
      <c r="L646" s="11"/>
      <c r="M646" s="15"/>
      <c r="N646" s="15"/>
      <c r="O646" s="15"/>
      <c r="P646" s="15"/>
      <c r="Q646" s="15"/>
      <c r="R646" s="15"/>
      <c r="S646" s="15"/>
      <c r="T646" s="15"/>
      <c r="U646" s="15"/>
      <c r="V646" s="15"/>
      <c r="W646" s="15"/>
      <c r="X646" s="15"/>
      <c r="Y646" s="15"/>
      <c r="Z646" s="15"/>
      <c r="AA646" s="15"/>
      <c r="AB646" s="15"/>
      <c r="AC646" s="15"/>
      <c r="AD646" s="15"/>
      <c r="AE646" s="15"/>
      <c r="AF646" s="15"/>
    </row>
    <row r="647" ht="15.75" customHeight="1">
      <c r="A647" s="15"/>
      <c r="B647" s="15"/>
      <c r="C647" s="21"/>
      <c r="D647" s="15"/>
      <c r="E647" s="15"/>
      <c r="F647" s="15"/>
      <c r="G647" s="15"/>
      <c r="H647" s="15"/>
      <c r="I647" s="11"/>
      <c r="J647" s="11"/>
      <c r="K647" s="11"/>
      <c r="L647" s="11"/>
      <c r="M647" s="15"/>
      <c r="N647" s="15"/>
      <c r="O647" s="15"/>
      <c r="P647" s="15"/>
      <c r="Q647" s="15"/>
      <c r="R647" s="15"/>
      <c r="S647" s="15"/>
      <c r="T647" s="15"/>
      <c r="U647" s="15"/>
      <c r="V647" s="15"/>
      <c r="W647" s="15"/>
      <c r="X647" s="15"/>
      <c r="Y647" s="15"/>
      <c r="Z647" s="15"/>
      <c r="AA647" s="15"/>
      <c r="AB647" s="15"/>
      <c r="AC647" s="15"/>
      <c r="AD647" s="15"/>
      <c r="AE647" s="15"/>
      <c r="AF647" s="15"/>
    </row>
    <row r="648" ht="15.75" customHeight="1">
      <c r="A648" s="15"/>
      <c r="B648" s="15"/>
      <c r="C648" s="21"/>
      <c r="D648" s="15"/>
      <c r="E648" s="15"/>
      <c r="F648" s="15"/>
      <c r="G648" s="15"/>
      <c r="H648" s="15"/>
      <c r="I648" s="11"/>
      <c r="J648" s="11"/>
      <c r="K648" s="11"/>
      <c r="L648" s="11"/>
      <c r="M648" s="15"/>
      <c r="N648" s="15"/>
      <c r="O648" s="15"/>
      <c r="P648" s="15"/>
      <c r="Q648" s="15"/>
      <c r="R648" s="15"/>
      <c r="S648" s="15"/>
      <c r="T648" s="15"/>
      <c r="U648" s="15"/>
      <c r="V648" s="15"/>
      <c r="W648" s="15"/>
      <c r="X648" s="15"/>
      <c r="Y648" s="15"/>
      <c r="Z648" s="15"/>
      <c r="AA648" s="15"/>
      <c r="AB648" s="15"/>
      <c r="AC648" s="15"/>
      <c r="AD648" s="15"/>
      <c r="AE648" s="15"/>
      <c r="AF648" s="15"/>
    </row>
    <row r="649" ht="15.75" customHeight="1">
      <c r="A649" s="15"/>
      <c r="B649" s="15"/>
      <c r="C649" s="21"/>
      <c r="D649" s="15"/>
      <c r="E649" s="15"/>
      <c r="F649" s="15"/>
      <c r="G649" s="15"/>
      <c r="H649" s="15"/>
      <c r="I649" s="11"/>
      <c r="J649" s="11"/>
      <c r="K649" s="11"/>
      <c r="L649" s="11"/>
      <c r="M649" s="15"/>
      <c r="N649" s="15"/>
      <c r="O649" s="15"/>
      <c r="P649" s="15"/>
      <c r="Q649" s="15"/>
      <c r="R649" s="15"/>
      <c r="S649" s="15"/>
      <c r="T649" s="15"/>
      <c r="U649" s="15"/>
      <c r="V649" s="15"/>
      <c r="W649" s="15"/>
      <c r="X649" s="15"/>
      <c r="Y649" s="15"/>
      <c r="Z649" s="15"/>
      <c r="AA649" s="15"/>
      <c r="AB649" s="15"/>
      <c r="AC649" s="15"/>
      <c r="AD649" s="15"/>
      <c r="AE649" s="15"/>
      <c r="AF649" s="15"/>
    </row>
    <row r="650" ht="15.75" customHeight="1">
      <c r="A650" s="15"/>
      <c r="B650" s="15"/>
      <c r="C650" s="21"/>
      <c r="D650" s="15"/>
      <c r="E650" s="15"/>
      <c r="F650" s="15"/>
      <c r="G650" s="15"/>
      <c r="H650" s="15"/>
      <c r="I650" s="11"/>
      <c r="J650" s="11"/>
      <c r="K650" s="11"/>
      <c r="L650" s="11"/>
      <c r="M650" s="15"/>
      <c r="N650" s="15"/>
      <c r="O650" s="15"/>
      <c r="P650" s="15"/>
      <c r="Q650" s="15"/>
      <c r="R650" s="15"/>
      <c r="S650" s="15"/>
      <c r="T650" s="15"/>
      <c r="U650" s="15"/>
      <c r="V650" s="15"/>
      <c r="W650" s="15"/>
      <c r="X650" s="15"/>
      <c r="Y650" s="15"/>
      <c r="Z650" s="15"/>
      <c r="AA650" s="15"/>
      <c r="AB650" s="15"/>
      <c r="AC650" s="15"/>
      <c r="AD650" s="15"/>
      <c r="AE650" s="15"/>
      <c r="AF650" s="15"/>
    </row>
    <row r="651" ht="15.75" customHeight="1">
      <c r="A651" s="15"/>
      <c r="B651" s="15"/>
      <c r="C651" s="21"/>
      <c r="D651" s="15"/>
      <c r="E651" s="15"/>
      <c r="F651" s="15"/>
      <c r="G651" s="15"/>
      <c r="H651" s="15"/>
      <c r="I651" s="11"/>
      <c r="J651" s="11"/>
      <c r="K651" s="11"/>
      <c r="L651" s="11"/>
      <c r="M651" s="15"/>
      <c r="N651" s="15"/>
      <c r="O651" s="15"/>
      <c r="P651" s="15"/>
      <c r="Q651" s="15"/>
      <c r="R651" s="15"/>
      <c r="S651" s="15"/>
      <c r="T651" s="15"/>
      <c r="U651" s="15"/>
      <c r="V651" s="15"/>
      <c r="W651" s="15"/>
      <c r="X651" s="15"/>
      <c r="Y651" s="15"/>
      <c r="Z651" s="15"/>
      <c r="AA651" s="15"/>
      <c r="AB651" s="15"/>
      <c r="AC651" s="15"/>
      <c r="AD651" s="15"/>
      <c r="AE651" s="15"/>
      <c r="AF651" s="15"/>
    </row>
    <row r="652" ht="15.75" customHeight="1">
      <c r="A652" s="15"/>
      <c r="B652" s="15"/>
      <c r="C652" s="21"/>
      <c r="D652" s="15"/>
      <c r="E652" s="15"/>
      <c r="F652" s="15"/>
      <c r="G652" s="15"/>
      <c r="H652" s="15"/>
      <c r="I652" s="11"/>
      <c r="J652" s="11"/>
      <c r="K652" s="11"/>
      <c r="L652" s="11"/>
      <c r="M652" s="15"/>
      <c r="N652" s="15"/>
      <c r="O652" s="15"/>
      <c r="P652" s="15"/>
      <c r="Q652" s="15"/>
      <c r="R652" s="15"/>
      <c r="S652" s="15"/>
      <c r="T652" s="15"/>
      <c r="U652" s="15"/>
      <c r="V652" s="15"/>
      <c r="W652" s="15"/>
      <c r="X652" s="15"/>
      <c r="Y652" s="15"/>
      <c r="Z652" s="15"/>
      <c r="AA652" s="15"/>
      <c r="AB652" s="15"/>
      <c r="AC652" s="15"/>
      <c r="AD652" s="15"/>
      <c r="AE652" s="15"/>
      <c r="AF652" s="15"/>
    </row>
    <row r="653" ht="15.75" customHeight="1">
      <c r="A653" s="15"/>
      <c r="B653" s="15"/>
      <c r="C653" s="21"/>
      <c r="D653" s="15"/>
      <c r="E653" s="15"/>
      <c r="F653" s="15"/>
      <c r="G653" s="15"/>
      <c r="H653" s="15"/>
      <c r="I653" s="11"/>
      <c r="J653" s="11"/>
      <c r="K653" s="11"/>
      <c r="L653" s="11"/>
      <c r="M653" s="15"/>
      <c r="N653" s="15"/>
      <c r="O653" s="15"/>
      <c r="P653" s="15"/>
      <c r="Q653" s="15"/>
      <c r="R653" s="15"/>
      <c r="S653" s="15"/>
      <c r="T653" s="15"/>
      <c r="U653" s="15"/>
      <c r="V653" s="15"/>
      <c r="W653" s="15"/>
      <c r="X653" s="15"/>
      <c r="Y653" s="15"/>
      <c r="Z653" s="15"/>
      <c r="AA653" s="15"/>
      <c r="AB653" s="15"/>
      <c r="AC653" s="15"/>
      <c r="AD653" s="15"/>
      <c r="AE653" s="15"/>
      <c r="AF653" s="15"/>
    </row>
    <row r="654" ht="15.75" customHeight="1">
      <c r="A654" s="15"/>
      <c r="B654" s="15"/>
      <c r="C654" s="21"/>
      <c r="D654" s="15"/>
      <c r="E654" s="15"/>
      <c r="F654" s="15"/>
      <c r="G654" s="15"/>
      <c r="H654" s="15"/>
      <c r="I654" s="11"/>
      <c r="J654" s="11"/>
      <c r="K654" s="11"/>
      <c r="L654" s="11"/>
      <c r="M654" s="15"/>
      <c r="N654" s="15"/>
      <c r="O654" s="15"/>
      <c r="P654" s="15"/>
      <c r="Q654" s="15"/>
      <c r="R654" s="15"/>
      <c r="S654" s="15"/>
      <c r="T654" s="15"/>
      <c r="U654" s="15"/>
      <c r="V654" s="15"/>
      <c r="W654" s="15"/>
      <c r="X654" s="15"/>
      <c r="Y654" s="15"/>
      <c r="Z654" s="15"/>
      <c r="AA654" s="15"/>
      <c r="AB654" s="15"/>
      <c r="AC654" s="15"/>
      <c r="AD654" s="15"/>
      <c r="AE654" s="15"/>
      <c r="AF654" s="15"/>
    </row>
    <row r="655" ht="15.75" customHeight="1">
      <c r="A655" s="15"/>
      <c r="B655" s="15"/>
      <c r="C655" s="21"/>
      <c r="D655" s="15"/>
      <c r="E655" s="15"/>
      <c r="F655" s="15"/>
      <c r="G655" s="15"/>
      <c r="H655" s="15"/>
      <c r="I655" s="11"/>
      <c r="J655" s="11"/>
      <c r="K655" s="11"/>
      <c r="L655" s="11"/>
      <c r="M655" s="15"/>
      <c r="N655" s="15"/>
      <c r="O655" s="15"/>
      <c r="P655" s="15"/>
      <c r="Q655" s="15"/>
      <c r="R655" s="15"/>
      <c r="S655" s="15"/>
      <c r="T655" s="15"/>
      <c r="U655" s="15"/>
      <c r="V655" s="15"/>
      <c r="W655" s="15"/>
      <c r="X655" s="15"/>
      <c r="Y655" s="15"/>
      <c r="Z655" s="15"/>
      <c r="AA655" s="15"/>
      <c r="AB655" s="15"/>
      <c r="AC655" s="15"/>
      <c r="AD655" s="15"/>
      <c r="AE655" s="15"/>
      <c r="AF655" s="15"/>
    </row>
    <row r="656" ht="15.75" customHeight="1">
      <c r="A656" s="15"/>
      <c r="B656" s="15"/>
      <c r="C656" s="21"/>
      <c r="D656" s="15"/>
      <c r="E656" s="15"/>
      <c r="F656" s="15"/>
      <c r="G656" s="15"/>
      <c r="H656" s="15"/>
      <c r="I656" s="11"/>
      <c r="J656" s="11"/>
      <c r="K656" s="11"/>
      <c r="L656" s="11"/>
      <c r="M656" s="15"/>
      <c r="N656" s="15"/>
      <c r="O656" s="15"/>
      <c r="P656" s="15"/>
      <c r="Q656" s="15"/>
      <c r="R656" s="15"/>
      <c r="S656" s="15"/>
      <c r="T656" s="15"/>
      <c r="U656" s="15"/>
      <c r="V656" s="15"/>
      <c r="W656" s="15"/>
      <c r="X656" s="15"/>
      <c r="Y656" s="15"/>
      <c r="Z656" s="15"/>
      <c r="AA656" s="15"/>
      <c r="AB656" s="15"/>
      <c r="AC656" s="15"/>
      <c r="AD656" s="15"/>
      <c r="AE656" s="15"/>
      <c r="AF656" s="15"/>
    </row>
    <row r="657" ht="15.75" customHeight="1">
      <c r="A657" s="15"/>
      <c r="B657" s="15"/>
      <c r="C657" s="21"/>
      <c r="D657" s="15"/>
      <c r="E657" s="15"/>
      <c r="F657" s="15"/>
      <c r="G657" s="15"/>
      <c r="H657" s="15"/>
      <c r="I657" s="11"/>
      <c r="J657" s="11"/>
      <c r="K657" s="11"/>
      <c r="L657" s="11"/>
      <c r="M657" s="15"/>
      <c r="N657" s="15"/>
      <c r="O657" s="15"/>
      <c r="P657" s="15"/>
      <c r="Q657" s="15"/>
      <c r="R657" s="15"/>
      <c r="S657" s="15"/>
      <c r="T657" s="15"/>
      <c r="U657" s="15"/>
      <c r="V657" s="15"/>
      <c r="W657" s="15"/>
      <c r="X657" s="15"/>
      <c r="Y657" s="15"/>
      <c r="Z657" s="15"/>
      <c r="AA657" s="15"/>
      <c r="AB657" s="15"/>
      <c r="AC657" s="15"/>
      <c r="AD657" s="15"/>
      <c r="AE657" s="15"/>
      <c r="AF657" s="15"/>
    </row>
    <row r="658" ht="15.75" customHeight="1">
      <c r="A658" s="15"/>
      <c r="B658" s="15"/>
      <c r="C658" s="21"/>
      <c r="D658" s="15"/>
      <c r="E658" s="15"/>
      <c r="F658" s="15"/>
      <c r="G658" s="15"/>
      <c r="H658" s="15"/>
      <c r="I658" s="11"/>
      <c r="J658" s="11"/>
      <c r="K658" s="11"/>
      <c r="L658" s="11"/>
      <c r="M658" s="15"/>
      <c r="N658" s="15"/>
      <c r="O658" s="15"/>
      <c r="P658" s="15"/>
      <c r="Q658" s="15"/>
      <c r="R658" s="15"/>
      <c r="S658" s="15"/>
      <c r="T658" s="15"/>
      <c r="U658" s="15"/>
      <c r="V658" s="15"/>
      <c r="W658" s="15"/>
      <c r="X658" s="15"/>
      <c r="Y658" s="15"/>
      <c r="Z658" s="15"/>
      <c r="AA658" s="15"/>
      <c r="AB658" s="15"/>
      <c r="AC658" s="15"/>
      <c r="AD658" s="15"/>
      <c r="AE658" s="15"/>
      <c r="AF658" s="15"/>
    </row>
    <row r="659" ht="15.75" customHeight="1">
      <c r="A659" s="15"/>
      <c r="B659" s="15"/>
      <c r="C659" s="21"/>
      <c r="D659" s="15"/>
      <c r="E659" s="15"/>
      <c r="F659" s="15"/>
      <c r="G659" s="15"/>
      <c r="H659" s="15"/>
      <c r="I659" s="11"/>
      <c r="J659" s="11"/>
      <c r="K659" s="11"/>
      <c r="L659" s="11"/>
      <c r="M659" s="15"/>
      <c r="N659" s="15"/>
      <c r="O659" s="15"/>
      <c r="P659" s="15"/>
      <c r="Q659" s="15"/>
      <c r="R659" s="15"/>
      <c r="S659" s="15"/>
      <c r="T659" s="15"/>
      <c r="U659" s="15"/>
      <c r="V659" s="15"/>
      <c r="W659" s="15"/>
      <c r="X659" s="15"/>
      <c r="Y659" s="15"/>
      <c r="Z659" s="15"/>
      <c r="AA659" s="15"/>
      <c r="AB659" s="15"/>
      <c r="AC659" s="15"/>
      <c r="AD659" s="15"/>
      <c r="AE659" s="15"/>
      <c r="AF659" s="15"/>
    </row>
    <row r="660" ht="15.75" customHeight="1">
      <c r="A660" s="15"/>
      <c r="B660" s="15"/>
      <c r="C660" s="21"/>
      <c r="D660" s="15"/>
      <c r="E660" s="15"/>
      <c r="F660" s="15"/>
      <c r="G660" s="15"/>
      <c r="H660" s="15"/>
      <c r="I660" s="11"/>
      <c r="J660" s="11"/>
      <c r="K660" s="11"/>
      <c r="L660" s="11"/>
      <c r="M660" s="15"/>
      <c r="N660" s="15"/>
      <c r="O660" s="15"/>
      <c r="P660" s="15"/>
      <c r="Q660" s="15"/>
      <c r="R660" s="15"/>
      <c r="S660" s="15"/>
      <c r="T660" s="15"/>
      <c r="U660" s="15"/>
      <c r="V660" s="15"/>
      <c r="W660" s="15"/>
      <c r="X660" s="15"/>
      <c r="Y660" s="15"/>
      <c r="Z660" s="15"/>
      <c r="AA660" s="15"/>
      <c r="AB660" s="15"/>
      <c r="AC660" s="15"/>
      <c r="AD660" s="15"/>
      <c r="AE660" s="15"/>
      <c r="AF660" s="15"/>
    </row>
    <row r="661" ht="15.75" customHeight="1">
      <c r="A661" s="15"/>
      <c r="B661" s="15"/>
      <c r="C661" s="21"/>
      <c r="D661" s="15"/>
      <c r="E661" s="15"/>
      <c r="F661" s="15"/>
      <c r="G661" s="15"/>
      <c r="H661" s="15"/>
      <c r="I661" s="11"/>
      <c r="J661" s="11"/>
      <c r="K661" s="11"/>
      <c r="L661" s="11"/>
      <c r="M661" s="15"/>
      <c r="N661" s="15"/>
      <c r="O661" s="15"/>
      <c r="P661" s="15"/>
      <c r="Q661" s="15"/>
      <c r="R661" s="15"/>
      <c r="S661" s="15"/>
      <c r="T661" s="15"/>
      <c r="U661" s="15"/>
      <c r="V661" s="15"/>
      <c r="W661" s="15"/>
      <c r="X661" s="15"/>
      <c r="Y661" s="15"/>
      <c r="Z661" s="15"/>
      <c r="AA661" s="15"/>
      <c r="AB661" s="15"/>
      <c r="AC661" s="15"/>
      <c r="AD661" s="15"/>
      <c r="AE661" s="15"/>
      <c r="AF661" s="15"/>
    </row>
    <row r="662" ht="15.75" customHeight="1">
      <c r="A662" s="15"/>
      <c r="B662" s="15"/>
      <c r="C662" s="21"/>
      <c r="D662" s="15"/>
      <c r="E662" s="15"/>
      <c r="F662" s="15"/>
      <c r="G662" s="15"/>
      <c r="H662" s="15"/>
      <c r="I662" s="11"/>
      <c r="J662" s="11"/>
      <c r="K662" s="11"/>
      <c r="L662" s="11"/>
      <c r="M662" s="15"/>
      <c r="N662" s="15"/>
      <c r="O662" s="15"/>
      <c r="P662" s="15"/>
      <c r="Q662" s="15"/>
      <c r="R662" s="15"/>
      <c r="S662" s="15"/>
      <c r="T662" s="15"/>
      <c r="U662" s="15"/>
      <c r="V662" s="15"/>
      <c r="W662" s="15"/>
      <c r="X662" s="15"/>
      <c r="Y662" s="15"/>
      <c r="Z662" s="15"/>
      <c r="AA662" s="15"/>
      <c r="AB662" s="15"/>
      <c r="AC662" s="15"/>
      <c r="AD662" s="15"/>
      <c r="AE662" s="15"/>
      <c r="AF662" s="15"/>
    </row>
    <row r="663" ht="15.75" customHeight="1">
      <c r="A663" s="15"/>
      <c r="B663" s="15"/>
      <c r="C663" s="21"/>
      <c r="D663" s="15"/>
      <c r="E663" s="15"/>
      <c r="F663" s="15"/>
      <c r="G663" s="15"/>
      <c r="H663" s="15"/>
      <c r="I663" s="11"/>
      <c r="J663" s="11"/>
      <c r="K663" s="11"/>
      <c r="L663" s="11"/>
      <c r="M663" s="15"/>
      <c r="N663" s="15"/>
      <c r="O663" s="15"/>
      <c r="P663" s="15"/>
      <c r="Q663" s="15"/>
      <c r="R663" s="15"/>
      <c r="S663" s="15"/>
      <c r="T663" s="15"/>
      <c r="U663" s="15"/>
      <c r="V663" s="15"/>
      <c r="W663" s="15"/>
      <c r="X663" s="15"/>
      <c r="Y663" s="15"/>
      <c r="Z663" s="15"/>
      <c r="AA663" s="15"/>
      <c r="AB663" s="15"/>
      <c r="AC663" s="15"/>
      <c r="AD663" s="15"/>
      <c r="AE663" s="15"/>
      <c r="AF663" s="15"/>
    </row>
    <row r="664" ht="15.75" customHeight="1">
      <c r="A664" s="15"/>
      <c r="B664" s="15"/>
      <c r="C664" s="21"/>
      <c r="D664" s="15"/>
      <c r="E664" s="15"/>
      <c r="F664" s="15"/>
      <c r="G664" s="15"/>
      <c r="H664" s="15"/>
      <c r="I664" s="11"/>
      <c r="J664" s="11"/>
      <c r="K664" s="11"/>
      <c r="L664" s="11"/>
      <c r="M664" s="15"/>
      <c r="N664" s="15"/>
      <c r="O664" s="15"/>
      <c r="P664" s="15"/>
      <c r="Q664" s="15"/>
      <c r="R664" s="15"/>
      <c r="S664" s="15"/>
      <c r="T664" s="15"/>
      <c r="U664" s="15"/>
      <c r="V664" s="15"/>
      <c r="W664" s="15"/>
      <c r="X664" s="15"/>
      <c r="Y664" s="15"/>
      <c r="Z664" s="15"/>
      <c r="AA664" s="15"/>
      <c r="AB664" s="15"/>
      <c r="AC664" s="15"/>
      <c r="AD664" s="15"/>
      <c r="AE664" s="15"/>
      <c r="AF664" s="15"/>
    </row>
    <row r="665" ht="15.75" customHeight="1">
      <c r="A665" s="15"/>
      <c r="B665" s="15"/>
      <c r="C665" s="21"/>
      <c r="D665" s="15"/>
      <c r="E665" s="15"/>
      <c r="F665" s="15"/>
      <c r="G665" s="15"/>
      <c r="H665" s="15"/>
      <c r="I665" s="11"/>
      <c r="J665" s="11"/>
      <c r="K665" s="11"/>
      <c r="L665" s="11"/>
      <c r="M665" s="15"/>
      <c r="N665" s="15"/>
      <c r="O665" s="15"/>
      <c r="P665" s="15"/>
      <c r="Q665" s="15"/>
      <c r="R665" s="15"/>
      <c r="S665" s="15"/>
      <c r="T665" s="15"/>
      <c r="U665" s="15"/>
      <c r="V665" s="15"/>
      <c r="W665" s="15"/>
      <c r="X665" s="15"/>
      <c r="Y665" s="15"/>
      <c r="Z665" s="15"/>
      <c r="AA665" s="15"/>
      <c r="AB665" s="15"/>
      <c r="AC665" s="15"/>
      <c r="AD665" s="15"/>
      <c r="AE665" s="15"/>
      <c r="AF665" s="15"/>
    </row>
    <row r="666" ht="15.75" customHeight="1">
      <c r="A666" s="15"/>
      <c r="B666" s="15"/>
      <c r="C666" s="21"/>
      <c r="D666" s="15"/>
      <c r="E666" s="15"/>
      <c r="F666" s="15"/>
      <c r="G666" s="15"/>
      <c r="H666" s="15"/>
      <c r="I666" s="11"/>
      <c r="J666" s="11"/>
      <c r="K666" s="11"/>
      <c r="L666" s="11"/>
      <c r="M666" s="15"/>
      <c r="N666" s="15"/>
      <c r="O666" s="15"/>
      <c r="P666" s="15"/>
      <c r="Q666" s="15"/>
      <c r="R666" s="15"/>
      <c r="S666" s="15"/>
      <c r="T666" s="15"/>
      <c r="U666" s="15"/>
      <c r="V666" s="15"/>
      <c r="W666" s="15"/>
      <c r="X666" s="15"/>
      <c r="Y666" s="15"/>
      <c r="Z666" s="15"/>
      <c r="AA666" s="15"/>
      <c r="AB666" s="15"/>
      <c r="AC666" s="15"/>
      <c r="AD666" s="15"/>
      <c r="AE666" s="15"/>
      <c r="AF666" s="15"/>
    </row>
    <row r="667" ht="15.75" customHeight="1">
      <c r="A667" s="15"/>
      <c r="B667" s="15"/>
      <c r="C667" s="21"/>
      <c r="D667" s="15"/>
      <c r="E667" s="15"/>
      <c r="F667" s="15"/>
      <c r="G667" s="15"/>
      <c r="H667" s="15"/>
      <c r="I667" s="11"/>
      <c r="J667" s="11"/>
      <c r="K667" s="11"/>
      <c r="L667" s="11"/>
      <c r="M667" s="15"/>
      <c r="N667" s="15"/>
      <c r="O667" s="15"/>
      <c r="P667" s="15"/>
      <c r="Q667" s="15"/>
      <c r="R667" s="15"/>
      <c r="S667" s="15"/>
      <c r="T667" s="15"/>
      <c r="U667" s="15"/>
      <c r="V667" s="15"/>
      <c r="W667" s="15"/>
      <c r="X667" s="15"/>
      <c r="Y667" s="15"/>
      <c r="Z667" s="15"/>
      <c r="AA667" s="15"/>
      <c r="AB667" s="15"/>
      <c r="AC667" s="15"/>
      <c r="AD667" s="15"/>
      <c r="AE667" s="15"/>
      <c r="AF667" s="15"/>
    </row>
    <row r="668" ht="15.75" customHeight="1">
      <c r="A668" s="15"/>
      <c r="B668" s="15"/>
      <c r="C668" s="21"/>
      <c r="D668" s="15"/>
      <c r="E668" s="15"/>
      <c r="F668" s="15"/>
      <c r="G668" s="15"/>
      <c r="H668" s="15"/>
      <c r="I668" s="11"/>
      <c r="J668" s="11"/>
      <c r="K668" s="11"/>
      <c r="L668" s="11"/>
      <c r="M668" s="15"/>
      <c r="N668" s="15"/>
      <c r="O668" s="15"/>
      <c r="P668" s="15"/>
      <c r="Q668" s="15"/>
      <c r="R668" s="15"/>
      <c r="S668" s="15"/>
      <c r="T668" s="15"/>
      <c r="U668" s="15"/>
      <c r="V668" s="15"/>
      <c r="W668" s="15"/>
      <c r="X668" s="15"/>
      <c r="Y668" s="15"/>
      <c r="Z668" s="15"/>
      <c r="AA668" s="15"/>
      <c r="AB668" s="15"/>
      <c r="AC668" s="15"/>
      <c r="AD668" s="15"/>
      <c r="AE668" s="15"/>
      <c r="AF668" s="15"/>
    </row>
    <row r="669" ht="15.75" customHeight="1">
      <c r="A669" s="15"/>
      <c r="B669" s="15"/>
      <c r="C669" s="21"/>
      <c r="D669" s="15"/>
      <c r="E669" s="15"/>
      <c r="F669" s="15"/>
      <c r="G669" s="15"/>
      <c r="H669" s="15"/>
      <c r="I669" s="11"/>
      <c r="J669" s="11"/>
      <c r="K669" s="11"/>
      <c r="L669" s="11"/>
      <c r="M669" s="15"/>
      <c r="N669" s="15"/>
      <c r="O669" s="15"/>
      <c r="P669" s="15"/>
      <c r="Q669" s="15"/>
      <c r="R669" s="15"/>
      <c r="S669" s="15"/>
      <c r="T669" s="15"/>
      <c r="U669" s="15"/>
      <c r="V669" s="15"/>
      <c r="W669" s="15"/>
      <c r="X669" s="15"/>
      <c r="Y669" s="15"/>
      <c r="Z669" s="15"/>
      <c r="AA669" s="15"/>
      <c r="AB669" s="15"/>
      <c r="AC669" s="15"/>
      <c r="AD669" s="15"/>
      <c r="AE669" s="15"/>
      <c r="AF669" s="15"/>
    </row>
    <row r="670" ht="15.75" customHeight="1">
      <c r="A670" s="15"/>
      <c r="B670" s="15"/>
      <c r="C670" s="21"/>
      <c r="D670" s="15"/>
      <c r="E670" s="15"/>
      <c r="F670" s="15"/>
      <c r="G670" s="15"/>
      <c r="H670" s="15"/>
      <c r="I670" s="11"/>
      <c r="J670" s="11"/>
      <c r="K670" s="11"/>
      <c r="L670" s="11"/>
      <c r="M670" s="15"/>
      <c r="N670" s="15"/>
      <c r="O670" s="15"/>
      <c r="P670" s="15"/>
      <c r="Q670" s="15"/>
      <c r="R670" s="15"/>
      <c r="S670" s="15"/>
      <c r="T670" s="15"/>
      <c r="U670" s="15"/>
      <c r="V670" s="15"/>
      <c r="W670" s="15"/>
      <c r="X670" s="15"/>
      <c r="Y670" s="15"/>
      <c r="Z670" s="15"/>
      <c r="AA670" s="15"/>
      <c r="AB670" s="15"/>
      <c r="AC670" s="15"/>
      <c r="AD670" s="15"/>
      <c r="AE670" s="15"/>
      <c r="AF670" s="15"/>
    </row>
    <row r="671" ht="15.75" customHeight="1">
      <c r="A671" s="15"/>
      <c r="B671" s="15"/>
      <c r="C671" s="21"/>
      <c r="D671" s="15"/>
      <c r="E671" s="15"/>
      <c r="F671" s="15"/>
      <c r="G671" s="15"/>
      <c r="H671" s="15"/>
      <c r="I671" s="11"/>
      <c r="J671" s="11"/>
      <c r="K671" s="11"/>
      <c r="L671" s="11"/>
      <c r="M671" s="15"/>
      <c r="N671" s="15"/>
      <c r="O671" s="15"/>
      <c r="P671" s="15"/>
      <c r="Q671" s="15"/>
      <c r="R671" s="15"/>
      <c r="S671" s="15"/>
      <c r="T671" s="15"/>
      <c r="U671" s="15"/>
      <c r="V671" s="15"/>
      <c r="W671" s="15"/>
      <c r="X671" s="15"/>
      <c r="Y671" s="15"/>
      <c r="Z671" s="15"/>
      <c r="AA671" s="15"/>
      <c r="AB671" s="15"/>
      <c r="AC671" s="15"/>
      <c r="AD671" s="15"/>
      <c r="AE671" s="15"/>
      <c r="AF671" s="15"/>
    </row>
    <row r="672" ht="15.75" customHeight="1">
      <c r="A672" s="15"/>
      <c r="B672" s="15"/>
      <c r="C672" s="21"/>
      <c r="D672" s="15"/>
      <c r="E672" s="15"/>
      <c r="F672" s="15"/>
      <c r="G672" s="15"/>
      <c r="H672" s="15"/>
      <c r="I672" s="11"/>
      <c r="J672" s="11"/>
      <c r="K672" s="11"/>
      <c r="L672" s="11"/>
      <c r="M672" s="15"/>
      <c r="N672" s="15"/>
      <c r="O672" s="15"/>
      <c r="P672" s="15"/>
      <c r="Q672" s="15"/>
      <c r="R672" s="15"/>
      <c r="S672" s="15"/>
      <c r="T672" s="15"/>
      <c r="U672" s="15"/>
      <c r="V672" s="15"/>
      <c r="W672" s="15"/>
      <c r="X672" s="15"/>
      <c r="Y672" s="15"/>
      <c r="Z672" s="15"/>
      <c r="AA672" s="15"/>
      <c r="AB672" s="15"/>
      <c r="AC672" s="15"/>
      <c r="AD672" s="15"/>
      <c r="AE672" s="15"/>
      <c r="AF672" s="15"/>
    </row>
    <row r="673" ht="15.75" customHeight="1">
      <c r="A673" s="15"/>
      <c r="B673" s="15"/>
      <c r="C673" s="21"/>
      <c r="D673" s="15"/>
      <c r="E673" s="15"/>
      <c r="F673" s="15"/>
      <c r="G673" s="15"/>
      <c r="H673" s="15"/>
      <c r="I673" s="11"/>
      <c r="J673" s="11"/>
      <c r="K673" s="11"/>
      <c r="L673" s="11"/>
      <c r="M673" s="15"/>
      <c r="N673" s="15"/>
      <c r="O673" s="15"/>
      <c r="P673" s="15"/>
      <c r="Q673" s="15"/>
      <c r="R673" s="15"/>
      <c r="S673" s="15"/>
      <c r="T673" s="15"/>
      <c r="U673" s="15"/>
      <c r="V673" s="15"/>
      <c r="W673" s="15"/>
      <c r="X673" s="15"/>
      <c r="Y673" s="15"/>
      <c r="Z673" s="15"/>
      <c r="AA673" s="15"/>
      <c r="AB673" s="15"/>
      <c r="AC673" s="15"/>
      <c r="AD673" s="15"/>
      <c r="AE673" s="15"/>
      <c r="AF673" s="15"/>
    </row>
    <row r="674" ht="15.75" customHeight="1">
      <c r="A674" s="15"/>
      <c r="B674" s="15"/>
      <c r="C674" s="21"/>
      <c r="D674" s="15"/>
      <c r="E674" s="15"/>
      <c r="F674" s="15"/>
      <c r="G674" s="15"/>
      <c r="H674" s="15"/>
      <c r="I674" s="11"/>
      <c r="J674" s="11"/>
      <c r="K674" s="11"/>
      <c r="L674" s="11"/>
      <c r="M674" s="15"/>
      <c r="N674" s="15"/>
      <c r="O674" s="15"/>
      <c r="P674" s="15"/>
      <c r="Q674" s="15"/>
      <c r="R674" s="15"/>
      <c r="S674" s="15"/>
      <c r="T674" s="15"/>
      <c r="U674" s="15"/>
      <c r="V674" s="15"/>
      <c r="W674" s="15"/>
      <c r="X674" s="15"/>
      <c r="Y674" s="15"/>
      <c r="Z674" s="15"/>
      <c r="AA674" s="15"/>
      <c r="AB674" s="15"/>
      <c r="AC674" s="15"/>
      <c r="AD674" s="15"/>
      <c r="AE674" s="15"/>
      <c r="AF674" s="15"/>
    </row>
    <row r="675" ht="15.75" customHeight="1">
      <c r="A675" s="15"/>
      <c r="B675" s="15"/>
      <c r="C675" s="21"/>
      <c r="D675" s="15"/>
      <c r="E675" s="15"/>
      <c r="F675" s="15"/>
      <c r="G675" s="15"/>
      <c r="H675" s="15"/>
      <c r="I675" s="11"/>
      <c r="J675" s="11"/>
      <c r="K675" s="11"/>
      <c r="L675" s="11"/>
      <c r="M675" s="15"/>
      <c r="N675" s="15"/>
      <c r="O675" s="15"/>
      <c r="P675" s="15"/>
      <c r="Q675" s="15"/>
      <c r="R675" s="15"/>
      <c r="S675" s="15"/>
      <c r="T675" s="15"/>
      <c r="U675" s="15"/>
      <c r="V675" s="15"/>
      <c r="W675" s="15"/>
      <c r="X675" s="15"/>
      <c r="Y675" s="15"/>
      <c r="Z675" s="15"/>
      <c r="AA675" s="15"/>
      <c r="AB675" s="15"/>
      <c r="AC675" s="15"/>
      <c r="AD675" s="15"/>
      <c r="AE675" s="15"/>
      <c r="AF675" s="15"/>
    </row>
    <row r="676" ht="15.75" customHeight="1">
      <c r="A676" s="15"/>
      <c r="B676" s="15"/>
      <c r="C676" s="21"/>
      <c r="D676" s="15"/>
      <c r="E676" s="15"/>
      <c r="F676" s="15"/>
      <c r="G676" s="15"/>
      <c r="H676" s="15"/>
      <c r="I676" s="11"/>
      <c r="J676" s="11"/>
      <c r="K676" s="11"/>
      <c r="L676" s="11"/>
      <c r="M676" s="15"/>
      <c r="N676" s="15"/>
      <c r="O676" s="15"/>
      <c r="P676" s="15"/>
      <c r="Q676" s="15"/>
      <c r="R676" s="15"/>
      <c r="S676" s="15"/>
      <c r="T676" s="15"/>
      <c r="U676" s="15"/>
      <c r="V676" s="15"/>
      <c r="W676" s="15"/>
      <c r="X676" s="15"/>
      <c r="Y676" s="15"/>
      <c r="Z676" s="15"/>
      <c r="AA676" s="15"/>
      <c r="AB676" s="15"/>
      <c r="AC676" s="15"/>
      <c r="AD676" s="15"/>
      <c r="AE676" s="15"/>
      <c r="AF676" s="15"/>
    </row>
    <row r="677" ht="15.75" customHeight="1">
      <c r="A677" s="15"/>
      <c r="B677" s="15"/>
      <c r="C677" s="21"/>
      <c r="D677" s="15"/>
      <c r="E677" s="15"/>
      <c r="F677" s="15"/>
      <c r="G677" s="15"/>
      <c r="H677" s="15"/>
      <c r="I677" s="11"/>
      <c r="J677" s="11"/>
      <c r="K677" s="11"/>
      <c r="L677" s="11"/>
      <c r="M677" s="15"/>
      <c r="N677" s="15"/>
      <c r="O677" s="15"/>
      <c r="P677" s="15"/>
      <c r="Q677" s="15"/>
      <c r="R677" s="15"/>
      <c r="S677" s="15"/>
      <c r="T677" s="15"/>
      <c r="U677" s="15"/>
      <c r="V677" s="15"/>
      <c r="W677" s="15"/>
      <c r="X677" s="15"/>
      <c r="Y677" s="15"/>
      <c r="Z677" s="15"/>
      <c r="AA677" s="15"/>
      <c r="AB677" s="15"/>
      <c r="AC677" s="15"/>
      <c r="AD677" s="15"/>
      <c r="AE677" s="15"/>
      <c r="AF677" s="15"/>
    </row>
    <row r="678" ht="15.75" customHeight="1">
      <c r="A678" s="15"/>
      <c r="B678" s="15"/>
      <c r="C678" s="21"/>
      <c r="D678" s="15"/>
      <c r="E678" s="15"/>
      <c r="F678" s="15"/>
      <c r="G678" s="15"/>
      <c r="H678" s="15"/>
      <c r="I678" s="11"/>
      <c r="J678" s="11"/>
      <c r="K678" s="11"/>
      <c r="L678" s="11"/>
      <c r="M678" s="15"/>
      <c r="N678" s="15"/>
      <c r="O678" s="15"/>
      <c r="P678" s="15"/>
      <c r="Q678" s="15"/>
      <c r="R678" s="15"/>
      <c r="S678" s="15"/>
      <c r="T678" s="15"/>
      <c r="U678" s="15"/>
      <c r="V678" s="15"/>
      <c r="W678" s="15"/>
      <c r="X678" s="15"/>
      <c r="Y678" s="15"/>
      <c r="Z678" s="15"/>
      <c r="AA678" s="15"/>
      <c r="AB678" s="15"/>
      <c r="AC678" s="15"/>
      <c r="AD678" s="15"/>
      <c r="AE678" s="15"/>
      <c r="AF678" s="15"/>
    </row>
    <row r="679" ht="15.75" customHeight="1">
      <c r="A679" s="15"/>
      <c r="B679" s="15"/>
      <c r="C679" s="21"/>
      <c r="D679" s="15"/>
      <c r="E679" s="15"/>
      <c r="F679" s="15"/>
      <c r="G679" s="15"/>
      <c r="H679" s="15"/>
      <c r="I679" s="11"/>
      <c r="J679" s="11"/>
      <c r="K679" s="11"/>
      <c r="L679" s="11"/>
      <c r="M679" s="15"/>
      <c r="N679" s="15"/>
      <c r="O679" s="15"/>
      <c r="P679" s="15"/>
      <c r="Q679" s="15"/>
      <c r="R679" s="15"/>
      <c r="S679" s="15"/>
      <c r="T679" s="15"/>
      <c r="U679" s="15"/>
      <c r="V679" s="15"/>
      <c r="W679" s="15"/>
      <c r="X679" s="15"/>
      <c r="Y679" s="15"/>
      <c r="Z679" s="15"/>
      <c r="AA679" s="15"/>
      <c r="AB679" s="15"/>
      <c r="AC679" s="15"/>
      <c r="AD679" s="15"/>
      <c r="AE679" s="15"/>
      <c r="AF679" s="15"/>
    </row>
    <row r="680" ht="15.75" customHeight="1">
      <c r="A680" s="15"/>
      <c r="B680" s="15"/>
      <c r="C680" s="21"/>
      <c r="D680" s="15"/>
      <c r="E680" s="15"/>
      <c r="F680" s="15"/>
      <c r="G680" s="15"/>
      <c r="H680" s="15"/>
      <c r="I680" s="11"/>
      <c r="J680" s="11"/>
      <c r="K680" s="11"/>
      <c r="L680" s="11"/>
      <c r="M680" s="15"/>
      <c r="N680" s="15"/>
      <c r="O680" s="15"/>
      <c r="P680" s="15"/>
      <c r="Q680" s="15"/>
      <c r="R680" s="15"/>
      <c r="S680" s="15"/>
      <c r="T680" s="15"/>
      <c r="U680" s="15"/>
      <c r="V680" s="15"/>
      <c r="W680" s="15"/>
      <c r="X680" s="15"/>
      <c r="Y680" s="15"/>
      <c r="Z680" s="15"/>
      <c r="AA680" s="15"/>
      <c r="AB680" s="15"/>
      <c r="AC680" s="15"/>
      <c r="AD680" s="15"/>
      <c r="AE680" s="15"/>
      <c r="AF680" s="15"/>
    </row>
    <row r="681" ht="15.75" customHeight="1">
      <c r="A681" s="15"/>
      <c r="B681" s="15"/>
      <c r="C681" s="21"/>
      <c r="D681" s="15"/>
      <c r="E681" s="15"/>
      <c r="F681" s="15"/>
      <c r="G681" s="15"/>
      <c r="H681" s="15"/>
      <c r="I681" s="11"/>
      <c r="J681" s="11"/>
      <c r="K681" s="11"/>
      <c r="L681" s="11"/>
      <c r="M681" s="15"/>
      <c r="N681" s="15"/>
      <c r="O681" s="15"/>
      <c r="P681" s="15"/>
      <c r="Q681" s="15"/>
      <c r="R681" s="15"/>
      <c r="S681" s="15"/>
      <c r="T681" s="15"/>
      <c r="U681" s="15"/>
      <c r="V681" s="15"/>
      <c r="W681" s="15"/>
      <c r="X681" s="15"/>
      <c r="Y681" s="15"/>
      <c r="Z681" s="15"/>
      <c r="AA681" s="15"/>
      <c r="AB681" s="15"/>
      <c r="AC681" s="15"/>
      <c r="AD681" s="15"/>
      <c r="AE681" s="15"/>
      <c r="AF681" s="15"/>
    </row>
    <row r="682" ht="15.75" customHeight="1">
      <c r="A682" s="15"/>
      <c r="B682" s="15"/>
      <c r="C682" s="21"/>
      <c r="D682" s="15"/>
      <c r="E682" s="15"/>
      <c r="F682" s="15"/>
      <c r="G682" s="15"/>
      <c r="H682" s="15"/>
      <c r="I682" s="11"/>
      <c r="J682" s="11"/>
      <c r="K682" s="11"/>
      <c r="L682" s="11"/>
      <c r="M682" s="15"/>
      <c r="N682" s="15"/>
      <c r="O682" s="15"/>
      <c r="P682" s="15"/>
      <c r="Q682" s="15"/>
      <c r="R682" s="15"/>
      <c r="S682" s="15"/>
      <c r="T682" s="15"/>
      <c r="U682" s="15"/>
      <c r="V682" s="15"/>
      <c r="W682" s="15"/>
      <c r="X682" s="15"/>
      <c r="Y682" s="15"/>
      <c r="Z682" s="15"/>
      <c r="AA682" s="15"/>
      <c r="AB682" s="15"/>
      <c r="AC682" s="15"/>
      <c r="AD682" s="15"/>
      <c r="AE682" s="15"/>
      <c r="AF682" s="15"/>
    </row>
    <row r="683" ht="15.75" customHeight="1">
      <c r="A683" s="15"/>
      <c r="B683" s="15"/>
      <c r="C683" s="21"/>
      <c r="D683" s="15"/>
      <c r="E683" s="15"/>
      <c r="F683" s="15"/>
      <c r="G683" s="15"/>
      <c r="H683" s="15"/>
      <c r="I683" s="11"/>
      <c r="J683" s="11"/>
      <c r="K683" s="11"/>
      <c r="L683" s="11"/>
      <c r="M683" s="15"/>
      <c r="N683" s="15"/>
      <c r="O683" s="15"/>
      <c r="P683" s="15"/>
      <c r="Q683" s="15"/>
      <c r="R683" s="15"/>
      <c r="S683" s="15"/>
      <c r="T683" s="15"/>
      <c r="U683" s="15"/>
      <c r="V683" s="15"/>
      <c r="W683" s="15"/>
      <c r="X683" s="15"/>
      <c r="Y683" s="15"/>
      <c r="Z683" s="15"/>
      <c r="AA683" s="15"/>
      <c r="AB683" s="15"/>
      <c r="AC683" s="15"/>
      <c r="AD683" s="15"/>
      <c r="AE683" s="15"/>
      <c r="AF683" s="15"/>
    </row>
    <row r="684" ht="15.75" customHeight="1">
      <c r="A684" s="15"/>
      <c r="B684" s="15"/>
      <c r="C684" s="21"/>
      <c r="D684" s="15"/>
      <c r="E684" s="15"/>
      <c r="F684" s="15"/>
      <c r="G684" s="15"/>
      <c r="H684" s="15"/>
      <c r="I684" s="11"/>
      <c r="J684" s="11"/>
      <c r="K684" s="11"/>
      <c r="L684" s="11"/>
      <c r="M684" s="15"/>
      <c r="N684" s="15"/>
      <c r="O684" s="15"/>
      <c r="P684" s="15"/>
      <c r="Q684" s="15"/>
      <c r="R684" s="15"/>
      <c r="S684" s="15"/>
      <c r="T684" s="15"/>
      <c r="U684" s="15"/>
      <c r="V684" s="15"/>
      <c r="W684" s="15"/>
      <c r="X684" s="15"/>
      <c r="Y684" s="15"/>
      <c r="Z684" s="15"/>
      <c r="AA684" s="15"/>
      <c r="AB684" s="15"/>
      <c r="AC684" s="15"/>
      <c r="AD684" s="15"/>
      <c r="AE684" s="15"/>
      <c r="AF684" s="15"/>
    </row>
    <row r="685" ht="15.75" customHeight="1">
      <c r="A685" s="15"/>
      <c r="B685" s="15"/>
      <c r="C685" s="21"/>
      <c r="D685" s="15"/>
      <c r="E685" s="15"/>
      <c r="F685" s="15"/>
      <c r="G685" s="15"/>
      <c r="H685" s="15"/>
      <c r="I685" s="11"/>
      <c r="J685" s="11"/>
      <c r="K685" s="11"/>
      <c r="L685" s="11"/>
      <c r="M685" s="15"/>
      <c r="N685" s="15"/>
      <c r="O685" s="15"/>
      <c r="P685" s="15"/>
      <c r="Q685" s="15"/>
      <c r="R685" s="15"/>
      <c r="S685" s="15"/>
      <c r="T685" s="15"/>
      <c r="U685" s="15"/>
      <c r="V685" s="15"/>
      <c r="W685" s="15"/>
      <c r="X685" s="15"/>
      <c r="Y685" s="15"/>
      <c r="Z685" s="15"/>
      <c r="AA685" s="15"/>
      <c r="AB685" s="15"/>
      <c r="AC685" s="15"/>
      <c r="AD685" s="15"/>
      <c r="AE685" s="15"/>
      <c r="AF685" s="15"/>
    </row>
    <row r="686" ht="15.75" customHeight="1">
      <c r="A686" s="15"/>
      <c r="B686" s="15"/>
      <c r="C686" s="21"/>
      <c r="D686" s="15"/>
      <c r="E686" s="15"/>
      <c r="F686" s="15"/>
      <c r="G686" s="15"/>
      <c r="H686" s="15"/>
      <c r="I686" s="11"/>
      <c r="J686" s="11"/>
      <c r="K686" s="11"/>
      <c r="L686" s="11"/>
      <c r="M686" s="15"/>
      <c r="N686" s="15"/>
      <c r="O686" s="15"/>
      <c r="P686" s="15"/>
      <c r="Q686" s="15"/>
      <c r="R686" s="15"/>
      <c r="S686" s="15"/>
      <c r="T686" s="15"/>
      <c r="U686" s="15"/>
      <c r="V686" s="15"/>
      <c r="W686" s="15"/>
      <c r="X686" s="15"/>
      <c r="Y686" s="15"/>
      <c r="Z686" s="15"/>
      <c r="AA686" s="15"/>
      <c r="AB686" s="15"/>
      <c r="AC686" s="15"/>
      <c r="AD686" s="15"/>
      <c r="AE686" s="15"/>
      <c r="AF686" s="15"/>
    </row>
    <row r="687" ht="15.75" customHeight="1">
      <c r="A687" s="15"/>
      <c r="B687" s="15"/>
      <c r="C687" s="21"/>
      <c r="D687" s="15"/>
      <c r="E687" s="15"/>
      <c r="F687" s="15"/>
      <c r="G687" s="15"/>
      <c r="H687" s="15"/>
      <c r="I687" s="11"/>
      <c r="J687" s="11"/>
      <c r="K687" s="11"/>
      <c r="L687" s="11"/>
      <c r="M687" s="15"/>
      <c r="N687" s="15"/>
      <c r="O687" s="15"/>
      <c r="P687" s="15"/>
      <c r="Q687" s="15"/>
      <c r="R687" s="15"/>
      <c r="S687" s="15"/>
      <c r="T687" s="15"/>
      <c r="U687" s="15"/>
      <c r="V687" s="15"/>
      <c r="W687" s="15"/>
      <c r="X687" s="15"/>
      <c r="Y687" s="15"/>
      <c r="Z687" s="15"/>
      <c r="AA687" s="15"/>
      <c r="AB687" s="15"/>
      <c r="AC687" s="15"/>
      <c r="AD687" s="15"/>
      <c r="AE687" s="15"/>
      <c r="AF687" s="15"/>
    </row>
    <row r="688" ht="15.75" customHeight="1">
      <c r="A688" s="15"/>
      <c r="B688" s="15"/>
      <c r="C688" s="21"/>
      <c r="D688" s="15"/>
      <c r="E688" s="15"/>
      <c r="F688" s="15"/>
      <c r="G688" s="15"/>
      <c r="H688" s="15"/>
      <c r="I688" s="11"/>
      <c r="J688" s="11"/>
      <c r="K688" s="11"/>
      <c r="L688" s="11"/>
      <c r="M688" s="15"/>
      <c r="N688" s="15"/>
      <c r="O688" s="15"/>
      <c r="P688" s="15"/>
      <c r="Q688" s="15"/>
      <c r="R688" s="15"/>
      <c r="S688" s="15"/>
      <c r="T688" s="15"/>
      <c r="U688" s="15"/>
      <c r="V688" s="15"/>
      <c r="W688" s="15"/>
      <c r="X688" s="15"/>
      <c r="Y688" s="15"/>
      <c r="Z688" s="15"/>
      <c r="AA688" s="15"/>
      <c r="AB688" s="15"/>
      <c r="AC688" s="15"/>
      <c r="AD688" s="15"/>
      <c r="AE688" s="15"/>
      <c r="AF688" s="15"/>
    </row>
    <row r="689" ht="15.75" customHeight="1">
      <c r="A689" s="15"/>
      <c r="B689" s="15"/>
      <c r="C689" s="21"/>
      <c r="D689" s="15"/>
      <c r="E689" s="15"/>
      <c r="F689" s="15"/>
      <c r="G689" s="15"/>
      <c r="H689" s="15"/>
      <c r="I689" s="11"/>
      <c r="J689" s="11"/>
      <c r="K689" s="11"/>
      <c r="L689" s="11"/>
      <c r="M689" s="15"/>
      <c r="N689" s="15"/>
      <c r="O689" s="15"/>
      <c r="P689" s="15"/>
      <c r="Q689" s="15"/>
      <c r="R689" s="15"/>
      <c r="S689" s="15"/>
      <c r="T689" s="15"/>
      <c r="U689" s="15"/>
      <c r="V689" s="15"/>
      <c r="W689" s="15"/>
      <c r="X689" s="15"/>
      <c r="Y689" s="15"/>
      <c r="Z689" s="15"/>
      <c r="AA689" s="15"/>
      <c r="AB689" s="15"/>
      <c r="AC689" s="15"/>
      <c r="AD689" s="15"/>
      <c r="AE689" s="15"/>
      <c r="AF689" s="15"/>
    </row>
    <row r="690" ht="15.75" customHeight="1">
      <c r="A690" s="15"/>
      <c r="B690" s="15"/>
      <c r="C690" s="21"/>
      <c r="D690" s="15"/>
      <c r="E690" s="15"/>
      <c r="F690" s="15"/>
      <c r="G690" s="15"/>
      <c r="H690" s="15"/>
      <c r="I690" s="11"/>
      <c r="J690" s="11"/>
      <c r="K690" s="11"/>
      <c r="L690" s="11"/>
      <c r="M690" s="15"/>
      <c r="N690" s="15"/>
      <c r="O690" s="15"/>
      <c r="P690" s="15"/>
      <c r="Q690" s="15"/>
      <c r="R690" s="15"/>
      <c r="S690" s="15"/>
      <c r="T690" s="15"/>
      <c r="U690" s="15"/>
      <c r="V690" s="15"/>
      <c r="W690" s="15"/>
      <c r="X690" s="15"/>
      <c r="Y690" s="15"/>
      <c r="Z690" s="15"/>
      <c r="AA690" s="15"/>
      <c r="AB690" s="15"/>
      <c r="AC690" s="15"/>
      <c r="AD690" s="15"/>
      <c r="AE690" s="15"/>
      <c r="AF690" s="15"/>
    </row>
    <row r="691" ht="15.75" customHeight="1">
      <c r="A691" s="15"/>
      <c r="B691" s="15"/>
      <c r="C691" s="21"/>
      <c r="D691" s="15"/>
      <c r="E691" s="15"/>
      <c r="F691" s="15"/>
      <c r="G691" s="15"/>
      <c r="H691" s="15"/>
      <c r="I691" s="11"/>
      <c r="J691" s="11"/>
      <c r="K691" s="11"/>
      <c r="L691" s="11"/>
      <c r="M691" s="15"/>
      <c r="N691" s="15"/>
      <c r="O691" s="15"/>
      <c r="P691" s="15"/>
      <c r="Q691" s="15"/>
      <c r="R691" s="15"/>
      <c r="S691" s="15"/>
      <c r="T691" s="15"/>
      <c r="U691" s="15"/>
      <c r="V691" s="15"/>
      <c r="W691" s="15"/>
      <c r="X691" s="15"/>
      <c r="Y691" s="15"/>
      <c r="Z691" s="15"/>
      <c r="AA691" s="15"/>
      <c r="AB691" s="15"/>
      <c r="AC691" s="15"/>
      <c r="AD691" s="15"/>
      <c r="AE691" s="15"/>
      <c r="AF691" s="15"/>
    </row>
    <row r="692" ht="15.75" customHeight="1">
      <c r="A692" s="15"/>
      <c r="B692" s="15"/>
      <c r="C692" s="21"/>
      <c r="D692" s="15"/>
      <c r="E692" s="15"/>
      <c r="F692" s="15"/>
      <c r="G692" s="15"/>
      <c r="H692" s="15"/>
      <c r="I692" s="11"/>
      <c r="J692" s="11"/>
      <c r="K692" s="11"/>
      <c r="L692" s="11"/>
      <c r="M692" s="15"/>
      <c r="N692" s="15"/>
      <c r="O692" s="15"/>
      <c r="P692" s="15"/>
      <c r="Q692" s="15"/>
      <c r="R692" s="15"/>
      <c r="S692" s="15"/>
      <c r="T692" s="15"/>
      <c r="U692" s="15"/>
      <c r="V692" s="15"/>
      <c r="W692" s="15"/>
      <c r="X692" s="15"/>
      <c r="Y692" s="15"/>
      <c r="Z692" s="15"/>
      <c r="AA692" s="15"/>
      <c r="AB692" s="15"/>
      <c r="AC692" s="15"/>
      <c r="AD692" s="15"/>
      <c r="AE692" s="15"/>
      <c r="AF692" s="15"/>
    </row>
    <row r="693" ht="15.75" customHeight="1">
      <c r="A693" s="15"/>
      <c r="B693" s="15"/>
      <c r="C693" s="21"/>
      <c r="D693" s="15"/>
      <c r="E693" s="15"/>
      <c r="F693" s="15"/>
      <c r="G693" s="15"/>
      <c r="H693" s="15"/>
      <c r="I693" s="11"/>
      <c r="J693" s="11"/>
      <c r="K693" s="11"/>
      <c r="L693" s="11"/>
      <c r="M693" s="15"/>
      <c r="N693" s="15"/>
      <c r="O693" s="15"/>
      <c r="P693" s="15"/>
      <c r="Q693" s="15"/>
      <c r="R693" s="15"/>
      <c r="S693" s="15"/>
      <c r="T693" s="15"/>
      <c r="U693" s="15"/>
      <c r="V693" s="15"/>
      <c r="W693" s="15"/>
      <c r="X693" s="15"/>
      <c r="Y693" s="15"/>
      <c r="Z693" s="15"/>
      <c r="AA693" s="15"/>
      <c r="AB693" s="15"/>
      <c r="AC693" s="15"/>
      <c r="AD693" s="15"/>
      <c r="AE693" s="15"/>
      <c r="AF693" s="15"/>
    </row>
    <row r="694" ht="15.75" customHeight="1">
      <c r="A694" s="15"/>
      <c r="B694" s="15"/>
      <c r="C694" s="21"/>
      <c r="D694" s="15"/>
      <c r="E694" s="15"/>
      <c r="F694" s="15"/>
      <c r="G694" s="15"/>
      <c r="H694" s="15"/>
      <c r="I694" s="11"/>
      <c r="J694" s="11"/>
      <c r="K694" s="11"/>
      <c r="L694" s="11"/>
      <c r="M694" s="15"/>
      <c r="N694" s="15"/>
      <c r="O694" s="15"/>
      <c r="P694" s="15"/>
      <c r="Q694" s="15"/>
      <c r="R694" s="15"/>
      <c r="S694" s="15"/>
      <c r="T694" s="15"/>
      <c r="U694" s="15"/>
      <c r="V694" s="15"/>
      <c r="W694" s="15"/>
      <c r="X694" s="15"/>
      <c r="Y694" s="15"/>
      <c r="Z694" s="15"/>
      <c r="AA694" s="15"/>
      <c r="AB694" s="15"/>
      <c r="AC694" s="15"/>
      <c r="AD694" s="15"/>
      <c r="AE694" s="15"/>
      <c r="AF694" s="15"/>
    </row>
    <row r="695" ht="15.75" customHeight="1">
      <c r="A695" s="15"/>
      <c r="B695" s="15"/>
      <c r="C695" s="21"/>
      <c r="D695" s="15"/>
      <c r="E695" s="15"/>
      <c r="F695" s="15"/>
      <c r="G695" s="15"/>
      <c r="H695" s="15"/>
      <c r="I695" s="11"/>
      <c r="J695" s="11"/>
      <c r="K695" s="11"/>
      <c r="L695" s="11"/>
      <c r="M695" s="15"/>
      <c r="N695" s="15"/>
      <c r="O695" s="15"/>
      <c r="P695" s="15"/>
      <c r="Q695" s="15"/>
      <c r="R695" s="15"/>
      <c r="S695" s="15"/>
      <c r="T695" s="15"/>
      <c r="U695" s="15"/>
      <c r="V695" s="15"/>
      <c r="W695" s="15"/>
      <c r="X695" s="15"/>
      <c r="Y695" s="15"/>
      <c r="Z695" s="15"/>
      <c r="AA695" s="15"/>
      <c r="AB695" s="15"/>
      <c r="AC695" s="15"/>
      <c r="AD695" s="15"/>
      <c r="AE695" s="15"/>
      <c r="AF695" s="15"/>
    </row>
    <row r="696" ht="15.75" customHeight="1">
      <c r="A696" s="15"/>
      <c r="B696" s="15"/>
      <c r="C696" s="21"/>
      <c r="D696" s="15"/>
      <c r="E696" s="15"/>
      <c r="F696" s="15"/>
      <c r="G696" s="15"/>
      <c r="H696" s="15"/>
      <c r="I696" s="11"/>
      <c r="J696" s="11"/>
      <c r="K696" s="11"/>
      <c r="L696" s="11"/>
      <c r="M696" s="15"/>
      <c r="N696" s="15"/>
      <c r="O696" s="15"/>
      <c r="P696" s="15"/>
      <c r="Q696" s="15"/>
      <c r="R696" s="15"/>
      <c r="S696" s="15"/>
      <c r="T696" s="15"/>
      <c r="U696" s="15"/>
      <c r="V696" s="15"/>
      <c r="W696" s="15"/>
      <c r="X696" s="15"/>
      <c r="Y696" s="15"/>
      <c r="Z696" s="15"/>
      <c r="AA696" s="15"/>
      <c r="AB696" s="15"/>
      <c r="AC696" s="15"/>
      <c r="AD696" s="15"/>
      <c r="AE696" s="15"/>
      <c r="AF696" s="15"/>
    </row>
    <row r="697" ht="15.75" customHeight="1">
      <c r="A697" s="15"/>
      <c r="B697" s="15"/>
      <c r="C697" s="21"/>
      <c r="D697" s="15"/>
      <c r="E697" s="15"/>
      <c r="F697" s="15"/>
      <c r="G697" s="15"/>
      <c r="H697" s="15"/>
      <c r="I697" s="11"/>
      <c r="J697" s="11"/>
      <c r="K697" s="11"/>
      <c r="L697" s="11"/>
      <c r="M697" s="15"/>
      <c r="N697" s="15"/>
      <c r="O697" s="15"/>
      <c r="P697" s="15"/>
      <c r="Q697" s="15"/>
      <c r="R697" s="15"/>
      <c r="S697" s="15"/>
      <c r="T697" s="15"/>
      <c r="U697" s="15"/>
      <c r="V697" s="15"/>
      <c r="W697" s="15"/>
      <c r="X697" s="15"/>
      <c r="Y697" s="15"/>
      <c r="Z697" s="15"/>
      <c r="AA697" s="15"/>
      <c r="AB697" s="15"/>
      <c r="AC697" s="15"/>
      <c r="AD697" s="15"/>
      <c r="AE697" s="15"/>
      <c r="AF697" s="15"/>
    </row>
    <row r="698" ht="15.75" customHeight="1">
      <c r="A698" s="15"/>
      <c r="B698" s="15"/>
      <c r="C698" s="21"/>
      <c r="D698" s="15"/>
      <c r="E698" s="15"/>
      <c r="F698" s="15"/>
      <c r="G698" s="15"/>
      <c r="H698" s="15"/>
      <c r="I698" s="11"/>
      <c r="J698" s="11"/>
      <c r="K698" s="11"/>
      <c r="L698" s="11"/>
      <c r="M698" s="15"/>
      <c r="N698" s="15"/>
      <c r="O698" s="15"/>
      <c r="P698" s="15"/>
      <c r="Q698" s="15"/>
      <c r="R698" s="15"/>
      <c r="S698" s="15"/>
      <c r="T698" s="15"/>
      <c r="U698" s="15"/>
      <c r="V698" s="15"/>
      <c r="W698" s="15"/>
      <c r="X698" s="15"/>
      <c r="Y698" s="15"/>
      <c r="Z698" s="15"/>
      <c r="AA698" s="15"/>
      <c r="AB698" s="15"/>
      <c r="AC698" s="15"/>
      <c r="AD698" s="15"/>
      <c r="AE698" s="15"/>
      <c r="AF698" s="15"/>
    </row>
    <row r="699" ht="15.75" customHeight="1">
      <c r="A699" s="15"/>
      <c r="B699" s="15"/>
      <c r="C699" s="21"/>
      <c r="D699" s="15"/>
      <c r="E699" s="15"/>
      <c r="F699" s="15"/>
      <c r="G699" s="15"/>
      <c r="H699" s="15"/>
      <c r="I699" s="11"/>
      <c r="J699" s="11"/>
      <c r="K699" s="11"/>
      <c r="L699" s="11"/>
      <c r="M699" s="15"/>
      <c r="N699" s="15"/>
      <c r="O699" s="15"/>
      <c r="P699" s="15"/>
      <c r="Q699" s="15"/>
      <c r="R699" s="15"/>
      <c r="S699" s="15"/>
      <c r="T699" s="15"/>
      <c r="U699" s="15"/>
      <c r="V699" s="15"/>
      <c r="W699" s="15"/>
      <c r="X699" s="15"/>
      <c r="Y699" s="15"/>
      <c r="Z699" s="15"/>
      <c r="AA699" s="15"/>
      <c r="AB699" s="15"/>
      <c r="AC699" s="15"/>
      <c r="AD699" s="15"/>
      <c r="AE699" s="15"/>
      <c r="AF699" s="15"/>
    </row>
    <row r="700" ht="15.75" customHeight="1">
      <c r="A700" s="15"/>
      <c r="B700" s="15"/>
      <c r="C700" s="21"/>
      <c r="D700" s="15"/>
      <c r="E700" s="15"/>
      <c r="F700" s="15"/>
      <c r="G700" s="15"/>
      <c r="H700" s="15"/>
      <c r="I700" s="11"/>
      <c r="J700" s="11"/>
      <c r="K700" s="11"/>
      <c r="L700" s="11"/>
      <c r="M700" s="15"/>
      <c r="N700" s="15"/>
      <c r="O700" s="15"/>
      <c r="P700" s="15"/>
      <c r="Q700" s="15"/>
      <c r="R700" s="15"/>
      <c r="S700" s="15"/>
      <c r="T700" s="15"/>
      <c r="U700" s="15"/>
      <c r="V700" s="15"/>
      <c r="W700" s="15"/>
      <c r="X700" s="15"/>
      <c r="Y700" s="15"/>
      <c r="Z700" s="15"/>
      <c r="AA700" s="15"/>
      <c r="AB700" s="15"/>
      <c r="AC700" s="15"/>
      <c r="AD700" s="15"/>
      <c r="AE700" s="15"/>
      <c r="AF700" s="15"/>
    </row>
    <row r="701" ht="15.75" customHeight="1">
      <c r="A701" s="15"/>
      <c r="B701" s="15"/>
      <c r="C701" s="21"/>
      <c r="D701" s="15"/>
      <c r="E701" s="15"/>
      <c r="F701" s="15"/>
      <c r="G701" s="15"/>
      <c r="H701" s="15"/>
      <c r="I701" s="11"/>
      <c r="J701" s="11"/>
      <c r="K701" s="11"/>
      <c r="L701" s="11"/>
      <c r="M701" s="15"/>
      <c r="N701" s="15"/>
      <c r="O701" s="15"/>
      <c r="P701" s="15"/>
      <c r="Q701" s="15"/>
      <c r="R701" s="15"/>
      <c r="S701" s="15"/>
      <c r="T701" s="15"/>
      <c r="U701" s="15"/>
      <c r="V701" s="15"/>
      <c r="W701" s="15"/>
      <c r="X701" s="15"/>
      <c r="Y701" s="15"/>
      <c r="Z701" s="15"/>
      <c r="AA701" s="15"/>
      <c r="AB701" s="15"/>
      <c r="AC701" s="15"/>
      <c r="AD701" s="15"/>
      <c r="AE701" s="15"/>
      <c r="AF701" s="15"/>
    </row>
    <row r="702" ht="15.75" customHeight="1">
      <c r="A702" s="15"/>
      <c r="B702" s="15"/>
      <c r="C702" s="21"/>
      <c r="D702" s="15"/>
      <c r="E702" s="15"/>
      <c r="F702" s="15"/>
      <c r="G702" s="15"/>
      <c r="H702" s="15"/>
      <c r="I702" s="11"/>
      <c r="J702" s="11"/>
      <c r="K702" s="11"/>
      <c r="L702" s="11"/>
      <c r="M702" s="15"/>
      <c r="N702" s="15"/>
      <c r="O702" s="15"/>
      <c r="P702" s="15"/>
      <c r="Q702" s="15"/>
      <c r="R702" s="15"/>
      <c r="S702" s="15"/>
      <c r="T702" s="15"/>
      <c r="U702" s="15"/>
      <c r="V702" s="15"/>
      <c r="W702" s="15"/>
      <c r="X702" s="15"/>
      <c r="Y702" s="15"/>
      <c r="Z702" s="15"/>
      <c r="AA702" s="15"/>
      <c r="AB702" s="15"/>
      <c r="AC702" s="15"/>
      <c r="AD702" s="15"/>
      <c r="AE702" s="15"/>
      <c r="AF702" s="15"/>
    </row>
    <row r="703" ht="15.75" customHeight="1">
      <c r="A703" s="15"/>
      <c r="B703" s="15"/>
      <c r="C703" s="21"/>
      <c r="D703" s="15"/>
      <c r="E703" s="15"/>
      <c r="F703" s="15"/>
      <c r="G703" s="15"/>
      <c r="H703" s="15"/>
      <c r="I703" s="11"/>
      <c r="J703" s="11"/>
      <c r="K703" s="11"/>
      <c r="L703" s="11"/>
      <c r="M703" s="15"/>
      <c r="N703" s="15"/>
      <c r="O703" s="15"/>
      <c r="P703" s="15"/>
      <c r="Q703" s="15"/>
      <c r="R703" s="15"/>
      <c r="S703" s="15"/>
      <c r="T703" s="15"/>
      <c r="U703" s="15"/>
      <c r="V703" s="15"/>
      <c r="W703" s="15"/>
      <c r="X703" s="15"/>
      <c r="Y703" s="15"/>
      <c r="Z703" s="15"/>
      <c r="AA703" s="15"/>
      <c r="AB703" s="15"/>
      <c r="AC703" s="15"/>
      <c r="AD703" s="15"/>
      <c r="AE703" s="15"/>
      <c r="AF703" s="15"/>
    </row>
    <row r="704" ht="15.75" customHeight="1">
      <c r="A704" s="15"/>
      <c r="B704" s="15"/>
      <c r="C704" s="21"/>
      <c r="D704" s="15"/>
      <c r="E704" s="15"/>
      <c r="F704" s="15"/>
      <c r="G704" s="15"/>
      <c r="H704" s="15"/>
      <c r="I704" s="11"/>
      <c r="J704" s="11"/>
      <c r="K704" s="11"/>
      <c r="L704" s="11"/>
      <c r="M704" s="15"/>
      <c r="N704" s="15"/>
      <c r="O704" s="15"/>
      <c r="P704" s="15"/>
      <c r="Q704" s="15"/>
      <c r="R704" s="15"/>
      <c r="S704" s="15"/>
      <c r="T704" s="15"/>
      <c r="U704" s="15"/>
      <c r="V704" s="15"/>
      <c r="W704" s="15"/>
      <c r="X704" s="15"/>
      <c r="Y704" s="15"/>
      <c r="Z704" s="15"/>
      <c r="AA704" s="15"/>
      <c r="AB704" s="15"/>
      <c r="AC704" s="15"/>
      <c r="AD704" s="15"/>
      <c r="AE704" s="15"/>
      <c r="AF704" s="15"/>
    </row>
    <row r="705" ht="15.75" customHeight="1">
      <c r="A705" s="15"/>
      <c r="B705" s="15"/>
      <c r="C705" s="21"/>
      <c r="D705" s="15"/>
      <c r="E705" s="15"/>
      <c r="F705" s="15"/>
      <c r="G705" s="15"/>
      <c r="H705" s="15"/>
      <c r="I705" s="11"/>
      <c r="J705" s="11"/>
      <c r="K705" s="11"/>
      <c r="L705" s="11"/>
      <c r="M705" s="15"/>
      <c r="N705" s="15"/>
      <c r="O705" s="15"/>
      <c r="P705" s="15"/>
      <c r="Q705" s="15"/>
      <c r="R705" s="15"/>
      <c r="S705" s="15"/>
      <c r="T705" s="15"/>
      <c r="U705" s="15"/>
      <c r="V705" s="15"/>
      <c r="W705" s="15"/>
      <c r="X705" s="15"/>
      <c r="Y705" s="15"/>
      <c r="Z705" s="15"/>
      <c r="AA705" s="15"/>
      <c r="AB705" s="15"/>
      <c r="AC705" s="15"/>
      <c r="AD705" s="15"/>
      <c r="AE705" s="15"/>
      <c r="AF705" s="15"/>
    </row>
    <row r="706" ht="15.75" customHeight="1">
      <c r="A706" s="15"/>
      <c r="B706" s="15"/>
      <c r="C706" s="21"/>
      <c r="D706" s="15"/>
      <c r="E706" s="15"/>
      <c r="F706" s="15"/>
      <c r="G706" s="15"/>
      <c r="H706" s="15"/>
      <c r="I706" s="11"/>
      <c r="J706" s="11"/>
      <c r="K706" s="11"/>
      <c r="L706" s="11"/>
      <c r="M706" s="15"/>
      <c r="N706" s="15"/>
      <c r="O706" s="15"/>
      <c r="P706" s="15"/>
      <c r="Q706" s="15"/>
      <c r="R706" s="15"/>
      <c r="S706" s="15"/>
      <c r="T706" s="15"/>
      <c r="U706" s="15"/>
      <c r="V706" s="15"/>
      <c r="W706" s="15"/>
      <c r="X706" s="15"/>
      <c r="Y706" s="15"/>
      <c r="Z706" s="15"/>
      <c r="AA706" s="15"/>
      <c r="AB706" s="15"/>
      <c r="AC706" s="15"/>
      <c r="AD706" s="15"/>
      <c r="AE706" s="15"/>
      <c r="AF706" s="15"/>
    </row>
    <row r="707" ht="15.75" customHeight="1">
      <c r="A707" s="15"/>
      <c r="B707" s="15"/>
      <c r="C707" s="21"/>
      <c r="D707" s="15"/>
      <c r="E707" s="15"/>
      <c r="F707" s="15"/>
      <c r="G707" s="15"/>
      <c r="H707" s="15"/>
      <c r="I707" s="11"/>
      <c r="J707" s="11"/>
      <c r="K707" s="11"/>
      <c r="L707" s="11"/>
      <c r="M707" s="15"/>
      <c r="N707" s="15"/>
      <c r="O707" s="15"/>
      <c r="P707" s="15"/>
      <c r="Q707" s="15"/>
      <c r="R707" s="15"/>
      <c r="S707" s="15"/>
      <c r="T707" s="15"/>
      <c r="U707" s="15"/>
      <c r="V707" s="15"/>
      <c r="W707" s="15"/>
      <c r="X707" s="15"/>
      <c r="Y707" s="15"/>
      <c r="Z707" s="15"/>
      <c r="AA707" s="15"/>
      <c r="AB707" s="15"/>
      <c r="AC707" s="15"/>
      <c r="AD707" s="15"/>
      <c r="AE707" s="15"/>
      <c r="AF707" s="15"/>
    </row>
    <row r="708" ht="15.75" customHeight="1">
      <c r="A708" s="15"/>
      <c r="B708" s="15"/>
      <c r="C708" s="21"/>
      <c r="D708" s="15"/>
      <c r="E708" s="15"/>
      <c r="F708" s="15"/>
      <c r="G708" s="15"/>
      <c r="H708" s="15"/>
      <c r="I708" s="11"/>
      <c r="J708" s="11"/>
      <c r="K708" s="11"/>
      <c r="L708" s="11"/>
      <c r="M708" s="15"/>
      <c r="N708" s="15"/>
      <c r="O708" s="15"/>
      <c r="P708" s="15"/>
      <c r="Q708" s="15"/>
      <c r="R708" s="15"/>
      <c r="S708" s="15"/>
      <c r="T708" s="15"/>
      <c r="U708" s="15"/>
      <c r="V708" s="15"/>
      <c r="W708" s="15"/>
      <c r="X708" s="15"/>
      <c r="Y708" s="15"/>
      <c r="Z708" s="15"/>
      <c r="AA708" s="15"/>
      <c r="AB708" s="15"/>
      <c r="AC708" s="15"/>
      <c r="AD708" s="15"/>
      <c r="AE708" s="15"/>
      <c r="AF708" s="15"/>
    </row>
    <row r="709" ht="15.75" customHeight="1">
      <c r="A709" s="15"/>
      <c r="B709" s="15"/>
      <c r="C709" s="21"/>
      <c r="D709" s="15"/>
      <c r="E709" s="15"/>
      <c r="F709" s="15"/>
      <c r="G709" s="15"/>
      <c r="H709" s="15"/>
      <c r="I709" s="11"/>
      <c r="J709" s="11"/>
      <c r="K709" s="11"/>
      <c r="L709" s="11"/>
      <c r="M709" s="15"/>
      <c r="N709" s="15"/>
      <c r="O709" s="15"/>
      <c r="P709" s="15"/>
      <c r="Q709" s="15"/>
      <c r="R709" s="15"/>
      <c r="S709" s="15"/>
      <c r="T709" s="15"/>
      <c r="U709" s="15"/>
      <c r="V709" s="15"/>
      <c r="W709" s="15"/>
      <c r="X709" s="15"/>
      <c r="Y709" s="15"/>
      <c r="Z709" s="15"/>
      <c r="AA709" s="15"/>
      <c r="AB709" s="15"/>
      <c r="AC709" s="15"/>
      <c r="AD709" s="15"/>
      <c r="AE709" s="15"/>
      <c r="AF709" s="15"/>
    </row>
    <row r="710" ht="15.75" customHeight="1">
      <c r="A710" s="15"/>
      <c r="B710" s="15"/>
      <c r="C710" s="21"/>
      <c r="D710" s="15"/>
      <c r="E710" s="15"/>
      <c r="F710" s="15"/>
      <c r="G710" s="15"/>
      <c r="H710" s="15"/>
      <c r="I710" s="11"/>
      <c r="J710" s="11"/>
      <c r="K710" s="11"/>
      <c r="L710" s="11"/>
      <c r="M710" s="15"/>
      <c r="N710" s="15"/>
      <c r="O710" s="15"/>
      <c r="P710" s="15"/>
      <c r="Q710" s="15"/>
      <c r="R710" s="15"/>
      <c r="S710" s="15"/>
      <c r="T710" s="15"/>
      <c r="U710" s="15"/>
      <c r="V710" s="15"/>
      <c r="W710" s="15"/>
      <c r="X710" s="15"/>
      <c r="Y710" s="15"/>
      <c r="Z710" s="15"/>
      <c r="AA710" s="15"/>
      <c r="AB710" s="15"/>
      <c r="AC710" s="15"/>
      <c r="AD710" s="15"/>
      <c r="AE710" s="15"/>
      <c r="AF710" s="15"/>
    </row>
    <row r="711" ht="15.75" customHeight="1">
      <c r="A711" s="15"/>
      <c r="B711" s="15"/>
      <c r="C711" s="21"/>
      <c r="D711" s="15"/>
      <c r="E711" s="15"/>
      <c r="F711" s="15"/>
      <c r="G711" s="15"/>
      <c r="H711" s="15"/>
      <c r="I711" s="11"/>
      <c r="J711" s="11"/>
      <c r="K711" s="11"/>
      <c r="L711" s="11"/>
      <c r="M711" s="15"/>
      <c r="N711" s="15"/>
      <c r="O711" s="15"/>
      <c r="P711" s="15"/>
      <c r="Q711" s="15"/>
      <c r="R711" s="15"/>
      <c r="S711" s="15"/>
      <c r="T711" s="15"/>
      <c r="U711" s="15"/>
      <c r="V711" s="15"/>
      <c r="W711" s="15"/>
      <c r="X711" s="15"/>
      <c r="Y711" s="15"/>
      <c r="Z711" s="15"/>
      <c r="AA711" s="15"/>
      <c r="AB711" s="15"/>
      <c r="AC711" s="15"/>
      <c r="AD711" s="15"/>
      <c r="AE711" s="15"/>
      <c r="AF711" s="15"/>
    </row>
    <row r="712" ht="15.75" customHeight="1">
      <c r="A712" s="15"/>
      <c r="B712" s="15"/>
      <c r="C712" s="21"/>
      <c r="D712" s="15"/>
      <c r="E712" s="15"/>
      <c r="F712" s="15"/>
      <c r="G712" s="15"/>
      <c r="H712" s="15"/>
      <c r="I712" s="11"/>
      <c r="J712" s="11"/>
      <c r="K712" s="11"/>
      <c r="L712" s="11"/>
      <c r="M712" s="15"/>
      <c r="N712" s="15"/>
      <c r="O712" s="15"/>
      <c r="P712" s="15"/>
      <c r="Q712" s="15"/>
      <c r="R712" s="15"/>
      <c r="S712" s="15"/>
      <c r="T712" s="15"/>
      <c r="U712" s="15"/>
      <c r="V712" s="15"/>
      <c r="W712" s="15"/>
      <c r="X712" s="15"/>
      <c r="Y712" s="15"/>
      <c r="Z712" s="15"/>
      <c r="AA712" s="15"/>
      <c r="AB712" s="15"/>
      <c r="AC712" s="15"/>
      <c r="AD712" s="15"/>
      <c r="AE712" s="15"/>
      <c r="AF712" s="15"/>
    </row>
    <row r="713" ht="15.75" customHeight="1">
      <c r="A713" s="15"/>
      <c r="B713" s="15"/>
      <c r="C713" s="21"/>
      <c r="D713" s="15"/>
      <c r="E713" s="15"/>
      <c r="F713" s="15"/>
      <c r="G713" s="15"/>
      <c r="H713" s="15"/>
      <c r="I713" s="11"/>
      <c r="J713" s="11"/>
      <c r="K713" s="11"/>
      <c r="L713" s="11"/>
      <c r="M713" s="15"/>
      <c r="N713" s="15"/>
      <c r="O713" s="15"/>
      <c r="P713" s="15"/>
      <c r="Q713" s="15"/>
      <c r="R713" s="15"/>
      <c r="S713" s="15"/>
      <c r="T713" s="15"/>
      <c r="U713" s="15"/>
      <c r="V713" s="15"/>
      <c r="W713" s="15"/>
      <c r="X713" s="15"/>
      <c r="Y713" s="15"/>
      <c r="Z713" s="15"/>
      <c r="AA713" s="15"/>
      <c r="AB713" s="15"/>
      <c r="AC713" s="15"/>
      <c r="AD713" s="15"/>
      <c r="AE713" s="15"/>
      <c r="AF713" s="15"/>
    </row>
    <row r="714" ht="15.75" customHeight="1">
      <c r="A714" s="15"/>
      <c r="B714" s="15"/>
      <c r="C714" s="21"/>
      <c r="D714" s="15"/>
      <c r="E714" s="15"/>
      <c r="F714" s="15"/>
      <c r="G714" s="15"/>
      <c r="H714" s="15"/>
      <c r="I714" s="11"/>
      <c r="J714" s="11"/>
      <c r="K714" s="11"/>
      <c r="L714" s="11"/>
      <c r="M714" s="15"/>
      <c r="N714" s="15"/>
      <c r="O714" s="15"/>
      <c r="P714" s="15"/>
      <c r="Q714" s="15"/>
      <c r="R714" s="15"/>
      <c r="S714" s="15"/>
      <c r="T714" s="15"/>
      <c r="U714" s="15"/>
      <c r="V714" s="15"/>
      <c r="W714" s="15"/>
      <c r="X714" s="15"/>
      <c r="Y714" s="15"/>
      <c r="Z714" s="15"/>
      <c r="AA714" s="15"/>
      <c r="AB714" s="15"/>
      <c r="AC714" s="15"/>
      <c r="AD714" s="15"/>
      <c r="AE714" s="15"/>
      <c r="AF714" s="15"/>
    </row>
    <row r="715" ht="15.75" customHeight="1">
      <c r="A715" s="15"/>
      <c r="B715" s="15"/>
      <c r="C715" s="21"/>
      <c r="D715" s="15"/>
      <c r="E715" s="15"/>
      <c r="F715" s="15"/>
      <c r="G715" s="15"/>
      <c r="H715" s="15"/>
      <c r="I715" s="11"/>
      <c r="J715" s="11"/>
      <c r="K715" s="11"/>
      <c r="L715" s="11"/>
      <c r="M715" s="15"/>
      <c r="N715" s="15"/>
      <c r="O715" s="15"/>
      <c r="P715" s="15"/>
      <c r="Q715" s="15"/>
      <c r="R715" s="15"/>
      <c r="S715" s="15"/>
      <c r="T715" s="15"/>
      <c r="U715" s="15"/>
      <c r="V715" s="15"/>
      <c r="W715" s="15"/>
      <c r="X715" s="15"/>
      <c r="Y715" s="15"/>
      <c r="Z715" s="15"/>
      <c r="AA715" s="15"/>
      <c r="AB715" s="15"/>
      <c r="AC715" s="15"/>
      <c r="AD715" s="15"/>
      <c r="AE715" s="15"/>
      <c r="AF715" s="15"/>
    </row>
    <row r="716" ht="15.75" customHeight="1">
      <c r="A716" s="15"/>
      <c r="B716" s="15"/>
      <c r="C716" s="21"/>
      <c r="D716" s="15"/>
      <c r="E716" s="15"/>
      <c r="F716" s="15"/>
      <c r="G716" s="15"/>
      <c r="H716" s="15"/>
      <c r="I716" s="11"/>
      <c r="J716" s="11"/>
      <c r="K716" s="11"/>
      <c r="L716" s="11"/>
      <c r="M716" s="15"/>
      <c r="N716" s="15"/>
      <c r="O716" s="15"/>
      <c r="P716" s="15"/>
      <c r="Q716" s="15"/>
      <c r="R716" s="15"/>
      <c r="S716" s="15"/>
      <c r="T716" s="15"/>
      <c r="U716" s="15"/>
      <c r="V716" s="15"/>
      <c r="W716" s="15"/>
      <c r="X716" s="15"/>
      <c r="Y716" s="15"/>
      <c r="Z716" s="15"/>
      <c r="AA716" s="15"/>
      <c r="AB716" s="15"/>
      <c r="AC716" s="15"/>
      <c r="AD716" s="15"/>
      <c r="AE716" s="15"/>
      <c r="AF716" s="15"/>
    </row>
    <row r="717" ht="15.75" customHeight="1">
      <c r="A717" s="15"/>
      <c r="B717" s="15"/>
      <c r="C717" s="21"/>
      <c r="D717" s="15"/>
      <c r="E717" s="15"/>
      <c r="F717" s="15"/>
      <c r="G717" s="15"/>
      <c r="H717" s="15"/>
      <c r="I717" s="11"/>
      <c r="J717" s="11"/>
      <c r="K717" s="11"/>
      <c r="L717" s="11"/>
      <c r="M717" s="15"/>
      <c r="N717" s="15"/>
      <c r="O717" s="15"/>
      <c r="P717" s="15"/>
      <c r="Q717" s="15"/>
      <c r="R717" s="15"/>
      <c r="S717" s="15"/>
      <c r="T717" s="15"/>
      <c r="U717" s="15"/>
      <c r="V717" s="15"/>
      <c r="W717" s="15"/>
      <c r="X717" s="15"/>
      <c r="Y717" s="15"/>
      <c r="Z717" s="15"/>
      <c r="AA717" s="15"/>
      <c r="AB717" s="15"/>
      <c r="AC717" s="15"/>
      <c r="AD717" s="15"/>
      <c r="AE717" s="15"/>
      <c r="AF717" s="15"/>
    </row>
    <row r="718" ht="15.75" customHeight="1">
      <c r="A718" s="15"/>
      <c r="B718" s="15"/>
      <c r="C718" s="21"/>
      <c r="D718" s="15"/>
      <c r="E718" s="15"/>
      <c r="F718" s="15"/>
      <c r="G718" s="15"/>
      <c r="H718" s="15"/>
      <c r="I718" s="11"/>
      <c r="J718" s="11"/>
      <c r="K718" s="11"/>
      <c r="L718" s="11"/>
      <c r="M718" s="15"/>
      <c r="N718" s="15"/>
      <c r="O718" s="15"/>
      <c r="P718" s="15"/>
      <c r="Q718" s="15"/>
      <c r="R718" s="15"/>
      <c r="S718" s="15"/>
      <c r="T718" s="15"/>
      <c r="U718" s="15"/>
      <c r="V718" s="15"/>
      <c r="W718" s="15"/>
      <c r="X718" s="15"/>
      <c r="Y718" s="15"/>
      <c r="Z718" s="15"/>
      <c r="AA718" s="15"/>
      <c r="AB718" s="15"/>
      <c r="AC718" s="15"/>
      <c r="AD718" s="15"/>
      <c r="AE718" s="15"/>
      <c r="AF718" s="15"/>
    </row>
    <row r="719" ht="15.75" customHeight="1">
      <c r="A719" s="15"/>
      <c r="B719" s="15"/>
      <c r="C719" s="21"/>
      <c r="D719" s="15"/>
      <c r="E719" s="15"/>
      <c r="F719" s="15"/>
      <c r="G719" s="15"/>
      <c r="H719" s="15"/>
      <c r="I719" s="11"/>
      <c r="J719" s="11"/>
      <c r="K719" s="11"/>
      <c r="L719" s="11"/>
      <c r="M719" s="15"/>
      <c r="N719" s="15"/>
      <c r="O719" s="15"/>
      <c r="P719" s="15"/>
      <c r="Q719" s="15"/>
      <c r="R719" s="15"/>
      <c r="S719" s="15"/>
      <c r="T719" s="15"/>
      <c r="U719" s="15"/>
      <c r="V719" s="15"/>
      <c r="W719" s="15"/>
      <c r="X719" s="15"/>
      <c r="Y719" s="15"/>
      <c r="Z719" s="15"/>
      <c r="AA719" s="15"/>
      <c r="AB719" s="15"/>
      <c r="AC719" s="15"/>
      <c r="AD719" s="15"/>
      <c r="AE719" s="15"/>
      <c r="AF719" s="15"/>
    </row>
    <row r="720" ht="15.75" customHeight="1">
      <c r="A720" s="15"/>
      <c r="B720" s="15"/>
      <c r="C720" s="21"/>
      <c r="D720" s="15"/>
      <c r="E720" s="15"/>
      <c r="F720" s="15"/>
      <c r="G720" s="15"/>
      <c r="H720" s="15"/>
      <c r="I720" s="11"/>
      <c r="J720" s="11"/>
      <c r="K720" s="11"/>
      <c r="L720" s="11"/>
      <c r="M720" s="15"/>
      <c r="N720" s="15"/>
      <c r="O720" s="15"/>
      <c r="P720" s="15"/>
      <c r="Q720" s="15"/>
      <c r="R720" s="15"/>
      <c r="S720" s="15"/>
      <c r="T720" s="15"/>
      <c r="U720" s="15"/>
      <c r="V720" s="15"/>
      <c r="W720" s="15"/>
      <c r="X720" s="15"/>
      <c r="Y720" s="15"/>
      <c r="Z720" s="15"/>
      <c r="AA720" s="15"/>
      <c r="AB720" s="15"/>
      <c r="AC720" s="15"/>
      <c r="AD720" s="15"/>
      <c r="AE720" s="15"/>
      <c r="AF720" s="15"/>
    </row>
    <row r="721" ht="15.75" customHeight="1">
      <c r="A721" s="15"/>
      <c r="B721" s="15"/>
      <c r="C721" s="21"/>
      <c r="D721" s="15"/>
      <c r="E721" s="15"/>
      <c r="F721" s="15"/>
      <c r="G721" s="15"/>
      <c r="H721" s="15"/>
      <c r="I721" s="11"/>
      <c r="J721" s="11"/>
      <c r="K721" s="11"/>
      <c r="L721" s="11"/>
      <c r="M721" s="15"/>
      <c r="N721" s="15"/>
      <c r="O721" s="15"/>
      <c r="P721" s="15"/>
      <c r="Q721" s="15"/>
      <c r="R721" s="15"/>
      <c r="S721" s="15"/>
      <c r="T721" s="15"/>
      <c r="U721" s="15"/>
      <c r="V721" s="15"/>
      <c r="W721" s="15"/>
      <c r="X721" s="15"/>
      <c r="Y721" s="15"/>
      <c r="Z721" s="15"/>
      <c r="AA721" s="15"/>
      <c r="AB721" s="15"/>
      <c r="AC721" s="15"/>
      <c r="AD721" s="15"/>
      <c r="AE721" s="15"/>
      <c r="AF721" s="15"/>
    </row>
    <row r="722" ht="15.75" customHeight="1">
      <c r="A722" s="15"/>
      <c r="B722" s="15"/>
      <c r="C722" s="21"/>
      <c r="D722" s="15"/>
      <c r="E722" s="15"/>
      <c r="F722" s="15"/>
      <c r="G722" s="15"/>
      <c r="H722" s="15"/>
      <c r="I722" s="11"/>
      <c r="J722" s="11"/>
      <c r="K722" s="11"/>
      <c r="L722" s="11"/>
      <c r="M722" s="15"/>
      <c r="N722" s="15"/>
      <c r="O722" s="15"/>
      <c r="P722" s="15"/>
      <c r="Q722" s="15"/>
      <c r="R722" s="15"/>
      <c r="S722" s="15"/>
      <c r="T722" s="15"/>
      <c r="U722" s="15"/>
      <c r="V722" s="15"/>
      <c r="W722" s="15"/>
      <c r="X722" s="15"/>
      <c r="Y722" s="15"/>
      <c r="Z722" s="15"/>
      <c r="AA722" s="15"/>
      <c r="AB722" s="15"/>
      <c r="AC722" s="15"/>
      <c r="AD722" s="15"/>
      <c r="AE722" s="15"/>
      <c r="AF722" s="15"/>
    </row>
    <row r="723" ht="15.75" customHeight="1">
      <c r="A723" s="15"/>
      <c r="B723" s="15"/>
      <c r="C723" s="21"/>
      <c r="D723" s="15"/>
      <c r="E723" s="15"/>
      <c r="F723" s="15"/>
      <c r="G723" s="15"/>
      <c r="H723" s="15"/>
      <c r="I723" s="11"/>
      <c r="J723" s="11"/>
      <c r="K723" s="11"/>
      <c r="L723" s="11"/>
      <c r="M723" s="15"/>
      <c r="N723" s="15"/>
      <c r="O723" s="15"/>
      <c r="P723" s="15"/>
      <c r="Q723" s="15"/>
      <c r="R723" s="15"/>
      <c r="S723" s="15"/>
      <c r="T723" s="15"/>
      <c r="U723" s="15"/>
      <c r="V723" s="15"/>
      <c r="W723" s="15"/>
      <c r="X723" s="15"/>
      <c r="Y723" s="15"/>
      <c r="Z723" s="15"/>
      <c r="AA723" s="15"/>
      <c r="AB723" s="15"/>
      <c r="AC723" s="15"/>
      <c r="AD723" s="15"/>
      <c r="AE723" s="15"/>
      <c r="AF723" s="15"/>
    </row>
    <row r="724" ht="15.75" customHeight="1">
      <c r="A724" s="15"/>
      <c r="B724" s="15"/>
      <c r="C724" s="21"/>
      <c r="D724" s="15"/>
      <c r="E724" s="15"/>
      <c r="F724" s="15"/>
      <c r="G724" s="15"/>
      <c r="H724" s="15"/>
      <c r="I724" s="11"/>
      <c r="J724" s="11"/>
      <c r="K724" s="11"/>
      <c r="L724" s="11"/>
      <c r="M724" s="15"/>
      <c r="N724" s="15"/>
      <c r="O724" s="15"/>
      <c r="P724" s="15"/>
      <c r="Q724" s="15"/>
      <c r="R724" s="15"/>
      <c r="S724" s="15"/>
      <c r="T724" s="15"/>
      <c r="U724" s="15"/>
      <c r="V724" s="15"/>
      <c r="W724" s="15"/>
      <c r="X724" s="15"/>
      <c r="Y724" s="15"/>
      <c r="Z724" s="15"/>
      <c r="AA724" s="15"/>
      <c r="AB724" s="15"/>
      <c r="AC724" s="15"/>
      <c r="AD724" s="15"/>
      <c r="AE724" s="15"/>
      <c r="AF724" s="15"/>
    </row>
    <row r="725" ht="15.75" customHeight="1">
      <c r="A725" s="15"/>
      <c r="B725" s="15"/>
      <c r="C725" s="21"/>
      <c r="D725" s="15"/>
      <c r="E725" s="15"/>
      <c r="F725" s="15"/>
      <c r="G725" s="15"/>
      <c r="H725" s="15"/>
      <c r="I725" s="11"/>
      <c r="J725" s="11"/>
      <c r="K725" s="11"/>
      <c r="L725" s="11"/>
      <c r="M725" s="15"/>
      <c r="N725" s="15"/>
      <c r="O725" s="15"/>
      <c r="P725" s="15"/>
      <c r="Q725" s="15"/>
      <c r="R725" s="15"/>
      <c r="S725" s="15"/>
      <c r="T725" s="15"/>
      <c r="U725" s="15"/>
      <c r="V725" s="15"/>
      <c r="W725" s="15"/>
      <c r="X725" s="15"/>
      <c r="Y725" s="15"/>
      <c r="Z725" s="15"/>
      <c r="AA725" s="15"/>
      <c r="AB725" s="15"/>
      <c r="AC725" s="15"/>
      <c r="AD725" s="15"/>
      <c r="AE725" s="15"/>
      <c r="AF725" s="15"/>
    </row>
    <row r="726" ht="15.75" customHeight="1">
      <c r="A726" s="15"/>
      <c r="B726" s="15"/>
      <c r="C726" s="21"/>
      <c r="D726" s="15"/>
      <c r="E726" s="15"/>
      <c r="F726" s="15"/>
      <c r="G726" s="15"/>
      <c r="H726" s="15"/>
      <c r="I726" s="11"/>
      <c r="J726" s="11"/>
      <c r="K726" s="11"/>
      <c r="L726" s="11"/>
      <c r="M726" s="15"/>
      <c r="N726" s="15"/>
      <c r="O726" s="15"/>
      <c r="P726" s="15"/>
      <c r="Q726" s="15"/>
      <c r="R726" s="15"/>
      <c r="S726" s="15"/>
      <c r="T726" s="15"/>
      <c r="U726" s="15"/>
      <c r="V726" s="15"/>
      <c r="W726" s="15"/>
      <c r="X726" s="15"/>
      <c r="Y726" s="15"/>
      <c r="Z726" s="15"/>
      <c r="AA726" s="15"/>
      <c r="AB726" s="15"/>
      <c r="AC726" s="15"/>
      <c r="AD726" s="15"/>
      <c r="AE726" s="15"/>
      <c r="AF726" s="15"/>
    </row>
    <row r="727" ht="15.75" customHeight="1">
      <c r="A727" s="15"/>
      <c r="B727" s="15"/>
      <c r="C727" s="21"/>
      <c r="D727" s="15"/>
      <c r="E727" s="15"/>
      <c r="F727" s="15"/>
      <c r="G727" s="15"/>
      <c r="H727" s="15"/>
      <c r="I727" s="11"/>
      <c r="J727" s="11"/>
      <c r="K727" s="11"/>
      <c r="L727" s="11"/>
      <c r="M727" s="15"/>
      <c r="N727" s="15"/>
      <c r="O727" s="15"/>
      <c r="P727" s="15"/>
      <c r="Q727" s="15"/>
      <c r="R727" s="15"/>
      <c r="S727" s="15"/>
      <c r="T727" s="15"/>
      <c r="U727" s="15"/>
      <c r="V727" s="15"/>
      <c r="W727" s="15"/>
      <c r="X727" s="15"/>
      <c r="Y727" s="15"/>
      <c r="Z727" s="15"/>
      <c r="AA727" s="15"/>
      <c r="AB727" s="15"/>
      <c r="AC727" s="15"/>
      <c r="AD727" s="15"/>
      <c r="AE727" s="15"/>
      <c r="AF727" s="15"/>
    </row>
    <row r="728" ht="15.75" customHeight="1">
      <c r="A728" s="15"/>
      <c r="B728" s="15"/>
      <c r="C728" s="21"/>
      <c r="D728" s="15"/>
      <c r="E728" s="15"/>
      <c r="F728" s="15"/>
      <c r="G728" s="15"/>
      <c r="H728" s="15"/>
      <c r="I728" s="11"/>
      <c r="J728" s="11"/>
      <c r="K728" s="11"/>
      <c r="L728" s="11"/>
      <c r="M728" s="15"/>
      <c r="N728" s="15"/>
      <c r="O728" s="15"/>
      <c r="P728" s="15"/>
      <c r="Q728" s="15"/>
      <c r="R728" s="15"/>
      <c r="S728" s="15"/>
      <c r="T728" s="15"/>
      <c r="U728" s="15"/>
      <c r="V728" s="15"/>
      <c r="W728" s="15"/>
      <c r="X728" s="15"/>
      <c r="Y728" s="15"/>
      <c r="Z728" s="15"/>
      <c r="AA728" s="15"/>
      <c r="AB728" s="15"/>
      <c r="AC728" s="15"/>
      <c r="AD728" s="15"/>
      <c r="AE728" s="15"/>
      <c r="AF728" s="15"/>
    </row>
    <row r="729" ht="15.75" customHeight="1">
      <c r="A729" s="15"/>
      <c r="B729" s="15"/>
      <c r="C729" s="21"/>
      <c r="D729" s="15"/>
      <c r="E729" s="15"/>
      <c r="F729" s="15"/>
      <c r="G729" s="15"/>
      <c r="H729" s="15"/>
      <c r="I729" s="11"/>
      <c r="J729" s="11"/>
      <c r="K729" s="11"/>
      <c r="L729" s="11"/>
      <c r="M729" s="15"/>
      <c r="N729" s="15"/>
      <c r="O729" s="15"/>
      <c r="P729" s="15"/>
      <c r="Q729" s="15"/>
      <c r="R729" s="15"/>
      <c r="S729" s="15"/>
      <c r="T729" s="15"/>
      <c r="U729" s="15"/>
      <c r="V729" s="15"/>
      <c r="W729" s="15"/>
      <c r="X729" s="15"/>
      <c r="Y729" s="15"/>
      <c r="Z729" s="15"/>
      <c r="AA729" s="15"/>
      <c r="AB729" s="15"/>
      <c r="AC729" s="15"/>
      <c r="AD729" s="15"/>
      <c r="AE729" s="15"/>
      <c r="AF729" s="15"/>
    </row>
    <row r="730" ht="15.75" customHeight="1">
      <c r="A730" s="15"/>
      <c r="B730" s="15"/>
      <c r="C730" s="21"/>
      <c r="D730" s="15"/>
      <c r="E730" s="15"/>
      <c r="F730" s="15"/>
      <c r="G730" s="15"/>
      <c r="H730" s="15"/>
      <c r="I730" s="11"/>
      <c r="J730" s="11"/>
      <c r="K730" s="11"/>
      <c r="L730" s="11"/>
      <c r="M730" s="15"/>
      <c r="N730" s="15"/>
      <c r="O730" s="15"/>
      <c r="P730" s="15"/>
      <c r="Q730" s="15"/>
      <c r="R730" s="15"/>
      <c r="S730" s="15"/>
      <c r="T730" s="15"/>
      <c r="U730" s="15"/>
      <c r="V730" s="15"/>
      <c r="W730" s="15"/>
      <c r="X730" s="15"/>
      <c r="Y730" s="15"/>
      <c r="Z730" s="15"/>
      <c r="AA730" s="15"/>
      <c r="AB730" s="15"/>
      <c r="AC730" s="15"/>
      <c r="AD730" s="15"/>
      <c r="AE730" s="15"/>
      <c r="AF730" s="15"/>
    </row>
    <row r="731" ht="15.75" customHeight="1">
      <c r="A731" s="15"/>
      <c r="B731" s="15"/>
      <c r="C731" s="21"/>
      <c r="D731" s="15"/>
      <c r="E731" s="15"/>
      <c r="F731" s="15"/>
      <c r="G731" s="15"/>
      <c r="H731" s="15"/>
      <c r="I731" s="11"/>
      <c r="J731" s="11"/>
      <c r="K731" s="11"/>
      <c r="L731" s="11"/>
      <c r="M731" s="15"/>
      <c r="N731" s="15"/>
      <c r="O731" s="15"/>
      <c r="P731" s="15"/>
      <c r="Q731" s="15"/>
      <c r="R731" s="15"/>
      <c r="S731" s="15"/>
      <c r="T731" s="15"/>
      <c r="U731" s="15"/>
      <c r="V731" s="15"/>
      <c r="W731" s="15"/>
      <c r="X731" s="15"/>
      <c r="Y731" s="15"/>
      <c r="Z731" s="15"/>
      <c r="AA731" s="15"/>
      <c r="AB731" s="15"/>
      <c r="AC731" s="15"/>
      <c r="AD731" s="15"/>
      <c r="AE731" s="15"/>
      <c r="AF731" s="15"/>
    </row>
    <row r="732" ht="15.75" customHeight="1">
      <c r="A732" s="15"/>
      <c r="B732" s="15"/>
      <c r="C732" s="21"/>
      <c r="D732" s="15"/>
      <c r="E732" s="15"/>
      <c r="F732" s="15"/>
      <c r="G732" s="15"/>
      <c r="H732" s="15"/>
      <c r="I732" s="11"/>
      <c r="J732" s="11"/>
      <c r="K732" s="11"/>
      <c r="L732" s="11"/>
      <c r="M732" s="15"/>
      <c r="N732" s="15"/>
      <c r="O732" s="15"/>
      <c r="P732" s="15"/>
      <c r="Q732" s="15"/>
      <c r="R732" s="15"/>
      <c r="S732" s="15"/>
      <c r="T732" s="15"/>
      <c r="U732" s="15"/>
      <c r="V732" s="15"/>
      <c r="W732" s="15"/>
      <c r="X732" s="15"/>
      <c r="Y732" s="15"/>
      <c r="Z732" s="15"/>
      <c r="AA732" s="15"/>
      <c r="AB732" s="15"/>
      <c r="AC732" s="15"/>
      <c r="AD732" s="15"/>
      <c r="AE732" s="15"/>
      <c r="AF732" s="15"/>
    </row>
    <row r="733" ht="15.75" customHeight="1">
      <c r="A733" s="15"/>
      <c r="B733" s="15"/>
      <c r="C733" s="21"/>
      <c r="D733" s="15"/>
      <c r="E733" s="15"/>
      <c r="F733" s="15"/>
      <c r="G733" s="15"/>
      <c r="H733" s="15"/>
      <c r="I733" s="11"/>
      <c r="J733" s="11"/>
      <c r="K733" s="11"/>
      <c r="L733" s="11"/>
      <c r="M733" s="15"/>
      <c r="N733" s="15"/>
      <c r="O733" s="15"/>
      <c r="P733" s="15"/>
      <c r="Q733" s="15"/>
      <c r="R733" s="15"/>
      <c r="S733" s="15"/>
      <c r="T733" s="15"/>
      <c r="U733" s="15"/>
      <c r="V733" s="15"/>
      <c r="W733" s="15"/>
      <c r="X733" s="15"/>
      <c r="Y733" s="15"/>
      <c r="Z733" s="15"/>
      <c r="AA733" s="15"/>
      <c r="AB733" s="15"/>
      <c r="AC733" s="15"/>
      <c r="AD733" s="15"/>
      <c r="AE733" s="15"/>
      <c r="AF733" s="15"/>
    </row>
    <row r="734" ht="15.75" customHeight="1">
      <c r="A734" s="15"/>
      <c r="B734" s="15"/>
      <c r="C734" s="21"/>
      <c r="D734" s="15"/>
      <c r="E734" s="15"/>
      <c r="F734" s="15"/>
      <c r="G734" s="15"/>
      <c r="H734" s="15"/>
      <c r="I734" s="11"/>
      <c r="J734" s="11"/>
      <c r="K734" s="11"/>
      <c r="L734" s="11"/>
      <c r="M734" s="15"/>
      <c r="N734" s="15"/>
      <c r="O734" s="15"/>
      <c r="P734" s="15"/>
      <c r="Q734" s="15"/>
      <c r="R734" s="15"/>
      <c r="S734" s="15"/>
      <c r="T734" s="15"/>
      <c r="U734" s="15"/>
      <c r="V734" s="15"/>
      <c r="W734" s="15"/>
      <c r="X734" s="15"/>
      <c r="Y734" s="15"/>
      <c r="Z734" s="15"/>
      <c r="AA734" s="15"/>
      <c r="AB734" s="15"/>
      <c r="AC734" s="15"/>
      <c r="AD734" s="15"/>
      <c r="AE734" s="15"/>
      <c r="AF734" s="15"/>
    </row>
    <row r="735" ht="15.75" customHeight="1">
      <c r="A735" s="15"/>
      <c r="B735" s="15"/>
      <c r="C735" s="21"/>
      <c r="D735" s="15"/>
      <c r="E735" s="15"/>
      <c r="F735" s="15"/>
      <c r="G735" s="15"/>
      <c r="H735" s="15"/>
      <c r="I735" s="11"/>
      <c r="J735" s="11"/>
      <c r="K735" s="11"/>
      <c r="L735" s="11"/>
      <c r="M735" s="15"/>
      <c r="N735" s="15"/>
      <c r="O735" s="15"/>
      <c r="P735" s="15"/>
      <c r="Q735" s="15"/>
      <c r="R735" s="15"/>
      <c r="S735" s="15"/>
      <c r="T735" s="15"/>
      <c r="U735" s="15"/>
      <c r="V735" s="15"/>
      <c r="W735" s="15"/>
      <c r="X735" s="15"/>
      <c r="Y735" s="15"/>
      <c r="Z735" s="15"/>
      <c r="AA735" s="15"/>
      <c r="AB735" s="15"/>
      <c r="AC735" s="15"/>
      <c r="AD735" s="15"/>
      <c r="AE735" s="15"/>
      <c r="AF735" s="15"/>
    </row>
    <row r="736" ht="15.75" customHeight="1">
      <c r="A736" s="15"/>
      <c r="B736" s="15"/>
      <c r="C736" s="21"/>
      <c r="D736" s="15"/>
      <c r="E736" s="15"/>
      <c r="F736" s="15"/>
      <c r="G736" s="15"/>
      <c r="H736" s="15"/>
      <c r="I736" s="11"/>
      <c r="J736" s="11"/>
      <c r="K736" s="11"/>
      <c r="L736" s="11"/>
      <c r="M736" s="15"/>
      <c r="N736" s="15"/>
      <c r="O736" s="15"/>
      <c r="P736" s="15"/>
      <c r="Q736" s="15"/>
      <c r="R736" s="15"/>
      <c r="S736" s="15"/>
      <c r="T736" s="15"/>
      <c r="U736" s="15"/>
      <c r="V736" s="15"/>
      <c r="W736" s="15"/>
      <c r="X736" s="15"/>
      <c r="Y736" s="15"/>
      <c r="Z736" s="15"/>
      <c r="AA736" s="15"/>
      <c r="AB736" s="15"/>
      <c r="AC736" s="15"/>
      <c r="AD736" s="15"/>
      <c r="AE736" s="15"/>
      <c r="AF736" s="15"/>
    </row>
    <row r="737" ht="15.75" customHeight="1">
      <c r="A737" s="15"/>
      <c r="B737" s="15"/>
      <c r="C737" s="21"/>
      <c r="D737" s="15"/>
      <c r="E737" s="15"/>
      <c r="F737" s="15"/>
      <c r="G737" s="15"/>
      <c r="H737" s="15"/>
      <c r="I737" s="11"/>
      <c r="J737" s="11"/>
      <c r="K737" s="11"/>
      <c r="L737" s="11"/>
      <c r="M737" s="15"/>
      <c r="N737" s="15"/>
      <c r="O737" s="15"/>
      <c r="P737" s="15"/>
      <c r="Q737" s="15"/>
      <c r="R737" s="15"/>
      <c r="S737" s="15"/>
      <c r="T737" s="15"/>
      <c r="U737" s="15"/>
      <c r="V737" s="15"/>
      <c r="W737" s="15"/>
      <c r="X737" s="15"/>
      <c r="Y737" s="15"/>
      <c r="Z737" s="15"/>
      <c r="AA737" s="15"/>
      <c r="AB737" s="15"/>
      <c r="AC737" s="15"/>
      <c r="AD737" s="15"/>
      <c r="AE737" s="15"/>
      <c r="AF737" s="15"/>
    </row>
    <row r="738" ht="15.75" customHeight="1">
      <c r="A738" s="15"/>
      <c r="B738" s="15"/>
      <c r="C738" s="21"/>
      <c r="D738" s="15"/>
      <c r="E738" s="15"/>
      <c r="F738" s="15"/>
      <c r="G738" s="15"/>
      <c r="H738" s="15"/>
      <c r="I738" s="11"/>
      <c r="J738" s="11"/>
      <c r="K738" s="11"/>
      <c r="L738" s="11"/>
      <c r="M738" s="15"/>
      <c r="N738" s="15"/>
      <c r="O738" s="15"/>
      <c r="P738" s="15"/>
      <c r="Q738" s="15"/>
      <c r="R738" s="15"/>
      <c r="S738" s="15"/>
      <c r="T738" s="15"/>
      <c r="U738" s="15"/>
      <c r="V738" s="15"/>
      <c r="W738" s="15"/>
      <c r="X738" s="15"/>
      <c r="Y738" s="15"/>
      <c r="Z738" s="15"/>
      <c r="AA738" s="15"/>
      <c r="AB738" s="15"/>
      <c r="AC738" s="15"/>
      <c r="AD738" s="15"/>
      <c r="AE738" s="15"/>
      <c r="AF738" s="15"/>
    </row>
    <row r="739" ht="15.75" customHeight="1">
      <c r="A739" s="15"/>
      <c r="B739" s="15"/>
      <c r="C739" s="21"/>
      <c r="D739" s="15"/>
      <c r="E739" s="15"/>
      <c r="F739" s="15"/>
      <c r="G739" s="15"/>
      <c r="H739" s="15"/>
      <c r="I739" s="11"/>
      <c r="J739" s="11"/>
      <c r="K739" s="11"/>
      <c r="L739" s="11"/>
      <c r="M739" s="15"/>
      <c r="N739" s="15"/>
      <c r="O739" s="15"/>
      <c r="P739" s="15"/>
      <c r="Q739" s="15"/>
      <c r="R739" s="15"/>
      <c r="S739" s="15"/>
      <c r="T739" s="15"/>
      <c r="U739" s="15"/>
      <c r="V739" s="15"/>
      <c r="W739" s="15"/>
      <c r="X739" s="15"/>
      <c r="Y739" s="15"/>
      <c r="Z739" s="15"/>
      <c r="AA739" s="15"/>
      <c r="AB739" s="15"/>
      <c r="AC739" s="15"/>
      <c r="AD739" s="15"/>
      <c r="AE739" s="15"/>
      <c r="AF739" s="15"/>
    </row>
    <row r="740" ht="15.75" customHeight="1">
      <c r="A740" s="15"/>
      <c r="B740" s="15"/>
      <c r="C740" s="21"/>
      <c r="D740" s="15"/>
      <c r="E740" s="15"/>
      <c r="F740" s="15"/>
      <c r="G740" s="15"/>
      <c r="H740" s="15"/>
      <c r="I740" s="11"/>
      <c r="J740" s="11"/>
      <c r="K740" s="11"/>
      <c r="L740" s="11"/>
      <c r="M740" s="15"/>
      <c r="N740" s="15"/>
      <c r="O740" s="15"/>
      <c r="P740" s="15"/>
      <c r="Q740" s="15"/>
      <c r="R740" s="15"/>
      <c r="S740" s="15"/>
      <c r="T740" s="15"/>
      <c r="U740" s="15"/>
      <c r="V740" s="15"/>
      <c r="W740" s="15"/>
      <c r="X740" s="15"/>
      <c r="Y740" s="15"/>
      <c r="Z740" s="15"/>
      <c r="AA740" s="15"/>
      <c r="AB740" s="15"/>
      <c r="AC740" s="15"/>
      <c r="AD740" s="15"/>
      <c r="AE740" s="15"/>
      <c r="AF740" s="15"/>
    </row>
    <row r="741" ht="15.75" customHeight="1">
      <c r="A741" s="15"/>
      <c r="B741" s="15"/>
      <c r="C741" s="21"/>
      <c r="D741" s="15"/>
      <c r="E741" s="15"/>
      <c r="F741" s="15"/>
      <c r="G741" s="15"/>
      <c r="H741" s="15"/>
      <c r="I741" s="11"/>
      <c r="J741" s="11"/>
      <c r="K741" s="11"/>
      <c r="L741" s="11"/>
      <c r="M741" s="15"/>
      <c r="N741" s="15"/>
      <c r="O741" s="15"/>
      <c r="P741" s="15"/>
      <c r="Q741" s="15"/>
      <c r="R741" s="15"/>
      <c r="S741" s="15"/>
      <c r="T741" s="15"/>
      <c r="U741" s="15"/>
      <c r="V741" s="15"/>
      <c r="W741" s="15"/>
      <c r="X741" s="15"/>
      <c r="Y741" s="15"/>
      <c r="Z741" s="15"/>
      <c r="AA741" s="15"/>
      <c r="AB741" s="15"/>
      <c r="AC741" s="15"/>
      <c r="AD741" s="15"/>
      <c r="AE741" s="15"/>
      <c r="AF741" s="15"/>
    </row>
    <row r="742" ht="15.75" customHeight="1">
      <c r="A742" s="15"/>
      <c r="B742" s="15"/>
      <c r="C742" s="21"/>
      <c r="D742" s="15"/>
      <c r="E742" s="15"/>
      <c r="F742" s="15"/>
      <c r="G742" s="15"/>
      <c r="H742" s="15"/>
      <c r="I742" s="11"/>
      <c r="J742" s="11"/>
      <c r="K742" s="11"/>
      <c r="L742" s="11"/>
      <c r="M742" s="15"/>
      <c r="N742" s="15"/>
      <c r="O742" s="15"/>
      <c r="P742" s="15"/>
      <c r="Q742" s="15"/>
      <c r="R742" s="15"/>
      <c r="S742" s="15"/>
      <c r="T742" s="15"/>
      <c r="U742" s="15"/>
      <c r="V742" s="15"/>
      <c r="W742" s="15"/>
      <c r="X742" s="15"/>
      <c r="Y742" s="15"/>
      <c r="Z742" s="15"/>
      <c r="AA742" s="15"/>
      <c r="AB742" s="15"/>
      <c r="AC742" s="15"/>
      <c r="AD742" s="15"/>
      <c r="AE742" s="15"/>
      <c r="AF742" s="15"/>
    </row>
    <row r="743" ht="15.75" customHeight="1">
      <c r="A743" s="15"/>
      <c r="B743" s="15"/>
      <c r="C743" s="21"/>
      <c r="D743" s="15"/>
      <c r="E743" s="15"/>
      <c r="F743" s="15"/>
      <c r="G743" s="15"/>
      <c r="H743" s="15"/>
      <c r="I743" s="11"/>
      <c r="J743" s="11"/>
      <c r="K743" s="11"/>
      <c r="L743" s="11"/>
      <c r="M743" s="15"/>
      <c r="N743" s="15"/>
      <c r="O743" s="15"/>
      <c r="P743" s="15"/>
      <c r="Q743" s="15"/>
      <c r="R743" s="15"/>
      <c r="S743" s="15"/>
      <c r="T743" s="15"/>
      <c r="U743" s="15"/>
      <c r="V743" s="15"/>
      <c r="W743" s="15"/>
      <c r="X743" s="15"/>
      <c r="Y743" s="15"/>
      <c r="Z743" s="15"/>
      <c r="AA743" s="15"/>
      <c r="AB743" s="15"/>
      <c r="AC743" s="15"/>
      <c r="AD743" s="15"/>
      <c r="AE743" s="15"/>
      <c r="AF743" s="15"/>
    </row>
    <row r="744" ht="15.75" customHeight="1">
      <c r="A744" s="15"/>
      <c r="B744" s="15"/>
      <c r="C744" s="21"/>
      <c r="D744" s="15"/>
      <c r="E744" s="15"/>
      <c r="F744" s="15"/>
      <c r="G744" s="15"/>
      <c r="H744" s="15"/>
      <c r="I744" s="11"/>
      <c r="J744" s="11"/>
      <c r="K744" s="11"/>
      <c r="L744" s="11"/>
      <c r="M744" s="15"/>
      <c r="N744" s="15"/>
      <c r="O744" s="15"/>
      <c r="P744" s="15"/>
      <c r="Q744" s="15"/>
      <c r="R744" s="15"/>
      <c r="S744" s="15"/>
      <c r="T744" s="15"/>
      <c r="U744" s="15"/>
      <c r="V744" s="15"/>
      <c r="W744" s="15"/>
      <c r="X744" s="15"/>
      <c r="Y744" s="15"/>
      <c r="Z744" s="15"/>
      <c r="AA744" s="15"/>
      <c r="AB744" s="15"/>
      <c r="AC744" s="15"/>
      <c r="AD744" s="15"/>
      <c r="AE744" s="15"/>
      <c r="AF744" s="15"/>
    </row>
    <row r="745" ht="15.75" customHeight="1">
      <c r="A745" s="15"/>
      <c r="B745" s="15"/>
      <c r="C745" s="21"/>
      <c r="D745" s="15"/>
      <c r="E745" s="15"/>
      <c r="F745" s="15"/>
      <c r="G745" s="15"/>
      <c r="H745" s="15"/>
      <c r="I745" s="11"/>
      <c r="J745" s="11"/>
      <c r="K745" s="11"/>
      <c r="L745" s="11"/>
      <c r="M745" s="15"/>
      <c r="N745" s="15"/>
      <c r="O745" s="15"/>
      <c r="P745" s="15"/>
      <c r="Q745" s="15"/>
      <c r="R745" s="15"/>
      <c r="S745" s="15"/>
      <c r="T745" s="15"/>
      <c r="U745" s="15"/>
      <c r="V745" s="15"/>
      <c r="W745" s="15"/>
      <c r="X745" s="15"/>
      <c r="Y745" s="15"/>
      <c r="Z745" s="15"/>
      <c r="AA745" s="15"/>
      <c r="AB745" s="15"/>
      <c r="AC745" s="15"/>
      <c r="AD745" s="15"/>
      <c r="AE745" s="15"/>
      <c r="AF745" s="15"/>
    </row>
    <row r="746" ht="15.75" customHeight="1">
      <c r="A746" s="15"/>
      <c r="B746" s="15"/>
      <c r="C746" s="21"/>
      <c r="D746" s="15"/>
      <c r="E746" s="15"/>
      <c r="F746" s="15"/>
      <c r="G746" s="15"/>
      <c r="H746" s="15"/>
      <c r="I746" s="11"/>
      <c r="J746" s="11"/>
      <c r="K746" s="11"/>
      <c r="L746" s="11"/>
      <c r="M746" s="15"/>
      <c r="N746" s="15"/>
      <c r="O746" s="15"/>
      <c r="P746" s="15"/>
      <c r="Q746" s="15"/>
      <c r="R746" s="15"/>
      <c r="S746" s="15"/>
      <c r="T746" s="15"/>
      <c r="U746" s="15"/>
      <c r="V746" s="15"/>
      <c r="W746" s="15"/>
      <c r="X746" s="15"/>
      <c r="Y746" s="15"/>
      <c r="Z746" s="15"/>
      <c r="AA746" s="15"/>
      <c r="AB746" s="15"/>
      <c r="AC746" s="15"/>
      <c r="AD746" s="15"/>
      <c r="AE746" s="15"/>
      <c r="AF746" s="15"/>
    </row>
    <row r="747" ht="15.75" customHeight="1">
      <c r="A747" s="15"/>
      <c r="B747" s="15"/>
      <c r="C747" s="21"/>
      <c r="D747" s="15"/>
      <c r="E747" s="15"/>
      <c r="F747" s="15"/>
      <c r="G747" s="15"/>
      <c r="H747" s="15"/>
      <c r="I747" s="11"/>
      <c r="J747" s="11"/>
      <c r="K747" s="11"/>
      <c r="L747" s="11"/>
      <c r="M747" s="15"/>
      <c r="N747" s="15"/>
      <c r="O747" s="15"/>
      <c r="P747" s="15"/>
      <c r="Q747" s="15"/>
      <c r="R747" s="15"/>
      <c r="S747" s="15"/>
      <c r="T747" s="15"/>
      <c r="U747" s="15"/>
      <c r="V747" s="15"/>
      <c r="W747" s="15"/>
      <c r="X747" s="15"/>
      <c r="Y747" s="15"/>
      <c r="Z747" s="15"/>
      <c r="AA747" s="15"/>
      <c r="AB747" s="15"/>
      <c r="AC747" s="15"/>
      <c r="AD747" s="15"/>
      <c r="AE747" s="15"/>
      <c r="AF747" s="15"/>
    </row>
    <row r="748" ht="15.75" customHeight="1">
      <c r="A748" s="15"/>
      <c r="B748" s="15"/>
      <c r="C748" s="21"/>
      <c r="D748" s="15"/>
      <c r="E748" s="15"/>
      <c r="F748" s="15"/>
      <c r="G748" s="15"/>
      <c r="H748" s="15"/>
      <c r="I748" s="11"/>
      <c r="J748" s="11"/>
      <c r="K748" s="11"/>
      <c r="L748" s="11"/>
      <c r="M748" s="15"/>
      <c r="N748" s="15"/>
      <c r="O748" s="15"/>
      <c r="P748" s="15"/>
      <c r="Q748" s="15"/>
      <c r="R748" s="15"/>
      <c r="S748" s="15"/>
      <c r="T748" s="15"/>
      <c r="U748" s="15"/>
      <c r="V748" s="15"/>
      <c r="W748" s="15"/>
      <c r="X748" s="15"/>
      <c r="Y748" s="15"/>
      <c r="Z748" s="15"/>
      <c r="AA748" s="15"/>
      <c r="AB748" s="15"/>
      <c r="AC748" s="15"/>
      <c r="AD748" s="15"/>
      <c r="AE748" s="15"/>
      <c r="AF748" s="15"/>
    </row>
    <row r="749" ht="15.75" customHeight="1">
      <c r="A749" s="15"/>
      <c r="B749" s="15"/>
      <c r="C749" s="21"/>
      <c r="D749" s="15"/>
      <c r="E749" s="15"/>
      <c r="F749" s="15"/>
      <c r="G749" s="15"/>
      <c r="H749" s="15"/>
      <c r="I749" s="11"/>
      <c r="J749" s="11"/>
      <c r="K749" s="11"/>
      <c r="L749" s="11"/>
      <c r="M749" s="15"/>
      <c r="N749" s="15"/>
      <c r="O749" s="15"/>
      <c r="P749" s="15"/>
      <c r="Q749" s="15"/>
      <c r="R749" s="15"/>
      <c r="S749" s="15"/>
      <c r="T749" s="15"/>
      <c r="U749" s="15"/>
      <c r="V749" s="15"/>
      <c r="W749" s="15"/>
      <c r="X749" s="15"/>
      <c r="Y749" s="15"/>
      <c r="Z749" s="15"/>
      <c r="AA749" s="15"/>
      <c r="AB749" s="15"/>
      <c r="AC749" s="15"/>
      <c r="AD749" s="15"/>
      <c r="AE749" s="15"/>
      <c r="AF749" s="15"/>
    </row>
    <row r="750" ht="15.75" customHeight="1">
      <c r="A750" s="15"/>
      <c r="B750" s="15"/>
      <c r="C750" s="21"/>
      <c r="D750" s="15"/>
      <c r="E750" s="15"/>
      <c r="F750" s="15"/>
      <c r="G750" s="15"/>
      <c r="H750" s="15"/>
      <c r="I750" s="11"/>
      <c r="J750" s="11"/>
      <c r="K750" s="11"/>
      <c r="L750" s="11"/>
      <c r="M750" s="15"/>
      <c r="N750" s="15"/>
      <c r="O750" s="15"/>
      <c r="P750" s="15"/>
      <c r="Q750" s="15"/>
      <c r="R750" s="15"/>
      <c r="S750" s="15"/>
      <c r="T750" s="15"/>
      <c r="U750" s="15"/>
      <c r="V750" s="15"/>
      <c r="W750" s="15"/>
      <c r="X750" s="15"/>
      <c r="Y750" s="15"/>
      <c r="Z750" s="15"/>
      <c r="AA750" s="15"/>
      <c r="AB750" s="15"/>
      <c r="AC750" s="15"/>
      <c r="AD750" s="15"/>
      <c r="AE750" s="15"/>
      <c r="AF750" s="15"/>
    </row>
    <row r="751" ht="15.75" customHeight="1">
      <c r="A751" s="15"/>
      <c r="B751" s="15"/>
      <c r="C751" s="21"/>
      <c r="D751" s="15"/>
      <c r="E751" s="15"/>
      <c r="F751" s="15"/>
      <c r="G751" s="15"/>
      <c r="H751" s="15"/>
      <c r="I751" s="11"/>
      <c r="J751" s="11"/>
      <c r="K751" s="11"/>
      <c r="L751" s="11"/>
      <c r="M751" s="15"/>
      <c r="N751" s="15"/>
      <c r="O751" s="15"/>
      <c r="P751" s="15"/>
      <c r="Q751" s="15"/>
      <c r="R751" s="15"/>
      <c r="S751" s="15"/>
      <c r="T751" s="15"/>
      <c r="U751" s="15"/>
      <c r="V751" s="15"/>
      <c r="W751" s="15"/>
      <c r="X751" s="15"/>
      <c r="Y751" s="15"/>
      <c r="Z751" s="15"/>
      <c r="AA751" s="15"/>
      <c r="AB751" s="15"/>
      <c r="AC751" s="15"/>
      <c r="AD751" s="15"/>
      <c r="AE751" s="15"/>
      <c r="AF751" s="15"/>
    </row>
    <row r="752" ht="15.75" customHeight="1">
      <c r="A752" s="15"/>
      <c r="B752" s="15"/>
      <c r="C752" s="21"/>
      <c r="D752" s="15"/>
      <c r="E752" s="15"/>
      <c r="F752" s="15"/>
      <c r="G752" s="15"/>
      <c r="H752" s="15"/>
      <c r="I752" s="11"/>
      <c r="J752" s="11"/>
      <c r="K752" s="11"/>
      <c r="L752" s="11"/>
      <c r="M752" s="15"/>
      <c r="N752" s="15"/>
      <c r="O752" s="15"/>
      <c r="P752" s="15"/>
      <c r="Q752" s="15"/>
      <c r="R752" s="15"/>
      <c r="S752" s="15"/>
      <c r="T752" s="15"/>
      <c r="U752" s="15"/>
      <c r="V752" s="15"/>
      <c r="W752" s="15"/>
      <c r="X752" s="15"/>
      <c r="Y752" s="15"/>
      <c r="Z752" s="15"/>
      <c r="AA752" s="15"/>
      <c r="AB752" s="15"/>
      <c r="AC752" s="15"/>
      <c r="AD752" s="15"/>
      <c r="AE752" s="15"/>
      <c r="AF752" s="15"/>
    </row>
    <row r="753" ht="15.75" customHeight="1">
      <c r="A753" s="15"/>
      <c r="B753" s="15"/>
      <c r="C753" s="21"/>
      <c r="D753" s="15"/>
      <c r="E753" s="15"/>
      <c r="F753" s="15"/>
      <c r="G753" s="15"/>
      <c r="H753" s="15"/>
      <c r="I753" s="11"/>
      <c r="J753" s="11"/>
      <c r="K753" s="11"/>
      <c r="L753" s="11"/>
      <c r="M753" s="15"/>
      <c r="N753" s="15"/>
      <c r="O753" s="15"/>
      <c r="P753" s="15"/>
      <c r="Q753" s="15"/>
      <c r="R753" s="15"/>
      <c r="S753" s="15"/>
      <c r="T753" s="15"/>
      <c r="U753" s="15"/>
      <c r="V753" s="15"/>
      <c r="W753" s="15"/>
      <c r="X753" s="15"/>
      <c r="Y753" s="15"/>
      <c r="Z753" s="15"/>
      <c r="AA753" s="15"/>
      <c r="AB753" s="15"/>
      <c r="AC753" s="15"/>
      <c r="AD753" s="15"/>
      <c r="AE753" s="15"/>
      <c r="AF753" s="15"/>
    </row>
    <row r="754" ht="15.75" customHeight="1">
      <c r="A754" s="15"/>
      <c r="B754" s="15"/>
      <c r="C754" s="21"/>
      <c r="D754" s="15"/>
      <c r="E754" s="15"/>
      <c r="F754" s="15"/>
      <c r="G754" s="15"/>
      <c r="H754" s="15"/>
      <c r="I754" s="11"/>
      <c r="J754" s="11"/>
      <c r="K754" s="11"/>
      <c r="L754" s="11"/>
      <c r="M754" s="15"/>
      <c r="N754" s="15"/>
      <c r="O754" s="15"/>
      <c r="P754" s="15"/>
      <c r="Q754" s="15"/>
      <c r="R754" s="15"/>
      <c r="S754" s="15"/>
      <c r="T754" s="15"/>
      <c r="U754" s="15"/>
      <c r="V754" s="15"/>
      <c r="W754" s="15"/>
      <c r="X754" s="15"/>
      <c r="Y754" s="15"/>
      <c r="Z754" s="15"/>
      <c r="AA754" s="15"/>
      <c r="AB754" s="15"/>
      <c r="AC754" s="15"/>
      <c r="AD754" s="15"/>
      <c r="AE754" s="15"/>
      <c r="AF754" s="15"/>
    </row>
    <row r="755" ht="15.75" customHeight="1">
      <c r="A755" s="15"/>
      <c r="B755" s="15"/>
      <c r="C755" s="21"/>
      <c r="D755" s="15"/>
      <c r="E755" s="15"/>
      <c r="F755" s="15"/>
      <c r="G755" s="15"/>
      <c r="H755" s="15"/>
      <c r="I755" s="11"/>
      <c r="J755" s="11"/>
      <c r="K755" s="11"/>
      <c r="L755" s="11"/>
      <c r="M755" s="15"/>
      <c r="N755" s="15"/>
      <c r="O755" s="15"/>
      <c r="P755" s="15"/>
      <c r="Q755" s="15"/>
      <c r="R755" s="15"/>
      <c r="S755" s="15"/>
      <c r="T755" s="15"/>
      <c r="U755" s="15"/>
      <c r="V755" s="15"/>
      <c r="W755" s="15"/>
      <c r="X755" s="15"/>
      <c r="Y755" s="15"/>
      <c r="Z755" s="15"/>
      <c r="AA755" s="15"/>
      <c r="AB755" s="15"/>
      <c r="AC755" s="15"/>
      <c r="AD755" s="15"/>
      <c r="AE755" s="15"/>
      <c r="AF755" s="15"/>
    </row>
    <row r="756" ht="15.75" customHeight="1">
      <c r="A756" s="15"/>
      <c r="B756" s="15"/>
      <c r="C756" s="21"/>
      <c r="D756" s="15"/>
      <c r="E756" s="15"/>
      <c r="F756" s="15"/>
      <c r="G756" s="15"/>
      <c r="H756" s="15"/>
      <c r="I756" s="11"/>
      <c r="J756" s="11"/>
      <c r="K756" s="11"/>
      <c r="L756" s="11"/>
      <c r="M756" s="15"/>
      <c r="N756" s="15"/>
      <c r="O756" s="15"/>
      <c r="P756" s="15"/>
      <c r="Q756" s="15"/>
      <c r="R756" s="15"/>
      <c r="S756" s="15"/>
      <c r="T756" s="15"/>
      <c r="U756" s="15"/>
      <c r="V756" s="15"/>
      <c r="W756" s="15"/>
      <c r="X756" s="15"/>
      <c r="Y756" s="15"/>
      <c r="Z756" s="15"/>
      <c r="AA756" s="15"/>
      <c r="AB756" s="15"/>
      <c r="AC756" s="15"/>
      <c r="AD756" s="15"/>
      <c r="AE756" s="15"/>
      <c r="AF756" s="15"/>
    </row>
    <row r="757" ht="15.75" customHeight="1">
      <c r="A757" s="15"/>
      <c r="B757" s="15"/>
      <c r="C757" s="21"/>
      <c r="D757" s="15"/>
      <c r="E757" s="15"/>
      <c r="F757" s="15"/>
      <c r="G757" s="15"/>
      <c r="H757" s="15"/>
      <c r="I757" s="11"/>
      <c r="J757" s="11"/>
      <c r="K757" s="11"/>
      <c r="L757" s="11"/>
      <c r="M757" s="15"/>
      <c r="N757" s="15"/>
      <c r="O757" s="15"/>
      <c r="P757" s="15"/>
      <c r="Q757" s="15"/>
      <c r="R757" s="15"/>
      <c r="S757" s="15"/>
      <c r="T757" s="15"/>
      <c r="U757" s="15"/>
      <c r="V757" s="15"/>
      <c r="W757" s="15"/>
      <c r="X757" s="15"/>
      <c r="Y757" s="15"/>
      <c r="Z757" s="15"/>
      <c r="AA757" s="15"/>
      <c r="AB757" s="15"/>
      <c r="AC757" s="15"/>
      <c r="AD757" s="15"/>
      <c r="AE757" s="15"/>
      <c r="AF757" s="15"/>
    </row>
    <row r="758" ht="15.75" customHeight="1">
      <c r="A758" s="15"/>
      <c r="B758" s="15"/>
      <c r="C758" s="21"/>
      <c r="D758" s="15"/>
      <c r="E758" s="15"/>
      <c r="F758" s="15"/>
      <c r="G758" s="15"/>
      <c r="H758" s="15"/>
      <c r="I758" s="11"/>
      <c r="J758" s="11"/>
      <c r="K758" s="11"/>
      <c r="L758" s="11"/>
      <c r="M758" s="15"/>
      <c r="N758" s="15"/>
      <c r="O758" s="15"/>
      <c r="P758" s="15"/>
      <c r="Q758" s="15"/>
      <c r="R758" s="15"/>
      <c r="S758" s="15"/>
      <c r="T758" s="15"/>
      <c r="U758" s="15"/>
      <c r="V758" s="15"/>
      <c r="W758" s="15"/>
      <c r="X758" s="15"/>
      <c r="Y758" s="15"/>
      <c r="Z758" s="15"/>
      <c r="AA758" s="15"/>
      <c r="AB758" s="15"/>
      <c r="AC758" s="15"/>
      <c r="AD758" s="15"/>
      <c r="AE758" s="15"/>
      <c r="AF758" s="15"/>
    </row>
    <row r="759" ht="15.75" customHeight="1">
      <c r="A759" s="15"/>
      <c r="B759" s="15"/>
      <c r="C759" s="21"/>
      <c r="D759" s="15"/>
      <c r="E759" s="15"/>
      <c r="F759" s="15"/>
      <c r="G759" s="15"/>
      <c r="H759" s="15"/>
      <c r="I759" s="11"/>
      <c r="J759" s="11"/>
      <c r="K759" s="11"/>
      <c r="L759" s="11"/>
      <c r="M759" s="15"/>
      <c r="N759" s="15"/>
      <c r="O759" s="15"/>
      <c r="P759" s="15"/>
      <c r="Q759" s="15"/>
      <c r="R759" s="15"/>
      <c r="S759" s="15"/>
      <c r="T759" s="15"/>
      <c r="U759" s="15"/>
      <c r="V759" s="15"/>
      <c r="W759" s="15"/>
      <c r="X759" s="15"/>
      <c r="Y759" s="15"/>
      <c r="Z759" s="15"/>
      <c r="AA759" s="15"/>
      <c r="AB759" s="15"/>
      <c r="AC759" s="15"/>
      <c r="AD759" s="15"/>
      <c r="AE759" s="15"/>
      <c r="AF759" s="15"/>
    </row>
    <row r="760" ht="15.75" customHeight="1">
      <c r="A760" s="15"/>
      <c r="B760" s="15"/>
      <c r="C760" s="21"/>
      <c r="D760" s="15"/>
      <c r="E760" s="15"/>
      <c r="F760" s="15"/>
      <c r="G760" s="15"/>
      <c r="H760" s="15"/>
      <c r="I760" s="11"/>
      <c r="J760" s="11"/>
      <c r="K760" s="11"/>
      <c r="L760" s="11"/>
      <c r="M760" s="15"/>
      <c r="N760" s="15"/>
      <c r="O760" s="15"/>
      <c r="P760" s="15"/>
      <c r="Q760" s="15"/>
      <c r="R760" s="15"/>
      <c r="S760" s="15"/>
      <c r="T760" s="15"/>
      <c r="U760" s="15"/>
      <c r="V760" s="15"/>
      <c r="W760" s="15"/>
      <c r="X760" s="15"/>
      <c r="Y760" s="15"/>
      <c r="Z760" s="15"/>
      <c r="AA760" s="15"/>
      <c r="AB760" s="15"/>
      <c r="AC760" s="15"/>
      <c r="AD760" s="15"/>
      <c r="AE760" s="15"/>
      <c r="AF760" s="15"/>
    </row>
    <row r="761" ht="15.75" customHeight="1">
      <c r="A761" s="15"/>
      <c r="B761" s="15"/>
      <c r="C761" s="21"/>
      <c r="D761" s="15"/>
      <c r="E761" s="15"/>
      <c r="F761" s="15"/>
      <c r="G761" s="15"/>
      <c r="H761" s="15"/>
      <c r="I761" s="11"/>
      <c r="J761" s="11"/>
      <c r="K761" s="11"/>
      <c r="L761" s="11"/>
      <c r="M761" s="15"/>
      <c r="N761" s="15"/>
      <c r="O761" s="15"/>
      <c r="P761" s="15"/>
      <c r="Q761" s="15"/>
      <c r="R761" s="15"/>
      <c r="S761" s="15"/>
      <c r="T761" s="15"/>
      <c r="U761" s="15"/>
      <c r="V761" s="15"/>
      <c r="W761" s="15"/>
      <c r="X761" s="15"/>
      <c r="Y761" s="15"/>
      <c r="Z761" s="15"/>
      <c r="AA761" s="15"/>
      <c r="AB761" s="15"/>
      <c r="AC761" s="15"/>
      <c r="AD761" s="15"/>
      <c r="AE761" s="15"/>
      <c r="AF761" s="15"/>
    </row>
    <row r="762" ht="15.75" customHeight="1">
      <c r="A762" s="15"/>
      <c r="B762" s="15"/>
      <c r="C762" s="21"/>
      <c r="D762" s="15"/>
      <c r="E762" s="15"/>
      <c r="F762" s="15"/>
      <c r="G762" s="15"/>
      <c r="H762" s="15"/>
      <c r="I762" s="11"/>
      <c r="J762" s="11"/>
      <c r="K762" s="11"/>
      <c r="L762" s="11"/>
      <c r="M762" s="15"/>
      <c r="N762" s="15"/>
      <c r="O762" s="15"/>
      <c r="P762" s="15"/>
      <c r="Q762" s="15"/>
      <c r="R762" s="15"/>
      <c r="S762" s="15"/>
      <c r="T762" s="15"/>
      <c r="U762" s="15"/>
      <c r="V762" s="15"/>
      <c r="W762" s="15"/>
      <c r="X762" s="15"/>
      <c r="Y762" s="15"/>
      <c r="Z762" s="15"/>
      <c r="AA762" s="15"/>
      <c r="AB762" s="15"/>
      <c r="AC762" s="15"/>
      <c r="AD762" s="15"/>
      <c r="AE762" s="15"/>
      <c r="AF762" s="15"/>
    </row>
    <row r="763" ht="15.75" customHeight="1">
      <c r="A763" s="15"/>
      <c r="B763" s="15"/>
      <c r="C763" s="21"/>
      <c r="D763" s="15"/>
      <c r="E763" s="15"/>
      <c r="F763" s="15"/>
      <c r="G763" s="15"/>
      <c r="H763" s="15"/>
      <c r="I763" s="11"/>
      <c r="J763" s="11"/>
      <c r="K763" s="11"/>
      <c r="L763" s="11"/>
      <c r="M763" s="15"/>
      <c r="N763" s="15"/>
      <c r="O763" s="15"/>
      <c r="P763" s="15"/>
      <c r="Q763" s="15"/>
      <c r="R763" s="15"/>
      <c r="S763" s="15"/>
      <c r="T763" s="15"/>
      <c r="U763" s="15"/>
      <c r="V763" s="15"/>
      <c r="W763" s="15"/>
      <c r="X763" s="15"/>
      <c r="Y763" s="15"/>
      <c r="Z763" s="15"/>
      <c r="AA763" s="15"/>
      <c r="AB763" s="15"/>
      <c r="AC763" s="15"/>
      <c r="AD763" s="15"/>
      <c r="AE763" s="15"/>
      <c r="AF763" s="15"/>
    </row>
    <row r="764" ht="15.75" customHeight="1">
      <c r="A764" s="15"/>
      <c r="B764" s="15"/>
      <c r="C764" s="21"/>
      <c r="D764" s="15"/>
      <c r="E764" s="15"/>
      <c r="F764" s="15"/>
      <c r="G764" s="15"/>
      <c r="H764" s="15"/>
      <c r="I764" s="11"/>
      <c r="J764" s="11"/>
      <c r="K764" s="11"/>
      <c r="L764" s="11"/>
      <c r="M764" s="15"/>
      <c r="N764" s="15"/>
      <c r="O764" s="15"/>
      <c r="P764" s="15"/>
      <c r="Q764" s="15"/>
      <c r="R764" s="15"/>
      <c r="S764" s="15"/>
      <c r="T764" s="15"/>
      <c r="U764" s="15"/>
      <c r="V764" s="15"/>
      <c r="W764" s="15"/>
      <c r="X764" s="15"/>
      <c r="Y764" s="15"/>
      <c r="Z764" s="15"/>
      <c r="AA764" s="15"/>
      <c r="AB764" s="15"/>
      <c r="AC764" s="15"/>
      <c r="AD764" s="15"/>
      <c r="AE764" s="15"/>
      <c r="AF764" s="15"/>
    </row>
    <row r="765" ht="15.75" customHeight="1">
      <c r="A765" s="15"/>
      <c r="B765" s="15"/>
      <c r="C765" s="21"/>
      <c r="D765" s="15"/>
      <c r="E765" s="15"/>
      <c r="F765" s="15"/>
      <c r="G765" s="15"/>
      <c r="H765" s="15"/>
      <c r="I765" s="11"/>
      <c r="J765" s="11"/>
      <c r="K765" s="11"/>
      <c r="L765" s="11"/>
      <c r="M765" s="15"/>
      <c r="N765" s="15"/>
      <c r="O765" s="15"/>
      <c r="P765" s="15"/>
      <c r="Q765" s="15"/>
      <c r="R765" s="15"/>
      <c r="S765" s="15"/>
      <c r="T765" s="15"/>
      <c r="U765" s="15"/>
      <c r="V765" s="15"/>
      <c r="W765" s="15"/>
      <c r="X765" s="15"/>
      <c r="Y765" s="15"/>
      <c r="Z765" s="15"/>
      <c r="AA765" s="15"/>
      <c r="AB765" s="15"/>
      <c r="AC765" s="15"/>
      <c r="AD765" s="15"/>
      <c r="AE765" s="15"/>
      <c r="AF765" s="15"/>
    </row>
    <row r="766" ht="15.75" customHeight="1">
      <c r="A766" s="15"/>
      <c r="B766" s="15"/>
      <c r="C766" s="21"/>
      <c r="D766" s="15"/>
      <c r="E766" s="15"/>
      <c r="F766" s="15"/>
      <c r="G766" s="15"/>
      <c r="H766" s="15"/>
      <c r="I766" s="11"/>
      <c r="J766" s="11"/>
      <c r="K766" s="11"/>
      <c r="L766" s="11"/>
      <c r="M766" s="15"/>
      <c r="N766" s="15"/>
      <c r="O766" s="15"/>
      <c r="P766" s="15"/>
      <c r="Q766" s="15"/>
      <c r="R766" s="15"/>
      <c r="S766" s="15"/>
      <c r="T766" s="15"/>
      <c r="U766" s="15"/>
      <c r="V766" s="15"/>
      <c r="W766" s="15"/>
      <c r="X766" s="15"/>
      <c r="Y766" s="15"/>
      <c r="Z766" s="15"/>
      <c r="AA766" s="15"/>
      <c r="AB766" s="15"/>
      <c r="AC766" s="15"/>
      <c r="AD766" s="15"/>
      <c r="AE766" s="15"/>
      <c r="AF766" s="15"/>
    </row>
    <row r="767" ht="15.75" customHeight="1">
      <c r="A767" s="15"/>
      <c r="B767" s="15"/>
      <c r="C767" s="21"/>
      <c r="D767" s="15"/>
      <c r="E767" s="15"/>
      <c r="F767" s="15"/>
      <c r="G767" s="15"/>
      <c r="H767" s="15"/>
      <c r="I767" s="11"/>
      <c r="J767" s="11"/>
      <c r="K767" s="11"/>
      <c r="L767" s="11"/>
      <c r="M767" s="15"/>
      <c r="N767" s="15"/>
      <c r="O767" s="15"/>
      <c r="P767" s="15"/>
      <c r="Q767" s="15"/>
      <c r="R767" s="15"/>
      <c r="S767" s="15"/>
      <c r="T767" s="15"/>
      <c r="U767" s="15"/>
      <c r="V767" s="15"/>
      <c r="W767" s="15"/>
      <c r="X767" s="15"/>
      <c r="Y767" s="15"/>
      <c r="Z767" s="15"/>
      <c r="AA767" s="15"/>
      <c r="AB767" s="15"/>
      <c r="AC767" s="15"/>
      <c r="AD767" s="15"/>
      <c r="AE767" s="15"/>
      <c r="AF767" s="15"/>
    </row>
    <row r="768" ht="15.75" customHeight="1">
      <c r="A768" s="15"/>
      <c r="B768" s="15"/>
      <c r="C768" s="21"/>
      <c r="D768" s="15"/>
      <c r="E768" s="15"/>
      <c r="F768" s="15"/>
      <c r="G768" s="15"/>
      <c r="H768" s="15"/>
      <c r="I768" s="11"/>
      <c r="J768" s="11"/>
      <c r="K768" s="11"/>
      <c r="L768" s="11"/>
      <c r="M768" s="15"/>
      <c r="N768" s="15"/>
      <c r="O768" s="15"/>
      <c r="P768" s="15"/>
      <c r="Q768" s="15"/>
      <c r="R768" s="15"/>
      <c r="S768" s="15"/>
      <c r="T768" s="15"/>
      <c r="U768" s="15"/>
      <c r="V768" s="15"/>
      <c r="W768" s="15"/>
      <c r="X768" s="15"/>
      <c r="Y768" s="15"/>
      <c r="Z768" s="15"/>
      <c r="AA768" s="15"/>
      <c r="AB768" s="15"/>
      <c r="AC768" s="15"/>
      <c r="AD768" s="15"/>
      <c r="AE768" s="15"/>
      <c r="AF768" s="15"/>
    </row>
    <row r="769" ht="15.75" customHeight="1">
      <c r="A769" s="15"/>
      <c r="B769" s="15"/>
      <c r="C769" s="21"/>
      <c r="D769" s="15"/>
      <c r="E769" s="15"/>
      <c r="F769" s="15"/>
      <c r="G769" s="15"/>
      <c r="H769" s="15"/>
      <c r="I769" s="11"/>
      <c r="J769" s="11"/>
      <c r="K769" s="11"/>
      <c r="L769" s="11"/>
      <c r="M769" s="15"/>
      <c r="N769" s="15"/>
      <c r="O769" s="15"/>
      <c r="P769" s="15"/>
      <c r="Q769" s="15"/>
      <c r="R769" s="15"/>
      <c r="S769" s="15"/>
      <c r="T769" s="15"/>
      <c r="U769" s="15"/>
      <c r="V769" s="15"/>
      <c r="W769" s="15"/>
      <c r="X769" s="15"/>
      <c r="Y769" s="15"/>
      <c r="Z769" s="15"/>
      <c r="AA769" s="15"/>
      <c r="AB769" s="15"/>
      <c r="AC769" s="15"/>
      <c r="AD769" s="15"/>
      <c r="AE769" s="15"/>
      <c r="AF769" s="15"/>
    </row>
    <row r="770" ht="15.75" customHeight="1">
      <c r="A770" s="15"/>
      <c r="B770" s="15"/>
      <c r="C770" s="21"/>
      <c r="D770" s="15"/>
      <c r="E770" s="15"/>
      <c r="F770" s="15"/>
      <c r="G770" s="15"/>
      <c r="H770" s="15"/>
      <c r="I770" s="11"/>
      <c r="J770" s="11"/>
      <c r="K770" s="11"/>
      <c r="L770" s="11"/>
      <c r="M770" s="15"/>
      <c r="N770" s="15"/>
      <c r="O770" s="15"/>
      <c r="P770" s="15"/>
      <c r="Q770" s="15"/>
      <c r="R770" s="15"/>
      <c r="S770" s="15"/>
      <c r="T770" s="15"/>
      <c r="U770" s="15"/>
      <c r="V770" s="15"/>
      <c r="W770" s="15"/>
      <c r="X770" s="15"/>
      <c r="Y770" s="15"/>
      <c r="Z770" s="15"/>
      <c r="AA770" s="15"/>
      <c r="AB770" s="15"/>
      <c r="AC770" s="15"/>
      <c r="AD770" s="15"/>
      <c r="AE770" s="15"/>
      <c r="AF770" s="15"/>
    </row>
    <row r="771" ht="15.75" customHeight="1">
      <c r="A771" s="15"/>
      <c r="B771" s="15"/>
      <c r="C771" s="21"/>
      <c r="D771" s="15"/>
      <c r="E771" s="15"/>
      <c r="F771" s="15"/>
      <c r="G771" s="15"/>
      <c r="H771" s="15"/>
      <c r="I771" s="11"/>
      <c r="J771" s="11"/>
      <c r="K771" s="11"/>
      <c r="L771" s="11"/>
      <c r="M771" s="15"/>
      <c r="N771" s="15"/>
      <c r="O771" s="15"/>
      <c r="P771" s="15"/>
      <c r="Q771" s="15"/>
      <c r="R771" s="15"/>
      <c r="S771" s="15"/>
      <c r="T771" s="15"/>
      <c r="U771" s="15"/>
      <c r="V771" s="15"/>
      <c r="W771" s="15"/>
      <c r="X771" s="15"/>
      <c r="Y771" s="15"/>
      <c r="Z771" s="15"/>
      <c r="AA771" s="15"/>
      <c r="AB771" s="15"/>
      <c r="AC771" s="15"/>
      <c r="AD771" s="15"/>
      <c r="AE771" s="15"/>
      <c r="AF771" s="15"/>
    </row>
    <row r="772" ht="15.75" customHeight="1">
      <c r="A772" s="15"/>
      <c r="B772" s="15"/>
      <c r="C772" s="21"/>
      <c r="D772" s="15"/>
      <c r="E772" s="15"/>
      <c r="F772" s="15"/>
      <c r="G772" s="15"/>
      <c r="H772" s="15"/>
      <c r="I772" s="11"/>
      <c r="J772" s="11"/>
      <c r="K772" s="11"/>
      <c r="L772" s="11"/>
      <c r="M772" s="15"/>
      <c r="N772" s="15"/>
      <c r="O772" s="15"/>
      <c r="P772" s="15"/>
      <c r="Q772" s="15"/>
      <c r="R772" s="15"/>
      <c r="S772" s="15"/>
      <c r="T772" s="15"/>
      <c r="U772" s="15"/>
      <c r="V772" s="15"/>
      <c r="W772" s="15"/>
      <c r="X772" s="15"/>
      <c r="Y772" s="15"/>
      <c r="Z772" s="15"/>
      <c r="AA772" s="15"/>
      <c r="AB772" s="15"/>
      <c r="AC772" s="15"/>
      <c r="AD772" s="15"/>
      <c r="AE772" s="15"/>
      <c r="AF772" s="15"/>
    </row>
    <row r="773" ht="15.75" customHeight="1">
      <c r="A773" s="15"/>
      <c r="B773" s="15"/>
      <c r="C773" s="21"/>
      <c r="D773" s="15"/>
      <c r="E773" s="15"/>
      <c r="F773" s="15"/>
      <c r="G773" s="15"/>
      <c r="H773" s="15"/>
      <c r="I773" s="11"/>
      <c r="J773" s="11"/>
      <c r="K773" s="11"/>
      <c r="L773" s="11"/>
      <c r="M773" s="15"/>
      <c r="N773" s="15"/>
      <c r="O773" s="15"/>
      <c r="P773" s="15"/>
      <c r="Q773" s="15"/>
      <c r="R773" s="15"/>
      <c r="S773" s="15"/>
      <c r="T773" s="15"/>
      <c r="U773" s="15"/>
      <c r="V773" s="15"/>
      <c r="W773" s="15"/>
      <c r="X773" s="15"/>
      <c r="Y773" s="15"/>
      <c r="Z773" s="15"/>
      <c r="AA773" s="15"/>
      <c r="AB773" s="15"/>
      <c r="AC773" s="15"/>
      <c r="AD773" s="15"/>
      <c r="AE773" s="15"/>
      <c r="AF773" s="15"/>
    </row>
    <row r="774" ht="15.75" customHeight="1">
      <c r="A774" s="15"/>
      <c r="B774" s="15"/>
      <c r="C774" s="21"/>
      <c r="D774" s="15"/>
      <c r="E774" s="15"/>
      <c r="F774" s="15"/>
      <c r="G774" s="15"/>
      <c r="H774" s="15"/>
      <c r="I774" s="11"/>
      <c r="J774" s="11"/>
      <c r="K774" s="11"/>
      <c r="L774" s="11"/>
      <c r="M774" s="15"/>
      <c r="N774" s="15"/>
      <c r="O774" s="15"/>
      <c r="P774" s="15"/>
      <c r="Q774" s="15"/>
      <c r="R774" s="15"/>
      <c r="S774" s="15"/>
      <c r="T774" s="15"/>
      <c r="U774" s="15"/>
      <c r="V774" s="15"/>
      <c r="W774" s="15"/>
      <c r="X774" s="15"/>
      <c r="Y774" s="15"/>
      <c r="Z774" s="15"/>
      <c r="AA774" s="15"/>
      <c r="AB774" s="15"/>
      <c r="AC774" s="15"/>
      <c r="AD774" s="15"/>
      <c r="AE774" s="15"/>
      <c r="AF774" s="15"/>
    </row>
    <row r="775" ht="15.75" customHeight="1">
      <c r="A775" s="15"/>
      <c r="B775" s="15"/>
      <c r="C775" s="21"/>
      <c r="D775" s="15"/>
      <c r="E775" s="15"/>
      <c r="F775" s="15"/>
      <c r="G775" s="15"/>
      <c r="H775" s="15"/>
      <c r="I775" s="11"/>
      <c r="J775" s="11"/>
      <c r="K775" s="11"/>
      <c r="L775" s="11"/>
      <c r="M775" s="15"/>
      <c r="N775" s="15"/>
      <c r="O775" s="15"/>
      <c r="P775" s="15"/>
      <c r="Q775" s="15"/>
      <c r="R775" s="15"/>
      <c r="S775" s="15"/>
      <c r="T775" s="15"/>
      <c r="U775" s="15"/>
      <c r="V775" s="15"/>
      <c r="W775" s="15"/>
      <c r="X775" s="15"/>
      <c r="Y775" s="15"/>
      <c r="Z775" s="15"/>
      <c r="AA775" s="15"/>
      <c r="AB775" s="15"/>
      <c r="AC775" s="15"/>
      <c r="AD775" s="15"/>
      <c r="AE775" s="15"/>
      <c r="AF775" s="15"/>
    </row>
    <row r="776" ht="15.75" customHeight="1">
      <c r="A776" s="15"/>
      <c r="B776" s="15"/>
      <c r="C776" s="21"/>
      <c r="D776" s="15"/>
      <c r="E776" s="15"/>
      <c r="F776" s="15"/>
      <c r="G776" s="15"/>
      <c r="H776" s="15"/>
      <c r="I776" s="11"/>
      <c r="J776" s="11"/>
      <c r="K776" s="11"/>
      <c r="L776" s="11"/>
      <c r="M776" s="15"/>
      <c r="N776" s="15"/>
      <c r="O776" s="15"/>
      <c r="P776" s="15"/>
      <c r="Q776" s="15"/>
      <c r="R776" s="15"/>
      <c r="S776" s="15"/>
      <c r="T776" s="15"/>
      <c r="U776" s="15"/>
      <c r="V776" s="15"/>
      <c r="W776" s="15"/>
      <c r="X776" s="15"/>
      <c r="Y776" s="15"/>
      <c r="Z776" s="15"/>
      <c r="AA776" s="15"/>
      <c r="AB776" s="15"/>
      <c r="AC776" s="15"/>
      <c r="AD776" s="15"/>
      <c r="AE776" s="15"/>
      <c r="AF776" s="15"/>
    </row>
    <row r="777" ht="15.75" customHeight="1">
      <c r="A777" s="15"/>
      <c r="B777" s="15"/>
      <c r="C777" s="21"/>
      <c r="D777" s="15"/>
      <c r="E777" s="15"/>
      <c r="F777" s="15"/>
      <c r="G777" s="15"/>
      <c r="H777" s="15"/>
      <c r="I777" s="11"/>
      <c r="J777" s="11"/>
      <c r="K777" s="11"/>
      <c r="L777" s="11"/>
      <c r="M777" s="15"/>
      <c r="N777" s="15"/>
      <c r="O777" s="15"/>
      <c r="P777" s="15"/>
      <c r="Q777" s="15"/>
      <c r="R777" s="15"/>
      <c r="S777" s="15"/>
      <c r="T777" s="15"/>
      <c r="U777" s="15"/>
      <c r="V777" s="15"/>
      <c r="W777" s="15"/>
      <c r="X777" s="15"/>
      <c r="Y777" s="15"/>
      <c r="Z777" s="15"/>
      <c r="AA777" s="15"/>
      <c r="AB777" s="15"/>
      <c r="AC777" s="15"/>
      <c r="AD777" s="15"/>
      <c r="AE777" s="15"/>
      <c r="AF777" s="15"/>
    </row>
    <row r="778" ht="15.75" customHeight="1">
      <c r="A778" s="15"/>
      <c r="B778" s="15"/>
      <c r="C778" s="21"/>
      <c r="D778" s="15"/>
      <c r="E778" s="15"/>
      <c r="F778" s="15"/>
      <c r="G778" s="15"/>
      <c r="H778" s="15"/>
      <c r="I778" s="11"/>
      <c r="J778" s="11"/>
      <c r="K778" s="11"/>
      <c r="L778" s="11"/>
      <c r="M778" s="15"/>
      <c r="N778" s="15"/>
      <c r="O778" s="15"/>
      <c r="P778" s="15"/>
      <c r="Q778" s="15"/>
      <c r="R778" s="15"/>
      <c r="S778" s="15"/>
      <c r="T778" s="15"/>
      <c r="U778" s="15"/>
      <c r="V778" s="15"/>
      <c r="W778" s="15"/>
      <c r="X778" s="15"/>
      <c r="Y778" s="15"/>
      <c r="Z778" s="15"/>
      <c r="AA778" s="15"/>
      <c r="AB778" s="15"/>
      <c r="AC778" s="15"/>
      <c r="AD778" s="15"/>
      <c r="AE778" s="15"/>
      <c r="AF778" s="15"/>
    </row>
    <row r="779" ht="15.75" customHeight="1">
      <c r="A779" s="15"/>
      <c r="B779" s="15"/>
      <c r="C779" s="21"/>
      <c r="D779" s="15"/>
      <c r="E779" s="15"/>
      <c r="F779" s="15"/>
      <c r="G779" s="15"/>
      <c r="H779" s="15"/>
      <c r="I779" s="11"/>
      <c r="J779" s="11"/>
      <c r="K779" s="11"/>
      <c r="L779" s="11"/>
      <c r="M779" s="15"/>
      <c r="N779" s="15"/>
      <c r="O779" s="15"/>
      <c r="P779" s="15"/>
      <c r="Q779" s="15"/>
      <c r="R779" s="15"/>
      <c r="S779" s="15"/>
      <c r="T779" s="15"/>
      <c r="U779" s="15"/>
      <c r="V779" s="15"/>
      <c r="W779" s="15"/>
      <c r="X779" s="15"/>
      <c r="Y779" s="15"/>
      <c r="Z779" s="15"/>
      <c r="AA779" s="15"/>
      <c r="AB779" s="15"/>
      <c r="AC779" s="15"/>
      <c r="AD779" s="15"/>
      <c r="AE779" s="15"/>
      <c r="AF779" s="15"/>
    </row>
    <row r="780" ht="15.75" customHeight="1">
      <c r="A780" s="15"/>
      <c r="B780" s="15"/>
      <c r="C780" s="21"/>
      <c r="D780" s="15"/>
      <c r="E780" s="15"/>
      <c r="F780" s="15"/>
      <c r="G780" s="15"/>
      <c r="H780" s="15"/>
      <c r="I780" s="11"/>
      <c r="J780" s="11"/>
      <c r="K780" s="11"/>
      <c r="L780" s="11"/>
      <c r="M780" s="15"/>
      <c r="N780" s="15"/>
      <c r="O780" s="15"/>
      <c r="P780" s="15"/>
      <c r="Q780" s="15"/>
      <c r="R780" s="15"/>
      <c r="S780" s="15"/>
      <c r="T780" s="15"/>
      <c r="U780" s="15"/>
      <c r="V780" s="15"/>
      <c r="W780" s="15"/>
      <c r="X780" s="15"/>
      <c r="Y780" s="15"/>
      <c r="Z780" s="15"/>
      <c r="AA780" s="15"/>
      <c r="AB780" s="15"/>
      <c r="AC780" s="15"/>
      <c r="AD780" s="15"/>
      <c r="AE780" s="15"/>
      <c r="AF780" s="15"/>
    </row>
    <row r="781" ht="15.75" customHeight="1">
      <c r="A781" s="15"/>
      <c r="B781" s="15"/>
      <c r="C781" s="21"/>
      <c r="D781" s="15"/>
      <c r="E781" s="15"/>
      <c r="F781" s="15"/>
      <c r="G781" s="15"/>
      <c r="H781" s="15"/>
      <c r="I781" s="11"/>
      <c r="J781" s="11"/>
      <c r="K781" s="11"/>
      <c r="L781" s="11"/>
      <c r="M781" s="15"/>
      <c r="N781" s="15"/>
      <c r="O781" s="15"/>
      <c r="P781" s="15"/>
      <c r="Q781" s="15"/>
      <c r="R781" s="15"/>
      <c r="S781" s="15"/>
      <c r="T781" s="15"/>
      <c r="U781" s="15"/>
      <c r="V781" s="15"/>
      <c r="W781" s="15"/>
      <c r="X781" s="15"/>
      <c r="Y781" s="15"/>
      <c r="Z781" s="15"/>
      <c r="AA781" s="15"/>
      <c r="AB781" s="15"/>
      <c r="AC781" s="15"/>
      <c r="AD781" s="15"/>
      <c r="AE781" s="15"/>
      <c r="AF781" s="15"/>
    </row>
    <row r="782" ht="15.75" customHeight="1">
      <c r="A782" s="15"/>
      <c r="B782" s="15"/>
      <c r="C782" s="21"/>
      <c r="D782" s="15"/>
      <c r="E782" s="15"/>
      <c r="F782" s="15"/>
      <c r="G782" s="15"/>
      <c r="H782" s="15"/>
      <c r="I782" s="11"/>
      <c r="J782" s="11"/>
      <c r="K782" s="11"/>
      <c r="L782" s="11"/>
      <c r="M782" s="15"/>
      <c r="N782" s="15"/>
      <c r="O782" s="15"/>
      <c r="P782" s="15"/>
      <c r="Q782" s="15"/>
      <c r="R782" s="15"/>
      <c r="S782" s="15"/>
      <c r="T782" s="15"/>
      <c r="U782" s="15"/>
      <c r="V782" s="15"/>
      <c r="W782" s="15"/>
      <c r="X782" s="15"/>
      <c r="Y782" s="15"/>
      <c r="Z782" s="15"/>
      <c r="AA782" s="15"/>
      <c r="AB782" s="15"/>
      <c r="AC782" s="15"/>
      <c r="AD782" s="15"/>
      <c r="AE782" s="15"/>
      <c r="AF782" s="15"/>
    </row>
    <row r="783" ht="15.75" customHeight="1">
      <c r="A783" s="15"/>
      <c r="B783" s="15"/>
      <c r="C783" s="21"/>
      <c r="D783" s="15"/>
      <c r="E783" s="15"/>
      <c r="F783" s="15"/>
      <c r="G783" s="15"/>
      <c r="H783" s="15"/>
      <c r="I783" s="11"/>
      <c r="J783" s="11"/>
      <c r="K783" s="11"/>
      <c r="L783" s="11"/>
      <c r="M783" s="15"/>
      <c r="N783" s="15"/>
      <c r="O783" s="15"/>
      <c r="P783" s="15"/>
      <c r="Q783" s="15"/>
      <c r="R783" s="15"/>
      <c r="S783" s="15"/>
      <c r="T783" s="15"/>
      <c r="U783" s="15"/>
      <c r="V783" s="15"/>
      <c r="W783" s="15"/>
      <c r="X783" s="15"/>
      <c r="Y783" s="15"/>
      <c r="Z783" s="15"/>
      <c r="AA783" s="15"/>
      <c r="AB783" s="15"/>
      <c r="AC783" s="15"/>
      <c r="AD783" s="15"/>
      <c r="AE783" s="15"/>
      <c r="AF783" s="15"/>
    </row>
    <row r="784" ht="15.75" customHeight="1">
      <c r="A784" s="15"/>
      <c r="B784" s="15"/>
      <c r="C784" s="21"/>
      <c r="D784" s="15"/>
      <c r="E784" s="15"/>
      <c r="F784" s="15"/>
      <c r="G784" s="15"/>
      <c r="H784" s="15"/>
      <c r="I784" s="11"/>
      <c r="J784" s="11"/>
      <c r="K784" s="11"/>
      <c r="L784" s="11"/>
      <c r="M784" s="15"/>
      <c r="N784" s="15"/>
      <c r="O784" s="15"/>
      <c r="P784" s="15"/>
      <c r="Q784" s="15"/>
      <c r="R784" s="15"/>
      <c r="S784" s="15"/>
      <c r="T784" s="15"/>
      <c r="U784" s="15"/>
      <c r="V784" s="15"/>
      <c r="W784" s="15"/>
      <c r="X784" s="15"/>
      <c r="Y784" s="15"/>
      <c r="Z784" s="15"/>
      <c r="AA784" s="15"/>
      <c r="AB784" s="15"/>
      <c r="AC784" s="15"/>
      <c r="AD784" s="15"/>
      <c r="AE784" s="15"/>
      <c r="AF784" s="15"/>
    </row>
    <row r="785" ht="15.75" customHeight="1">
      <c r="A785" s="15"/>
      <c r="B785" s="15"/>
      <c r="C785" s="21"/>
      <c r="D785" s="15"/>
      <c r="E785" s="15"/>
      <c r="F785" s="15"/>
      <c r="G785" s="15"/>
      <c r="H785" s="15"/>
      <c r="I785" s="11"/>
      <c r="J785" s="11"/>
      <c r="K785" s="11"/>
      <c r="L785" s="11"/>
      <c r="M785" s="15"/>
      <c r="N785" s="15"/>
      <c r="O785" s="15"/>
      <c r="P785" s="15"/>
      <c r="Q785" s="15"/>
      <c r="R785" s="15"/>
      <c r="S785" s="15"/>
      <c r="T785" s="15"/>
      <c r="U785" s="15"/>
      <c r="V785" s="15"/>
      <c r="W785" s="15"/>
      <c r="X785" s="15"/>
      <c r="Y785" s="15"/>
      <c r="Z785" s="15"/>
      <c r="AA785" s="15"/>
      <c r="AB785" s="15"/>
      <c r="AC785" s="15"/>
      <c r="AD785" s="15"/>
      <c r="AE785" s="15"/>
      <c r="AF785" s="15"/>
    </row>
    <row r="786" ht="15.75" customHeight="1">
      <c r="A786" s="15"/>
      <c r="B786" s="15"/>
      <c r="C786" s="21"/>
      <c r="D786" s="15"/>
      <c r="E786" s="15"/>
      <c r="F786" s="15"/>
      <c r="G786" s="15"/>
      <c r="H786" s="15"/>
      <c r="I786" s="11"/>
      <c r="J786" s="11"/>
      <c r="K786" s="11"/>
      <c r="L786" s="11"/>
      <c r="M786" s="15"/>
      <c r="N786" s="15"/>
      <c r="O786" s="15"/>
      <c r="P786" s="15"/>
      <c r="Q786" s="15"/>
      <c r="R786" s="15"/>
      <c r="S786" s="15"/>
      <c r="T786" s="15"/>
      <c r="U786" s="15"/>
      <c r="V786" s="15"/>
      <c r="W786" s="15"/>
      <c r="X786" s="15"/>
      <c r="Y786" s="15"/>
      <c r="Z786" s="15"/>
      <c r="AA786" s="15"/>
      <c r="AB786" s="15"/>
      <c r="AC786" s="15"/>
      <c r="AD786" s="15"/>
      <c r="AE786" s="15"/>
      <c r="AF786" s="15"/>
    </row>
    <row r="787" ht="15.75" customHeight="1">
      <c r="A787" s="15"/>
      <c r="B787" s="15"/>
      <c r="C787" s="21"/>
      <c r="D787" s="15"/>
      <c r="E787" s="15"/>
      <c r="F787" s="15"/>
      <c r="G787" s="15"/>
      <c r="H787" s="15"/>
      <c r="I787" s="11"/>
      <c r="J787" s="11"/>
      <c r="K787" s="11"/>
      <c r="L787" s="11"/>
      <c r="M787" s="15"/>
      <c r="N787" s="15"/>
      <c r="O787" s="15"/>
      <c r="P787" s="15"/>
      <c r="Q787" s="15"/>
      <c r="R787" s="15"/>
      <c r="S787" s="15"/>
      <c r="T787" s="15"/>
      <c r="U787" s="15"/>
      <c r="V787" s="15"/>
      <c r="W787" s="15"/>
      <c r="X787" s="15"/>
      <c r="Y787" s="15"/>
      <c r="Z787" s="15"/>
      <c r="AA787" s="15"/>
      <c r="AB787" s="15"/>
      <c r="AC787" s="15"/>
      <c r="AD787" s="15"/>
      <c r="AE787" s="15"/>
      <c r="AF787" s="15"/>
    </row>
    <row r="788" ht="15.75" customHeight="1">
      <c r="A788" s="15"/>
      <c r="B788" s="15"/>
      <c r="C788" s="21"/>
      <c r="D788" s="15"/>
      <c r="E788" s="15"/>
      <c r="F788" s="15"/>
      <c r="G788" s="15"/>
      <c r="H788" s="15"/>
      <c r="I788" s="11"/>
      <c r="J788" s="11"/>
      <c r="K788" s="11"/>
      <c r="L788" s="11"/>
      <c r="M788" s="15"/>
      <c r="N788" s="15"/>
      <c r="O788" s="15"/>
      <c r="P788" s="15"/>
      <c r="Q788" s="15"/>
      <c r="R788" s="15"/>
      <c r="S788" s="15"/>
      <c r="T788" s="15"/>
      <c r="U788" s="15"/>
      <c r="V788" s="15"/>
      <c r="W788" s="15"/>
      <c r="X788" s="15"/>
      <c r="Y788" s="15"/>
      <c r="Z788" s="15"/>
      <c r="AA788" s="15"/>
      <c r="AB788" s="15"/>
      <c r="AC788" s="15"/>
      <c r="AD788" s="15"/>
      <c r="AE788" s="15"/>
      <c r="AF788" s="15"/>
    </row>
    <row r="789" ht="15.75" customHeight="1">
      <c r="A789" s="15"/>
      <c r="B789" s="15"/>
      <c r="C789" s="21"/>
      <c r="D789" s="15"/>
      <c r="E789" s="15"/>
      <c r="F789" s="15"/>
      <c r="G789" s="15"/>
      <c r="H789" s="15"/>
      <c r="I789" s="11"/>
      <c r="J789" s="11"/>
      <c r="K789" s="11"/>
      <c r="L789" s="11"/>
      <c r="M789" s="15"/>
      <c r="N789" s="15"/>
      <c r="O789" s="15"/>
      <c r="P789" s="15"/>
      <c r="Q789" s="15"/>
      <c r="R789" s="15"/>
      <c r="S789" s="15"/>
      <c r="T789" s="15"/>
      <c r="U789" s="15"/>
      <c r="V789" s="15"/>
      <c r="W789" s="15"/>
      <c r="X789" s="15"/>
      <c r="Y789" s="15"/>
      <c r="Z789" s="15"/>
      <c r="AA789" s="15"/>
      <c r="AB789" s="15"/>
      <c r="AC789" s="15"/>
      <c r="AD789" s="15"/>
      <c r="AE789" s="15"/>
      <c r="AF789" s="15"/>
    </row>
    <row r="790" ht="15.75" customHeight="1">
      <c r="A790" s="15"/>
      <c r="B790" s="15"/>
      <c r="C790" s="21"/>
      <c r="D790" s="15"/>
      <c r="E790" s="15"/>
      <c r="F790" s="15"/>
      <c r="G790" s="15"/>
      <c r="H790" s="15"/>
      <c r="I790" s="11"/>
      <c r="J790" s="11"/>
      <c r="K790" s="11"/>
      <c r="L790" s="11"/>
      <c r="M790" s="15"/>
      <c r="N790" s="15"/>
      <c r="O790" s="15"/>
      <c r="P790" s="15"/>
      <c r="Q790" s="15"/>
      <c r="R790" s="15"/>
      <c r="S790" s="15"/>
      <c r="T790" s="15"/>
      <c r="U790" s="15"/>
      <c r="V790" s="15"/>
      <c r="W790" s="15"/>
      <c r="X790" s="15"/>
      <c r="Y790" s="15"/>
      <c r="Z790" s="15"/>
      <c r="AA790" s="15"/>
      <c r="AB790" s="15"/>
      <c r="AC790" s="15"/>
      <c r="AD790" s="15"/>
      <c r="AE790" s="15"/>
      <c r="AF790" s="15"/>
    </row>
    <row r="791" ht="15.75" customHeight="1">
      <c r="A791" s="15"/>
      <c r="B791" s="15"/>
      <c r="C791" s="21"/>
      <c r="D791" s="15"/>
      <c r="E791" s="15"/>
      <c r="F791" s="15"/>
      <c r="G791" s="15"/>
      <c r="H791" s="15"/>
      <c r="I791" s="11"/>
      <c r="J791" s="11"/>
      <c r="K791" s="11"/>
      <c r="L791" s="11"/>
      <c r="M791" s="15"/>
      <c r="N791" s="15"/>
      <c r="O791" s="15"/>
      <c r="P791" s="15"/>
      <c r="Q791" s="15"/>
      <c r="R791" s="15"/>
      <c r="S791" s="15"/>
      <c r="T791" s="15"/>
      <c r="U791" s="15"/>
      <c r="V791" s="15"/>
      <c r="W791" s="15"/>
      <c r="X791" s="15"/>
      <c r="Y791" s="15"/>
      <c r="Z791" s="15"/>
      <c r="AA791" s="15"/>
      <c r="AB791" s="15"/>
      <c r="AC791" s="15"/>
      <c r="AD791" s="15"/>
      <c r="AE791" s="15"/>
      <c r="AF791" s="15"/>
    </row>
    <row r="792" ht="15.75" customHeight="1">
      <c r="A792" s="15"/>
      <c r="B792" s="15"/>
      <c r="C792" s="21"/>
      <c r="D792" s="15"/>
      <c r="E792" s="15"/>
      <c r="F792" s="15"/>
      <c r="G792" s="15"/>
      <c r="H792" s="15"/>
      <c r="I792" s="11"/>
      <c r="J792" s="11"/>
      <c r="K792" s="11"/>
      <c r="L792" s="11"/>
      <c r="M792" s="15"/>
      <c r="N792" s="15"/>
      <c r="O792" s="15"/>
      <c r="P792" s="15"/>
      <c r="Q792" s="15"/>
      <c r="R792" s="15"/>
      <c r="S792" s="15"/>
      <c r="T792" s="15"/>
      <c r="U792" s="15"/>
      <c r="V792" s="15"/>
      <c r="W792" s="15"/>
      <c r="X792" s="15"/>
      <c r="Y792" s="15"/>
      <c r="Z792" s="15"/>
      <c r="AA792" s="15"/>
      <c r="AB792" s="15"/>
      <c r="AC792" s="15"/>
      <c r="AD792" s="15"/>
      <c r="AE792" s="15"/>
      <c r="AF792" s="15"/>
    </row>
    <row r="793" ht="15.75" customHeight="1">
      <c r="A793" s="15"/>
      <c r="B793" s="15"/>
      <c r="C793" s="21"/>
      <c r="D793" s="15"/>
      <c r="E793" s="15"/>
      <c r="F793" s="15"/>
      <c r="G793" s="15"/>
      <c r="H793" s="15"/>
      <c r="I793" s="11"/>
      <c r="J793" s="11"/>
      <c r="K793" s="11"/>
      <c r="L793" s="11"/>
      <c r="M793" s="15"/>
      <c r="N793" s="15"/>
      <c r="O793" s="15"/>
      <c r="P793" s="15"/>
      <c r="Q793" s="15"/>
      <c r="R793" s="15"/>
      <c r="S793" s="15"/>
      <c r="T793" s="15"/>
      <c r="U793" s="15"/>
      <c r="V793" s="15"/>
      <c r="W793" s="15"/>
      <c r="X793" s="15"/>
      <c r="Y793" s="15"/>
      <c r="Z793" s="15"/>
      <c r="AA793" s="15"/>
      <c r="AB793" s="15"/>
      <c r="AC793" s="15"/>
      <c r="AD793" s="15"/>
      <c r="AE793" s="15"/>
      <c r="AF793" s="15"/>
    </row>
    <row r="794" ht="15.75" customHeight="1">
      <c r="A794" s="15"/>
      <c r="B794" s="15"/>
      <c r="C794" s="21"/>
      <c r="D794" s="15"/>
      <c r="E794" s="15"/>
      <c r="F794" s="15"/>
      <c r="G794" s="15"/>
      <c r="H794" s="15"/>
      <c r="I794" s="11"/>
      <c r="J794" s="11"/>
      <c r="K794" s="11"/>
      <c r="L794" s="11"/>
      <c r="M794" s="15"/>
      <c r="N794" s="15"/>
      <c r="O794" s="15"/>
      <c r="P794" s="15"/>
      <c r="Q794" s="15"/>
      <c r="R794" s="15"/>
      <c r="S794" s="15"/>
      <c r="T794" s="15"/>
      <c r="U794" s="15"/>
      <c r="V794" s="15"/>
      <c r="W794" s="15"/>
      <c r="X794" s="15"/>
      <c r="Y794" s="15"/>
      <c r="Z794" s="15"/>
      <c r="AA794" s="15"/>
      <c r="AB794" s="15"/>
      <c r="AC794" s="15"/>
      <c r="AD794" s="15"/>
      <c r="AE794" s="15"/>
      <c r="AF794" s="15"/>
    </row>
    <row r="795" ht="15.75" customHeight="1">
      <c r="A795" s="15"/>
      <c r="B795" s="15"/>
      <c r="C795" s="21"/>
      <c r="D795" s="15"/>
      <c r="E795" s="15"/>
      <c r="F795" s="15"/>
      <c r="G795" s="15"/>
      <c r="H795" s="15"/>
      <c r="I795" s="11"/>
      <c r="J795" s="11"/>
      <c r="K795" s="11"/>
      <c r="L795" s="11"/>
      <c r="M795" s="15"/>
      <c r="N795" s="15"/>
      <c r="O795" s="15"/>
      <c r="P795" s="15"/>
      <c r="Q795" s="15"/>
      <c r="R795" s="15"/>
      <c r="S795" s="15"/>
      <c r="T795" s="15"/>
      <c r="U795" s="15"/>
      <c r="V795" s="15"/>
      <c r="W795" s="15"/>
      <c r="X795" s="15"/>
      <c r="Y795" s="15"/>
      <c r="Z795" s="15"/>
      <c r="AA795" s="15"/>
      <c r="AB795" s="15"/>
      <c r="AC795" s="15"/>
      <c r="AD795" s="15"/>
      <c r="AE795" s="15"/>
      <c r="AF795" s="15"/>
    </row>
    <row r="796" ht="15.75" customHeight="1">
      <c r="A796" s="15"/>
      <c r="B796" s="15"/>
      <c r="C796" s="21"/>
      <c r="D796" s="15"/>
      <c r="E796" s="15"/>
      <c r="F796" s="15"/>
      <c r="G796" s="15"/>
      <c r="H796" s="15"/>
      <c r="I796" s="11"/>
      <c r="J796" s="11"/>
      <c r="K796" s="11"/>
      <c r="L796" s="11"/>
      <c r="M796" s="15"/>
      <c r="N796" s="15"/>
      <c r="O796" s="15"/>
      <c r="P796" s="15"/>
      <c r="Q796" s="15"/>
      <c r="R796" s="15"/>
      <c r="S796" s="15"/>
      <c r="T796" s="15"/>
      <c r="U796" s="15"/>
      <c r="V796" s="15"/>
      <c r="W796" s="15"/>
      <c r="X796" s="15"/>
      <c r="Y796" s="15"/>
      <c r="Z796" s="15"/>
      <c r="AA796" s="15"/>
      <c r="AB796" s="15"/>
      <c r="AC796" s="15"/>
      <c r="AD796" s="15"/>
      <c r="AE796" s="15"/>
      <c r="AF796" s="15"/>
    </row>
    <row r="797" ht="15.75" customHeight="1">
      <c r="A797" s="15"/>
      <c r="B797" s="15"/>
      <c r="C797" s="21"/>
      <c r="D797" s="15"/>
      <c r="E797" s="15"/>
      <c r="F797" s="15"/>
      <c r="G797" s="15"/>
      <c r="H797" s="15"/>
      <c r="I797" s="11"/>
      <c r="J797" s="11"/>
      <c r="K797" s="11"/>
      <c r="L797" s="11"/>
      <c r="M797" s="15"/>
      <c r="N797" s="15"/>
      <c r="O797" s="15"/>
      <c r="P797" s="15"/>
      <c r="Q797" s="15"/>
      <c r="R797" s="15"/>
      <c r="S797" s="15"/>
      <c r="T797" s="15"/>
      <c r="U797" s="15"/>
      <c r="V797" s="15"/>
      <c r="W797" s="15"/>
      <c r="X797" s="15"/>
      <c r="Y797" s="15"/>
      <c r="Z797" s="15"/>
      <c r="AA797" s="15"/>
      <c r="AB797" s="15"/>
      <c r="AC797" s="15"/>
      <c r="AD797" s="15"/>
      <c r="AE797" s="15"/>
      <c r="AF797" s="15"/>
    </row>
    <row r="798" ht="15.75" customHeight="1">
      <c r="A798" s="15"/>
      <c r="B798" s="15"/>
      <c r="C798" s="21"/>
      <c r="D798" s="15"/>
      <c r="E798" s="15"/>
      <c r="F798" s="15"/>
      <c r="G798" s="15"/>
      <c r="H798" s="15"/>
      <c r="I798" s="11"/>
      <c r="J798" s="11"/>
      <c r="K798" s="11"/>
      <c r="L798" s="11"/>
      <c r="M798" s="15"/>
      <c r="N798" s="15"/>
      <c r="O798" s="15"/>
      <c r="P798" s="15"/>
      <c r="Q798" s="15"/>
      <c r="R798" s="15"/>
      <c r="S798" s="15"/>
      <c r="T798" s="15"/>
      <c r="U798" s="15"/>
      <c r="V798" s="15"/>
      <c r="W798" s="15"/>
      <c r="X798" s="15"/>
      <c r="Y798" s="15"/>
      <c r="Z798" s="15"/>
      <c r="AA798" s="15"/>
      <c r="AB798" s="15"/>
      <c r="AC798" s="15"/>
      <c r="AD798" s="15"/>
      <c r="AE798" s="15"/>
      <c r="AF798" s="15"/>
    </row>
    <row r="799" ht="15.75" customHeight="1">
      <c r="A799" s="15"/>
      <c r="B799" s="15"/>
      <c r="C799" s="21"/>
      <c r="D799" s="15"/>
      <c r="E799" s="15"/>
      <c r="F799" s="15"/>
      <c r="G799" s="15"/>
      <c r="H799" s="15"/>
      <c r="I799" s="11"/>
      <c r="J799" s="11"/>
      <c r="K799" s="11"/>
      <c r="L799" s="11"/>
      <c r="M799" s="15"/>
      <c r="N799" s="15"/>
      <c r="O799" s="15"/>
      <c r="P799" s="15"/>
      <c r="Q799" s="15"/>
      <c r="R799" s="15"/>
      <c r="S799" s="15"/>
      <c r="T799" s="15"/>
      <c r="U799" s="15"/>
      <c r="V799" s="15"/>
      <c r="W799" s="15"/>
      <c r="X799" s="15"/>
      <c r="Y799" s="15"/>
      <c r="Z799" s="15"/>
      <c r="AA799" s="15"/>
      <c r="AB799" s="15"/>
      <c r="AC799" s="15"/>
      <c r="AD799" s="15"/>
      <c r="AE799" s="15"/>
      <c r="AF799" s="15"/>
    </row>
    <row r="800" ht="15.75" customHeight="1">
      <c r="A800" s="15"/>
      <c r="B800" s="15"/>
      <c r="C800" s="21"/>
      <c r="D800" s="15"/>
      <c r="E800" s="15"/>
      <c r="F800" s="15"/>
      <c r="G800" s="15"/>
      <c r="H800" s="15"/>
      <c r="I800" s="11"/>
      <c r="J800" s="11"/>
      <c r="K800" s="11"/>
      <c r="L800" s="11"/>
      <c r="M800" s="15"/>
      <c r="N800" s="15"/>
      <c r="O800" s="15"/>
      <c r="P800" s="15"/>
      <c r="Q800" s="15"/>
      <c r="R800" s="15"/>
      <c r="S800" s="15"/>
      <c r="T800" s="15"/>
      <c r="U800" s="15"/>
      <c r="V800" s="15"/>
      <c r="W800" s="15"/>
      <c r="X800" s="15"/>
      <c r="Y800" s="15"/>
      <c r="Z800" s="15"/>
      <c r="AA800" s="15"/>
      <c r="AB800" s="15"/>
      <c r="AC800" s="15"/>
      <c r="AD800" s="15"/>
      <c r="AE800" s="15"/>
      <c r="AF800" s="15"/>
    </row>
    <row r="801" ht="15.75" customHeight="1">
      <c r="A801" s="15"/>
      <c r="B801" s="15"/>
      <c r="C801" s="21"/>
      <c r="D801" s="15"/>
      <c r="E801" s="15"/>
      <c r="F801" s="15"/>
      <c r="G801" s="15"/>
      <c r="H801" s="15"/>
      <c r="I801" s="11"/>
      <c r="J801" s="11"/>
      <c r="K801" s="11"/>
      <c r="L801" s="11"/>
      <c r="M801" s="15"/>
      <c r="N801" s="15"/>
      <c r="O801" s="15"/>
      <c r="P801" s="15"/>
      <c r="Q801" s="15"/>
      <c r="R801" s="15"/>
      <c r="S801" s="15"/>
      <c r="T801" s="15"/>
      <c r="U801" s="15"/>
      <c r="V801" s="15"/>
      <c r="W801" s="15"/>
      <c r="X801" s="15"/>
      <c r="Y801" s="15"/>
      <c r="Z801" s="15"/>
      <c r="AA801" s="15"/>
      <c r="AB801" s="15"/>
      <c r="AC801" s="15"/>
      <c r="AD801" s="15"/>
      <c r="AE801" s="15"/>
      <c r="AF801" s="15"/>
    </row>
    <row r="802" ht="15.75" customHeight="1">
      <c r="A802" s="15"/>
      <c r="B802" s="15"/>
      <c r="C802" s="21"/>
      <c r="D802" s="15"/>
      <c r="E802" s="15"/>
      <c r="F802" s="15"/>
      <c r="G802" s="15"/>
      <c r="H802" s="15"/>
      <c r="I802" s="11"/>
      <c r="J802" s="11"/>
      <c r="K802" s="11"/>
      <c r="L802" s="11"/>
      <c r="M802" s="15"/>
      <c r="N802" s="15"/>
      <c r="O802" s="15"/>
      <c r="P802" s="15"/>
      <c r="Q802" s="15"/>
      <c r="R802" s="15"/>
      <c r="S802" s="15"/>
      <c r="T802" s="15"/>
      <c r="U802" s="15"/>
      <c r="V802" s="15"/>
      <c r="W802" s="15"/>
      <c r="X802" s="15"/>
      <c r="Y802" s="15"/>
      <c r="Z802" s="15"/>
      <c r="AA802" s="15"/>
      <c r="AB802" s="15"/>
      <c r="AC802" s="15"/>
      <c r="AD802" s="15"/>
      <c r="AE802" s="15"/>
      <c r="AF802" s="15"/>
    </row>
    <row r="803" ht="15.75" customHeight="1">
      <c r="A803" s="15"/>
      <c r="B803" s="15"/>
      <c r="C803" s="21"/>
      <c r="D803" s="15"/>
      <c r="E803" s="15"/>
      <c r="F803" s="15"/>
      <c r="G803" s="15"/>
      <c r="H803" s="15"/>
      <c r="I803" s="11"/>
      <c r="J803" s="11"/>
      <c r="K803" s="11"/>
      <c r="L803" s="11"/>
      <c r="M803" s="15"/>
      <c r="N803" s="15"/>
      <c r="O803" s="15"/>
      <c r="P803" s="15"/>
      <c r="Q803" s="15"/>
      <c r="R803" s="15"/>
      <c r="S803" s="15"/>
      <c r="T803" s="15"/>
      <c r="U803" s="15"/>
      <c r="V803" s="15"/>
      <c r="W803" s="15"/>
      <c r="X803" s="15"/>
      <c r="Y803" s="15"/>
      <c r="Z803" s="15"/>
      <c r="AA803" s="15"/>
      <c r="AB803" s="15"/>
      <c r="AC803" s="15"/>
      <c r="AD803" s="15"/>
      <c r="AE803" s="15"/>
      <c r="AF803" s="15"/>
    </row>
    <row r="804" ht="15.75" customHeight="1">
      <c r="A804" s="15"/>
      <c r="B804" s="15"/>
      <c r="C804" s="21"/>
      <c r="D804" s="15"/>
      <c r="E804" s="15"/>
      <c r="F804" s="15"/>
      <c r="G804" s="15"/>
      <c r="H804" s="15"/>
      <c r="I804" s="11"/>
      <c r="J804" s="11"/>
      <c r="K804" s="11"/>
      <c r="L804" s="11"/>
      <c r="M804" s="15"/>
      <c r="N804" s="15"/>
      <c r="O804" s="15"/>
      <c r="P804" s="15"/>
      <c r="Q804" s="15"/>
      <c r="R804" s="15"/>
      <c r="S804" s="15"/>
      <c r="T804" s="15"/>
      <c r="U804" s="15"/>
      <c r="V804" s="15"/>
      <c r="W804" s="15"/>
      <c r="X804" s="15"/>
      <c r="Y804" s="15"/>
      <c r="Z804" s="15"/>
      <c r="AA804" s="15"/>
      <c r="AB804" s="15"/>
      <c r="AC804" s="15"/>
      <c r="AD804" s="15"/>
      <c r="AE804" s="15"/>
      <c r="AF804" s="15"/>
    </row>
    <row r="805" ht="15.75" customHeight="1">
      <c r="A805" s="15"/>
      <c r="B805" s="15"/>
      <c r="C805" s="21"/>
      <c r="D805" s="15"/>
      <c r="E805" s="15"/>
      <c r="F805" s="15"/>
      <c r="G805" s="15"/>
      <c r="H805" s="15"/>
      <c r="I805" s="11"/>
      <c r="J805" s="11"/>
      <c r="K805" s="11"/>
      <c r="L805" s="11"/>
      <c r="M805" s="15"/>
      <c r="N805" s="15"/>
      <c r="O805" s="15"/>
      <c r="P805" s="15"/>
      <c r="Q805" s="15"/>
      <c r="R805" s="15"/>
      <c r="S805" s="15"/>
      <c r="T805" s="15"/>
      <c r="U805" s="15"/>
      <c r="V805" s="15"/>
      <c r="W805" s="15"/>
      <c r="X805" s="15"/>
      <c r="Y805" s="15"/>
      <c r="Z805" s="15"/>
      <c r="AA805" s="15"/>
      <c r="AB805" s="15"/>
      <c r="AC805" s="15"/>
      <c r="AD805" s="15"/>
      <c r="AE805" s="15"/>
      <c r="AF805" s="15"/>
    </row>
    <row r="806" ht="15.75" customHeight="1">
      <c r="A806" s="15"/>
      <c r="B806" s="15"/>
      <c r="C806" s="21"/>
      <c r="D806" s="15"/>
      <c r="E806" s="15"/>
      <c r="F806" s="15"/>
      <c r="G806" s="15"/>
      <c r="H806" s="15"/>
      <c r="I806" s="11"/>
      <c r="J806" s="11"/>
      <c r="K806" s="11"/>
      <c r="L806" s="11"/>
      <c r="M806" s="15"/>
      <c r="N806" s="15"/>
      <c r="O806" s="15"/>
      <c r="P806" s="15"/>
      <c r="Q806" s="15"/>
      <c r="R806" s="15"/>
      <c r="S806" s="15"/>
      <c r="T806" s="15"/>
      <c r="U806" s="15"/>
      <c r="V806" s="15"/>
      <c r="W806" s="15"/>
      <c r="X806" s="15"/>
      <c r="Y806" s="15"/>
      <c r="Z806" s="15"/>
      <c r="AA806" s="15"/>
      <c r="AB806" s="15"/>
      <c r="AC806" s="15"/>
      <c r="AD806" s="15"/>
      <c r="AE806" s="15"/>
      <c r="AF806" s="15"/>
    </row>
    <row r="807" ht="15.75" customHeight="1">
      <c r="A807" s="15"/>
      <c r="B807" s="15"/>
      <c r="C807" s="21"/>
      <c r="D807" s="15"/>
      <c r="E807" s="15"/>
      <c r="F807" s="15"/>
      <c r="G807" s="15"/>
      <c r="H807" s="15"/>
      <c r="I807" s="11"/>
      <c r="J807" s="11"/>
      <c r="K807" s="11"/>
      <c r="L807" s="11"/>
      <c r="M807" s="15"/>
      <c r="N807" s="15"/>
      <c r="O807" s="15"/>
      <c r="P807" s="15"/>
      <c r="Q807" s="15"/>
      <c r="R807" s="15"/>
      <c r="S807" s="15"/>
      <c r="T807" s="15"/>
      <c r="U807" s="15"/>
      <c r="V807" s="15"/>
      <c r="W807" s="15"/>
      <c r="X807" s="15"/>
      <c r="Y807" s="15"/>
      <c r="Z807" s="15"/>
      <c r="AA807" s="15"/>
      <c r="AB807" s="15"/>
      <c r="AC807" s="15"/>
      <c r="AD807" s="15"/>
      <c r="AE807" s="15"/>
      <c r="AF807" s="15"/>
    </row>
    <row r="808" ht="15.75" customHeight="1">
      <c r="A808" s="15"/>
      <c r="B808" s="15"/>
      <c r="C808" s="21"/>
      <c r="D808" s="15"/>
      <c r="E808" s="15"/>
      <c r="F808" s="15"/>
      <c r="G808" s="15"/>
      <c r="H808" s="15"/>
      <c r="I808" s="11"/>
      <c r="J808" s="11"/>
      <c r="K808" s="11"/>
      <c r="L808" s="11"/>
      <c r="M808" s="15"/>
      <c r="N808" s="15"/>
      <c r="O808" s="15"/>
      <c r="P808" s="15"/>
      <c r="Q808" s="15"/>
      <c r="R808" s="15"/>
      <c r="S808" s="15"/>
      <c r="T808" s="15"/>
      <c r="U808" s="15"/>
      <c r="V808" s="15"/>
      <c r="W808" s="15"/>
      <c r="X808" s="15"/>
      <c r="Y808" s="15"/>
      <c r="Z808" s="15"/>
      <c r="AA808" s="15"/>
      <c r="AB808" s="15"/>
      <c r="AC808" s="15"/>
      <c r="AD808" s="15"/>
      <c r="AE808" s="15"/>
      <c r="AF808" s="15"/>
    </row>
    <row r="809" ht="15.75" customHeight="1">
      <c r="A809" s="15"/>
      <c r="B809" s="15"/>
      <c r="C809" s="21"/>
      <c r="D809" s="15"/>
      <c r="E809" s="15"/>
      <c r="F809" s="15"/>
      <c r="G809" s="15"/>
      <c r="H809" s="15"/>
      <c r="I809" s="11"/>
      <c r="J809" s="11"/>
      <c r="K809" s="11"/>
      <c r="L809" s="11"/>
      <c r="M809" s="15"/>
      <c r="N809" s="15"/>
      <c r="O809" s="15"/>
      <c r="P809" s="15"/>
      <c r="Q809" s="15"/>
      <c r="R809" s="15"/>
      <c r="S809" s="15"/>
      <c r="T809" s="15"/>
      <c r="U809" s="15"/>
      <c r="V809" s="15"/>
      <c r="W809" s="15"/>
      <c r="X809" s="15"/>
      <c r="Y809" s="15"/>
      <c r="Z809" s="15"/>
      <c r="AA809" s="15"/>
      <c r="AB809" s="15"/>
      <c r="AC809" s="15"/>
      <c r="AD809" s="15"/>
      <c r="AE809" s="15"/>
      <c r="AF809" s="15"/>
    </row>
    <row r="810" ht="15.75" customHeight="1">
      <c r="A810" s="15"/>
      <c r="B810" s="15"/>
      <c r="C810" s="21"/>
      <c r="D810" s="15"/>
      <c r="E810" s="15"/>
      <c r="F810" s="15"/>
      <c r="G810" s="15"/>
      <c r="H810" s="15"/>
      <c r="I810" s="11"/>
      <c r="J810" s="11"/>
      <c r="K810" s="11"/>
      <c r="L810" s="11"/>
      <c r="M810" s="15"/>
      <c r="N810" s="15"/>
      <c r="O810" s="15"/>
      <c r="P810" s="15"/>
      <c r="Q810" s="15"/>
      <c r="R810" s="15"/>
      <c r="S810" s="15"/>
      <c r="T810" s="15"/>
      <c r="U810" s="15"/>
      <c r="V810" s="15"/>
      <c r="W810" s="15"/>
      <c r="X810" s="15"/>
      <c r="Y810" s="15"/>
      <c r="Z810" s="15"/>
      <c r="AA810" s="15"/>
      <c r="AB810" s="15"/>
      <c r="AC810" s="15"/>
      <c r="AD810" s="15"/>
      <c r="AE810" s="15"/>
      <c r="AF810" s="15"/>
    </row>
    <row r="811" ht="15.75" customHeight="1">
      <c r="A811" s="15"/>
      <c r="B811" s="15"/>
      <c r="C811" s="21"/>
      <c r="D811" s="15"/>
      <c r="E811" s="15"/>
      <c r="F811" s="15"/>
      <c r="G811" s="15"/>
      <c r="H811" s="15"/>
      <c r="I811" s="11"/>
      <c r="J811" s="11"/>
      <c r="K811" s="11"/>
      <c r="L811" s="11"/>
      <c r="M811" s="15"/>
      <c r="N811" s="15"/>
      <c r="O811" s="15"/>
      <c r="P811" s="15"/>
      <c r="Q811" s="15"/>
      <c r="R811" s="15"/>
      <c r="S811" s="15"/>
      <c r="T811" s="15"/>
      <c r="U811" s="15"/>
      <c r="V811" s="15"/>
      <c r="W811" s="15"/>
      <c r="X811" s="15"/>
      <c r="Y811" s="15"/>
      <c r="Z811" s="15"/>
      <c r="AA811" s="15"/>
      <c r="AB811" s="15"/>
      <c r="AC811" s="15"/>
      <c r="AD811" s="15"/>
      <c r="AE811" s="15"/>
      <c r="AF811" s="15"/>
    </row>
    <row r="812" ht="15.75" customHeight="1">
      <c r="A812" s="15"/>
      <c r="B812" s="15"/>
      <c r="C812" s="21"/>
      <c r="D812" s="15"/>
      <c r="E812" s="15"/>
      <c r="F812" s="15"/>
      <c r="G812" s="15"/>
      <c r="H812" s="15"/>
      <c r="I812" s="11"/>
      <c r="J812" s="11"/>
      <c r="K812" s="11"/>
      <c r="L812" s="11"/>
      <c r="M812" s="15"/>
      <c r="N812" s="15"/>
      <c r="O812" s="15"/>
      <c r="P812" s="15"/>
      <c r="Q812" s="15"/>
      <c r="R812" s="15"/>
      <c r="S812" s="15"/>
      <c r="T812" s="15"/>
      <c r="U812" s="15"/>
      <c r="V812" s="15"/>
      <c r="W812" s="15"/>
      <c r="X812" s="15"/>
      <c r="Y812" s="15"/>
      <c r="Z812" s="15"/>
      <c r="AA812" s="15"/>
      <c r="AB812" s="15"/>
      <c r="AC812" s="15"/>
      <c r="AD812" s="15"/>
      <c r="AE812" s="15"/>
      <c r="AF812" s="15"/>
    </row>
    <row r="813" ht="15.75" customHeight="1">
      <c r="A813" s="15"/>
      <c r="B813" s="15"/>
      <c r="C813" s="21"/>
      <c r="D813" s="15"/>
      <c r="E813" s="15"/>
      <c r="F813" s="15"/>
      <c r="G813" s="15"/>
      <c r="H813" s="15"/>
      <c r="I813" s="11"/>
      <c r="J813" s="11"/>
      <c r="K813" s="11"/>
      <c r="L813" s="11"/>
      <c r="M813" s="15"/>
      <c r="N813" s="15"/>
      <c r="O813" s="15"/>
      <c r="P813" s="15"/>
      <c r="Q813" s="15"/>
      <c r="R813" s="15"/>
      <c r="S813" s="15"/>
      <c r="T813" s="15"/>
      <c r="U813" s="15"/>
      <c r="V813" s="15"/>
      <c r="W813" s="15"/>
      <c r="X813" s="15"/>
      <c r="Y813" s="15"/>
      <c r="Z813" s="15"/>
      <c r="AA813" s="15"/>
      <c r="AB813" s="15"/>
      <c r="AC813" s="15"/>
      <c r="AD813" s="15"/>
      <c r="AE813" s="15"/>
      <c r="AF813" s="15"/>
    </row>
    <row r="814" ht="15.75" customHeight="1">
      <c r="A814" s="15"/>
      <c r="B814" s="15"/>
      <c r="C814" s="21"/>
      <c r="D814" s="15"/>
      <c r="E814" s="15"/>
      <c r="F814" s="15"/>
      <c r="G814" s="15"/>
      <c r="H814" s="15"/>
      <c r="I814" s="11"/>
      <c r="J814" s="11"/>
      <c r="K814" s="11"/>
      <c r="L814" s="11"/>
      <c r="M814" s="15"/>
      <c r="N814" s="15"/>
      <c r="O814" s="15"/>
      <c r="P814" s="15"/>
      <c r="Q814" s="15"/>
      <c r="R814" s="15"/>
      <c r="S814" s="15"/>
      <c r="T814" s="15"/>
      <c r="U814" s="15"/>
      <c r="V814" s="15"/>
      <c r="W814" s="15"/>
      <c r="X814" s="15"/>
      <c r="Y814" s="15"/>
      <c r="Z814" s="15"/>
      <c r="AA814" s="15"/>
      <c r="AB814" s="15"/>
      <c r="AC814" s="15"/>
      <c r="AD814" s="15"/>
      <c r="AE814" s="15"/>
      <c r="AF814" s="15"/>
    </row>
    <row r="815" ht="15.75" customHeight="1">
      <c r="A815" s="15"/>
      <c r="B815" s="15"/>
      <c r="C815" s="21"/>
      <c r="D815" s="15"/>
      <c r="E815" s="15"/>
      <c r="F815" s="15"/>
      <c r="G815" s="15"/>
      <c r="H815" s="15"/>
      <c r="I815" s="11"/>
      <c r="J815" s="11"/>
      <c r="K815" s="11"/>
      <c r="L815" s="11"/>
      <c r="M815" s="15"/>
      <c r="N815" s="15"/>
      <c r="O815" s="15"/>
      <c r="P815" s="15"/>
      <c r="Q815" s="15"/>
      <c r="R815" s="15"/>
      <c r="S815" s="15"/>
      <c r="T815" s="15"/>
      <c r="U815" s="15"/>
      <c r="V815" s="15"/>
      <c r="W815" s="15"/>
      <c r="X815" s="15"/>
      <c r="Y815" s="15"/>
      <c r="Z815" s="15"/>
      <c r="AA815" s="15"/>
      <c r="AB815" s="15"/>
      <c r="AC815" s="15"/>
      <c r="AD815" s="15"/>
      <c r="AE815" s="15"/>
      <c r="AF815" s="15"/>
    </row>
    <row r="816" ht="15.75" customHeight="1">
      <c r="A816" s="15"/>
      <c r="B816" s="15"/>
      <c r="C816" s="21"/>
      <c r="D816" s="15"/>
      <c r="E816" s="15"/>
      <c r="F816" s="15"/>
      <c r="G816" s="15"/>
      <c r="H816" s="15"/>
      <c r="I816" s="11"/>
      <c r="J816" s="11"/>
      <c r="K816" s="11"/>
      <c r="L816" s="11"/>
      <c r="M816" s="15"/>
      <c r="N816" s="15"/>
      <c r="O816" s="15"/>
      <c r="P816" s="15"/>
      <c r="Q816" s="15"/>
      <c r="R816" s="15"/>
      <c r="S816" s="15"/>
      <c r="T816" s="15"/>
      <c r="U816" s="15"/>
      <c r="V816" s="15"/>
      <c r="W816" s="15"/>
      <c r="X816" s="15"/>
      <c r="Y816" s="15"/>
      <c r="Z816" s="15"/>
      <c r="AA816" s="15"/>
      <c r="AB816" s="15"/>
      <c r="AC816" s="15"/>
      <c r="AD816" s="15"/>
      <c r="AE816" s="15"/>
      <c r="AF816" s="15"/>
    </row>
    <row r="817" ht="15.75" customHeight="1">
      <c r="A817" s="15"/>
      <c r="B817" s="15"/>
      <c r="C817" s="21"/>
      <c r="D817" s="15"/>
      <c r="E817" s="15"/>
      <c r="F817" s="15"/>
      <c r="G817" s="15"/>
      <c r="H817" s="15"/>
      <c r="I817" s="11"/>
      <c r="J817" s="11"/>
      <c r="K817" s="11"/>
      <c r="L817" s="11"/>
      <c r="M817" s="15"/>
      <c r="N817" s="15"/>
      <c r="O817" s="15"/>
      <c r="P817" s="15"/>
      <c r="Q817" s="15"/>
      <c r="R817" s="15"/>
      <c r="S817" s="15"/>
      <c r="T817" s="15"/>
      <c r="U817" s="15"/>
      <c r="V817" s="15"/>
      <c r="W817" s="15"/>
      <c r="X817" s="15"/>
      <c r="Y817" s="15"/>
      <c r="Z817" s="15"/>
      <c r="AA817" s="15"/>
      <c r="AB817" s="15"/>
      <c r="AC817" s="15"/>
      <c r="AD817" s="15"/>
      <c r="AE817" s="15"/>
      <c r="AF817" s="15"/>
    </row>
    <row r="818" ht="15.75" customHeight="1">
      <c r="A818" s="15"/>
      <c r="B818" s="15"/>
      <c r="C818" s="21"/>
      <c r="D818" s="15"/>
      <c r="E818" s="15"/>
      <c r="F818" s="15"/>
      <c r="G818" s="15"/>
      <c r="H818" s="15"/>
      <c r="I818" s="11"/>
      <c r="J818" s="11"/>
      <c r="K818" s="11"/>
      <c r="L818" s="11"/>
      <c r="M818" s="15"/>
      <c r="N818" s="15"/>
      <c r="O818" s="15"/>
      <c r="P818" s="15"/>
      <c r="Q818" s="15"/>
      <c r="R818" s="15"/>
      <c r="S818" s="15"/>
      <c r="T818" s="15"/>
      <c r="U818" s="15"/>
      <c r="V818" s="15"/>
      <c r="W818" s="15"/>
      <c r="X818" s="15"/>
      <c r="Y818" s="15"/>
      <c r="Z818" s="15"/>
      <c r="AA818" s="15"/>
      <c r="AB818" s="15"/>
      <c r="AC818" s="15"/>
      <c r="AD818" s="15"/>
      <c r="AE818" s="15"/>
      <c r="AF818" s="15"/>
    </row>
    <row r="819" ht="15.75" customHeight="1">
      <c r="A819" s="15"/>
      <c r="B819" s="15"/>
      <c r="C819" s="21"/>
      <c r="D819" s="15"/>
      <c r="E819" s="15"/>
      <c r="F819" s="15"/>
      <c r="G819" s="15"/>
      <c r="H819" s="15"/>
      <c r="I819" s="11"/>
      <c r="J819" s="11"/>
      <c r="K819" s="11"/>
      <c r="L819" s="11"/>
      <c r="M819" s="15"/>
      <c r="N819" s="15"/>
      <c r="O819" s="15"/>
      <c r="P819" s="15"/>
      <c r="Q819" s="15"/>
      <c r="R819" s="15"/>
      <c r="S819" s="15"/>
      <c r="T819" s="15"/>
      <c r="U819" s="15"/>
      <c r="V819" s="15"/>
      <c r="W819" s="15"/>
      <c r="X819" s="15"/>
      <c r="Y819" s="15"/>
      <c r="Z819" s="15"/>
      <c r="AA819" s="15"/>
      <c r="AB819" s="15"/>
      <c r="AC819" s="15"/>
      <c r="AD819" s="15"/>
      <c r="AE819" s="15"/>
      <c r="AF819" s="15"/>
    </row>
    <row r="820" ht="15.75" customHeight="1">
      <c r="A820" s="15"/>
      <c r="B820" s="15"/>
      <c r="C820" s="21"/>
      <c r="D820" s="15"/>
      <c r="E820" s="15"/>
      <c r="F820" s="15"/>
      <c r="G820" s="15"/>
      <c r="H820" s="15"/>
      <c r="I820" s="11"/>
      <c r="J820" s="11"/>
      <c r="K820" s="11"/>
      <c r="L820" s="11"/>
      <c r="M820" s="15"/>
      <c r="N820" s="15"/>
      <c r="O820" s="15"/>
      <c r="P820" s="15"/>
      <c r="Q820" s="15"/>
      <c r="R820" s="15"/>
      <c r="S820" s="15"/>
      <c r="T820" s="15"/>
      <c r="U820" s="15"/>
      <c r="V820" s="15"/>
      <c r="W820" s="15"/>
      <c r="X820" s="15"/>
      <c r="Y820" s="15"/>
      <c r="Z820" s="15"/>
      <c r="AA820" s="15"/>
      <c r="AB820" s="15"/>
      <c r="AC820" s="15"/>
      <c r="AD820" s="15"/>
      <c r="AE820" s="15"/>
      <c r="AF820" s="15"/>
    </row>
    <row r="821" ht="15.75" customHeight="1">
      <c r="A821" s="15"/>
      <c r="B821" s="15"/>
      <c r="C821" s="21"/>
      <c r="D821" s="15"/>
      <c r="E821" s="15"/>
      <c r="F821" s="15"/>
      <c r="G821" s="15"/>
      <c r="H821" s="15"/>
      <c r="I821" s="11"/>
      <c r="J821" s="11"/>
      <c r="K821" s="11"/>
      <c r="L821" s="11"/>
      <c r="M821" s="15"/>
      <c r="N821" s="15"/>
      <c r="O821" s="15"/>
      <c r="P821" s="15"/>
      <c r="Q821" s="15"/>
      <c r="R821" s="15"/>
      <c r="S821" s="15"/>
      <c r="T821" s="15"/>
      <c r="U821" s="15"/>
      <c r="V821" s="15"/>
      <c r="W821" s="15"/>
      <c r="X821" s="15"/>
      <c r="Y821" s="15"/>
      <c r="Z821" s="15"/>
      <c r="AA821" s="15"/>
      <c r="AB821" s="15"/>
      <c r="AC821" s="15"/>
      <c r="AD821" s="15"/>
      <c r="AE821" s="15"/>
      <c r="AF821" s="15"/>
    </row>
    <row r="822" ht="15.75" customHeight="1">
      <c r="A822" s="15"/>
      <c r="B822" s="15"/>
      <c r="C822" s="21"/>
      <c r="D822" s="15"/>
      <c r="E822" s="15"/>
      <c r="F822" s="15"/>
      <c r="G822" s="15"/>
      <c r="H822" s="15"/>
      <c r="I822" s="11"/>
      <c r="J822" s="11"/>
      <c r="K822" s="11"/>
      <c r="L822" s="11"/>
      <c r="M822" s="15"/>
      <c r="N822" s="15"/>
      <c r="O822" s="15"/>
      <c r="P822" s="15"/>
      <c r="Q822" s="15"/>
      <c r="R822" s="15"/>
      <c r="S822" s="15"/>
      <c r="T822" s="15"/>
      <c r="U822" s="15"/>
      <c r="V822" s="15"/>
      <c r="W822" s="15"/>
      <c r="X822" s="15"/>
      <c r="Y822" s="15"/>
      <c r="Z822" s="15"/>
      <c r="AA822" s="15"/>
      <c r="AB822" s="15"/>
      <c r="AC822" s="15"/>
      <c r="AD822" s="15"/>
      <c r="AE822" s="15"/>
      <c r="AF822" s="15"/>
    </row>
    <row r="823" ht="15.75" customHeight="1">
      <c r="A823" s="15"/>
      <c r="B823" s="15"/>
      <c r="C823" s="21"/>
      <c r="D823" s="15"/>
      <c r="E823" s="15"/>
      <c r="F823" s="15"/>
      <c r="G823" s="15"/>
      <c r="H823" s="15"/>
      <c r="I823" s="11"/>
      <c r="J823" s="11"/>
      <c r="K823" s="11"/>
      <c r="L823" s="11"/>
      <c r="M823" s="15"/>
      <c r="N823" s="15"/>
      <c r="O823" s="15"/>
      <c r="P823" s="15"/>
      <c r="Q823" s="15"/>
      <c r="R823" s="15"/>
      <c r="S823" s="15"/>
      <c r="T823" s="15"/>
      <c r="U823" s="15"/>
      <c r="V823" s="15"/>
      <c r="W823" s="15"/>
      <c r="X823" s="15"/>
      <c r="Y823" s="15"/>
      <c r="Z823" s="15"/>
      <c r="AA823" s="15"/>
      <c r="AB823" s="15"/>
      <c r="AC823" s="15"/>
      <c r="AD823" s="15"/>
      <c r="AE823" s="15"/>
      <c r="AF823" s="15"/>
    </row>
    <row r="824" ht="15.75" customHeight="1">
      <c r="A824" s="15"/>
      <c r="B824" s="15"/>
      <c r="C824" s="21"/>
      <c r="D824" s="15"/>
      <c r="E824" s="15"/>
      <c r="F824" s="15"/>
      <c r="G824" s="15"/>
      <c r="H824" s="15"/>
      <c r="I824" s="11"/>
      <c r="J824" s="11"/>
      <c r="K824" s="11"/>
      <c r="L824" s="11"/>
      <c r="M824" s="15"/>
      <c r="N824" s="15"/>
      <c r="O824" s="15"/>
      <c r="P824" s="15"/>
      <c r="Q824" s="15"/>
      <c r="R824" s="15"/>
      <c r="S824" s="15"/>
      <c r="T824" s="15"/>
      <c r="U824" s="15"/>
      <c r="V824" s="15"/>
      <c r="W824" s="15"/>
      <c r="X824" s="15"/>
      <c r="Y824" s="15"/>
      <c r="Z824" s="15"/>
      <c r="AA824" s="15"/>
      <c r="AB824" s="15"/>
      <c r="AC824" s="15"/>
      <c r="AD824" s="15"/>
      <c r="AE824" s="15"/>
      <c r="AF824" s="15"/>
    </row>
    <row r="825" ht="15.75" customHeight="1">
      <c r="A825" s="15"/>
      <c r="B825" s="15"/>
      <c r="C825" s="21"/>
      <c r="D825" s="15"/>
      <c r="E825" s="15"/>
      <c r="F825" s="15"/>
      <c r="G825" s="15"/>
      <c r="H825" s="15"/>
      <c r="I825" s="11"/>
      <c r="J825" s="11"/>
      <c r="K825" s="11"/>
      <c r="L825" s="11"/>
      <c r="M825" s="15"/>
      <c r="N825" s="15"/>
      <c r="O825" s="15"/>
      <c r="P825" s="15"/>
      <c r="Q825" s="15"/>
      <c r="R825" s="15"/>
      <c r="S825" s="15"/>
      <c r="T825" s="15"/>
      <c r="U825" s="15"/>
      <c r="V825" s="15"/>
      <c r="W825" s="15"/>
      <c r="X825" s="15"/>
      <c r="Y825" s="15"/>
      <c r="Z825" s="15"/>
      <c r="AA825" s="15"/>
      <c r="AB825" s="15"/>
      <c r="AC825" s="15"/>
      <c r="AD825" s="15"/>
      <c r="AE825" s="15"/>
      <c r="AF825" s="15"/>
    </row>
    <row r="826" ht="15.75" customHeight="1">
      <c r="A826" s="15"/>
      <c r="B826" s="15"/>
      <c r="C826" s="21"/>
      <c r="D826" s="15"/>
      <c r="E826" s="15"/>
      <c r="F826" s="15"/>
      <c r="G826" s="15"/>
      <c r="H826" s="15"/>
      <c r="I826" s="11"/>
      <c r="J826" s="11"/>
      <c r="K826" s="11"/>
      <c r="L826" s="11"/>
      <c r="M826" s="15"/>
      <c r="N826" s="15"/>
      <c r="O826" s="15"/>
      <c r="P826" s="15"/>
      <c r="Q826" s="15"/>
      <c r="R826" s="15"/>
      <c r="S826" s="15"/>
      <c r="T826" s="15"/>
      <c r="U826" s="15"/>
      <c r="V826" s="15"/>
      <c r="W826" s="15"/>
      <c r="X826" s="15"/>
      <c r="Y826" s="15"/>
      <c r="Z826" s="15"/>
      <c r="AA826" s="15"/>
      <c r="AB826" s="15"/>
      <c r="AC826" s="15"/>
      <c r="AD826" s="15"/>
      <c r="AE826" s="15"/>
      <c r="AF826" s="15"/>
    </row>
    <row r="827" ht="15.75" customHeight="1">
      <c r="A827" s="15"/>
      <c r="B827" s="15"/>
      <c r="C827" s="21"/>
      <c r="D827" s="15"/>
      <c r="E827" s="15"/>
      <c r="F827" s="15"/>
      <c r="G827" s="15"/>
      <c r="H827" s="15"/>
      <c r="I827" s="11"/>
      <c r="J827" s="11"/>
      <c r="K827" s="11"/>
      <c r="L827" s="11"/>
      <c r="M827" s="15"/>
      <c r="N827" s="15"/>
      <c r="O827" s="15"/>
      <c r="P827" s="15"/>
      <c r="Q827" s="15"/>
      <c r="R827" s="15"/>
      <c r="S827" s="15"/>
      <c r="T827" s="15"/>
      <c r="U827" s="15"/>
      <c r="V827" s="15"/>
      <c r="W827" s="15"/>
      <c r="X827" s="15"/>
      <c r="Y827" s="15"/>
      <c r="Z827" s="15"/>
      <c r="AA827" s="15"/>
      <c r="AB827" s="15"/>
      <c r="AC827" s="15"/>
      <c r="AD827" s="15"/>
      <c r="AE827" s="15"/>
      <c r="AF827" s="15"/>
    </row>
    <row r="828" ht="15.75" customHeight="1">
      <c r="A828" s="15"/>
      <c r="B828" s="15"/>
      <c r="C828" s="21"/>
      <c r="D828" s="15"/>
      <c r="E828" s="15"/>
      <c r="F828" s="15"/>
      <c r="G828" s="15"/>
      <c r="H828" s="15"/>
      <c r="I828" s="11"/>
      <c r="J828" s="11"/>
      <c r="K828" s="11"/>
      <c r="L828" s="11"/>
      <c r="M828" s="15"/>
      <c r="N828" s="15"/>
      <c r="O828" s="15"/>
      <c r="P828" s="15"/>
      <c r="Q828" s="15"/>
      <c r="R828" s="15"/>
      <c r="S828" s="15"/>
      <c r="T828" s="15"/>
      <c r="U828" s="15"/>
      <c r="V828" s="15"/>
      <c r="W828" s="15"/>
      <c r="X828" s="15"/>
      <c r="Y828" s="15"/>
      <c r="Z828" s="15"/>
      <c r="AA828" s="15"/>
      <c r="AB828" s="15"/>
      <c r="AC828" s="15"/>
      <c r="AD828" s="15"/>
      <c r="AE828" s="15"/>
      <c r="AF828" s="15"/>
    </row>
    <row r="829" ht="15.75" customHeight="1">
      <c r="A829" s="15"/>
      <c r="B829" s="15"/>
      <c r="C829" s="21"/>
      <c r="D829" s="15"/>
      <c r="E829" s="15"/>
      <c r="F829" s="15"/>
      <c r="G829" s="15"/>
      <c r="H829" s="15"/>
      <c r="I829" s="11"/>
      <c r="J829" s="11"/>
      <c r="K829" s="11"/>
      <c r="L829" s="11"/>
      <c r="M829" s="15"/>
      <c r="N829" s="15"/>
      <c r="O829" s="15"/>
      <c r="P829" s="15"/>
      <c r="Q829" s="15"/>
      <c r="R829" s="15"/>
      <c r="S829" s="15"/>
      <c r="T829" s="15"/>
      <c r="U829" s="15"/>
      <c r="V829" s="15"/>
      <c r="W829" s="15"/>
      <c r="X829" s="15"/>
      <c r="Y829" s="15"/>
      <c r="Z829" s="15"/>
      <c r="AA829" s="15"/>
      <c r="AB829" s="15"/>
      <c r="AC829" s="15"/>
      <c r="AD829" s="15"/>
      <c r="AE829" s="15"/>
      <c r="AF829" s="15"/>
    </row>
    <row r="830" ht="15.75" customHeight="1">
      <c r="A830" s="15"/>
      <c r="B830" s="15"/>
      <c r="C830" s="21"/>
      <c r="D830" s="15"/>
      <c r="E830" s="15"/>
      <c r="F830" s="15"/>
      <c r="G830" s="15"/>
      <c r="H830" s="15"/>
      <c r="I830" s="11"/>
      <c r="J830" s="11"/>
      <c r="K830" s="11"/>
      <c r="L830" s="11"/>
      <c r="M830" s="15"/>
      <c r="N830" s="15"/>
      <c r="O830" s="15"/>
      <c r="P830" s="15"/>
      <c r="Q830" s="15"/>
      <c r="R830" s="15"/>
      <c r="S830" s="15"/>
      <c r="T830" s="15"/>
      <c r="U830" s="15"/>
      <c r="V830" s="15"/>
      <c r="W830" s="15"/>
      <c r="X830" s="15"/>
      <c r="Y830" s="15"/>
      <c r="Z830" s="15"/>
      <c r="AA830" s="15"/>
      <c r="AB830" s="15"/>
      <c r="AC830" s="15"/>
      <c r="AD830" s="15"/>
      <c r="AE830" s="15"/>
      <c r="AF830" s="15"/>
    </row>
    <row r="831" ht="15.75" customHeight="1">
      <c r="A831" s="15"/>
      <c r="B831" s="15"/>
      <c r="C831" s="21"/>
      <c r="D831" s="15"/>
      <c r="E831" s="15"/>
      <c r="F831" s="15"/>
      <c r="G831" s="15"/>
      <c r="H831" s="15"/>
      <c r="I831" s="11"/>
      <c r="J831" s="11"/>
      <c r="K831" s="11"/>
      <c r="L831" s="11"/>
      <c r="M831" s="15"/>
      <c r="N831" s="15"/>
      <c r="O831" s="15"/>
      <c r="P831" s="15"/>
      <c r="Q831" s="15"/>
      <c r="R831" s="15"/>
      <c r="S831" s="15"/>
      <c r="T831" s="15"/>
      <c r="U831" s="15"/>
      <c r="V831" s="15"/>
      <c r="W831" s="15"/>
      <c r="X831" s="15"/>
      <c r="Y831" s="15"/>
      <c r="Z831" s="15"/>
      <c r="AA831" s="15"/>
      <c r="AB831" s="15"/>
      <c r="AC831" s="15"/>
      <c r="AD831" s="15"/>
      <c r="AE831" s="15"/>
      <c r="AF831" s="15"/>
    </row>
    <row r="832" ht="15.75" customHeight="1">
      <c r="A832" s="15"/>
      <c r="B832" s="15"/>
      <c r="C832" s="21"/>
      <c r="D832" s="15"/>
      <c r="E832" s="15"/>
      <c r="F832" s="15"/>
      <c r="G832" s="15"/>
      <c r="H832" s="15"/>
      <c r="I832" s="11"/>
      <c r="J832" s="11"/>
      <c r="K832" s="11"/>
      <c r="L832" s="11"/>
      <c r="M832" s="15"/>
      <c r="N832" s="15"/>
      <c r="O832" s="15"/>
      <c r="P832" s="15"/>
      <c r="Q832" s="15"/>
      <c r="R832" s="15"/>
      <c r="S832" s="15"/>
      <c r="T832" s="15"/>
      <c r="U832" s="15"/>
      <c r="V832" s="15"/>
      <c r="W832" s="15"/>
      <c r="X832" s="15"/>
      <c r="Y832" s="15"/>
      <c r="Z832" s="15"/>
      <c r="AA832" s="15"/>
      <c r="AB832" s="15"/>
      <c r="AC832" s="15"/>
      <c r="AD832" s="15"/>
      <c r="AE832" s="15"/>
      <c r="AF832" s="15"/>
    </row>
    <row r="833" ht="15.75" customHeight="1">
      <c r="A833" s="15"/>
      <c r="B833" s="15"/>
      <c r="C833" s="21"/>
      <c r="D833" s="15"/>
      <c r="E833" s="15"/>
      <c r="F833" s="15"/>
      <c r="G833" s="15"/>
      <c r="H833" s="15"/>
      <c r="I833" s="11"/>
      <c r="J833" s="11"/>
      <c r="K833" s="11"/>
      <c r="L833" s="11"/>
      <c r="M833" s="15"/>
      <c r="N833" s="15"/>
      <c r="O833" s="15"/>
      <c r="P833" s="15"/>
      <c r="Q833" s="15"/>
      <c r="R833" s="15"/>
      <c r="S833" s="15"/>
      <c r="T833" s="15"/>
      <c r="U833" s="15"/>
      <c r="V833" s="15"/>
      <c r="W833" s="15"/>
      <c r="X833" s="15"/>
      <c r="Y833" s="15"/>
      <c r="Z833" s="15"/>
      <c r="AA833" s="15"/>
      <c r="AB833" s="15"/>
      <c r="AC833" s="15"/>
      <c r="AD833" s="15"/>
      <c r="AE833" s="15"/>
      <c r="AF833" s="15"/>
    </row>
    <row r="834" ht="15.75" customHeight="1">
      <c r="A834" s="15"/>
      <c r="B834" s="15"/>
      <c r="C834" s="21"/>
      <c r="D834" s="15"/>
      <c r="E834" s="15"/>
      <c r="F834" s="15"/>
      <c r="G834" s="15"/>
      <c r="H834" s="15"/>
      <c r="I834" s="11"/>
      <c r="J834" s="11"/>
      <c r="K834" s="11"/>
      <c r="L834" s="11"/>
      <c r="M834" s="15"/>
      <c r="N834" s="15"/>
      <c r="O834" s="15"/>
      <c r="P834" s="15"/>
      <c r="Q834" s="15"/>
      <c r="R834" s="15"/>
      <c r="S834" s="15"/>
      <c r="T834" s="15"/>
      <c r="U834" s="15"/>
      <c r="V834" s="15"/>
      <c r="W834" s="15"/>
      <c r="X834" s="15"/>
      <c r="Y834" s="15"/>
      <c r="Z834" s="15"/>
      <c r="AA834" s="15"/>
      <c r="AB834" s="15"/>
      <c r="AC834" s="15"/>
      <c r="AD834" s="15"/>
      <c r="AE834" s="15"/>
      <c r="AF834" s="15"/>
    </row>
    <row r="835" ht="15.75" customHeight="1">
      <c r="A835" s="15"/>
      <c r="B835" s="15"/>
      <c r="C835" s="21"/>
      <c r="D835" s="15"/>
      <c r="E835" s="15"/>
      <c r="F835" s="15"/>
      <c r="G835" s="15"/>
      <c r="H835" s="15"/>
      <c r="I835" s="11"/>
      <c r="J835" s="11"/>
      <c r="K835" s="11"/>
      <c r="L835" s="11"/>
      <c r="M835" s="15"/>
      <c r="N835" s="15"/>
      <c r="O835" s="15"/>
      <c r="P835" s="15"/>
      <c r="Q835" s="15"/>
      <c r="R835" s="15"/>
      <c r="S835" s="15"/>
      <c r="T835" s="15"/>
      <c r="U835" s="15"/>
      <c r="V835" s="15"/>
      <c r="W835" s="15"/>
      <c r="X835" s="15"/>
      <c r="Y835" s="15"/>
      <c r="Z835" s="15"/>
      <c r="AA835" s="15"/>
      <c r="AB835" s="15"/>
      <c r="AC835" s="15"/>
      <c r="AD835" s="15"/>
      <c r="AE835" s="15"/>
      <c r="AF835" s="15"/>
    </row>
    <row r="836" ht="15.75" customHeight="1">
      <c r="A836" s="15"/>
      <c r="B836" s="15"/>
      <c r="C836" s="21"/>
      <c r="D836" s="15"/>
      <c r="E836" s="15"/>
      <c r="F836" s="15"/>
      <c r="G836" s="15"/>
      <c r="H836" s="15"/>
      <c r="I836" s="11"/>
      <c r="J836" s="11"/>
      <c r="K836" s="11"/>
      <c r="L836" s="11"/>
      <c r="M836" s="15"/>
      <c r="N836" s="15"/>
      <c r="O836" s="15"/>
      <c r="P836" s="15"/>
      <c r="Q836" s="15"/>
      <c r="R836" s="15"/>
      <c r="S836" s="15"/>
      <c r="T836" s="15"/>
      <c r="U836" s="15"/>
      <c r="V836" s="15"/>
      <c r="W836" s="15"/>
      <c r="X836" s="15"/>
      <c r="Y836" s="15"/>
      <c r="Z836" s="15"/>
      <c r="AA836" s="15"/>
      <c r="AB836" s="15"/>
      <c r="AC836" s="15"/>
      <c r="AD836" s="15"/>
      <c r="AE836" s="15"/>
      <c r="AF836" s="15"/>
    </row>
    <row r="837" ht="15.75" customHeight="1">
      <c r="A837" s="15"/>
      <c r="B837" s="15"/>
      <c r="C837" s="21"/>
      <c r="D837" s="15"/>
      <c r="E837" s="15"/>
      <c r="F837" s="15"/>
      <c r="G837" s="15"/>
      <c r="H837" s="15"/>
      <c r="I837" s="11"/>
      <c r="J837" s="11"/>
      <c r="K837" s="11"/>
      <c r="L837" s="11"/>
      <c r="M837" s="15"/>
      <c r="N837" s="15"/>
      <c r="O837" s="15"/>
      <c r="P837" s="15"/>
      <c r="Q837" s="15"/>
      <c r="R837" s="15"/>
      <c r="S837" s="15"/>
      <c r="T837" s="15"/>
      <c r="U837" s="15"/>
      <c r="V837" s="15"/>
      <c r="W837" s="15"/>
      <c r="X837" s="15"/>
      <c r="Y837" s="15"/>
      <c r="Z837" s="15"/>
      <c r="AA837" s="15"/>
      <c r="AB837" s="15"/>
      <c r="AC837" s="15"/>
      <c r="AD837" s="15"/>
      <c r="AE837" s="15"/>
      <c r="AF837" s="15"/>
    </row>
    <row r="838" ht="15.75" customHeight="1">
      <c r="A838" s="15"/>
      <c r="B838" s="15"/>
      <c r="C838" s="21"/>
      <c r="D838" s="15"/>
      <c r="E838" s="15"/>
      <c r="F838" s="15"/>
      <c r="G838" s="15"/>
      <c r="H838" s="15"/>
      <c r="I838" s="11"/>
      <c r="J838" s="11"/>
      <c r="K838" s="11"/>
      <c r="L838" s="11"/>
      <c r="M838" s="15"/>
      <c r="N838" s="15"/>
      <c r="O838" s="15"/>
      <c r="P838" s="15"/>
      <c r="Q838" s="15"/>
      <c r="R838" s="15"/>
      <c r="S838" s="15"/>
      <c r="T838" s="15"/>
      <c r="U838" s="15"/>
      <c r="V838" s="15"/>
      <c r="W838" s="15"/>
      <c r="X838" s="15"/>
      <c r="Y838" s="15"/>
      <c r="Z838" s="15"/>
      <c r="AA838" s="15"/>
      <c r="AB838" s="15"/>
      <c r="AC838" s="15"/>
      <c r="AD838" s="15"/>
      <c r="AE838" s="15"/>
      <c r="AF838" s="15"/>
    </row>
    <row r="839" ht="15.75" customHeight="1">
      <c r="A839" s="15"/>
      <c r="B839" s="15"/>
      <c r="C839" s="21"/>
      <c r="D839" s="15"/>
      <c r="E839" s="15"/>
      <c r="F839" s="15"/>
      <c r="G839" s="15"/>
      <c r="H839" s="15"/>
      <c r="I839" s="11"/>
      <c r="J839" s="11"/>
      <c r="K839" s="11"/>
      <c r="L839" s="11"/>
      <c r="M839" s="15"/>
      <c r="N839" s="15"/>
      <c r="O839" s="15"/>
      <c r="P839" s="15"/>
      <c r="Q839" s="15"/>
      <c r="R839" s="15"/>
      <c r="S839" s="15"/>
      <c r="T839" s="15"/>
      <c r="U839" s="15"/>
      <c r="V839" s="15"/>
      <c r="W839" s="15"/>
      <c r="X839" s="15"/>
      <c r="Y839" s="15"/>
      <c r="Z839" s="15"/>
      <c r="AA839" s="15"/>
      <c r="AB839" s="15"/>
      <c r="AC839" s="15"/>
      <c r="AD839" s="15"/>
      <c r="AE839" s="15"/>
      <c r="AF839" s="15"/>
    </row>
    <row r="840" ht="15.75" customHeight="1">
      <c r="A840" s="15"/>
      <c r="B840" s="15"/>
      <c r="C840" s="21"/>
      <c r="D840" s="15"/>
      <c r="E840" s="15"/>
      <c r="F840" s="15"/>
      <c r="G840" s="15"/>
      <c r="H840" s="15"/>
      <c r="I840" s="11"/>
      <c r="J840" s="11"/>
      <c r="K840" s="11"/>
      <c r="L840" s="11"/>
      <c r="M840" s="15"/>
      <c r="N840" s="15"/>
      <c r="O840" s="15"/>
      <c r="P840" s="15"/>
      <c r="Q840" s="15"/>
      <c r="R840" s="15"/>
      <c r="S840" s="15"/>
      <c r="T840" s="15"/>
      <c r="U840" s="15"/>
      <c r="V840" s="15"/>
      <c r="W840" s="15"/>
      <c r="X840" s="15"/>
      <c r="Y840" s="15"/>
      <c r="Z840" s="15"/>
      <c r="AA840" s="15"/>
      <c r="AB840" s="15"/>
      <c r="AC840" s="15"/>
      <c r="AD840" s="15"/>
      <c r="AE840" s="15"/>
      <c r="AF840" s="15"/>
    </row>
    <row r="841" ht="15.75" customHeight="1">
      <c r="A841" s="15"/>
      <c r="B841" s="15"/>
      <c r="C841" s="21"/>
      <c r="D841" s="15"/>
      <c r="E841" s="15"/>
      <c r="F841" s="15"/>
      <c r="G841" s="15"/>
      <c r="H841" s="15"/>
      <c r="I841" s="11"/>
      <c r="J841" s="11"/>
      <c r="K841" s="11"/>
      <c r="L841" s="11"/>
      <c r="M841" s="15"/>
      <c r="N841" s="15"/>
      <c r="O841" s="15"/>
      <c r="P841" s="15"/>
      <c r="Q841" s="15"/>
      <c r="R841" s="15"/>
      <c r="S841" s="15"/>
      <c r="T841" s="15"/>
      <c r="U841" s="15"/>
      <c r="V841" s="15"/>
      <c r="W841" s="15"/>
      <c r="X841" s="15"/>
      <c r="Y841" s="15"/>
      <c r="Z841" s="15"/>
      <c r="AA841" s="15"/>
      <c r="AB841" s="15"/>
      <c r="AC841" s="15"/>
      <c r="AD841" s="15"/>
      <c r="AE841" s="15"/>
      <c r="AF841" s="15"/>
    </row>
    <row r="842" ht="15.75" customHeight="1">
      <c r="A842" s="15"/>
      <c r="B842" s="15"/>
      <c r="C842" s="21"/>
      <c r="D842" s="15"/>
      <c r="E842" s="15"/>
      <c r="F842" s="15"/>
      <c r="G842" s="15"/>
      <c r="H842" s="15"/>
      <c r="I842" s="11"/>
      <c r="J842" s="11"/>
      <c r="K842" s="11"/>
      <c r="L842" s="11"/>
      <c r="M842" s="15"/>
      <c r="N842" s="15"/>
      <c r="O842" s="15"/>
      <c r="P842" s="15"/>
      <c r="Q842" s="15"/>
      <c r="R842" s="15"/>
      <c r="S842" s="15"/>
      <c r="T842" s="15"/>
      <c r="U842" s="15"/>
      <c r="V842" s="15"/>
      <c r="W842" s="15"/>
      <c r="X842" s="15"/>
      <c r="Y842" s="15"/>
      <c r="Z842" s="15"/>
      <c r="AA842" s="15"/>
      <c r="AB842" s="15"/>
      <c r="AC842" s="15"/>
      <c r="AD842" s="15"/>
      <c r="AE842" s="15"/>
      <c r="AF842" s="15"/>
    </row>
    <row r="843" ht="15.75" customHeight="1">
      <c r="A843" s="15"/>
      <c r="B843" s="15"/>
      <c r="C843" s="21"/>
      <c r="D843" s="15"/>
      <c r="E843" s="15"/>
      <c r="F843" s="15"/>
      <c r="G843" s="15"/>
      <c r="H843" s="15"/>
      <c r="I843" s="11"/>
      <c r="J843" s="11"/>
      <c r="K843" s="11"/>
      <c r="L843" s="11"/>
      <c r="M843" s="15"/>
      <c r="N843" s="15"/>
      <c r="O843" s="15"/>
      <c r="P843" s="15"/>
      <c r="Q843" s="15"/>
      <c r="R843" s="15"/>
      <c r="S843" s="15"/>
      <c r="T843" s="15"/>
      <c r="U843" s="15"/>
      <c r="V843" s="15"/>
      <c r="W843" s="15"/>
      <c r="X843" s="15"/>
      <c r="Y843" s="15"/>
      <c r="Z843" s="15"/>
      <c r="AA843" s="15"/>
      <c r="AB843" s="15"/>
      <c r="AC843" s="15"/>
      <c r="AD843" s="15"/>
      <c r="AE843" s="15"/>
      <c r="AF843" s="15"/>
    </row>
    <row r="844" ht="15.75" customHeight="1">
      <c r="A844" s="15"/>
      <c r="B844" s="15"/>
      <c r="C844" s="21"/>
      <c r="D844" s="15"/>
      <c r="E844" s="15"/>
      <c r="F844" s="15"/>
      <c r="G844" s="15"/>
      <c r="H844" s="15"/>
      <c r="I844" s="11"/>
      <c r="J844" s="11"/>
      <c r="K844" s="11"/>
      <c r="L844" s="11"/>
      <c r="M844" s="15"/>
      <c r="N844" s="15"/>
      <c r="O844" s="15"/>
      <c r="P844" s="15"/>
      <c r="Q844" s="15"/>
      <c r="R844" s="15"/>
      <c r="S844" s="15"/>
      <c r="T844" s="15"/>
      <c r="U844" s="15"/>
      <c r="V844" s="15"/>
      <c r="W844" s="15"/>
      <c r="X844" s="15"/>
      <c r="Y844" s="15"/>
      <c r="Z844" s="15"/>
      <c r="AA844" s="15"/>
      <c r="AB844" s="15"/>
      <c r="AC844" s="15"/>
      <c r="AD844" s="15"/>
      <c r="AE844" s="15"/>
      <c r="AF844" s="15"/>
    </row>
    <row r="845" ht="15.75" customHeight="1">
      <c r="A845" s="15"/>
      <c r="B845" s="15"/>
      <c r="C845" s="21"/>
      <c r="D845" s="15"/>
      <c r="E845" s="15"/>
      <c r="F845" s="15"/>
      <c r="G845" s="15"/>
      <c r="H845" s="15"/>
      <c r="I845" s="11"/>
      <c r="J845" s="11"/>
      <c r="K845" s="11"/>
      <c r="L845" s="11"/>
      <c r="M845" s="15"/>
      <c r="N845" s="15"/>
      <c r="O845" s="15"/>
      <c r="P845" s="15"/>
      <c r="Q845" s="15"/>
      <c r="R845" s="15"/>
      <c r="S845" s="15"/>
      <c r="T845" s="15"/>
      <c r="U845" s="15"/>
      <c r="V845" s="15"/>
      <c r="W845" s="15"/>
      <c r="X845" s="15"/>
      <c r="Y845" s="15"/>
      <c r="Z845" s="15"/>
      <c r="AA845" s="15"/>
      <c r="AB845" s="15"/>
      <c r="AC845" s="15"/>
      <c r="AD845" s="15"/>
      <c r="AE845" s="15"/>
      <c r="AF845" s="15"/>
    </row>
    <row r="846" ht="15.75" customHeight="1">
      <c r="A846" s="15"/>
      <c r="B846" s="15"/>
      <c r="C846" s="21"/>
      <c r="D846" s="15"/>
      <c r="E846" s="15"/>
      <c r="F846" s="15"/>
      <c r="G846" s="15"/>
      <c r="H846" s="15"/>
      <c r="I846" s="11"/>
      <c r="J846" s="11"/>
      <c r="K846" s="11"/>
      <c r="L846" s="11"/>
      <c r="M846" s="15"/>
      <c r="N846" s="15"/>
      <c r="O846" s="15"/>
      <c r="P846" s="15"/>
      <c r="Q846" s="15"/>
      <c r="R846" s="15"/>
      <c r="S846" s="15"/>
      <c r="T846" s="15"/>
      <c r="U846" s="15"/>
      <c r="V846" s="15"/>
      <c r="W846" s="15"/>
      <c r="X846" s="15"/>
      <c r="Y846" s="15"/>
      <c r="Z846" s="15"/>
      <c r="AA846" s="15"/>
      <c r="AB846" s="15"/>
      <c r="AC846" s="15"/>
      <c r="AD846" s="15"/>
      <c r="AE846" s="15"/>
      <c r="AF846" s="15"/>
    </row>
    <row r="847" ht="15.75" customHeight="1">
      <c r="A847" s="15"/>
      <c r="B847" s="15"/>
      <c r="C847" s="21"/>
      <c r="D847" s="15"/>
      <c r="E847" s="15"/>
      <c r="F847" s="15"/>
      <c r="G847" s="15"/>
      <c r="H847" s="15"/>
      <c r="I847" s="11"/>
      <c r="J847" s="11"/>
      <c r="K847" s="11"/>
      <c r="L847" s="11"/>
      <c r="M847" s="15"/>
      <c r="N847" s="15"/>
      <c r="O847" s="15"/>
      <c r="P847" s="15"/>
      <c r="Q847" s="15"/>
      <c r="R847" s="15"/>
      <c r="S847" s="15"/>
      <c r="T847" s="15"/>
      <c r="U847" s="15"/>
      <c r="V847" s="15"/>
      <c r="W847" s="15"/>
      <c r="X847" s="15"/>
      <c r="Y847" s="15"/>
      <c r="Z847" s="15"/>
      <c r="AA847" s="15"/>
      <c r="AB847" s="15"/>
      <c r="AC847" s="15"/>
      <c r="AD847" s="15"/>
      <c r="AE847" s="15"/>
      <c r="AF847" s="15"/>
    </row>
    <row r="848" ht="15.75" customHeight="1">
      <c r="A848" s="15"/>
      <c r="B848" s="15"/>
      <c r="C848" s="21"/>
      <c r="D848" s="15"/>
      <c r="E848" s="15"/>
      <c r="F848" s="15"/>
      <c r="G848" s="15"/>
      <c r="H848" s="15"/>
      <c r="I848" s="11"/>
      <c r="J848" s="11"/>
      <c r="K848" s="11"/>
      <c r="L848" s="11"/>
      <c r="M848" s="15"/>
      <c r="N848" s="15"/>
      <c r="O848" s="15"/>
      <c r="P848" s="15"/>
      <c r="Q848" s="15"/>
      <c r="R848" s="15"/>
      <c r="S848" s="15"/>
      <c r="T848" s="15"/>
      <c r="U848" s="15"/>
      <c r="V848" s="15"/>
      <c r="W848" s="15"/>
      <c r="X848" s="15"/>
      <c r="Y848" s="15"/>
      <c r="Z848" s="15"/>
      <c r="AA848" s="15"/>
      <c r="AB848" s="15"/>
      <c r="AC848" s="15"/>
      <c r="AD848" s="15"/>
      <c r="AE848" s="15"/>
      <c r="AF848" s="15"/>
    </row>
    <row r="849" ht="15.75" customHeight="1">
      <c r="A849" s="15"/>
      <c r="B849" s="15"/>
      <c r="C849" s="21"/>
      <c r="D849" s="15"/>
      <c r="E849" s="15"/>
      <c r="F849" s="15"/>
      <c r="G849" s="15"/>
      <c r="H849" s="15"/>
      <c r="I849" s="11"/>
      <c r="J849" s="11"/>
      <c r="K849" s="11"/>
      <c r="L849" s="11"/>
      <c r="M849" s="15"/>
      <c r="N849" s="15"/>
      <c r="O849" s="15"/>
      <c r="P849" s="15"/>
      <c r="Q849" s="15"/>
      <c r="R849" s="15"/>
      <c r="S849" s="15"/>
      <c r="T849" s="15"/>
      <c r="U849" s="15"/>
      <c r="V849" s="15"/>
      <c r="W849" s="15"/>
      <c r="X849" s="15"/>
      <c r="Y849" s="15"/>
      <c r="Z849" s="15"/>
      <c r="AA849" s="15"/>
      <c r="AB849" s="15"/>
      <c r="AC849" s="15"/>
      <c r="AD849" s="15"/>
      <c r="AE849" s="15"/>
      <c r="AF849" s="15"/>
    </row>
    <row r="850" ht="15.75" customHeight="1">
      <c r="A850" s="15"/>
      <c r="B850" s="15"/>
      <c r="C850" s="21"/>
      <c r="D850" s="15"/>
      <c r="E850" s="15"/>
      <c r="F850" s="15"/>
      <c r="G850" s="15"/>
      <c r="H850" s="15"/>
      <c r="I850" s="11"/>
      <c r="J850" s="11"/>
      <c r="K850" s="11"/>
      <c r="L850" s="11"/>
      <c r="M850" s="15"/>
      <c r="N850" s="15"/>
      <c r="O850" s="15"/>
      <c r="P850" s="15"/>
      <c r="Q850" s="15"/>
      <c r="R850" s="15"/>
      <c r="S850" s="15"/>
      <c r="T850" s="15"/>
      <c r="U850" s="15"/>
      <c r="V850" s="15"/>
      <c r="W850" s="15"/>
      <c r="X850" s="15"/>
      <c r="Y850" s="15"/>
      <c r="Z850" s="15"/>
      <c r="AA850" s="15"/>
      <c r="AB850" s="15"/>
      <c r="AC850" s="15"/>
      <c r="AD850" s="15"/>
      <c r="AE850" s="15"/>
      <c r="AF850" s="15"/>
    </row>
    <row r="851" ht="15.75" customHeight="1">
      <c r="A851" s="15"/>
      <c r="B851" s="15"/>
      <c r="C851" s="21"/>
      <c r="D851" s="15"/>
      <c r="E851" s="15"/>
      <c r="F851" s="15"/>
      <c r="G851" s="15"/>
      <c r="H851" s="15"/>
      <c r="I851" s="11"/>
      <c r="J851" s="11"/>
      <c r="K851" s="11"/>
      <c r="L851" s="11"/>
      <c r="M851" s="15"/>
      <c r="N851" s="15"/>
      <c r="O851" s="15"/>
      <c r="P851" s="15"/>
      <c r="Q851" s="15"/>
      <c r="R851" s="15"/>
      <c r="S851" s="15"/>
      <c r="T851" s="15"/>
      <c r="U851" s="15"/>
      <c r="V851" s="15"/>
      <c r="W851" s="15"/>
      <c r="X851" s="15"/>
      <c r="Y851" s="15"/>
      <c r="Z851" s="15"/>
      <c r="AA851" s="15"/>
      <c r="AB851" s="15"/>
      <c r="AC851" s="15"/>
      <c r="AD851" s="15"/>
      <c r="AE851" s="15"/>
      <c r="AF851" s="15"/>
    </row>
    <row r="852" ht="15.75" customHeight="1">
      <c r="A852" s="15"/>
      <c r="B852" s="15"/>
      <c r="C852" s="21"/>
      <c r="D852" s="15"/>
      <c r="E852" s="15"/>
      <c r="F852" s="15"/>
      <c r="G852" s="15"/>
      <c r="H852" s="15"/>
      <c r="I852" s="11"/>
      <c r="J852" s="11"/>
      <c r="K852" s="11"/>
      <c r="L852" s="11"/>
      <c r="M852" s="15"/>
      <c r="N852" s="15"/>
      <c r="O852" s="15"/>
      <c r="P852" s="15"/>
      <c r="Q852" s="15"/>
      <c r="R852" s="15"/>
      <c r="S852" s="15"/>
      <c r="T852" s="15"/>
      <c r="U852" s="15"/>
      <c r="V852" s="15"/>
      <c r="W852" s="15"/>
      <c r="X852" s="15"/>
      <c r="Y852" s="15"/>
      <c r="Z852" s="15"/>
      <c r="AA852" s="15"/>
      <c r="AB852" s="15"/>
      <c r="AC852" s="15"/>
      <c r="AD852" s="15"/>
      <c r="AE852" s="15"/>
      <c r="AF852" s="15"/>
    </row>
    <row r="853" ht="15.75" customHeight="1">
      <c r="A853" s="15"/>
      <c r="B853" s="15"/>
      <c r="C853" s="21"/>
      <c r="D853" s="15"/>
      <c r="E853" s="15"/>
      <c r="F853" s="15"/>
      <c r="G853" s="15"/>
      <c r="H853" s="15"/>
      <c r="I853" s="11"/>
      <c r="J853" s="11"/>
      <c r="K853" s="11"/>
      <c r="L853" s="11"/>
      <c r="M853" s="15"/>
      <c r="N853" s="15"/>
      <c r="O853" s="15"/>
      <c r="P853" s="15"/>
      <c r="Q853" s="15"/>
      <c r="R853" s="15"/>
      <c r="S853" s="15"/>
      <c r="T853" s="15"/>
      <c r="U853" s="15"/>
      <c r="V853" s="15"/>
      <c r="W853" s="15"/>
      <c r="X853" s="15"/>
      <c r="Y853" s="15"/>
      <c r="Z853" s="15"/>
      <c r="AA853" s="15"/>
      <c r="AB853" s="15"/>
      <c r="AC853" s="15"/>
      <c r="AD853" s="15"/>
      <c r="AE853" s="15"/>
      <c r="AF853" s="15"/>
    </row>
    <row r="854" ht="15.75" customHeight="1">
      <c r="A854" s="15"/>
      <c r="B854" s="15"/>
      <c r="C854" s="21"/>
      <c r="D854" s="15"/>
      <c r="E854" s="15"/>
      <c r="F854" s="15"/>
      <c r="G854" s="15"/>
      <c r="H854" s="15"/>
      <c r="I854" s="11"/>
      <c r="J854" s="11"/>
      <c r="K854" s="11"/>
      <c r="L854" s="11"/>
      <c r="M854" s="15"/>
      <c r="N854" s="15"/>
      <c r="O854" s="15"/>
      <c r="P854" s="15"/>
      <c r="Q854" s="15"/>
      <c r="R854" s="15"/>
      <c r="S854" s="15"/>
      <c r="T854" s="15"/>
      <c r="U854" s="15"/>
      <c r="V854" s="15"/>
      <c r="W854" s="15"/>
      <c r="X854" s="15"/>
      <c r="Y854" s="15"/>
      <c r="Z854" s="15"/>
      <c r="AA854" s="15"/>
      <c r="AB854" s="15"/>
      <c r="AC854" s="15"/>
      <c r="AD854" s="15"/>
      <c r="AE854" s="15"/>
      <c r="AF854" s="15"/>
    </row>
    <row r="855" ht="15.75" customHeight="1">
      <c r="A855" s="15"/>
      <c r="B855" s="15"/>
      <c r="C855" s="21"/>
      <c r="D855" s="15"/>
      <c r="E855" s="15"/>
      <c r="F855" s="15"/>
      <c r="G855" s="15"/>
      <c r="H855" s="15"/>
      <c r="I855" s="11"/>
      <c r="J855" s="11"/>
      <c r="K855" s="11"/>
      <c r="L855" s="11"/>
      <c r="M855" s="15"/>
      <c r="N855" s="15"/>
      <c r="O855" s="15"/>
      <c r="P855" s="15"/>
      <c r="Q855" s="15"/>
      <c r="R855" s="15"/>
      <c r="S855" s="15"/>
      <c r="T855" s="15"/>
      <c r="U855" s="15"/>
      <c r="V855" s="15"/>
      <c r="W855" s="15"/>
      <c r="X855" s="15"/>
      <c r="Y855" s="15"/>
      <c r="Z855" s="15"/>
      <c r="AA855" s="15"/>
      <c r="AB855" s="15"/>
      <c r="AC855" s="15"/>
      <c r="AD855" s="15"/>
      <c r="AE855" s="15"/>
      <c r="AF855" s="15"/>
    </row>
    <row r="856" ht="15.75" customHeight="1">
      <c r="A856" s="15"/>
      <c r="B856" s="15"/>
      <c r="C856" s="21"/>
      <c r="D856" s="15"/>
      <c r="E856" s="15"/>
      <c r="F856" s="15"/>
      <c r="G856" s="15"/>
      <c r="H856" s="15"/>
      <c r="I856" s="11"/>
      <c r="J856" s="11"/>
      <c r="K856" s="11"/>
      <c r="L856" s="11"/>
      <c r="M856" s="15"/>
      <c r="N856" s="15"/>
      <c r="O856" s="15"/>
      <c r="P856" s="15"/>
      <c r="Q856" s="15"/>
      <c r="R856" s="15"/>
      <c r="S856" s="15"/>
      <c r="T856" s="15"/>
      <c r="U856" s="15"/>
      <c r="V856" s="15"/>
      <c r="W856" s="15"/>
      <c r="X856" s="15"/>
      <c r="Y856" s="15"/>
      <c r="Z856" s="15"/>
      <c r="AA856" s="15"/>
      <c r="AB856" s="15"/>
      <c r="AC856" s="15"/>
      <c r="AD856" s="15"/>
      <c r="AE856" s="15"/>
      <c r="AF856" s="15"/>
    </row>
    <row r="857" ht="15.75" customHeight="1">
      <c r="A857" s="15"/>
      <c r="B857" s="15"/>
      <c r="C857" s="21"/>
      <c r="D857" s="15"/>
      <c r="E857" s="15"/>
      <c r="F857" s="15"/>
      <c r="G857" s="15"/>
      <c r="H857" s="15"/>
      <c r="I857" s="11"/>
      <c r="J857" s="11"/>
      <c r="K857" s="11"/>
      <c r="L857" s="11"/>
      <c r="M857" s="15"/>
      <c r="N857" s="15"/>
      <c r="O857" s="15"/>
      <c r="P857" s="15"/>
      <c r="Q857" s="15"/>
      <c r="R857" s="15"/>
      <c r="S857" s="15"/>
      <c r="T857" s="15"/>
      <c r="U857" s="15"/>
      <c r="V857" s="15"/>
      <c r="W857" s="15"/>
      <c r="X857" s="15"/>
      <c r="Y857" s="15"/>
      <c r="Z857" s="15"/>
      <c r="AA857" s="15"/>
      <c r="AB857" s="15"/>
      <c r="AC857" s="15"/>
      <c r="AD857" s="15"/>
      <c r="AE857" s="15"/>
      <c r="AF857" s="15"/>
    </row>
    <row r="858" ht="15.75" customHeight="1">
      <c r="A858" s="15"/>
      <c r="B858" s="15"/>
      <c r="C858" s="21"/>
      <c r="D858" s="15"/>
      <c r="E858" s="15"/>
      <c r="F858" s="15"/>
      <c r="G858" s="15"/>
      <c r="H858" s="15"/>
      <c r="I858" s="11"/>
      <c r="J858" s="11"/>
      <c r="K858" s="11"/>
      <c r="L858" s="11"/>
      <c r="M858" s="15"/>
      <c r="N858" s="15"/>
      <c r="O858" s="15"/>
      <c r="P858" s="15"/>
      <c r="Q858" s="15"/>
      <c r="R858" s="15"/>
      <c r="S858" s="15"/>
      <c r="T858" s="15"/>
      <c r="U858" s="15"/>
      <c r="V858" s="15"/>
      <c r="W858" s="15"/>
      <c r="X858" s="15"/>
      <c r="Y858" s="15"/>
      <c r="Z858" s="15"/>
      <c r="AA858" s="15"/>
      <c r="AB858" s="15"/>
      <c r="AC858" s="15"/>
      <c r="AD858" s="15"/>
      <c r="AE858" s="15"/>
      <c r="AF858" s="15"/>
    </row>
    <row r="859" ht="15.75" customHeight="1">
      <c r="A859" s="15"/>
      <c r="B859" s="15"/>
      <c r="C859" s="21"/>
      <c r="D859" s="15"/>
      <c r="E859" s="15"/>
      <c r="F859" s="15"/>
      <c r="G859" s="15"/>
      <c r="H859" s="15"/>
      <c r="I859" s="11"/>
      <c r="J859" s="11"/>
      <c r="K859" s="11"/>
      <c r="L859" s="11"/>
      <c r="M859" s="15"/>
      <c r="N859" s="15"/>
      <c r="O859" s="15"/>
      <c r="P859" s="15"/>
      <c r="Q859" s="15"/>
      <c r="R859" s="15"/>
      <c r="S859" s="15"/>
      <c r="T859" s="15"/>
      <c r="U859" s="15"/>
      <c r="V859" s="15"/>
      <c r="W859" s="15"/>
      <c r="X859" s="15"/>
      <c r="Y859" s="15"/>
      <c r="Z859" s="15"/>
      <c r="AA859" s="15"/>
      <c r="AB859" s="15"/>
      <c r="AC859" s="15"/>
      <c r="AD859" s="15"/>
      <c r="AE859" s="15"/>
      <c r="AF859" s="15"/>
    </row>
    <row r="860" ht="15.75" customHeight="1">
      <c r="A860" s="15"/>
      <c r="B860" s="15"/>
      <c r="C860" s="21"/>
      <c r="D860" s="15"/>
      <c r="E860" s="15"/>
      <c r="F860" s="15"/>
      <c r="G860" s="15"/>
      <c r="H860" s="15"/>
      <c r="I860" s="11"/>
      <c r="J860" s="11"/>
      <c r="K860" s="11"/>
      <c r="L860" s="11"/>
      <c r="M860" s="15"/>
      <c r="N860" s="15"/>
      <c r="O860" s="15"/>
      <c r="P860" s="15"/>
      <c r="Q860" s="15"/>
      <c r="R860" s="15"/>
      <c r="S860" s="15"/>
      <c r="T860" s="15"/>
      <c r="U860" s="15"/>
      <c r="V860" s="15"/>
      <c r="W860" s="15"/>
      <c r="X860" s="15"/>
      <c r="Y860" s="15"/>
      <c r="Z860" s="15"/>
      <c r="AA860" s="15"/>
      <c r="AB860" s="15"/>
      <c r="AC860" s="15"/>
      <c r="AD860" s="15"/>
      <c r="AE860" s="15"/>
      <c r="AF860" s="15"/>
    </row>
    <row r="861" ht="15.75" customHeight="1">
      <c r="A861" s="15"/>
      <c r="B861" s="15"/>
      <c r="C861" s="21"/>
      <c r="D861" s="15"/>
      <c r="E861" s="15"/>
      <c r="F861" s="15"/>
      <c r="G861" s="15"/>
      <c r="H861" s="15"/>
      <c r="I861" s="11"/>
      <c r="J861" s="11"/>
      <c r="K861" s="11"/>
      <c r="L861" s="11"/>
      <c r="M861" s="15"/>
      <c r="N861" s="15"/>
      <c r="O861" s="15"/>
      <c r="P861" s="15"/>
      <c r="Q861" s="15"/>
      <c r="R861" s="15"/>
      <c r="S861" s="15"/>
      <c r="T861" s="15"/>
      <c r="U861" s="15"/>
      <c r="V861" s="15"/>
      <c r="W861" s="15"/>
      <c r="X861" s="15"/>
      <c r="Y861" s="15"/>
      <c r="Z861" s="15"/>
      <c r="AA861" s="15"/>
      <c r="AB861" s="15"/>
      <c r="AC861" s="15"/>
      <c r="AD861" s="15"/>
      <c r="AE861" s="15"/>
      <c r="AF861" s="15"/>
    </row>
    <row r="862" ht="15.75" customHeight="1">
      <c r="A862" s="15"/>
      <c r="B862" s="15"/>
      <c r="C862" s="21"/>
      <c r="D862" s="15"/>
      <c r="E862" s="15"/>
      <c r="F862" s="15"/>
      <c r="G862" s="15"/>
      <c r="H862" s="15"/>
      <c r="I862" s="11"/>
      <c r="J862" s="11"/>
      <c r="K862" s="11"/>
      <c r="L862" s="11"/>
      <c r="M862" s="15"/>
      <c r="N862" s="15"/>
      <c r="O862" s="15"/>
      <c r="P862" s="15"/>
      <c r="Q862" s="15"/>
      <c r="R862" s="15"/>
      <c r="S862" s="15"/>
      <c r="T862" s="15"/>
      <c r="U862" s="15"/>
      <c r="V862" s="15"/>
      <c r="W862" s="15"/>
      <c r="X862" s="15"/>
      <c r="Y862" s="15"/>
      <c r="Z862" s="15"/>
      <c r="AA862" s="15"/>
      <c r="AB862" s="15"/>
      <c r="AC862" s="15"/>
      <c r="AD862" s="15"/>
      <c r="AE862" s="15"/>
      <c r="AF862" s="15"/>
    </row>
    <row r="863" ht="15.75" customHeight="1">
      <c r="A863" s="15"/>
      <c r="B863" s="15"/>
      <c r="C863" s="21"/>
      <c r="D863" s="15"/>
      <c r="E863" s="15"/>
      <c r="F863" s="15"/>
      <c r="G863" s="15"/>
      <c r="H863" s="15"/>
      <c r="I863" s="11"/>
      <c r="J863" s="11"/>
      <c r="K863" s="11"/>
      <c r="L863" s="11"/>
      <c r="M863" s="15"/>
      <c r="N863" s="15"/>
      <c r="O863" s="15"/>
      <c r="P863" s="15"/>
      <c r="Q863" s="15"/>
      <c r="R863" s="15"/>
      <c r="S863" s="15"/>
      <c r="T863" s="15"/>
      <c r="U863" s="15"/>
      <c r="V863" s="15"/>
      <c r="W863" s="15"/>
      <c r="X863" s="15"/>
      <c r="Y863" s="15"/>
      <c r="Z863" s="15"/>
      <c r="AA863" s="15"/>
      <c r="AB863" s="15"/>
      <c r="AC863" s="15"/>
      <c r="AD863" s="15"/>
      <c r="AE863" s="15"/>
      <c r="AF863" s="15"/>
    </row>
    <row r="864" ht="15.75" customHeight="1">
      <c r="A864" s="15"/>
      <c r="B864" s="15"/>
      <c r="C864" s="21"/>
      <c r="D864" s="15"/>
      <c r="E864" s="15"/>
      <c r="F864" s="15"/>
      <c r="G864" s="15"/>
      <c r="H864" s="15"/>
      <c r="I864" s="11"/>
      <c r="J864" s="11"/>
      <c r="K864" s="11"/>
      <c r="L864" s="11"/>
      <c r="M864" s="15"/>
      <c r="N864" s="15"/>
      <c r="O864" s="15"/>
      <c r="P864" s="15"/>
      <c r="Q864" s="15"/>
      <c r="R864" s="15"/>
      <c r="S864" s="15"/>
      <c r="T864" s="15"/>
      <c r="U864" s="15"/>
      <c r="V864" s="15"/>
      <c r="W864" s="15"/>
      <c r="X864" s="15"/>
      <c r="Y864" s="15"/>
      <c r="Z864" s="15"/>
      <c r="AA864" s="15"/>
      <c r="AB864" s="15"/>
      <c r="AC864" s="15"/>
      <c r="AD864" s="15"/>
      <c r="AE864" s="15"/>
      <c r="AF864" s="15"/>
    </row>
    <row r="865" ht="15.75" customHeight="1">
      <c r="A865" s="15"/>
      <c r="B865" s="15"/>
      <c r="C865" s="21"/>
      <c r="D865" s="15"/>
      <c r="E865" s="15"/>
      <c r="F865" s="15"/>
      <c r="G865" s="15"/>
      <c r="H865" s="15"/>
      <c r="I865" s="11"/>
      <c r="J865" s="11"/>
      <c r="K865" s="11"/>
      <c r="L865" s="11"/>
      <c r="M865" s="15"/>
      <c r="N865" s="15"/>
      <c r="O865" s="15"/>
      <c r="P865" s="15"/>
      <c r="Q865" s="15"/>
      <c r="R865" s="15"/>
      <c r="S865" s="15"/>
      <c r="T865" s="15"/>
      <c r="U865" s="15"/>
      <c r="V865" s="15"/>
      <c r="W865" s="15"/>
      <c r="X865" s="15"/>
      <c r="Y865" s="15"/>
      <c r="Z865" s="15"/>
      <c r="AA865" s="15"/>
      <c r="AB865" s="15"/>
      <c r="AC865" s="15"/>
      <c r="AD865" s="15"/>
      <c r="AE865" s="15"/>
      <c r="AF865" s="15"/>
    </row>
    <row r="866" ht="15.75" customHeight="1">
      <c r="A866" s="15"/>
      <c r="B866" s="15"/>
      <c r="C866" s="21"/>
      <c r="D866" s="15"/>
      <c r="E866" s="15"/>
      <c r="F866" s="15"/>
      <c r="G866" s="15"/>
      <c r="H866" s="15"/>
      <c r="I866" s="11"/>
      <c r="J866" s="11"/>
      <c r="K866" s="11"/>
      <c r="L866" s="11"/>
      <c r="M866" s="15"/>
      <c r="N866" s="15"/>
      <c r="O866" s="15"/>
      <c r="P866" s="15"/>
      <c r="Q866" s="15"/>
      <c r="R866" s="15"/>
      <c r="S866" s="15"/>
      <c r="T866" s="15"/>
      <c r="U866" s="15"/>
      <c r="V866" s="15"/>
      <c r="W866" s="15"/>
      <c r="X866" s="15"/>
      <c r="Y866" s="15"/>
      <c r="Z866" s="15"/>
      <c r="AA866" s="15"/>
      <c r="AB866" s="15"/>
      <c r="AC866" s="15"/>
      <c r="AD866" s="15"/>
      <c r="AE866" s="15"/>
      <c r="AF866" s="15"/>
    </row>
    <row r="867" ht="15.75" customHeight="1">
      <c r="A867" s="15"/>
      <c r="B867" s="15"/>
      <c r="C867" s="21"/>
      <c r="D867" s="15"/>
      <c r="E867" s="15"/>
      <c r="F867" s="15"/>
      <c r="G867" s="15"/>
      <c r="H867" s="15"/>
      <c r="I867" s="11"/>
      <c r="J867" s="11"/>
      <c r="K867" s="11"/>
      <c r="L867" s="11"/>
      <c r="M867" s="15"/>
      <c r="N867" s="15"/>
      <c r="O867" s="15"/>
      <c r="P867" s="15"/>
      <c r="Q867" s="15"/>
      <c r="R867" s="15"/>
      <c r="S867" s="15"/>
      <c r="T867" s="15"/>
      <c r="U867" s="15"/>
      <c r="V867" s="15"/>
      <c r="W867" s="15"/>
      <c r="X867" s="15"/>
      <c r="Y867" s="15"/>
      <c r="Z867" s="15"/>
      <c r="AA867" s="15"/>
      <c r="AB867" s="15"/>
      <c r="AC867" s="15"/>
      <c r="AD867" s="15"/>
      <c r="AE867" s="15"/>
      <c r="AF867" s="15"/>
    </row>
    <row r="868" ht="15.75" customHeight="1">
      <c r="A868" s="15"/>
      <c r="B868" s="15"/>
      <c r="C868" s="21"/>
      <c r="D868" s="15"/>
      <c r="E868" s="15"/>
      <c r="F868" s="15"/>
      <c r="G868" s="15"/>
      <c r="H868" s="15"/>
      <c r="I868" s="11"/>
      <c r="J868" s="11"/>
      <c r="K868" s="11"/>
      <c r="L868" s="11"/>
      <c r="M868" s="15"/>
      <c r="N868" s="15"/>
      <c r="O868" s="15"/>
      <c r="P868" s="15"/>
      <c r="Q868" s="15"/>
      <c r="R868" s="15"/>
      <c r="S868" s="15"/>
      <c r="T868" s="15"/>
      <c r="U868" s="15"/>
      <c r="V868" s="15"/>
      <c r="W868" s="15"/>
      <c r="X868" s="15"/>
      <c r="Y868" s="15"/>
      <c r="Z868" s="15"/>
      <c r="AA868" s="15"/>
      <c r="AB868" s="15"/>
      <c r="AC868" s="15"/>
      <c r="AD868" s="15"/>
      <c r="AE868" s="15"/>
      <c r="AF868" s="15"/>
    </row>
    <row r="869" ht="15.75" customHeight="1">
      <c r="A869" s="15"/>
      <c r="B869" s="15"/>
      <c r="C869" s="21"/>
      <c r="D869" s="15"/>
      <c r="E869" s="15"/>
      <c r="F869" s="15"/>
      <c r="G869" s="15"/>
      <c r="H869" s="15"/>
      <c r="I869" s="11"/>
      <c r="J869" s="11"/>
      <c r="K869" s="11"/>
      <c r="L869" s="11"/>
      <c r="M869" s="15"/>
      <c r="N869" s="15"/>
      <c r="O869" s="15"/>
      <c r="P869" s="15"/>
      <c r="Q869" s="15"/>
      <c r="R869" s="15"/>
      <c r="S869" s="15"/>
      <c r="T869" s="15"/>
      <c r="U869" s="15"/>
      <c r="V869" s="15"/>
      <c r="W869" s="15"/>
      <c r="X869" s="15"/>
      <c r="Y869" s="15"/>
      <c r="Z869" s="15"/>
      <c r="AA869" s="15"/>
      <c r="AB869" s="15"/>
      <c r="AC869" s="15"/>
      <c r="AD869" s="15"/>
      <c r="AE869" s="15"/>
      <c r="AF869" s="15"/>
    </row>
    <row r="870" ht="15.75" customHeight="1">
      <c r="A870" s="15"/>
      <c r="B870" s="15"/>
      <c r="C870" s="21"/>
      <c r="D870" s="15"/>
      <c r="E870" s="15"/>
      <c r="F870" s="15"/>
      <c r="G870" s="15"/>
      <c r="H870" s="15"/>
      <c r="I870" s="11"/>
      <c r="J870" s="11"/>
      <c r="K870" s="11"/>
      <c r="L870" s="11"/>
      <c r="M870" s="15"/>
      <c r="N870" s="15"/>
      <c r="O870" s="15"/>
      <c r="P870" s="15"/>
      <c r="Q870" s="15"/>
      <c r="R870" s="15"/>
      <c r="S870" s="15"/>
      <c r="T870" s="15"/>
      <c r="U870" s="15"/>
      <c r="V870" s="15"/>
      <c r="W870" s="15"/>
      <c r="X870" s="15"/>
      <c r="Y870" s="15"/>
      <c r="Z870" s="15"/>
      <c r="AA870" s="15"/>
      <c r="AB870" s="15"/>
      <c r="AC870" s="15"/>
      <c r="AD870" s="15"/>
      <c r="AE870" s="15"/>
      <c r="AF870" s="15"/>
    </row>
    <row r="871" ht="15.75" customHeight="1">
      <c r="A871" s="15"/>
      <c r="B871" s="15"/>
      <c r="C871" s="21"/>
      <c r="D871" s="15"/>
      <c r="E871" s="15"/>
      <c r="F871" s="15"/>
      <c r="G871" s="15"/>
      <c r="H871" s="15"/>
      <c r="I871" s="11"/>
      <c r="J871" s="11"/>
      <c r="K871" s="11"/>
      <c r="L871" s="11"/>
      <c r="M871" s="15"/>
      <c r="N871" s="15"/>
      <c r="O871" s="15"/>
      <c r="P871" s="15"/>
      <c r="Q871" s="15"/>
      <c r="R871" s="15"/>
      <c r="S871" s="15"/>
      <c r="T871" s="15"/>
      <c r="U871" s="15"/>
      <c r="V871" s="15"/>
      <c r="W871" s="15"/>
      <c r="X871" s="15"/>
      <c r="Y871" s="15"/>
      <c r="Z871" s="15"/>
      <c r="AA871" s="15"/>
      <c r="AB871" s="15"/>
      <c r="AC871" s="15"/>
      <c r="AD871" s="15"/>
      <c r="AE871" s="15"/>
      <c r="AF871" s="15"/>
    </row>
    <row r="872" ht="15.75" customHeight="1">
      <c r="A872" s="15"/>
      <c r="B872" s="15"/>
      <c r="C872" s="21"/>
      <c r="D872" s="15"/>
      <c r="E872" s="15"/>
      <c r="F872" s="15"/>
      <c r="G872" s="15"/>
      <c r="H872" s="15"/>
      <c r="I872" s="11"/>
      <c r="J872" s="11"/>
      <c r="K872" s="11"/>
      <c r="L872" s="11"/>
      <c r="M872" s="15"/>
      <c r="N872" s="15"/>
      <c r="O872" s="15"/>
      <c r="P872" s="15"/>
      <c r="Q872" s="15"/>
      <c r="R872" s="15"/>
      <c r="S872" s="15"/>
      <c r="T872" s="15"/>
      <c r="U872" s="15"/>
      <c r="V872" s="15"/>
      <c r="W872" s="15"/>
      <c r="X872" s="15"/>
      <c r="Y872" s="15"/>
      <c r="Z872" s="15"/>
      <c r="AA872" s="15"/>
      <c r="AB872" s="15"/>
      <c r="AC872" s="15"/>
      <c r="AD872" s="15"/>
      <c r="AE872" s="15"/>
      <c r="AF872" s="15"/>
    </row>
    <row r="873" ht="15.75" customHeight="1">
      <c r="A873" s="15"/>
      <c r="B873" s="15"/>
      <c r="C873" s="21"/>
      <c r="D873" s="15"/>
      <c r="E873" s="15"/>
      <c r="F873" s="15"/>
      <c r="G873" s="15"/>
      <c r="H873" s="15"/>
      <c r="I873" s="11"/>
      <c r="J873" s="11"/>
      <c r="K873" s="11"/>
      <c r="L873" s="11"/>
      <c r="M873" s="15"/>
      <c r="N873" s="15"/>
      <c r="O873" s="15"/>
      <c r="P873" s="15"/>
      <c r="Q873" s="15"/>
      <c r="R873" s="15"/>
      <c r="S873" s="15"/>
      <c r="T873" s="15"/>
      <c r="U873" s="15"/>
      <c r="V873" s="15"/>
      <c r="W873" s="15"/>
      <c r="X873" s="15"/>
      <c r="Y873" s="15"/>
      <c r="Z873" s="15"/>
      <c r="AA873" s="15"/>
      <c r="AB873" s="15"/>
      <c r="AC873" s="15"/>
      <c r="AD873" s="15"/>
      <c r="AE873" s="15"/>
      <c r="AF873" s="15"/>
    </row>
    <row r="874" ht="15.75" customHeight="1">
      <c r="A874" s="15"/>
      <c r="B874" s="15"/>
      <c r="C874" s="21"/>
      <c r="D874" s="15"/>
      <c r="E874" s="15"/>
      <c r="F874" s="15"/>
      <c r="G874" s="15"/>
      <c r="H874" s="15"/>
      <c r="I874" s="11"/>
      <c r="J874" s="11"/>
      <c r="K874" s="11"/>
      <c r="L874" s="11"/>
      <c r="M874" s="15"/>
      <c r="N874" s="15"/>
      <c r="O874" s="15"/>
      <c r="P874" s="15"/>
      <c r="Q874" s="15"/>
      <c r="R874" s="15"/>
      <c r="S874" s="15"/>
      <c r="T874" s="15"/>
      <c r="U874" s="15"/>
      <c r="V874" s="15"/>
      <c r="W874" s="15"/>
      <c r="X874" s="15"/>
      <c r="Y874" s="15"/>
      <c r="Z874" s="15"/>
      <c r="AA874" s="15"/>
      <c r="AB874" s="15"/>
      <c r="AC874" s="15"/>
      <c r="AD874" s="15"/>
      <c r="AE874" s="15"/>
      <c r="AF874" s="15"/>
    </row>
    <row r="875" ht="15.75" customHeight="1">
      <c r="A875" s="15"/>
      <c r="B875" s="15"/>
      <c r="C875" s="21"/>
      <c r="D875" s="15"/>
      <c r="E875" s="15"/>
      <c r="F875" s="15"/>
      <c r="G875" s="15"/>
      <c r="H875" s="15"/>
      <c r="I875" s="11"/>
      <c r="J875" s="11"/>
      <c r="K875" s="11"/>
      <c r="L875" s="11"/>
      <c r="M875" s="15"/>
      <c r="N875" s="15"/>
      <c r="O875" s="15"/>
      <c r="P875" s="15"/>
      <c r="Q875" s="15"/>
      <c r="R875" s="15"/>
      <c r="S875" s="15"/>
      <c r="T875" s="15"/>
      <c r="U875" s="15"/>
      <c r="V875" s="15"/>
      <c r="W875" s="15"/>
      <c r="X875" s="15"/>
      <c r="Y875" s="15"/>
      <c r="Z875" s="15"/>
      <c r="AA875" s="15"/>
      <c r="AB875" s="15"/>
      <c r="AC875" s="15"/>
      <c r="AD875" s="15"/>
      <c r="AE875" s="15"/>
      <c r="AF875" s="15"/>
    </row>
    <row r="876" ht="15.75" customHeight="1">
      <c r="A876" s="15"/>
      <c r="B876" s="15"/>
      <c r="C876" s="21"/>
      <c r="D876" s="15"/>
      <c r="E876" s="15"/>
      <c r="F876" s="15"/>
      <c r="G876" s="15"/>
      <c r="H876" s="15"/>
      <c r="I876" s="11"/>
      <c r="J876" s="11"/>
      <c r="K876" s="11"/>
      <c r="L876" s="11"/>
      <c r="M876" s="15"/>
      <c r="N876" s="15"/>
      <c r="O876" s="15"/>
      <c r="P876" s="15"/>
      <c r="Q876" s="15"/>
      <c r="R876" s="15"/>
      <c r="S876" s="15"/>
      <c r="T876" s="15"/>
      <c r="U876" s="15"/>
      <c r="V876" s="15"/>
      <c r="W876" s="15"/>
      <c r="X876" s="15"/>
      <c r="Y876" s="15"/>
      <c r="Z876" s="15"/>
      <c r="AA876" s="15"/>
      <c r="AB876" s="15"/>
      <c r="AC876" s="15"/>
      <c r="AD876" s="15"/>
      <c r="AE876" s="15"/>
      <c r="AF876" s="15"/>
    </row>
    <row r="877" ht="15.75" customHeight="1">
      <c r="A877" s="15"/>
      <c r="B877" s="15"/>
      <c r="C877" s="21"/>
      <c r="D877" s="15"/>
      <c r="E877" s="15"/>
      <c r="F877" s="15"/>
      <c r="G877" s="15"/>
      <c r="H877" s="15"/>
      <c r="I877" s="11"/>
      <c r="J877" s="11"/>
      <c r="K877" s="11"/>
      <c r="L877" s="11"/>
      <c r="M877" s="15"/>
      <c r="N877" s="15"/>
      <c r="O877" s="15"/>
      <c r="P877" s="15"/>
      <c r="Q877" s="15"/>
      <c r="R877" s="15"/>
      <c r="S877" s="15"/>
      <c r="T877" s="15"/>
      <c r="U877" s="15"/>
      <c r="V877" s="15"/>
      <c r="W877" s="15"/>
      <c r="X877" s="15"/>
      <c r="Y877" s="15"/>
      <c r="Z877" s="15"/>
      <c r="AA877" s="15"/>
      <c r="AB877" s="15"/>
      <c r="AC877" s="15"/>
      <c r="AD877" s="15"/>
      <c r="AE877" s="15"/>
      <c r="AF877" s="15"/>
    </row>
    <row r="878" ht="15.75" customHeight="1">
      <c r="A878" s="15"/>
      <c r="B878" s="15"/>
      <c r="C878" s="21"/>
      <c r="D878" s="15"/>
      <c r="E878" s="15"/>
      <c r="F878" s="15"/>
      <c r="G878" s="15"/>
      <c r="H878" s="15"/>
      <c r="I878" s="11"/>
      <c r="J878" s="11"/>
      <c r="K878" s="11"/>
      <c r="L878" s="11"/>
      <c r="M878" s="15"/>
      <c r="N878" s="15"/>
      <c r="O878" s="15"/>
      <c r="P878" s="15"/>
      <c r="Q878" s="15"/>
      <c r="R878" s="15"/>
      <c r="S878" s="15"/>
      <c r="T878" s="15"/>
      <c r="U878" s="15"/>
      <c r="V878" s="15"/>
      <c r="W878" s="15"/>
      <c r="X878" s="15"/>
      <c r="Y878" s="15"/>
      <c r="Z878" s="15"/>
      <c r="AA878" s="15"/>
      <c r="AB878" s="15"/>
      <c r="AC878" s="15"/>
      <c r="AD878" s="15"/>
      <c r="AE878" s="15"/>
      <c r="AF878" s="15"/>
    </row>
    <row r="879" ht="15.75" customHeight="1">
      <c r="A879" s="15"/>
      <c r="B879" s="15"/>
      <c r="C879" s="21"/>
      <c r="D879" s="15"/>
      <c r="E879" s="15"/>
      <c r="F879" s="15"/>
      <c r="G879" s="15"/>
      <c r="H879" s="15"/>
      <c r="I879" s="11"/>
      <c r="J879" s="11"/>
      <c r="K879" s="11"/>
      <c r="L879" s="11"/>
      <c r="M879" s="15"/>
      <c r="N879" s="15"/>
      <c r="O879" s="15"/>
      <c r="P879" s="15"/>
      <c r="Q879" s="15"/>
      <c r="R879" s="15"/>
      <c r="S879" s="15"/>
      <c r="T879" s="15"/>
      <c r="U879" s="15"/>
      <c r="V879" s="15"/>
      <c r="W879" s="15"/>
      <c r="X879" s="15"/>
      <c r="Y879" s="15"/>
      <c r="Z879" s="15"/>
      <c r="AA879" s="15"/>
      <c r="AB879" s="15"/>
      <c r="AC879" s="15"/>
      <c r="AD879" s="15"/>
      <c r="AE879" s="15"/>
      <c r="AF879" s="15"/>
    </row>
    <row r="880" ht="15.75" customHeight="1">
      <c r="A880" s="15"/>
      <c r="B880" s="15"/>
      <c r="C880" s="21"/>
      <c r="D880" s="15"/>
      <c r="E880" s="15"/>
      <c r="F880" s="15"/>
      <c r="G880" s="15"/>
      <c r="H880" s="15"/>
      <c r="I880" s="11"/>
      <c r="J880" s="11"/>
      <c r="K880" s="11"/>
      <c r="L880" s="11"/>
      <c r="M880" s="15"/>
      <c r="N880" s="15"/>
      <c r="O880" s="15"/>
      <c r="P880" s="15"/>
      <c r="Q880" s="15"/>
      <c r="R880" s="15"/>
      <c r="S880" s="15"/>
      <c r="T880" s="15"/>
      <c r="U880" s="15"/>
      <c r="V880" s="15"/>
      <c r="W880" s="15"/>
      <c r="X880" s="15"/>
      <c r="Y880" s="15"/>
      <c r="Z880" s="15"/>
      <c r="AA880" s="15"/>
      <c r="AB880" s="15"/>
      <c r="AC880" s="15"/>
      <c r="AD880" s="15"/>
      <c r="AE880" s="15"/>
      <c r="AF880" s="15"/>
    </row>
    <row r="881" ht="15.75" customHeight="1">
      <c r="A881" s="15"/>
      <c r="B881" s="15"/>
      <c r="C881" s="21"/>
      <c r="D881" s="15"/>
      <c r="E881" s="15"/>
      <c r="F881" s="15"/>
      <c r="G881" s="15"/>
      <c r="H881" s="15"/>
      <c r="I881" s="11"/>
      <c r="J881" s="11"/>
      <c r="K881" s="11"/>
      <c r="L881" s="11"/>
      <c r="M881" s="15"/>
      <c r="N881" s="15"/>
      <c r="O881" s="15"/>
      <c r="P881" s="15"/>
      <c r="Q881" s="15"/>
      <c r="R881" s="15"/>
      <c r="S881" s="15"/>
      <c r="T881" s="15"/>
      <c r="U881" s="15"/>
      <c r="V881" s="15"/>
      <c r="W881" s="15"/>
      <c r="X881" s="15"/>
      <c r="Y881" s="15"/>
      <c r="Z881" s="15"/>
      <c r="AA881" s="15"/>
      <c r="AB881" s="15"/>
      <c r="AC881" s="15"/>
      <c r="AD881" s="15"/>
      <c r="AE881" s="15"/>
      <c r="AF881" s="15"/>
    </row>
    <row r="882" ht="15.75" customHeight="1">
      <c r="A882" s="15"/>
      <c r="B882" s="15"/>
      <c r="C882" s="21"/>
      <c r="D882" s="15"/>
      <c r="E882" s="15"/>
      <c r="F882" s="15"/>
      <c r="G882" s="15"/>
      <c r="H882" s="15"/>
      <c r="I882" s="11"/>
      <c r="J882" s="11"/>
      <c r="K882" s="11"/>
      <c r="L882" s="11"/>
      <c r="M882" s="15"/>
      <c r="N882" s="15"/>
      <c r="O882" s="15"/>
      <c r="P882" s="15"/>
      <c r="Q882" s="15"/>
      <c r="R882" s="15"/>
      <c r="S882" s="15"/>
      <c r="T882" s="15"/>
      <c r="U882" s="15"/>
      <c r="V882" s="15"/>
      <c r="W882" s="15"/>
      <c r="X882" s="15"/>
      <c r="Y882" s="15"/>
      <c r="Z882" s="15"/>
      <c r="AA882" s="15"/>
      <c r="AB882" s="15"/>
      <c r="AC882" s="15"/>
      <c r="AD882" s="15"/>
      <c r="AE882" s="15"/>
      <c r="AF882" s="15"/>
    </row>
    <row r="883" ht="15.75" customHeight="1">
      <c r="A883" s="15"/>
      <c r="B883" s="15"/>
      <c r="C883" s="21"/>
      <c r="D883" s="15"/>
      <c r="E883" s="15"/>
      <c r="F883" s="15"/>
      <c r="G883" s="15"/>
      <c r="H883" s="15"/>
      <c r="I883" s="11"/>
      <c r="J883" s="11"/>
      <c r="K883" s="11"/>
      <c r="L883" s="11"/>
      <c r="M883" s="15"/>
      <c r="N883" s="15"/>
      <c r="O883" s="15"/>
      <c r="P883" s="15"/>
      <c r="Q883" s="15"/>
      <c r="R883" s="15"/>
      <c r="S883" s="15"/>
      <c r="T883" s="15"/>
      <c r="U883" s="15"/>
      <c r="V883" s="15"/>
      <c r="W883" s="15"/>
      <c r="X883" s="15"/>
      <c r="Y883" s="15"/>
      <c r="Z883" s="15"/>
      <c r="AA883" s="15"/>
      <c r="AB883" s="15"/>
      <c r="AC883" s="15"/>
      <c r="AD883" s="15"/>
      <c r="AE883" s="15"/>
      <c r="AF883" s="15"/>
    </row>
    <row r="884" ht="15.75" customHeight="1">
      <c r="A884" s="15"/>
      <c r="B884" s="15"/>
      <c r="C884" s="21"/>
      <c r="D884" s="15"/>
      <c r="E884" s="15"/>
      <c r="F884" s="15"/>
      <c r="G884" s="15"/>
      <c r="H884" s="15"/>
      <c r="I884" s="11"/>
      <c r="J884" s="11"/>
      <c r="K884" s="11"/>
      <c r="L884" s="11"/>
      <c r="M884" s="15"/>
      <c r="N884" s="15"/>
      <c r="O884" s="15"/>
      <c r="P884" s="15"/>
      <c r="Q884" s="15"/>
      <c r="R884" s="15"/>
      <c r="S884" s="15"/>
      <c r="T884" s="15"/>
      <c r="U884" s="15"/>
      <c r="V884" s="15"/>
      <c r="W884" s="15"/>
      <c r="X884" s="15"/>
      <c r="Y884" s="15"/>
      <c r="Z884" s="15"/>
      <c r="AA884" s="15"/>
      <c r="AB884" s="15"/>
      <c r="AC884" s="15"/>
      <c r="AD884" s="15"/>
      <c r="AE884" s="15"/>
      <c r="AF884" s="15"/>
    </row>
    <row r="885" ht="15.75" customHeight="1">
      <c r="A885" s="15"/>
      <c r="B885" s="15"/>
      <c r="C885" s="21"/>
      <c r="D885" s="15"/>
      <c r="E885" s="15"/>
      <c r="F885" s="15"/>
      <c r="G885" s="15"/>
      <c r="H885" s="15"/>
      <c r="I885" s="11"/>
      <c r="J885" s="11"/>
      <c r="K885" s="11"/>
      <c r="L885" s="11"/>
      <c r="M885" s="15"/>
      <c r="N885" s="15"/>
      <c r="O885" s="15"/>
      <c r="P885" s="15"/>
      <c r="Q885" s="15"/>
      <c r="R885" s="15"/>
      <c r="S885" s="15"/>
      <c r="T885" s="15"/>
      <c r="U885" s="15"/>
      <c r="V885" s="15"/>
      <c r="W885" s="15"/>
      <c r="X885" s="15"/>
      <c r="Y885" s="15"/>
      <c r="Z885" s="15"/>
      <c r="AA885" s="15"/>
      <c r="AB885" s="15"/>
      <c r="AC885" s="15"/>
      <c r="AD885" s="15"/>
      <c r="AE885" s="15"/>
      <c r="AF885" s="15"/>
    </row>
    <row r="886" ht="15.75" customHeight="1">
      <c r="A886" s="15"/>
      <c r="B886" s="15"/>
      <c r="C886" s="21"/>
      <c r="D886" s="15"/>
      <c r="E886" s="15"/>
      <c r="F886" s="15"/>
      <c r="G886" s="15"/>
      <c r="H886" s="15"/>
      <c r="I886" s="11"/>
      <c r="J886" s="11"/>
      <c r="K886" s="11"/>
      <c r="L886" s="11"/>
      <c r="M886" s="15"/>
      <c r="N886" s="15"/>
      <c r="O886" s="15"/>
      <c r="P886" s="15"/>
      <c r="Q886" s="15"/>
      <c r="R886" s="15"/>
      <c r="S886" s="15"/>
      <c r="T886" s="15"/>
      <c r="U886" s="15"/>
      <c r="V886" s="15"/>
      <c r="W886" s="15"/>
      <c r="X886" s="15"/>
      <c r="Y886" s="15"/>
      <c r="Z886" s="15"/>
      <c r="AA886" s="15"/>
      <c r="AB886" s="15"/>
      <c r="AC886" s="15"/>
      <c r="AD886" s="15"/>
      <c r="AE886" s="15"/>
      <c r="AF886" s="15"/>
    </row>
    <row r="887" ht="15.75" customHeight="1">
      <c r="A887" s="15"/>
      <c r="B887" s="15"/>
      <c r="C887" s="21"/>
      <c r="D887" s="15"/>
      <c r="E887" s="15"/>
      <c r="F887" s="15"/>
      <c r="G887" s="15"/>
      <c r="H887" s="15"/>
      <c r="I887" s="11"/>
      <c r="J887" s="11"/>
      <c r="K887" s="11"/>
      <c r="L887" s="11"/>
      <c r="M887" s="15"/>
      <c r="N887" s="15"/>
      <c r="O887" s="15"/>
      <c r="P887" s="15"/>
      <c r="Q887" s="15"/>
      <c r="R887" s="15"/>
      <c r="S887" s="15"/>
      <c r="T887" s="15"/>
      <c r="U887" s="15"/>
      <c r="V887" s="15"/>
      <c r="W887" s="15"/>
      <c r="X887" s="15"/>
      <c r="Y887" s="15"/>
      <c r="Z887" s="15"/>
      <c r="AA887" s="15"/>
      <c r="AB887" s="15"/>
      <c r="AC887" s="15"/>
      <c r="AD887" s="15"/>
      <c r="AE887" s="15"/>
      <c r="AF887" s="15"/>
    </row>
    <row r="888" ht="15.75" customHeight="1">
      <c r="A888" s="15"/>
      <c r="B888" s="15"/>
      <c r="C888" s="21"/>
      <c r="D888" s="15"/>
      <c r="E888" s="15"/>
      <c r="F888" s="15"/>
      <c r="G888" s="15"/>
      <c r="H888" s="15"/>
      <c r="I888" s="11"/>
      <c r="J888" s="11"/>
      <c r="K888" s="11"/>
      <c r="L888" s="11"/>
      <c r="M888" s="15"/>
      <c r="N888" s="15"/>
      <c r="O888" s="15"/>
      <c r="P888" s="15"/>
      <c r="Q888" s="15"/>
      <c r="R888" s="15"/>
      <c r="S888" s="15"/>
      <c r="T888" s="15"/>
      <c r="U888" s="15"/>
      <c r="V888" s="15"/>
      <c r="W888" s="15"/>
      <c r="X888" s="15"/>
      <c r="Y888" s="15"/>
      <c r="Z888" s="15"/>
      <c r="AA888" s="15"/>
      <c r="AB888" s="15"/>
      <c r="AC888" s="15"/>
      <c r="AD888" s="15"/>
      <c r="AE888" s="15"/>
      <c r="AF888" s="15"/>
    </row>
    <row r="889" ht="15.75" customHeight="1">
      <c r="A889" s="15"/>
      <c r="B889" s="15"/>
      <c r="C889" s="21"/>
      <c r="D889" s="15"/>
      <c r="E889" s="15"/>
      <c r="F889" s="15"/>
      <c r="G889" s="15"/>
      <c r="H889" s="15"/>
      <c r="I889" s="11"/>
      <c r="J889" s="11"/>
      <c r="K889" s="11"/>
      <c r="L889" s="11"/>
      <c r="M889" s="15"/>
      <c r="N889" s="15"/>
      <c r="O889" s="15"/>
      <c r="P889" s="15"/>
      <c r="Q889" s="15"/>
      <c r="R889" s="15"/>
      <c r="S889" s="15"/>
      <c r="T889" s="15"/>
      <c r="U889" s="15"/>
      <c r="V889" s="15"/>
      <c r="W889" s="15"/>
      <c r="X889" s="15"/>
      <c r="Y889" s="15"/>
      <c r="Z889" s="15"/>
      <c r="AA889" s="15"/>
      <c r="AB889" s="15"/>
      <c r="AC889" s="15"/>
      <c r="AD889" s="15"/>
      <c r="AE889" s="15"/>
      <c r="AF889" s="15"/>
    </row>
    <row r="890" ht="15.75" customHeight="1">
      <c r="A890" s="15"/>
      <c r="B890" s="15"/>
      <c r="C890" s="21"/>
      <c r="D890" s="15"/>
      <c r="E890" s="15"/>
      <c r="F890" s="15"/>
      <c r="G890" s="15"/>
      <c r="H890" s="15"/>
      <c r="I890" s="11"/>
      <c r="J890" s="11"/>
      <c r="K890" s="11"/>
      <c r="L890" s="11"/>
      <c r="M890" s="15"/>
      <c r="N890" s="15"/>
      <c r="O890" s="15"/>
      <c r="P890" s="15"/>
      <c r="Q890" s="15"/>
      <c r="R890" s="15"/>
      <c r="S890" s="15"/>
      <c r="T890" s="15"/>
      <c r="U890" s="15"/>
      <c r="V890" s="15"/>
      <c r="W890" s="15"/>
      <c r="X890" s="15"/>
      <c r="Y890" s="15"/>
      <c r="Z890" s="15"/>
      <c r="AA890" s="15"/>
      <c r="AB890" s="15"/>
      <c r="AC890" s="15"/>
      <c r="AD890" s="15"/>
      <c r="AE890" s="15"/>
      <c r="AF890" s="15"/>
    </row>
    <row r="891" ht="15.75" customHeight="1">
      <c r="A891" s="15"/>
      <c r="B891" s="15"/>
      <c r="C891" s="21"/>
      <c r="D891" s="15"/>
      <c r="E891" s="15"/>
      <c r="F891" s="15"/>
      <c r="G891" s="15"/>
      <c r="H891" s="15"/>
      <c r="I891" s="11"/>
      <c r="J891" s="11"/>
      <c r="K891" s="11"/>
      <c r="L891" s="11"/>
      <c r="M891" s="15"/>
      <c r="N891" s="15"/>
      <c r="O891" s="15"/>
      <c r="P891" s="15"/>
      <c r="Q891" s="15"/>
      <c r="R891" s="15"/>
      <c r="S891" s="15"/>
      <c r="T891" s="15"/>
      <c r="U891" s="15"/>
      <c r="V891" s="15"/>
      <c r="W891" s="15"/>
      <c r="X891" s="15"/>
      <c r="Y891" s="15"/>
      <c r="Z891" s="15"/>
      <c r="AA891" s="15"/>
      <c r="AB891" s="15"/>
      <c r="AC891" s="15"/>
      <c r="AD891" s="15"/>
      <c r="AE891" s="15"/>
      <c r="AF891" s="15"/>
    </row>
    <row r="892" ht="15.75" customHeight="1">
      <c r="A892" s="15"/>
      <c r="B892" s="15"/>
      <c r="C892" s="21"/>
      <c r="D892" s="15"/>
      <c r="E892" s="15"/>
      <c r="F892" s="15"/>
      <c r="G892" s="15"/>
      <c r="H892" s="15"/>
      <c r="I892" s="11"/>
      <c r="J892" s="11"/>
      <c r="K892" s="11"/>
      <c r="L892" s="11"/>
      <c r="M892" s="15"/>
      <c r="N892" s="15"/>
      <c r="O892" s="15"/>
      <c r="P892" s="15"/>
      <c r="Q892" s="15"/>
      <c r="R892" s="15"/>
      <c r="S892" s="15"/>
      <c r="T892" s="15"/>
      <c r="U892" s="15"/>
      <c r="V892" s="15"/>
      <c r="W892" s="15"/>
      <c r="X892" s="15"/>
      <c r="Y892" s="15"/>
      <c r="Z892" s="15"/>
      <c r="AA892" s="15"/>
      <c r="AB892" s="15"/>
      <c r="AC892" s="15"/>
      <c r="AD892" s="15"/>
      <c r="AE892" s="15"/>
      <c r="AF892" s="15"/>
    </row>
    <row r="893" ht="15.75" customHeight="1">
      <c r="A893" s="15"/>
      <c r="B893" s="15"/>
      <c r="C893" s="21"/>
      <c r="D893" s="15"/>
      <c r="E893" s="15"/>
      <c r="F893" s="15"/>
      <c r="G893" s="15"/>
      <c r="H893" s="15"/>
      <c r="I893" s="11"/>
      <c r="J893" s="11"/>
      <c r="K893" s="11"/>
      <c r="L893" s="11"/>
      <c r="M893" s="15"/>
      <c r="N893" s="15"/>
      <c r="O893" s="15"/>
      <c r="P893" s="15"/>
      <c r="Q893" s="15"/>
      <c r="R893" s="15"/>
      <c r="S893" s="15"/>
      <c r="T893" s="15"/>
      <c r="U893" s="15"/>
      <c r="V893" s="15"/>
      <c r="W893" s="15"/>
      <c r="X893" s="15"/>
      <c r="Y893" s="15"/>
      <c r="Z893" s="15"/>
      <c r="AA893" s="15"/>
      <c r="AB893" s="15"/>
      <c r="AC893" s="15"/>
      <c r="AD893" s="15"/>
      <c r="AE893" s="15"/>
      <c r="AF893" s="15"/>
    </row>
    <row r="894" ht="15.75" customHeight="1">
      <c r="A894" s="15"/>
      <c r="B894" s="15"/>
      <c r="C894" s="21"/>
      <c r="D894" s="15"/>
      <c r="E894" s="15"/>
      <c r="F894" s="15"/>
      <c r="G894" s="15"/>
      <c r="H894" s="15"/>
      <c r="I894" s="11"/>
      <c r="J894" s="11"/>
      <c r="K894" s="11"/>
      <c r="L894" s="11"/>
      <c r="M894" s="15"/>
      <c r="N894" s="15"/>
      <c r="O894" s="15"/>
      <c r="P894" s="15"/>
      <c r="Q894" s="15"/>
      <c r="R894" s="15"/>
      <c r="S894" s="15"/>
      <c r="T894" s="15"/>
      <c r="U894" s="15"/>
      <c r="V894" s="15"/>
      <c r="W894" s="15"/>
      <c r="X894" s="15"/>
      <c r="Y894" s="15"/>
      <c r="Z894" s="15"/>
      <c r="AA894" s="15"/>
      <c r="AB894" s="15"/>
      <c r="AC894" s="15"/>
      <c r="AD894" s="15"/>
      <c r="AE894" s="15"/>
      <c r="AF894" s="15"/>
    </row>
    <row r="895" ht="15.75" customHeight="1">
      <c r="A895" s="15"/>
      <c r="B895" s="15"/>
      <c r="C895" s="21"/>
      <c r="D895" s="15"/>
      <c r="E895" s="15"/>
      <c r="F895" s="15"/>
      <c r="G895" s="15"/>
      <c r="H895" s="15"/>
      <c r="I895" s="11"/>
      <c r="J895" s="11"/>
      <c r="K895" s="11"/>
      <c r="L895" s="11"/>
      <c r="M895" s="15"/>
      <c r="N895" s="15"/>
      <c r="O895" s="15"/>
      <c r="P895" s="15"/>
      <c r="Q895" s="15"/>
      <c r="R895" s="15"/>
      <c r="S895" s="15"/>
      <c r="T895" s="15"/>
      <c r="U895" s="15"/>
      <c r="V895" s="15"/>
      <c r="W895" s="15"/>
      <c r="X895" s="15"/>
      <c r="Y895" s="15"/>
      <c r="Z895" s="15"/>
      <c r="AA895" s="15"/>
      <c r="AB895" s="15"/>
      <c r="AC895" s="15"/>
      <c r="AD895" s="15"/>
      <c r="AE895" s="15"/>
      <c r="AF895" s="15"/>
    </row>
    <row r="896" ht="15.75" customHeight="1">
      <c r="A896" s="15"/>
      <c r="B896" s="15"/>
      <c r="C896" s="21"/>
      <c r="D896" s="15"/>
      <c r="E896" s="15"/>
      <c r="F896" s="15"/>
      <c r="G896" s="15"/>
      <c r="H896" s="15"/>
      <c r="I896" s="11"/>
      <c r="J896" s="11"/>
      <c r="K896" s="11"/>
      <c r="L896" s="11"/>
      <c r="M896" s="15"/>
      <c r="N896" s="15"/>
      <c r="O896" s="15"/>
      <c r="P896" s="15"/>
      <c r="Q896" s="15"/>
      <c r="R896" s="15"/>
      <c r="S896" s="15"/>
      <c r="T896" s="15"/>
      <c r="U896" s="15"/>
      <c r="V896" s="15"/>
      <c r="W896" s="15"/>
      <c r="X896" s="15"/>
      <c r="Y896" s="15"/>
      <c r="Z896" s="15"/>
      <c r="AA896" s="15"/>
      <c r="AB896" s="15"/>
      <c r="AC896" s="15"/>
      <c r="AD896" s="15"/>
      <c r="AE896" s="15"/>
      <c r="AF896" s="15"/>
    </row>
    <row r="897" ht="15.75" customHeight="1">
      <c r="A897" s="15"/>
      <c r="B897" s="15"/>
      <c r="C897" s="21"/>
      <c r="D897" s="15"/>
      <c r="E897" s="15"/>
      <c r="F897" s="15"/>
      <c r="G897" s="15"/>
      <c r="H897" s="15"/>
      <c r="I897" s="11"/>
      <c r="J897" s="11"/>
      <c r="K897" s="11"/>
      <c r="L897" s="11"/>
      <c r="M897" s="15"/>
      <c r="N897" s="15"/>
      <c r="O897" s="15"/>
      <c r="P897" s="15"/>
      <c r="Q897" s="15"/>
      <c r="R897" s="15"/>
      <c r="S897" s="15"/>
      <c r="T897" s="15"/>
      <c r="U897" s="15"/>
      <c r="V897" s="15"/>
      <c r="W897" s="15"/>
      <c r="X897" s="15"/>
      <c r="Y897" s="15"/>
      <c r="Z897" s="15"/>
      <c r="AA897" s="15"/>
      <c r="AB897" s="15"/>
      <c r="AC897" s="15"/>
      <c r="AD897" s="15"/>
      <c r="AE897" s="15"/>
      <c r="AF897" s="15"/>
    </row>
    <row r="898" ht="15.75" customHeight="1">
      <c r="A898" s="15"/>
      <c r="B898" s="15"/>
      <c r="C898" s="21"/>
      <c r="D898" s="15"/>
      <c r="E898" s="15"/>
      <c r="F898" s="15"/>
      <c r="G898" s="15"/>
      <c r="H898" s="15"/>
      <c r="I898" s="11"/>
      <c r="J898" s="11"/>
      <c r="K898" s="11"/>
      <c r="L898" s="11"/>
      <c r="M898" s="15"/>
      <c r="N898" s="15"/>
      <c r="O898" s="15"/>
      <c r="P898" s="15"/>
      <c r="Q898" s="15"/>
      <c r="R898" s="15"/>
      <c r="S898" s="15"/>
      <c r="T898" s="15"/>
      <c r="U898" s="15"/>
      <c r="V898" s="15"/>
      <c r="W898" s="15"/>
      <c r="X898" s="15"/>
      <c r="Y898" s="15"/>
      <c r="Z898" s="15"/>
      <c r="AA898" s="15"/>
      <c r="AB898" s="15"/>
      <c r="AC898" s="15"/>
      <c r="AD898" s="15"/>
      <c r="AE898" s="15"/>
      <c r="AF898" s="15"/>
    </row>
    <row r="899" ht="15.75" customHeight="1">
      <c r="A899" s="15"/>
      <c r="B899" s="15"/>
      <c r="C899" s="21"/>
      <c r="D899" s="15"/>
      <c r="E899" s="15"/>
      <c r="F899" s="15"/>
      <c r="G899" s="15"/>
      <c r="H899" s="15"/>
      <c r="I899" s="11"/>
      <c r="J899" s="11"/>
      <c r="K899" s="11"/>
      <c r="L899" s="11"/>
      <c r="M899" s="15"/>
      <c r="N899" s="15"/>
      <c r="O899" s="15"/>
      <c r="P899" s="15"/>
      <c r="Q899" s="15"/>
      <c r="R899" s="15"/>
      <c r="S899" s="15"/>
      <c r="T899" s="15"/>
      <c r="U899" s="15"/>
      <c r="V899" s="15"/>
      <c r="W899" s="15"/>
      <c r="X899" s="15"/>
      <c r="Y899" s="15"/>
      <c r="Z899" s="15"/>
      <c r="AA899" s="15"/>
      <c r="AB899" s="15"/>
      <c r="AC899" s="15"/>
      <c r="AD899" s="15"/>
      <c r="AE899" s="15"/>
      <c r="AF899" s="15"/>
    </row>
    <row r="900" ht="15.75" customHeight="1">
      <c r="A900" s="15"/>
      <c r="B900" s="15"/>
      <c r="C900" s="21"/>
      <c r="D900" s="15"/>
      <c r="E900" s="15"/>
      <c r="F900" s="15"/>
      <c r="G900" s="15"/>
      <c r="H900" s="15"/>
      <c r="I900" s="11"/>
      <c r="J900" s="11"/>
      <c r="K900" s="11"/>
      <c r="L900" s="11"/>
      <c r="M900" s="15"/>
      <c r="N900" s="15"/>
      <c r="O900" s="15"/>
      <c r="P900" s="15"/>
      <c r="Q900" s="15"/>
      <c r="R900" s="15"/>
      <c r="S900" s="15"/>
      <c r="T900" s="15"/>
      <c r="U900" s="15"/>
      <c r="V900" s="15"/>
      <c r="W900" s="15"/>
      <c r="X900" s="15"/>
      <c r="Y900" s="15"/>
      <c r="Z900" s="15"/>
      <c r="AA900" s="15"/>
      <c r="AB900" s="15"/>
      <c r="AC900" s="15"/>
      <c r="AD900" s="15"/>
      <c r="AE900" s="15"/>
      <c r="AF900" s="15"/>
    </row>
    <row r="901" ht="15.75" customHeight="1">
      <c r="A901" s="15"/>
      <c r="B901" s="15"/>
      <c r="C901" s="21"/>
      <c r="D901" s="15"/>
      <c r="E901" s="15"/>
      <c r="F901" s="15"/>
      <c r="G901" s="15"/>
      <c r="H901" s="15"/>
      <c r="I901" s="11"/>
      <c r="J901" s="11"/>
      <c r="K901" s="11"/>
      <c r="L901" s="11"/>
      <c r="M901" s="15"/>
      <c r="N901" s="15"/>
      <c r="O901" s="15"/>
      <c r="P901" s="15"/>
      <c r="Q901" s="15"/>
      <c r="R901" s="15"/>
      <c r="S901" s="15"/>
      <c r="T901" s="15"/>
      <c r="U901" s="15"/>
      <c r="V901" s="15"/>
      <c r="W901" s="15"/>
      <c r="X901" s="15"/>
      <c r="Y901" s="15"/>
      <c r="Z901" s="15"/>
      <c r="AA901" s="15"/>
      <c r="AB901" s="15"/>
      <c r="AC901" s="15"/>
      <c r="AD901" s="15"/>
      <c r="AE901" s="15"/>
      <c r="AF901" s="15"/>
    </row>
    <row r="902" ht="15.75" customHeight="1">
      <c r="A902" s="15"/>
      <c r="B902" s="15"/>
      <c r="C902" s="21"/>
      <c r="D902" s="15"/>
      <c r="E902" s="15"/>
      <c r="F902" s="15"/>
      <c r="G902" s="15"/>
      <c r="H902" s="15"/>
      <c r="I902" s="11"/>
      <c r="J902" s="11"/>
      <c r="K902" s="11"/>
      <c r="L902" s="11"/>
      <c r="M902" s="15"/>
      <c r="N902" s="15"/>
      <c r="O902" s="15"/>
      <c r="P902" s="15"/>
      <c r="Q902" s="15"/>
      <c r="R902" s="15"/>
      <c r="S902" s="15"/>
      <c r="T902" s="15"/>
      <c r="U902" s="15"/>
      <c r="V902" s="15"/>
      <c r="W902" s="15"/>
      <c r="X902" s="15"/>
      <c r="Y902" s="15"/>
      <c r="Z902" s="15"/>
      <c r="AA902" s="15"/>
      <c r="AB902" s="15"/>
      <c r="AC902" s="15"/>
      <c r="AD902" s="15"/>
      <c r="AE902" s="15"/>
      <c r="AF902" s="15"/>
    </row>
    <row r="903" ht="15.75" customHeight="1">
      <c r="A903" s="15"/>
      <c r="B903" s="15"/>
      <c r="C903" s="21"/>
      <c r="D903" s="15"/>
      <c r="E903" s="15"/>
      <c r="F903" s="15"/>
      <c r="G903" s="15"/>
      <c r="H903" s="15"/>
      <c r="I903" s="11"/>
      <c r="J903" s="11"/>
      <c r="K903" s="11"/>
      <c r="L903" s="11"/>
      <c r="M903" s="15"/>
      <c r="N903" s="15"/>
      <c r="O903" s="15"/>
      <c r="P903" s="15"/>
      <c r="Q903" s="15"/>
      <c r="R903" s="15"/>
      <c r="S903" s="15"/>
      <c r="T903" s="15"/>
      <c r="U903" s="15"/>
      <c r="V903" s="15"/>
      <c r="W903" s="15"/>
      <c r="X903" s="15"/>
      <c r="Y903" s="15"/>
      <c r="Z903" s="15"/>
      <c r="AA903" s="15"/>
      <c r="AB903" s="15"/>
      <c r="AC903" s="15"/>
      <c r="AD903" s="15"/>
      <c r="AE903" s="15"/>
      <c r="AF903" s="15"/>
    </row>
    <row r="904" ht="15.75" customHeight="1">
      <c r="A904" s="15"/>
      <c r="B904" s="15"/>
      <c r="C904" s="21"/>
      <c r="D904" s="15"/>
      <c r="E904" s="15"/>
      <c r="F904" s="15"/>
      <c r="G904" s="15"/>
      <c r="H904" s="15"/>
      <c r="I904" s="11"/>
      <c r="J904" s="11"/>
      <c r="K904" s="11"/>
      <c r="L904" s="11"/>
      <c r="M904" s="15"/>
      <c r="N904" s="15"/>
      <c r="O904" s="15"/>
      <c r="P904" s="15"/>
      <c r="Q904" s="15"/>
      <c r="R904" s="15"/>
      <c r="S904" s="15"/>
      <c r="T904" s="15"/>
      <c r="U904" s="15"/>
      <c r="V904" s="15"/>
      <c r="W904" s="15"/>
      <c r="X904" s="15"/>
      <c r="Y904" s="15"/>
      <c r="Z904" s="15"/>
      <c r="AA904" s="15"/>
      <c r="AB904" s="15"/>
      <c r="AC904" s="15"/>
      <c r="AD904" s="15"/>
      <c r="AE904" s="15"/>
      <c r="AF904" s="15"/>
    </row>
    <row r="905" ht="15.75" customHeight="1">
      <c r="A905" s="15"/>
      <c r="B905" s="15"/>
      <c r="C905" s="21"/>
      <c r="D905" s="15"/>
      <c r="E905" s="15"/>
      <c r="F905" s="15"/>
      <c r="G905" s="15"/>
      <c r="H905" s="15"/>
      <c r="I905" s="11"/>
      <c r="J905" s="11"/>
      <c r="K905" s="11"/>
      <c r="L905" s="11"/>
      <c r="M905" s="15"/>
      <c r="N905" s="15"/>
      <c r="O905" s="15"/>
      <c r="P905" s="15"/>
      <c r="Q905" s="15"/>
      <c r="R905" s="15"/>
      <c r="S905" s="15"/>
      <c r="T905" s="15"/>
      <c r="U905" s="15"/>
      <c r="V905" s="15"/>
      <c r="W905" s="15"/>
      <c r="X905" s="15"/>
      <c r="Y905" s="15"/>
      <c r="Z905" s="15"/>
      <c r="AA905" s="15"/>
      <c r="AB905" s="15"/>
      <c r="AC905" s="15"/>
      <c r="AD905" s="15"/>
      <c r="AE905" s="15"/>
      <c r="AF905" s="15"/>
    </row>
    <row r="906" ht="15.75" customHeight="1">
      <c r="A906" s="15"/>
      <c r="B906" s="15"/>
      <c r="C906" s="21"/>
      <c r="D906" s="15"/>
      <c r="E906" s="15"/>
      <c r="F906" s="15"/>
      <c r="G906" s="15"/>
      <c r="H906" s="15"/>
      <c r="I906" s="11"/>
      <c r="J906" s="11"/>
      <c r="K906" s="11"/>
      <c r="L906" s="11"/>
      <c r="M906" s="15"/>
      <c r="N906" s="15"/>
      <c r="O906" s="15"/>
      <c r="P906" s="15"/>
      <c r="Q906" s="15"/>
      <c r="R906" s="15"/>
      <c r="S906" s="15"/>
      <c r="T906" s="15"/>
      <c r="U906" s="15"/>
      <c r="V906" s="15"/>
      <c r="W906" s="15"/>
      <c r="X906" s="15"/>
      <c r="Y906" s="15"/>
      <c r="Z906" s="15"/>
      <c r="AA906" s="15"/>
      <c r="AB906" s="15"/>
      <c r="AC906" s="15"/>
      <c r="AD906" s="15"/>
      <c r="AE906" s="15"/>
      <c r="AF906" s="15"/>
    </row>
    <row r="907" ht="15.75" customHeight="1">
      <c r="A907" s="15"/>
      <c r="B907" s="15"/>
      <c r="C907" s="21"/>
      <c r="D907" s="15"/>
      <c r="E907" s="15"/>
      <c r="F907" s="15"/>
      <c r="G907" s="15"/>
      <c r="H907" s="15"/>
      <c r="I907" s="11"/>
      <c r="J907" s="11"/>
      <c r="K907" s="11"/>
      <c r="L907" s="11"/>
      <c r="M907" s="15"/>
      <c r="N907" s="15"/>
      <c r="O907" s="15"/>
      <c r="P907" s="15"/>
      <c r="Q907" s="15"/>
      <c r="R907" s="15"/>
      <c r="S907" s="15"/>
      <c r="T907" s="15"/>
      <c r="U907" s="15"/>
      <c r="V907" s="15"/>
      <c r="W907" s="15"/>
      <c r="X907" s="15"/>
      <c r="Y907" s="15"/>
      <c r="Z907" s="15"/>
      <c r="AA907" s="15"/>
      <c r="AB907" s="15"/>
      <c r="AC907" s="15"/>
      <c r="AD907" s="15"/>
      <c r="AE907" s="15"/>
      <c r="AF907" s="15"/>
    </row>
    <row r="908" ht="15.75" customHeight="1">
      <c r="A908" s="15"/>
      <c r="B908" s="15"/>
      <c r="C908" s="21"/>
      <c r="D908" s="15"/>
      <c r="E908" s="15"/>
      <c r="F908" s="15"/>
      <c r="G908" s="15"/>
      <c r="H908" s="15"/>
      <c r="I908" s="11"/>
      <c r="J908" s="11"/>
      <c r="K908" s="11"/>
      <c r="L908" s="11"/>
      <c r="M908" s="15"/>
      <c r="N908" s="15"/>
      <c r="O908" s="15"/>
      <c r="P908" s="15"/>
      <c r="Q908" s="15"/>
      <c r="R908" s="15"/>
      <c r="S908" s="15"/>
      <c r="T908" s="15"/>
      <c r="U908" s="15"/>
      <c r="V908" s="15"/>
      <c r="W908" s="15"/>
      <c r="X908" s="15"/>
      <c r="Y908" s="15"/>
      <c r="Z908" s="15"/>
      <c r="AA908" s="15"/>
      <c r="AB908" s="15"/>
      <c r="AC908" s="15"/>
      <c r="AD908" s="15"/>
      <c r="AE908" s="15"/>
      <c r="AF908" s="15"/>
    </row>
    <row r="909" ht="15.75" customHeight="1">
      <c r="A909" s="15"/>
      <c r="B909" s="15"/>
      <c r="C909" s="21"/>
      <c r="D909" s="15"/>
      <c r="E909" s="15"/>
      <c r="F909" s="15"/>
      <c r="G909" s="15"/>
      <c r="H909" s="15"/>
      <c r="I909" s="11"/>
      <c r="J909" s="11"/>
      <c r="K909" s="11"/>
      <c r="L909" s="11"/>
      <c r="M909" s="15"/>
      <c r="N909" s="15"/>
      <c r="O909" s="15"/>
      <c r="P909" s="15"/>
      <c r="Q909" s="15"/>
      <c r="R909" s="15"/>
      <c r="S909" s="15"/>
      <c r="T909" s="15"/>
      <c r="U909" s="15"/>
      <c r="V909" s="15"/>
      <c r="W909" s="15"/>
      <c r="X909" s="15"/>
      <c r="Y909" s="15"/>
      <c r="Z909" s="15"/>
      <c r="AA909" s="15"/>
      <c r="AB909" s="15"/>
      <c r="AC909" s="15"/>
      <c r="AD909" s="15"/>
      <c r="AE909" s="15"/>
      <c r="AF909" s="15"/>
    </row>
    <row r="910" ht="15.75" customHeight="1">
      <c r="A910" s="15"/>
      <c r="B910" s="15"/>
      <c r="C910" s="21"/>
      <c r="D910" s="15"/>
      <c r="E910" s="15"/>
      <c r="F910" s="15"/>
      <c r="G910" s="15"/>
      <c r="H910" s="15"/>
      <c r="I910" s="11"/>
      <c r="J910" s="11"/>
      <c r="K910" s="11"/>
      <c r="L910" s="11"/>
      <c r="M910" s="15"/>
      <c r="N910" s="15"/>
      <c r="O910" s="15"/>
      <c r="P910" s="15"/>
      <c r="Q910" s="15"/>
      <c r="R910" s="15"/>
      <c r="S910" s="15"/>
      <c r="T910" s="15"/>
      <c r="U910" s="15"/>
      <c r="V910" s="15"/>
      <c r="W910" s="15"/>
      <c r="X910" s="15"/>
      <c r="Y910" s="15"/>
      <c r="Z910" s="15"/>
      <c r="AA910" s="15"/>
      <c r="AB910" s="15"/>
      <c r="AC910" s="15"/>
      <c r="AD910" s="15"/>
      <c r="AE910" s="15"/>
      <c r="AF910" s="15"/>
    </row>
    <row r="911" ht="15.75" customHeight="1">
      <c r="A911" s="15"/>
      <c r="B911" s="15"/>
      <c r="C911" s="21"/>
      <c r="D911" s="15"/>
      <c r="E911" s="15"/>
      <c r="F911" s="15"/>
      <c r="G911" s="15"/>
      <c r="H911" s="15"/>
      <c r="I911" s="11"/>
      <c r="J911" s="11"/>
      <c r="K911" s="11"/>
      <c r="L911" s="11"/>
      <c r="M911" s="15"/>
      <c r="N911" s="15"/>
      <c r="O911" s="15"/>
      <c r="P911" s="15"/>
      <c r="Q911" s="15"/>
      <c r="R911" s="15"/>
      <c r="S911" s="15"/>
      <c r="T911" s="15"/>
      <c r="U911" s="15"/>
      <c r="V911" s="15"/>
      <c r="W911" s="15"/>
      <c r="X911" s="15"/>
      <c r="Y911" s="15"/>
      <c r="Z911" s="15"/>
      <c r="AA911" s="15"/>
      <c r="AB911" s="15"/>
      <c r="AC911" s="15"/>
      <c r="AD911" s="15"/>
      <c r="AE911" s="15"/>
      <c r="AF911" s="15"/>
    </row>
    <row r="912" ht="15.75" customHeight="1">
      <c r="A912" s="15"/>
      <c r="B912" s="15"/>
      <c r="C912" s="21"/>
      <c r="D912" s="15"/>
      <c r="E912" s="15"/>
      <c r="F912" s="15"/>
      <c r="G912" s="15"/>
      <c r="H912" s="15"/>
      <c r="I912" s="11"/>
      <c r="J912" s="11"/>
      <c r="K912" s="11"/>
      <c r="L912" s="11"/>
      <c r="M912" s="15"/>
      <c r="N912" s="15"/>
      <c r="O912" s="15"/>
      <c r="P912" s="15"/>
      <c r="Q912" s="15"/>
      <c r="R912" s="15"/>
      <c r="S912" s="15"/>
      <c r="T912" s="15"/>
      <c r="U912" s="15"/>
      <c r="V912" s="15"/>
      <c r="W912" s="15"/>
      <c r="X912" s="15"/>
      <c r="Y912" s="15"/>
      <c r="Z912" s="15"/>
      <c r="AA912" s="15"/>
      <c r="AB912" s="15"/>
      <c r="AC912" s="15"/>
      <c r="AD912" s="15"/>
      <c r="AE912" s="15"/>
      <c r="AF912" s="15"/>
    </row>
    <row r="913" ht="15.75" customHeight="1">
      <c r="A913" s="15"/>
      <c r="B913" s="15"/>
      <c r="C913" s="21"/>
      <c r="D913" s="15"/>
      <c r="E913" s="15"/>
      <c r="F913" s="15"/>
      <c r="G913" s="15"/>
      <c r="H913" s="15"/>
      <c r="I913" s="11"/>
      <c r="J913" s="11"/>
      <c r="K913" s="11"/>
      <c r="L913" s="11"/>
      <c r="M913" s="15"/>
      <c r="N913" s="15"/>
      <c r="O913" s="15"/>
      <c r="P913" s="15"/>
      <c r="Q913" s="15"/>
      <c r="R913" s="15"/>
      <c r="S913" s="15"/>
      <c r="T913" s="15"/>
      <c r="U913" s="15"/>
      <c r="V913" s="15"/>
      <c r="W913" s="15"/>
      <c r="X913" s="15"/>
      <c r="Y913" s="15"/>
      <c r="Z913" s="15"/>
      <c r="AA913" s="15"/>
      <c r="AB913" s="15"/>
      <c r="AC913" s="15"/>
      <c r="AD913" s="15"/>
      <c r="AE913" s="15"/>
      <c r="AF913" s="15"/>
    </row>
    <row r="914" ht="15.75" customHeight="1">
      <c r="A914" s="15"/>
      <c r="B914" s="15"/>
      <c r="C914" s="21"/>
      <c r="D914" s="15"/>
      <c r="E914" s="15"/>
      <c r="F914" s="15"/>
      <c r="G914" s="15"/>
      <c r="H914" s="15"/>
      <c r="I914" s="11"/>
      <c r="J914" s="11"/>
      <c r="K914" s="11"/>
      <c r="L914" s="11"/>
      <c r="M914" s="15"/>
      <c r="N914" s="15"/>
      <c r="O914" s="15"/>
      <c r="P914" s="15"/>
      <c r="Q914" s="15"/>
      <c r="R914" s="15"/>
      <c r="S914" s="15"/>
      <c r="T914" s="15"/>
      <c r="U914" s="15"/>
      <c r="V914" s="15"/>
      <c r="W914" s="15"/>
      <c r="X914" s="15"/>
      <c r="Y914" s="15"/>
      <c r="Z914" s="15"/>
      <c r="AA914" s="15"/>
      <c r="AB914" s="15"/>
      <c r="AC914" s="15"/>
      <c r="AD914" s="15"/>
      <c r="AE914" s="15"/>
      <c r="AF914" s="15"/>
    </row>
    <row r="915" ht="15.75" customHeight="1">
      <c r="A915" s="15"/>
      <c r="B915" s="15"/>
      <c r="C915" s="21"/>
      <c r="D915" s="15"/>
      <c r="E915" s="15"/>
      <c r="F915" s="15"/>
      <c r="G915" s="15"/>
      <c r="H915" s="15"/>
      <c r="I915" s="11"/>
      <c r="J915" s="11"/>
      <c r="K915" s="11"/>
      <c r="L915" s="11"/>
      <c r="M915" s="15"/>
      <c r="N915" s="15"/>
      <c r="O915" s="15"/>
      <c r="P915" s="15"/>
      <c r="Q915" s="15"/>
      <c r="R915" s="15"/>
      <c r="S915" s="15"/>
      <c r="T915" s="15"/>
      <c r="U915" s="15"/>
      <c r="V915" s="15"/>
      <c r="W915" s="15"/>
      <c r="X915" s="15"/>
      <c r="Y915" s="15"/>
      <c r="Z915" s="15"/>
      <c r="AA915" s="15"/>
      <c r="AB915" s="15"/>
      <c r="AC915" s="15"/>
      <c r="AD915" s="15"/>
      <c r="AE915" s="15"/>
      <c r="AF915" s="15"/>
    </row>
    <row r="916" ht="15.75" customHeight="1">
      <c r="A916" s="15"/>
      <c r="B916" s="15"/>
      <c r="C916" s="21"/>
      <c r="D916" s="15"/>
      <c r="E916" s="15"/>
      <c r="F916" s="15"/>
      <c r="G916" s="15"/>
      <c r="H916" s="15"/>
      <c r="I916" s="11"/>
      <c r="J916" s="11"/>
      <c r="K916" s="11"/>
      <c r="L916" s="11"/>
      <c r="M916" s="15"/>
      <c r="N916" s="15"/>
      <c r="O916" s="15"/>
      <c r="P916" s="15"/>
      <c r="Q916" s="15"/>
      <c r="R916" s="15"/>
      <c r="S916" s="15"/>
      <c r="T916" s="15"/>
      <c r="U916" s="15"/>
      <c r="V916" s="15"/>
      <c r="W916" s="15"/>
      <c r="X916" s="15"/>
      <c r="Y916" s="15"/>
      <c r="Z916" s="15"/>
      <c r="AA916" s="15"/>
      <c r="AB916" s="15"/>
      <c r="AC916" s="15"/>
      <c r="AD916" s="15"/>
      <c r="AE916" s="15"/>
      <c r="AF916" s="15"/>
    </row>
    <row r="917" ht="15.75" customHeight="1">
      <c r="A917" s="15"/>
      <c r="B917" s="15"/>
      <c r="C917" s="21"/>
      <c r="D917" s="15"/>
      <c r="E917" s="15"/>
      <c r="F917" s="15"/>
      <c r="G917" s="15"/>
      <c r="H917" s="15"/>
      <c r="I917" s="11"/>
      <c r="J917" s="11"/>
      <c r="K917" s="11"/>
      <c r="L917" s="11"/>
      <c r="M917" s="15"/>
      <c r="N917" s="15"/>
      <c r="O917" s="15"/>
      <c r="P917" s="15"/>
      <c r="Q917" s="15"/>
      <c r="R917" s="15"/>
      <c r="S917" s="15"/>
      <c r="T917" s="15"/>
      <c r="U917" s="15"/>
      <c r="V917" s="15"/>
      <c r="W917" s="15"/>
      <c r="X917" s="15"/>
      <c r="Y917" s="15"/>
      <c r="Z917" s="15"/>
      <c r="AA917" s="15"/>
      <c r="AB917" s="15"/>
      <c r="AC917" s="15"/>
      <c r="AD917" s="15"/>
      <c r="AE917" s="15"/>
      <c r="AF917" s="15"/>
    </row>
    <row r="918" ht="15.75" customHeight="1">
      <c r="A918" s="15"/>
      <c r="B918" s="15"/>
      <c r="C918" s="21"/>
      <c r="D918" s="15"/>
      <c r="E918" s="15"/>
      <c r="F918" s="15"/>
      <c r="G918" s="15"/>
      <c r="H918" s="15"/>
      <c r="I918" s="11"/>
      <c r="J918" s="11"/>
      <c r="K918" s="11"/>
      <c r="L918" s="11"/>
      <c r="M918" s="15"/>
      <c r="N918" s="15"/>
      <c r="O918" s="15"/>
      <c r="P918" s="15"/>
      <c r="Q918" s="15"/>
      <c r="R918" s="15"/>
      <c r="S918" s="15"/>
      <c r="T918" s="15"/>
      <c r="U918" s="15"/>
      <c r="V918" s="15"/>
      <c r="W918" s="15"/>
      <c r="X918" s="15"/>
      <c r="Y918" s="15"/>
      <c r="Z918" s="15"/>
      <c r="AA918" s="15"/>
      <c r="AB918" s="15"/>
      <c r="AC918" s="15"/>
      <c r="AD918" s="15"/>
      <c r="AE918" s="15"/>
      <c r="AF918" s="15"/>
    </row>
    <row r="919" ht="15.75" customHeight="1">
      <c r="A919" s="15"/>
      <c r="B919" s="15"/>
      <c r="C919" s="21"/>
      <c r="D919" s="15"/>
      <c r="E919" s="15"/>
      <c r="F919" s="15"/>
      <c r="G919" s="15"/>
      <c r="H919" s="15"/>
      <c r="I919" s="11"/>
      <c r="J919" s="11"/>
      <c r="K919" s="11"/>
      <c r="L919" s="11"/>
      <c r="M919" s="15"/>
      <c r="N919" s="15"/>
      <c r="O919" s="15"/>
      <c r="P919" s="15"/>
      <c r="Q919" s="15"/>
      <c r="R919" s="15"/>
      <c r="S919" s="15"/>
      <c r="T919" s="15"/>
      <c r="U919" s="15"/>
      <c r="V919" s="15"/>
      <c r="W919" s="15"/>
      <c r="X919" s="15"/>
      <c r="Y919" s="15"/>
      <c r="Z919" s="15"/>
      <c r="AA919" s="15"/>
      <c r="AB919" s="15"/>
      <c r="AC919" s="15"/>
      <c r="AD919" s="15"/>
      <c r="AE919" s="15"/>
      <c r="AF919" s="15"/>
    </row>
    <row r="920" ht="15.75" customHeight="1">
      <c r="A920" s="15"/>
      <c r="B920" s="15"/>
      <c r="C920" s="21"/>
      <c r="D920" s="15"/>
      <c r="E920" s="15"/>
      <c r="F920" s="15"/>
      <c r="G920" s="15"/>
      <c r="H920" s="15"/>
      <c r="I920" s="11"/>
      <c r="J920" s="11"/>
      <c r="K920" s="11"/>
      <c r="L920" s="11"/>
      <c r="M920" s="15"/>
      <c r="N920" s="15"/>
      <c r="O920" s="15"/>
      <c r="P920" s="15"/>
      <c r="Q920" s="15"/>
      <c r="R920" s="15"/>
      <c r="S920" s="15"/>
      <c r="T920" s="15"/>
      <c r="U920" s="15"/>
      <c r="V920" s="15"/>
      <c r="W920" s="15"/>
      <c r="X920" s="15"/>
      <c r="Y920" s="15"/>
      <c r="Z920" s="15"/>
      <c r="AA920" s="15"/>
      <c r="AB920" s="15"/>
      <c r="AC920" s="15"/>
      <c r="AD920" s="15"/>
      <c r="AE920" s="15"/>
      <c r="AF920" s="15"/>
    </row>
    <row r="921" ht="15.75" customHeight="1">
      <c r="A921" s="15"/>
      <c r="B921" s="15"/>
      <c r="C921" s="21"/>
      <c r="D921" s="15"/>
      <c r="E921" s="15"/>
      <c r="F921" s="15"/>
      <c r="G921" s="15"/>
      <c r="H921" s="15"/>
      <c r="I921" s="11"/>
      <c r="J921" s="11"/>
      <c r="K921" s="11"/>
      <c r="L921" s="11"/>
      <c r="M921" s="15"/>
      <c r="N921" s="15"/>
      <c r="O921" s="15"/>
      <c r="P921" s="15"/>
      <c r="Q921" s="15"/>
      <c r="R921" s="15"/>
      <c r="S921" s="15"/>
      <c r="T921" s="15"/>
      <c r="U921" s="15"/>
      <c r="V921" s="15"/>
      <c r="W921" s="15"/>
      <c r="X921" s="15"/>
      <c r="Y921" s="15"/>
      <c r="Z921" s="15"/>
      <c r="AA921" s="15"/>
      <c r="AB921" s="15"/>
      <c r="AC921" s="15"/>
      <c r="AD921" s="15"/>
      <c r="AE921" s="15"/>
      <c r="AF921" s="15"/>
    </row>
    <row r="922" ht="15.75" customHeight="1">
      <c r="A922" s="15"/>
      <c r="B922" s="15"/>
      <c r="C922" s="21"/>
      <c r="D922" s="15"/>
      <c r="E922" s="15"/>
      <c r="F922" s="15"/>
      <c r="G922" s="15"/>
      <c r="H922" s="15"/>
      <c r="I922" s="11"/>
      <c r="J922" s="11"/>
      <c r="K922" s="11"/>
      <c r="L922" s="11"/>
      <c r="M922" s="15"/>
      <c r="N922" s="15"/>
      <c r="O922" s="15"/>
      <c r="P922" s="15"/>
      <c r="Q922" s="15"/>
      <c r="R922" s="15"/>
      <c r="S922" s="15"/>
      <c r="T922" s="15"/>
      <c r="U922" s="15"/>
      <c r="V922" s="15"/>
      <c r="W922" s="15"/>
      <c r="X922" s="15"/>
      <c r="Y922" s="15"/>
      <c r="Z922" s="15"/>
      <c r="AA922" s="15"/>
      <c r="AB922" s="15"/>
      <c r="AC922" s="15"/>
      <c r="AD922" s="15"/>
      <c r="AE922" s="15"/>
      <c r="AF922" s="15"/>
    </row>
    <row r="923" ht="15.75" customHeight="1">
      <c r="A923" s="15"/>
      <c r="B923" s="15"/>
      <c r="C923" s="21"/>
      <c r="D923" s="15"/>
      <c r="E923" s="15"/>
      <c r="F923" s="15"/>
      <c r="G923" s="15"/>
      <c r="H923" s="15"/>
      <c r="I923" s="11"/>
      <c r="J923" s="11"/>
      <c r="K923" s="11"/>
      <c r="L923" s="11"/>
      <c r="M923" s="15"/>
      <c r="N923" s="15"/>
      <c r="O923" s="15"/>
      <c r="P923" s="15"/>
      <c r="Q923" s="15"/>
      <c r="R923" s="15"/>
      <c r="S923" s="15"/>
      <c r="T923" s="15"/>
      <c r="U923" s="15"/>
      <c r="V923" s="15"/>
      <c r="W923" s="15"/>
      <c r="X923" s="15"/>
      <c r="Y923" s="15"/>
      <c r="Z923" s="15"/>
      <c r="AA923" s="15"/>
      <c r="AB923" s="15"/>
      <c r="AC923" s="15"/>
      <c r="AD923" s="15"/>
      <c r="AE923" s="15"/>
      <c r="AF923" s="15"/>
    </row>
    <row r="924" ht="15.75" customHeight="1">
      <c r="A924" s="15"/>
      <c r="B924" s="15"/>
      <c r="C924" s="21"/>
      <c r="D924" s="15"/>
      <c r="E924" s="15"/>
      <c r="F924" s="15"/>
      <c r="G924" s="15"/>
      <c r="H924" s="15"/>
      <c r="I924" s="11"/>
      <c r="J924" s="11"/>
      <c r="K924" s="11"/>
      <c r="L924" s="11"/>
      <c r="M924" s="15"/>
      <c r="N924" s="15"/>
      <c r="O924" s="15"/>
      <c r="P924" s="15"/>
      <c r="Q924" s="15"/>
      <c r="R924" s="15"/>
      <c r="S924" s="15"/>
      <c r="T924" s="15"/>
      <c r="U924" s="15"/>
      <c r="V924" s="15"/>
      <c r="W924" s="15"/>
      <c r="X924" s="15"/>
      <c r="Y924" s="15"/>
      <c r="Z924" s="15"/>
      <c r="AA924" s="15"/>
      <c r="AB924" s="15"/>
      <c r="AC924" s="15"/>
      <c r="AD924" s="15"/>
      <c r="AE924" s="15"/>
      <c r="AF924" s="15"/>
    </row>
    <row r="925" ht="15.75" customHeight="1">
      <c r="A925" s="15"/>
      <c r="B925" s="15"/>
      <c r="C925" s="21"/>
      <c r="D925" s="15"/>
      <c r="E925" s="15"/>
      <c r="F925" s="15"/>
      <c r="G925" s="15"/>
      <c r="H925" s="15"/>
      <c r="I925" s="11"/>
      <c r="J925" s="11"/>
      <c r="K925" s="11"/>
      <c r="L925" s="11"/>
      <c r="M925" s="15"/>
      <c r="N925" s="15"/>
      <c r="O925" s="15"/>
      <c r="P925" s="15"/>
      <c r="Q925" s="15"/>
      <c r="R925" s="15"/>
      <c r="S925" s="15"/>
      <c r="T925" s="15"/>
      <c r="U925" s="15"/>
      <c r="V925" s="15"/>
      <c r="W925" s="15"/>
      <c r="X925" s="15"/>
      <c r="Y925" s="15"/>
      <c r="Z925" s="15"/>
      <c r="AA925" s="15"/>
      <c r="AB925" s="15"/>
      <c r="AC925" s="15"/>
      <c r="AD925" s="15"/>
      <c r="AE925" s="15"/>
      <c r="AF925" s="15"/>
    </row>
    <row r="926" ht="15.75" customHeight="1">
      <c r="A926" s="15"/>
      <c r="B926" s="15"/>
      <c r="C926" s="21"/>
      <c r="D926" s="15"/>
      <c r="E926" s="15"/>
      <c r="F926" s="15"/>
      <c r="G926" s="15"/>
      <c r="H926" s="15"/>
      <c r="I926" s="11"/>
      <c r="J926" s="11"/>
      <c r="K926" s="11"/>
      <c r="L926" s="11"/>
      <c r="M926" s="15"/>
      <c r="N926" s="15"/>
      <c r="O926" s="15"/>
      <c r="P926" s="15"/>
      <c r="Q926" s="15"/>
      <c r="R926" s="15"/>
      <c r="S926" s="15"/>
      <c r="T926" s="15"/>
      <c r="U926" s="15"/>
      <c r="V926" s="15"/>
      <c r="W926" s="15"/>
      <c r="X926" s="15"/>
      <c r="Y926" s="15"/>
      <c r="Z926" s="15"/>
      <c r="AA926" s="15"/>
      <c r="AB926" s="15"/>
      <c r="AC926" s="15"/>
      <c r="AD926" s="15"/>
      <c r="AE926" s="15"/>
      <c r="AF926" s="15"/>
    </row>
    <row r="927" ht="15.75" customHeight="1">
      <c r="A927" s="15"/>
      <c r="B927" s="15"/>
      <c r="C927" s="21"/>
      <c r="D927" s="15"/>
      <c r="E927" s="15"/>
      <c r="F927" s="15"/>
      <c r="G927" s="15"/>
      <c r="H927" s="15"/>
      <c r="I927" s="11"/>
      <c r="J927" s="11"/>
      <c r="K927" s="11"/>
      <c r="L927" s="11"/>
      <c r="M927" s="15"/>
      <c r="N927" s="15"/>
      <c r="O927" s="15"/>
      <c r="P927" s="15"/>
      <c r="Q927" s="15"/>
      <c r="R927" s="15"/>
      <c r="S927" s="15"/>
      <c r="T927" s="15"/>
      <c r="U927" s="15"/>
      <c r="V927" s="15"/>
      <c r="W927" s="15"/>
      <c r="X927" s="15"/>
      <c r="Y927" s="15"/>
      <c r="Z927" s="15"/>
      <c r="AA927" s="15"/>
      <c r="AB927" s="15"/>
      <c r="AC927" s="15"/>
      <c r="AD927" s="15"/>
      <c r="AE927" s="15"/>
      <c r="AF927" s="15"/>
    </row>
    <row r="928" ht="15.75" customHeight="1">
      <c r="A928" s="15"/>
      <c r="B928" s="15"/>
      <c r="C928" s="21"/>
      <c r="D928" s="15"/>
      <c r="E928" s="15"/>
      <c r="F928" s="15"/>
      <c r="G928" s="15"/>
      <c r="H928" s="15"/>
      <c r="I928" s="11"/>
      <c r="J928" s="11"/>
      <c r="K928" s="11"/>
      <c r="L928" s="11"/>
      <c r="M928" s="15"/>
      <c r="N928" s="15"/>
      <c r="O928" s="15"/>
      <c r="P928" s="15"/>
      <c r="Q928" s="15"/>
      <c r="R928" s="15"/>
      <c r="S928" s="15"/>
      <c r="T928" s="15"/>
      <c r="U928" s="15"/>
      <c r="V928" s="15"/>
      <c r="W928" s="15"/>
      <c r="X928" s="15"/>
      <c r="Y928" s="15"/>
      <c r="Z928" s="15"/>
      <c r="AA928" s="15"/>
      <c r="AB928" s="15"/>
      <c r="AC928" s="15"/>
      <c r="AD928" s="15"/>
      <c r="AE928" s="15"/>
      <c r="AF928" s="15"/>
    </row>
    <row r="929" ht="15.75" customHeight="1">
      <c r="A929" s="15"/>
      <c r="B929" s="15"/>
      <c r="C929" s="21"/>
      <c r="D929" s="15"/>
      <c r="E929" s="15"/>
      <c r="F929" s="15"/>
      <c r="G929" s="15"/>
      <c r="H929" s="15"/>
      <c r="I929" s="11"/>
      <c r="J929" s="11"/>
      <c r="K929" s="11"/>
      <c r="L929" s="11"/>
      <c r="M929" s="15"/>
      <c r="N929" s="15"/>
      <c r="O929" s="15"/>
      <c r="P929" s="15"/>
      <c r="Q929" s="15"/>
      <c r="R929" s="15"/>
      <c r="S929" s="15"/>
      <c r="T929" s="15"/>
      <c r="U929" s="15"/>
      <c r="V929" s="15"/>
      <c r="W929" s="15"/>
      <c r="X929" s="15"/>
      <c r="Y929" s="15"/>
      <c r="Z929" s="15"/>
      <c r="AA929" s="15"/>
      <c r="AB929" s="15"/>
      <c r="AC929" s="15"/>
      <c r="AD929" s="15"/>
      <c r="AE929" s="15"/>
      <c r="AF929" s="15"/>
    </row>
    <row r="930" ht="15.75" customHeight="1">
      <c r="A930" s="15"/>
      <c r="B930" s="15"/>
      <c r="C930" s="21"/>
      <c r="D930" s="15"/>
      <c r="E930" s="15"/>
      <c r="F930" s="15"/>
      <c r="G930" s="15"/>
      <c r="H930" s="15"/>
      <c r="I930" s="11"/>
      <c r="J930" s="11"/>
      <c r="K930" s="11"/>
      <c r="L930" s="11"/>
      <c r="M930" s="15"/>
      <c r="N930" s="15"/>
      <c r="O930" s="15"/>
      <c r="P930" s="15"/>
      <c r="Q930" s="15"/>
      <c r="R930" s="15"/>
      <c r="S930" s="15"/>
      <c r="T930" s="15"/>
      <c r="U930" s="15"/>
      <c r="V930" s="15"/>
      <c r="W930" s="15"/>
      <c r="X930" s="15"/>
      <c r="Y930" s="15"/>
      <c r="Z930" s="15"/>
      <c r="AA930" s="15"/>
      <c r="AB930" s="15"/>
      <c r="AC930" s="15"/>
      <c r="AD930" s="15"/>
      <c r="AE930" s="15"/>
      <c r="AF930" s="15"/>
    </row>
    <row r="931" ht="15.75" customHeight="1">
      <c r="A931" s="15"/>
      <c r="B931" s="15"/>
      <c r="C931" s="21"/>
      <c r="D931" s="15"/>
      <c r="E931" s="15"/>
      <c r="F931" s="15"/>
      <c r="G931" s="15"/>
      <c r="H931" s="15"/>
      <c r="I931" s="11"/>
      <c r="J931" s="11"/>
      <c r="K931" s="11"/>
      <c r="L931" s="11"/>
      <c r="M931" s="15"/>
      <c r="N931" s="15"/>
      <c r="O931" s="15"/>
      <c r="P931" s="15"/>
      <c r="Q931" s="15"/>
      <c r="R931" s="15"/>
      <c r="S931" s="15"/>
      <c r="T931" s="15"/>
      <c r="U931" s="15"/>
      <c r="V931" s="15"/>
      <c r="W931" s="15"/>
      <c r="X931" s="15"/>
      <c r="Y931" s="15"/>
      <c r="Z931" s="15"/>
      <c r="AA931" s="15"/>
      <c r="AB931" s="15"/>
      <c r="AC931" s="15"/>
      <c r="AD931" s="15"/>
      <c r="AE931" s="15"/>
      <c r="AF931" s="15"/>
    </row>
  </sheetData>
  <customSheetViews>
    <customSheetView guid="{605ED43B-7EC1-4455-932A-3B4DAD37EF52}" filter="1" showAutoFilter="1">
      <autoFilter ref="$F$5:$F$129"/>
    </customSheetView>
  </customSheetViews>
  <mergeCells count="40">
    <mergeCell ref="C3:I3"/>
    <mergeCell ref="B6:B27"/>
    <mergeCell ref="C6:C27"/>
    <mergeCell ref="D6:D27"/>
    <mergeCell ref="B28:B43"/>
    <mergeCell ref="C28:C43"/>
    <mergeCell ref="D28:D43"/>
    <mergeCell ref="C58:C66"/>
    <mergeCell ref="D58:D66"/>
    <mergeCell ref="B44:B51"/>
    <mergeCell ref="C44:C51"/>
    <mergeCell ref="D44:D51"/>
    <mergeCell ref="B52:B57"/>
    <mergeCell ref="C52:C57"/>
    <mergeCell ref="D52:D57"/>
    <mergeCell ref="B58:B66"/>
    <mergeCell ref="C72:C73"/>
    <mergeCell ref="D72:D73"/>
    <mergeCell ref="B67:B69"/>
    <mergeCell ref="C67:C69"/>
    <mergeCell ref="D67:D69"/>
    <mergeCell ref="B70:B71"/>
    <mergeCell ref="C70:C71"/>
    <mergeCell ref="D70:D71"/>
    <mergeCell ref="B72:B73"/>
    <mergeCell ref="C87:C89"/>
    <mergeCell ref="D87:D89"/>
    <mergeCell ref="B90:B99"/>
    <mergeCell ref="C90:C99"/>
    <mergeCell ref="D90:D99"/>
    <mergeCell ref="B101:B104"/>
    <mergeCell ref="C101:C104"/>
    <mergeCell ref="D101:D104"/>
    <mergeCell ref="B74:B76"/>
    <mergeCell ref="C74:C76"/>
    <mergeCell ref="D74:D76"/>
    <mergeCell ref="B77:B86"/>
    <mergeCell ref="C77:C86"/>
    <mergeCell ref="D77:D86"/>
    <mergeCell ref="B87:B89"/>
  </mergeCells>
  <dataValidations>
    <dataValidation type="list" allowBlank="1" sqref="F16 F33 F83">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amp;",,,,,,,,,,,,,,,,,,,,,,,,,,,,,,,,,,,,,,,,,,,,,,,,,,,,,,,,,,,,,,,,,,,,,,,,,,,,,,,,,,,,,,,,,,,,,,,,,,,,,,,,,,,,,,,,,,,,,,,,,,,,,,,,,,,,,,,,,,,,,,,,,,,,,,,,,,,,,,,,,,,,,,,,,,,,,,,,,,,,,,,,,,,,,,,,,,,,,,,,,,,,,,,,,,,,,,"</formula1>
    </dataValidation>
    <dataValidation type="list" allowBlank="1" sqref="H80:K80">
      <formula1>"SelectTradeUnexpiredUnsettled,CreateTransaction,GetDataClosing,ExerciseAssignment,VerifyExpiredSettledGrid,CheckAllocatedGroups,GetDataAllocation,Copy of Data,Copy of Data 1,Copy of Data 2"</formula1>
    </dataValidation>
    <dataValidation type="list" allowBlank="1" sqref="H32:K32">
      <formula1>"CreateDoneAwayOrder,GetDataAllocation,SelectAllocatedGroup,EnterAccountValuesToAllocate,CheckAllocatedGroups,CheckPortfolioManagement,GetDataClosing,VerifyLongPositionsGrid,GetActivityData,VerifyActivity,GetTradingTransaction,VerifyTradingTransaction,GetR"&amp;"evaluationData,VerifyRevaluationData,Allocate"</formula1>
    </dataValidation>
    <dataValidation type="list" allowBlank="1" sqref="F28">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43:K43">
      <formula1>"CreateDoneAwayOrder,GetDataAllocation,SelectAllocatedGroup,EnterAccountValuesToAllocate,CheckAllocatedGroups,CheckPortfolioManagement,GetDataClosing,VerifyLongPositionsGrid,GetActivityData,VerifyActivity,GetTradingTransaction,VerifyTradingTransaction,GetR"&amp;"evaluationData,VerifyRevaluationData,Copy of Data,Copy of Data 1,EnterAllocatePreference,RunRevaluation,Copy of Data 2,Copy of Data 3"</formula1>
    </dataValidation>
    <dataValidation type="list" allowBlank="1" sqref="H77:K77">
      <formula1>"SelectTradeUnexpiredUnsettled,CreateTransaction,GetDataClosing,ExerciseAssignment,VerifyExpiredSettledGrid,CheckAllocatedGroups,GetDataAllocation"</formula1>
    </dataValidation>
    <dataValidation type="list" allowBlank="1" sqref="H9:K9 H12:K14">
      <formula1>"CreateDoneAwayOrder,AddCalculatedPreferences,SetAccountValueCalculatedPref,GetDataAllocation,SelectUnallocatedGroup,EnterAllocatePreference,CheckAllocatedGroups,GetDataClosing,VerifyLongPositionsGrid,CheckPortfolioManagement,GetActivityData,VerifyActivity"&amp;",GetTradingTransaction,VerifyTradingTransaction,GetRevaluationData,VerifyRevaluationData,Copy of Data,Copy of Data 1,Copy of Data 2"</formula1>
    </dataValidation>
    <dataValidation type="list" allowBlank="1" sqref="F88 F90 F92 F100">
      <formula1>"CorporateAction,CleanUp,CashDividend,Exchange,Merger,NameChange,SpinOff,Split,StockDividend,,,,,,,,,,,,,,,,,,,,,,,,,,,,,,,,,,,,,,,,,,,,,,,,,,,,,,,,,,,,,,,,,,,,,,,,,,,,,,,,,,,,,,,,,,,,,,,,,,,,,,,,,,,,,,,,,,,,,,,,,,,,,,,,,,,,,,,,,,,,,,,,,,,,,,,,,,,,,,,,,,,,"&amp;",,,,,,,,,,,,,,,,,,,,,,,,,,,,,,,,,,,,,,,,,,,,,,,,,,,,,,,,,,,,,,,,,,,,,,,,,,,,,,,,,,,,,,,,,,,,,,,,,,,,,,,,,,,,,,,,,,,,,,,,,,,,,,,,,,,,,,,,,,,,,,,,,,,,,,,,,,,,,,,,,,,,,,,,,,,,,,,,,,,,,,,,,,,,,,,,,,,,,,,,,,,,,,,,,,,,,,,,,,,,,,,,,,,,,,,,,,,,,,,,,,,,,,,,,,,,,,,"&amp;",,,,,,,,,,,,,,,,,,,,,,,,,,,,,,,,,,,,,,,,,,,,,,,,,,,,,,,,,,,,,,,,,,,,,"</formula1>
    </dataValidation>
    <dataValidation type="list" allowBlank="1" sqref="H99:K99">
      <formula1>"CreateDoneAwayOrder,SpinOff,GetDataAllocation,CheckAllocatedGroups,CheckPortfolioManagement,GetActivityData,VerifyActivity,GetTradingTransaction,VerifyTradingTransactionData,VerifyTradingTransaction"</formula1>
    </dataValidation>
    <dataValidation type="list" allowBlank="1" sqref="F76">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29:K30">
      <formula1>"CreateDoneAwayOrder,GetDataAllocation,SelectAllocatedGroup,EnterAccountValuesToAllocate,CheckAllocatedGroups,CheckPortfolioManagement,GetDataClosing,VerifyLongPositionsGrid,GetActivityData,VerifyActivity,GetTradingTransaction,VerifyTradingTransaction,GetR"&amp;"evaluationData,VerifyRevaluationData,Copy of Data"</formula1>
    </dataValidation>
    <dataValidation type="list" allowBlank="1" sqref="H89:K89">
      <formula1>"CreateDoneAwayOrder,Split,CheckPortfolioManagement,Copy of Data,CorporateAction,Copy of Data 1_conflict2142879148,Copy of Data 1,Copy of Data 2"</formula1>
    </dataValidation>
    <dataValidation type="list" allowBlank="1" sqref="H50:K50">
      <formula1>"Import,GetDataAllocation,CheckAllocatedGroups,CheckPortfolioManagement,GetDataClosing,VerifyLongPositionsGrid,Copy of Data,VerifyShortPositionsGrid"</formula1>
    </dataValidation>
    <dataValidation type="list" allowBlank="1" sqref="H102:K103">
      <formula1>"CreateDoneAwayOrder,SelectThirdPartyName,VerifyThirdPartyData,GenerateThirdParty,Copy of Data,Copy of Data 1,ViewThirdParty"</formula1>
    </dataValidation>
    <dataValidation type="list" allowBlank="1" sqref="H48:K48">
      <formula1>"Import,GetDataAllocation,CheckAllocatedGroups,CheckPortfolioManagement"</formula1>
    </dataValidation>
    <dataValidation type="list" allowBlank="1" sqref="H104:K104">
      <formula1>"CreateDoneAwayOrder,SelectThirdPartyName,VerifyThirdPartyData,GenerateThirdParty,Copy of Data,Copy of Data 1,ViewThirdParty,Copy of Data 2,Copy of Data 3,SendThirdParty"</formula1>
    </dataValidation>
    <dataValidation type="list" allowBlank="1" sqref="H98:K98">
      <formula1>"CreateDoneAwayOrder,SpinOff,GetDataAllocation,CheckAllocatedGroups,CheckPortfolioManagement,GetActivityData,VerifyActivity,GetTradingTransaction,VerifyTradingTransactionData,Copy of Data,Copy of Data 1,CorporateAction,Copy of Data 2,Copy of Data 3,Copy of"&amp;" Data 4"</formula1>
    </dataValidation>
    <dataValidation type="list" allowBlank="1" sqref="F53 F58 F77">
      <formula1>"CreateTransaction,,,,,,,,,,,,,,,,,,,,,,,,,,,,,,,,,,,,,,,,,,,,,,,,,,,,,,,,,,,,,,,,,,,,,,,,,,,,,,,,,,,,,,,,,,,,,,,,,,,,,,,,,,,,,,,,,,,,,,,,,,,,,,,,,,,,,,,,,,,,,,,,,,,,,,,,,,,,,,,,,,,,,,,,,,,,,,,,,,,,,,,,,,,,,,,,,,,,,,,,,,,,,,,,,,,,,,,,,,,,,,,,,,,,,,,,,,,,,,"&amp;",,,,,,,,,,,,,,,,,,,,,,,,,,,,,,,,,,,,,,,,,,,,,,,,,,,,,,,,,,,,,,,,,,,,,,,,,,,,,,,,,,,,,,,,,,,,,,,,,,,,,,,,,,,,,,,,,,,,,,,,,,,,,,,,,,,,,,,,,,,,,,,,,,,,,,,,,,,,,,,,,,,,,,,,,,,,,,,,,,,,,,,,,,,,,,,,,,,,,,,,,,,,,,,,,,,,,,,,,,,,,,,,,,,,,,,,,,,,,,,,,,,,,,,,,,,,,,,"&amp;",,,"</formula1>
    </dataValidation>
    <dataValidation type="list" allowBlank="1" sqref="H56:K56">
      <formula1>"CreateTransaction,PricingInput,CheckPortfolioManagement,Copy of Data,Copy of Data 1,Copy of Data 2"</formula1>
    </dataValidation>
    <dataValidation type="list" allowBlank="1" sqref="H101:K101">
      <formula1>"CreateDoneAwayOrder,SelectThirdPartyName,VerifyThirdPartyData,GenerateThirdParty,Copy of Data"</formula1>
    </dataValidation>
    <dataValidation type="list" allowBlank="1" sqref="F74 F87 F91 F101">
      <formula1>"TradeUsingTT,OpenTTFromPST,EnterDetailsOnTT,ValidateSymbolTT,VerifyDataTT,SetUIPreferencesTT,SetBrokerWisePreferencesTT,TradeNewSub,CreateStageOrder,CreateReplaceOrder,CreateReplaceOrder,EditOrder,SetGeneralPreference,CreateDoneAwayOrder,CreateNewSubOrder"&amp;",,,,,,,,,,,,,,,,,,,,,,,,,,,,,,,,,,,,,,,,,,,,,,,,,,,,,,,,,,,,,,,,,,,,,,,,,,,,,,,,,,,,,,,,,,,,,,,,,,,,,,,,,,,,,,,,,,,,,,,,,,,,,,,,,,,,,,,,,,,,,,,,,,,,,,,,,,,,,,,,,,,,,,,,,,,,,,,,,,,,,,,,,,,,,,,,,,,,,,,,,,,,,,,,,,,,,,,,,,,,,,,,,,,,,,,,,,,,,,,,,,,,,,,,,,,,,,,"&amp;",,,,,,,,,,,,,,,,,,,,,,,,,,,,,,,,,,,,,,,,,,,,,,,,,,,,,,,,,,,,,,,,,,,,,,,,,,,,,,,,,,,,,,,,,,,,,,,,,,,,,,,,,,,,,,,,,,,,,,,,,,,,,,,,,,,,,,,,,,,,,,,,,,,,,,,,,,,,,,,,,,,,,,,,,,,,,,,,,,,,,,,,,,,,,,,,,,,,,,,,,,,,,,,,,,,,,,,,,,,,,,,,,,,"</formula1>
    </dataValidation>
    <dataValidation type="list" allowBlank="1" sqref="F60:F63">
      <formula1>"UpdateBeta,UpdateDailyCash,UpdateForexConversion,UpdateDailyMarkPrice,DailyValuationSelectDate,CleanUp,GetMarkPriceData,EditmarkPriceDate,GetForwardPoints,GetForexConversion,AddForexConversion,GetNAV,AddNAV,DeleteNAV,GetDailyCash,AddDailyCash,GetDailyBeta"&amp;",GetDailyVolatility,GetDailyDividendYield,GetDailyTradingVolume,GetDailyOutstandings,GetDailyDelta,UpdateDailyVolatility,UpdateDividendYield,DataManagement.Click(MouseButtons.Left);,UpdateTradingVolume,UpdateDailyDelta,UpdateDailyOutstandings,AddForexConv"&amp;"ersion,UpdateDailyMarkPrice,UpdateBeta,UpdateNAV,UpdateDailyCash,UpdateCreditLimt,UpdateDailyCreditLimt,AddDailyCreditLimit,RemoveDailyCreditLimt,RemoveDailyCreditLimit,RemoveDailyCash,RemoveNAV,UpdateMarkPrice,,,,,,,,,,,,,,,,,,,,,,,,,,,,,,,,,,,,,,,,,,,,,"&amp;",,,,,,,,,,,,,,,,,,,,,,,,,,,,,,,,,,,,,,,,,,,,,,,,,,,,,,,,,,,,,,,,,,,,,,,,,,,,,,,,,,,,,,,,,,,,,,,,,,,,,,,,,,,,,,,,,,,,,,,,,,,,,,,,,,,,,,,,,,,,,,,,,,,,,,,,,,,,,,,,,,,,,,,,,,,,,,,,,,,,,,,,,,,,,,,,,,,,,,,,,,,,,,,,,,,,,,,,,,,,,,,,,,,,,,,,,,,,,,,,,,,,,,,,,,,,,,,"&amp;",,,,,,,,,,,,,,,,,,,,,,,,,,,,,,,,,,,,,,,,,,,,,,,,,,,,,,,,,,,,,,,,,,,,,,,,,,,,,,,,,,,,,,,,,,,,,,,,,,,,,,,,,,,,,,,,,,,,,,,,,,,,,,,,,,,,,,,,,,,,,,,,,,,,,,,,,,,,"</formula1>
    </dataValidation>
    <dataValidation type="list" allowBlank="1" sqref="H61:K61">
      <formula1>"CreateTransaction,GetMarkPriceData,UpdateMarkPrice,GetDailyBeta,UpdateBeta,CheckPortfolioManagement,Copy of Data,Copy of Data 1,Copy of Data 2"</formula1>
    </dataValidation>
    <dataValidation type="list" allowBlank="1" sqref="H88:K88">
      <formula1>"CreateDoneAwayOrder,Split,CheckPortfolioManagement,Copy of Data,CorporateAction,Copy of Data 1_conflict2142879148"</formula1>
    </dataValidation>
    <dataValidation type="list" allowBlank="1" sqref="F20 F37 F48 F56 F64 F69 F89 F95">
      <formula1>"CheckDashboardPM,CheckPortfolioManagement,OpenPSTFromPM,ClosePM,FilterPM,GroupRowPM,CheckDashboardWithPM,RemoveFilterPM,CheckSummaryRowsPM,,,,,,,,,,,,,,,,,,,,,,,,,,,,,,,,,,,,,,,,,,,,,,,,,,,,,,,,,,,,,,,,,,,,,,,,,,,,,,,,,,,,,,,,,,,,,,,,,,,,,,,,,,,,,,,,,,,,,"&amp;",,,,,,,,,,,,,,,,,,,,,,,,,,,,,,,,,,,,,,,,,,,,,,,,,,,,,,,,,,,,,,,,,,,,,,,,,,,,,,,,,,,,,,,,,,,,,,,,,,,,,,,,,,,,,,,,,,,,,,,,,,,,,,,,,,,,,,,,,,,,,,,,,,,,,,,,,,,,,,,,,,,,,,,,,,,,,,,,,,,,,,,,,,,,,,,,,,,,,,,,,,,,,,,,,,,,,,,,,,,,,,,,,,,,,,,,,,,,,,,,,,,,,,,,,,,,,,,"&amp;",,,,,,,,,,,,,,,,,,,,,,,,,,,,,,,,,,,,,,,,,,,,,,,,,,,,,,,,,,,,,,,,,,,,,,,,,,,,,,,,,,,,,,,,,,,,,,,,,,,,,,,,,,,,,,,,,,,,"</formula1>
    </dataValidation>
    <dataValidation type="list" allowBlank="1" sqref="F54 F59 F78">
      <formula1>"CreateTransaction,AddNewTransaction,SaveTransaction,,,,,,,,,,,,,,,,,,,,,,,,,,,,,,,,,,,,,,,,,,,,,,,,,,,,,,,,,,,,,,,,,,,,,,,,,,,,,,,,,,,,,,,,,,,,,,,,,,,,,,,,,,,,,,,,,,,,,,,,,,,,,,,,,,,,,,,,,,,,,,,,,,,,,,,,,,,,,,,,,,,,,,,,,,,,,,,,,,,,,,,,,,,,,,,,,,,,,,,,,,,,"&amp;",,,,,,,,,,,,,,,,,,,,,,,,,,,,,,,,,,,,,,,,,,,,,,,,,,,,,,,,,,,,,,,,,,,,,,,,,,,,,,,,,,,,,,,,,,,,,,,,,,,,,,,,,,,,,,,,,,,,,,,,,,,,,,,,,,,,,,,,,,,,,,,,,,,,,,,,,,,,,,,,,,,,,,,,,,,,,,,,,,,,,,,,,,,,,,,,,,,,,,,,,,,,,,,,,,,,,,,,,,,,,,,,,,,,,,,,,,,,,,,,,,,,,,,,,,,,,,,"&amp;",,,,,,,,,,,,,,,,,,,,,,,,,,,,,,,,,,,"</formula1>
    </dataValidation>
    <dataValidation type="list" allowBlank="1" sqref="H42:K42">
      <formula1>"CreateDoneAwayOrder,GetDataAllocation,SelectAllocatedGroup,EnterAccountValuesToAllocate,CheckAllocatedGroups,CheckPortfolioManagement,GetDataClosing,VerifyLongPositionsGrid,GetActivityData,VerifyActivity,GetTradingTransaction,VerifyTradingTransaction,GetR"&amp;"evaluationData,VerifyRevaluationData,RunRevaluation"</formula1>
    </dataValidation>
    <dataValidation type="list" allowBlank="1" sqref="H70:K70">
      <formula1>"ClickSymbolLookup,SymbolLookup,Copy of Data"</formula1>
    </dataValidation>
    <dataValidation type="list" allowBlank="1" sqref="F51 F65 F79:F82 F85">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52:K53 H55:K55">
      <formula1>"CreateTransaction,PricingInput,CheckPortfolioManagement,Copy of Data"</formula1>
    </dataValidation>
    <dataValidation type="list" allowBlank="1" sqref="H8:K8">
      <formula1>"CreateDoneAwayOrder,AddCalculatedPreferences,SetAccountValueCalculatedPref,GetDataAllocation,SelectUnallocatedGroup,EnterAllocatePreference,CheckAllocatedGroups,GetDataClosing,VerifyLongPositionsGrid,CheckPortfolioManagement,GetActivityData,VerifyActivity"&amp;",GetTradingTransaction,VerifyTradingTransaction,GetRevaluationData,VerifyRevaluationData,Copy of Data,Copy of Data 1"</formula1>
    </dataValidation>
    <dataValidation type="list" allowBlank="1" sqref="H31:K31 H33:K41">
      <formula1>"CreateDoneAwayOrder,GetDataAllocation,SelectAllocatedGroup,EnterAccountValuesToAllocate,CheckAllocatedGroups,CheckPortfolioManagement,GetDataClosing,VerifyLongPositionsGrid,GetActivityData,VerifyActivity,GetTradingTransaction,VerifyTradingTransaction,GetR"&amp;"evaluationData,VerifyRevaluationData,Copy of Data,Copy of Data 1,EnterAllocatePreference"</formula1>
    </dataValidation>
    <dataValidation type="list" allowBlank="1" sqref="F70">
      <formula1>"TradeUsingTT,OpenTTFromPST,EnterDetailsOnTT,ValidateSymbolTT,VerifyDataTT,SetUIPreferencesTT,SetBrokerWisePreferencesTT,TradeNewSub,CreateStageOrder,CreateReplaceOrder,CreateReplaceOrder,EditOrder,SetGeneralPreference,CreateDoneAwayOrder,CreateNewSubOrder"&amp;",TradeBloomberg,ClickSymbolLookup,,,,,,,,,,,,,,,,,,,,,,,,,,,,,,,,,,,,,,,,,,,,,,,,,,,,,,,,,,,,,,,,,,,,,,,,,,,,,,,,,,,,,,,,,,,,,,,,,,,,,,,,,,,,,,,,,,,,,,,,,,,,,,,,,,,,,,,,,,,,,,,,,,,,,,,,,,,,,,,,,,,,,,,,,,,,,,,,,,,,,,,,,,,,,,,,,,,,,,,,,,,,,,,,,,,,,,,,,,,,,,"&amp;",,,,,,,,,,,,,,,,,,,,,,,,,,,,,,,,,,,,,,,,,,,,,,,,,,,,,,,,,,,,,,,,,,,,,,,,,,,,,,,,,,,,,,,,,,,,,,,,,,,,,,,,,,,,,,,,,,,,,,,,,,,,,,,,,,,,,,,,,,,,,,,,,,,,,,,,,,,,,,,,,,,,,,,,,,,,,,,,,,,,,,,,,,,,,,,,,,,,,,,,,,,,,,,,,,,,,,,,,,,,,,,,,,,,,,,,,,,,,,,,,,,,,,,,,,,,,,,"&amp;",,,"</formula1>
    </dataValidation>
    <dataValidation type="list" allowBlank="1" sqref="H87:K87">
      <formula1>"CreateDoneAwayOrder,Split,CheckPortfolioManagement"</formula1>
    </dataValidation>
    <dataValidation type="list" allowBlank="1" sqref="F42">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amp;",,,,,,,,,,,,,,,,,,,,,,,,,,,,,,,,,,,,,,,,,,,,,,,,,,,,,,,,,,,,,,,,,,,,,,,,,,,,,,,,,,,,,,,,,,,,,,,,,,,,,,,,,,,,,,,,,,,,,,,,,,,,,,,,,,,,,,,,,,,,,,,,,,,,,,,,,,,,,,,,,,,,,,,,,,,,,,,,,,,,,,,,,,,,,,,,,,,,,,,,,,,,,,,,,,,,,,,,,,,,,,,,,,,,,,,,,,,,,,,,,,,,,,,,,,,,,,,"&amp;",,,,,,,,,,,"</formula1>
    </dataValidation>
    <dataValidation type="list" allowBlank="1" sqref="F45">
      <formula1>"Import,,,,,,,,,,,,,,,,,,,,,,,,,,,,,,,,,,,,,,,,,,,,,,,,,,,,,,,,,,,,,,,,,,,,,,,,,,,,,,,,,,,,,,,,,,,,,,,,,,,,,,,,,,,,,,,,,,,,,,,,,,,,,,,,,,,,,,,,,,,,,,,,,,,,,,,,,,,,,,,,,,,,,,,,,,,,,,,,,,,,,,,,,,,,,,,,,,,,,,,,,,,,,,,,,,,,,,,,,,,,,,,,,,,,,,,,,,,,,,,,,,,,,,,,,"&amp;",,,,,,,,,,,,,,,,,,,,,,,,,,,,,,,,,,,,,,,,,,,,,,,,,,,,,,,,,,,,,,,,,,,,,,,,,,,,,,,,,,,,,,,,,,,,,,,,,,,,,,,,,,,,,,,,,,,,,,,,,,,,,,,,,,,,,,,,,,,,,,,,,,,,,,,,,,,,,,,,,,,,,,,,,,,,,,,,,,,,,,,,,,,,,,,,,,,,,,,,,,,,,,,,,,,,,,,,,,,,,,,,,,,,,,,,,,,,,,,,,,,,,,,"</formula1>
    </dataValidation>
    <dataValidation type="list" allowBlank="1" sqref="F18:F19">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amp;",,,,,,,,,,,,,,,,,,,,,,,,,,,,,,,,,,,,,,,,,,,,,,,,,,,,,,,,,,,,,,,,,,,,,,,,,,,,,,,,,,,,,,,,,,,,,,,,,,,,,,,,,,,,,,,,,,,,,,,,,,,,,,,,,,,,,,,,,,,,,,,,,,,,,,,,,,,,,,,,,,,,,,,,,,,,,,,,,,,,,,,,,,,,,,,,,,,,,,,,,,,,,,,,,,,,,,,,,,,,,,,,,,,,,,,,,,,,,,,,,,,,,,,,,,,,,,,"&amp;",,,,,,,,,,,,,,,,,,,,,,,,,,,,,,,,,,,,,,,,,,,,,,,,,,,,,,,,,,,,,,,,,,,,,,,,,,,,,,,,,,,,,,,,,,,,,,,,,,,,,,,,,,,,,,,,,,,,,,,,,,,,,,,,,,,,,,,,,,,,,,,,,,,,,,,,,,,,,,,,,,,,,,,,,,,"</formula1>
    </dataValidation>
    <dataValidation type="list" allowBlank="1" sqref="F55 F68">
      <formula1>"PricingInput,UpdateSharesOutstanding,EODTPreferences,LiveData,,,,,,,,,,,,,,,,,,,,,,,,,,,,,,,,,,,,,,,,,,,,,,,,,,,,,,,,,,,,,,,,,,,,,,,,,,,,,,,,,,,,,,,,,,,,,,,,,,,,,,,,,,,,,,,,,,,,,,,,,,,,,,,,,,,,,,,,,,,,,,,,,,,,,,,,,,,,,,,,,,,,,,,,,,,,,,,,,,,,,,,,,,,,,,,,,,"&amp;",,,,,,,,,,,,,,,,,,,,,,,,,,,,,,,,,,,,,,,,,,,,,,,,,,,,,,,,,,,,,,,,,,,,,,,,,,,,,,,,,,,,,,,,,,,,,,,,,,,,,,,,,,,,,,,,,,,,,,,,,,,,,,,,,,,,,,,,,,,,,,,,,,,,,,,,,,,,,,,,,,,,,,,,,,,,,,,,,,,,,,,,,,,,,,,,,,,,,,,,,,,,,,,,,,,,,,,,,,,,,,,,,,,,,,,,,,,,,,,,,,,,,,,,,,,,,,,"&amp;",,,,,,,,,,,,,,,,,,,,,,,,,,,,,,,,,,,,,,,,,,,,"</formula1>
    </dataValidation>
    <dataValidation type="list" allowBlank="1" sqref="F73">
      <formula1>"SymbolLookupFromTT,UpdateUDA,GetSymbol,GetDataSymbolLookup,VerifySymbolLookUp,,,,,,,,,,,,,,,,,,,,,,,,,,,,,,,,,,,,,,,,,,,,,,,,,,,,,,,,,,,,,,,,,,,,,,,,,,,,,,,,,,,,,,,,,,,,,,,,,,,,,,,,,,,,,,,,,,,,,,,,,,,,,,,,,,,,,,,,,,,,,,,,,,,,,,,,,,,,,,,,,,,,,,,,,,,,,,,,,,"&amp;",,,,,,,,,,,,,,,,,,,,,,,,,,,,,,,,,,,,,,,,,,,,,,,,,,,,,,,,,,,,,,,,,,,,,,,,,,,,,,,,,,,,,,,,,,,,,,,,,,,,,,,,,,,,,,,,,,,,,,,,,,,,,,,,,,,,,,,,,,,,,,,,,,,,,,,,,,,,,,,,,,,,,,,,,,,,,,,,,,,,,,,,,,,,,,,,,,,,,,,,,,,,,,,,,,,,,,,,,,,,,,,,,,,,,,,,,,,,,,,,,,,,,,,,,,,,,,,"&amp;",,,,,,,,,,,,,,,,,,,,,,,,,,,,,,,,,,,,,,,,,,,,,,,,,,,,,,,,,,,"</formula1>
    </dataValidation>
    <dataValidation type="list" allowBlank="1" sqref="H25:K25 H28:K28">
      <formula1>"CreateDoneAwayOrder,AddCalculatedPreferences,SetAccountValueCalculatedPref,GetDataAllocation,SelectUnallocatedGroup,EnterAllocatePreference,CheckAllocatedGroups,GetDataClosing,VerifyLongPositionsGrid,CheckPortfolioManagement,GetActivityData,VerifyActivity"&amp;",GetTradingTransaction,VerifyTradingTransaction,GetRevaluationData,VerifyRevaluationData,GetAccountBalance"</formula1>
    </dataValidation>
    <dataValidation type="list" allowBlank="1" sqref="H92:K93">
      <formula1>"CreateDoneAwayOrder,SpinOff,GetDataAllocation,CheckAllocatedGroups,CheckPortfolioManagement,GetActivityData,VerifyActivity,GetTradingTransaction,VerifyTradingTransactionData,Copy of Data,Copy of Data 1,CorporateAction"</formula1>
    </dataValidation>
    <dataValidation type="list" allowBlank="1" sqref="E6:E72 E74:E931">
      <formula1>'_Modules'!$A$4:$A931</formula1>
    </dataValidation>
    <dataValidation type="list" allowBlank="1" sqref="F21:F27 F38:F41 F43 F96:F99">
      <formula1>"GetDataCash,EnterCashDividends,EnterNonTradingTransaction,VerifyCash,VerifyActivityTabData,VerifyTradingTransactionData,VerifyRevaluationData,CashToUnrealizedPNL,VerifyActivityTabData,VerifyTradingTransactionData,GetTransactionData,GetTradingTransaction,G"&amp;"etActivityData,VerifyTradingTransaction,GetRevaluationData,VerifyActivity,GetAccountDetails,GetAccountDetails,GetNonTradingTransactio,GetNonTradingTransaction,GetDividendData,VerifyNonTradingTransaction,VerifyNonTradingTransaction,VerifyRevaluationData,Ve"&amp;"rifyDividend,GetOpeningBalance,GetOpeningBalanceData,GetAccountBalance,SelectNonTradingTransaction,SelectNonTradingTranItem,DeleteNonTradingTransaction,DeleteNonTradingTranItem,AddNonTradingTransaction,AddNonTradingTranItem,VerifyOpeningBalance,VerifyOpen"&amp;"ingBalanceData,SelectOpeningBalanceTransaction,SelectOpeningBalanceTransaction,SelectOpeningBalanceTransaction,SelectOpeningBalanceTransaction,SelectOpeningBalanceTranItem,EditNonTradingTransaction,EditNonTradingTransaction,EditNonTradingTranItem,DeleteOp"&amp;"eningBalanceTransaction,DeleteOpeningBalanceTransaction,DeleteOpeningBalanceTranItem,GetDayEndCash,CalculateDayEndCash,VerifyDayEndCash,RunRevaluation,CalculateDayEndCash,GetCashTransaction,SelectCashTransaction,DeleteCashTransaction,EditCashTransaction,A"&amp;"ddCashTransaction,AddOpeningBalanceTransaction,AddOpeningBalanceTranItem,GetDailyCalculationsData,CalculateDailyCalculations,EditNonTradingTransaction,EditOpeningBalanceTranItem,EditOpeningBalanceTransaction,VerifyDailyCalTransactions,CloseGeneralLedger,V"&amp;"erifyAccountDetails,,,,,,,,,,,,,,,,,,,,,,,,,,,,,,,,,,,,,,,,,,,,,,,,,,,,,,,,,,,,,,,,,,,,,,,,,,,,,,,,,,,,,,,,,,,,,,,,,,,,,,,,,,,,,,,,,,,,,,,,,,,,,,,,,,,,,,,,,,,,,,,,,,,,,,,,,,,,,,,,,,,,,,,,,,,,,,,,,,,,,,,,,,,,,,,,,,,,,,,,,,,,,,,,,,,,,,,,,,,,,,,,,,,,,,,,,,,,"&amp;",,,,,,,,,,,,,,,,,,,,,,,,,,,,,,,,,,,,,,,,,,,,,,,,,,,,,,,,,,,,,,,,,,,,,,,,,,,,,,,,,,,,,,,,,,,,,,,,,,,,,,,,,,,,,,,,,,,,,,,,,,,,,,,,,,,,,,,,,,,,,,,,,,,,,,,,,,,,,,,,,,,,,,,,,,,,,,,,,,,,,,,,,,,,,,,,,,"</formula1>
    </dataValidation>
    <dataValidation type="list" allowBlank="1" sqref="H67:K67 H69:K69">
      <formula1>"CreateDoneAwayOrder,UpdateSharesOutstanding,CheckPortfolioManagement"</formula1>
    </dataValidation>
    <dataValidation type="list" allowBlank="1" sqref="F8:F11 F14:F15 F32">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amp;",,,,,,,,,,,,,,,,,,,,,,,,,,,,,,,,,,,,,,,,,,,,,,,,,,,,,,,,,,,,,,,,,,,,,,,,,,,,,,,,,,,,,,,,,,,,,,,,,,,,,,,,,,,,,,,,,,,,,,,,,,,,,,,,,,,,,,,,,,,,,,,,,,,,,,,,,,,,,,,,,,,,,,,,,,,,,,,,,,,,,,,,,,,,,,,,,,,,,,,,,,,"</formula1>
    </dataValidation>
    <dataValidation type="list" allowBlank="1" sqref="H72:K72 E73">
      <formula1>"GetDataSymbolLookup,SymbolLookup,Copy of Data"</formula1>
    </dataValidation>
    <dataValidation type="list" allowBlank="1" sqref="H73:K73">
      <formula1>"GetDataSymbolLookup,SymbolLookup,Copy of Data,VerifySymbolLookUp"</formula1>
    </dataValidation>
    <dataValidation type="list" allowBlank="1" sqref="H16:K24 H26:K27">
      <formula1>"CreateDoneAwayOrder,AddCalculatedPreferences,SetAccountValueCalculatedPref,GetDataAllocation,SelectUnallocatedGroup,EnterAllocatePreference,CheckAllocatedGroups,GetDataClosing,VerifyLongPositionsGrid,CheckPortfolioManagement,GetActivityData,VerifyActivity"&amp;",GetTradingTransaction,VerifyTradingTransaction,GetRevaluationData,VerifyRevaluationData,Copy of Data,Copy of Data 1,Copy of Data 2,Allocate,Copy of Data 3,Copy of Data 4"</formula1>
    </dataValidation>
    <dataValidation type="list" allowBlank="1" sqref="H82:K83">
      <formula1>"SelectTradeUnexpiredUnsettled,CreateTransaction,GetDataClosing,ExerciseAssignment,VerifyExpiredSettledGrid,CheckAllocatedGroups,GetDataAllocation,Copy of Data,Copy of Data 1,Copy of Data 2,Copy of Data 3,Copy of Data 4"</formula1>
    </dataValidation>
    <dataValidation type="list" allowBlank="1" sqref="H68:K68">
      <formula1>"CreateDoneAwayOrder,UpdateSharesOutstanding,CheckPortfolioManagement,Copy of Data"</formula1>
    </dataValidation>
    <dataValidation type="list" allowBlank="1" sqref="H44:K45">
      <formula1>"Data,Import,GetDataAllocation,CheckAllocatedGroups,CheckPortfolioManagement,GetDataClosing,VerifyLongPositionsGrid"</formula1>
    </dataValidation>
    <dataValidation type="list" allowBlank="1" sqref="H60:K60">
      <formula1>"CreateTransaction,GetMarkPriceData,UpdateMarkPrice,GetDailyBeta,UpdateBeta,CheckPortfolioManagement,Copy of Data,Copy of Data 1"</formula1>
    </dataValidation>
    <dataValidation type="list" allowBlank="1" sqref="H74:K74">
      <formula1>"CreateDoneAwayOrder,UpdateUDA,GetDataSymbolLookup,CheckPortfolioManagement,Copy of Data"</formula1>
    </dataValidation>
    <dataValidation type="list" allowBlank="1" sqref="H91:K91">
      <formula1>"CreateDoneAwayOrder,SpinOff,GetDataAllocation,CheckAllocatedGroups,CheckPortfolioManagement,GetActivityData,VerifyActivity,GetTradingTransaction,VerifyTradingTransactionData,Copy of Data"</formula1>
    </dataValidation>
    <dataValidation type="list" allowBlank="1" sqref="H75:K76">
      <formula1>"CreateDoneAwayOrder,UpdateUDA,GetDataSymbolLookup,CheckPortfolioManagement,Copy of Data,Copy of Data 1"</formula1>
    </dataValidation>
    <dataValidation type="list" allowBlank="1" sqref="H81:K81">
      <formula1>"SelectTradeUnexpiredUnsettled,CreateTransaction,GetDataClosing,ExerciseAssignment,VerifyExpiredSettledGrid,CheckAllocatedGroups,GetDataAllocation,Copy of Data,Copy of Data 1,Copy of Data 2,Copy of Data 3"</formula1>
    </dataValidation>
    <dataValidation type="list" allowBlank="1" sqref="H6:K7">
      <formula1>"CreateDoneAwayOrder,AddCalculatedPreferences,SetAccountValueCalculatedPref,GetDataAllocation,SelectUnallocatedGroup,EnterAllocatePreference,CheckAllocatedGroups,GetDataClosing,VerifyLongPositionsGrid,CheckPortfolioManagement,GetActivityData,VerifyActivity"&amp;",GetTradingTransaction,VerifyTradingTransaction,GetRevaluationData,VerifyRevaluationData,Copy of Data"</formula1>
    </dataValidation>
    <dataValidation type="list" allowBlank="1" sqref="D6 D28 D44 D52 D58 D67 D70 D72 D74 D77 D87 D90 D100:D101 D105:D931">
      <formula1>'_Categories'!$A$4:$A931</formula1>
    </dataValidation>
    <dataValidation type="list" allowBlank="1" sqref="H47:K47">
      <formula1>"Import,GetDataAllocation,check,CheckAllocation,CheckAllocatedGroups"</formula1>
    </dataValidation>
    <dataValidation type="list" allowBlank="1" sqref="F71:F72 F75">
      <formula1>"SymbolLookup,SymbolLookupFromTT,UpdateUDA,GetSymbol,GetDataSymbolLookup,,,,,,,,,,,,,,,,,,,,,,,,,,,,,,,,,,,,,,,,,,,,,,,,,,,,,,,,,,,,,,,,,,,,,,,,,,,,,,,,,,,,,,,,,,,,,,,,,,,,,,,,,,,,,,,,,,,,,,,,,,,,,,,,,,,,,,,,,,,,,,,,,,,,,,,,,,,,,,,,,,,,,,,,,,,,,,,,,,,,,,,,"&amp;",,,,,,,,,,,,,,,,,,,,,,,,,,,,,,,,,,,,,,,,,,,,,,,,,,,,,,,,,,,,,,,,,,,,,,,,,,,,,,,,,,,,,,,,,,,,,,,,,,,,,,,,,,,,,,,,,,,,,,,,,,,,,,,,,,,,,,,,,,,,,,,,,,,,,,,,,,,,,,,,,,,,,,,,,,,,,,,,,,,,,,,,,,,,,,,,,,,,,,,,,,,,,,,,,,,,,,,,,,,,,,,,,,,,,,,,,,,,,,,,,,,,,,,,,,,,,,,"&amp;",,,,,,,,,,,,,,,,,,,,,,,,,,,,,,,,,,,,,,,,,,,,,,,,,,,,,"</formula1>
    </dataValidation>
    <dataValidation type="list" allowBlank="1" sqref="H79:K79">
      <formula1>"SelectTradeUnexpiredUnsettled,CreateTransaction,GetDataClosing,ExerciseAssignment,VerifyExpiredSettledGrid,CheckAllocatedGroups,GetDataAllocation,Copy of Data"</formula1>
    </dataValidation>
    <dataValidation type="list" allowBlank="1" sqref="F7 F67">
      <formula1>"TradeUsingTT,OpenTTFromPST,EnterDetailsOnTT,ValidateSymbolTT,VerifyDataTT,SetUIPreferencesTT,SetBrokerWisePreferencesTT,TradeNewSub,CreateStageOrder,CreateReplaceOrder,CreateReplaceOrder,EditOrder,SetGeneralPreference,CreateDoneAwayOrder,,,,,,,,,,,,,,,,,,"&amp;",,,,,,,,,,,,,,,,,,,,,,,,,,,,,,,,,,,,,,,,,,,,,,,,,,,,,,,,,,,,,,,,,,,,,,,,,,,,,,,,,,,,,,,,,,,,,,,,,,,,,,,,,,,,,,,,,,,,,,,,,,,,,,,,,,,,,,,,,,,,,,,,,,,,,,,,,,,,,,,,,,,,,,,,,,,,,,,,,,,,,,,,,,,,,,,,,,,,,,,,,,,,,,,,,,,,,,,,,,,,,,,,,,,,,,,,,,,,,,,,,,,,,,,,,,,,,,,"&amp;",,,,,,,,,,,,,,,,,,,,,,,,,,,,,,,,,,,,,,,,,,,,,,,,,,,,,,,,,,,,,,,,,,,,,,,,,,,,,,,,,,,,,,,,,,,,,,,,,,,,,,,,,,,,,,,,,,,,,,,,,,,,,,,,,,,,,,,,,,,,,,,,,,,,,,,,,,,,,,,,,,,,,,,,,,,,,,,,,,,,,,,,,,,,,,,,,,,,,,,,,,,,,,,,,,"</formula1>
    </dataValidation>
    <dataValidation type="list" allowBlank="1" sqref="H84:K84">
      <formula1>"SelectTradeUnexpiredUnsettled,CreateTransaction,GetDataClosing,ExerciseAssignment,VerifyExpiredSettledGrid,CheckAllocatedGroups,GetDataAllocation,Copy of Data,Copy of Data 1,Copy of Data 2,Copy of Data 3,Copy of Data 4,Copy of Data 5"</formula1>
    </dataValidation>
    <dataValidation type="list" allowBlank="1" sqref="F102:F104">
      <formula1>"GenerateThirdParty,SendThirdParty,ViewThirdParty,SelectThirdPartyName,VerifyThirdPartyData,,,,,,,,,,,,,,,,,,,,,,,,,,,,,,,,,,,,,,,,,,,,,,,,,,,,,,,,,,,,,,,,,,,,,,,,,,,,,,,,,,,,,,,,,,,,,,,,,,,,,,,,,,,,,,,,,,,,,,,,,,,,,,,,,,,,,,,,,,,,,,,,,,,,,,,,,,,,,,,,,,,,,"&amp;",,,,,,,,,,,,,,,,,,,,,,,,,,,,,,,,,,,,,,,,,,,,,,,,,,,,,,,,,,,,,,,,,,,,,,,,,,,,,,,,,,,,,,,,,,,,,,,,,,,,,,,,,,,,,,,,,,,,,,,,,,,,,,,,,,,,,,,,,,,,,,,,,,,,,,,,,,,,,,,,,,,,,,,,,,,,,,,,,,,,,,,,,,,,,,,,,,,,,,,,,,,,,,,,,,,,,,,,,,,,,,,,,,,,,,,,,,,,,,,,,,,,,,,,,,,,,,,"&amp;",,,,,,,,,,,,,,,,,,,,,,,,,,,,,,,,,,,,,,,,,,,,,,,,,,,,,,,,,,,,,,,,,,,,,,,,"</formula1>
    </dataValidation>
    <dataValidation type="list" allowBlank="1" sqref="F6 F44 F52">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SaveCalculatedPreferences,CloseCalculatedPreferences,ExportCalculatedPreference,ImportCalculatedPreferences,OpenAuditTrailUnallocatedGroup,DeleteCalculatedPreferencesTool,ImportCalculatedPreferencesTool,Expo"&amp;"rtAllCalculatedPreferTool,OpenAuditTrailAllocatedGroup,OpenSymbolLookupUnallocateGroup,OpenSymbolLookupAllocatedGroup,DeleteFixedPreference,EditAllocatedGroupSidePanel,CheckUnallocatedGroups,SetGeneralPreferences,UngroupTrades,GroupTrades,DeleteGroup,Clos"&amp;"eOrder,Unallocate,CloseAllocation,UpdateGRAccountValue,UpdateGRStrategyValue,UpdateGRDefaultRule,UpdateGeneralRulePref,ModifyGRPreferenceValues,AddMFPreferences,AddMFPreferenceToolbar,DeleteMFPreferences,DeleteMFPreferenceToolbar,RenameMFPreferences,SaveC"&amp;"loseMFPreference,SetMFPrefAccountValues,ModifyMFPrefGeneralRuleValues,SetMFPrefStrategyValues,SetMFPrefGeneralRule,SetMFPrefFundDistribution,SetMFPreferencesDefaultRule,SetMFPrefFundDefaultRule,ClearPrefetchFilters,ExpandCollapseAllUnallocated,ExpandColla"&amp;"pseAllAllocated,GenerateCashTransaction,SaveAllocation,SaveAllocation,UnallocateWithOutSave,EditUnallocatedGrid,EditAllocatedGrid,SaveLayoutAllocatedGrid,SaveLayoutUnallocatedGrid,SaveLayoutAllocationUI,ClearFiltersAllocatedGrid,ClearFiltersUnallocatedGri"&amp;"d,VerifyLayoutAllocatedGrid,VerifyLayoutUnallocatedGrid,,,,,,,,,,,,,,,,,,,,,,,,,,,,,,,,,,,,,,,,,,,,,,,,,,,,,,,,,,,,,,,,,,,,,,,,,,,,,,,,,,,,,,,,,,,,,,,,,,,,,,,,,,,,,,,,,,,,,,,,,,,,,,,,,,,,,,,,,,,,,,,,,,,,,,,,,,,,,,,,,,,,,,,,,,,,,,,,,,,,,,,,,,,,,,,,,,,,,,,,"&amp;",,,,,,,,,,,,,,,,,,,,,,,,,,,,,,,,,,,,,,,,,,,,,,,,,,,,,,,,,,,,,,,,,,,,,,,,,,,,,,,,,,,,,,,,,,,,,,,,,,,,,,,,,,,,,,,,,,,,,,,,,,,,,,,,,,,,,,,,,,,,,,,,,,,,,,,,,,,,,,,,,,,,,,,,,,,,,,,,,,,,,,,,,,,,,,,,,,,,,"</formula1>
    </dataValidation>
    <dataValidation type="list" allowBlank="1" sqref="H49:K49">
      <formula1>"Import,GetDataAllocation,CheckAllocatedGroups,CheckPortfolioManagement,GetDataClosing"</formula1>
    </dataValidation>
    <dataValidation type="list" allowBlank="1" sqref="H58:K58">
      <formula1>"CreateTransaction,GetMarkPriceData,UpdateMarkPrice,GetDailyBeta,UpdateBeta,CheckPortfolioManagement"</formula1>
    </dataValidation>
    <dataValidation type="list" allowBlank="1" sqref="H94:K96">
      <formula1>"CreateDoneAwayOrder,SpinOff,GetDataAllocation,CheckAllocatedGroups,CheckPortfolioManagement,GetActivityData,VerifyActivity,GetTradingTransaction,VerifyTradingTransactionData,Copy of Data,Copy of Data 1,CorporateAction,Copy of Data 2"</formula1>
    </dataValidation>
    <dataValidation type="list" allowBlank="1" sqref="F12:F13 F17 F29:F31 F34 F46:F47 F57 F66 F84 F86 F93:F94">
      <formula1>"Allocate,CheckAllocation,Unallocate,GetDataAllocation,SelectTradeAllocation,EditTradesAllocated,EditTradesUnallocated,Reallocate,CleanUp,EditTrades,TradeAttributeBulkChange,CommissionBulkChange,GeneralPreferencesDefaultRule,AttributeRenaming,AutoGroupingR"&amp;"ules,MasterFundRatioAllocation,CheckFixedPreferenceScheme,GetFixedScheme,AddCalculatedPreferences,BulkChangeCalculatedPreferences,DeleteCalculatedPreferences,RenameCalculatedPreferences,CopyCalculatedPreferences,RunAutoGroup,SwapControl,RunProrata,SetDefa"&amp;"ultRuleForCalculatedPreference,RenameTradeAttributes,SetAccountValueCalculatedPref,TradeAttributeBulkChange,TradeAttributeBulkChangeGroup,TradeAttributeBulkChangeTaxlots,TradeAttributeBulkChangeGroups,SetMasterFundRatio,AddCalculatedPreferenceToolbar,SetG"&amp;"roupingRules,ApplyBulkUpdateOnGroups,SetStrategyValueCalculatedPref,ApplyBulkUpdateOnTaxlots,SetDefaultRuleCalculatedPref,CommissionBulkChangeOnGroups,CommissionBulkChangeOnTaxlots,BookOrUpdateSwap,SelectUnallocatedGroup,SelectAllocatedGroup,EnterAccountV"&amp;"aluesToAllocate,ApplyPrefetchFilters,EnterAllocatePerference,EnterStrategyValuesToAllocate,CopyCalculatedPreferencesToolbar,SetGeneralRuleCalculatedPref,CopyCalculatedPreferenceToolbar,EnterAllocatePreference,ExportAllCalculatedPreferences,SaveCalculatedP"&amp;"references,ExportAllCalculatedPreferences,SaveCalculatedPreferences,CloseCalculatedPreferences,ExportCalculatedPreference,EditUnallocatedGroupSidePanel,ImportCalculatedPreferences,OpenAuditTrailUnallocatedGroup,DeleteCalculatedPreferencesTool,ImportCalcul"&amp;"atedPreferencesTool,ExportAllCalculatedPreferTool,CheckFixedPreference,DeleteFixedPreference,OpenSymbolLookupUnallocateGroup,OpenSymbolLookupAllocatedGroup,ExportAllCalculatedPreferTool,ExportAllCalculatedPreferences,GetFixedPreference,CheckAllocatedGroup"&amp;"s,CheckUnallocatedGroups,SetGeneralPreferences,EditAllocatedGroupSidePanel,OpenAuditTrailAllocatedGroup,GroupTrades,UngroupTrades,DeleteGroup,CloseOrder,Unallocate,CloseAllocation,GeneralPrefCompanyUserWise,,,,,,,,,,,,,,,,,,,,,,,,,,,,,,,,,,,,,,,,,,,,,,,,,"&amp;",,,,,,,,,,,,,,,,,,,,,,,,,,,,,,,,,,,,,,,,,,,,,,,,,,,,,,,,,,,,,,,,,,,,,,,,,,,,,,,,,,,,,,,,,,,,,,,,,,,,,,,,,,,,,,,,,,,,,,,,,,,,,,,,,,,,,,,,,,,,,,,,,,,,,,,,,,,,,,,,,,,,,,,,,,,,,,,,,,,,,,,,,,,,,,,,,,,,,,,,,,,,,,,,,,,,,,,,,,,,,,,,,,,,,,,,,,,,,,,,,,,,,,,,,,,,,,,"&amp;",,,,,,,,,,,,,,,,,,,,,,,,,,,,,,,,,,,,,,,,,,,,,,,,,,,,,,,,,,,,,,,,,,,,,,,,,,,,,,,,,,,,,,,,,,,,,,,,,,,,,,,,,,,,,"</formula1>
    </dataValidation>
    <dataValidation type="list" allowBlank="1" sqref="H46:K46">
      <formula1>"Import,GetDataAllocation"</formula1>
    </dataValidation>
    <dataValidation type="list" allowBlank="1" sqref="H97:K97">
      <formula1>"CreateDoneAwayOrder,SpinOff,GetDataAllocation,CheckAllocatedGroups,CheckPortfolioManagement,GetActivityData,VerifyActivity,GetTradingTransaction,VerifyTradingTransactionData,Copy of Data,Copy of Data 1,CorporateAction,Copy of Data 2,Copy of Data 3"</formula1>
    </dataValidation>
    <dataValidation type="list" allowBlank="1" sqref="F49:F50">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amp;",,,,,,,,,,,,,,,,,,,,,,,,,,,,,,,,,,,,,,,,,,,,,,,,,,,,,,,,,,,,,,,,,,,,,,,,,,,,,,,,,,,,,,,,,,,,,,,,,,,,,,,,,,,,,,,,,,,,,,,,,,,,,,,,,,,,,,,,,,,,,,,,,,,,,,,,,,,,,,,,,,,,,,,,,,,,,,,,,,,,,,,,,,,,,,,,,,,,,,,,,,,,,,,,,,,,,,,,,,,,,,,,,,,,,,,,,,,,,,,,,,,,,,,,,,,,,,,"&amp;",,,,,,,,,,,,,,,,,,,,,,,,,,,,,,,,,,,,,,,,,,,,,,,,,,,,,,,,,,,,,,,,,,,,,,,,,,,,,,,,,,,,,,,,,,,,,,,,,,,,,,,,,,,,,,,,,,,,,,,,,,,,,,,,,,,,,,,,,,,,,,,,,,,,,,,,,,,,,,,,,,,,,,,,,"</formula1>
    </dataValidation>
    <dataValidation type="list" allowBlank="1" sqref="H51:K51">
      <formula1>"Import,GetDataAllocation,CheckAllocatedGroups,CheckPortfolioManagement,GetDataClosing,Copy of Data,Copy of Data 1,VerifyLongPositionsGrid"</formula1>
    </dataValidation>
    <dataValidation type="list" allowBlank="1" sqref="H62:K64">
      <formula1>"CreateTransaction,GetMarkPriceData,UpdateMarkPrice,GetDailyBeta,UpdateBeta,CheckPortfolioManagement,Copy of Data,Copy of Data 1,Copy of Data 2,Copy of Data 3"</formula1>
    </dataValidation>
    <dataValidation type="list" allowBlank="1" sqref="F35:F36">
      <formula1>"GetDataClosing,ManualClosing,AutomaticClosing,UnwindClosing,VerifyClosedTrades,VerifyLongPositionsGrid,VerifyShortPositionsGrid,SelectTradeUnexpiredUnsettled,CashSettlementAtCost,CashSettlementAtZeroPrice,CashSettlementAtClosingDateSpotPx,PhysicalSettleme"&amp;"nt,Expire,ExerciseAssignment,ExerciseAssignmentAtZero,SwapExpireAndRollover,SwapExpire,VerifyExpiredSettledGrid,VerifyUnExpiredUnSettledGrid,UnWindTradeSettlement,CloseOrder,VerifyCloseOrder,UnWindCloseOrder,CashSettlementAtClosingDtSpotPx,CashSettlementA"&amp;"tClosingDtSpot,CashSettlementAtClosingDtSpotPx,,,,,,,,,,,,,,,,,,,,,,,,,,,,,,,,,,,,,,,,,,,,,,,,,,,,,,,,,,,,,,,,,,,,,,,,,,,,,,,,,,,,,,,,,,,,,,,,,,,,,,,,,,,,,,,,,,,,,,,,,,,,,,,,,,,,,,,,,,,,,,,,,,,,,,,,,,,,,,,,,,,,,,,,,,,,,,,,,,,,,,,,,,,,,,,,,,,,,,,,,,,,,,,,,"&amp;",,,,,,,,,,,,,,,,,,,,,,,,,,,,,,,,,,,,,,,,,,,,,,,,,,,,,,,,,,,,,,,,,,,,,,,,,,,,,,,,,,,,,,,,,,,,,,,,,,,,,,,,,,,,,,,,,,,,,,,,,,,,,,,,,,,,,,,,,,,,,,,,,,,,,,,,,,,,,,,,,,,,,,,,,,,,,,,,,,,,,,,,,,,,,,,,,,,,,,,,,,,,,,,,,,,,,,,,,,,,,,,,,,,,,,,,,,,,,,,,,,,,,,,,,,,,,,,"&amp;",,,,,,,"</formula1>
    </dataValidation>
  </dataValidations>
  <hyperlinks>
    <hyperlink r:id="rId1" location="gid=2137053871" ref="G7"/>
    <hyperlink r:id="rId2" location="gid=1023795234" ref="G8"/>
    <hyperlink r:id="rId3" location="gid=1839125228" ref="G9"/>
    <hyperlink r:id="rId4" location="gid=2020321568" ref="G12"/>
    <hyperlink r:id="rId5" location="gid=1682434040" ref="G13"/>
    <hyperlink r:id="rId6" location="gid=489617954" ref="G14"/>
    <hyperlink r:id="rId7" location="gid=2020321568" ref="G16"/>
    <hyperlink r:id="rId8" location="gid=1886998174" ref="G17"/>
    <hyperlink r:id="rId9" location="gid=498437372" ref="G18"/>
    <hyperlink r:id="rId10" location="gid=1782212361" ref="G19"/>
    <hyperlink r:id="rId11" location="gid=2056078024" ref="G20"/>
    <hyperlink r:id="rId12" location="gid=1959783043" ref="G21"/>
    <hyperlink r:id="rId13" location="gid=651138049" ref="G22"/>
    <hyperlink r:id="rId14" location="gid=1956733100" ref="G23"/>
    <hyperlink r:id="rId15" location="gid=426698037" ref="G24"/>
    <hyperlink r:id="rId16" location="gid=385887153" ref="G25"/>
    <hyperlink r:id="rId17" location="gid=493631943" ref="G26"/>
    <hyperlink r:id="rId18" location="gid=301602225" ref="G27"/>
    <hyperlink r:id="rId19" location="gid=2137053871" ref="G28"/>
    <hyperlink r:id="rId20" location="gid=668355258" ref="G29"/>
    <hyperlink r:id="rId21" location="gid=1247434051" ref="G30"/>
    <hyperlink r:id="rId22" location="gid=876980132" ref="G31"/>
    <hyperlink r:id="rId23" location="gid=668355258" ref="G33"/>
    <hyperlink r:id="rId24" location="gid=1895484952" ref="G34"/>
    <hyperlink r:id="rId25" location="gid=776011083" ref="G35"/>
    <hyperlink r:id="rId26" location="gid=1001762625" ref="G36"/>
    <hyperlink r:id="rId27" location="gid=374053256" ref="G37"/>
    <hyperlink r:id="rId28" location="gid=1012936709" ref="G38"/>
    <hyperlink r:id="rId29" location="gid=561096514" ref="G39"/>
    <hyperlink r:id="rId30" location="gid=1521333878" ref="G40"/>
    <hyperlink r:id="rId31" location="gid=2063690654" ref="G41"/>
    <hyperlink r:id="rId32" location="gid=1045930551" ref="G42"/>
    <hyperlink r:id="rId33" location="gid=950859617" ref="G43"/>
    <hyperlink r:id="rId34" ref="G45"/>
    <hyperlink r:id="rId35" ref="G46"/>
    <hyperlink r:id="rId36" ref="G47"/>
    <hyperlink r:id="rId37" ref="G48"/>
    <hyperlink r:id="rId38" ref="G49"/>
    <hyperlink r:id="rId39" ref="G50"/>
    <hyperlink r:id="rId40" ref="G51"/>
    <hyperlink r:id="rId41" location="gid=1988208495" ref="G53"/>
    <hyperlink r:id="rId42" location="gid=162259224" ref="G55"/>
    <hyperlink r:id="rId43" location="gid=134363505" ref="G56"/>
    <hyperlink r:id="rId44" location="gid=857034109" ref="G58"/>
    <hyperlink r:id="rId45" location="gid=1623952294" ref="G60"/>
    <hyperlink r:id="rId46" location="gid=533722163" ref="G61"/>
    <hyperlink r:id="rId47" location="gid=1389267124" ref="G62"/>
    <hyperlink r:id="rId48" location="gid=2112655341" ref="G63"/>
    <hyperlink r:id="rId49" location="gid=1191990684" ref="G64"/>
    <hyperlink r:id="rId50" location="gid=913274521" ref="G67"/>
    <hyperlink r:id="rId51" location="gid=625682617" ref="G68"/>
    <hyperlink r:id="rId52" location="gid=93483539" ref="G69"/>
    <hyperlink r:id="rId53" location="gid=1181644266" ref="G70"/>
    <hyperlink r:id="rId54" location="gid=1832433076" ref="G71"/>
    <hyperlink r:id="rId55" location="gid=1773462904" ref="G72"/>
    <hyperlink r:id="rId56" location="gid=1987051167" ref="G73"/>
    <hyperlink r:id="rId57" location="gid=1292045805" ref="G74"/>
    <hyperlink r:id="rId58" location="gid=401625550" ref="G75"/>
    <hyperlink r:id="rId59" location="gid=1895404156" ref="G76"/>
    <hyperlink r:id="rId60" location="gid=845128953" ref="G77"/>
    <hyperlink r:id="rId61" location="gid=328120028" ref="G79"/>
    <hyperlink r:id="rId62" location="gid=548642920" ref="G80"/>
    <hyperlink r:id="rId63" location="gid=376083072" ref="G81"/>
    <hyperlink r:id="rId64" location="gid=2125488113" ref="G82"/>
    <hyperlink r:id="rId65" location="gid=221813052" ref="G83"/>
    <hyperlink r:id="rId66" location="gid=1017324028" ref="G84"/>
    <hyperlink r:id="rId67" location="gid=1663655029" ref="G87"/>
    <hyperlink r:id="rId68" location="gid=2134691307" ref="G88"/>
    <hyperlink r:id="rId69" location="gid=1595879916" ref="G89"/>
    <hyperlink r:id="rId70" location="gid=242845899" ref="G91"/>
    <hyperlink r:id="rId71" location="gid=967895325" ref="G92"/>
    <hyperlink r:id="rId72" location="gid=696691132" ref="G93"/>
    <hyperlink r:id="rId73" location="gid=1103223383" ref="G94"/>
    <hyperlink r:id="rId74" location="gid=360881963" ref="G95"/>
    <hyperlink r:id="rId75" location="gid=1941638226" ref="G96"/>
    <hyperlink r:id="rId76" location="gid=1332764048" ref="G97"/>
    <hyperlink r:id="rId77" location="gid=1496258821" ref="G98"/>
    <hyperlink r:id="rId78" location="gid=1369013368" ref="G99"/>
    <hyperlink r:id="rId79" location="gid=527443284" ref="G101"/>
    <hyperlink r:id="rId80" location="gid=1459576801" ref="G102"/>
    <hyperlink r:id="rId81" location="gid=1459576801" ref="G103"/>
    <hyperlink r:id="rId82" location="gid=1459576801" ref="G104"/>
  </hyperlinks>
  <drawing r:id="rId8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4.0"/>
    <col customWidth="1" min="3" max="3" width="38.29"/>
    <col customWidth="1" min="4" max="4" width="15.43"/>
    <col customWidth="1" min="5" max="5" width="24.43"/>
    <col customWidth="1" min="6" max="6" width="30.43"/>
    <col customWidth="1" min="7" max="7" width="79.86"/>
    <col customWidth="1" min="8" max="8" width="33.14"/>
    <col customWidth="1" min="9" max="12" width="18.0"/>
    <col customWidth="1" min="13" max="32" width="14.43"/>
  </cols>
  <sheetData>
    <row r="1" ht="1.5" customHeight="1">
      <c r="A1" s="492"/>
      <c r="B1" s="492"/>
      <c r="C1" s="139"/>
      <c r="D1" s="139"/>
      <c r="E1" s="139"/>
      <c r="F1" s="139"/>
      <c r="G1" s="139"/>
      <c r="H1" s="139"/>
      <c r="I1" s="139"/>
      <c r="J1" s="492"/>
      <c r="K1" s="492"/>
      <c r="L1" s="492"/>
      <c r="M1" s="144"/>
      <c r="N1" s="144"/>
      <c r="O1" s="144"/>
      <c r="P1" s="144"/>
      <c r="Q1" s="144"/>
      <c r="R1" s="144"/>
      <c r="S1" s="144"/>
      <c r="T1" s="144"/>
      <c r="U1" s="144"/>
      <c r="V1" s="144"/>
      <c r="W1" s="144"/>
      <c r="X1" s="144"/>
      <c r="Y1" s="144"/>
      <c r="Z1" s="144"/>
      <c r="AA1" s="144"/>
      <c r="AB1" s="144"/>
      <c r="AC1" s="144"/>
      <c r="AD1" s="144"/>
      <c r="AE1" s="144"/>
      <c r="AF1" s="144"/>
    </row>
    <row r="2" ht="1.5" customHeight="1">
      <c r="A2" s="492"/>
      <c r="B2" s="492"/>
      <c r="C2" s="139"/>
      <c r="D2" s="139"/>
      <c r="E2" s="139"/>
      <c r="F2" s="139"/>
      <c r="G2" s="139"/>
      <c r="H2" s="139"/>
      <c r="I2" s="139"/>
      <c r="J2" s="492"/>
      <c r="K2" s="492"/>
      <c r="L2" s="492"/>
      <c r="M2" s="144"/>
      <c r="N2" s="144"/>
      <c r="O2" s="144"/>
      <c r="P2" s="144"/>
      <c r="Q2" s="144"/>
      <c r="R2" s="144"/>
      <c r="S2" s="144"/>
      <c r="T2" s="144"/>
      <c r="U2" s="144"/>
      <c r="V2" s="144"/>
      <c r="W2" s="144"/>
      <c r="X2" s="144"/>
      <c r="Y2" s="144"/>
      <c r="Z2" s="144"/>
      <c r="AA2" s="144"/>
      <c r="AB2" s="144"/>
      <c r="AC2" s="144"/>
      <c r="AD2" s="144"/>
      <c r="AE2" s="144"/>
      <c r="AF2" s="144"/>
    </row>
    <row r="3" ht="1.5" customHeight="1">
      <c r="A3" s="139" t="s">
        <v>5</v>
      </c>
      <c r="B3" s="139" t="s">
        <v>5</v>
      </c>
      <c r="C3" s="139" t="s">
        <v>6</v>
      </c>
      <c r="J3" s="492"/>
      <c r="K3" s="492"/>
      <c r="L3" s="492"/>
      <c r="M3" s="144"/>
      <c r="N3" s="144"/>
      <c r="O3" s="144"/>
      <c r="P3" s="144"/>
      <c r="Q3" s="144"/>
      <c r="R3" s="144"/>
      <c r="S3" s="144"/>
      <c r="T3" s="144"/>
      <c r="U3" s="144"/>
      <c r="V3" s="144"/>
      <c r="W3" s="144"/>
      <c r="X3" s="144"/>
      <c r="Y3" s="144"/>
      <c r="Z3" s="144"/>
      <c r="AA3" s="144"/>
      <c r="AB3" s="144"/>
      <c r="AC3" s="144"/>
      <c r="AD3" s="144"/>
      <c r="AE3" s="144"/>
      <c r="AF3" s="144"/>
    </row>
    <row r="4" ht="17.25" customHeight="1">
      <c r="A4" s="144"/>
      <c r="B4" s="144"/>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row>
    <row r="5" ht="16.5" customHeight="1">
      <c r="A5" s="493" t="s">
        <v>5</v>
      </c>
      <c r="B5" s="493" t="s">
        <v>7</v>
      </c>
      <c r="C5" s="493" t="s">
        <v>8</v>
      </c>
      <c r="D5" s="493" t="s">
        <v>9</v>
      </c>
      <c r="E5" s="493" t="s">
        <v>10</v>
      </c>
      <c r="F5" s="493" t="s">
        <v>11</v>
      </c>
      <c r="G5" s="494" t="s">
        <v>12</v>
      </c>
      <c r="H5" s="145" t="s">
        <v>13</v>
      </c>
      <c r="I5" s="493" t="s">
        <v>14</v>
      </c>
      <c r="J5" s="493" t="s">
        <v>15</v>
      </c>
      <c r="K5" s="493" t="s">
        <v>16</v>
      </c>
      <c r="L5" s="22" t="s">
        <v>17</v>
      </c>
      <c r="M5" s="144"/>
      <c r="N5" s="144"/>
      <c r="O5" s="144"/>
      <c r="P5" s="144"/>
      <c r="Q5" s="144"/>
      <c r="R5" s="144"/>
      <c r="S5" s="144"/>
      <c r="T5" s="144"/>
      <c r="U5" s="144"/>
      <c r="V5" s="144"/>
      <c r="W5" s="144"/>
      <c r="X5" s="144"/>
      <c r="Y5" s="144"/>
      <c r="Z5" s="144"/>
      <c r="AA5" s="144"/>
      <c r="AB5" s="144"/>
      <c r="AC5" s="144"/>
      <c r="AD5" s="144"/>
      <c r="AE5" s="144"/>
      <c r="AF5" s="144"/>
    </row>
    <row r="6" ht="16.5" customHeight="1">
      <c r="A6" s="164" t="s">
        <v>5</v>
      </c>
      <c r="B6" s="56" t="s">
        <v>5120</v>
      </c>
      <c r="C6" s="542" t="s">
        <v>5121</v>
      </c>
      <c r="D6" s="83" t="s">
        <v>20</v>
      </c>
      <c r="E6" s="83" t="s">
        <v>88</v>
      </c>
      <c r="F6" s="56" t="s">
        <v>89</v>
      </c>
      <c r="G6" s="520"/>
      <c r="H6" s="36"/>
      <c r="I6" s="36"/>
      <c r="J6" s="36"/>
      <c r="L6" s="496"/>
      <c r="M6" s="144"/>
      <c r="N6" s="144"/>
      <c r="O6" s="144"/>
      <c r="P6" s="144"/>
      <c r="Q6" s="144"/>
      <c r="R6" s="144"/>
      <c r="S6" s="144"/>
      <c r="T6" s="144"/>
      <c r="U6" s="144"/>
      <c r="V6" s="144"/>
      <c r="W6" s="144"/>
      <c r="X6" s="144"/>
      <c r="Y6" s="144"/>
      <c r="Z6" s="144"/>
      <c r="AA6" s="144"/>
      <c r="AB6" s="144"/>
      <c r="AC6" s="144"/>
      <c r="AD6" s="144"/>
      <c r="AE6" s="144"/>
      <c r="AF6" s="144"/>
    </row>
    <row r="7" ht="16.5" customHeight="1">
      <c r="A7" s="164" t="s">
        <v>5</v>
      </c>
      <c r="E7" s="83" t="s">
        <v>21</v>
      </c>
      <c r="F7" s="56" t="s">
        <v>51</v>
      </c>
      <c r="G7" s="527" t="s">
        <v>5122</v>
      </c>
      <c r="H7" s="151" t="s">
        <v>51</v>
      </c>
      <c r="I7" s="352"/>
      <c r="J7" s="352"/>
      <c r="K7" s="496"/>
      <c r="L7" s="496"/>
      <c r="M7" s="144"/>
      <c r="N7" s="144"/>
      <c r="O7" s="144"/>
      <c r="P7" s="144"/>
      <c r="Q7" s="144"/>
      <c r="R7" s="144"/>
      <c r="S7" s="144"/>
      <c r="T7" s="144"/>
      <c r="U7" s="144"/>
      <c r="V7" s="144"/>
      <c r="W7" s="144"/>
      <c r="X7" s="144"/>
      <c r="Y7" s="144"/>
      <c r="Z7" s="144"/>
      <c r="AA7" s="144"/>
      <c r="AB7" s="144"/>
      <c r="AC7" s="144"/>
      <c r="AD7" s="144"/>
      <c r="AE7" s="144"/>
      <c r="AF7" s="144"/>
    </row>
    <row r="8" ht="16.5" customHeight="1">
      <c r="A8" s="164" t="s">
        <v>5</v>
      </c>
      <c r="E8" s="83" t="s">
        <v>88</v>
      </c>
      <c r="F8" s="56" t="s">
        <v>154</v>
      </c>
      <c r="G8" s="527" t="s">
        <v>5123</v>
      </c>
      <c r="H8" s="35" t="s">
        <v>154</v>
      </c>
      <c r="I8" s="36"/>
      <c r="J8" s="36"/>
      <c r="L8" s="496"/>
      <c r="M8" s="144"/>
      <c r="N8" s="144"/>
      <c r="O8" s="144"/>
      <c r="P8" s="144"/>
      <c r="Q8" s="144"/>
      <c r="R8" s="144"/>
      <c r="S8" s="144"/>
      <c r="T8" s="144"/>
      <c r="U8" s="144"/>
      <c r="V8" s="144"/>
      <c r="W8" s="144"/>
      <c r="X8" s="144"/>
      <c r="Y8" s="144"/>
      <c r="Z8" s="144"/>
      <c r="AA8" s="144"/>
      <c r="AB8" s="144"/>
      <c r="AC8" s="144"/>
      <c r="AD8" s="144"/>
      <c r="AE8" s="144"/>
      <c r="AF8" s="144"/>
    </row>
    <row r="9" ht="16.5" customHeight="1">
      <c r="A9" s="164" t="s">
        <v>5</v>
      </c>
      <c r="E9" s="83" t="s">
        <v>88</v>
      </c>
      <c r="F9" s="56" t="s">
        <v>859</v>
      </c>
      <c r="G9" s="527" t="s">
        <v>5124</v>
      </c>
      <c r="H9" s="35" t="s">
        <v>859</v>
      </c>
      <c r="I9" s="36"/>
      <c r="J9" s="36"/>
      <c r="L9" s="496"/>
      <c r="M9" s="144"/>
      <c r="N9" s="144"/>
      <c r="O9" s="144"/>
      <c r="P9" s="144"/>
      <c r="Q9" s="144"/>
      <c r="R9" s="144"/>
      <c r="S9" s="144"/>
      <c r="T9" s="144"/>
      <c r="U9" s="144"/>
      <c r="V9" s="144"/>
      <c r="W9" s="144"/>
      <c r="X9" s="144"/>
      <c r="Y9" s="144"/>
      <c r="Z9" s="144"/>
      <c r="AA9" s="144"/>
      <c r="AB9" s="144"/>
      <c r="AC9" s="144"/>
      <c r="AD9" s="144"/>
      <c r="AE9" s="144"/>
      <c r="AF9" s="144"/>
    </row>
    <row r="10" ht="16.5" customHeight="1">
      <c r="A10" s="164" t="s">
        <v>5</v>
      </c>
      <c r="E10" s="83" t="s">
        <v>88</v>
      </c>
      <c r="F10" s="56" t="s">
        <v>879</v>
      </c>
      <c r="G10" s="527" t="s">
        <v>5125</v>
      </c>
      <c r="H10" s="35" t="s">
        <v>879</v>
      </c>
      <c r="I10" s="36"/>
      <c r="J10" s="36"/>
      <c r="L10" s="496"/>
      <c r="M10" s="144"/>
      <c r="N10" s="144"/>
      <c r="O10" s="144"/>
      <c r="P10" s="144"/>
      <c r="Q10" s="144"/>
      <c r="R10" s="144"/>
      <c r="S10" s="144"/>
      <c r="T10" s="144"/>
      <c r="U10" s="144"/>
      <c r="V10" s="144"/>
      <c r="W10" s="144"/>
      <c r="X10" s="144"/>
      <c r="Y10" s="144"/>
      <c r="Z10" s="144"/>
      <c r="AA10" s="144"/>
      <c r="AB10" s="144"/>
      <c r="AC10" s="144"/>
      <c r="AD10" s="144"/>
      <c r="AE10" s="144"/>
      <c r="AF10" s="144"/>
    </row>
    <row r="11" ht="16.5" customHeight="1">
      <c r="A11" s="164" t="s">
        <v>5</v>
      </c>
      <c r="E11" s="83" t="s">
        <v>88</v>
      </c>
      <c r="F11" s="56" t="s">
        <v>877</v>
      </c>
      <c r="G11" s="527" t="s">
        <v>5126</v>
      </c>
      <c r="H11" s="35" t="s">
        <v>877</v>
      </c>
      <c r="I11" s="36"/>
      <c r="J11" s="36"/>
      <c r="L11" s="496"/>
      <c r="M11" s="144"/>
      <c r="N11" s="144"/>
      <c r="O11" s="144"/>
      <c r="P11" s="144"/>
      <c r="Q11" s="144"/>
      <c r="R11" s="144"/>
      <c r="S11" s="144"/>
      <c r="T11" s="144"/>
      <c r="U11" s="144"/>
      <c r="V11" s="144"/>
      <c r="W11" s="144"/>
      <c r="X11" s="144"/>
      <c r="Y11" s="144"/>
      <c r="Z11" s="144"/>
      <c r="AA11" s="144"/>
      <c r="AB11" s="144"/>
      <c r="AC11" s="144"/>
      <c r="AD11" s="144"/>
      <c r="AE11" s="144"/>
      <c r="AF11" s="144"/>
    </row>
    <row r="12" ht="16.5" customHeight="1">
      <c r="A12" s="164" t="s">
        <v>5</v>
      </c>
      <c r="E12" s="83" t="s">
        <v>88</v>
      </c>
      <c r="F12" s="56" t="s">
        <v>881</v>
      </c>
      <c r="G12" s="527" t="s">
        <v>5127</v>
      </c>
      <c r="H12" s="35" t="s">
        <v>881</v>
      </c>
      <c r="I12" s="36"/>
      <c r="J12" s="36"/>
      <c r="L12" s="496"/>
      <c r="M12" s="144"/>
      <c r="N12" s="144"/>
      <c r="O12" s="144"/>
      <c r="P12" s="144"/>
      <c r="Q12" s="144"/>
      <c r="R12" s="144"/>
      <c r="S12" s="144"/>
      <c r="T12" s="144"/>
      <c r="U12" s="144"/>
      <c r="V12" s="144"/>
      <c r="W12" s="144"/>
      <c r="X12" s="144"/>
      <c r="Y12" s="144"/>
      <c r="Z12" s="144"/>
      <c r="AA12" s="144"/>
      <c r="AB12" s="144"/>
      <c r="AC12" s="144"/>
      <c r="AD12" s="144"/>
      <c r="AE12" s="144"/>
      <c r="AF12" s="144"/>
    </row>
    <row r="13" ht="16.5" customHeight="1">
      <c r="A13" s="164" t="s">
        <v>5</v>
      </c>
      <c r="E13" s="83" t="s">
        <v>88</v>
      </c>
      <c r="F13" s="56" t="s">
        <v>870</v>
      </c>
      <c r="G13" s="527" t="s">
        <v>5128</v>
      </c>
      <c r="H13" s="35" t="s">
        <v>870</v>
      </c>
      <c r="I13" s="36"/>
      <c r="J13" s="36"/>
      <c r="L13" s="496"/>
      <c r="M13" s="144"/>
      <c r="N13" s="144"/>
      <c r="O13" s="144"/>
      <c r="P13" s="144"/>
      <c r="Q13" s="144"/>
      <c r="R13" s="144"/>
      <c r="S13" s="144"/>
      <c r="T13" s="144"/>
      <c r="U13" s="144"/>
      <c r="V13" s="144"/>
      <c r="W13" s="144"/>
      <c r="X13" s="144"/>
      <c r="Y13" s="144"/>
      <c r="Z13" s="144"/>
      <c r="AA13" s="144"/>
      <c r="AB13" s="144"/>
      <c r="AC13" s="144"/>
      <c r="AD13" s="144"/>
      <c r="AE13" s="144"/>
      <c r="AF13" s="144"/>
    </row>
    <row r="14" ht="17.25" customHeight="1">
      <c r="A14" s="164" t="s">
        <v>5</v>
      </c>
      <c r="E14" s="83" t="s">
        <v>88</v>
      </c>
      <c r="F14" s="56" t="s">
        <v>881</v>
      </c>
      <c r="G14" s="527" t="s">
        <v>5129</v>
      </c>
      <c r="H14" s="35" t="s">
        <v>5130</v>
      </c>
      <c r="I14" s="36"/>
      <c r="J14" s="36"/>
      <c r="L14" s="496"/>
      <c r="M14" s="144"/>
      <c r="N14" s="144"/>
      <c r="O14" s="144"/>
      <c r="P14" s="144"/>
      <c r="Q14" s="144"/>
      <c r="R14" s="144"/>
      <c r="S14" s="144"/>
      <c r="T14" s="144"/>
      <c r="U14" s="144"/>
      <c r="V14" s="144"/>
      <c r="W14" s="144"/>
      <c r="X14" s="144"/>
      <c r="Y14" s="144"/>
      <c r="Z14" s="144"/>
      <c r="AA14" s="144"/>
      <c r="AB14" s="144"/>
      <c r="AC14" s="144"/>
      <c r="AD14" s="144"/>
      <c r="AE14" s="144"/>
      <c r="AF14" s="144"/>
    </row>
    <row r="15" ht="16.5" customHeight="1">
      <c r="A15" s="164" t="s">
        <v>5</v>
      </c>
      <c r="E15" s="83" t="s">
        <v>88</v>
      </c>
      <c r="F15" s="56" t="s">
        <v>870</v>
      </c>
      <c r="G15" s="527" t="s">
        <v>5131</v>
      </c>
      <c r="H15" s="35" t="s">
        <v>5132</v>
      </c>
      <c r="I15" s="36"/>
      <c r="L15" s="496"/>
      <c r="M15" s="144"/>
      <c r="N15" s="144"/>
      <c r="O15" s="144"/>
      <c r="P15" s="144"/>
      <c r="Q15" s="144"/>
      <c r="R15" s="144"/>
      <c r="S15" s="144"/>
      <c r="T15" s="144"/>
      <c r="U15" s="144"/>
      <c r="V15" s="144"/>
      <c r="W15" s="144"/>
      <c r="X15" s="144"/>
      <c r="Y15" s="144"/>
      <c r="Z15" s="144"/>
      <c r="AA15" s="144"/>
      <c r="AB15" s="144"/>
      <c r="AC15" s="144"/>
      <c r="AD15" s="144"/>
      <c r="AE15" s="144"/>
      <c r="AF15" s="144"/>
    </row>
    <row r="16" ht="16.5" customHeight="1">
      <c r="A16" s="164" t="s">
        <v>5</v>
      </c>
      <c r="E16" s="83" t="s">
        <v>88</v>
      </c>
      <c r="F16" s="56" t="s">
        <v>869</v>
      </c>
      <c r="G16" s="520"/>
      <c r="H16" s="36"/>
      <c r="I16" s="36"/>
      <c r="L16" s="496"/>
      <c r="M16" s="144"/>
      <c r="N16" s="144"/>
      <c r="O16" s="144"/>
      <c r="P16" s="144"/>
      <c r="Q16" s="144"/>
      <c r="R16" s="144"/>
      <c r="S16" s="144"/>
      <c r="T16" s="144"/>
      <c r="U16" s="144"/>
      <c r="V16" s="144"/>
      <c r="W16" s="144"/>
      <c r="X16" s="144"/>
      <c r="Y16" s="144"/>
      <c r="Z16" s="144"/>
      <c r="AA16" s="144"/>
      <c r="AB16" s="144"/>
      <c r="AC16" s="144"/>
      <c r="AD16" s="144"/>
      <c r="AE16" s="144"/>
      <c r="AF16" s="144"/>
    </row>
    <row r="17" ht="16.5" customHeight="1">
      <c r="A17" s="164" t="s">
        <v>5</v>
      </c>
      <c r="E17" s="83" t="s">
        <v>88</v>
      </c>
      <c r="F17" s="56" t="s">
        <v>120</v>
      </c>
      <c r="G17" s="527" t="s">
        <v>5133</v>
      </c>
      <c r="H17" s="35" t="s">
        <v>120</v>
      </c>
      <c r="I17" s="36"/>
      <c r="L17" s="496"/>
      <c r="M17" s="144"/>
      <c r="N17" s="144"/>
      <c r="O17" s="144"/>
      <c r="P17" s="144"/>
      <c r="Q17" s="144"/>
      <c r="R17" s="144"/>
      <c r="S17" s="144"/>
      <c r="T17" s="144"/>
      <c r="U17" s="144"/>
      <c r="V17" s="144"/>
      <c r="W17" s="144"/>
      <c r="X17" s="144"/>
      <c r="Y17" s="144"/>
      <c r="Z17" s="144"/>
      <c r="AA17" s="144"/>
      <c r="AB17" s="144"/>
      <c r="AC17" s="144"/>
      <c r="AD17" s="144"/>
      <c r="AE17" s="144"/>
      <c r="AF17" s="144"/>
    </row>
    <row r="18" ht="16.5" customHeight="1">
      <c r="A18" s="164" t="s">
        <v>5</v>
      </c>
      <c r="E18" s="83" t="s">
        <v>88</v>
      </c>
      <c r="F18" s="56" t="s">
        <v>544</v>
      </c>
      <c r="G18" s="527" t="s">
        <v>5134</v>
      </c>
      <c r="H18" s="35" t="s">
        <v>544</v>
      </c>
      <c r="I18" s="36"/>
      <c r="L18" s="496"/>
      <c r="M18" s="144"/>
      <c r="N18" s="144"/>
      <c r="O18" s="144"/>
      <c r="P18" s="144"/>
      <c r="Q18" s="144"/>
      <c r="R18" s="144"/>
      <c r="S18" s="144"/>
      <c r="T18" s="144"/>
      <c r="U18" s="144"/>
      <c r="V18" s="144"/>
      <c r="W18" s="144"/>
      <c r="X18" s="144"/>
      <c r="Y18" s="144"/>
      <c r="Z18" s="144"/>
      <c r="AA18" s="144"/>
      <c r="AB18" s="144"/>
      <c r="AC18" s="144"/>
      <c r="AD18" s="144"/>
      <c r="AE18" s="144"/>
      <c r="AF18" s="144"/>
    </row>
    <row r="19" ht="16.5" customHeight="1">
      <c r="A19" s="164" t="s">
        <v>5</v>
      </c>
      <c r="E19" s="83" t="s">
        <v>88</v>
      </c>
      <c r="F19" s="56" t="s">
        <v>247</v>
      </c>
      <c r="G19" s="520"/>
      <c r="H19" s="36"/>
      <c r="I19" s="36"/>
      <c r="L19" s="496"/>
      <c r="M19" s="144"/>
      <c r="N19" s="144"/>
      <c r="O19" s="144"/>
      <c r="P19" s="144"/>
      <c r="Q19" s="144"/>
      <c r="R19" s="144"/>
      <c r="S19" s="144"/>
      <c r="T19" s="144"/>
      <c r="U19" s="144"/>
      <c r="V19" s="144"/>
      <c r="W19" s="144"/>
      <c r="X19" s="144"/>
      <c r="Y19" s="144"/>
      <c r="Z19" s="144"/>
      <c r="AA19" s="144"/>
      <c r="AB19" s="144"/>
      <c r="AC19" s="144"/>
      <c r="AD19" s="144"/>
      <c r="AE19" s="144"/>
      <c r="AF19" s="144"/>
    </row>
    <row r="20" ht="16.5" customHeight="1">
      <c r="A20" s="164" t="s">
        <v>5</v>
      </c>
      <c r="E20" s="83" t="s">
        <v>88</v>
      </c>
      <c r="F20" s="56" t="s">
        <v>95</v>
      </c>
      <c r="G20" s="527" t="s">
        <v>5135</v>
      </c>
      <c r="H20" s="35" t="s">
        <v>95</v>
      </c>
      <c r="I20" s="36"/>
      <c r="L20" s="496"/>
      <c r="M20" s="144"/>
      <c r="N20" s="144"/>
      <c r="O20" s="144"/>
      <c r="P20" s="144"/>
      <c r="Q20" s="144"/>
      <c r="R20" s="144"/>
      <c r="S20" s="144"/>
      <c r="T20" s="144"/>
      <c r="U20" s="144"/>
      <c r="V20" s="144"/>
      <c r="W20" s="144"/>
      <c r="X20" s="144"/>
      <c r="Y20" s="144"/>
      <c r="Z20" s="144"/>
      <c r="AA20" s="144"/>
      <c r="AB20" s="144"/>
      <c r="AC20" s="144"/>
      <c r="AD20" s="144"/>
      <c r="AE20" s="144"/>
      <c r="AF20" s="144"/>
    </row>
    <row r="21" ht="16.5" customHeight="1">
      <c r="A21" s="164" t="s">
        <v>5</v>
      </c>
      <c r="E21" s="83" t="s">
        <v>88</v>
      </c>
      <c r="F21" s="56" t="s">
        <v>96</v>
      </c>
      <c r="G21" s="527" t="s">
        <v>5136</v>
      </c>
      <c r="H21" s="35" t="s">
        <v>96</v>
      </c>
      <c r="L21" s="496"/>
      <c r="M21" s="144"/>
      <c r="N21" s="144"/>
      <c r="O21" s="144"/>
      <c r="P21" s="144"/>
      <c r="Q21" s="144"/>
      <c r="R21" s="144"/>
      <c r="S21" s="144"/>
      <c r="T21" s="144"/>
      <c r="U21" s="144"/>
      <c r="V21" s="144"/>
      <c r="W21" s="144"/>
      <c r="X21" s="144"/>
      <c r="Y21" s="144"/>
      <c r="Z21" s="144"/>
      <c r="AA21" s="144"/>
      <c r="AB21" s="144"/>
      <c r="AC21" s="144"/>
      <c r="AD21" s="144"/>
      <c r="AE21" s="144"/>
      <c r="AF21" s="144"/>
    </row>
    <row r="22" ht="16.5" customHeight="1">
      <c r="A22" s="164" t="s">
        <v>5</v>
      </c>
      <c r="E22" s="83" t="s">
        <v>88</v>
      </c>
      <c r="F22" s="440" t="s">
        <v>122</v>
      </c>
      <c r="G22" s="502" t="s">
        <v>5137</v>
      </c>
      <c r="H22" s="35" t="s">
        <v>122</v>
      </c>
      <c r="L22" s="496"/>
      <c r="M22" s="144"/>
      <c r="N22" s="144"/>
      <c r="O22" s="144"/>
      <c r="P22" s="144"/>
      <c r="Q22" s="144"/>
      <c r="R22" s="144"/>
      <c r="S22" s="144"/>
      <c r="T22" s="144"/>
      <c r="U22" s="144"/>
      <c r="V22" s="144"/>
      <c r="W22" s="144"/>
      <c r="X22" s="144"/>
      <c r="Y22" s="144"/>
      <c r="Z22" s="144"/>
      <c r="AA22" s="144"/>
      <c r="AB22" s="144"/>
      <c r="AC22" s="144"/>
      <c r="AD22" s="144"/>
      <c r="AE22" s="144"/>
      <c r="AF22" s="144"/>
    </row>
    <row r="23" ht="16.5" customHeight="1">
      <c r="A23" s="164" t="s">
        <v>5</v>
      </c>
      <c r="E23" s="83" t="s">
        <v>86</v>
      </c>
      <c r="F23" s="500" t="s">
        <v>90</v>
      </c>
      <c r="G23" s="495" t="s">
        <v>5138</v>
      </c>
      <c r="H23" s="35" t="s">
        <v>90</v>
      </c>
      <c r="L23" s="496"/>
      <c r="M23" s="144"/>
      <c r="N23" s="144"/>
      <c r="O23" s="144"/>
      <c r="P23" s="144"/>
      <c r="Q23" s="144"/>
      <c r="R23" s="144"/>
      <c r="S23" s="144"/>
      <c r="T23" s="144"/>
      <c r="U23" s="144"/>
      <c r="V23" s="144"/>
      <c r="W23" s="144"/>
      <c r="X23" s="144"/>
      <c r="Y23" s="144"/>
      <c r="Z23" s="144"/>
      <c r="AA23" s="144"/>
      <c r="AB23" s="144"/>
      <c r="AC23" s="144"/>
      <c r="AD23" s="144"/>
      <c r="AE23" s="144"/>
      <c r="AF23" s="144"/>
    </row>
    <row r="24" ht="16.5" customHeight="1">
      <c r="A24" s="164" t="s">
        <v>5</v>
      </c>
      <c r="E24" s="83" t="s">
        <v>86</v>
      </c>
      <c r="F24" s="440" t="s">
        <v>91</v>
      </c>
      <c r="G24" s="495" t="s">
        <v>5139</v>
      </c>
      <c r="H24" s="35" t="s">
        <v>91</v>
      </c>
      <c r="L24" s="496"/>
      <c r="M24" s="144"/>
      <c r="N24" s="144"/>
      <c r="O24" s="144"/>
      <c r="P24" s="144"/>
      <c r="Q24" s="144"/>
      <c r="R24" s="144"/>
      <c r="S24" s="144"/>
      <c r="T24" s="144"/>
      <c r="U24" s="144"/>
      <c r="V24" s="144"/>
      <c r="W24" s="144"/>
      <c r="X24" s="144"/>
      <c r="Y24" s="144"/>
      <c r="Z24" s="144"/>
      <c r="AA24" s="144"/>
      <c r="AB24" s="144"/>
      <c r="AC24" s="144"/>
      <c r="AD24" s="144"/>
      <c r="AE24" s="144"/>
      <c r="AF24" s="144"/>
    </row>
    <row r="25" ht="16.5" customHeight="1">
      <c r="A25" s="164" t="s">
        <v>5</v>
      </c>
      <c r="E25" s="83" t="s">
        <v>86</v>
      </c>
      <c r="F25" s="500" t="s">
        <v>338</v>
      </c>
      <c r="G25" s="495" t="s">
        <v>5140</v>
      </c>
      <c r="H25" s="35" t="s">
        <v>338</v>
      </c>
      <c r="L25" s="496"/>
      <c r="M25" s="144"/>
      <c r="N25" s="144"/>
      <c r="O25" s="144"/>
      <c r="P25" s="144"/>
      <c r="Q25" s="144"/>
      <c r="R25" s="144"/>
      <c r="S25" s="144"/>
      <c r="T25" s="144"/>
      <c r="U25" s="144"/>
      <c r="V25" s="144"/>
      <c r="W25" s="144"/>
      <c r="X25" s="144"/>
      <c r="Y25" s="144"/>
      <c r="Z25" s="144"/>
      <c r="AA25" s="144"/>
      <c r="AB25" s="144"/>
      <c r="AC25" s="144"/>
      <c r="AD25" s="144"/>
      <c r="AE25" s="144"/>
      <c r="AF25" s="144"/>
    </row>
    <row r="26" ht="16.5" customHeight="1">
      <c r="A26" s="164" t="s">
        <v>5</v>
      </c>
      <c r="E26" s="83" t="s">
        <v>104</v>
      </c>
      <c r="F26" s="440" t="s">
        <v>250</v>
      </c>
      <c r="G26" s="495" t="s">
        <v>5141</v>
      </c>
      <c r="H26" s="35" t="s">
        <v>250</v>
      </c>
      <c r="L26" s="496"/>
      <c r="M26" s="144"/>
      <c r="N26" s="144"/>
      <c r="O26" s="144"/>
      <c r="P26" s="144"/>
      <c r="Q26" s="144"/>
      <c r="R26" s="144"/>
      <c r="S26" s="144"/>
      <c r="T26" s="144"/>
      <c r="U26" s="144"/>
      <c r="V26" s="144"/>
      <c r="W26" s="144"/>
      <c r="X26" s="144"/>
      <c r="Y26" s="144"/>
      <c r="Z26" s="144"/>
      <c r="AA26" s="144"/>
      <c r="AB26" s="144"/>
      <c r="AC26" s="144"/>
      <c r="AD26" s="144"/>
      <c r="AE26" s="144"/>
      <c r="AF26" s="144"/>
    </row>
    <row r="27" ht="16.5" customHeight="1">
      <c r="A27" s="164" t="s">
        <v>5</v>
      </c>
      <c r="E27" s="83" t="s">
        <v>178</v>
      </c>
      <c r="F27" s="500" t="s">
        <v>209</v>
      </c>
      <c r="G27" s="495" t="s">
        <v>5142</v>
      </c>
      <c r="H27" s="35" t="s">
        <v>209</v>
      </c>
      <c r="I27" s="36"/>
      <c r="L27" s="496"/>
      <c r="M27" s="144"/>
      <c r="N27" s="144"/>
      <c r="O27" s="144"/>
      <c r="P27" s="144"/>
      <c r="Q27" s="144"/>
      <c r="R27" s="144"/>
      <c r="S27" s="144"/>
      <c r="T27" s="144"/>
      <c r="U27" s="144"/>
      <c r="V27" s="144"/>
      <c r="W27" s="144"/>
      <c r="X27" s="144"/>
      <c r="Y27" s="144"/>
      <c r="Z27" s="144"/>
      <c r="AA27" s="144"/>
      <c r="AB27" s="144"/>
      <c r="AC27" s="144"/>
      <c r="AD27" s="144"/>
      <c r="AE27" s="144"/>
      <c r="AF27" s="144"/>
    </row>
    <row r="28" ht="16.5" customHeight="1">
      <c r="A28" s="164" t="s">
        <v>5</v>
      </c>
      <c r="E28" s="83" t="s">
        <v>178</v>
      </c>
      <c r="F28" s="440" t="s">
        <v>210</v>
      </c>
      <c r="G28" s="495" t="s">
        <v>5143</v>
      </c>
      <c r="H28" s="35" t="s">
        <v>210</v>
      </c>
      <c r="I28" s="36"/>
      <c r="J28" s="36"/>
      <c r="L28" s="496"/>
      <c r="M28" s="144"/>
      <c r="N28" s="144"/>
      <c r="O28" s="144"/>
      <c r="P28" s="144"/>
      <c r="Q28" s="144"/>
      <c r="R28" s="144"/>
      <c r="S28" s="144"/>
      <c r="T28" s="144"/>
      <c r="U28" s="144"/>
      <c r="V28" s="144"/>
      <c r="W28" s="144"/>
      <c r="X28" s="144"/>
      <c r="Y28" s="144"/>
      <c r="Z28" s="144"/>
      <c r="AA28" s="144"/>
      <c r="AB28" s="144"/>
      <c r="AC28" s="144"/>
      <c r="AD28" s="144"/>
      <c r="AE28" s="144"/>
      <c r="AF28" s="144"/>
    </row>
    <row r="29" ht="16.5" customHeight="1">
      <c r="A29" s="164" t="s">
        <v>5</v>
      </c>
      <c r="B29" s="83" t="s">
        <v>5144</v>
      </c>
      <c r="C29" s="448" t="s">
        <v>5145</v>
      </c>
      <c r="D29" s="83" t="s">
        <v>20</v>
      </c>
      <c r="E29" s="83" t="s">
        <v>88</v>
      </c>
      <c r="F29" s="56" t="s">
        <v>89</v>
      </c>
      <c r="G29" s="498"/>
      <c r="H29" s="440"/>
      <c r="I29" s="352"/>
      <c r="J29" s="352"/>
      <c r="K29" s="496"/>
      <c r="L29" s="496"/>
      <c r="M29" s="144"/>
      <c r="N29" s="144"/>
      <c r="O29" s="144"/>
      <c r="P29" s="144"/>
      <c r="Q29" s="144"/>
      <c r="R29" s="144"/>
      <c r="S29" s="144"/>
      <c r="T29" s="144"/>
      <c r="U29" s="144"/>
      <c r="V29" s="144"/>
      <c r="W29" s="144"/>
      <c r="X29" s="144"/>
      <c r="Y29" s="144"/>
      <c r="Z29" s="144"/>
      <c r="AA29" s="144"/>
      <c r="AB29" s="144"/>
      <c r="AC29" s="144"/>
      <c r="AD29" s="144"/>
      <c r="AE29" s="144"/>
      <c r="AF29" s="144"/>
    </row>
    <row r="30" ht="16.5" customHeight="1">
      <c r="A30" s="164" t="s">
        <v>5</v>
      </c>
      <c r="E30" s="83" t="s">
        <v>21</v>
      </c>
      <c r="F30" s="56" t="s">
        <v>51</v>
      </c>
      <c r="G30" s="495" t="s">
        <v>5146</v>
      </c>
      <c r="H30" s="56" t="s">
        <v>51</v>
      </c>
      <c r="I30" s="352"/>
      <c r="J30" s="352"/>
      <c r="K30" s="496"/>
      <c r="L30" s="496"/>
      <c r="M30" s="144"/>
      <c r="N30" s="144"/>
      <c r="O30" s="144"/>
      <c r="P30" s="144"/>
      <c r="Q30" s="144"/>
      <c r="R30" s="144"/>
      <c r="S30" s="144"/>
      <c r="T30" s="144"/>
      <c r="U30" s="144"/>
      <c r="V30" s="144"/>
      <c r="W30" s="144"/>
      <c r="X30" s="144"/>
      <c r="Y30" s="144"/>
      <c r="Z30" s="144"/>
      <c r="AA30" s="144"/>
      <c r="AB30" s="144"/>
      <c r="AC30" s="144"/>
      <c r="AD30" s="144"/>
      <c r="AE30" s="144"/>
      <c r="AF30" s="144"/>
    </row>
    <row r="31" ht="16.5" customHeight="1">
      <c r="A31" s="164" t="s">
        <v>5</v>
      </c>
      <c r="E31" s="83" t="s">
        <v>88</v>
      </c>
      <c r="F31" s="56" t="s">
        <v>154</v>
      </c>
      <c r="G31" s="495" t="s">
        <v>5147</v>
      </c>
      <c r="H31" s="56" t="s">
        <v>154</v>
      </c>
      <c r="I31" s="352"/>
      <c r="J31" s="352"/>
      <c r="K31" s="496"/>
      <c r="L31" s="496"/>
      <c r="M31" s="144"/>
      <c r="N31" s="144"/>
      <c r="O31" s="144"/>
      <c r="P31" s="144"/>
      <c r="Q31" s="144"/>
      <c r="R31" s="144"/>
      <c r="S31" s="144"/>
      <c r="T31" s="144"/>
      <c r="U31" s="144"/>
      <c r="V31" s="144"/>
      <c r="W31" s="144"/>
      <c r="X31" s="144"/>
      <c r="Y31" s="144"/>
      <c r="Z31" s="144"/>
      <c r="AA31" s="144"/>
      <c r="AB31" s="144"/>
      <c r="AC31" s="144"/>
      <c r="AD31" s="144"/>
      <c r="AE31" s="144"/>
      <c r="AF31" s="144"/>
    </row>
    <row r="32" ht="16.5" customHeight="1">
      <c r="A32" s="164" t="s">
        <v>5</v>
      </c>
      <c r="E32" s="83" t="s">
        <v>88</v>
      </c>
      <c r="F32" s="56" t="s">
        <v>859</v>
      </c>
      <c r="G32" s="495" t="s">
        <v>5148</v>
      </c>
      <c r="H32" s="56" t="s">
        <v>859</v>
      </c>
      <c r="I32" s="352"/>
      <c r="J32" s="352"/>
      <c r="K32" s="496"/>
      <c r="L32" s="496"/>
      <c r="M32" s="144"/>
      <c r="N32" s="144"/>
      <c r="O32" s="144"/>
      <c r="P32" s="144"/>
      <c r="Q32" s="144"/>
      <c r="R32" s="144"/>
      <c r="S32" s="144"/>
      <c r="T32" s="144"/>
      <c r="U32" s="144"/>
      <c r="V32" s="144"/>
      <c r="W32" s="144"/>
      <c r="X32" s="144"/>
      <c r="Y32" s="144"/>
      <c r="Z32" s="144"/>
      <c r="AA32" s="144"/>
      <c r="AB32" s="144"/>
      <c r="AC32" s="144"/>
      <c r="AD32" s="144"/>
      <c r="AE32" s="144"/>
      <c r="AF32" s="144"/>
    </row>
    <row r="33" ht="16.5" customHeight="1">
      <c r="A33" s="164" t="s">
        <v>5</v>
      </c>
      <c r="E33" s="83" t="s">
        <v>88</v>
      </c>
      <c r="F33" s="56" t="s">
        <v>879</v>
      </c>
      <c r="G33" s="495" t="s">
        <v>5149</v>
      </c>
      <c r="H33" s="35" t="s">
        <v>879</v>
      </c>
      <c r="I33" s="36"/>
      <c r="J33" s="36"/>
      <c r="L33" s="496"/>
      <c r="M33" s="144"/>
      <c r="N33" s="144"/>
      <c r="O33" s="144"/>
      <c r="P33" s="144"/>
      <c r="Q33" s="144"/>
      <c r="R33" s="144"/>
      <c r="S33" s="144"/>
      <c r="T33" s="144"/>
      <c r="U33" s="144"/>
      <c r="V33" s="144"/>
      <c r="W33" s="144"/>
      <c r="X33" s="144"/>
      <c r="Y33" s="144"/>
      <c r="Z33" s="144"/>
      <c r="AA33" s="144"/>
      <c r="AB33" s="144"/>
      <c r="AC33" s="144"/>
      <c r="AD33" s="144"/>
      <c r="AE33" s="144"/>
      <c r="AF33" s="144"/>
    </row>
    <row r="34" ht="16.5" customHeight="1">
      <c r="A34" s="164" t="s">
        <v>5</v>
      </c>
      <c r="E34" s="83" t="s">
        <v>88</v>
      </c>
      <c r="F34" s="56" t="s">
        <v>877</v>
      </c>
      <c r="G34" s="495" t="s">
        <v>5150</v>
      </c>
      <c r="H34" s="35" t="s">
        <v>877</v>
      </c>
      <c r="I34" s="36"/>
      <c r="L34" s="496"/>
      <c r="M34" s="144"/>
      <c r="N34" s="144"/>
      <c r="O34" s="144"/>
      <c r="P34" s="144"/>
      <c r="Q34" s="144"/>
      <c r="R34" s="144"/>
      <c r="S34" s="144"/>
      <c r="T34" s="144"/>
      <c r="U34" s="144"/>
      <c r="V34" s="144"/>
      <c r="W34" s="144"/>
      <c r="X34" s="144"/>
      <c r="Y34" s="144"/>
      <c r="Z34" s="144"/>
      <c r="AA34" s="144"/>
      <c r="AB34" s="144"/>
      <c r="AC34" s="144"/>
      <c r="AD34" s="144"/>
      <c r="AE34" s="144"/>
      <c r="AF34" s="144"/>
    </row>
    <row r="35" ht="16.5" customHeight="1">
      <c r="A35" s="164" t="s">
        <v>5</v>
      </c>
      <c r="E35" s="83" t="s">
        <v>88</v>
      </c>
      <c r="F35" s="56" t="s">
        <v>881</v>
      </c>
      <c r="G35" s="495" t="s">
        <v>5151</v>
      </c>
      <c r="H35" s="35" t="s">
        <v>881</v>
      </c>
      <c r="I35" s="36"/>
      <c r="L35" s="496"/>
      <c r="M35" s="144"/>
      <c r="N35" s="144"/>
      <c r="O35" s="144"/>
      <c r="P35" s="144"/>
      <c r="Q35" s="144"/>
      <c r="R35" s="144"/>
      <c r="S35" s="144"/>
      <c r="T35" s="144"/>
      <c r="U35" s="144"/>
      <c r="V35" s="144"/>
      <c r="W35" s="144"/>
      <c r="X35" s="144"/>
      <c r="Y35" s="144"/>
      <c r="Z35" s="144"/>
      <c r="AA35" s="144"/>
      <c r="AB35" s="144"/>
      <c r="AC35" s="144"/>
      <c r="AD35" s="144"/>
      <c r="AE35" s="144"/>
      <c r="AF35" s="144"/>
    </row>
    <row r="36" ht="16.5" customHeight="1">
      <c r="A36" s="164" t="s">
        <v>5</v>
      </c>
      <c r="E36" s="83" t="s">
        <v>88</v>
      </c>
      <c r="F36" s="56" t="s">
        <v>870</v>
      </c>
      <c r="G36" s="495" t="s">
        <v>5152</v>
      </c>
      <c r="H36" s="35" t="s">
        <v>870</v>
      </c>
      <c r="L36" s="496"/>
      <c r="M36" s="144"/>
      <c r="N36" s="144"/>
      <c r="O36" s="144"/>
      <c r="P36" s="144"/>
      <c r="Q36" s="144"/>
      <c r="R36" s="144"/>
      <c r="S36" s="144"/>
      <c r="T36" s="144"/>
      <c r="U36" s="144"/>
      <c r="V36" s="144"/>
      <c r="W36" s="144"/>
      <c r="X36" s="144"/>
      <c r="Y36" s="144"/>
      <c r="Z36" s="144"/>
      <c r="AA36" s="144"/>
      <c r="AB36" s="144"/>
      <c r="AC36" s="144"/>
      <c r="AD36" s="144"/>
      <c r="AE36" s="144"/>
      <c r="AF36" s="144"/>
    </row>
    <row r="37" ht="16.5" customHeight="1">
      <c r="A37" s="164" t="s">
        <v>5</v>
      </c>
      <c r="E37" s="83" t="s">
        <v>88</v>
      </c>
      <c r="F37" s="56" t="s">
        <v>881</v>
      </c>
      <c r="G37" s="495" t="s">
        <v>5153</v>
      </c>
      <c r="H37" s="35" t="s">
        <v>5130</v>
      </c>
      <c r="L37" s="496"/>
      <c r="M37" s="144"/>
      <c r="N37" s="144"/>
      <c r="O37" s="144"/>
      <c r="P37" s="144"/>
      <c r="Q37" s="144"/>
      <c r="R37" s="144"/>
      <c r="S37" s="144"/>
      <c r="T37" s="144"/>
      <c r="U37" s="144"/>
      <c r="V37" s="144"/>
      <c r="W37" s="144"/>
      <c r="X37" s="144"/>
      <c r="Y37" s="144"/>
      <c r="Z37" s="144"/>
      <c r="AA37" s="144"/>
      <c r="AB37" s="144"/>
      <c r="AC37" s="144"/>
      <c r="AD37" s="144"/>
      <c r="AE37" s="144"/>
      <c r="AF37" s="144"/>
    </row>
    <row r="38" ht="16.5" customHeight="1">
      <c r="A38" s="164" t="s">
        <v>5</v>
      </c>
      <c r="E38" s="83" t="s">
        <v>88</v>
      </c>
      <c r="F38" s="56" t="s">
        <v>870</v>
      </c>
      <c r="G38" s="495" t="s">
        <v>5154</v>
      </c>
      <c r="H38" s="35" t="s">
        <v>5132</v>
      </c>
      <c r="L38" s="496"/>
      <c r="M38" s="144"/>
      <c r="N38" s="144"/>
      <c r="O38" s="144"/>
      <c r="P38" s="144"/>
      <c r="Q38" s="144"/>
      <c r="R38" s="144"/>
      <c r="S38" s="144"/>
      <c r="T38" s="144"/>
      <c r="U38" s="144"/>
      <c r="V38" s="144"/>
      <c r="W38" s="144"/>
      <c r="X38" s="144"/>
      <c r="Y38" s="144"/>
      <c r="Z38" s="144"/>
      <c r="AA38" s="144"/>
      <c r="AB38" s="144"/>
      <c r="AC38" s="144"/>
      <c r="AD38" s="144"/>
      <c r="AE38" s="144"/>
      <c r="AF38" s="144"/>
    </row>
    <row r="39" ht="16.5" customHeight="1">
      <c r="A39" s="164" t="s">
        <v>5</v>
      </c>
      <c r="E39" s="83" t="s">
        <v>88</v>
      </c>
      <c r="F39" s="56" t="s">
        <v>869</v>
      </c>
      <c r="G39" s="498"/>
      <c r="H39" s="501"/>
      <c r="I39" s="497"/>
      <c r="J39" s="497"/>
      <c r="K39" s="496"/>
      <c r="L39" s="496"/>
      <c r="M39" s="144"/>
      <c r="N39" s="144"/>
      <c r="O39" s="144"/>
      <c r="P39" s="144"/>
      <c r="Q39" s="144"/>
      <c r="R39" s="144"/>
      <c r="S39" s="144"/>
      <c r="T39" s="144"/>
      <c r="U39" s="144"/>
      <c r="V39" s="144"/>
      <c r="W39" s="144"/>
      <c r="X39" s="144"/>
      <c r="Y39" s="144"/>
      <c r="Z39" s="144"/>
      <c r="AA39" s="144"/>
      <c r="AB39" s="144"/>
      <c r="AC39" s="144"/>
      <c r="AD39" s="144"/>
      <c r="AE39" s="144"/>
      <c r="AF39" s="144"/>
    </row>
    <row r="40" ht="16.5" customHeight="1">
      <c r="A40" s="164" t="s">
        <v>5</v>
      </c>
      <c r="E40" s="83" t="s">
        <v>88</v>
      </c>
      <c r="F40" s="56" t="s">
        <v>120</v>
      </c>
      <c r="G40" s="495" t="s">
        <v>5155</v>
      </c>
      <c r="H40" s="35" t="s">
        <v>120</v>
      </c>
      <c r="L40" s="496"/>
      <c r="M40" s="144"/>
      <c r="N40" s="144"/>
      <c r="O40" s="144"/>
      <c r="P40" s="144"/>
      <c r="Q40" s="144"/>
      <c r="R40" s="144"/>
      <c r="S40" s="144"/>
      <c r="T40" s="144"/>
      <c r="U40" s="144"/>
      <c r="V40" s="144"/>
      <c r="W40" s="144"/>
      <c r="X40" s="144"/>
      <c r="Y40" s="144"/>
      <c r="Z40" s="144"/>
      <c r="AA40" s="144"/>
      <c r="AB40" s="144"/>
      <c r="AC40" s="144"/>
      <c r="AD40" s="144"/>
      <c r="AE40" s="144"/>
      <c r="AF40" s="144"/>
    </row>
    <row r="41" ht="16.5" customHeight="1">
      <c r="A41" s="164" t="s">
        <v>5</v>
      </c>
      <c r="E41" s="83" t="s">
        <v>88</v>
      </c>
      <c r="F41" s="56" t="s">
        <v>544</v>
      </c>
      <c r="G41" s="495" t="s">
        <v>5156</v>
      </c>
      <c r="H41" s="35" t="s">
        <v>544</v>
      </c>
      <c r="L41" s="496"/>
      <c r="M41" s="144"/>
      <c r="N41" s="144"/>
      <c r="O41" s="144"/>
      <c r="P41" s="144"/>
      <c r="Q41" s="144"/>
      <c r="R41" s="144"/>
      <c r="S41" s="144"/>
      <c r="T41" s="144"/>
      <c r="U41" s="144"/>
      <c r="V41" s="144"/>
      <c r="W41" s="144"/>
      <c r="X41" s="144"/>
      <c r="Y41" s="144"/>
      <c r="Z41" s="144"/>
      <c r="AA41" s="144"/>
      <c r="AB41" s="144"/>
      <c r="AC41" s="144"/>
      <c r="AD41" s="144"/>
      <c r="AE41" s="144"/>
      <c r="AF41" s="144"/>
    </row>
    <row r="42" ht="16.5" customHeight="1">
      <c r="A42" s="164" t="s">
        <v>5</v>
      </c>
      <c r="E42" s="83" t="s">
        <v>88</v>
      </c>
      <c r="F42" s="56" t="s">
        <v>247</v>
      </c>
      <c r="G42" s="498"/>
      <c r="H42" s="501"/>
      <c r="I42" s="497"/>
      <c r="J42" s="497"/>
      <c r="K42" s="496"/>
      <c r="L42" s="496"/>
      <c r="M42" s="144"/>
      <c r="N42" s="144"/>
      <c r="O42" s="144"/>
      <c r="P42" s="144"/>
      <c r="Q42" s="144"/>
      <c r="R42" s="144"/>
      <c r="S42" s="144"/>
      <c r="T42" s="144"/>
      <c r="U42" s="144"/>
      <c r="V42" s="144"/>
      <c r="W42" s="144"/>
      <c r="X42" s="144"/>
      <c r="Y42" s="144"/>
      <c r="Z42" s="144"/>
      <c r="AA42" s="144"/>
      <c r="AB42" s="144"/>
      <c r="AC42" s="144"/>
      <c r="AD42" s="144"/>
      <c r="AE42" s="144"/>
      <c r="AF42" s="144"/>
    </row>
    <row r="43" ht="16.5" customHeight="1">
      <c r="A43" s="164" t="s">
        <v>5</v>
      </c>
      <c r="E43" s="83" t="s">
        <v>88</v>
      </c>
      <c r="F43" s="56" t="s">
        <v>95</v>
      </c>
      <c r="G43" s="495" t="s">
        <v>5157</v>
      </c>
      <c r="H43" s="56" t="s">
        <v>95</v>
      </c>
      <c r="I43" s="497"/>
      <c r="J43" s="497"/>
      <c r="K43" s="496"/>
      <c r="L43" s="496"/>
      <c r="M43" s="144"/>
      <c r="N43" s="144"/>
      <c r="O43" s="144"/>
      <c r="P43" s="144"/>
      <c r="Q43" s="144"/>
      <c r="R43" s="144"/>
      <c r="S43" s="144"/>
      <c r="T43" s="144"/>
      <c r="U43" s="144"/>
      <c r="V43" s="144"/>
      <c r="W43" s="144"/>
      <c r="X43" s="144"/>
      <c r="Y43" s="144"/>
      <c r="Z43" s="144"/>
      <c r="AA43" s="144"/>
      <c r="AB43" s="144"/>
      <c r="AC43" s="144"/>
      <c r="AD43" s="144"/>
      <c r="AE43" s="144"/>
      <c r="AF43" s="144"/>
    </row>
    <row r="44" ht="16.5" customHeight="1">
      <c r="A44" s="164" t="s">
        <v>5</v>
      </c>
      <c r="E44" s="83" t="s">
        <v>88</v>
      </c>
      <c r="F44" s="56" t="s">
        <v>96</v>
      </c>
      <c r="G44" s="502" t="s">
        <v>5158</v>
      </c>
      <c r="H44" s="56" t="s">
        <v>96</v>
      </c>
      <c r="I44" s="497"/>
      <c r="J44" s="497"/>
      <c r="K44" s="496"/>
      <c r="L44" s="496"/>
      <c r="M44" s="144"/>
      <c r="N44" s="144"/>
      <c r="O44" s="144"/>
      <c r="P44" s="144"/>
      <c r="Q44" s="144"/>
      <c r="R44" s="144"/>
      <c r="S44" s="144"/>
      <c r="T44" s="144"/>
      <c r="U44" s="144"/>
      <c r="V44" s="144"/>
      <c r="W44" s="144"/>
      <c r="X44" s="144"/>
      <c r="Y44" s="144"/>
      <c r="Z44" s="144"/>
      <c r="AA44" s="144"/>
      <c r="AB44" s="144"/>
      <c r="AC44" s="144"/>
      <c r="AD44" s="144"/>
      <c r="AE44" s="144"/>
      <c r="AF44" s="144"/>
    </row>
    <row r="45" ht="16.5" customHeight="1">
      <c r="A45" s="164" t="s">
        <v>5</v>
      </c>
      <c r="E45" s="83" t="s">
        <v>86</v>
      </c>
      <c r="F45" s="500" t="s">
        <v>90</v>
      </c>
      <c r="G45" s="495" t="s">
        <v>5159</v>
      </c>
      <c r="H45" s="500" t="s">
        <v>90</v>
      </c>
      <c r="I45" s="497"/>
      <c r="J45" s="497"/>
      <c r="K45" s="496"/>
      <c r="L45" s="496"/>
      <c r="M45" s="144"/>
      <c r="N45" s="144"/>
      <c r="O45" s="144"/>
      <c r="P45" s="144"/>
      <c r="Q45" s="144"/>
      <c r="R45" s="144"/>
      <c r="S45" s="144"/>
      <c r="T45" s="144"/>
      <c r="U45" s="144"/>
      <c r="V45" s="144"/>
      <c r="W45" s="144"/>
      <c r="X45" s="144"/>
      <c r="Y45" s="144"/>
      <c r="Z45" s="144"/>
      <c r="AA45" s="144"/>
      <c r="AB45" s="144"/>
      <c r="AC45" s="144"/>
      <c r="AD45" s="144"/>
      <c r="AE45" s="144"/>
      <c r="AF45" s="144"/>
    </row>
    <row r="46" ht="16.5" customHeight="1">
      <c r="A46" s="164" t="s">
        <v>5</v>
      </c>
      <c r="E46" s="83" t="s">
        <v>86</v>
      </c>
      <c r="F46" s="440" t="s">
        <v>91</v>
      </c>
      <c r="G46" s="495" t="s">
        <v>5160</v>
      </c>
      <c r="H46" s="440" t="s">
        <v>91</v>
      </c>
      <c r="I46" s="497"/>
      <c r="J46" s="497"/>
      <c r="K46" s="496"/>
      <c r="L46" s="496"/>
      <c r="M46" s="144"/>
      <c r="N46" s="144"/>
      <c r="O46" s="144"/>
      <c r="P46" s="144"/>
      <c r="Q46" s="144"/>
      <c r="R46" s="144"/>
      <c r="S46" s="144"/>
      <c r="T46" s="144"/>
      <c r="U46" s="144"/>
      <c r="V46" s="144"/>
      <c r="W46" s="144"/>
      <c r="X46" s="144"/>
      <c r="Y46" s="144"/>
      <c r="Z46" s="144"/>
      <c r="AA46" s="144"/>
      <c r="AB46" s="144"/>
      <c r="AC46" s="144"/>
      <c r="AD46" s="144"/>
      <c r="AE46" s="144"/>
      <c r="AF46" s="144"/>
    </row>
    <row r="47" ht="16.5" customHeight="1">
      <c r="A47" s="164" t="s">
        <v>5</v>
      </c>
      <c r="E47" s="83" t="s">
        <v>86</v>
      </c>
      <c r="F47" s="440" t="s">
        <v>338</v>
      </c>
      <c r="G47" s="495" t="s">
        <v>5161</v>
      </c>
      <c r="H47" s="440" t="s">
        <v>338</v>
      </c>
      <c r="I47" s="497"/>
      <c r="J47" s="497"/>
      <c r="K47" s="496"/>
      <c r="L47" s="496"/>
      <c r="M47" s="144"/>
      <c r="N47" s="144"/>
      <c r="O47" s="144"/>
      <c r="P47" s="144"/>
      <c r="Q47" s="144"/>
      <c r="R47" s="144"/>
      <c r="S47" s="144"/>
      <c r="T47" s="144"/>
      <c r="U47" s="144"/>
      <c r="V47" s="144"/>
      <c r="W47" s="144"/>
      <c r="X47" s="144"/>
      <c r="Y47" s="144"/>
      <c r="Z47" s="144"/>
      <c r="AA47" s="144"/>
      <c r="AB47" s="144"/>
      <c r="AC47" s="144"/>
      <c r="AD47" s="144"/>
      <c r="AE47" s="144"/>
      <c r="AF47" s="144"/>
    </row>
    <row r="48" ht="16.5" customHeight="1">
      <c r="A48" s="164" t="s">
        <v>5</v>
      </c>
      <c r="E48" s="83" t="s">
        <v>104</v>
      </c>
      <c r="F48" s="440" t="s">
        <v>250</v>
      </c>
      <c r="G48" s="495" t="s">
        <v>5162</v>
      </c>
      <c r="H48" s="440" t="s">
        <v>250</v>
      </c>
      <c r="I48" s="36"/>
      <c r="L48" s="496"/>
      <c r="M48" s="144"/>
      <c r="N48" s="144"/>
      <c r="O48" s="144"/>
      <c r="P48" s="144"/>
      <c r="Q48" s="144"/>
      <c r="R48" s="144"/>
      <c r="S48" s="144"/>
      <c r="T48" s="144"/>
      <c r="U48" s="144"/>
      <c r="V48" s="144"/>
      <c r="W48" s="144"/>
      <c r="X48" s="144"/>
      <c r="Y48" s="144"/>
      <c r="Z48" s="144"/>
      <c r="AA48" s="144"/>
      <c r="AB48" s="144"/>
      <c r="AC48" s="144"/>
      <c r="AD48" s="144"/>
      <c r="AE48" s="144"/>
      <c r="AF48" s="144"/>
    </row>
    <row r="49" ht="16.5" customHeight="1">
      <c r="A49" s="164" t="s">
        <v>5</v>
      </c>
      <c r="E49" s="83" t="s">
        <v>178</v>
      </c>
      <c r="F49" s="500" t="s">
        <v>209</v>
      </c>
      <c r="G49" s="495" t="s">
        <v>5163</v>
      </c>
      <c r="H49" s="500" t="s">
        <v>209</v>
      </c>
      <c r="I49" s="497"/>
      <c r="J49" s="497"/>
      <c r="K49" s="496"/>
      <c r="L49" s="496"/>
      <c r="M49" s="144"/>
      <c r="N49" s="144"/>
      <c r="O49" s="144"/>
      <c r="P49" s="144"/>
      <c r="Q49" s="144"/>
      <c r="R49" s="144"/>
      <c r="S49" s="144"/>
      <c r="T49" s="144"/>
      <c r="U49" s="144"/>
      <c r="V49" s="144"/>
      <c r="W49" s="144"/>
      <c r="X49" s="144"/>
      <c r="Y49" s="144"/>
      <c r="Z49" s="144"/>
      <c r="AA49" s="144"/>
      <c r="AB49" s="144"/>
      <c r="AC49" s="144"/>
      <c r="AD49" s="144"/>
      <c r="AE49" s="144"/>
      <c r="AF49" s="144"/>
    </row>
    <row r="50" ht="16.5" customHeight="1">
      <c r="A50" s="164" t="s">
        <v>5</v>
      </c>
      <c r="E50" s="83" t="s">
        <v>178</v>
      </c>
      <c r="F50" s="440" t="s">
        <v>210</v>
      </c>
      <c r="G50" s="502" t="s">
        <v>5164</v>
      </c>
      <c r="H50" s="440" t="s">
        <v>210</v>
      </c>
      <c r="I50" s="497"/>
      <c r="J50" s="497"/>
      <c r="K50" s="496"/>
      <c r="L50" s="496"/>
      <c r="M50" s="144"/>
      <c r="N50" s="144"/>
      <c r="O50" s="144"/>
      <c r="P50" s="144"/>
      <c r="Q50" s="144"/>
      <c r="R50" s="144"/>
      <c r="S50" s="144"/>
      <c r="T50" s="144"/>
      <c r="U50" s="144"/>
      <c r="V50" s="144"/>
      <c r="W50" s="144"/>
      <c r="X50" s="144"/>
      <c r="Y50" s="144"/>
      <c r="Z50" s="144"/>
      <c r="AA50" s="144"/>
      <c r="AB50" s="144"/>
      <c r="AC50" s="144"/>
      <c r="AD50" s="144"/>
      <c r="AE50" s="144"/>
      <c r="AF50" s="144"/>
    </row>
    <row r="51" ht="16.5" customHeight="1">
      <c r="A51" s="164" t="s">
        <v>5</v>
      </c>
      <c r="B51" s="56" t="s">
        <v>5165</v>
      </c>
      <c r="C51" s="448" t="s">
        <v>5166</v>
      </c>
      <c r="D51" s="83" t="s">
        <v>20</v>
      </c>
      <c r="E51" s="83" t="s">
        <v>88</v>
      </c>
      <c r="F51" s="56" t="s">
        <v>89</v>
      </c>
      <c r="G51" s="498"/>
      <c r="H51" s="36"/>
      <c r="L51" s="496"/>
      <c r="M51" s="144"/>
      <c r="N51" s="144"/>
      <c r="O51" s="144"/>
      <c r="P51" s="144"/>
      <c r="Q51" s="144"/>
      <c r="R51" s="144"/>
      <c r="S51" s="144"/>
      <c r="T51" s="144"/>
      <c r="U51" s="144"/>
      <c r="V51" s="144"/>
      <c r="W51" s="144"/>
      <c r="X51" s="144"/>
      <c r="Y51" s="144"/>
      <c r="Z51" s="144"/>
      <c r="AA51" s="144"/>
      <c r="AB51" s="144"/>
      <c r="AC51" s="144"/>
      <c r="AD51" s="144"/>
      <c r="AE51" s="144"/>
      <c r="AF51" s="144"/>
    </row>
    <row r="52" ht="16.5" customHeight="1">
      <c r="A52" s="164" t="s">
        <v>5</v>
      </c>
      <c r="E52" s="83" t="s">
        <v>21</v>
      </c>
      <c r="F52" s="56" t="s">
        <v>51</v>
      </c>
      <c r="G52" s="495" t="s">
        <v>5167</v>
      </c>
      <c r="H52" s="35" t="s">
        <v>51</v>
      </c>
      <c r="L52" s="496"/>
      <c r="M52" s="144"/>
      <c r="N52" s="144"/>
      <c r="O52" s="144"/>
      <c r="P52" s="144"/>
      <c r="Q52" s="144"/>
      <c r="R52" s="144"/>
      <c r="S52" s="144"/>
      <c r="T52" s="144"/>
      <c r="U52" s="144"/>
      <c r="V52" s="144"/>
      <c r="W52" s="144"/>
      <c r="X52" s="144"/>
      <c r="Y52" s="144"/>
      <c r="Z52" s="144"/>
      <c r="AA52" s="144"/>
      <c r="AB52" s="144"/>
      <c r="AC52" s="144"/>
      <c r="AD52" s="144"/>
      <c r="AE52" s="144"/>
      <c r="AF52" s="144"/>
    </row>
    <row r="53" ht="16.5" customHeight="1">
      <c r="A53" s="164" t="s">
        <v>5</v>
      </c>
      <c r="E53" s="83" t="s">
        <v>88</v>
      </c>
      <c r="F53" s="56" t="s">
        <v>154</v>
      </c>
      <c r="G53" s="495" t="s">
        <v>5168</v>
      </c>
      <c r="H53" s="56" t="s">
        <v>154</v>
      </c>
      <c r="L53" s="496"/>
      <c r="M53" s="144"/>
      <c r="N53" s="144"/>
      <c r="O53" s="144"/>
      <c r="P53" s="144"/>
      <c r="Q53" s="144"/>
      <c r="R53" s="144"/>
      <c r="S53" s="144"/>
      <c r="T53" s="144"/>
      <c r="U53" s="144"/>
      <c r="V53" s="144"/>
      <c r="W53" s="144"/>
      <c r="X53" s="144"/>
      <c r="Y53" s="144"/>
      <c r="Z53" s="144"/>
      <c r="AA53" s="144"/>
      <c r="AB53" s="144"/>
      <c r="AC53" s="144"/>
      <c r="AD53" s="144"/>
      <c r="AE53" s="144"/>
      <c r="AF53" s="144"/>
    </row>
    <row r="54" ht="16.5" customHeight="1">
      <c r="A54" s="164" t="s">
        <v>5</v>
      </c>
      <c r="E54" s="83" t="s">
        <v>88</v>
      </c>
      <c r="F54" s="56" t="s">
        <v>859</v>
      </c>
      <c r="G54" s="495" t="s">
        <v>5169</v>
      </c>
      <c r="H54" s="56" t="s">
        <v>859</v>
      </c>
      <c r="L54" s="496"/>
      <c r="M54" s="144"/>
      <c r="N54" s="144"/>
      <c r="O54" s="144"/>
      <c r="P54" s="144"/>
      <c r="Q54" s="144"/>
      <c r="R54" s="144"/>
      <c r="S54" s="144"/>
      <c r="T54" s="144"/>
      <c r="U54" s="144"/>
      <c r="V54" s="144"/>
      <c r="W54" s="144"/>
      <c r="X54" s="144"/>
      <c r="Y54" s="144"/>
      <c r="Z54" s="144"/>
      <c r="AA54" s="144"/>
      <c r="AB54" s="144"/>
      <c r="AC54" s="144"/>
      <c r="AD54" s="144"/>
      <c r="AE54" s="144"/>
      <c r="AF54" s="144"/>
    </row>
    <row r="55" ht="16.5" customHeight="1">
      <c r="A55" s="164" t="s">
        <v>5</v>
      </c>
      <c r="E55" s="83" t="s">
        <v>88</v>
      </c>
      <c r="F55" s="56" t="s">
        <v>879</v>
      </c>
      <c r="G55" s="495" t="s">
        <v>5170</v>
      </c>
      <c r="H55" s="56" t="s">
        <v>879</v>
      </c>
      <c r="L55" s="496"/>
      <c r="M55" s="144"/>
      <c r="N55" s="144"/>
      <c r="O55" s="144"/>
      <c r="P55" s="144"/>
      <c r="Q55" s="144"/>
      <c r="R55" s="144"/>
      <c r="S55" s="144"/>
      <c r="T55" s="144"/>
      <c r="U55" s="144"/>
      <c r="V55" s="144"/>
      <c r="W55" s="144"/>
      <c r="X55" s="144"/>
      <c r="Y55" s="144"/>
      <c r="Z55" s="144"/>
      <c r="AA55" s="144"/>
      <c r="AB55" s="144"/>
      <c r="AC55" s="144"/>
      <c r="AD55" s="144"/>
      <c r="AE55" s="144"/>
      <c r="AF55" s="144"/>
    </row>
    <row r="56" ht="16.5" customHeight="1">
      <c r="A56" s="164" t="s">
        <v>5</v>
      </c>
      <c r="E56" s="83" t="s">
        <v>88</v>
      </c>
      <c r="F56" s="56" t="s">
        <v>881</v>
      </c>
      <c r="G56" s="495" t="s">
        <v>5171</v>
      </c>
      <c r="H56" s="56" t="s">
        <v>881</v>
      </c>
      <c r="L56" s="496"/>
      <c r="M56" s="144"/>
      <c r="N56" s="144"/>
      <c r="O56" s="144"/>
      <c r="P56" s="144"/>
      <c r="Q56" s="144"/>
      <c r="R56" s="144"/>
      <c r="S56" s="144"/>
      <c r="T56" s="144"/>
      <c r="U56" s="144"/>
      <c r="V56" s="144"/>
      <c r="W56" s="144"/>
      <c r="X56" s="144"/>
      <c r="Y56" s="144"/>
      <c r="Z56" s="144"/>
      <c r="AA56" s="144"/>
      <c r="AB56" s="144"/>
      <c r="AC56" s="144"/>
      <c r="AD56" s="144"/>
      <c r="AE56" s="144"/>
      <c r="AF56" s="144"/>
    </row>
    <row r="57" ht="16.5" customHeight="1">
      <c r="A57" s="164" t="s">
        <v>5</v>
      </c>
      <c r="E57" s="83" t="s">
        <v>88</v>
      </c>
      <c r="F57" s="56" t="s">
        <v>870</v>
      </c>
      <c r="G57" s="495" t="s">
        <v>5172</v>
      </c>
      <c r="H57" s="56" t="s">
        <v>870</v>
      </c>
      <c r="L57" s="496"/>
      <c r="M57" s="144"/>
      <c r="N57" s="144"/>
      <c r="O57" s="144"/>
      <c r="P57" s="144"/>
      <c r="Q57" s="144"/>
      <c r="R57" s="144"/>
      <c r="S57" s="144"/>
      <c r="T57" s="144"/>
      <c r="U57" s="144"/>
      <c r="V57" s="144"/>
      <c r="W57" s="144"/>
      <c r="X57" s="144"/>
      <c r="Y57" s="144"/>
      <c r="Z57" s="144"/>
      <c r="AA57" s="144"/>
      <c r="AB57" s="144"/>
      <c r="AC57" s="144"/>
      <c r="AD57" s="144"/>
      <c r="AE57" s="144"/>
      <c r="AF57" s="144"/>
    </row>
    <row r="58" ht="16.5" customHeight="1">
      <c r="A58" s="164" t="s">
        <v>5</v>
      </c>
      <c r="E58" s="83" t="s">
        <v>88</v>
      </c>
      <c r="F58" s="56" t="s">
        <v>881</v>
      </c>
      <c r="G58" s="495" t="s">
        <v>5173</v>
      </c>
      <c r="H58" s="35" t="s">
        <v>4399</v>
      </c>
      <c r="L58" s="496"/>
      <c r="M58" s="144"/>
      <c r="N58" s="144"/>
      <c r="O58" s="144"/>
      <c r="P58" s="144"/>
      <c r="Q58" s="144"/>
      <c r="R58" s="144"/>
      <c r="S58" s="144"/>
      <c r="T58" s="144"/>
      <c r="U58" s="144"/>
      <c r="V58" s="144"/>
      <c r="W58" s="144"/>
      <c r="X58" s="144"/>
      <c r="Y58" s="144"/>
      <c r="Z58" s="144"/>
      <c r="AA58" s="144"/>
      <c r="AB58" s="144"/>
      <c r="AC58" s="144"/>
      <c r="AD58" s="144"/>
      <c r="AE58" s="144"/>
      <c r="AF58" s="144"/>
    </row>
    <row r="59" ht="16.5" customHeight="1">
      <c r="A59" s="164" t="s">
        <v>5</v>
      </c>
      <c r="E59" s="83" t="s">
        <v>88</v>
      </c>
      <c r="F59" s="56" t="s">
        <v>870</v>
      </c>
      <c r="G59" s="495" t="s">
        <v>5174</v>
      </c>
      <c r="H59" s="35" t="s">
        <v>4369</v>
      </c>
      <c r="L59" s="496"/>
      <c r="M59" s="144"/>
      <c r="N59" s="144"/>
      <c r="O59" s="144"/>
      <c r="P59" s="144"/>
      <c r="Q59" s="144"/>
      <c r="R59" s="144"/>
      <c r="S59" s="144"/>
      <c r="T59" s="144"/>
      <c r="U59" s="144"/>
      <c r="V59" s="144"/>
      <c r="W59" s="144"/>
      <c r="X59" s="144"/>
      <c r="Y59" s="144"/>
      <c r="Z59" s="144"/>
      <c r="AA59" s="144"/>
      <c r="AB59" s="144"/>
      <c r="AC59" s="144"/>
      <c r="AD59" s="144"/>
      <c r="AE59" s="144"/>
      <c r="AF59" s="144"/>
    </row>
    <row r="60" ht="16.5" customHeight="1">
      <c r="A60" s="164" t="s">
        <v>5</v>
      </c>
      <c r="E60" s="83" t="s">
        <v>88</v>
      </c>
      <c r="F60" s="56" t="s">
        <v>869</v>
      </c>
      <c r="G60" s="498"/>
      <c r="H60" s="83"/>
      <c r="I60" s="497"/>
      <c r="J60" s="497"/>
      <c r="K60" s="496"/>
      <c r="L60" s="496"/>
      <c r="M60" s="144"/>
      <c r="N60" s="144"/>
      <c r="O60" s="144"/>
      <c r="P60" s="144"/>
      <c r="Q60" s="144"/>
      <c r="R60" s="144"/>
      <c r="S60" s="144"/>
      <c r="T60" s="144"/>
      <c r="U60" s="144"/>
      <c r="V60" s="144"/>
      <c r="W60" s="144"/>
      <c r="X60" s="144"/>
      <c r="Y60" s="144"/>
      <c r="Z60" s="144"/>
      <c r="AA60" s="144"/>
      <c r="AB60" s="144"/>
      <c r="AC60" s="144"/>
      <c r="AD60" s="144"/>
      <c r="AE60" s="144"/>
      <c r="AF60" s="144"/>
    </row>
    <row r="61" ht="16.5" customHeight="1">
      <c r="A61" s="164" t="s">
        <v>5</v>
      </c>
      <c r="E61" s="83" t="s">
        <v>88</v>
      </c>
      <c r="F61" s="56" t="s">
        <v>120</v>
      </c>
      <c r="G61" s="495" t="s">
        <v>5175</v>
      </c>
      <c r="H61" s="56" t="s">
        <v>120</v>
      </c>
      <c r="I61" s="497"/>
      <c r="J61" s="497"/>
      <c r="K61" s="496"/>
      <c r="L61" s="496"/>
      <c r="M61" s="144"/>
      <c r="N61" s="144"/>
      <c r="O61" s="144"/>
      <c r="P61" s="144"/>
      <c r="Q61" s="144"/>
      <c r="R61" s="144"/>
      <c r="S61" s="144"/>
      <c r="T61" s="144"/>
      <c r="U61" s="144"/>
      <c r="V61" s="144"/>
      <c r="W61" s="144"/>
      <c r="X61" s="144"/>
      <c r="Y61" s="144"/>
      <c r="Z61" s="144"/>
      <c r="AA61" s="144"/>
      <c r="AB61" s="144"/>
      <c r="AC61" s="144"/>
      <c r="AD61" s="144"/>
      <c r="AE61" s="144"/>
      <c r="AF61" s="144"/>
    </row>
    <row r="62" ht="16.5" customHeight="1">
      <c r="A62" s="164" t="s">
        <v>5</v>
      </c>
      <c r="E62" s="83" t="s">
        <v>88</v>
      </c>
      <c r="F62" s="56" t="s">
        <v>544</v>
      </c>
      <c r="G62" s="495" t="s">
        <v>5176</v>
      </c>
      <c r="H62" s="56" t="s">
        <v>544</v>
      </c>
      <c r="I62" s="497"/>
      <c r="J62" s="497"/>
      <c r="K62" s="496"/>
      <c r="L62" s="496"/>
      <c r="M62" s="144"/>
      <c r="N62" s="144"/>
      <c r="O62" s="144"/>
      <c r="P62" s="144"/>
      <c r="Q62" s="144"/>
      <c r="R62" s="144"/>
      <c r="S62" s="144"/>
      <c r="T62" s="144"/>
      <c r="U62" s="144"/>
      <c r="V62" s="144"/>
      <c r="W62" s="144"/>
      <c r="X62" s="144"/>
      <c r="Y62" s="144"/>
      <c r="Z62" s="144"/>
      <c r="AA62" s="144"/>
      <c r="AB62" s="144"/>
      <c r="AC62" s="144"/>
      <c r="AD62" s="144"/>
      <c r="AE62" s="144"/>
      <c r="AF62" s="144"/>
    </row>
    <row r="63" ht="16.5" customHeight="1">
      <c r="A63" s="164" t="s">
        <v>5</v>
      </c>
      <c r="E63" s="83" t="s">
        <v>88</v>
      </c>
      <c r="F63" s="56" t="s">
        <v>247</v>
      </c>
      <c r="G63" s="498"/>
      <c r="H63" s="501"/>
      <c r="I63" s="352"/>
      <c r="J63" s="497"/>
      <c r="K63" s="496"/>
      <c r="L63" s="496"/>
      <c r="M63" s="144"/>
      <c r="N63" s="144"/>
      <c r="O63" s="144"/>
      <c r="P63" s="144"/>
      <c r="Q63" s="144"/>
      <c r="R63" s="144"/>
      <c r="S63" s="144"/>
      <c r="T63" s="144"/>
      <c r="U63" s="144"/>
      <c r="V63" s="144"/>
      <c r="W63" s="144"/>
      <c r="X63" s="144"/>
      <c r="Y63" s="144"/>
      <c r="Z63" s="144"/>
      <c r="AA63" s="144"/>
      <c r="AB63" s="144"/>
      <c r="AC63" s="144"/>
      <c r="AD63" s="144"/>
      <c r="AE63" s="144"/>
      <c r="AF63" s="144"/>
    </row>
    <row r="64" ht="16.5" customHeight="1">
      <c r="A64" s="164" t="s">
        <v>5</v>
      </c>
      <c r="E64" s="83" t="s">
        <v>88</v>
      </c>
      <c r="F64" s="56" t="s">
        <v>95</v>
      </c>
      <c r="G64" s="495" t="s">
        <v>5177</v>
      </c>
      <c r="H64" s="56" t="s">
        <v>95</v>
      </c>
      <c r="I64" s="352"/>
      <c r="J64" s="497"/>
      <c r="K64" s="496"/>
      <c r="L64" s="496"/>
      <c r="M64" s="144"/>
      <c r="N64" s="144"/>
      <c r="O64" s="144"/>
      <c r="P64" s="144"/>
      <c r="Q64" s="144"/>
      <c r="R64" s="144"/>
      <c r="S64" s="144"/>
      <c r="T64" s="144"/>
      <c r="U64" s="144"/>
      <c r="V64" s="144"/>
      <c r="W64" s="144"/>
      <c r="X64" s="144"/>
      <c r="Y64" s="144"/>
      <c r="Z64" s="144"/>
      <c r="AA64" s="144"/>
      <c r="AB64" s="144"/>
      <c r="AC64" s="144"/>
      <c r="AD64" s="144"/>
      <c r="AE64" s="144"/>
      <c r="AF64" s="144"/>
    </row>
    <row r="65" ht="16.5" customHeight="1">
      <c r="A65" s="164" t="s">
        <v>5</v>
      </c>
      <c r="E65" s="83" t="s">
        <v>88</v>
      </c>
      <c r="F65" s="56" t="s">
        <v>96</v>
      </c>
      <c r="G65" s="495" t="s">
        <v>5178</v>
      </c>
      <c r="H65" s="56" t="s">
        <v>96</v>
      </c>
      <c r="I65" s="497"/>
      <c r="J65" s="497"/>
      <c r="K65" s="496"/>
      <c r="L65" s="496"/>
      <c r="M65" s="144"/>
      <c r="N65" s="144"/>
      <c r="O65" s="144"/>
      <c r="P65" s="144"/>
      <c r="Q65" s="144"/>
      <c r="R65" s="144"/>
      <c r="S65" s="144"/>
      <c r="T65" s="144"/>
      <c r="U65" s="144"/>
      <c r="V65" s="144"/>
      <c r="W65" s="144"/>
      <c r="X65" s="144"/>
      <c r="Y65" s="144"/>
      <c r="Z65" s="144"/>
      <c r="AA65" s="144"/>
      <c r="AB65" s="144"/>
      <c r="AC65" s="144"/>
      <c r="AD65" s="144"/>
      <c r="AE65" s="144"/>
      <c r="AF65" s="144"/>
    </row>
    <row r="66" ht="16.5" customHeight="1">
      <c r="A66" s="164" t="s">
        <v>5</v>
      </c>
      <c r="E66" s="83" t="s">
        <v>86</v>
      </c>
      <c r="F66" s="500" t="s">
        <v>90</v>
      </c>
      <c r="G66" s="495" t="s">
        <v>5179</v>
      </c>
      <c r="H66" s="500" t="s">
        <v>90</v>
      </c>
      <c r="I66" s="497"/>
      <c r="J66" s="497"/>
      <c r="K66" s="496"/>
      <c r="L66" s="496"/>
      <c r="M66" s="144"/>
      <c r="N66" s="144"/>
      <c r="O66" s="144"/>
      <c r="P66" s="144"/>
      <c r="Q66" s="144"/>
      <c r="R66" s="144"/>
      <c r="S66" s="144"/>
      <c r="T66" s="144"/>
      <c r="U66" s="144"/>
      <c r="V66" s="144"/>
      <c r="W66" s="144"/>
      <c r="X66" s="144"/>
      <c r="Y66" s="144"/>
      <c r="Z66" s="144"/>
      <c r="AA66" s="144"/>
      <c r="AB66" s="144"/>
      <c r="AC66" s="144"/>
      <c r="AD66" s="144"/>
      <c r="AE66" s="144"/>
      <c r="AF66" s="144"/>
    </row>
    <row r="67" ht="16.5" customHeight="1">
      <c r="A67" s="164" t="s">
        <v>5</v>
      </c>
      <c r="E67" s="83" t="s">
        <v>86</v>
      </c>
      <c r="F67" s="440" t="s">
        <v>91</v>
      </c>
      <c r="G67" s="495" t="s">
        <v>5180</v>
      </c>
      <c r="H67" s="440" t="s">
        <v>91</v>
      </c>
      <c r="I67" s="497"/>
      <c r="J67" s="497"/>
      <c r="K67" s="496"/>
      <c r="L67" s="496"/>
      <c r="M67" s="144"/>
      <c r="N67" s="144"/>
      <c r="O67" s="144"/>
      <c r="P67" s="144"/>
      <c r="Q67" s="144"/>
      <c r="R67" s="144"/>
      <c r="S67" s="144"/>
      <c r="T67" s="144"/>
      <c r="U67" s="144"/>
      <c r="V67" s="144"/>
      <c r="W67" s="144"/>
      <c r="X67" s="144"/>
      <c r="Y67" s="144"/>
      <c r="Z67" s="144"/>
      <c r="AA67" s="144"/>
      <c r="AB67" s="144"/>
      <c r="AC67" s="144"/>
      <c r="AD67" s="144"/>
      <c r="AE67" s="144"/>
      <c r="AF67" s="144"/>
    </row>
    <row r="68" ht="16.5" customHeight="1">
      <c r="A68" s="164" t="s">
        <v>5</v>
      </c>
      <c r="E68" s="83" t="s">
        <v>86</v>
      </c>
      <c r="F68" s="500" t="s">
        <v>338</v>
      </c>
      <c r="G68" s="495" t="s">
        <v>5181</v>
      </c>
      <c r="H68" s="500" t="s">
        <v>338</v>
      </c>
      <c r="I68" s="497"/>
      <c r="J68" s="497"/>
      <c r="K68" s="496"/>
      <c r="L68" s="496"/>
      <c r="M68" s="144"/>
      <c r="N68" s="144"/>
      <c r="O68" s="144"/>
      <c r="P68" s="144"/>
      <c r="Q68" s="144"/>
      <c r="R68" s="144"/>
      <c r="S68" s="144"/>
      <c r="T68" s="144"/>
      <c r="U68" s="144"/>
      <c r="V68" s="144"/>
      <c r="W68" s="144"/>
      <c r="X68" s="144"/>
      <c r="Y68" s="144"/>
      <c r="Z68" s="144"/>
      <c r="AA68" s="144"/>
      <c r="AB68" s="144"/>
      <c r="AC68" s="144"/>
      <c r="AD68" s="144"/>
      <c r="AE68" s="144"/>
      <c r="AF68" s="144"/>
    </row>
    <row r="69" ht="16.5" customHeight="1">
      <c r="A69" s="164" t="s">
        <v>5</v>
      </c>
      <c r="E69" s="83" t="s">
        <v>104</v>
      </c>
      <c r="F69" s="440" t="s">
        <v>250</v>
      </c>
      <c r="G69" s="495" t="s">
        <v>5182</v>
      </c>
      <c r="H69" s="440" t="s">
        <v>250</v>
      </c>
      <c r="I69" s="497"/>
      <c r="J69" s="497"/>
      <c r="K69" s="496"/>
      <c r="L69" s="496"/>
      <c r="M69" s="144"/>
      <c r="N69" s="144"/>
      <c r="O69" s="144"/>
      <c r="P69" s="144"/>
      <c r="Q69" s="144"/>
      <c r="R69" s="144"/>
      <c r="S69" s="144"/>
      <c r="T69" s="144"/>
      <c r="U69" s="144"/>
      <c r="V69" s="144"/>
      <c r="W69" s="144"/>
      <c r="X69" s="144"/>
      <c r="Y69" s="144"/>
      <c r="Z69" s="144"/>
      <c r="AA69" s="144"/>
      <c r="AB69" s="144"/>
      <c r="AC69" s="144"/>
      <c r="AD69" s="144"/>
      <c r="AE69" s="144"/>
      <c r="AF69" s="144"/>
    </row>
    <row r="70" ht="16.5" customHeight="1">
      <c r="A70" s="164" t="s">
        <v>5</v>
      </c>
      <c r="E70" s="83" t="s">
        <v>178</v>
      </c>
      <c r="F70" s="500" t="s">
        <v>209</v>
      </c>
      <c r="G70" s="495" t="s">
        <v>5183</v>
      </c>
      <c r="H70" s="500" t="s">
        <v>209</v>
      </c>
      <c r="I70" s="352"/>
      <c r="J70" s="497"/>
      <c r="K70" s="496"/>
      <c r="L70" s="496"/>
      <c r="M70" s="144"/>
      <c r="N70" s="144"/>
      <c r="O70" s="144"/>
      <c r="P70" s="144"/>
      <c r="Q70" s="144"/>
      <c r="R70" s="144"/>
      <c r="S70" s="144"/>
      <c r="T70" s="144"/>
      <c r="U70" s="144"/>
      <c r="V70" s="144"/>
      <c r="W70" s="144"/>
      <c r="X70" s="144"/>
      <c r="Y70" s="144"/>
      <c r="Z70" s="144"/>
      <c r="AA70" s="144"/>
      <c r="AB70" s="144"/>
      <c r="AC70" s="144"/>
      <c r="AD70" s="144"/>
      <c r="AE70" s="144"/>
      <c r="AF70" s="144"/>
    </row>
    <row r="71" ht="16.5" customHeight="1">
      <c r="A71" s="164" t="s">
        <v>5</v>
      </c>
      <c r="E71" s="83" t="s">
        <v>178</v>
      </c>
      <c r="F71" s="440" t="s">
        <v>210</v>
      </c>
      <c r="G71" s="495" t="s">
        <v>5184</v>
      </c>
      <c r="H71" s="440" t="s">
        <v>210</v>
      </c>
      <c r="I71" s="352"/>
      <c r="J71" s="497"/>
      <c r="K71" s="496"/>
      <c r="L71" s="496"/>
      <c r="M71" s="144"/>
      <c r="N71" s="144"/>
      <c r="O71" s="144"/>
      <c r="P71" s="144"/>
      <c r="Q71" s="144"/>
      <c r="R71" s="144"/>
      <c r="S71" s="144"/>
      <c r="T71" s="144"/>
      <c r="U71" s="144"/>
      <c r="V71" s="144"/>
      <c r="W71" s="144"/>
      <c r="X71" s="144"/>
      <c r="Y71" s="144"/>
      <c r="Z71" s="144"/>
      <c r="AA71" s="144"/>
      <c r="AB71" s="144"/>
      <c r="AC71" s="144"/>
      <c r="AD71" s="144"/>
      <c r="AE71" s="144"/>
      <c r="AF71" s="144"/>
    </row>
    <row r="72" ht="16.5" customHeight="1">
      <c r="A72" s="164" t="s">
        <v>5</v>
      </c>
      <c r="B72" s="56" t="s">
        <v>5185</v>
      </c>
      <c r="C72" s="448" t="s">
        <v>5186</v>
      </c>
      <c r="D72" s="83" t="s">
        <v>20</v>
      </c>
      <c r="E72" s="83" t="s">
        <v>88</v>
      </c>
      <c r="F72" s="56" t="s">
        <v>89</v>
      </c>
      <c r="G72" s="498"/>
      <c r="H72" s="151"/>
      <c r="I72" s="497"/>
      <c r="J72" s="497"/>
      <c r="K72" s="496"/>
      <c r="L72" s="496"/>
      <c r="M72" s="144"/>
      <c r="N72" s="144"/>
      <c r="O72" s="144"/>
      <c r="P72" s="144"/>
      <c r="Q72" s="144"/>
      <c r="R72" s="144"/>
      <c r="S72" s="144"/>
      <c r="T72" s="144"/>
      <c r="U72" s="144"/>
      <c r="V72" s="144"/>
      <c r="W72" s="144"/>
      <c r="X72" s="144"/>
      <c r="Y72" s="144"/>
      <c r="Z72" s="144"/>
      <c r="AA72" s="144"/>
      <c r="AB72" s="144"/>
      <c r="AC72" s="144"/>
      <c r="AD72" s="144"/>
      <c r="AE72" s="144"/>
      <c r="AF72" s="144"/>
    </row>
    <row r="73" ht="16.5" customHeight="1">
      <c r="A73" s="164" t="s">
        <v>5</v>
      </c>
      <c r="E73" s="83" t="s">
        <v>21</v>
      </c>
      <c r="F73" s="56" t="s">
        <v>51</v>
      </c>
      <c r="G73" s="495" t="s">
        <v>5187</v>
      </c>
      <c r="H73" s="35" t="s">
        <v>51</v>
      </c>
      <c r="L73" s="496"/>
      <c r="M73" s="144"/>
      <c r="N73" s="144"/>
      <c r="O73" s="144"/>
      <c r="P73" s="144"/>
      <c r="Q73" s="144"/>
      <c r="R73" s="144"/>
      <c r="S73" s="144"/>
      <c r="T73" s="144"/>
      <c r="U73" s="144"/>
      <c r="V73" s="144"/>
      <c r="W73" s="144"/>
      <c r="X73" s="144"/>
      <c r="Y73" s="144"/>
      <c r="Z73" s="144"/>
      <c r="AA73" s="144"/>
      <c r="AB73" s="144"/>
      <c r="AC73" s="144"/>
      <c r="AD73" s="144"/>
      <c r="AE73" s="144"/>
      <c r="AF73" s="144"/>
    </row>
    <row r="74" ht="16.5" customHeight="1">
      <c r="A74" s="164" t="s">
        <v>5</v>
      </c>
      <c r="E74" s="83" t="s">
        <v>88</v>
      </c>
      <c r="F74" s="56" t="s">
        <v>154</v>
      </c>
      <c r="G74" s="502" t="s">
        <v>5188</v>
      </c>
      <c r="H74" s="56" t="s">
        <v>154</v>
      </c>
      <c r="I74" s="497"/>
      <c r="J74" s="497"/>
      <c r="K74" s="496"/>
      <c r="L74" s="496"/>
      <c r="M74" s="144"/>
      <c r="N74" s="144"/>
      <c r="O74" s="144"/>
      <c r="P74" s="144"/>
      <c r="Q74" s="144"/>
      <c r="R74" s="144"/>
      <c r="S74" s="144"/>
      <c r="T74" s="144"/>
      <c r="U74" s="144"/>
      <c r="V74" s="144"/>
      <c r="W74" s="144"/>
      <c r="X74" s="144"/>
      <c r="Y74" s="144"/>
      <c r="Z74" s="144"/>
      <c r="AA74" s="144"/>
      <c r="AB74" s="144"/>
      <c r="AC74" s="144"/>
      <c r="AD74" s="144"/>
      <c r="AE74" s="144"/>
      <c r="AF74" s="144"/>
    </row>
    <row r="75" ht="16.5" customHeight="1">
      <c r="A75" s="164" t="s">
        <v>5</v>
      </c>
      <c r="E75" s="83" t="s">
        <v>88</v>
      </c>
      <c r="F75" s="56" t="s">
        <v>859</v>
      </c>
      <c r="G75" s="495" t="s">
        <v>5189</v>
      </c>
      <c r="H75" s="56" t="s">
        <v>859</v>
      </c>
      <c r="I75" s="497"/>
      <c r="J75" s="497"/>
      <c r="K75" s="496"/>
      <c r="L75" s="496"/>
      <c r="M75" s="144"/>
      <c r="N75" s="144"/>
      <c r="O75" s="144"/>
      <c r="P75" s="144"/>
      <c r="Q75" s="144"/>
      <c r="R75" s="144"/>
      <c r="S75" s="144"/>
      <c r="T75" s="144"/>
      <c r="U75" s="144"/>
      <c r="V75" s="144"/>
      <c r="W75" s="144"/>
      <c r="X75" s="144"/>
      <c r="Y75" s="144"/>
      <c r="Z75" s="144"/>
      <c r="AA75" s="144"/>
      <c r="AB75" s="144"/>
      <c r="AC75" s="144"/>
      <c r="AD75" s="144"/>
      <c r="AE75" s="144"/>
      <c r="AF75" s="144"/>
    </row>
    <row r="76" ht="16.5" customHeight="1">
      <c r="A76" s="164" t="s">
        <v>5</v>
      </c>
      <c r="E76" s="83" t="s">
        <v>88</v>
      </c>
      <c r="F76" s="56" t="s">
        <v>879</v>
      </c>
      <c r="G76" s="495" t="s">
        <v>5190</v>
      </c>
      <c r="H76" s="56" t="s">
        <v>879</v>
      </c>
      <c r="I76" s="497"/>
      <c r="J76" s="497"/>
      <c r="K76" s="496"/>
      <c r="L76" s="496"/>
      <c r="M76" s="144"/>
      <c r="N76" s="144"/>
      <c r="O76" s="144"/>
      <c r="P76" s="144"/>
      <c r="Q76" s="144"/>
      <c r="R76" s="144"/>
      <c r="S76" s="144"/>
      <c r="T76" s="144"/>
      <c r="U76" s="144"/>
      <c r="V76" s="144"/>
      <c r="W76" s="144"/>
      <c r="X76" s="144"/>
      <c r="Y76" s="144"/>
      <c r="Z76" s="144"/>
      <c r="AA76" s="144"/>
      <c r="AB76" s="144"/>
      <c r="AC76" s="144"/>
      <c r="AD76" s="144"/>
      <c r="AE76" s="144"/>
      <c r="AF76" s="144"/>
    </row>
    <row r="77" ht="16.5" customHeight="1">
      <c r="A77" s="164" t="s">
        <v>5</v>
      </c>
      <c r="E77" s="83" t="s">
        <v>88</v>
      </c>
      <c r="F77" s="56" t="s">
        <v>881</v>
      </c>
      <c r="G77" s="495" t="s">
        <v>5191</v>
      </c>
      <c r="H77" s="56" t="s">
        <v>881</v>
      </c>
      <c r="I77" s="497"/>
      <c r="J77" s="497"/>
      <c r="K77" s="496"/>
      <c r="L77" s="496"/>
      <c r="M77" s="144"/>
      <c r="N77" s="144"/>
      <c r="O77" s="144"/>
      <c r="P77" s="144"/>
      <c r="Q77" s="144"/>
      <c r="R77" s="144"/>
      <c r="S77" s="144"/>
      <c r="T77" s="144"/>
      <c r="U77" s="144"/>
      <c r="V77" s="144"/>
      <c r="W77" s="144"/>
      <c r="X77" s="144"/>
      <c r="Y77" s="144"/>
      <c r="Z77" s="144"/>
      <c r="AA77" s="144"/>
      <c r="AB77" s="144"/>
      <c r="AC77" s="144"/>
      <c r="AD77" s="144"/>
      <c r="AE77" s="144"/>
      <c r="AF77" s="144"/>
    </row>
    <row r="78" ht="16.5" customHeight="1">
      <c r="A78" s="164" t="s">
        <v>5</v>
      </c>
      <c r="E78" s="83" t="s">
        <v>88</v>
      </c>
      <c r="F78" s="56" t="s">
        <v>870</v>
      </c>
      <c r="G78" s="495" t="s">
        <v>5192</v>
      </c>
      <c r="H78" s="56" t="s">
        <v>870</v>
      </c>
      <c r="I78" s="352"/>
      <c r="J78" s="497"/>
      <c r="K78" s="496"/>
      <c r="L78" s="496"/>
      <c r="M78" s="144"/>
      <c r="N78" s="144"/>
      <c r="O78" s="144"/>
      <c r="P78" s="144"/>
      <c r="Q78" s="144"/>
      <c r="R78" s="144"/>
      <c r="S78" s="144"/>
      <c r="T78" s="144"/>
      <c r="U78" s="144"/>
      <c r="V78" s="144"/>
      <c r="W78" s="144"/>
      <c r="X78" s="144"/>
      <c r="Y78" s="144"/>
      <c r="Z78" s="144"/>
      <c r="AA78" s="144"/>
      <c r="AB78" s="144"/>
      <c r="AC78" s="144"/>
      <c r="AD78" s="144"/>
      <c r="AE78" s="144"/>
      <c r="AF78" s="144"/>
    </row>
    <row r="79" ht="16.5" customHeight="1">
      <c r="A79" s="164" t="s">
        <v>5</v>
      </c>
      <c r="E79" s="83" t="s">
        <v>88</v>
      </c>
      <c r="F79" s="56" t="s">
        <v>869</v>
      </c>
      <c r="G79" s="498"/>
      <c r="H79" s="83"/>
      <c r="I79" s="497"/>
      <c r="J79" s="497"/>
      <c r="K79" s="496"/>
      <c r="L79" s="496"/>
      <c r="M79" s="144"/>
      <c r="N79" s="144"/>
      <c r="O79" s="144"/>
      <c r="P79" s="144"/>
      <c r="Q79" s="144"/>
      <c r="R79" s="144"/>
      <c r="S79" s="144"/>
      <c r="T79" s="144"/>
      <c r="U79" s="144"/>
      <c r="V79" s="144"/>
      <c r="W79" s="144"/>
      <c r="X79" s="144"/>
      <c r="Y79" s="144"/>
      <c r="Z79" s="144"/>
      <c r="AA79" s="144"/>
      <c r="AB79" s="144"/>
      <c r="AC79" s="144"/>
      <c r="AD79" s="144"/>
      <c r="AE79" s="144"/>
      <c r="AF79" s="144"/>
    </row>
    <row r="80" ht="16.5" customHeight="1">
      <c r="A80" s="164" t="s">
        <v>5</v>
      </c>
      <c r="E80" s="83" t="s">
        <v>88</v>
      </c>
      <c r="F80" s="56" t="s">
        <v>120</v>
      </c>
      <c r="G80" s="495" t="s">
        <v>5193</v>
      </c>
      <c r="H80" s="56" t="s">
        <v>120</v>
      </c>
      <c r="I80" s="497"/>
      <c r="J80" s="497"/>
      <c r="K80" s="496"/>
      <c r="L80" s="496"/>
      <c r="M80" s="144"/>
      <c r="N80" s="144"/>
      <c r="O80" s="144"/>
      <c r="P80" s="144"/>
      <c r="Q80" s="144"/>
      <c r="R80" s="144"/>
      <c r="S80" s="144"/>
      <c r="T80" s="144"/>
      <c r="U80" s="144"/>
      <c r="V80" s="144"/>
      <c r="W80" s="144"/>
      <c r="X80" s="144"/>
      <c r="Y80" s="144"/>
      <c r="Z80" s="144"/>
      <c r="AA80" s="144"/>
      <c r="AB80" s="144"/>
      <c r="AC80" s="144"/>
      <c r="AD80" s="144"/>
      <c r="AE80" s="144"/>
      <c r="AF80" s="144"/>
    </row>
    <row r="81" ht="16.5" customHeight="1">
      <c r="A81" s="164" t="s">
        <v>5</v>
      </c>
      <c r="E81" s="83" t="s">
        <v>88</v>
      </c>
      <c r="F81" s="56" t="s">
        <v>544</v>
      </c>
      <c r="G81" s="495" t="s">
        <v>5194</v>
      </c>
      <c r="H81" s="56" t="s">
        <v>544</v>
      </c>
      <c r="I81" s="497"/>
      <c r="J81" s="497"/>
      <c r="K81" s="496"/>
      <c r="L81" s="496"/>
      <c r="M81" s="144"/>
      <c r="N81" s="144"/>
      <c r="O81" s="144"/>
      <c r="P81" s="144"/>
      <c r="Q81" s="144"/>
      <c r="R81" s="144"/>
      <c r="S81" s="144"/>
      <c r="T81" s="144"/>
      <c r="U81" s="144"/>
      <c r="V81" s="144"/>
      <c r="W81" s="144"/>
      <c r="X81" s="144"/>
      <c r="Y81" s="144"/>
      <c r="Z81" s="144"/>
      <c r="AA81" s="144"/>
      <c r="AB81" s="144"/>
      <c r="AC81" s="144"/>
      <c r="AD81" s="144"/>
      <c r="AE81" s="144"/>
      <c r="AF81" s="144"/>
    </row>
    <row r="82" ht="16.5" customHeight="1">
      <c r="A82" s="164" t="s">
        <v>5</v>
      </c>
      <c r="E82" s="83" t="s">
        <v>88</v>
      </c>
      <c r="F82" s="56" t="s">
        <v>247</v>
      </c>
      <c r="G82" s="498"/>
      <c r="H82" s="36"/>
      <c r="I82" s="497"/>
      <c r="J82" s="497"/>
      <c r="K82" s="496"/>
      <c r="L82" s="496"/>
      <c r="M82" s="144"/>
      <c r="N82" s="144"/>
      <c r="O82" s="144"/>
      <c r="P82" s="144"/>
      <c r="Q82" s="144"/>
      <c r="R82" s="144"/>
      <c r="S82" s="144"/>
      <c r="T82" s="144"/>
      <c r="U82" s="144"/>
      <c r="V82" s="144"/>
      <c r="W82" s="144"/>
      <c r="X82" s="144"/>
      <c r="Y82" s="144"/>
      <c r="Z82" s="144"/>
      <c r="AA82" s="144"/>
      <c r="AB82" s="144"/>
      <c r="AC82" s="144"/>
      <c r="AD82" s="144"/>
      <c r="AE82" s="144"/>
      <c r="AF82" s="144"/>
    </row>
    <row r="83" ht="16.5" customHeight="1">
      <c r="A83" s="164" t="s">
        <v>5</v>
      </c>
      <c r="E83" s="83" t="s">
        <v>88</v>
      </c>
      <c r="F83" s="56" t="s">
        <v>95</v>
      </c>
      <c r="G83" s="495" t="s">
        <v>5195</v>
      </c>
      <c r="H83" s="56" t="s">
        <v>95</v>
      </c>
      <c r="I83" s="497"/>
      <c r="J83" s="497"/>
      <c r="K83" s="496"/>
      <c r="L83" s="496"/>
      <c r="M83" s="144"/>
      <c r="N83" s="144"/>
      <c r="O83" s="144"/>
      <c r="P83" s="144"/>
      <c r="Q83" s="144"/>
      <c r="R83" s="144"/>
      <c r="S83" s="144"/>
      <c r="T83" s="144"/>
      <c r="U83" s="144"/>
      <c r="V83" s="144"/>
      <c r="W83" s="144"/>
      <c r="X83" s="144"/>
      <c r="Y83" s="144"/>
      <c r="Z83" s="144"/>
      <c r="AA83" s="144"/>
      <c r="AB83" s="144"/>
      <c r="AC83" s="144"/>
      <c r="AD83" s="144"/>
      <c r="AE83" s="144"/>
      <c r="AF83" s="144"/>
    </row>
    <row r="84" ht="16.5" customHeight="1">
      <c r="A84" s="164" t="s">
        <v>5</v>
      </c>
      <c r="E84" s="83" t="s">
        <v>88</v>
      </c>
      <c r="F84" s="56" t="s">
        <v>96</v>
      </c>
      <c r="G84" s="495" t="s">
        <v>5196</v>
      </c>
      <c r="H84" s="56" t="s">
        <v>96</v>
      </c>
      <c r="I84" s="352"/>
      <c r="J84" s="497"/>
      <c r="K84" s="496"/>
      <c r="L84" s="496"/>
      <c r="M84" s="144"/>
      <c r="N84" s="144"/>
      <c r="O84" s="144"/>
      <c r="P84" s="144"/>
      <c r="Q84" s="144"/>
      <c r="R84" s="144"/>
      <c r="S84" s="144"/>
      <c r="T84" s="144"/>
      <c r="U84" s="144"/>
      <c r="V84" s="144"/>
      <c r="W84" s="144"/>
      <c r="X84" s="144"/>
      <c r="Y84" s="144"/>
      <c r="Z84" s="144"/>
      <c r="AA84" s="144"/>
      <c r="AB84" s="144"/>
      <c r="AC84" s="144"/>
      <c r="AD84" s="144"/>
      <c r="AE84" s="144"/>
      <c r="AF84" s="144"/>
    </row>
    <row r="85" ht="16.5" customHeight="1">
      <c r="A85" s="164" t="s">
        <v>5</v>
      </c>
      <c r="E85" s="83" t="s">
        <v>88</v>
      </c>
      <c r="F85" s="56" t="s">
        <v>122</v>
      </c>
      <c r="G85" s="495" t="s">
        <v>5197</v>
      </c>
      <c r="H85" s="56" t="s">
        <v>122</v>
      </c>
      <c r="I85" s="352"/>
      <c r="J85" s="497"/>
      <c r="K85" s="496"/>
      <c r="L85" s="496"/>
      <c r="M85" s="144"/>
      <c r="N85" s="144"/>
      <c r="O85" s="144"/>
      <c r="P85" s="144"/>
      <c r="Q85" s="144"/>
      <c r="R85" s="144"/>
      <c r="S85" s="144"/>
      <c r="T85" s="144"/>
      <c r="U85" s="144"/>
      <c r="V85" s="144"/>
      <c r="W85" s="144"/>
      <c r="X85" s="144"/>
      <c r="Y85" s="144"/>
      <c r="Z85" s="144"/>
      <c r="AA85" s="144"/>
      <c r="AB85" s="144"/>
      <c r="AC85" s="144"/>
      <c r="AD85" s="144"/>
      <c r="AE85" s="144"/>
      <c r="AF85" s="144"/>
    </row>
    <row r="86" ht="16.5" customHeight="1">
      <c r="A86" s="164" t="s">
        <v>5</v>
      </c>
      <c r="E86" s="83" t="s">
        <v>86</v>
      </c>
      <c r="F86" s="500" t="s">
        <v>90</v>
      </c>
      <c r="G86" s="495" t="s">
        <v>5198</v>
      </c>
      <c r="H86" s="500" t="s">
        <v>90</v>
      </c>
      <c r="I86" s="352"/>
      <c r="J86" s="497"/>
      <c r="K86" s="496"/>
      <c r="L86" s="496"/>
      <c r="M86" s="144"/>
      <c r="N86" s="144"/>
      <c r="O86" s="144"/>
      <c r="P86" s="144"/>
      <c r="Q86" s="144"/>
      <c r="R86" s="144"/>
      <c r="S86" s="144"/>
      <c r="T86" s="144"/>
      <c r="U86" s="144"/>
      <c r="V86" s="144"/>
      <c r="W86" s="144"/>
      <c r="X86" s="144"/>
      <c r="Y86" s="144"/>
      <c r="Z86" s="144"/>
      <c r="AA86" s="144"/>
      <c r="AB86" s="144"/>
      <c r="AC86" s="144"/>
      <c r="AD86" s="144"/>
      <c r="AE86" s="144"/>
      <c r="AF86" s="144"/>
    </row>
    <row r="87" ht="16.5" customHeight="1">
      <c r="A87" s="164" t="s">
        <v>5</v>
      </c>
      <c r="E87" s="83" t="s">
        <v>86</v>
      </c>
      <c r="F87" s="440" t="s">
        <v>91</v>
      </c>
      <c r="G87" s="495" t="s">
        <v>5199</v>
      </c>
      <c r="H87" s="440" t="s">
        <v>91</v>
      </c>
      <c r="I87" s="497"/>
      <c r="J87" s="497"/>
      <c r="K87" s="496"/>
      <c r="L87" s="496"/>
      <c r="M87" s="144"/>
      <c r="N87" s="144"/>
      <c r="O87" s="144"/>
      <c r="P87" s="144"/>
      <c r="Q87" s="144"/>
      <c r="R87" s="144"/>
      <c r="S87" s="144"/>
      <c r="T87" s="144"/>
      <c r="U87" s="144"/>
      <c r="V87" s="144"/>
      <c r="W87" s="144"/>
      <c r="X87" s="144"/>
      <c r="Y87" s="144"/>
      <c r="Z87" s="144"/>
      <c r="AA87" s="144"/>
      <c r="AB87" s="144"/>
      <c r="AC87" s="144"/>
      <c r="AD87" s="144"/>
      <c r="AE87" s="144"/>
      <c r="AF87" s="144"/>
    </row>
    <row r="88" ht="16.5" customHeight="1">
      <c r="A88" s="164" t="s">
        <v>5</v>
      </c>
      <c r="E88" s="83" t="s">
        <v>86</v>
      </c>
      <c r="F88" s="500" t="s">
        <v>338</v>
      </c>
      <c r="G88" s="495" t="s">
        <v>5200</v>
      </c>
      <c r="H88" s="500" t="s">
        <v>338</v>
      </c>
      <c r="L88" s="496"/>
      <c r="M88" s="144"/>
      <c r="N88" s="144"/>
      <c r="O88" s="144"/>
      <c r="P88" s="144"/>
      <c r="Q88" s="144"/>
      <c r="R88" s="144"/>
      <c r="S88" s="144"/>
      <c r="T88" s="144"/>
      <c r="U88" s="144"/>
      <c r="V88" s="144"/>
      <c r="W88" s="144"/>
      <c r="X88" s="144"/>
      <c r="Y88" s="144"/>
      <c r="Z88" s="144"/>
      <c r="AA88" s="144"/>
      <c r="AB88" s="144"/>
      <c r="AC88" s="144"/>
      <c r="AD88" s="144"/>
      <c r="AE88" s="144"/>
      <c r="AF88" s="144"/>
    </row>
    <row r="89" ht="16.5" customHeight="1">
      <c r="A89" s="164" t="s">
        <v>5</v>
      </c>
      <c r="E89" s="83" t="s">
        <v>104</v>
      </c>
      <c r="F89" s="440" t="s">
        <v>250</v>
      </c>
      <c r="G89" s="495" t="s">
        <v>5201</v>
      </c>
      <c r="H89" s="440" t="s">
        <v>250</v>
      </c>
      <c r="I89" s="497"/>
      <c r="J89" s="497"/>
      <c r="K89" s="496"/>
      <c r="L89" s="496"/>
      <c r="M89" s="144"/>
      <c r="N89" s="144"/>
      <c r="O89" s="144"/>
      <c r="P89" s="144"/>
      <c r="Q89" s="144"/>
      <c r="R89" s="144"/>
      <c r="S89" s="144"/>
      <c r="T89" s="144"/>
      <c r="U89" s="144"/>
      <c r="V89" s="144"/>
      <c r="W89" s="144"/>
      <c r="X89" s="144"/>
      <c r="Y89" s="144"/>
      <c r="Z89" s="144"/>
      <c r="AA89" s="144"/>
      <c r="AB89" s="144"/>
      <c r="AC89" s="144"/>
      <c r="AD89" s="144"/>
      <c r="AE89" s="144"/>
      <c r="AF89" s="144"/>
    </row>
    <row r="90" ht="16.5" customHeight="1">
      <c r="A90" s="164" t="s">
        <v>5</v>
      </c>
      <c r="E90" s="83" t="s">
        <v>178</v>
      </c>
      <c r="F90" s="500" t="s">
        <v>209</v>
      </c>
      <c r="G90" s="495" t="s">
        <v>5202</v>
      </c>
      <c r="H90" s="500" t="s">
        <v>209</v>
      </c>
      <c r="I90" s="497"/>
      <c r="J90" s="497"/>
      <c r="K90" s="496"/>
      <c r="L90" s="496"/>
      <c r="M90" s="144"/>
      <c r="N90" s="144"/>
      <c r="O90" s="144"/>
      <c r="P90" s="144"/>
      <c r="Q90" s="144"/>
      <c r="R90" s="144"/>
      <c r="S90" s="144"/>
      <c r="T90" s="144"/>
      <c r="U90" s="144"/>
      <c r="V90" s="144"/>
      <c r="W90" s="144"/>
      <c r="X90" s="144"/>
      <c r="Y90" s="144"/>
      <c r="Z90" s="144"/>
      <c r="AA90" s="144"/>
      <c r="AB90" s="144"/>
      <c r="AC90" s="144"/>
      <c r="AD90" s="144"/>
      <c r="AE90" s="144"/>
      <c r="AF90" s="144"/>
    </row>
    <row r="91" ht="16.5" customHeight="1">
      <c r="A91" s="164" t="s">
        <v>5</v>
      </c>
      <c r="E91" s="83" t="s">
        <v>178</v>
      </c>
      <c r="F91" s="440" t="s">
        <v>210</v>
      </c>
      <c r="G91" s="495" t="s">
        <v>5203</v>
      </c>
      <c r="H91" s="440" t="s">
        <v>210</v>
      </c>
      <c r="I91" s="497"/>
      <c r="J91" s="497"/>
      <c r="K91" s="496"/>
      <c r="L91" s="496"/>
      <c r="M91" s="144"/>
      <c r="N91" s="144"/>
      <c r="O91" s="144"/>
      <c r="P91" s="144"/>
      <c r="Q91" s="144"/>
      <c r="R91" s="144"/>
      <c r="S91" s="144"/>
      <c r="T91" s="144"/>
      <c r="U91" s="144"/>
      <c r="V91" s="144"/>
      <c r="W91" s="144"/>
      <c r="X91" s="144"/>
      <c r="Y91" s="144"/>
      <c r="Z91" s="144"/>
      <c r="AA91" s="144"/>
      <c r="AB91" s="144"/>
      <c r="AC91" s="144"/>
      <c r="AD91" s="144"/>
      <c r="AE91" s="144"/>
      <c r="AF91" s="144"/>
    </row>
    <row r="92" ht="16.5" customHeight="1">
      <c r="A92" s="164" t="s">
        <v>5</v>
      </c>
      <c r="B92" s="56" t="s">
        <v>5204</v>
      </c>
      <c r="C92" s="57" t="s">
        <v>5205</v>
      </c>
      <c r="D92" s="83" t="s">
        <v>20</v>
      </c>
      <c r="E92" s="83" t="s">
        <v>88</v>
      </c>
      <c r="F92" s="56" t="s">
        <v>89</v>
      </c>
      <c r="G92" s="498"/>
      <c r="H92" s="36"/>
      <c r="L92" s="496"/>
      <c r="M92" s="144"/>
      <c r="N92" s="144"/>
      <c r="O92" s="144"/>
      <c r="P92" s="144"/>
      <c r="Q92" s="144"/>
      <c r="R92" s="144"/>
      <c r="S92" s="144"/>
      <c r="T92" s="144"/>
      <c r="U92" s="144"/>
      <c r="V92" s="144"/>
      <c r="W92" s="144"/>
      <c r="X92" s="144"/>
      <c r="Y92" s="144"/>
      <c r="Z92" s="144"/>
      <c r="AA92" s="144"/>
      <c r="AB92" s="144"/>
      <c r="AC92" s="144"/>
      <c r="AD92" s="144"/>
      <c r="AE92" s="144"/>
      <c r="AF92" s="144"/>
    </row>
    <row r="93" ht="16.5" customHeight="1">
      <c r="A93" s="164" t="s">
        <v>5</v>
      </c>
      <c r="E93" s="83" t="s">
        <v>172</v>
      </c>
      <c r="F93" s="56" t="s">
        <v>194</v>
      </c>
      <c r="G93" s="495" t="s">
        <v>5206</v>
      </c>
      <c r="H93" s="83" t="s">
        <v>194</v>
      </c>
      <c r="I93" s="497"/>
      <c r="J93" s="497"/>
      <c r="K93" s="496"/>
      <c r="L93" s="496"/>
      <c r="M93" s="144"/>
      <c r="N93" s="144"/>
      <c r="O93" s="144"/>
      <c r="P93" s="144"/>
      <c r="Q93" s="144"/>
      <c r="R93" s="144"/>
      <c r="S93" s="144"/>
      <c r="T93" s="144"/>
      <c r="U93" s="144"/>
      <c r="V93" s="144"/>
      <c r="W93" s="144"/>
      <c r="X93" s="144"/>
      <c r="Y93" s="144"/>
      <c r="Z93" s="144"/>
      <c r="AA93" s="144"/>
      <c r="AB93" s="144"/>
      <c r="AC93" s="144"/>
      <c r="AD93" s="144"/>
      <c r="AE93" s="144"/>
      <c r="AF93" s="144"/>
    </row>
    <row r="94" ht="16.5" customHeight="1">
      <c r="A94" s="164" t="s">
        <v>5</v>
      </c>
      <c r="E94" s="83" t="s">
        <v>172</v>
      </c>
      <c r="F94" s="56" t="s">
        <v>195</v>
      </c>
      <c r="G94" s="495" t="s">
        <v>5207</v>
      </c>
      <c r="H94" s="83" t="s">
        <v>195</v>
      </c>
      <c r="I94" s="497"/>
      <c r="J94" s="497"/>
      <c r="K94" s="496"/>
      <c r="L94" s="496"/>
      <c r="M94" s="144"/>
      <c r="N94" s="144"/>
      <c r="O94" s="144"/>
      <c r="P94" s="144"/>
      <c r="Q94" s="144"/>
      <c r="R94" s="144"/>
      <c r="S94" s="144"/>
      <c r="T94" s="144"/>
      <c r="U94" s="144"/>
      <c r="V94" s="144"/>
      <c r="W94" s="144"/>
      <c r="X94" s="144"/>
      <c r="Y94" s="144"/>
      <c r="Z94" s="144"/>
      <c r="AA94" s="144"/>
      <c r="AB94" s="144"/>
      <c r="AC94" s="144"/>
      <c r="AD94" s="144"/>
      <c r="AE94" s="144"/>
      <c r="AF94" s="144"/>
    </row>
    <row r="95" ht="16.5" customHeight="1">
      <c r="A95" s="164" t="s">
        <v>5</v>
      </c>
      <c r="E95" s="83" t="s">
        <v>21</v>
      </c>
      <c r="F95" s="56" t="s">
        <v>51</v>
      </c>
      <c r="G95" s="495" t="s">
        <v>5208</v>
      </c>
      <c r="H95" s="56" t="s">
        <v>51</v>
      </c>
      <c r="I95" s="497"/>
      <c r="J95" s="497"/>
      <c r="K95" s="496"/>
      <c r="L95" s="496"/>
      <c r="M95" s="144"/>
      <c r="N95" s="144"/>
      <c r="O95" s="144"/>
      <c r="P95" s="144"/>
      <c r="Q95" s="144"/>
      <c r="R95" s="144"/>
      <c r="S95" s="144"/>
      <c r="T95" s="144"/>
      <c r="U95" s="144"/>
      <c r="V95" s="144"/>
      <c r="W95" s="144"/>
      <c r="X95" s="144"/>
      <c r="Y95" s="144"/>
      <c r="Z95" s="144"/>
      <c r="AA95" s="144"/>
      <c r="AB95" s="144"/>
      <c r="AC95" s="144"/>
      <c r="AD95" s="144"/>
      <c r="AE95" s="144"/>
      <c r="AF95" s="144"/>
    </row>
    <row r="96" ht="16.5" customHeight="1">
      <c r="A96" s="164" t="s">
        <v>5</v>
      </c>
      <c r="E96" s="83" t="s">
        <v>88</v>
      </c>
      <c r="F96" s="56" t="s">
        <v>154</v>
      </c>
      <c r="G96" s="495" t="s">
        <v>5209</v>
      </c>
      <c r="H96" s="56" t="s">
        <v>154</v>
      </c>
      <c r="I96" s="497"/>
      <c r="J96" s="497"/>
      <c r="K96" s="496"/>
      <c r="L96" s="496"/>
      <c r="M96" s="144"/>
      <c r="N96" s="144"/>
      <c r="O96" s="144"/>
      <c r="P96" s="144"/>
      <c r="Q96" s="144"/>
      <c r="R96" s="144"/>
      <c r="S96" s="144"/>
      <c r="T96" s="144"/>
      <c r="U96" s="144"/>
      <c r="V96" s="144"/>
      <c r="W96" s="144"/>
      <c r="X96" s="144"/>
      <c r="Y96" s="144"/>
      <c r="Z96" s="144"/>
      <c r="AA96" s="144"/>
      <c r="AB96" s="144"/>
      <c r="AC96" s="144"/>
      <c r="AD96" s="144"/>
      <c r="AE96" s="144"/>
      <c r="AF96" s="144"/>
    </row>
    <row r="97" ht="16.5" customHeight="1">
      <c r="A97" s="164" t="s">
        <v>5</v>
      </c>
      <c r="E97" s="83" t="s">
        <v>88</v>
      </c>
      <c r="F97" s="56" t="s">
        <v>859</v>
      </c>
      <c r="G97" s="495" t="s">
        <v>5210</v>
      </c>
      <c r="H97" s="56" t="s">
        <v>859</v>
      </c>
      <c r="I97" s="497"/>
      <c r="J97" s="497"/>
      <c r="K97" s="496"/>
      <c r="L97" s="496"/>
      <c r="M97" s="144"/>
      <c r="N97" s="144"/>
      <c r="O97" s="144"/>
      <c r="P97" s="144"/>
      <c r="Q97" s="144"/>
      <c r="R97" s="144"/>
      <c r="S97" s="144"/>
      <c r="T97" s="144"/>
      <c r="U97" s="144"/>
      <c r="V97" s="144"/>
      <c r="W97" s="144"/>
      <c r="X97" s="144"/>
      <c r="Y97" s="144"/>
      <c r="Z97" s="144"/>
      <c r="AA97" s="144"/>
      <c r="AB97" s="144"/>
      <c r="AC97" s="144"/>
      <c r="AD97" s="144"/>
      <c r="AE97" s="144"/>
      <c r="AF97" s="144"/>
    </row>
    <row r="98" ht="16.5" customHeight="1">
      <c r="A98" s="164" t="s">
        <v>5</v>
      </c>
      <c r="E98" s="83" t="s">
        <v>88</v>
      </c>
      <c r="F98" s="56" t="s">
        <v>879</v>
      </c>
      <c r="G98" s="495" t="s">
        <v>5211</v>
      </c>
      <c r="H98" s="56" t="s">
        <v>879</v>
      </c>
      <c r="I98" s="352"/>
      <c r="J98" s="497"/>
      <c r="K98" s="496"/>
      <c r="L98" s="496"/>
      <c r="M98" s="144"/>
      <c r="N98" s="144"/>
      <c r="O98" s="144"/>
      <c r="P98" s="144"/>
      <c r="Q98" s="144"/>
      <c r="R98" s="144"/>
      <c r="S98" s="144"/>
      <c r="T98" s="144"/>
      <c r="U98" s="144"/>
      <c r="V98" s="144"/>
      <c r="W98" s="144"/>
      <c r="X98" s="144"/>
      <c r="Y98" s="144"/>
      <c r="Z98" s="144"/>
      <c r="AA98" s="144"/>
      <c r="AB98" s="144"/>
      <c r="AC98" s="144"/>
      <c r="AD98" s="144"/>
      <c r="AE98" s="144"/>
      <c r="AF98" s="144"/>
    </row>
    <row r="99" ht="16.5" customHeight="1">
      <c r="A99" s="164" t="s">
        <v>5</v>
      </c>
      <c r="E99" s="83" t="s">
        <v>88</v>
      </c>
      <c r="F99" s="56" t="s">
        <v>881</v>
      </c>
      <c r="G99" s="495" t="s">
        <v>5212</v>
      </c>
      <c r="H99" s="56" t="s">
        <v>881</v>
      </c>
      <c r="L99" s="496"/>
      <c r="M99" s="144"/>
      <c r="N99" s="144"/>
      <c r="O99" s="144"/>
      <c r="P99" s="144"/>
      <c r="Q99" s="144"/>
      <c r="R99" s="144"/>
      <c r="S99" s="144"/>
      <c r="T99" s="144"/>
      <c r="U99" s="144"/>
      <c r="V99" s="144"/>
      <c r="W99" s="144"/>
      <c r="X99" s="144"/>
      <c r="Y99" s="144"/>
      <c r="Z99" s="144"/>
      <c r="AA99" s="144"/>
      <c r="AB99" s="144"/>
      <c r="AC99" s="144"/>
      <c r="AD99" s="144"/>
      <c r="AE99" s="144"/>
      <c r="AF99" s="144"/>
    </row>
    <row r="100" ht="16.5" customHeight="1">
      <c r="A100" s="164" t="s">
        <v>5</v>
      </c>
      <c r="E100" s="83" t="s">
        <v>88</v>
      </c>
      <c r="F100" s="56" t="s">
        <v>870</v>
      </c>
      <c r="G100" s="495" t="s">
        <v>5213</v>
      </c>
      <c r="H100" s="35" t="s">
        <v>870</v>
      </c>
      <c r="L100" s="496"/>
      <c r="M100" s="144"/>
      <c r="N100" s="144"/>
      <c r="O100" s="144"/>
      <c r="P100" s="144"/>
      <c r="Q100" s="144"/>
      <c r="R100" s="144"/>
      <c r="S100" s="144"/>
      <c r="T100" s="144"/>
      <c r="U100" s="144"/>
      <c r="V100" s="144"/>
      <c r="W100" s="144"/>
      <c r="X100" s="144"/>
      <c r="Y100" s="144"/>
      <c r="Z100" s="144"/>
      <c r="AA100" s="144"/>
      <c r="AB100" s="144"/>
      <c r="AC100" s="144"/>
      <c r="AD100" s="144"/>
      <c r="AE100" s="144"/>
      <c r="AF100" s="144"/>
    </row>
    <row r="101" ht="16.5" customHeight="1">
      <c r="A101" s="164" t="s">
        <v>5</v>
      </c>
      <c r="E101" s="83" t="s">
        <v>88</v>
      </c>
      <c r="F101" s="56" t="s">
        <v>881</v>
      </c>
      <c r="G101" s="495" t="s">
        <v>5214</v>
      </c>
      <c r="H101" s="35" t="s">
        <v>4399</v>
      </c>
      <c r="L101" s="496"/>
      <c r="M101" s="144"/>
      <c r="N101" s="144"/>
      <c r="O101" s="144"/>
      <c r="P101" s="144"/>
      <c r="Q101" s="144"/>
      <c r="R101" s="144"/>
      <c r="S101" s="144"/>
      <c r="T101" s="144"/>
      <c r="U101" s="144"/>
      <c r="V101" s="144"/>
      <c r="W101" s="144"/>
      <c r="X101" s="144"/>
      <c r="Y101" s="144"/>
      <c r="Z101" s="144"/>
      <c r="AA101" s="144"/>
      <c r="AB101" s="144"/>
      <c r="AC101" s="144"/>
      <c r="AD101" s="144"/>
      <c r="AE101" s="144"/>
      <c r="AF101" s="144"/>
    </row>
    <row r="102" ht="16.5" customHeight="1">
      <c r="A102" s="164" t="s">
        <v>5</v>
      </c>
      <c r="E102" s="83" t="s">
        <v>88</v>
      </c>
      <c r="F102" s="56" t="s">
        <v>870</v>
      </c>
      <c r="G102" s="495" t="s">
        <v>5215</v>
      </c>
      <c r="H102" s="35" t="s">
        <v>4369</v>
      </c>
      <c r="L102" s="496"/>
      <c r="M102" s="144"/>
      <c r="N102" s="144"/>
      <c r="O102" s="144"/>
      <c r="P102" s="144"/>
      <c r="Q102" s="144"/>
      <c r="R102" s="144"/>
      <c r="S102" s="144"/>
      <c r="T102" s="144"/>
      <c r="U102" s="144"/>
      <c r="V102" s="144"/>
      <c r="W102" s="144"/>
      <c r="X102" s="144"/>
      <c r="Y102" s="144"/>
      <c r="Z102" s="144"/>
      <c r="AA102" s="144"/>
      <c r="AB102" s="144"/>
      <c r="AC102" s="144"/>
      <c r="AD102" s="144"/>
      <c r="AE102" s="144"/>
      <c r="AF102" s="144"/>
    </row>
    <row r="103" ht="16.5" customHeight="1">
      <c r="A103" s="164" t="s">
        <v>5</v>
      </c>
      <c r="E103" s="83" t="s">
        <v>88</v>
      </c>
      <c r="F103" s="56" t="s">
        <v>869</v>
      </c>
      <c r="G103" s="498"/>
      <c r="L103" s="496"/>
      <c r="M103" s="144"/>
      <c r="N103" s="144"/>
      <c r="O103" s="144"/>
      <c r="P103" s="144"/>
      <c r="Q103" s="144"/>
      <c r="R103" s="144"/>
      <c r="S103" s="144"/>
      <c r="T103" s="144"/>
      <c r="U103" s="144"/>
      <c r="V103" s="144"/>
      <c r="W103" s="144"/>
      <c r="X103" s="144"/>
      <c r="Y103" s="144"/>
      <c r="Z103" s="144"/>
      <c r="AA103" s="144"/>
      <c r="AB103" s="144"/>
      <c r="AC103" s="144"/>
      <c r="AD103" s="144"/>
      <c r="AE103" s="144"/>
      <c r="AF103" s="144"/>
    </row>
    <row r="104" ht="16.5" customHeight="1">
      <c r="A104" s="164" t="s">
        <v>5</v>
      </c>
      <c r="E104" s="83" t="s">
        <v>88</v>
      </c>
      <c r="F104" s="56" t="s">
        <v>120</v>
      </c>
      <c r="G104" s="495" t="s">
        <v>5216</v>
      </c>
      <c r="H104" s="56" t="s">
        <v>120</v>
      </c>
      <c r="I104" s="497"/>
      <c r="J104" s="497"/>
      <c r="K104" s="496"/>
      <c r="L104" s="496"/>
      <c r="M104" s="144"/>
      <c r="N104" s="144"/>
      <c r="O104" s="144"/>
      <c r="P104" s="144"/>
      <c r="Q104" s="144"/>
      <c r="R104" s="144"/>
      <c r="S104" s="144"/>
      <c r="T104" s="144"/>
      <c r="U104" s="144"/>
      <c r="V104" s="144"/>
      <c r="W104" s="144"/>
      <c r="X104" s="144"/>
      <c r="Y104" s="144"/>
      <c r="Z104" s="144"/>
      <c r="AA104" s="144"/>
      <c r="AB104" s="144"/>
      <c r="AC104" s="144"/>
      <c r="AD104" s="144"/>
      <c r="AE104" s="144"/>
      <c r="AF104" s="144"/>
    </row>
    <row r="105" ht="16.5" customHeight="1">
      <c r="A105" s="164" t="s">
        <v>5</v>
      </c>
      <c r="E105" s="83" t="s">
        <v>88</v>
      </c>
      <c r="F105" s="56" t="s">
        <v>544</v>
      </c>
      <c r="G105" s="495" t="s">
        <v>5217</v>
      </c>
      <c r="H105" s="56" t="s">
        <v>544</v>
      </c>
      <c r="I105" s="352"/>
      <c r="J105" s="497"/>
      <c r="K105" s="496"/>
      <c r="L105" s="496"/>
      <c r="M105" s="144"/>
      <c r="N105" s="144"/>
      <c r="O105" s="144"/>
      <c r="P105" s="144"/>
      <c r="Q105" s="144"/>
      <c r="R105" s="144"/>
      <c r="S105" s="144"/>
      <c r="T105" s="144"/>
      <c r="U105" s="144"/>
      <c r="V105" s="144"/>
      <c r="W105" s="144"/>
      <c r="X105" s="144"/>
      <c r="Y105" s="144"/>
      <c r="Z105" s="144"/>
      <c r="AA105" s="144"/>
      <c r="AB105" s="144"/>
      <c r="AC105" s="144"/>
      <c r="AD105" s="144"/>
      <c r="AE105" s="144"/>
      <c r="AF105" s="144"/>
    </row>
    <row r="106" ht="16.5" customHeight="1">
      <c r="A106" s="164" t="s">
        <v>5</v>
      </c>
      <c r="E106" s="83" t="s">
        <v>88</v>
      </c>
      <c r="F106" s="56" t="s">
        <v>247</v>
      </c>
      <c r="G106" s="498"/>
      <c r="H106" s="36"/>
      <c r="I106" s="36"/>
      <c r="L106" s="496"/>
      <c r="M106" s="144"/>
      <c r="N106" s="144"/>
      <c r="O106" s="144"/>
      <c r="P106" s="144"/>
      <c r="Q106" s="144"/>
      <c r="R106" s="144"/>
      <c r="S106" s="144"/>
      <c r="T106" s="144"/>
      <c r="U106" s="144"/>
      <c r="V106" s="144"/>
      <c r="W106" s="144"/>
      <c r="X106" s="144"/>
      <c r="Y106" s="144"/>
      <c r="Z106" s="144"/>
      <c r="AA106" s="144"/>
      <c r="AB106" s="144"/>
      <c r="AC106" s="144"/>
      <c r="AD106" s="144"/>
      <c r="AE106" s="144"/>
      <c r="AF106" s="144"/>
    </row>
    <row r="107" ht="16.5" customHeight="1">
      <c r="A107" s="164" t="s">
        <v>5</v>
      </c>
      <c r="E107" s="83" t="s">
        <v>172</v>
      </c>
      <c r="F107" s="56" t="s">
        <v>194</v>
      </c>
      <c r="G107" s="495" t="s">
        <v>5206</v>
      </c>
      <c r="H107" s="83" t="s">
        <v>194</v>
      </c>
      <c r="I107" s="352"/>
      <c r="J107" s="497"/>
      <c r="K107" s="496"/>
      <c r="L107" s="496"/>
      <c r="M107" s="144"/>
      <c r="N107" s="144"/>
      <c r="O107" s="144"/>
      <c r="P107" s="144"/>
      <c r="Q107" s="144"/>
      <c r="R107" s="144"/>
      <c r="S107" s="144"/>
      <c r="T107" s="144"/>
      <c r="U107" s="144"/>
      <c r="V107" s="144"/>
      <c r="W107" s="144"/>
      <c r="X107" s="144"/>
      <c r="Y107" s="144"/>
      <c r="Z107" s="144"/>
      <c r="AA107" s="144"/>
      <c r="AB107" s="144"/>
      <c r="AC107" s="144"/>
      <c r="AD107" s="144"/>
      <c r="AE107" s="144"/>
      <c r="AF107" s="144"/>
    </row>
    <row r="108" ht="16.5" customHeight="1">
      <c r="A108" s="164" t="s">
        <v>5</v>
      </c>
      <c r="E108" s="83" t="s">
        <v>172</v>
      </c>
      <c r="F108" s="56" t="s">
        <v>195</v>
      </c>
      <c r="G108" s="495" t="s">
        <v>5218</v>
      </c>
      <c r="H108" s="35" t="s">
        <v>5219</v>
      </c>
      <c r="I108" s="36"/>
      <c r="L108" s="496"/>
      <c r="M108" s="144"/>
      <c r="N108" s="144"/>
      <c r="O108" s="144"/>
      <c r="P108" s="144"/>
      <c r="Q108" s="144"/>
      <c r="R108" s="144"/>
      <c r="S108" s="144"/>
      <c r="T108" s="144"/>
      <c r="U108" s="144"/>
      <c r="V108" s="144"/>
      <c r="W108" s="144"/>
      <c r="X108" s="144"/>
      <c r="Y108" s="144"/>
      <c r="Z108" s="144"/>
      <c r="AA108" s="144"/>
      <c r="AB108" s="144"/>
      <c r="AC108" s="144"/>
      <c r="AD108" s="144"/>
      <c r="AE108" s="144"/>
      <c r="AF108" s="144"/>
    </row>
    <row r="109" ht="16.5" customHeight="1">
      <c r="A109" s="164" t="s">
        <v>5</v>
      </c>
      <c r="E109" s="83" t="s">
        <v>88</v>
      </c>
      <c r="F109" s="56" t="s">
        <v>120</v>
      </c>
      <c r="G109" s="495" t="s">
        <v>5220</v>
      </c>
      <c r="H109" s="56" t="s">
        <v>1845</v>
      </c>
      <c r="I109" s="36"/>
      <c r="L109" s="496"/>
      <c r="M109" s="144"/>
      <c r="N109" s="144"/>
      <c r="O109" s="144"/>
      <c r="P109" s="144"/>
      <c r="Q109" s="144"/>
      <c r="R109" s="144"/>
      <c r="S109" s="144"/>
      <c r="T109" s="144"/>
      <c r="U109" s="144"/>
      <c r="V109" s="144"/>
      <c r="W109" s="144"/>
      <c r="X109" s="144"/>
      <c r="Y109" s="144"/>
      <c r="Z109" s="144"/>
      <c r="AA109" s="144"/>
      <c r="AB109" s="144"/>
      <c r="AC109" s="144"/>
      <c r="AD109" s="144"/>
      <c r="AE109" s="144"/>
      <c r="AF109" s="144"/>
    </row>
    <row r="110" ht="16.5" customHeight="1">
      <c r="A110" s="164" t="s">
        <v>5</v>
      </c>
      <c r="E110" s="83" t="s">
        <v>88</v>
      </c>
      <c r="F110" s="56" t="s">
        <v>544</v>
      </c>
      <c r="G110" s="495" t="s">
        <v>5217</v>
      </c>
      <c r="H110" s="83" t="s">
        <v>544</v>
      </c>
      <c r="I110" s="352"/>
      <c r="J110" s="497"/>
      <c r="K110" s="496"/>
      <c r="L110" s="496"/>
      <c r="M110" s="144"/>
      <c r="N110" s="144"/>
      <c r="O110" s="144"/>
      <c r="P110" s="144"/>
      <c r="Q110" s="144"/>
      <c r="R110" s="144"/>
      <c r="S110" s="144"/>
      <c r="T110" s="144"/>
      <c r="U110" s="144"/>
      <c r="V110" s="144"/>
      <c r="W110" s="144"/>
      <c r="X110" s="144"/>
      <c r="Y110" s="144"/>
      <c r="Z110" s="144"/>
      <c r="AA110" s="144"/>
      <c r="AB110" s="144"/>
      <c r="AC110" s="144"/>
      <c r="AD110" s="144"/>
      <c r="AE110" s="144"/>
      <c r="AF110" s="144"/>
    </row>
    <row r="111" ht="16.5" customHeight="1">
      <c r="A111" s="164" t="s">
        <v>5</v>
      </c>
      <c r="E111" s="83" t="s">
        <v>88</v>
      </c>
      <c r="F111" s="35" t="s">
        <v>247</v>
      </c>
      <c r="G111" s="498"/>
      <c r="H111" s="36"/>
      <c r="I111" s="36"/>
      <c r="L111" s="496"/>
      <c r="M111" s="144"/>
      <c r="N111" s="144"/>
      <c r="O111" s="144"/>
      <c r="P111" s="144"/>
      <c r="Q111" s="144"/>
      <c r="R111" s="144"/>
      <c r="S111" s="144"/>
      <c r="T111" s="144"/>
      <c r="U111" s="144"/>
      <c r="V111" s="144"/>
      <c r="W111" s="144"/>
      <c r="X111" s="144"/>
      <c r="Y111" s="144"/>
      <c r="Z111" s="144"/>
      <c r="AA111" s="144"/>
      <c r="AB111" s="144"/>
      <c r="AC111" s="144"/>
      <c r="AD111" s="144"/>
      <c r="AE111" s="144"/>
      <c r="AF111" s="144"/>
    </row>
    <row r="112" ht="16.5" customHeight="1">
      <c r="A112" s="164" t="s">
        <v>5</v>
      </c>
      <c r="E112" s="83" t="s">
        <v>88</v>
      </c>
      <c r="F112" s="56" t="s">
        <v>95</v>
      </c>
      <c r="G112" s="495" t="s">
        <v>5221</v>
      </c>
      <c r="H112" s="56" t="s">
        <v>95</v>
      </c>
      <c r="I112" s="36"/>
      <c r="L112" s="496"/>
      <c r="M112" s="144"/>
      <c r="N112" s="144"/>
      <c r="O112" s="144"/>
      <c r="P112" s="144"/>
      <c r="Q112" s="144"/>
      <c r="R112" s="144"/>
      <c r="S112" s="144"/>
      <c r="T112" s="144"/>
      <c r="U112" s="144"/>
      <c r="V112" s="144"/>
      <c r="W112" s="144"/>
      <c r="X112" s="144"/>
      <c r="Y112" s="144"/>
      <c r="Z112" s="144"/>
      <c r="AA112" s="144"/>
      <c r="AB112" s="144"/>
      <c r="AC112" s="144"/>
      <c r="AD112" s="144"/>
      <c r="AE112" s="144"/>
      <c r="AF112" s="144"/>
    </row>
    <row r="113" ht="16.5" customHeight="1">
      <c r="A113" s="164" t="s">
        <v>5</v>
      </c>
      <c r="E113" s="83" t="s">
        <v>88</v>
      </c>
      <c r="F113" s="56" t="s">
        <v>96</v>
      </c>
      <c r="G113" s="495" t="s">
        <v>5222</v>
      </c>
      <c r="H113" s="56" t="s">
        <v>96</v>
      </c>
      <c r="I113" s="497"/>
      <c r="J113" s="497"/>
      <c r="K113" s="496"/>
      <c r="L113" s="496"/>
      <c r="M113" s="144"/>
      <c r="N113" s="144"/>
      <c r="O113" s="144"/>
      <c r="P113" s="144"/>
      <c r="Q113" s="144"/>
      <c r="R113" s="144"/>
      <c r="S113" s="144"/>
      <c r="T113" s="144"/>
      <c r="U113" s="144"/>
      <c r="V113" s="144"/>
      <c r="W113" s="144"/>
      <c r="X113" s="144"/>
      <c r="Y113" s="144"/>
      <c r="Z113" s="144"/>
      <c r="AA113" s="144"/>
      <c r="AB113" s="144"/>
      <c r="AC113" s="144"/>
      <c r="AD113" s="144"/>
      <c r="AE113" s="144"/>
      <c r="AF113" s="144"/>
    </row>
    <row r="114" ht="16.5" customHeight="1">
      <c r="A114" s="164" t="s">
        <v>5</v>
      </c>
      <c r="E114" s="83" t="s">
        <v>86</v>
      </c>
      <c r="F114" s="500" t="s">
        <v>90</v>
      </c>
      <c r="G114" s="495" t="s">
        <v>5223</v>
      </c>
      <c r="H114" s="500" t="s">
        <v>90</v>
      </c>
      <c r="I114" s="497"/>
      <c r="J114" s="497"/>
      <c r="K114" s="496"/>
      <c r="L114" s="496"/>
      <c r="M114" s="144"/>
      <c r="N114" s="144"/>
      <c r="O114" s="144"/>
      <c r="P114" s="144"/>
      <c r="Q114" s="144"/>
      <c r="R114" s="144"/>
      <c r="S114" s="144"/>
      <c r="T114" s="144"/>
      <c r="U114" s="144"/>
      <c r="V114" s="144"/>
      <c r="W114" s="144"/>
      <c r="X114" s="144"/>
      <c r="Y114" s="144"/>
      <c r="Z114" s="144"/>
      <c r="AA114" s="144"/>
      <c r="AB114" s="144"/>
      <c r="AC114" s="144"/>
      <c r="AD114" s="144"/>
      <c r="AE114" s="144"/>
      <c r="AF114" s="144"/>
    </row>
    <row r="115" ht="16.5" customHeight="1">
      <c r="A115" s="164" t="s">
        <v>5</v>
      </c>
      <c r="E115" s="83" t="s">
        <v>86</v>
      </c>
      <c r="F115" s="440" t="s">
        <v>91</v>
      </c>
      <c r="G115" s="495" t="s">
        <v>5224</v>
      </c>
      <c r="H115" s="440" t="s">
        <v>91</v>
      </c>
      <c r="I115" s="497"/>
      <c r="J115" s="497"/>
      <c r="K115" s="496"/>
      <c r="L115" s="496"/>
      <c r="M115" s="144"/>
      <c r="N115" s="144"/>
      <c r="O115" s="144"/>
      <c r="P115" s="144"/>
      <c r="Q115" s="144"/>
      <c r="R115" s="144"/>
      <c r="S115" s="144"/>
      <c r="T115" s="144"/>
      <c r="U115" s="144"/>
      <c r="V115" s="144"/>
      <c r="W115" s="144"/>
      <c r="X115" s="144"/>
      <c r="Y115" s="144"/>
      <c r="Z115" s="144"/>
      <c r="AA115" s="144"/>
      <c r="AB115" s="144"/>
      <c r="AC115" s="144"/>
      <c r="AD115" s="144"/>
      <c r="AE115" s="144"/>
      <c r="AF115" s="144"/>
    </row>
    <row r="116" ht="16.5" customHeight="1">
      <c r="A116" s="164" t="s">
        <v>5</v>
      </c>
      <c r="E116" s="83" t="s">
        <v>86</v>
      </c>
      <c r="F116" s="500" t="s">
        <v>338</v>
      </c>
      <c r="G116" s="495" t="s">
        <v>5225</v>
      </c>
      <c r="H116" s="500" t="s">
        <v>338</v>
      </c>
      <c r="I116" s="497"/>
      <c r="J116" s="497"/>
      <c r="K116" s="496"/>
      <c r="L116" s="496"/>
      <c r="M116" s="144"/>
      <c r="N116" s="144"/>
      <c r="O116" s="144"/>
      <c r="P116" s="144"/>
      <c r="Q116" s="144"/>
      <c r="R116" s="144"/>
      <c r="S116" s="144"/>
      <c r="T116" s="144"/>
      <c r="U116" s="144"/>
      <c r="V116" s="144"/>
      <c r="W116" s="144"/>
      <c r="X116" s="144"/>
      <c r="Y116" s="144"/>
      <c r="Z116" s="144"/>
      <c r="AA116" s="144"/>
      <c r="AB116" s="144"/>
      <c r="AC116" s="144"/>
      <c r="AD116" s="144"/>
      <c r="AE116" s="144"/>
      <c r="AF116" s="144"/>
    </row>
    <row r="117" ht="16.5" customHeight="1">
      <c r="A117" s="164" t="s">
        <v>5</v>
      </c>
      <c r="E117" s="83" t="s">
        <v>104</v>
      </c>
      <c r="F117" s="440" t="s">
        <v>250</v>
      </c>
      <c r="G117" s="495" t="s">
        <v>5226</v>
      </c>
      <c r="H117" s="440" t="s">
        <v>250</v>
      </c>
      <c r="I117" s="497"/>
      <c r="J117" s="497"/>
      <c r="K117" s="496"/>
      <c r="L117" s="496"/>
      <c r="M117" s="144"/>
      <c r="N117" s="144"/>
      <c r="O117" s="144"/>
      <c r="P117" s="144"/>
      <c r="Q117" s="144"/>
      <c r="R117" s="144"/>
      <c r="S117" s="144"/>
      <c r="T117" s="144"/>
      <c r="U117" s="144"/>
      <c r="V117" s="144"/>
      <c r="W117" s="144"/>
      <c r="X117" s="144"/>
      <c r="Y117" s="144"/>
      <c r="Z117" s="144"/>
      <c r="AA117" s="144"/>
      <c r="AB117" s="144"/>
      <c r="AC117" s="144"/>
      <c r="AD117" s="144"/>
      <c r="AE117" s="144"/>
      <c r="AF117" s="144"/>
    </row>
    <row r="118" ht="16.5" customHeight="1">
      <c r="A118" s="164" t="s">
        <v>5</v>
      </c>
      <c r="E118" s="83" t="s">
        <v>178</v>
      </c>
      <c r="F118" s="500" t="s">
        <v>209</v>
      </c>
      <c r="G118" s="495" t="s">
        <v>5227</v>
      </c>
      <c r="H118" s="500" t="s">
        <v>209</v>
      </c>
      <c r="I118" s="497"/>
      <c r="J118" s="497"/>
      <c r="K118" s="496"/>
      <c r="L118" s="496"/>
      <c r="M118" s="144"/>
      <c r="N118" s="144"/>
      <c r="O118" s="144"/>
      <c r="P118" s="144"/>
      <c r="Q118" s="144"/>
      <c r="R118" s="144"/>
      <c r="S118" s="144"/>
      <c r="T118" s="144"/>
      <c r="U118" s="144"/>
      <c r="V118" s="144"/>
      <c r="W118" s="144"/>
      <c r="X118" s="144"/>
      <c r="Y118" s="144"/>
      <c r="Z118" s="144"/>
      <c r="AA118" s="144"/>
      <c r="AB118" s="144"/>
      <c r="AC118" s="144"/>
      <c r="AD118" s="144"/>
      <c r="AE118" s="144"/>
      <c r="AF118" s="144"/>
    </row>
    <row r="119" ht="16.5" customHeight="1">
      <c r="A119" s="164" t="s">
        <v>5</v>
      </c>
      <c r="E119" s="83" t="s">
        <v>178</v>
      </c>
      <c r="F119" s="440" t="s">
        <v>210</v>
      </c>
      <c r="G119" s="495" t="s">
        <v>5228</v>
      </c>
      <c r="H119" s="440" t="s">
        <v>210</v>
      </c>
      <c r="I119" s="497"/>
      <c r="J119" s="497"/>
      <c r="K119" s="496"/>
      <c r="L119" s="496"/>
      <c r="M119" s="144"/>
      <c r="N119" s="144"/>
      <c r="O119" s="144"/>
      <c r="P119" s="144"/>
      <c r="Q119" s="144"/>
      <c r="R119" s="144"/>
      <c r="S119" s="144"/>
      <c r="T119" s="144"/>
      <c r="U119" s="144"/>
      <c r="V119" s="144"/>
      <c r="W119" s="144"/>
      <c r="X119" s="144"/>
      <c r="Y119" s="144"/>
      <c r="Z119" s="144"/>
      <c r="AA119" s="144"/>
      <c r="AB119" s="144"/>
      <c r="AC119" s="144"/>
      <c r="AD119" s="144"/>
      <c r="AE119" s="144"/>
      <c r="AF119" s="144"/>
    </row>
    <row r="120" ht="16.5" customHeight="1">
      <c r="A120" s="164" t="s">
        <v>5</v>
      </c>
      <c r="B120" s="56" t="s">
        <v>5229</v>
      </c>
      <c r="C120" s="543" t="s">
        <v>5230</v>
      </c>
      <c r="D120" s="83" t="s">
        <v>20</v>
      </c>
      <c r="E120" s="83" t="s">
        <v>88</v>
      </c>
      <c r="F120" s="56" t="s">
        <v>89</v>
      </c>
      <c r="G120" s="498"/>
      <c r="H120" s="83"/>
      <c r="I120" s="352"/>
      <c r="J120" s="497"/>
      <c r="K120" s="496"/>
      <c r="L120" s="496"/>
      <c r="M120" s="144"/>
      <c r="N120" s="144"/>
      <c r="O120" s="144"/>
      <c r="P120" s="144"/>
      <c r="Q120" s="144"/>
      <c r="R120" s="144"/>
      <c r="S120" s="144"/>
      <c r="T120" s="144"/>
      <c r="U120" s="144"/>
      <c r="V120" s="144"/>
      <c r="W120" s="144"/>
      <c r="X120" s="144"/>
      <c r="Y120" s="144"/>
      <c r="Z120" s="144"/>
      <c r="AA120" s="144"/>
      <c r="AB120" s="144"/>
      <c r="AC120" s="144"/>
      <c r="AD120" s="144"/>
      <c r="AE120" s="144"/>
      <c r="AF120" s="144"/>
    </row>
    <row r="121" ht="16.5" customHeight="1">
      <c r="A121" s="164" t="s">
        <v>5</v>
      </c>
      <c r="E121" s="83" t="s">
        <v>21</v>
      </c>
      <c r="F121" s="56" t="s">
        <v>51</v>
      </c>
      <c r="G121" s="495" t="s">
        <v>5231</v>
      </c>
      <c r="H121" s="56" t="s">
        <v>51</v>
      </c>
      <c r="L121" s="496"/>
      <c r="M121" s="144"/>
      <c r="N121" s="144"/>
      <c r="O121" s="144"/>
      <c r="P121" s="144"/>
      <c r="Q121" s="144"/>
      <c r="R121" s="144"/>
      <c r="S121" s="144"/>
      <c r="T121" s="144"/>
      <c r="U121" s="144"/>
      <c r="V121" s="144"/>
      <c r="W121" s="144"/>
      <c r="X121" s="144"/>
      <c r="Y121" s="144"/>
      <c r="Z121" s="144"/>
      <c r="AA121" s="144"/>
      <c r="AB121" s="144"/>
      <c r="AC121" s="144"/>
      <c r="AD121" s="144"/>
      <c r="AE121" s="144"/>
      <c r="AF121" s="144"/>
    </row>
    <row r="122" ht="16.5" customHeight="1">
      <c r="A122" s="164" t="s">
        <v>5</v>
      </c>
      <c r="E122" s="83" t="s">
        <v>88</v>
      </c>
      <c r="F122" s="56" t="s">
        <v>154</v>
      </c>
      <c r="G122" s="495" t="s">
        <v>5232</v>
      </c>
      <c r="H122" s="56" t="s">
        <v>154</v>
      </c>
      <c r="I122" s="497"/>
      <c r="J122" s="497"/>
      <c r="K122" s="496"/>
      <c r="L122" s="496"/>
      <c r="M122" s="144"/>
      <c r="N122" s="144"/>
      <c r="O122" s="144"/>
      <c r="P122" s="144"/>
      <c r="Q122" s="144"/>
      <c r="R122" s="144"/>
      <c r="S122" s="144"/>
      <c r="T122" s="144"/>
      <c r="U122" s="144"/>
      <c r="V122" s="144"/>
      <c r="W122" s="144"/>
      <c r="X122" s="144"/>
      <c r="Y122" s="144"/>
      <c r="Z122" s="144"/>
      <c r="AA122" s="144"/>
      <c r="AB122" s="144"/>
      <c r="AC122" s="144"/>
      <c r="AD122" s="144"/>
      <c r="AE122" s="144"/>
      <c r="AF122" s="144"/>
    </row>
    <row r="123" ht="16.5" customHeight="1">
      <c r="A123" s="164" t="s">
        <v>5</v>
      </c>
      <c r="E123" s="83" t="s">
        <v>88</v>
      </c>
      <c r="F123" s="56" t="s">
        <v>859</v>
      </c>
      <c r="G123" s="495" t="s">
        <v>5233</v>
      </c>
      <c r="H123" s="56" t="s">
        <v>859</v>
      </c>
      <c r="I123" s="497"/>
      <c r="J123" s="497"/>
      <c r="K123" s="496"/>
      <c r="L123" s="496"/>
      <c r="M123" s="144"/>
      <c r="N123" s="144"/>
      <c r="O123" s="144"/>
      <c r="P123" s="144"/>
      <c r="Q123" s="144"/>
      <c r="R123" s="144"/>
      <c r="S123" s="144"/>
      <c r="T123" s="144"/>
      <c r="U123" s="144"/>
      <c r="V123" s="144"/>
      <c r="W123" s="144"/>
      <c r="X123" s="144"/>
      <c r="Y123" s="144"/>
      <c r="Z123" s="144"/>
      <c r="AA123" s="144"/>
      <c r="AB123" s="144"/>
      <c r="AC123" s="144"/>
      <c r="AD123" s="144"/>
      <c r="AE123" s="144"/>
      <c r="AF123" s="144"/>
    </row>
    <row r="124" ht="16.5" customHeight="1">
      <c r="A124" s="164" t="s">
        <v>5</v>
      </c>
      <c r="E124" s="83" t="s">
        <v>88</v>
      </c>
      <c r="F124" s="56" t="s">
        <v>879</v>
      </c>
      <c r="G124" s="495" t="s">
        <v>5234</v>
      </c>
      <c r="H124" s="56" t="s">
        <v>879</v>
      </c>
      <c r="I124" s="497"/>
      <c r="J124" s="497"/>
      <c r="K124" s="496"/>
      <c r="L124" s="496"/>
      <c r="M124" s="144"/>
      <c r="N124" s="144"/>
      <c r="O124" s="144"/>
      <c r="P124" s="144"/>
      <c r="Q124" s="144"/>
      <c r="R124" s="144"/>
      <c r="S124" s="144"/>
      <c r="T124" s="144"/>
      <c r="U124" s="144"/>
      <c r="V124" s="144"/>
      <c r="W124" s="144"/>
      <c r="X124" s="144"/>
      <c r="Y124" s="144"/>
      <c r="Z124" s="144"/>
      <c r="AA124" s="144"/>
      <c r="AB124" s="144"/>
      <c r="AC124" s="144"/>
      <c r="AD124" s="144"/>
      <c r="AE124" s="144"/>
      <c r="AF124" s="144"/>
    </row>
    <row r="125" ht="16.5" customHeight="1">
      <c r="A125" s="164" t="s">
        <v>5</v>
      </c>
      <c r="E125" s="83" t="s">
        <v>88</v>
      </c>
      <c r="F125" s="56" t="s">
        <v>877</v>
      </c>
      <c r="G125" s="495" t="s">
        <v>5235</v>
      </c>
      <c r="H125" s="56" t="s">
        <v>877</v>
      </c>
      <c r="I125" s="497"/>
      <c r="J125" s="497"/>
      <c r="K125" s="496"/>
      <c r="L125" s="496"/>
      <c r="M125" s="144"/>
      <c r="N125" s="144"/>
      <c r="O125" s="144"/>
      <c r="P125" s="144"/>
      <c r="Q125" s="144"/>
      <c r="R125" s="144"/>
      <c r="S125" s="144"/>
      <c r="T125" s="144"/>
      <c r="U125" s="144"/>
      <c r="V125" s="144"/>
      <c r="W125" s="144"/>
      <c r="X125" s="144"/>
      <c r="Y125" s="144"/>
      <c r="Z125" s="144"/>
      <c r="AA125" s="144"/>
      <c r="AB125" s="144"/>
      <c r="AC125" s="144"/>
      <c r="AD125" s="144"/>
      <c r="AE125" s="144"/>
      <c r="AF125" s="144"/>
    </row>
    <row r="126" ht="16.5" customHeight="1">
      <c r="A126" s="164" t="s">
        <v>5</v>
      </c>
      <c r="E126" s="83" t="s">
        <v>88</v>
      </c>
      <c r="F126" s="56" t="s">
        <v>881</v>
      </c>
      <c r="G126" s="495" t="s">
        <v>5236</v>
      </c>
      <c r="H126" s="56" t="s">
        <v>881</v>
      </c>
      <c r="I126" s="497"/>
      <c r="J126" s="497"/>
      <c r="K126" s="496"/>
      <c r="L126" s="496"/>
      <c r="M126" s="144"/>
      <c r="N126" s="144"/>
      <c r="O126" s="144"/>
      <c r="P126" s="144"/>
      <c r="Q126" s="144"/>
      <c r="R126" s="144"/>
      <c r="S126" s="144"/>
      <c r="T126" s="144"/>
      <c r="U126" s="144"/>
      <c r="V126" s="144"/>
      <c r="W126" s="144"/>
      <c r="X126" s="144"/>
      <c r="Y126" s="144"/>
      <c r="Z126" s="144"/>
      <c r="AA126" s="144"/>
      <c r="AB126" s="144"/>
      <c r="AC126" s="144"/>
      <c r="AD126" s="144"/>
      <c r="AE126" s="144"/>
      <c r="AF126" s="144"/>
    </row>
    <row r="127" ht="16.5" customHeight="1">
      <c r="A127" s="164" t="s">
        <v>5</v>
      </c>
      <c r="E127" s="83" t="s">
        <v>88</v>
      </c>
      <c r="F127" s="56" t="s">
        <v>870</v>
      </c>
      <c r="G127" s="495" t="s">
        <v>5237</v>
      </c>
      <c r="H127" s="56" t="s">
        <v>870</v>
      </c>
      <c r="I127" s="497"/>
      <c r="J127" s="497"/>
      <c r="K127" s="496"/>
      <c r="L127" s="496"/>
      <c r="M127" s="144"/>
      <c r="N127" s="144"/>
      <c r="O127" s="144"/>
      <c r="P127" s="144"/>
      <c r="Q127" s="144"/>
      <c r="R127" s="144"/>
      <c r="S127" s="144"/>
      <c r="T127" s="144"/>
      <c r="U127" s="144"/>
      <c r="V127" s="144"/>
      <c r="W127" s="144"/>
      <c r="X127" s="144"/>
      <c r="Y127" s="144"/>
      <c r="Z127" s="144"/>
      <c r="AA127" s="144"/>
      <c r="AB127" s="144"/>
      <c r="AC127" s="144"/>
      <c r="AD127" s="144"/>
      <c r="AE127" s="144"/>
      <c r="AF127" s="144"/>
    </row>
    <row r="128" ht="16.5" customHeight="1">
      <c r="A128" s="164" t="s">
        <v>5</v>
      </c>
      <c r="E128" s="83" t="s">
        <v>88</v>
      </c>
      <c r="F128" s="56" t="s">
        <v>881</v>
      </c>
      <c r="G128" s="495" t="s">
        <v>5238</v>
      </c>
      <c r="H128" s="35" t="s">
        <v>4399</v>
      </c>
      <c r="I128" s="36"/>
      <c r="L128" s="496"/>
      <c r="M128" s="144"/>
      <c r="N128" s="144"/>
      <c r="O128" s="144"/>
      <c r="P128" s="144"/>
      <c r="Q128" s="144"/>
      <c r="R128" s="144"/>
      <c r="S128" s="144"/>
      <c r="T128" s="144"/>
      <c r="U128" s="144"/>
      <c r="V128" s="144"/>
      <c r="W128" s="144"/>
      <c r="X128" s="144"/>
      <c r="Y128" s="144"/>
      <c r="Z128" s="144"/>
      <c r="AA128" s="144"/>
      <c r="AB128" s="144"/>
      <c r="AC128" s="144"/>
      <c r="AD128" s="144"/>
      <c r="AE128" s="144"/>
      <c r="AF128" s="144"/>
    </row>
    <row r="129" ht="16.5" customHeight="1">
      <c r="A129" s="164" t="s">
        <v>5</v>
      </c>
      <c r="E129" s="83" t="s">
        <v>88</v>
      </c>
      <c r="F129" s="56" t="s">
        <v>870</v>
      </c>
      <c r="G129" s="495" t="s">
        <v>5239</v>
      </c>
      <c r="H129" s="35" t="s">
        <v>4369</v>
      </c>
      <c r="I129" s="36"/>
      <c r="L129" s="496"/>
      <c r="M129" s="144"/>
      <c r="N129" s="144"/>
      <c r="O129" s="144"/>
      <c r="P129" s="144"/>
      <c r="Q129" s="144"/>
      <c r="R129" s="144"/>
      <c r="S129" s="144"/>
      <c r="T129" s="144"/>
      <c r="U129" s="144"/>
      <c r="V129" s="144"/>
      <c r="W129" s="144"/>
      <c r="X129" s="144"/>
      <c r="Y129" s="144"/>
      <c r="Z129" s="144"/>
      <c r="AA129" s="144"/>
      <c r="AB129" s="144"/>
      <c r="AC129" s="144"/>
      <c r="AD129" s="144"/>
      <c r="AE129" s="144"/>
      <c r="AF129" s="144"/>
    </row>
    <row r="130" ht="16.5" customHeight="1">
      <c r="A130" s="164" t="s">
        <v>5</v>
      </c>
      <c r="E130" s="8" t="s">
        <v>88</v>
      </c>
      <c r="F130" s="8" t="s">
        <v>875</v>
      </c>
      <c r="G130" s="495" t="s">
        <v>5240</v>
      </c>
      <c r="H130" s="8" t="s">
        <v>875</v>
      </c>
      <c r="I130" s="9"/>
      <c r="J130" s="497"/>
      <c r="K130" s="496"/>
      <c r="L130" s="496"/>
      <c r="M130" s="144"/>
      <c r="N130" s="144"/>
      <c r="O130" s="144"/>
      <c r="P130" s="144"/>
      <c r="Q130" s="144"/>
      <c r="R130" s="144"/>
      <c r="S130" s="144"/>
      <c r="T130" s="144"/>
      <c r="U130" s="144"/>
      <c r="V130" s="144"/>
      <c r="W130" s="144"/>
      <c r="X130" s="144"/>
      <c r="Y130" s="144"/>
      <c r="Z130" s="144"/>
      <c r="AA130" s="144"/>
      <c r="AB130" s="144"/>
      <c r="AC130" s="144"/>
      <c r="AD130" s="144"/>
      <c r="AE130" s="144"/>
      <c r="AF130" s="144"/>
    </row>
    <row r="131" ht="16.5" customHeight="1">
      <c r="A131" s="164" t="s">
        <v>5</v>
      </c>
      <c r="E131" s="8" t="s">
        <v>88</v>
      </c>
      <c r="F131" s="8" t="s">
        <v>872</v>
      </c>
      <c r="G131" s="495" t="s">
        <v>5241</v>
      </c>
      <c r="H131" s="183" t="s">
        <v>846</v>
      </c>
      <c r="I131" s="119"/>
      <c r="J131" s="497"/>
      <c r="K131" s="496"/>
      <c r="L131" s="496"/>
      <c r="M131" s="144"/>
      <c r="N131" s="144"/>
      <c r="O131" s="144"/>
      <c r="P131" s="144"/>
      <c r="Q131" s="144"/>
      <c r="R131" s="144"/>
      <c r="S131" s="144"/>
      <c r="T131" s="144"/>
      <c r="U131" s="144"/>
      <c r="V131" s="144"/>
      <c r="W131" s="144"/>
      <c r="X131" s="144"/>
      <c r="Y131" s="144"/>
      <c r="Z131" s="144"/>
      <c r="AA131" s="144"/>
      <c r="AB131" s="144"/>
      <c r="AC131" s="144"/>
      <c r="AD131" s="144"/>
      <c r="AE131" s="144"/>
      <c r="AF131" s="144"/>
    </row>
    <row r="132" ht="16.5" customHeight="1">
      <c r="A132" s="164" t="s">
        <v>5</v>
      </c>
      <c r="E132" s="8" t="s">
        <v>88</v>
      </c>
      <c r="F132" s="8" t="s">
        <v>875</v>
      </c>
      <c r="G132" s="495" t="s">
        <v>5242</v>
      </c>
      <c r="H132" s="35" t="s">
        <v>4328</v>
      </c>
      <c r="L132" s="496"/>
      <c r="M132" s="144"/>
      <c r="N132" s="144"/>
      <c r="O132" s="144"/>
      <c r="P132" s="144"/>
      <c r="Q132" s="144"/>
      <c r="R132" s="144"/>
      <c r="S132" s="144"/>
      <c r="T132" s="144"/>
      <c r="U132" s="144"/>
      <c r="V132" s="144"/>
      <c r="W132" s="144"/>
      <c r="X132" s="144"/>
      <c r="Y132" s="144"/>
      <c r="Z132" s="144"/>
      <c r="AA132" s="144"/>
      <c r="AB132" s="144"/>
      <c r="AC132" s="144"/>
      <c r="AD132" s="144"/>
      <c r="AE132" s="144"/>
      <c r="AF132" s="144"/>
    </row>
    <row r="133" ht="16.5" customHeight="1">
      <c r="A133" s="164" t="s">
        <v>5</v>
      </c>
      <c r="E133" s="8" t="s">
        <v>88</v>
      </c>
      <c r="F133" s="8" t="s">
        <v>872</v>
      </c>
      <c r="G133" s="495" t="s">
        <v>5243</v>
      </c>
      <c r="H133" s="35" t="s">
        <v>1075</v>
      </c>
      <c r="L133" s="496"/>
      <c r="M133" s="144"/>
      <c r="N133" s="144"/>
      <c r="O133" s="144"/>
      <c r="P133" s="144"/>
      <c r="Q133" s="144"/>
      <c r="R133" s="144"/>
      <c r="S133" s="144"/>
      <c r="T133" s="144"/>
      <c r="U133" s="144"/>
      <c r="V133" s="144"/>
      <c r="W133" s="144"/>
      <c r="X133" s="144"/>
      <c r="Y133" s="144"/>
      <c r="Z133" s="144"/>
      <c r="AA133" s="144"/>
      <c r="AB133" s="144"/>
      <c r="AC133" s="144"/>
      <c r="AD133" s="144"/>
      <c r="AE133" s="144"/>
      <c r="AF133" s="144"/>
    </row>
    <row r="134" ht="16.5" customHeight="1">
      <c r="A134" s="164" t="s">
        <v>5</v>
      </c>
      <c r="E134" s="83" t="s">
        <v>88</v>
      </c>
      <c r="F134" s="56" t="s">
        <v>869</v>
      </c>
      <c r="G134" s="498"/>
      <c r="H134" s="32"/>
      <c r="I134" s="497"/>
      <c r="J134" s="497"/>
      <c r="K134" s="496"/>
      <c r="L134" s="496"/>
      <c r="M134" s="144"/>
      <c r="N134" s="144"/>
      <c r="O134" s="144"/>
      <c r="P134" s="144"/>
      <c r="Q134" s="144"/>
      <c r="R134" s="144"/>
      <c r="S134" s="144"/>
      <c r="T134" s="144"/>
      <c r="U134" s="144"/>
      <c r="V134" s="144"/>
      <c r="W134" s="144"/>
      <c r="X134" s="144"/>
      <c r="Y134" s="144"/>
      <c r="Z134" s="144"/>
      <c r="AA134" s="144"/>
      <c r="AB134" s="144"/>
      <c r="AC134" s="144"/>
      <c r="AD134" s="144"/>
      <c r="AE134" s="144"/>
      <c r="AF134" s="144"/>
    </row>
    <row r="135" ht="16.5" customHeight="1">
      <c r="A135" s="164" t="s">
        <v>5</v>
      </c>
      <c r="E135" s="83" t="s">
        <v>88</v>
      </c>
      <c r="F135" s="56" t="s">
        <v>120</v>
      </c>
      <c r="G135" s="495" t="s">
        <v>5244</v>
      </c>
      <c r="H135" s="56" t="s">
        <v>120</v>
      </c>
      <c r="I135" s="497"/>
      <c r="J135" s="497"/>
      <c r="K135" s="496"/>
      <c r="L135" s="496"/>
      <c r="M135" s="144"/>
      <c r="N135" s="144"/>
      <c r="O135" s="144"/>
      <c r="P135" s="144"/>
      <c r="Q135" s="144"/>
      <c r="R135" s="144"/>
      <c r="S135" s="144"/>
      <c r="T135" s="144"/>
      <c r="U135" s="144"/>
      <c r="V135" s="144"/>
      <c r="W135" s="144"/>
      <c r="X135" s="144"/>
      <c r="Y135" s="144"/>
      <c r="Z135" s="144"/>
      <c r="AA135" s="144"/>
      <c r="AB135" s="144"/>
      <c r="AC135" s="144"/>
      <c r="AD135" s="144"/>
      <c r="AE135" s="144"/>
      <c r="AF135" s="144"/>
    </row>
    <row r="136" ht="16.5" customHeight="1">
      <c r="A136" s="164" t="s">
        <v>5</v>
      </c>
      <c r="E136" s="83" t="s">
        <v>88</v>
      </c>
      <c r="F136" s="56" t="s">
        <v>544</v>
      </c>
      <c r="G136" s="495" t="s">
        <v>5245</v>
      </c>
      <c r="H136" s="56" t="s">
        <v>544</v>
      </c>
      <c r="I136" s="497"/>
      <c r="J136" s="497"/>
      <c r="K136" s="496"/>
      <c r="L136" s="496"/>
      <c r="M136" s="144"/>
      <c r="N136" s="144"/>
      <c r="O136" s="144"/>
      <c r="P136" s="144"/>
      <c r="Q136" s="144"/>
      <c r="R136" s="144"/>
      <c r="S136" s="144"/>
      <c r="T136" s="144"/>
      <c r="U136" s="144"/>
      <c r="V136" s="144"/>
      <c r="W136" s="144"/>
      <c r="X136" s="144"/>
      <c r="Y136" s="144"/>
      <c r="Z136" s="144"/>
      <c r="AA136" s="144"/>
      <c r="AB136" s="144"/>
      <c r="AC136" s="144"/>
      <c r="AD136" s="144"/>
      <c r="AE136" s="144"/>
      <c r="AF136" s="144"/>
    </row>
    <row r="137" ht="16.5" customHeight="1">
      <c r="A137" s="164" t="s">
        <v>5</v>
      </c>
      <c r="E137" s="83" t="s">
        <v>88</v>
      </c>
      <c r="F137" s="56" t="s">
        <v>247</v>
      </c>
      <c r="G137" s="498"/>
      <c r="H137" s="32"/>
      <c r="I137" s="497"/>
      <c r="J137" s="497"/>
      <c r="K137" s="496"/>
      <c r="L137" s="496"/>
      <c r="M137" s="144"/>
      <c r="N137" s="144"/>
      <c r="O137" s="144"/>
      <c r="P137" s="144"/>
      <c r="Q137" s="144"/>
      <c r="R137" s="144"/>
      <c r="S137" s="144"/>
      <c r="T137" s="144"/>
      <c r="U137" s="144"/>
      <c r="V137" s="144"/>
      <c r="W137" s="144"/>
      <c r="X137" s="144"/>
      <c r="Y137" s="144"/>
      <c r="Z137" s="144"/>
      <c r="AA137" s="144"/>
      <c r="AB137" s="144"/>
      <c r="AC137" s="144"/>
      <c r="AD137" s="144"/>
      <c r="AE137" s="144"/>
      <c r="AF137" s="144"/>
    </row>
    <row r="138" ht="16.5" customHeight="1">
      <c r="A138" s="164" t="s">
        <v>5</v>
      </c>
      <c r="E138" s="83" t="s">
        <v>88</v>
      </c>
      <c r="F138" s="56" t="s">
        <v>95</v>
      </c>
      <c r="G138" s="495" t="s">
        <v>5246</v>
      </c>
      <c r="H138" s="56" t="s">
        <v>95</v>
      </c>
      <c r="I138" s="497"/>
      <c r="J138" s="497"/>
      <c r="K138" s="496"/>
      <c r="L138" s="496"/>
      <c r="M138" s="144"/>
      <c r="N138" s="144"/>
      <c r="O138" s="144"/>
      <c r="P138" s="144"/>
      <c r="Q138" s="144"/>
      <c r="R138" s="144"/>
      <c r="S138" s="144"/>
      <c r="T138" s="144"/>
      <c r="U138" s="144"/>
      <c r="V138" s="144"/>
      <c r="W138" s="144"/>
      <c r="X138" s="144"/>
      <c r="Y138" s="144"/>
      <c r="Z138" s="144"/>
      <c r="AA138" s="144"/>
      <c r="AB138" s="144"/>
      <c r="AC138" s="144"/>
      <c r="AD138" s="144"/>
      <c r="AE138" s="144"/>
      <c r="AF138" s="144"/>
    </row>
    <row r="139" ht="16.5" customHeight="1">
      <c r="A139" s="164" t="s">
        <v>5</v>
      </c>
      <c r="E139" s="83" t="s">
        <v>88</v>
      </c>
      <c r="F139" s="56" t="s">
        <v>96</v>
      </c>
      <c r="G139" s="495" t="s">
        <v>5247</v>
      </c>
      <c r="H139" s="56" t="s">
        <v>96</v>
      </c>
      <c r="I139" s="151"/>
      <c r="J139" s="497"/>
      <c r="K139" s="496"/>
      <c r="L139" s="496"/>
      <c r="M139" s="144"/>
      <c r="N139" s="144"/>
      <c r="O139" s="144"/>
      <c r="P139" s="144"/>
      <c r="Q139" s="144"/>
      <c r="R139" s="144"/>
      <c r="S139" s="144"/>
      <c r="T139" s="144"/>
      <c r="U139" s="144"/>
      <c r="V139" s="144"/>
      <c r="W139" s="144"/>
      <c r="X139" s="144"/>
      <c r="Y139" s="144"/>
      <c r="Z139" s="144"/>
      <c r="AA139" s="144"/>
      <c r="AB139" s="144"/>
      <c r="AC139" s="144"/>
      <c r="AD139" s="144"/>
      <c r="AE139" s="144"/>
      <c r="AF139" s="144"/>
    </row>
    <row r="140" ht="16.5" customHeight="1">
      <c r="A140" s="164" t="s">
        <v>5</v>
      </c>
      <c r="E140" s="83" t="s">
        <v>86</v>
      </c>
      <c r="F140" s="500" t="s">
        <v>90</v>
      </c>
      <c r="G140" s="495" t="s">
        <v>5248</v>
      </c>
      <c r="H140" s="500" t="s">
        <v>90</v>
      </c>
      <c r="I140" s="151"/>
      <c r="J140" s="497"/>
      <c r="K140" s="496"/>
      <c r="L140" s="496"/>
      <c r="M140" s="144"/>
      <c r="N140" s="144"/>
      <c r="O140" s="144"/>
      <c r="P140" s="144"/>
      <c r="Q140" s="144"/>
      <c r="R140" s="144"/>
      <c r="S140" s="144"/>
      <c r="T140" s="144"/>
      <c r="U140" s="144"/>
      <c r="V140" s="144"/>
      <c r="W140" s="144"/>
      <c r="X140" s="144"/>
      <c r="Y140" s="144"/>
      <c r="Z140" s="144"/>
      <c r="AA140" s="144"/>
      <c r="AB140" s="144"/>
      <c r="AC140" s="144"/>
      <c r="AD140" s="144"/>
      <c r="AE140" s="144"/>
      <c r="AF140" s="144"/>
    </row>
    <row r="141" ht="16.5" customHeight="1">
      <c r="A141" s="164" t="s">
        <v>5</v>
      </c>
      <c r="E141" s="83" t="s">
        <v>86</v>
      </c>
      <c r="F141" s="440" t="s">
        <v>91</v>
      </c>
      <c r="G141" s="495" t="s">
        <v>5249</v>
      </c>
      <c r="H141" s="440" t="s">
        <v>91</v>
      </c>
      <c r="I141" s="151"/>
      <c r="J141" s="497"/>
      <c r="K141" s="496"/>
      <c r="L141" s="496"/>
      <c r="M141" s="144"/>
      <c r="N141" s="144"/>
      <c r="O141" s="144"/>
      <c r="P141" s="144"/>
      <c r="Q141" s="144"/>
      <c r="R141" s="144"/>
      <c r="S141" s="144"/>
      <c r="T141" s="144"/>
      <c r="U141" s="144"/>
      <c r="V141" s="144"/>
      <c r="W141" s="144"/>
      <c r="X141" s="144"/>
      <c r="Y141" s="144"/>
      <c r="Z141" s="144"/>
      <c r="AA141" s="144"/>
      <c r="AB141" s="144"/>
      <c r="AC141" s="144"/>
      <c r="AD141" s="144"/>
      <c r="AE141" s="144"/>
      <c r="AF141" s="144"/>
    </row>
    <row r="142" ht="16.5" customHeight="1">
      <c r="A142" s="164" t="s">
        <v>5</v>
      </c>
      <c r="E142" s="83" t="s">
        <v>86</v>
      </c>
      <c r="F142" s="500" t="s">
        <v>338</v>
      </c>
      <c r="G142" s="495" t="s">
        <v>5250</v>
      </c>
      <c r="H142" s="500" t="s">
        <v>338</v>
      </c>
      <c r="I142" s="497"/>
      <c r="J142" s="497"/>
      <c r="K142" s="496"/>
      <c r="L142" s="496"/>
      <c r="M142" s="144"/>
      <c r="N142" s="144"/>
      <c r="O142" s="144"/>
      <c r="P142" s="144"/>
      <c r="Q142" s="144"/>
      <c r="R142" s="144"/>
      <c r="S142" s="144"/>
      <c r="T142" s="144"/>
      <c r="U142" s="144"/>
      <c r="V142" s="144"/>
      <c r="W142" s="144"/>
      <c r="X142" s="144"/>
      <c r="Y142" s="144"/>
      <c r="Z142" s="144"/>
      <c r="AA142" s="144"/>
      <c r="AB142" s="144"/>
      <c r="AC142" s="144"/>
      <c r="AD142" s="144"/>
      <c r="AE142" s="144"/>
      <c r="AF142" s="144"/>
    </row>
    <row r="143" ht="16.5" customHeight="1">
      <c r="A143" s="164" t="s">
        <v>5</v>
      </c>
      <c r="E143" s="83" t="s">
        <v>104</v>
      </c>
      <c r="F143" s="440" t="s">
        <v>250</v>
      </c>
      <c r="G143" s="495" t="s">
        <v>5251</v>
      </c>
      <c r="H143" s="440" t="s">
        <v>250</v>
      </c>
      <c r="I143" s="497"/>
      <c r="J143" s="497"/>
      <c r="K143" s="496"/>
      <c r="L143" s="496"/>
      <c r="M143" s="144"/>
      <c r="N143" s="144"/>
      <c r="O143" s="144"/>
      <c r="P143" s="144"/>
      <c r="Q143" s="144"/>
      <c r="R143" s="144"/>
      <c r="S143" s="144"/>
      <c r="T143" s="144"/>
      <c r="U143" s="144"/>
      <c r="V143" s="144"/>
      <c r="W143" s="144"/>
      <c r="X143" s="144"/>
      <c r="Y143" s="144"/>
      <c r="Z143" s="144"/>
      <c r="AA143" s="144"/>
      <c r="AB143" s="144"/>
      <c r="AC143" s="144"/>
      <c r="AD143" s="144"/>
      <c r="AE143" s="144"/>
      <c r="AF143" s="144"/>
    </row>
    <row r="144" ht="16.5" customHeight="1">
      <c r="A144" s="164" t="s">
        <v>5</v>
      </c>
      <c r="E144" s="83" t="s">
        <v>178</v>
      </c>
      <c r="F144" s="500" t="s">
        <v>209</v>
      </c>
      <c r="G144" s="495" t="s">
        <v>5252</v>
      </c>
      <c r="H144" s="500" t="s">
        <v>209</v>
      </c>
      <c r="I144" s="497"/>
      <c r="J144" s="497"/>
      <c r="K144" s="496"/>
      <c r="L144" s="496"/>
      <c r="M144" s="144"/>
      <c r="N144" s="144"/>
      <c r="O144" s="144"/>
      <c r="P144" s="144"/>
      <c r="Q144" s="144"/>
      <c r="R144" s="144"/>
      <c r="S144" s="144"/>
      <c r="T144" s="144"/>
      <c r="U144" s="144"/>
      <c r="V144" s="144"/>
      <c r="W144" s="144"/>
      <c r="X144" s="144"/>
      <c r="Y144" s="144"/>
      <c r="Z144" s="144"/>
      <c r="AA144" s="144"/>
      <c r="AB144" s="144"/>
      <c r="AC144" s="144"/>
      <c r="AD144" s="144"/>
      <c r="AE144" s="144"/>
      <c r="AF144" s="144"/>
    </row>
    <row r="145" ht="16.5" customHeight="1">
      <c r="A145" s="164" t="s">
        <v>5</v>
      </c>
      <c r="E145" s="83" t="s">
        <v>178</v>
      </c>
      <c r="F145" s="440" t="s">
        <v>210</v>
      </c>
      <c r="G145" s="495" t="s">
        <v>5253</v>
      </c>
      <c r="H145" s="440" t="s">
        <v>210</v>
      </c>
      <c r="I145" s="497"/>
      <c r="J145" s="497"/>
      <c r="K145" s="496"/>
      <c r="L145" s="496"/>
      <c r="M145" s="144"/>
      <c r="N145" s="144"/>
      <c r="O145" s="144"/>
      <c r="P145" s="144"/>
      <c r="Q145" s="144"/>
      <c r="R145" s="144"/>
      <c r="S145" s="144"/>
      <c r="T145" s="144"/>
      <c r="U145" s="144"/>
      <c r="V145" s="144"/>
      <c r="W145" s="144"/>
      <c r="X145" s="144"/>
      <c r="Y145" s="144"/>
      <c r="Z145" s="144"/>
      <c r="AA145" s="144"/>
      <c r="AB145" s="144"/>
      <c r="AC145" s="144"/>
      <c r="AD145" s="144"/>
      <c r="AE145" s="144"/>
      <c r="AF145" s="144"/>
    </row>
    <row r="146" ht="16.5" customHeight="1">
      <c r="A146" s="164" t="s">
        <v>5</v>
      </c>
      <c r="B146" s="56" t="s">
        <v>5254</v>
      </c>
      <c r="C146" s="442" t="s">
        <v>5255</v>
      </c>
      <c r="D146" s="83" t="s">
        <v>20</v>
      </c>
      <c r="E146" s="83" t="s">
        <v>88</v>
      </c>
      <c r="F146" s="56" t="s">
        <v>89</v>
      </c>
      <c r="G146" s="498"/>
      <c r="H146" s="36"/>
      <c r="L146" s="496"/>
      <c r="M146" s="144"/>
      <c r="N146" s="144"/>
      <c r="O146" s="144"/>
      <c r="P146" s="144"/>
      <c r="Q146" s="144"/>
      <c r="R146" s="144"/>
      <c r="S146" s="144"/>
      <c r="T146" s="144"/>
      <c r="U146" s="144"/>
      <c r="V146" s="144"/>
      <c r="W146" s="144"/>
      <c r="X146" s="144"/>
      <c r="Y146" s="144"/>
      <c r="Z146" s="144"/>
      <c r="AA146" s="144"/>
      <c r="AB146" s="144"/>
      <c r="AC146" s="144"/>
      <c r="AD146" s="144"/>
      <c r="AE146" s="144"/>
      <c r="AF146" s="144"/>
    </row>
    <row r="147" ht="16.5" customHeight="1">
      <c r="A147" s="164" t="s">
        <v>5</v>
      </c>
      <c r="E147" s="83" t="s">
        <v>21</v>
      </c>
      <c r="F147" s="56" t="s">
        <v>51</v>
      </c>
      <c r="G147" s="495" t="s">
        <v>5256</v>
      </c>
      <c r="H147" s="56" t="s">
        <v>51</v>
      </c>
      <c r="I147" s="497"/>
      <c r="J147" s="497"/>
      <c r="K147" s="496"/>
      <c r="L147" s="496"/>
      <c r="M147" s="144"/>
      <c r="N147" s="144"/>
      <c r="O147" s="144"/>
      <c r="P147" s="144"/>
      <c r="Q147" s="144"/>
      <c r="R147" s="144"/>
      <c r="S147" s="144"/>
      <c r="T147" s="144"/>
      <c r="U147" s="144"/>
      <c r="V147" s="144"/>
      <c r="W147" s="144"/>
      <c r="X147" s="144"/>
      <c r="Y147" s="144"/>
      <c r="Z147" s="144"/>
      <c r="AA147" s="144"/>
      <c r="AB147" s="144"/>
      <c r="AC147" s="144"/>
      <c r="AD147" s="144"/>
      <c r="AE147" s="144"/>
      <c r="AF147" s="144"/>
    </row>
    <row r="148" ht="16.5" customHeight="1">
      <c r="A148" s="164" t="s">
        <v>5</v>
      </c>
      <c r="E148" s="83" t="s">
        <v>88</v>
      </c>
      <c r="F148" s="56" t="s">
        <v>154</v>
      </c>
      <c r="G148" s="495" t="s">
        <v>5257</v>
      </c>
      <c r="H148" s="56" t="s">
        <v>154</v>
      </c>
      <c r="I148" s="497"/>
      <c r="J148" s="497"/>
      <c r="K148" s="496"/>
      <c r="L148" s="496"/>
      <c r="M148" s="144"/>
      <c r="N148" s="144"/>
      <c r="O148" s="144"/>
      <c r="P148" s="144"/>
      <c r="Q148" s="144"/>
      <c r="R148" s="144"/>
      <c r="S148" s="144"/>
      <c r="T148" s="144"/>
      <c r="U148" s="144"/>
      <c r="V148" s="144"/>
      <c r="W148" s="144"/>
      <c r="X148" s="144"/>
      <c r="Y148" s="144"/>
      <c r="Z148" s="144"/>
      <c r="AA148" s="144"/>
      <c r="AB148" s="144"/>
      <c r="AC148" s="144"/>
      <c r="AD148" s="144"/>
      <c r="AE148" s="144"/>
      <c r="AF148" s="144"/>
    </row>
    <row r="149" ht="16.5" customHeight="1">
      <c r="A149" s="164" t="s">
        <v>5</v>
      </c>
      <c r="E149" s="83" t="s">
        <v>88</v>
      </c>
      <c r="F149" s="56" t="s">
        <v>859</v>
      </c>
      <c r="G149" s="495" t="s">
        <v>5258</v>
      </c>
      <c r="H149" s="56" t="s">
        <v>859</v>
      </c>
      <c r="I149" s="497"/>
      <c r="J149" s="497"/>
      <c r="K149" s="496"/>
      <c r="L149" s="496"/>
      <c r="M149" s="144"/>
      <c r="N149" s="144"/>
      <c r="O149" s="144"/>
      <c r="P149" s="144"/>
      <c r="Q149" s="144"/>
      <c r="R149" s="144"/>
      <c r="S149" s="144"/>
      <c r="T149" s="144"/>
      <c r="U149" s="144"/>
      <c r="V149" s="144"/>
      <c r="W149" s="144"/>
      <c r="X149" s="144"/>
      <c r="Y149" s="144"/>
      <c r="Z149" s="144"/>
      <c r="AA149" s="144"/>
      <c r="AB149" s="144"/>
      <c r="AC149" s="144"/>
      <c r="AD149" s="144"/>
      <c r="AE149" s="144"/>
      <c r="AF149" s="144"/>
    </row>
    <row r="150" ht="16.5" customHeight="1">
      <c r="A150" s="164" t="s">
        <v>5</v>
      </c>
      <c r="E150" s="83" t="s">
        <v>88</v>
      </c>
      <c r="F150" s="56" t="s">
        <v>879</v>
      </c>
      <c r="G150" s="495" t="s">
        <v>5259</v>
      </c>
      <c r="H150" s="56" t="s">
        <v>879</v>
      </c>
      <c r="I150" s="352"/>
      <c r="J150" s="497"/>
      <c r="K150" s="496"/>
      <c r="L150" s="496"/>
      <c r="M150" s="144"/>
      <c r="N150" s="144"/>
      <c r="O150" s="144"/>
      <c r="P150" s="144"/>
      <c r="Q150" s="144"/>
      <c r="R150" s="144"/>
      <c r="S150" s="144"/>
      <c r="T150" s="144"/>
      <c r="U150" s="144"/>
      <c r="V150" s="144"/>
      <c r="W150" s="144"/>
      <c r="X150" s="144"/>
      <c r="Y150" s="144"/>
      <c r="Z150" s="144"/>
      <c r="AA150" s="144"/>
      <c r="AB150" s="144"/>
      <c r="AC150" s="144"/>
      <c r="AD150" s="144"/>
      <c r="AE150" s="144"/>
      <c r="AF150" s="144"/>
    </row>
    <row r="151" ht="16.5" customHeight="1">
      <c r="A151" s="164" t="s">
        <v>5</v>
      </c>
      <c r="E151" s="83" t="s">
        <v>88</v>
      </c>
      <c r="F151" s="56" t="s">
        <v>877</v>
      </c>
      <c r="G151" s="495" t="s">
        <v>5260</v>
      </c>
      <c r="H151" s="56" t="s">
        <v>877</v>
      </c>
      <c r="I151" s="352"/>
      <c r="J151" s="497"/>
      <c r="K151" s="496"/>
      <c r="L151" s="496"/>
      <c r="M151" s="144"/>
      <c r="N151" s="144"/>
      <c r="O151" s="144"/>
      <c r="P151" s="144"/>
      <c r="Q151" s="144"/>
      <c r="R151" s="144"/>
      <c r="S151" s="144"/>
      <c r="T151" s="144"/>
      <c r="U151" s="144"/>
      <c r="V151" s="144"/>
      <c r="W151" s="144"/>
      <c r="X151" s="144"/>
      <c r="Y151" s="144"/>
      <c r="Z151" s="144"/>
      <c r="AA151" s="144"/>
      <c r="AB151" s="144"/>
      <c r="AC151" s="144"/>
      <c r="AD151" s="144"/>
      <c r="AE151" s="144"/>
      <c r="AF151" s="144"/>
    </row>
    <row r="152" ht="16.5" customHeight="1">
      <c r="A152" s="164" t="s">
        <v>5</v>
      </c>
      <c r="E152" s="83" t="s">
        <v>88</v>
      </c>
      <c r="F152" s="56" t="s">
        <v>881</v>
      </c>
      <c r="G152" s="495" t="s">
        <v>5261</v>
      </c>
      <c r="H152" s="56" t="s">
        <v>881</v>
      </c>
      <c r="I152" s="352"/>
      <c r="J152" s="497"/>
      <c r="K152" s="496"/>
      <c r="L152" s="496"/>
      <c r="M152" s="144"/>
      <c r="N152" s="144"/>
      <c r="O152" s="144"/>
      <c r="P152" s="144"/>
      <c r="Q152" s="144"/>
      <c r="R152" s="144"/>
      <c r="S152" s="144"/>
      <c r="T152" s="144"/>
      <c r="U152" s="144"/>
      <c r="V152" s="144"/>
      <c r="W152" s="144"/>
      <c r="X152" s="144"/>
      <c r="Y152" s="144"/>
      <c r="Z152" s="144"/>
      <c r="AA152" s="144"/>
      <c r="AB152" s="144"/>
      <c r="AC152" s="144"/>
      <c r="AD152" s="144"/>
      <c r="AE152" s="144"/>
      <c r="AF152" s="144"/>
    </row>
    <row r="153" ht="16.5" customHeight="1">
      <c r="A153" s="164" t="s">
        <v>5</v>
      </c>
      <c r="E153" s="83" t="s">
        <v>88</v>
      </c>
      <c r="F153" s="56" t="s">
        <v>870</v>
      </c>
      <c r="G153" s="495" t="s">
        <v>5262</v>
      </c>
      <c r="H153" s="56" t="s">
        <v>870</v>
      </c>
      <c r="I153" s="151"/>
      <c r="J153" s="497"/>
      <c r="K153" s="496"/>
      <c r="L153" s="496"/>
      <c r="M153" s="144"/>
      <c r="N153" s="144"/>
      <c r="O153" s="144"/>
      <c r="P153" s="144"/>
      <c r="Q153" s="144"/>
      <c r="R153" s="144"/>
      <c r="S153" s="144"/>
      <c r="T153" s="144"/>
      <c r="U153" s="144"/>
      <c r="V153" s="144"/>
      <c r="W153" s="144"/>
      <c r="X153" s="144"/>
      <c r="Y153" s="144"/>
      <c r="Z153" s="144"/>
      <c r="AA153" s="144"/>
      <c r="AB153" s="144"/>
      <c r="AC153" s="144"/>
      <c r="AD153" s="144"/>
      <c r="AE153" s="144"/>
      <c r="AF153" s="144"/>
    </row>
    <row r="154" ht="16.5" customHeight="1">
      <c r="A154" s="164" t="s">
        <v>5</v>
      </c>
      <c r="E154" s="83" t="s">
        <v>88</v>
      </c>
      <c r="F154" s="56" t="s">
        <v>881</v>
      </c>
      <c r="G154" s="495" t="s">
        <v>5263</v>
      </c>
      <c r="H154" s="35" t="s">
        <v>4399</v>
      </c>
      <c r="L154" s="496"/>
      <c r="M154" s="144"/>
      <c r="N154" s="144"/>
      <c r="O154" s="144"/>
      <c r="P154" s="144"/>
      <c r="Q154" s="144"/>
      <c r="R154" s="144"/>
      <c r="S154" s="144"/>
      <c r="T154" s="144"/>
      <c r="U154" s="144"/>
      <c r="V154" s="144"/>
      <c r="W154" s="144"/>
      <c r="X154" s="144"/>
      <c r="Y154" s="144"/>
      <c r="Z154" s="144"/>
      <c r="AA154" s="144"/>
      <c r="AB154" s="144"/>
      <c r="AC154" s="144"/>
      <c r="AD154" s="144"/>
      <c r="AE154" s="144"/>
      <c r="AF154" s="144"/>
    </row>
    <row r="155" ht="16.5" customHeight="1">
      <c r="A155" s="164" t="s">
        <v>5</v>
      </c>
      <c r="E155" s="83" t="s">
        <v>88</v>
      </c>
      <c r="F155" s="56" t="s">
        <v>870</v>
      </c>
      <c r="G155" s="495" t="s">
        <v>5264</v>
      </c>
      <c r="H155" s="35" t="s">
        <v>4369</v>
      </c>
      <c r="L155" s="496"/>
      <c r="M155" s="144"/>
      <c r="N155" s="144"/>
      <c r="O155" s="144"/>
      <c r="P155" s="144"/>
      <c r="Q155" s="144"/>
      <c r="R155" s="144"/>
      <c r="S155" s="144"/>
      <c r="T155" s="144"/>
      <c r="U155" s="144"/>
      <c r="V155" s="144"/>
      <c r="W155" s="144"/>
      <c r="X155" s="144"/>
      <c r="Y155" s="144"/>
      <c r="Z155" s="144"/>
      <c r="AA155" s="144"/>
      <c r="AB155" s="144"/>
      <c r="AC155" s="144"/>
      <c r="AD155" s="144"/>
      <c r="AE155" s="144"/>
      <c r="AF155" s="144"/>
    </row>
    <row r="156" ht="16.5" customHeight="1">
      <c r="A156" s="164" t="s">
        <v>5</v>
      </c>
      <c r="E156" s="83" t="s">
        <v>88</v>
      </c>
      <c r="F156" s="56" t="s">
        <v>869</v>
      </c>
      <c r="G156" s="544"/>
      <c r="H156" s="8"/>
      <c r="I156" s="497"/>
      <c r="J156" s="497"/>
      <c r="K156" s="496"/>
      <c r="L156" s="496"/>
      <c r="M156" s="144"/>
      <c r="N156" s="144"/>
      <c r="O156" s="144"/>
      <c r="P156" s="144"/>
      <c r="Q156" s="144"/>
      <c r="R156" s="144"/>
      <c r="S156" s="144"/>
      <c r="T156" s="144"/>
      <c r="U156" s="144"/>
      <c r="V156" s="144"/>
      <c r="W156" s="144"/>
      <c r="X156" s="144"/>
      <c r="Y156" s="144"/>
      <c r="Z156" s="144"/>
      <c r="AA156" s="144"/>
      <c r="AB156" s="144"/>
      <c r="AC156" s="144"/>
      <c r="AD156" s="144"/>
      <c r="AE156" s="144"/>
      <c r="AF156" s="144"/>
    </row>
    <row r="157" ht="16.5" customHeight="1">
      <c r="A157" s="164" t="s">
        <v>5</v>
      </c>
      <c r="E157" s="83" t="s">
        <v>88</v>
      </c>
      <c r="F157" s="56" t="s">
        <v>120</v>
      </c>
      <c r="G157" s="502" t="s">
        <v>5265</v>
      </c>
      <c r="H157" s="56" t="s">
        <v>120</v>
      </c>
      <c r="I157" s="497"/>
      <c r="J157" s="497"/>
      <c r="K157" s="496"/>
      <c r="L157" s="496"/>
      <c r="M157" s="144"/>
      <c r="N157" s="144"/>
      <c r="O157" s="144"/>
      <c r="P157" s="144"/>
      <c r="Q157" s="144"/>
      <c r="R157" s="144"/>
      <c r="S157" s="144"/>
      <c r="T157" s="144"/>
      <c r="U157" s="144"/>
      <c r="V157" s="144"/>
      <c r="W157" s="144"/>
      <c r="X157" s="144"/>
      <c r="Y157" s="144"/>
      <c r="Z157" s="144"/>
      <c r="AA157" s="144"/>
      <c r="AB157" s="144"/>
      <c r="AC157" s="144"/>
      <c r="AD157" s="144"/>
      <c r="AE157" s="144"/>
      <c r="AF157" s="144"/>
    </row>
    <row r="158" ht="16.5" customHeight="1">
      <c r="A158" s="164" t="s">
        <v>5</v>
      </c>
      <c r="E158" s="83" t="s">
        <v>88</v>
      </c>
      <c r="F158" s="56" t="s">
        <v>544</v>
      </c>
      <c r="G158" s="502" t="s">
        <v>5266</v>
      </c>
      <c r="H158" s="56" t="s">
        <v>544</v>
      </c>
      <c r="I158" s="497"/>
      <c r="J158" s="497"/>
      <c r="K158" s="496"/>
      <c r="L158" s="496"/>
      <c r="M158" s="144"/>
      <c r="N158" s="144"/>
      <c r="O158" s="144"/>
      <c r="P158" s="144"/>
      <c r="Q158" s="144"/>
      <c r="R158" s="144"/>
      <c r="S158" s="144"/>
      <c r="T158" s="144"/>
      <c r="U158" s="144"/>
      <c r="V158" s="144"/>
      <c r="W158" s="144"/>
      <c r="X158" s="144"/>
      <c r="Y158" s="144"/>
      <c r="Z158" s="144"/>
      <c r="AA158" s="144"/>
      <c r="AB158" s="144"/>
      <c r="AC158" s="144"/>
      <c r="AD158" s="144"/>
      <c r="AE158" s="144"/>
      <c r="AF158" s="144"/>
    </row>
    <row r="159" ht="16.5" customHeight="1">
      <c r="A159" s="164" t="s">
        <v>5</v>
      </c>
      <c r="E159" s="83" t="s">
        <v>88</v>
      </c>
      <c r="F159" s="56" t="s">
        <v>247</v>
      </c>
      <c r="G159" s="544"/>
      <c r="H159" s="151"/>
      <c r="I159" s="151"/>
      <c r="J159" s="497"/>
      <c r="K159" s="496"/>
      <c r="L159" s="496"/>
      <c r="M159" s="144"/>
      <c r="N159" s="144"/>
      <c r="O159" s="144"/>
      <c r="P159" s="144"/>
      <c r="Q159" s="144"/>
      <c r="R159" s="144"/>
      <c r="S159" s="144"/>
      <c r="T159" s="144"/>
      <c r="U159" s="144"/>
      <c r="V159" s="144"/>
      <c r="W159" s="144"/>
      <c r="X159" s="144"/>
      <c r="Y159" s="144"/>
      <c r="Z159" s="144"/>
      <c r="AA159" s="144"/>
      <c r="AB159" s="144"/>
      <c r="AC159" s="144"/>
      <c r="AD159" s="144"/>
      <c r="AE159" s="144"/>
      <c r="AF159" s="144"/>
    </row>
    <row r="160" ht="16.5" customHeight="1">
      <c r="A160" s="164" t="s">
        <v>5</v>
      </c>
      <c r="E160" s="83" t="s">
        <v>88</v>
      </c>
      <c r="F160" s="56" t="s">
        <v>95</v>
      </c>
      <c r="G160" s="502" t="s">
        <v>5267</v>
      </c>
      <c r="H160" s="56" t="s">
        <v>95</v>
      </c>
      <c r="I160" s="497"/>
      <c r="J160" s="497"/>
      <c r="K160" s="496"/>
      <c r="L160" s="496"/>
      <c r="M160" s="144"/>
      <c r="N160" s="144"/>
      <c r="O160" s="144"/>
      <c r="P160" s="144"/>
      <c r="Q160" s="144"/>
      <c r="R160" s="144"/>
      <c r="S160" s="144"/>
      <c r="T160" s="144"/>
      <c r="U160" s="144"/>
      <c r="V160" s="144"/>
      <c r="W160" s="144"/>
      <c r="X160" s="144"/>
      <c r="Y160" s="144"/>
      <c r="Z160" s="144"/>
      <c r="AA160" s="144"/>
      <c r="AB160" s="144"/>
      <c r="AC160" s="144"/>
      <c r="AD160" s="144"/>
      <c r="AE160" s="144"/>
      <c r="AF160" s="144"/>
    </row>
    <row r="161" ht="16.5" customHeight="1">
      <c r="A161" s="164" t="s">
        <v>5</v>
      </c>
      <c r="E161" s="83" t="s">
        <v>88</v>
      </c>
      <c r="F161" s="56" t="s">
        <v>96</v>
      </c>
      <c r="G161" s="495" t="s">
        <v>5268</v>
      </c>
      <c r="H161" s="56" t="s">
        <v>96</v>
      </c>
      <c r="I161" s="497"/>
      <c r="J161" s="497"/>
      <c r="K161" s="496"/>
      <c r="L161" s="496"/>
      <c r="M161" s="144"/>
      <c r="N161" s="144"/>
      <c r="O161" s="144"/>
      <c r="P161" s="144"/>
      <c r="Q161" s="144"/>
      <c r="R161" s="144"/>
      <c r="S161" s="144"/>
      <c r="T161" s="144"/>
      <c r="U161" s="144"/>
      <c r="V161" s="144"/>
      <c r="W161" s="144"/>
      <c r="X161" s="144"/>
      <c r="Y161" s="144"/>
      <c r="Z161" s="144"/>
      <c r="AA161" s="144"/>
      <c r="AB161" s="144"/>
      <c r="AC161" s="144"/>
      <c r="AD161" s="144"/>
      <c r="AE161" s="144"/>
      <c r="AF161" s="144"/>
    </row>
    <row r="162" ht="16.5" customHeight="1">
      <c r="A162" s="164" t="s">
        <v>5</v>
      </c>
      <c r="E162" s="83" t="s">
        <v>88</v>
      </c>
      <c r="F162" s="440" t="s">
        <v>122</v>
      </c>
      <c r="G162" s="495" t="s">
        <v>5269</v>
      </c>
      <c r="H162" s="440" t="s">
        <v>122</v>
      </c>
      <c r="J162" s="497"/>
      <c r="K162" s="496"/>
      <c r="L162" s="496"/>
      <c r="M162" s="144"/>
      <c r="N162" s="144"/>
      <c r="O162" s="144"/>
      <c r="P162" s="144"/>
      <c r="Q162" s="144"/>
      <c r="R162" s="144"/>
      <c r="S162" s="144"/>
      <c r="T162" s="144"/>
      <c r="U162" s="144"/>
      <c r="V162" s="144"/>
      <c r="W162" s="144"/>
      <c r="X162" s="144"/>
      <c r="Y162" s="144"/>
      <c r="Z162" s="144"/>
      <c r="AA162" s="144"/>
      <c r="AB162" s="144"/>
      <c r="AC162" s="144"/>
      <c r="AD162" s="144"/>
      <c r="AE162" s="144"/>
      <c r="AF162" s="144"/>
    </row>
    <row r="163" ht="16.5" customHeight="1">
      <c r="A163" s="164" t="s">
        <v>5</v>
      </c>
      <c r="E163" s="83" t="s">
        <v>86</v>
      </c>
      <c r="F163" s="500" t="s">
        <v>90</v>
      </c>
      <c r="G163" s="495" t="s">
        <v>5270</v>
      </c>
      <c r="H163" s="500" t="s">
        <v>90</v>
      </c>
      <c r="I163" s="497"/>
      <c r="J163" s="497"/>
      <c r="K163" s="496"/>
      <c r="L163" s="496"/>
      <c r="M163" s="144"/>
      <c r="N163" s="144"/>
      <c r="O163" s="144"/>
      <c r="P163" s="144"/>
      <c r="Q163" s="144"/>
      <c r="R163" s="144"/>
      <c r="S163" s="144"/>
      <c r="T163" s="144"/>
      <c r="U163" s="144"/>
      <c r="V163" s="144"/>
      <c r="W163" s="144"/>
      <c r="X163" s="144"/>
      <c r="Y163" s="144"/>
      <c r="Z163" s="144"/>
      <c r="AA163" s="144"/>
      <c r="AB163" s="144"/>
      <c r="AC163" s="144"/>
      <c r="AD163" s="144"/>
      <c r="AE163" s="144"/>
      <c r="AF163" s="144"/>
    </row>
    <row r="164" ht="16.5" customHeight="1">
      <c r="A164" s="164" t="s">
        <v>5</v>
      </c>
      <c r="E164" s="83" t="s">
        <v>86</v>
      </c>
      <c r="F164" s="440" t="s">
        <v>91</v>
      </c>
      <c r="G164" s="495" t="s">
        <v>5271</v>
      </c>
      <c r="H164" s="440" t="s">
        <v>91</v>
      </c>
      <c r="I164" s="497"/>
      <c r="J164" s="497"/>
      <c r="K164" s="496"/>
      <c r="L164" s="496"/>
      <c r="M164" s="144"/>
      <c r="N164" s="144"/>
      <c r="O164" s="144"/>
      <c r="P164" s="144"/>
      <c r="Q164" s="144"/>
      <c r="R164" s="144"/>
      <c r="S164" s="144"/>
      <c r="T164" s="144"/>
      <c r="U164" s="144"/>
      <c r="V164" s="144"/>
      <c r="W164" s="144"/>
      <c r="X164" s="144"/>
      <c r="Y164" s="144"/>
      <c r="Z164" s="144"/>
      <c r="AA164" s="144"/>
      <c r="AB164" s="144"/>
      <c r="AC164" s="144"/>
      <c r="AD164" s="144"/>
      <c r="AE164" s="144"/>
      <c r="AF164" s="144"/>
    </row>
    <row r="165" ht="16.5" customHeight="1">
      <c r="A165" s="164" t="s">
        <v>5</v>
      </c>
      <c r="E165" s="83" t="s">
        <v>86</v>
      </c>
      <c r="F165" s="500" t="s">
        <v>338</v>
      </c>
      <c r="G165" s="495" t="s">
        <v>5272</v>
      </c>
      <c r="H165" s="500" t="s">
        <v>338</v>
      </c>
      <c r="I165" s="497"/>
      <c r="J165" s="497"/>
      <c r="K165" s="496"/>
      <c r="L165" s="496"/>
      <c r="M165" s="144"/>
      <c r="N165" s="144"/>
      <c r="O165" s="144"/>
      <c r="P165" s="144"/>
      <c r="Q165" s="144"/>
      <c r="R165" s="144"/>
      <c r="S165" s="144"/>
      <c r="T165" s="144"/>
      <c r="U165" s="144"/>
      <c r="V165" s="144"/>
      <c r="W165" s="144"/>
      <c r="X165" s="144"/>
      <c r="Y165" s="144"/>
      <c r="Z165" s="144"/>
      <c r="AA165" s="144"/>
      <c r="AB165" s="144"/>
      <c r="AC165" s="144"/>
      <c r="AD165" s="144"/>
      <c r="AE165" s="144"/>
      <c r="AF165" s="144"/>
    </row>
    <row r="166" ht="16.5" customHeight="1">
      <c r="A166" s="164" t="s">
        <v>5</v>
      </c>
      <c r="E166" s="83" t="s">
        <v>104</v>
      </c>
      <c r="F166" s="440" t="s">
        <v>250</v>
      </c>
      <c r="G166" s="495" t="s">
        <v>5273</v>
      </c>
      <c r="H166" s="440" t="s">
        <v>250</v>
      </c>
      <c r="I166" s="497"/>
      <c r="J166" s="497"/>
      <c r="K166" s="496"/>
      <c r="L166" s="496"/>
      <c r="M166" s="144"/>
      <c r="N166" s="144"/>
      <c r="O166" s="144"/>
      <c r="P166" s="144"/>
      <c r="Q166" s="144"/>
      <c r="R166" s="144"/>
      <c r="S166" s="144"/>
      <c r="T166" s="144"/>
      <c r="U166" s="144"/>
      <c r="V166" s="144"/>
      <c r="W166" s="144"/>
      <c r="X166" s="144"/>
      <c r="Y166" s="144"/>
      <c r="Z166" s="144"/>
      <c r="AA166" s="144"/>
      <c r="AB166" s="144"/>
      <c r="AC166" s="144"/>
      <c r="AD166" s="144"/>
      <c r="AE166" s="144"/>
      <c r="AF166" s="144"/>
    </row>
    <row r="167" ht="16.5" customHeight="1">
      <c r="A167" s="164" t="s">
        <v>5</v>
      </c>
      <c r="E167" s="83" t="s">
        <v>178</v>
      </c>
      <c r="F167" s="500" t="s">
        <v>209</v>
      </c>
      <c r="G167" s="495" t="s">
        <v>5274</v>
      </c>
      <c r="H167" s="500" t="s">
        <v>209</v>
      </c>
      <c r="I167" s="497"/>
      <c r="J167" s="497"/>
      <c r="K167" s="496"/>
      <c r="L167" s="496"/>
      <c r="M167" s="144"/>
      <c r="N167" s="144"/>
      <c r="O167" s="144"/>
      <c r="P167" s="144"/>
      <c r="Q167" s="144"/>
      <c r="R167" s="144"/>
      <c r="S167" s="144"/>
      <c r="T167" s="144"/>
      <c r="U167" s="144"/>
      <c r="V167" s="144"/>
      <c r="W167" s="144"/>
      <c r="X167" s="144"/>
      <c r="Y167" s="144"/>
      <c r="Z167" s="144"/>
      <c r="AA167" s="144"/>
      <c r="AB167" s="144"/>
      <c r="AC167" s="144"/>
      <c r="AD167" s="144"/>
      <c r="AE167" s="144"/>
      <c r="AF167" s="144"/>
    </row>
    <row r="168" ht="16.5" customHeight="1">
      <c r="A168" s="164" t="s">
        <v>5</v>
      </c>
      <c r="E168" s="83" t="s">
        <v>178</v>
      </c>
      <c r="F168" s="440" t="s">
        <v>210</v>
      </c>
      <c r="G168" s="495" t="s">
        <v>5275</v>
      </c>
      <c r="H168" s="440" t="s">
        <v>210</v>
      </c>
      <c r="I168" s="497"/>
      <c r="J168" s="497"/>
      <c r="K168" s="496"/>
      <c r="L168" s="496"/>
      <c r="M168" s="144"/>
      <c r="N168" s="144"/>
      <c r="O168" s="144"/>
      <c r="P168" s="144"/>
      <c r="Q168" s="144"/>
      <c r="R168" s="144"/>
      <c r="S168" s="144"/>
      <c r="T168" s="144"/>
      <c r="U168" s="144"/>
      <c r="V168" s="144"/>
      <c r="W168" s="144"/>
      <c r="X168" s="144"/>
      <c r="Y168" s="144"/>
      <c r="Z168" s="144"/>
      <c r="AA168" s="144"/>
      <c r="AB168" s="144"/>
      <c r="AC168" s="144"/>
      <c r="AD168" s="144"/>
      <c r="AE168" s="144"/>
      <c r="AF168" s="144"/>
    </row>
    <row r="169" ht="16.5" customHeight="1">
      <c r="A169" s="164" t="s">
        <v>5</v>
      </c>
      <c r="B169" s="56" t="s">
        <v>5276</v>
      </c>
      <c r="C169" s="57" t="s">
        <v>5277</v>
      </c>
      <c r="D169" s="83" t="s">
        <v>20</v>
      </c>
      <c r="E169" s="83" t="s">
        <v>88</v>
      </c>
      <c r="F169" s="56" t="s">
        <v>89</v>
      </c>
      <c r="G169" s="504"/>
      <c r="H169" s="36"/>
      <c r="L169" s="496"/>
      <c r="M169" s="144"/>
      <c r="N169" s="144"/>
      <c r="O169" s="144"/>
      <c r="P169" s="144"/>
      <c r="Q169" s="144"/>
      <c r="R169" s="144"/>
      <c r="S169" s="144"/>
      <c r="T169" s="144"/>
      <c r="U169" s="144"/>
      <c r="V169" s="144"/>
      <c r="W169" s="144"/>
      <c r="X169" s="144"/>
      <c r="Y169" s="144"/>
      <c r="Z169" s="144"/>
      <c r="AA169" s="144"/>
      <c r="AB169" s="144"/>
      <c r="AC169" s="144"/>
      <c r="AD169" s="144"/>
      <c r="AE169" s="144"/>
      <c r="AF169" s="144"/>
    </row>
    <row r="170" ht="16.5" customHeight="1">
      <c r="A170" s="164" t="s">
        <v>5</v>
      </c>
      <c r="E170" s="83" t="s">
        <v>21</v>
      </c>
      <c r="F170" s="56" t="s">
        <v>51</v>
      </c>
      <c r="G170" s="495" t="s">
        <v>5278</v>
      </c>
      <c r="H170" s="35" t="s">
        <v>51</v>
      </c>
      <c r="L170" s="496"/>
      <c r="M170" s="144"/>
      <c r="N170" s="144"/>
      <c r="O170" s="144"/>
      <c r="P170" s="144"/>
      <c r="Q170" s="144"/>
      <c r="R170" s="144"/>
      <c r="S170" s="144"/>
      <c r="T170" s="144"/>
      <c r="U170" s="144"/>
      <c r="V170" s="144"/>
      <c r="W170" s="144"/>
      <c r="X170" s="144"/>
      <c r="Y170" s="144"/>
      <c r="Z170" s="144"/>
      <c r="AA170" s="144"/>
      <c r="AB170" s="144"/>
      <c r="AC170" s="144"/>
      <c r="AD170" s="144"/>
      <c r="AE170" s="144"/>
      <c r="AF170" s="144"/>
    </row>
    <row r="171" ht="16.5" customHeight="1">
      <c r="A171" s="164" t="s">
        <v>5</v>
      </c>
      <c r="E171" s="83" t="s">
        <v>88</v>
      </c>
      <c r="F171" s="56" t="s">
        <v>154</v>
      </c>
      <c r="G171" s="495" t="s">
        <v>5279</v>
      </c>
      <c r="H171" s="35" t="s">
        <v>154</v>
      </c>
      <c r="L171" s="496"/>
      <c r="M171" s="144"/>
      <c r="N171" s="144"/>
      <c r="O171" s="144"/>
      <c r="P171" s="144"/>
      <c r="Q171" s="144"/>
      <c r="R171" s="144"/>
      <c r="S171" s="144"/>
      <c r="T171" s="144"/>
      <c r="U171" s="144"/>
      <c r="V171" s="144"/>
      <c r="W171" s="144"/>
      <c r="X171" s="144"/>
      <c r="Y171" s="144"/>
      <c r="Z171" s="144"/>
      <c r="AA171" s="144"/>
      <c r="AB171" s="144"/>
      <c r="AC171" s="144"/>
      <c r="AD171" s="144"/>
      <c r="AE171" s="144"/>
      <c r="AF171" s="144"/>
    </row>
    <row r="172" ht="16.5" customHeight="1">
      <c r="A172" s="164" t="s">
        <v>5</v>
      </c>
      <c r="E172" s="83" t="s">
        <v>88</v>
      </c>
      <c r="F172" s="56" t="s">
        <v>859</v>
      </c>
      <c r="G172" s="495" t="s">
        <v>5280</v>
      </c>
      <c r="H172" s="35" t="s">
        <v>859</v>
      </c>
      <c r="L172" s="496"/>
      <c r="M172" s="144"/>
      <c r="N172" s="144"/>
      <c r="O172" s="144"/>
      <c r="P172" s="144"/>
      <c r="Q172" s="144"/>
      <c r="R172" s="144"/>
      <c r="S172" s="144"/>
      <c r="T172" s="144"/>
      <c r="U172" s="144"/>
      <c r="V172" s="144"/>
      <c r="W172" s="144"/>
      <c r="X172" s="144"/>
      <c r="Y172" s="144"/>
      <c r="Z172" s="144"/>
      <c r="AA172" s="144"/>
      <c r="AB172" s="144"/>
      <c r="AC172" s="144"/>
      <c r="AD172" s="144"/>
      <c r="AE172" s="144"/>
      <c r="AF172" s="144"/>
    </row>
    <row r="173" ht="16.5" customHeight="1">
      <c r="A173" s="164" t="s">
        <v>5</v>
      </c>
      <c r="E173" s="83" t="s">
        <v>88</v>
      </c>
      <c r="F173" s="56" t="s">
        <v>879</v>
      </c>
      <c r="G173" s="495" t="s">
        <v>5281</v>
      </c>
      <c r="H173" s="151" t="s">
        <v>879</v>
      </c>
      <c r="L173" s="496"/>
      <c r="M173" s="144"/>
      <c r="N173" s="144"/>
      <c r="O173" s="144"/>
      <c r="P173" s="144"/>
      <c r="Q173" s="144"/>
      <c r="R173" s="144"/>
      <c r="S173" s="144"/>
      <c r="T173" s="144"/>
      <c r="U173" s="144"/>
      <c r="V173" s="144"/>
      <c r="W173" s="144"/>
      <c r="X173" s="144"/>
      <c r="Y173" s="144"/>
      <c r="Z173" s="144"/>
      <c r="AA173" s="144"/>
      <c r="AB173" s="144"/>
      <c r="AC173" s="144"/>
      <c r="AD173" s="144"/>
      <c r="AE173" s="144"/>
      <c r="AF173" s="144"/>
    </row>
    <row r="174" ht="16.5" customHeight="1">
      <c r="A174" s="164" t="s">
        <v>5</v>
      </c>
      <c r="E174" s="83" t="s">
        <v>88</v>
      </c>
      <c r="F174" s="56" t="s">
        <v>877</v>
      </c>
      <c r="G174" s="495" t="s">
        <v>5282</v>
      </c>
      <c r="H174" s="35" t="s">
        <v>877</v>
      </c>
      <c r="L174" s="496"/>
      <c r="M174" s="144"/>
      <c r="N174" s="144"/>
      <c r="O174" s="144"/>
      <c r="P174" s="144"/>
      <c r="Q174" s="144"/>
      <c r="R174" s="144"/>
      <c r="S174" s="144"/>
      <c r="T174" s="144"/>
      <c r="U174" s="144"/>
      <c r="V174" s="144"/>
      <c r="W174" s="144"/>
      <c r="X174" s="144"/>
      <c r="Y174" s="144"/>
      <c r="Z174" s="144"/>
      <c r="AA174" s="144"/>
      <c r="AB174" s="144"/>
      <c r="AC174" s="144"/>
      <c r="AD174" s="144"/>
      <c r="AE174" s="144"/>
      <c r="AF174" s="144"/>
    </row>
    <row r="175" ht="16.5" customHeight="1">
      <c r="A175" s="164" t="s">
        <v>5</v>
      </c>
      <c r="E175" s="83" t="s">
        <v>88</v>
      </c>
      <c r="F175" s="56" t="s">
        <v>881</v>
      </c>
      <c r="G175" s="495" t="s">
        <v>5283</v>
      </c>
      <c r="H175" s="56" t="s">
        <v>881</v>
      </c>
      <c r="L175" s="496"/>
      <c r="M175" s="144"/>
      <c r="N175" s="144"/>
      <c r="O175" s="144"/>
      <c r="P175" s="144"/>
      <c r="Q175" s="144"/>
      <c r="R175" s="144"/>
      <c r="S175" s="144"/>
      <c r="T175" s="144"/>
      <c r="U175" s="144"/>
      <c r="V175" s="144"/>
      <c r="W175" s="144"/>
      <c r="X175" s="144"/>
      <c r="Y175" s="144"/>
      <c r="Z175" s="144"/>
      <c r="AA175" s="144"/>
      <c r="AB175" s="144"/>
      <c r="AC175" s="144"/>
      <c r="AD175" s="144"/>
      <c r="AE175" s="144"/>
      <c r="AF175" s="144"/>
    </row>
    <row r="176" ht="16.5" customHeight="1">
      <c r="A176" s="164" t="s">
        <v>5</v>
      </c>
      <c r="E176" s="83" t="s">
        <v>88</v>
      </c>
      <c r="F176" s="56" t="s">
        <v>870</v>
      </c>
      <c r="G176" s="495" t="s">
        <v>5284</v>
      </c>
      <c r="H176" s="35" t="s">
        <v>870</v>
      </c>
      <c r="L176" s="496"/>
      <c r="M176" s="144"/>
      <c r="N176" s="144"/>
      <c r="O176" s="144"/>
      <c r="P176" s="144"/>
      <c r="Q176" s="144"/>
      <c r="R176" s="144"/>
      <c r="S176" s="144"/>
      <c r="T176" s="144"/>
      <c r="U176" s="144"/>
      <c r="V176" s="144"/>
      <c r="W176" s="144"/>
      <c r="X176" s="144"/>
      <c r="Y176" s="144"/>
      <c r="Z176" s="144"/>
      <c r="AA176" s="144"/>
      <c r="AB176" s="144"/>
      <c r="AC176" s="144"/>
      <c r="AD176" s="144"/>
      <c r="AE176" s="144"/>
      <c r="AF176" s="144"/>
    </row>
    <row r="177" ht="16.5" customHeight="1">
      <c r="A177" s="164" t="s">
        <v>5</v>
      </c>
      <c r="E177" s="83" t="s">
        <v>88</v>
      </c>
      <c r="F177" s="56" t="s">
        <v>881</v>
      </c>
      <c r="G177" s="495" t="s">
        <v>5285</v>
      </c>
      <c r="H177" s="56" t="s">
        <v>4399</v>
      </c>
      <c r="L177" s="496"/>
      <c r="M177" s="144"/>
      <c r="N177" s="144"/>
      <c r="O177" s="144"/>
      <c r="P177" s="144"/>
      <c r="Q177" s="144"/>
      <c r="R177" s="144"/>
      <c r="S177" s="144"/>
      <c r="T177" s="144"/>
      <c r="U177" s="144"/>
      <c r="V177" s="144"/>
      <c r="W177" s="144"/>
      <c r="X177" s="144"/>
      <c r="Y177" s="144"/>
      <c r="Z177" s="144"/>
      <c r="AA177" s="144"/>
      <c r="AB177" s="144"/>
      <c r="AC177" s="144"/>
      <c r="AD177" s="144"/>
      <c r="AE177" s="144"/>
      <c r="AF177" s="144"/>
    </row>
    <row r="178" ht="16.5" customHeight="1">
      <c r="A178" s="164" t="s">
        <v>5</v>
      </c>
      <c r="E178" s="83" t="s">
        <v>88</v>
      </c>
      <c r="F178" s="56" t="s">
        <v>870</v>
      </c>
      <c r="G178" s="495" t="s">
        <v>5286</v>
      </c>
      <c r="H178" s="56" t="s">
        <v>4369</v>
      </c>
      <c r="L178" s="496"/>
      <c r="M178" s="144"/>
      <c r="N178" s="144"/>
      <c r="O178" s="144"/>
      <c r="P178" s="144"/>
      <c r="Q178" s="144"/>
      <c r="R178" s="144"/>
      <c r="S178" s="144"/>
      <c r="T178" s="144"/>
      <c r="U178" s="144"/>
      <c r="V178" s="144"/>
      <c r="W178" s="144"/>
      <c r="X178" s="144"/>
      <c r="Y178" s="144"/>
      <c r="Z178" s="144"/>
      <c r="AA178" s="144"/>
      <c r="AB178" s="144"/>
      <c r="AC178" s="144"/>
      <c r="AD178" s="144"/>
      <c r="AE178" s="144"/>
      <c r="AF178" s="144"/>
    </row>
    <row r="179" ht="16.5" customHeight="1">
      <c r="A179" s="164" t="s">
        <v>5</v>
      </c>
      <c r="E179" s="83" t="s">
        <v>88</v>
      </c>
      <c r="F179" s="56" t="s">
        <v>869</v>
      </c>
      <c r="G179" s="504"/>
      <c r="H179" s="151"/>
      <c r="I179" s="497"/>
      <c r="J179" s="497"/>
      <c r="K179" s="496"/>
      <c r="L179" s="496"/>
      <c r="M179" s="144"/>
      <c r="N179" s="144"/>
      <c r="O179" s="144"/>
      <c r="P179" s="144"/>
      <c r="Q179" s="144"/>
      <c r="R179" s="144"/>
      <c r="S179" s="144"/>
      <c r="T179" s="144"/>
      <c r="U179" s="144"/>
      <c r="V179" s="144"/>
      <c r="W179" s="144"/>
      <c r="X179" s="144"/>
      <c r="Y179" s="144"/>
      <c r="Z179" s="144"/>
      <c r="AA179" s="144"/>
      <c r="AB179" s="144"/>
      <c r="AC179" s="144"/>
      <c r="AD179" s="144"/>
      <c r="AE179" s="144"/>
      <c r="AF179" s="144"/>
    </row>
    <row r="180" ht="16.5" customHeight="1">
      <c r="A180" s="164" t="s">
        <v>5</v>
      </c>
      <c r="E180" s="83" t="s">
        <v>88</v>
      </c>
      <c r="F180" s="56" t="s">
        <v>120</v>
      </c>
      <c r="G180" s="495" t="s">
        <v>5287</v>
      </c>
      <c r="H180" s="35" t="s">
        <v>120</v>
      </c>
      <c r="L180" s="496"/>
      <c r="M180" s="144"/>
      <c r="N180" s="144"/>
      <c r="O180" s="144"/>
      <c r="P180" s="144"/>
      <c r="Q180" s="144"/>
      <c r="R180" s="144"/>
      <c r="S180" s="144"/>
      <c r="T180" s="144"/>
      <c r="U180" s="144"/>
      <c r="V180" s="144"/>
      <c r="W180" s="144"/>
      <c r="X180" s="144"/>
      <c r="Y180" s="144"/>
      <c r="Z180" s="144"/>
      <c r="AA180" s="144"/>
      <c r="AB180" s="144"/>
      <c r="AC180" s="144"/>
      <c r="AD180" s="144"/>
      <c r="AE180" s="144"/>
      <c r="AF180" s="144"/>
    </row>
    <row r="181" ht="16.5" customHeight="1">
      <c r="A181" s="164" t="s">
        <v>5</v>
      </c>
      <c r="E181" s="83" t="s">
        <v>88</v>
      </c>
      <c r="F181" s="56" t="s">
        <v>544</v>
      </c>
      <c r="G181" s="495" t="s">
        <v>5288</v>
      </c>
      <c r="H181" s="35" t="s">
        <v>544</v>
      </c>
      <c r="L181" s="496"/>
      <c r="M181" s="144"/>
      <c r="N181" s="144"/>
      <c r="O181" s="144"/>
      <c r="P181" s="144"/>
      <c r="Q181" s="144"/>
      <c r="R181" s="144"/>
      <c r="S181" s="144"/>
      <c r="T181" s="144"/>
      <c r="U181" s="144"/>
      <c r="V181" s="144"/>
      <c r="W181" s="144"/>
      <c r="X181" s="144"/>
      <c r="Y181" s="144"/>
      <c r="Z181" s="144"/>
      <c r="AA181" s="144"/>
      <c r="AB181" s="144"/>
      <c r="AC181" s="144"/>
      <c r="AD181" s="144"/>
      <c r="AE181" s="144"/>
      <c r="AF181" s="144"/>
    </row>
    <row r="182" ht="16.5" customHeight="1">
      <c r="A182" s="164" t="s">
        <v>5</v>
      </c>
      <c r="E182" s="83" t="s">
        <v>88</v>
      </c>
      <c r="F182" s="56" t="s">
        <v>247</v>
      </c>
      <c r="G182" s="504"/>
      <c r="H182" s="151"/>
      <c r="I182" s="497"/>
      <c r="J182" s="497"/>
      <c r="K182" s="496"/>
      <c r="L182" s="496"/>
      <c r="M182" s="144"/>
      <c r="N182" s="144"/>
      <c r="O182" s="144"/>
      <c r="P182" s="144"/>
      <c r="Q182" s="144"/>
      <c r="R182" s="144"/>
      <c r="S182" s="144"/>
      <c r="T182" s="144"/>
      <c r="U182" s="144"/>
      <c r="V182" s="144"/>
      <c r="W182" s="144"/>
      <c r="X182" s="144"/>
      <c r="Y182" s="144"/>
      <c r="Z182" s="144"/>
      <c r="AA182" s="144"/>
      <c r="AB182" s="144"/>
      <c r="AC182" s="144"/>
      <c r="AD182" s="144"/>
      <c r="AE182" s="144"/>
      <c r="AF182" s="144"/>
    </row>
    <row r="183" ht="16.5" customHeight="1">
      <c r="A183" s="164" t="s">
        <v>5</v>
      </c>
      <c r="E183" s="83" t="s">
        <v>88</v>
      </c>
      <c r="F183" s="56" t="s">
        <v>95</v>
      </c>
      <c r="G183" s="495" t="s">
        <v>5289</v>
      </c>
      <c r="H183" s="35" t="s">
        <v>95</v>
      </c>
      <c r="L183" s="496"/>
      <c r="M183" s="144"/>
      <c r="N183" s="144"/>
      <c r="O183" s="144"/>
      <c r="P183" s="144"/>
      <c r="Q183" s="144"/>
      <c r="R183" s="144"/>
      <c r="S183" s="144"/>
      <c r="T183" s="144"/>
      <c r="U183" s="144"/>
      <c r="V183" s="144"/>
      <c r="W183" s="144"/>
      <c r="X183" s="144"/>
      <c r="Y183" s="144"/>
      <c r="Z183" s="144"/>
      <c r="AA183" s="144"/>
      <c r="AB183" s="144"/>
      <c r="AC183" s="144"/>
      <c r="AD183" s="144"/>
      <c r="AE183" s="144"/>
      <c r="AF183" s="144"/>
    </row>
    <row r="184" ht="16.5" customHeight="1">
      <c r="A184" s="164" t="s">
        <v>5</v>
      </c>
      <c r="E184" s="83" t="s">
        <v>88</v>
      </c>
      <c r="F184" s="56" t="s">
        <v>96</v>
      </c>
      <c r="G184" s="495" t="s">
        <v>5290</v>
      </c>
      <c r="H184" s="35" t="s">
        <v>96</v>
      </c>
      <c r="L184" s="496"/>
      <c r="M184" s="144"/>
      <c r="N184" s="144"/>
      <c r="O184" s="144"/>
      <c r="P184" s="144"/>
      <c r="Q184" s="144"/>
      <c r="R184" s="144"/>
      <c r="S184" s="144"/>
      <c r="T184" s="144"/>
      <c r="U184" s="144"/>
      <c r="V184" s="144"/>
      <c r="W184" s="144"/>
      <c r="X184" s="144"/>
      <c r="Y184" s="144"/>
      <c r="Z184" s="144"/>
      <c r="AA184" s="144"/>
      <c r="AB184" s="144"/>
      <c r="AC184" s="144"/>
      <c r="AD184" s="144"/>
      <c r="AE184" s="144"/>
      <c r="AF184" s="144"/>
    </row>
    <row r="185" ht="16.5" customHeight="1">
      <c r="A185" s="164" t="s">
        <v>5</v>
      </c>
      <c r="E185" s="83" t="s">
        <v>86</v>
      </c>
      <c r="F185" s="500" t="s">
        <v>90</v>
      </c>
      <c r="G185" s="495" t="s">
        <v>5291</v>
      </c>
      <c r="H185" s="35" t="s">
        <v>90</v>
      </c>
      <c r="L185" s="496"/>
      <c r="M185" s="144"/>
      <c r="N185" s="144"/>
      <c r="O185" s="144"/>
      <c r="P185" s="144"/>
      <c r="Q185" s="144"/>
      <c r="R185" s="144"/>
      <c r="S185" s="144"/>
      <c r="T185" s="144"/>
      <c r="U185" s="144"/>
      <c r="V185" s="144"/>
      <c r="W185" s="144"/>
      <c r="X185" s="144"/>
      <c r="Y185" s="144"/>
      <c r="Z185" s="144"/>
      <c r="AA185" s="144"/>
      <c r="AB185" s="144"/>
      <c r="AC185" s="144"/>
      <c r="AD185" s="144"/>
      <c r="AE185" s="144"/>
      <c r="AF185" s="144"/>
    </row>
    <row r="186" ht="16.5" customHeight="1">
      <c r="A186" s="164" t="s">
        <v>5</v>
      </c>
      <c r="E186" s="83" t="s">
        <v>86</v>
      </c>
      <c r="F186" s="440" t="s">
        <v>91</v>
      </c>
      <c r="G186" s="495" t="s">
        <v>5292</v>
      </c>
      <c r="H186" s="35" t="s">
        <v>91</v>
      </c>
      <c r="L186" s="496"/>
      <c r="M186" s="144"/>
      <c r="N186" s="144"/>
      <c r="O186" s="144"/>
      <c r="P186" s="144"/>
      <c r="Q186" s="144"/>
      <c r="R186" s="144"/>
      <c r="S186" s="144"/>
      <c r="T186" s="144"/>
      <c r="U186" s="144"/>
      <c r="V186" s="144"/>
      <c r="W186" s="144"/>
      <c r="X186" s="144"/>
      <c r="Y186" s="144"/>
      <c r="Z186" s="144"/>
      <c r="AA186" s="144"/>
      <c r="AB186" s="144"/>
      <c r="AC186" s="144"/>
      <c r="AD186" s="144"/>
      <c r="AE186" s="144"/>
      <c r="AF186" s="144"/>
    </row>
    <row r="187" ht="16.5" customHeight="1">
      <c r="A187" s="164" t="s">
        <v>5</v>
      </c>
      <c r="E187" s="83" t="s">
        <v>86</v>
      </c>
      <c r="F187" s="500" t="s">
        <v>338</v>
      </c>
      <c r="G187" s="495" t="s">
        <v>5293</v>
      </c>
      <c r="H187" s="35" t="s">
        <v>338</v>
      </c>
      <c r="L187" s="496"/>
      <c r="M187" s="144"/>
      <c r="N187" s="144"/>
      <c r="O187" s="144"/>
      <c r="P187" s="144"/>
      <c r="Q187" s="144"/>
      <c r="R187" s="144"/>
      <c r="S187" s="144"/>
      <c r="T187" s="144"/>
      <c r="U187" s="144"/>
      <c r="V187" s="144"/>
      <c r="W187" s="144"/>
      <c r="X187" s="144"/>
      <c r="Y187" s="144"/>
      <c r="Z187" s="144"/>
      <c r="AA187" s="144"/>
      <c r="AB187" s="144"/>
      <c r="AC187" s="144"/>
      <c r="AD187" s="144"/>
      <c r="AE187" s="144"/>
      <c r="AF187" s="144"/>
    </row>
    <row r="188" ht="16.5" customHeight="1">
      <c r="A188" s="164" t="s">
        <v>5</v>
      </c>
      <c r="E188" s="83" t="s">
        <v>104</v>
      </c>
      <c r="F188" s="440" t="s">
        <v>250</v>
      </c>
      <c r="G188" s="495" t="s">
        <v>5294</v>
      </c>
      <c r="H188" s="35" t="s">
        <v>250</v>
      </c>
      <c r="L188" s="496"/>
      <c r="M188" s="144"/>
      <c r="N188" s="144"/>
      <c r="O188" s="144"/>
      <c r="P188" s="144"/>
      <c r="Q188" s="144"/>
      <c r="R188" s="144"/>
      <c r="S188" s="144"/>
      <c r="T188" s="144"/>
      <c r="U188" s="144"/>
      <c r="V188" s="144"/>
      <c r="W188" s="144"/>
      <c r="X188" s="144"/>
      <c r="Y188" s="144"/>
      <c r="Z188" s="144"/>
      <c r="AA188" s="144"/>
      <c r="AB188" s="144"/>
      <c r="AC188" s="144"/>
      <c r="AD188" s="144"/>
      <c r="AE188" s="144"/>
      <c r="AF188" s="144"/>
    </row>
    <row r="189" ht="16.5" customHeight="1">
      <c r="A189" s="164" t="s">
        <v>5</v>
      </c>
      <c r="E189" s="83" t="s">
        <v>178</v>
      </c>
      <c r="F189" s="500" t="s">
        <v>209</v>
      </c>
      <c r="G189" s="495" t="s">
        <v>5295</v>
      </c>
      <c r="H189" s="35" t="s">
        <v>209</v>
      </c>
      <c r="L189" s="496"/>
      <c r="M189" s="144"/>
      <c r="N189" s="144"/>
      <c r="O189" s="144"/>
      <c r="P189" s="144"/>
      <c r="Q189" s="144"/>
      <c r="R189" s="144"/>
      <c r="S189" s="144"/>
      <c r="T189" s="144"/>
      <c r="U189" s="144"/>
      <c r="V189" s="144"/>
      <c r="W189" s="144"/>
      <c r="X189" s="144"/>
      <c r="Y189" s="144"/>
      <c r="Z189" s="144"/>
      <c r="AA189" s="144"/>
      <c r="AB189" s="144"/>
      <c r="AC189" s="144"/>
      <c r="AD189" s="144"/>
      <c r="AE189" s="144"/>
      <c r="AF189" s="144"/>
    </row>
    <row r="190" ht="16.5" customHeight="1">
      <c r="A190" s="164" t="s">
        <v>5</v>
      </c>
      <c r="E190" s="83" t="s">
        <v>178</v>
      </c>
      <c r="F190" s="440" t="s">
        <v>210</v>
      </c>
      <c r="G190" s="495" t="s">
        <v>5296</v>
      </c>
      <c r="H190" s="35" t="s">
        <v>210</v>
      </c>
      <c r="L190" s="496"/>
      <c r="M190" s="144"/>
      <c r="N190" s="144"/>
      <c r="O190" s="144"/>
      <c r="P190" s="144"/>
      <c r="Q190" s="144"/>
      <c r="R190" s="144"/>
      <c r="S190" s="144"/>
      <c r="T190" s="144"/>
      <c r="U190" s="144"/>
      <c r="V190" s="144"/>
      <c r="W190" s="144"/>
      <c r="X190" s="144"/>
      <c r="Y190" s="144"/>
      <c r="Z190" s="144"/>
      <c r="AA190" s="144"/>
      <c r="AB190" s="144"/>
      <c r="AC190" s="144"/>
      <c r="AD190" s="144"/>
      <c r="AE190" s="144"/>
      <c r="AF190" s="144"/>
    </row>
    <row r="191" ht="16.5" customHeight="1">
      <c r="A191" s="164" t="s">
        <v>5</v>
      </c>
      <c r="B191" s="56" t="s">
        <v>5297</v>
      </c>
      <c r="C191" s="442" t="s">
        <v>5298</v>
      </c>
      <c r="D191" s="83" t="s">
        <v>20</v>
      </c>
      <c r="E191" s="83" t="s">
        <v>88</v>
      </c>
      <c r="F191" s="56" t="s">
        <v>89</v>
      </c>
      <c r="G191" s="151"/>
      <c r="H191" s="151"/>
      <c r="I191" s="497"/>
      <c r="J191" s="497"/>
      <c r="K191" s="496"/>
      <c r="L191" s="496"/>
      <c r="M191" s="144"/>
      <c r="N191" s="144"/>
      <c r="O191" s="144"/>
      <c r="P191" s="144"/>
      <c r="Q191" s="144"/>
      <c r="R191" s="144"/>
      <c r="S191" s="144"/>
      <c r="T191" s="144"/>
      <c r="U191" s="144"/>
      <c r="V191" s="144"/>
      <c r="W191" s="144"/>
      <c r="X191" s="144"/>
      <c r="Y191" s="144"/>
      <c r="Z191" s="144"/>
      <c r="AA191" s="144"/>
      <c r="AB191" s="144"/>
      <c r="AC191" s="144"/>
      <c r="AD191" s="144"/>
      <c r="AE191" s="144"/>
      <c r="AF191" s="144"/>
    </row>
    <row r="192" ht="16.5" customHeight="1">
      <c r="A192" s="164" t="s">
        <v>5</v>
      </c>
      <c r="E192" s="83" t="s">
        <v>21</v>
      </c>
      <c r="F192" s="56" t="s">
        <v>51</v>
      </c>
      <c r="G192" s="495" t="s">
        <v>5299</v>
      </c>
      <c r="H192" s="35" t="s">
        <v>51</v>
      </c>
      <c r="I192" s="36"/>
      <c r="L192" s="496"/>
      <c r="M192" s="144"/>
      <c r="N192" s="144"/>
      <c r="O192" s="144"/>
      <c r="P192" s="144"/>
      <c r="Q192" s="144"/>
      <c r="R192" s="144"/>
      <c r="S192" s="144"/>
      <c r="T192" s="144"/>
      <c r="U192" s="144"/>
      <c r="V192" s="144"/>
      <c r="W192" s="144"/>
      <c r="X192" s="144"/>
      <c r="Y192" s="144"/>
      <c r="Z192" s="144"/>
      <c r="AA192" s="144"/>
      <c r="AB192" s="144"/>
      <c r="AC192" s="144"/>
      <c r="AD192" s="144"/>
      <c r="AE192" s="144"/>
      <c r="AF192" s="144"/>
    </row>
    <row r="193" ht="16.5" customHeight="1">
      <c r="A193" s="164" t="s">
        <v>5</v>
      </c>
      <c r="E193" s="83" t="s">
        <v>88</v>
      </c>
      <c r="F193" s="56" t="s">
        <v>154</v>
      </c>
      <c r="G193" s="495" t="s">
        <v>5300</v>
      </c>
      <c r="H193" s="35" t="s">
        <v>154</v>
      </c>
      <c r="I193" s="36"/>
      <c r="L193" s="496"/>
      <c r="M193" s="144"/>
      <c r="N193" s="144"/>
      <c r="O193" s="144"/>
      <c r="P193" s="144"/>
      <c r="Q193" s="144"/>
      <c r="R193" s="144"/>
      <c r="S193" s="144"/>
      <c r="T193" s="144"/>
      <c r="U193" s="144"/>
      <c r="V193" s="144"/>
      <c r="W193" s="144"/>
      <c r="X193" s="144"/>
      <c r="Y193" s="144"/>
      <c r="Z193" s="144"/>
      <c r="AA193" s="144"/>
      <c r="AB193" s="144"/>
      <c r="AC193" s="144"/>
      <c r="AD193" s="144"/>
      <c r="AE193" s="144"/>
      <c r="AF193" s="144"/>
    </row>
    <row r="194" ht="16.5" customHeight="1">
      <c r="A194" s="164" t="s">
        <v>5</v>
      </c>
      <c r="E194" s="83" t="s">
        <v>88</v>
      </c>
      <c r="F194" s="56" t="s">
        <v>859</v>
      </c>
      <c r="G194" s="495" t="s">
        <v>5301</v>
      </c>
      <c r="H194" s="35" t="s">
        <v>859</v>
      </c>
      <c r="L194" s="496"/>
      <c r="M194" s="144"/>
      <c r="N194" s="144"/>
      <c r="O194" s="144"/>
      <c r="P194" s="144"/>
      <c r="Q194" s="144"/>
      <c r="R194" s="144"/>
      <c r="S194" s="144"/>
      <c r="T194" s="144"/>
      <c r="U194" s="144"/>
      <c r="V194" s="144"/>
      <c r="W194" s="144"/>
      <c r="X194" s="144"/>
      <c r="Y194" s="144"/>
      <c r="Z194" s="144"/>
      <c r="AA194" s="144"/>
      <c r="AB194" s="144"/>
      <c r="AC194" s="144"/>
      <c r="AD194" s="144"/>
      <c r="AE194" s="144"/>
      <c r="AF194" s="144"/>
    </row>
    <row r="195" ht="16.5" customHeight="1">
      <c r="A195" s="164" t="s">
        <v>5</v>
      </c>
      <c r="E195" s="83" t="s">
        <v>88</v>
      </c>
      <c r="F195" s="56" t="s">
        <v>879</v>
      </c>
      <c r="G195" s="495" t="s">
        <v>5302</v>
      </c>
      <c r="H195" s="35" t="s">
        <v>879</v>
      </c>
      <c r="L195" s="496"/>
      <c r="M195" s="144"/>
      <c r="N195" s="144"/>
      <c r="O195" s="144"/>
      <c r="P195" s="144"/>
      <c r="Q195" s="144"/>
      <c r="R195" s="144"/>
      <c r="S195" s="144"/>
      <c r="T195" s="144"/>
      <c r="U195" s="144"/>
      <c r="V195" s="144"/>
      <c r="W195" s="144"/>
      <c r="X195" s="144"/>
      <c r="Y195" s="144"/>
      <c r="Z195" s="144"/>
      <c r="AA195" s="144"/>
      <c r="AB195" s="144"/>
      <c r="AC195" s="144"/>
      <c r="AD195" s="144"/>
      <c r="AE195" s="144"/>
      <c r="AF195" s="144"/>
    </row>
    <row r="196" ht="16.5" customHeight="1">
      <c r="A196" s="164" t="s">
        <v>5</v>
      </c>
      <c r="E196" s="83" t="s">
        <v>88</v>
      </c>
      <c r="F196" s="56" t="s">
        <v>877</v>
      </c>
      <c r="G196" s="495" t="s">
        <v>5303</v>
      </c>
      <c r="H196" s="35" t="s">
        <v>877</v>
      </c>
      <c r="L196" s="496"/>
      <c r="M196" s="144"/>
      <c r="N196" s="144"/>
      <c r="O196" s="144"/>
      <c r="P196" s="144"/>
      <c r="Q196" s="144"/>
      <c r="R196" s="144"/>
      <c r="S196" s="144"/>
      <c r="T196" s="144"/>
      <c r="U196" s="144"/>
      <c r="V196" s="144"/>
      <c r="W196" s="144"/>
      <c r="X196" s="144"/>
      <c r="Y196" s="144"/>
      <c r="Z196" s="144"/>
      <c r="AA196" s="144"/>
      <c r="AB196" s="144"/>
      <c r="AC196" s="144"/>
      <c r="AD196" s="144"/>
      <c r="AE196" s="144"/>
      <c r="AF196" s="144"/>
    </row>
    <row r="197" ht="16.5" customHeight="1">
      <c r="A197" s="164" t="s">
        <v>5</v>
      </c>
      <c r="E197" s="83" t="s">
        <v>88</v>
      </c>
      <c r="F197" s="56" t="s">
        <v>881</v>
      </c>
      <c r="G197" s="495" t="s">
        <v>5304</v>
      </c>
      <c r="H197" s="35" t="s">
        <v>881</v>
      </c>
      <c r="L197" s="496"/>
      <c r="M197" s="144"/>
      <c r="N197" s="144"/>
      <c r="O197" s="144"/>
      <c r="P197" s="144"/>
      <c r="Q197" s="144"/>
      <c r="R197" s="144"/>
      <c r="S197" s="144"/>
      <c r="T197" s="144"/>
      <c r="U197" s="144"/>
      <c r="V197" s="144"/>
      <c r="W197" s="144"/>
      <c r="X197" s="144"/>
      <c r="Y197" s="144"/>
      <c r="Z197" s="144"/>
      <c r="AA197" s="144"/>
      <c r="AB197" s="144"/>
      <c r="AC197" s="144"/>
      <c r="AD197" s="144"/>
      <c r="AE197" s="144"/>
      <c r="AF197" s="144"/>
    </row>
    <row r="198" ht="16.5" customHeight="1">
      <c r="A198" s="164" t="s">
        <v>5</v>
      </c>
      <c r="E198" s="83" t="s">
        <v>88</v>
      </c>
      <c r="F198" s="56" t="s">
        <v>870</v>
      </c>
      <c r="G198" s="495" t="s">
        <v>5305</v>
      </c>
      <c r="H198" s="56" t="s">
        <v>870</v>
      </c>
      <c r="I198" s="497"/>
      <c r="J198" s="497"/>
      <c r="K198" s="496"/>
      <c r="L198" s="496"/>
      <c r="M198" s="144"/>
      <c r="N198" s="144"/>
      <c r="O198" s="144"/>
      <c r="P198" s="144"/>
      <c r="Q198" s="144"/>
      <c r="R198" s="144"/>
      <c r="S198" s="144"/>
      <c r="T198" s="144"/>
      <c r="U198" s="144"/>
      <c r="V198" s="144"/>
      <c r="W198" s="144"/>
      <c r="X198" s="144"/>
      <c r="Y198" s="144"/>
      <c r="Z198" s="144"/>
      <c r="AA198" s="144"/>
      <c r="AB198" s="144"/>
      <c r="AC198" s="144"/>
      <c r="AD198" s="144"/>
      <c r="AE198" s="144"/>
      <c r="AF198" s="144"/>
    </row>
    <row r="199" ht="16.5" customHeight="1">
      <c r="A199" s="164" t="s">
        <v>5</v>
      </c>
      <c r="E199" s="83" t="s">
        <v>88</v>
      </c>
      <c r="F199" s="56" t="s">
        <v>881</v>
      </c>
      <c r="G199" s="495" t="s">
        <v>5306</v>
      </c>
      <c r="H199" s="35" t="s">
        <v>4399</v>
      </c>
      <c r="L199" s="496"/>
      <c r="M199" s="144"/>
      <c r="N199" s="144"/>
      <c r="O199" s="144"/>
      <c r="P199" s="144"/>
      <c r="Q199" s="144"/>
      <c r="R199" s="144"/>
      <c r="S199" s="144"/>
      <c r="T199" s="144"/>
      <c r="U199" s="144"/>
      <c r="V199" s="144"/>
      <c r="W199" s="144"/>
      <c r="X199" s="144"/>
      <c r="Y199" s="144"/>
      <c r="Z199" s="144"/>
      <c r="AA199" s="144"/>
      <c r="AB199" s="144"/>
      <c r="AC199" s="144"/>
      <c r="AD199" s="144"/>
      <c r="AE199" s="144"/>
      <c r="AF199" s="144"/>
    </row>
    <row r="200" ht="16.5" customHeight="1">
      <c r="A200" s="164" t="s">
        <v>5</v>
      </c>
      <c r="E200" s="83" t="s">
        <v>88</v>
      </c>
      <c r="F200" s="56" t="s">
        <v>870</v>
      </c>
      <c r="G200" s="495" t="s">
        <v>5307</v>
      </c>
      <c r="H200" s="35" t="s">
        <v>4369</v>
      </c>
      <c r="I200" s="36"/>
      <c r="L200" s="496"/>
      <c r="M200" s="144"/>
      <c r="N200" s="144"/>
      <c r="O200" s="144"/>
      <c r="P200" s="144"/>
      <c r="Q200" s="144"/>
      <c r="R200" s="144"/>
      <c r="S200" s="144"/>
      <c r="T200" s="144"/>
      <c r="U200" s="144"/>
      <c r="V200" s="144"/>
      <c r="W200" s="144"/>
      <c r="X200" s="144"/>
      <c r="Y200" s="144"/>
      <c r="Z200" s="144"/>
      <c r="AA200" s="144"/>
      <c r="AB200" s="144"/>
      <c r="AC200" s="144"/>
      <c r="AD200" s="144"/>
      <c r="AE200" s="144"/>
      <c r="AF200" s="144"/>
    </row>
    <row r="201" ht="16.5" customHeight="1">
      <c r="A201" s="164" t="s">
        <v>5</v>
      </c>
      <c r="E201" s="83" t="s">
        <v>88</v>
      </c>
      <c r="F201" s="56" t="s">
        <v>869</v>
      </c>
      <c r="G201" s="498"/>
      <c r="H201" s="83"/>
      <c r="I201" s="352"/>
      <c r="J201" s="497"/>
      <c r="K201" s="496"/>
      <c r="L201" s="496"/>
      <c r="M201" s="144"/>
      <c r="N201" s="144"/>
      <c r="O201" s="144"/>
      <c r="P201" s="144"/>
      <c r="Q201" s="144"/>
      <c r="R201" s="144"/>
      <c r="S201" s="144"/>
      <c r="T201" s="144"/>
      <c r="U201" s="144"/>
      <c r="V201" s="144"/>
      <c r="W201" s="144"/>
      <c r="X201" s="144"/>
      <c r="Y201" s="144"/>
      <c r="Z201" s="144"/>
      <c r="AA201" s="144"/>
      <c r="AB201" s="144"/>
      <c r="AC201" s="144"/>
      <c r="AD201" s="144"/>
      <c r="AE201" s="144"/>
      <c r="AF201" s="144"/>
    </row>
    <row r="202" ht="16.5" customHeight="1">
      <c r="A202" s="164" t="s">
        <v>5</v>
      </c>
      <c r="E202" s="83" t="s">
        <v>88</v>
      </c>
      <c r="F202" s="56" t="s">
        <v>120</v>
      </c>
      <c r="G202" s="495" t="s">
        <v>5308</v>
      </c>
      <c r="H202" s="56" t="s">
        <v>120</v>
      </c>
      <c r="L202" s="496"/>
      <c r="M202" s="144"/>
      <c r="N202" s="144"/>
      <c r="O202" s="144"/>
      <c r="P202" s="144"/>
      <c r="Q202" s="144"/>
      <c r="R202" s="144"/>
      <c r="S202" s="144"/>
      <c r="T202" s="144"/>
      <c r="U202" s="144"/>
      <c r="V202" s="144"/>
      <c r="W202" s="144"/>
      <c r="X202" s="144"/>
      <c r="Y202" s="144"/>
      <c r="Z202" s="144"/>
      <c r="AA202" s="144"/>
      <c r="AB202" s="144"/>
      <c r="AC202" s="144"/>
      <c r="AD202" s="144"/>
      <c r="AE202" s="144"/>
      <c r="AF202" s="144"/>
    </row>
    <row r="203" ht="16.5" customHeight="1">
      <c r="A203" s="164" t="s">
        <v>5</v>
      </c>
      <c r="E203" s="83" t="s">
        <v>88</v>
      </c>
      <c r="F203" s="56" t="s">
        <v>544</v>
      </c>
      <c r="G203" s="495" t="s">
        <v>5309</v>
      </c>
      <c r="H203" s="56" t="s">
        <v>544</v>
      </c>
      <c r="I203" s="497"/>
      <c r="J203" s="497"/>
      <c r="K203" s="496"/>
      <c r="L203" s="496"/>
      <c r="M203" s="144"/>
      <c r="N203" s="144"/>
      <c r="O203" s="144"/>
      <c r="P203" s="144"/>
      <c r="Q203" s="144"/>
      <c r="R203" s="144"/>
      <c r="S203" s="144"/>
      <c r="T203" s="144"/>
      <c r="U203" s="144"/>
      <c r="V203" s="144"/>
      <c r="W203" s="144"/>
      <c r="X203" s="144"/>
      <c r="Y203" s="144"/>
      <c r="Z203" s="144"/>
      <c r="AA203" s="144"/>
      <c r="AB203" s="144"/>
      <c r="AC203" s="144"/>
      <c r="AD203" s="144"/>
      <c r="AE203" s="144"/>
      <c r="AF203" s="144"/>
    </row>
    <row r="204" ht="16.5" customHeight="1">
      <c r="A204" s="164" t="s">
        <v>5</v>
      </c>
      <c r="E204" s="83" t="s">
        <v>88</v>
      </c>
      <c r="F204" s="56" t="s">
        <v>247</v>
      </c>
      <c r="G204" s="498"/>
      <c r="H204" s="151"/>
      <c r="I204" s="497"/>
      <c r="J204" s="497"/>
      <c r="K204" s="496"/>
      <c r="L204" s="496"/>
      <c r="M204" s="144"/>
      <c r="N204" s="144"/>
      <c r="O204" s="144"/>
      <c r="P204" s="144"/>
      <c r="Q204" s="144"/>
      <c r="R204" s="144"/>
      <c r="S204" s="144"/>
      <c r="T204" s="144"/>
      <c r="U204" s="144"/>
      <c r="V204" s="144"/>
      <c r="W204" s="144"/>
      <c r="X204" s="144"/>
      <c r="Y204" s="144"/>
      <c r="Z204" s="144"/>
      <c r="AA204" s="144"/>
      <c r="AB204" s="144"/>
      <c r="AC204" s="144"/>
      <c r="AD204" s="144"/>
      <c r="AE204" s="144"/>
      <c r="AF204" s="144"/>
    </row>
    <row r="205" ht="16.5" customHeight="1">
      <c r="A205" s="164" t="s">
        <v>5</v>
      </c>
      <c r="E205" s="83" t="s">
        <v>88</v>
      </c>
      <c r="F205" s="56" t="s">
        <v>95</v>
      </c>
      <c r="G205" s="495" t="s">
        <v>5310</v>
      </c>
      <c r="H205" s="56" t="s">
        <v>95</v>
      </c>
      <c r="I205" s="497"/>
      <c r="J205" s="497"/>
      <c r="K205" s="496"/>
      <c r="L205" s="496"/>
      <c r="M205" s="144"/>
      <c r="N205" s="144"/>
      <c r="O205" s="144"/>
      <c r="P205" s="144"/>
      <c r="Q205" s="144"/>
      <c r="R205" s="144"/>
      <c r="S205" s="144"/>
      <c r="T205" s="144"/>
      <c r="U205" s="144"/>
      <c r="V205" s="144"/>
      <c r="W205" s="144"/>
      <c r="X205" s="144"/>
      <c r="Y205" s="144"/>
      <c r="Z205" s="144"/>
      <c r="AA205" s="144"/>
      <c r="AB205" s="144"/>
      <c r="AC205" s="144"/>
      <c r="AD205" s="144"/>
      <c r="AE205" s="144"/>
      <c r="AF205" s="144"/>
    </row>
    <row r="206" ht="16.5" customHeight="1">
      <c r="A206" s="164" t="s">
        <v>5</v>
      </c>
      <c r="E206" s="83" t="s">
        <v>88</v>
      </c>
      <c r="F206" s="56" t="s">
        <v>96</v>
      </c>
      <c r="G206" s="495" t="s">
        <v>5311</v>
      </c>
      <c r="H206" s="56" t="s">
        <v>96</v>
      </c>
      <c r="I206" s="497"/>
      <c r="J206" s="497"/>
      <c r="K206" s="496"/>
      <c r="L206" s="496"/>
      <c r="M206" s="144"/>
      <c r="N206" s="144"/>
      <c r="O206" s="144"/>
      <c r="P206" s="144"/>
      <c r="Q206" s="144"/>
      <c r="R206" s="144"/>
      <c r="S206" s="144"/>
      <c r="T206" s="144"/>
      <c r="U206" s="144"/>
      <c r="V206" s="144"/>
      <c r="W206" s="144"/>
      <c r="X206" s="144"/>
      <c r="Y206" s="144"/>
      <c r="Z206" s="144"/>
      <c r="AA206" s="144"/>
      <c r="AB206" s="144"/>
      <c r="AC206" s="144"/>
      <c r="AD206" s="144"/>
      <c r="AE206" s="144"/>
      <c r="AF206" s="144"/>
    </row>
    <row r="207" ht="16.5" customHeight="1">
      <c r="A207" s="164" t="s">
        <v>5</v>
      </c>
      <c r="E207" s="83" t="s">
        <v>88</v>
      </c>
      <c r="F207" s="56" t="s">
        <v>122</v>
      </c>
      <c r="G207" s="495" t="s">
        <v>5312</v>
      </c>
      <c r="H207" s="56" t="s">
        <v>122</v>
      </c>
      <c r="I207" s="497"/>
      <c r="J207" s="497"/>
      <c r="K207" s="496"/>
      <c r="L207" s="496"/>
      <c r="M207" s="144"/>
      <c r="N207" s="144"/>
      <c r="O207" s="144"/>
      <c r="P207" s="144"/>
      <c r="Q207" s="144"/>
      <c r="R207" s="144"/>
      <c r="S207" s="144"/>
      <c r="T207" s="144"/>
      <c r="U207" s="144"/>
      <c r="V207" s="144"/>
      <c r="W207" s="144"/>
      <c r="X207" s="144"/>
      <c r="Y207" s="144"/>
      <c r="Z207" s="144"/>
      <c r="AA207" s="144"/>
      <c r="AB207" s="144"/>
      <c r="AC207" s="144"/>
      <c r="AD207" s="144"/>
      <c r="AE207" s="144"/>
      <c r="AF207" s="144"/>
    </row>
    <row r="208" ht="16.5" customHeight="1">
      <c r="A208" s="164" t="s">
        <v>5</v>
      </c>
      <c r="E208" s="83" t="s">
        <v>86</v>
      </c>
      <c r="F208" s="500" t="s">
        <v>90</v>
      </c>
      <c r="G208" s="495" t="s">
        <v>5313</v>
      </c>
      <c r="H208" s="500" t="s">
        <v>90</v>
      </c>
      <c r="I208" s="497"/>
      <c r="J208" s="497"/>
      <c r="K208" s="496"/>
      <c r="L208" s="496"/>
      <c r="M208" s="144"/>
      <c r="N208" s="144"/>
      <c r="O208" s="144"/>
      <c r="P208" s="144"/>
      <c r="Q208" s="144"/>
      <c r="R208" s="144"/>
      <c r="S208" s="144"/>
      <c r="T208" s="144"/>
      <c r="U208" s="144"/>
      <c r="V208" s="144"/>
      <c r="W208" s="144"/>
      <c r="X208" s="144"/>
      <c r="Y208" s="144"/>
      <c r="Z208" s="144"/>
      <c r="AA208" s="144"/>
      <c r="AB208" s="144"/>
      <c r="AC208" s="144"/>
      <c r="AD208" s="144"/>
      <c r="AE208" s="144"/>
      <c r="AF208" s="144"/>
    </row>
    <row r="209" ht="16.5" customHeight="1">
      <c r="A209" s="164" t="s">
        <v>5</v>
      </c>
      <c r="E209" s="83" t="s">
        <v>86</v>
      </c>
      <c r="F209" s="440" t="s">
        <v>91</v>
      </c>
      <c r="G209" s="495" t="s">
        <v>5314</v>
      </c>
      <c r="H209" s="440" t="s">
        <v>91</v>
      </c>
      <c r="I209" s="497"/>
      <c r="J209" s="497"/>
      <c r="K209" s="496"/>
      <c r="L209" s="496"/>
      <c r="M209" s="144"/>
      <c r="N209" s="144"/>
      <c r="O209" s="144"/>
      <c r="P209" s="144"/>
      <c r="Q209" s="144"/>
      <c r="R209" s="144"/>
      <c r="S209" s="144"/>
      <c r="T209" s="144"/>
      <c r="U209" s="144"/>
      <c r="V209" s="144"/>
      <c r="W209" s="144"/>
      <c r="X209" s="144"/>
      <c r="Y209" s="144"/>
      <c r="Z209" s="144"/>
      <c r="AA209" s="144"/>
      <c r="AB209" s="144"/>
      <c r="AC209" s="144"/>
      <c r="AD209" s="144"/>
      <c r="AE209" s="144"/>
      <c r="AF209" s="144"/>
    </row>
    <row r="210" ht="16.5" customHeight="1">
      <c r="A210" s="164" t="s">
        <v>5</v>
      </c>
      <c r="E210" s="83" t="s">
        <v>86</v>
      </c>
      <c r="F210" s="500" t="s">
        <v>338</v>
      </c>
      <c r="G210" s="495" t="s">
        <v>5315</v>
      </c>
      <c r="H210" s="500" t="s">
        <v>338</v>
      </c>
      <c r="I210" s="497"/>
      <c r="J210" s="497"/>
      <c r="K210" s="496"/>
      <c r="L210" s="496"/>
      <c r="M210" s="144"/>
      <c r="N210" s="144"/>
      <c r="O210" s="144"/>
      <c r="P210" s="144"/>
      <c r="Q210" s="144"/>
      <c r="R210" s="144"/>
      <c r="S210" s="144"/>
      <c r="T210" s="144"/>
      <c r="U210" s="144"/>
      <c r="V210" s="144"/>
      <c r="W210" s="144"/>
      <c r="X210" s="144"/>
      <c r="Y210" s="144"/>
      <c r="Z210" s="144"/>
      <c r="AA210" s="144"/>
      <c r="AB210" s="144"/>
      <c r="AC210" s="144"/>
      <c r="AD210" s="144"/>
      <c r="AE210" s="144"/>
      <c r="AF210" s="144"/>
    </row>
    <row r="211" ht="16.5" customHeight="1">
      <c r="A211" s="164" t="s">
        <v>5</v>
      </c>
      <c r="E211" s="83" t="s">
        <v>104</v>
      </c>
      <c r="F211" s="440" t="s">
        <v>250</v>
      </c>
      <c r="G211" s="495" t="s">
        <v>5316</v>
      </c>
      <c r="H211" s="440" t="s">
        <v>250</v>
      </c>
      <c r="I211" s="497"/>
      <c r="J211" s="497"/>
      <c r="K211" s="496"/>
      <c r="L211" s="496"/>
      <c r="M211" s="144"/>
      <c r="N211" s="144"/>
      <c r="O211" s="144"/>
      <c r="P211" s="144"/>
      <c r="Q211" s="144"/>
      <c r="R211" s="144"/>
      <c r="S211" s="144"/>
      <c r="T211" s="144"/>
      <c r="U211" s="144"/>
      <c r="V211" s="144"/>
      <c r="W211" s="144"/>
      <c r="X211" s="144"/>
      <c r="Y211" s="144"/>
      <c r="Z211" s="144"/>
      <c r="AA211" s="144"/>
      <c r="AB211" s="144"/>
      <c r="AC211" s="144"/>
      <c r="AD211" s="144"/>
      <c r="AE211" s="144"/>
      <c r="AF211" s="144"/>
    </row>
    <row r="212" ht="16.5" customHeight="1">
      <c r="A212" s="164" t="s">
        <v>5</v>
      </c>
      <c r="E212" s="83" t="s">
        <v>178</v>
      </c>
      <c r="F212" s="500" t="s">
        <v>209</v>
      </c>
      <c r="G212" s="495" t="s">
        <v>5317</v>
      </c>
      <c r="H212" s="500" t="s">
        <v>209</v>
      </c>
      <c r="I212" s="497"/>
      <c r="J212" s="497"/>
      <c r="K212" s="496"/>
      <c r="L212" s="496"/>
      <c r="M212" s="144"/>
      <c r="N212" s="144"/>
      <c r="O212" s="144"/>
      <c r="P212" s="144"/>
      <c r="Q212" s="144"/>
      <c r="R212" s="144"/>
      <c r="S212" s="144"/>
      <c r="T212" s="144"/>
      <c r="U212" s="144"/>
      <c r="V212" s="144"/>
      <c r="W212" s="144"/>
      <c r="X212" s="144"/>
      <c r="Y212" s="144"/>
      <c r="Z212" s="144"/>
      <c r="AA212" s="144"/>
      <c r="AB212" s="144"/>
      <c r="AC212" s="144"/>
      <c r="AD212" s="144"/>
      <c r="AE212" s="144"/>
      <c r="AF212" s="144"/>
    </row>
    <row r="213" ht="16.5" customHeight="1">
      <c r="A213" s="164" t="s">
        <v>5</v>
      </c>
      <c r="E213" s="83" t="s">
        <v>178</v>
      </c>
      <c r="F213" s="440" t="s">
        <v>210</v>
      </c>
      <c r="G213" s="495" t="s">
        <v>5318</v>
      </c>
      <c r="H213" s="440" t="s">
        <v>210</v>
      </c>
      <c r="I213" s="497"/>
      <c r="J213" s="497"/>
      <c r="K213" s="496"/>
      <c r="L213" s="496"/>
      <c r="M213" s="144"/>
      <c r="N213" s="144"/>
      <c r="O213" s="144"/>
      <c r="P213" s="144"/>
      <c r="Q213" s="144"/>
      <c r="R213" s="144"/>
      <c r="S213" s="144"/>
      <c r="T213" s="144"/>
      <c r="U213" s="144"/>
      <c r="V213" s="144"/>
      <c r="W213" s="144"/>
      <c r="X213" s="144"/>
      <c r="Y213" s="144"/>
      <c r="Z213" s="144"/>
      <c r="AA213" s="144"/>
      <c r="AB213" s="144"/>
      <c r="AC213" s="144"/>
      <c r="AD213" s="144"/>
      <c r="AE213" s="144"/>
      <c r="AF213" s="144"/>
    </row>
    <row r="214" ht="16.5" customHeight="1">
      <c r="A214" s="164" t="s">
        <v>5</v>
      </c>
      <c r="B214" s="56" t="s">
        <v>5319</v>
      </c>
      <c r="C214" s="57" t="s">
        <v>5320</v>
      </c>
      <c r="D214" s="83" t="s">
        <v>20</v>
      </c>
      <c r="E214" s="83" t="s">
        <v>88</v>
      </c>
      <c r="F214" s="56" t="s">
        <v>89</v>
      </c>
      <c r="G214" s="498"/>
      <c r="H214" s="151"/>
      <c r="I214" s="497"/>
      <c r="J214" s="497"/>
      <c r="K214" s="496"/>
      <c r="L214" s="496"/>
      <c r="M214" s="144"/>
      <c r="N214" s="144"/>
      <c r="O214" s="144"/>
      <c r="P214" s="144"/>
      <c r="Q214" s="144"/>
      <c r="R214" s="144"/>
      <c r="S214" s="144"/>
      <c r="T214" s="144"/>
      <c r="U214" s="144"/>
      <c r="V214" s="144"/>
      <c r="W214" s="144"/>
      <c r="X214" s="144"/>
      <c r="Y214" s="144"/>
      <c r="Z214" s="144"/>
      <c r="AA214" s="144"/>
      <c r="AB214" s="144"/>
      <c r="AC214" s="144"/>
      <c r="AD214" s="144"/>
      <c r="AE214" s="144"/>
      <c r="AF214" s="144"/>
    </row>
    <row r="215" ht="16.5" customHeight="1">
      <c r="A215" s="164" t="s">
        <v>5</v>
      </c>
      <c r="E215" s="83" t="s">
        <v>21</v>
      </c>
      <c r="F215" s="56" t="s">
        <v>51</v>
      </c>
      <c r="G215" s="495" t="s">
        <v>5321</v>
      </c>
      <c r="H215" s="35" t="s">
        <v>51</v>
      </c>
      <c r="L215" s="496"/>
      <c r="M215" s="144"/>
      <c r="N215" s="144"/>
      <c r="O215" s="144"/>
      <c r="P215" s="144"/>
      <c r="Q215" s="144"/>
      <c r="R215" s="144"/>
      <c r="S215" s="144"/>
      <c r="T215" s="144"/>
      <c r="U215" s="144"/>
      <c r="V215" s="144"/>
      <c r="W215" s="144"/>
      <c r="X215" s="144"/>
      <c r="Y215" s="144"/>
      <c r="Z215" s="144"/>
      <c r="AA215" s="144"/>
      <c r="AB215" s="144"/>
      <c r="AC215" s="144"/>
      <c r="AD215" s="144"/>
      <c r="AE215" s="144"/>
      <c r="AF215" s="144"/>
    </row>
    <row r="216" ht="16.5" customHeight="1">
      <c r="A216" s="164" t="s">
        <v>5</v>
      </c>
      <c r="E216" s="83" t="s">
        <v>88</v>
      </c>
      <c r="F216" s="56" t="s">
        <v>154</v>
      </c>
      <c r="G216" s="495" t="s">
        <v>5322</v>
      </c>
      <c r="H216" s="56" t="s">
        <v>154</v>
      </c>
      <c r="I216" s="352"/>
      <c r="J216" s="497"/>
      <c r="K216" s="496"/>
      <c r="L216" s="496"/>
      <c r="M216" s="144"/>
      <c r="N216" s="144"/>
      <c r="O216" s="144"/>
      <c r="P216" s="144"/>
      <c r="Q216" s="144"/>
      <c r="R216" s="144"/>
      <c r="S216" s="144"/>
      <c r="T216" s="144"/>
      <c r="U216" s="144"/>
      <c r="V216" s="144"/>
      <c r="W216" s="144"/>
      <c r="X216" s="144"/>
      <c r="Y216" s="144"/>
      <c r="Z216" s="144"/>
      <c r="AA216" s="144"/>
      <c r="AB216" s="144"/>
      <c r="AC216" s="144"/>
      <c r="AD216" s="144"/>
      <c r="AE216" s="144"/>
      <c r="AF216" s="144"/>
    </row>
    <row r="217" ht="16.5" customHeight="1">
      <c r="A217" s="164" t="s">
        <v>5</v>
      </c>
      <c r="E217" s="83" t="s">
        <v>88</v>
      </c>
      <c r="F217" s="56" t="s">
        <v>859</v>
      </c>
      <c r="G217" s="495" t="s">
        <v>5323</v>
      </c>
      <c r="H217" s="56" t="s">
        <v>859</v>
      </c>
      <c r="I217" s="352"/>
      <c r="J217" s="497"/>
      <c r="K217" s="496"/>
      <c r="L217" s="496"/>
      <c r="M217" s="144"/>
      <c r="N217" s="144"/>
      <c r="O217" s="144"/>
      <c r="P217" s="144"/>
      <c r="Q217" s="144"/>
      <c r="R217" s="144"/>
      <c r="S217" s="144"/>
      <c r="T217" s="144"/>
      <c r="U217" s="144"/>
      <c r="V217" s="144"/>
      <c r="W217" s="144"/>
      <c r="X217" s="144"/>
      <c r="Y217" s="144"/>
      <c r="Z217" s="144"/>
      <c r="AA217" s="144"/>
      <c r="AB217" s="144"/>
      <c r="AC217" s="144"/>
      <c r="AD217" s="144"/>
      <c r="AE217" s="144"/>
      <c r="AF217" s="144"/>
    </row>
    <row r="218" ht="16.5" customHeight="1">
      <c r="A218" s="164" t="s">
        <v>5</v>
      </c>
      <c r="E218" s="83" t="s">
        <v>88</v>
      </c>
      <c r="F218" s="56" t="s">
        <v>879</v>
      </c>
      <c r="G218" s="495" t="s">
        <v>5324</v>
      </c>
      <c r="H218" s="56" t="s">
        <v>879</v>
      </c>
      <c r="I218" s="352"/>
      <c r="J218" s="497"/>
      <c r="K218" s="496"/>
      <c r="L218" s="496"/>
      <c r="M218" s="144"/>
      <c r="N218" s="144"/>
      <c r="O218" s="144"/>
      <c r="P218" s="144"/>
      <c r="Q218" s="144"/>
      <c r="R218" s="144"/>
      <c r="S218" s="144"/>
      <c r="T218" s="144"/>
      <c r="U218" s="144"/>
      <c r="V218" s="144"/>
      <c r="W218" s="144"/>
      <c r="X218" s="144"/>
      <c r="Y218" s="144"/>
      <c r="Z218" s="144"/>
      <c r="AA218" s="144"/>
      <c r="AB218" s="144"/>
      <c r="AC218" s="144"/>
      <c r="AD218" s="144"/>
      <c r="AE218" s="144"/>
      <c r="AF218" s="144"/>
    </row>
    <row r="219" ht="16.5" customHeight="1">
      <c r="A219" s="164" t="s">
        <v>98</v>
      </c>
      <c r="E219" s="83" t="s">
        <v>88</v>
      </c>
      <c r="F219" s="56" t="s">
        <v>881</v>
      </c>
      <c r="G219" s="495" t="s">
        <v>5325</v>
      </c>
      <c r="H219" s="56" t="s">
        <v>881</v>
      </c>
      <c r="I219" s="497"/>
      <c r="J219" s="497"/>
      <c r="K219" s="496"/>
      <c r="L219" s="496"/>
      <c r="M219" s="144"/>
      <c r="N219" s="144"/>
      <c r="O219" s="144"/>
      <c r="P219" s="144"/>
      <c r="Q219" s="144"/>
      <c r="R219" s="144"/>
      <c r="S219" s="144"/>
      <c r="T219" s="144"/>
      <c r="U219" s="144"/>
      <c r="V219" s="144"/>
      <c r="W219" s="144"/>
      <c r="X219" s="144"/>
      <c r="Y219" s="144"/>
      <c r="Z219" s="144"/>
      <c r="AA219" s="144"/>
      <c r="AB219" s="144"/>
      <c r="AC219" s="144"/>
      <c r="AD219" s="144"/>
      <c r="AE219" s="144"/>
      <c r="AF219" s="144"/>
    </row>
    <row r="220" ht="16.5" customHeight="1">
      <c r="A220" s="164" t="s">
        <v>5</v>
      </c>
      <c r="E220" s="83" t="s">
        <v>88</v>
      </c>
      <c r="F220" s="56" t="s">
        <v>870</v>
      </c>
      <c r="G220" s="495" t="s">
        <v>5326</v>
      </c>
      <c r="H220" s="56" t="s">
        <v>870</v>
      </c>
      <c r="I220" s="497"/>
      <c r="J220" s="497"/>
      <c r="K220" s="496"/>
      <c r="L220" s="496"/>
      <c r="M220" s="144"/>
      <c r="N220" s="144"/>
      <c r="O220" s="144"/>
      <c r="P220" s="144"/>
      <c r="Q220" s="144"/>
      <c r="R220" s="144"/>
      <c r="S220" s="144"/>
      <c r="T220" s="144"/>
      <c r="U220" s="144"/>
      <c r="V220" s="144"/>
      <c r="W220" s="144"/>
      <c r="X220" s="144"/>
      <c r="Y220" s="144"/>
      <c r="Z220" s="144"/>
      <c r="AA220" s="144"/>
      <c r="AB220" s="144"/>
      <c r="AC220" s="144"/>
      <c r="AD220" s="144"/>
      <c r="AE220" s="144"/>
      <c r="AF220" s="144"/>
    </row>
    <row r="221" ht="16.5" customHeight="1">
      <c r="A221" s="8" t="s">
        <v>5</v>
      </c>
      <c r="E221" s="83" t="s">
        <v>88</v>
      </c>
      <c r="F221" s="56" t="s">
        <v>881</v>
      </c>
      <c r="G221" s="34" t="s">
        <v>5327</v>
      </c>
      <c r="H221" s="35" t="s">
        <v>4399</v>
      </c>
      <c r="L221" s="9"/>
      <c r="M221" s="9"/>
      <c r="N221" s="9"/>
      <c r="O221" s="9"/>
      <c r="P221" s="9"/>
      <c r="Q221" s="9"/>
      <c r="R221" s="9"/>
      <c r="S221" s="9"/>
      <c r="T221" s="9"/>
      <c r="U221" s="9"/>
      <c r="V221" s="9"/>
      <c r="W221" s="9"/>
      <c r="X221" s="9"/>
      <c r="Y221" s="9"/>
      <c r="Z221" s="9"/>
      <c r="AA221" s="9"/>
      <c r="AB221" s="9"/>
      <c r="AC221" s="9"/>
      <c r="AD221" s="9"/>
      <c r="AE221" s="9"/>
      <c r="AF221" s="9"/>
    </row>
    <row r="222" ht="16.5" customHeight="1">
      <c r="A222" s="8" t="s">
        <v>5</v>
      </c>
      <c r="E222" s="83" t="s">
        <v>88</v>
      </c>
      <c r="F222" s="56" t="s">
        <v>870</v>
      </c>
      <c r="G222" s="34" t="s">
        <v>5328</v>
      </c>
      <c r="H222" s="35" t="s">
        <v>4369</v>
      </c>
      <c r="L222" s="9"/>
      <c r="M222" s="9"/>
      <c r="N222" s="9"/>
      <c r="O222" s="9"/>
      <c r="P222" s="9"/>
      <c r="Q222" s="9"/>
      <c r="R222" s="9"/>
      <c r="S222" s="9"/>
      <c r="T222" s="9"/>
      <c r="U222" s="9"/>
      <c r="V222" s="9"/>
      <c r="W222" s="9"/>
      <c r="X222" s="9"/>
      <c r="Y222" s="9"/>
      <c r="Z222" s="9"/>
      <c r="AA222" s="9"/>
      <c r="AB222" s="9"/>
      <c r="AC222" s="9"/>
      <c r="AD222" s="9"/>
      <c r="AE222" s="9"/>
      <c r="AF222" s="9"/>
    </row>
    <row r="223" ht="16.5" customHeight="1">
      <c r="A223" s="8" t="s">
        <v>5</v>
      </c>
      <c r="E223" s="83" t="s">
        <v>88</v>
      </c>
      <c r="F223" s="56" t="s">
        <v>869</v>
      </c>
      <c r="G223" s="29"/>
      <c r="H223" s="31"/>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ht="16.5" customHeight="1">
      <c r="A224" s="8" t="s">
        <v>5</v>
      </c>
      <c r="E224" s="83" t="s">
        <v>88</v>
      </c>
      <c r="F224" s="56" t="s">
        <v>120</v>
      </c>
      <c r="G224" s="34" t="s">
        <v>5329</v>
      </c>
      <c r="H224" s="56" t="s">
        <v>120</v>
      </c>
      <c r="I224" s="31"/>
      <c r="J224" s="9"/>
      <c r="K224" s="9"/>
      <c r="L224" s="9"/>
      <c r="M224" s="9"/>
      <c r="N224" s="9"/>
      <c r="O224" s="9"/>
      <c r="P224" s="9"/>
      <c r="Q224" s="9"/>
      <c r="R224" s="9"/>
      <c r="S224" s="9"/>
      <c r="T224" s="9"/>
      <c r="U224" s="9"/>
      <c r="V224" s="9"/>
      <c r="W224" s="9"/>
      <c r="X224" s="9"/>
      <c r="Y224" s="9"/>
      <c r="Z224" s="9"/>
      <c r="AA224" s="9"/>
      <c r="AB224" s="9"/>
      <c r="AC224" s="9"/>
      <c r="AD224" s="9"/>
      <c r="AE224" s="9"/>
      <c r="AF224" s="9"/>
    </row>
    <row r="225" ht="16.5" customHeight="1">
      <c r="A225" s="8" t="s">
        <v>5</v>
      </c>
      <c r="E225" s="83" t="s">
        <v>88</v>
      </c>
      <c r="F225" s="56" t="s">
        <v>544</v>
      </c>
      <c r="G225" s="34" t="s">
        <v>5330</v>
      </c>
      <c r="H225" s="56" t="s">
        <v>544</v>
      </c>
      <c r="I225" s="31"/>
      <c r="J225" s="9"/>
      <c r="K225" s="9"/>
      <c r="L225" s="9"/>
      <c r="M225" s="9"/>
      <c r="N225" s="9"/>
      <c r="O225" s="9"/>
      <c r="P225" s="9"/>
      <c r="Q225" s="9"/>
      <c r="R225" s="9"/>
      <c r="S225" s="9"/>
      <c r="T225" s="9"/>
      <c r="U225" s="9"/>
      <c r="V225" s="9"/>
      <c r="W225" s="9"/>
      <c r="X225" s="9"/>
      <c r="Y225" s="9"/>
      <c r="Z225" s="9"/>
      <c r="AA225" s="9"/>
      <c r="AB225" s="9"/>
      <c r="AC225" s="9"/>
      <c r="AD225" s="9"/>
      <c r="AE225" s="9"/>
      <c r="AF225" s="9"/>
    </row>
    <row r="226" ht="16.5" customHeight="1">
      <c r="A226" s="8" t="s">
        <v>5</v>
      </c>
      <c r="E226" s="83" t="s">
        <v>88</v>
      </c>
      <c r="F226" s="56" t="s">
        <v>247</v>
      </c>
      <c r="G226" s="31"/>
      <c r="H226" s="31"/>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ht="16.5" customHeight="1">
      <c r="A227" s="8" t="s">
        <v>5</v>
      </c>
      <c r="E227" s="83" t="s">
        <v>88</v>
      </c>
      <c r="F227" s="56" t="s">
        <v>95</v>
      </c>
      <c r="G227" s="34" t="s">
        <v>5331</v>
      </c>
      <c r="H227" s="56" t="s">
        <v>95</v>
      </c>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ht="16.5" customHeight="1">
      <c r="A228" s="8" t="s">
        <v>5</v>
      </c>
      <c r="E228" s="83" t="s">
        <v>88</v>
      </c>
      <c r="F228" s="56" t="s">
        <v>96</v>
      </c>
      <c r="G228" s="34" t="s">
        <v>5332</v>
      </c>
      <c r="H228" s="56" t="s">
        <v>96</v>
      </c>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ht="16.5" customHeight="1">
      <c r="A229" s="8" t="s">
        <v>5</v>
      </c>
      <c r="E229" s="83" t="s">
        <v>88</v>
      </c>
      <c r="F229" s="56" t="s">
        <v>122</v>
      </c>
      <c r="G229" s="34" t="s">
        <v>5333</v>
      </c>
      <c r="H229" s="56" t="s">
        <v>122</v>
      </c>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ht="16.5" customHeight="1">
      <c r="A230" s="8" t="s">
        <v>5</v>
      </c>
      <c r="E230" s="83" t="s">
        <v>86</v>
      </c>
      <c r="F230" s="500" t="s">
        <v>90</v>
      </c>
      <c r="G230" s="34" t="s">
        <v>5334</v>
      </c>
      <c r="H230" s="500" t="s">
        <v>90</v>
      </c>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ht="16.5" customHeight="1">
      <c r="A231" s="8" t="s">
        <v>5</v>
      </c>
      <c r="E231" s="83" t="s">
        <v>86</v>
      </c>
      <c r="F231" s="440" t="s">
        <v>91</v>
      </c>
      <c r="G231" s="34" t="s">
        <v>5335</v>
      </c>
      <c r="H231" s="440" t="s">
        <v>91</v>
      </c>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ht="16.5" customHeight="1">
      <c r="A232" s="8" t="s">
        <v>5</v>
      </c>
      <c r="E232" s="83" t="s">
        <v>86</v>
      </c>
      <c r="F232" s="500" t="s">
        <v>338</v>
      </c>
      <c r="G232" s="34" t="s">
        <v>5336</v>
      </c>
      <c r="H232" s="500" t="s">
        <v>338</v>
      </c>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ht="16.5" customHeight="1">
      <c r="A233" s="8" t="s">
        <v>5</v>
      </c>
      <c r="E233" s="83" t="s">
        <v>104</v>
      </c>
      <c r="F233" s="440" t="s">
        <v>250</v>
      </c>
      <c r="G233" s="34" t="s">
        <v>5337</v>
      </c>
      <c r="H233" s="440" t="s">
        <v>250</v>
      </c>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ht="16.5" customHeight="1">
      <c r="A234" s="8" t="s">
        <v>5</v>
      </c>
      <c r="E234" s="83" t="s">
        <v>178</v>
      </c>
      <c r="F234" s="500" t="s">
        <v>209</v>
      </c>
      <c r="G234" s="34" t="s">
        <v>5338</v>
      </c>
      <c r="H234" s="500" t="s">
        <v>209</v>
      </c>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ht="16.5" customHeight="1">
      <c r="A235" s="8" t="s">
        <v>5</v>
      </c>
      <c r="E235" s="83" t="s">
        <v>178</v>
      </c>
      <c r="F235" s="440" t="s">
        <v>210</v>
      </c>
      <c r="G235" s="34" t="s">
        <v>5339</v>
      </c>
      <c r="H235" s="440" t="s">
        <v>210</v>
      </c>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ht="16.5" customHeight="1">
      <c r="A236" s="8" t="s">
        <v>5</v>
      </c>
      <c r="B236" s="348" t="s">
        <v>5340</v>
      </c>
      <c r="C236" s="507" t="s">
        <v>5341</v>
      </c>
      <c r="D236" s="83" t="s">
        <v>20</v>
      </c>
      <c r="E236" s="83" t="s">
        <v>88</v>
      </c>
      <c r="F236" s="56" t="s">
        <v>89</v>
      </c>
      <c r="G236" s="29"/>
      <c r="H236" s="36"/>
      <c r="L236" s="9"/>
      <c r="M236" s="9"/>
      <c r="N236" s="9"/>
      <c r="O236" s="9"/>
      <c r="P236" s="9"/>
      <c r="Q236" s="9"/>
      <c r="R236" s="9"/>
      <c r="S236" s="9"/>
      <c r="T236" s="9"/>
      <c r="U236" s="9"/>
      <c r="V236" s="9"/>
      <c r="W236" s="9"/>
      <c r="X236" s="9"/>
      <c r="Y236" s="9"/>
      <c r="Z236" s="9"/>
      <c r="AA236" s="9"/>
      <c r="AB236" s="9"/>
      <c r="AC236" s="9"/>
      <c r="AD236" s="9"/>
      <c r="AE236" s="9"/>
      <c r="AF236" s="9"/>
    </row>
    <row r="237" ht="16.5" customHeight="1">
      <c r="A237" s="8" t="s">
        <v>5</v>
      </c>
      <c r="E237" s="83" t="s">
        <v>21</v>
      </c>
      <c r="F237" s="56" t="s">
        <v>51</v>
      </c>
      <c r="G237" s="34" t="s">
        <v>5342</v>
      </c>
      <c r="H237" s="35" t="s">
        <v>51</v>
      </c>
      <c r="L237" s="9"/>
      <c r="M237" s="9"/>
      <c r="N237" s="9"/>
      <c r="O237" s="9"/>
      <c r="P237" s="9"/>
      <c r="Q237" s="9"/>
      <c r="R237" s="9"/>
      <c r="S237" s="9"/>
      <c r="T237" s="9"/>
      <c r="U237" s="9"/>
      <c r="V237" s="9"/>
      <c r="W237" s="9"/>
      <c r="X237" s="9"/>
      <c r="Y237" s="9"/>
      <c r="Z237" s="9"/>
      <c r="AA237" s="9"/>
      <c r="AB237" s="9"/>
      <c r="AC237" s="9"/>
      <c r="AD237" s="9"/>
      <c r="AE237" s="9"/>
      <c r="AF237" s="9"/>
    </row>
    <row r="238" ht="16.5" customHeight="1">
      <c r="A238" s="8" t="s">
        <v>5</v>
      </c>
      <c r="E238" s="83" t="s">
        <v>88</v>
      </c>
      <c r="F238" s="56" t="s">
        <v>154</v>
      </c>
      <c r="G238" s="34" t="s">
        <v>5343</v>
      </c>
      <c r="H238" s="56" t="s">
        <v>154</v>
      </c>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ht="16.5" customHeight="1">
      <c r="A239" s="8" t="s">
        <v>5</v>
      </c>
      <c r="E239" s="83" t="s">
        <v>88</v>
      </c>
      <c r="F239" s="56" t="s">
        <v>859</v>
      </c>
      <c r="G239" s="34" t="s">
        <v>5344</v>
      </c>
      <c r="H239" s="56" t="s">
        <v>859</v>
      </c>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ht="16.5" customHeight="1">
      <c r="A240" s="8" t="s">
        <v>5</v>
      </c>
      <c r="E240" s="83" t="s">
        <v>88</v>
      </c>
      <c r="F240" s="56" t="s">
        <v>879</v>
      </c>
      <c r="G240" s="194" t="s">
        <v>5345</v>
      </c>
      <c r="H240" s="56" t="s">
        <v>879</v>
      </c>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ht="16.5" customHeight="1">
      <c r="A241" s="8" t="s">
        <v>5</v>
      </c>
      <c r="E241" s="83" t="s">
        <v>88</v>
      </c>
      <c r="F241" s="56" t="s">
        <v>877</v>
      </c>
      <c r="G241" s="34" t="s">
        <v>5346</v>
      </c>
      <c r="H241" s="56" t="s">
        <v>877</v>
      </c>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ht="16.5" customHeight="1">
      <c r="A242" s="8" t="s">
        <v>5</v>
      </c>
      <c r="E242" s="83" t="s">
        <v>88</v>
      </c>
      <c r="F242" s="56" t="s">
        <v>881</v>
      </c>
      <c r="G242" s="34" t="s">
        <v>5347</v>
      </c>
      <c r="H242" s="56" t="s">
        <v>881</v>
      </c>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ht="16.5" customHeight="1">
      <c r="A243" s="8" t="s">
        <v>5</v>
      </c>
      <c r="E243" s="83" t="s">
        <v>88</v>
      </c>
      <c r="F243" s="56" t="s">
        <v>870</v>
      </c>
      <c r="G243" s="34" t="s">
        <v>5348</v>
      </c>
      <c r="H243" s="56" t="s">
        <v>870</v>
      </c>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ht="16.5" customHeight="1">
      <c r="A244" s="8" t="s">
        <v>5</v>
      </c>
      <c r="E244" s="83" t="s">
        <v>88</v>
      </c>
      <c r="F244" s="56" t="s">
        <v>881</v>
      </c>
      <c r="G244" s="34" t="s">
        <v>5349</v>
      </c>
      <c r="H244" s="35" t="s">
        <v>4399</v>
      </c>
      <c r="L244" s="9"/>
      <c r="M244" s="9"/>
      <c r="N244" s="9"/>
      <c r="O244" s="9"/>
      <c r="P244" s="9"/>
      <c r="Q244" s="9"/>
      <c r="R244" s="9"/>
      <c r="S244" s="9"/>
      <c r="T244" s="9"/>
      <c r="U244" s="9"/>
      <c r="V244" s="9"/>
      <c r="W244" s="9"/>
      <c r="X244" s="9"/>
      <c r="Y244" s="9"/>
      <c r="Z244" s="9"/>
      <c r="AA244" s="9"/>
      <c r="AB244" s="9"/>
      <c r="AC244" s="9"/>
      <c r="AD244" s="9"/>
      <c r="AE244" s="9"/>
      <c r="AF244" s="9"/>
    </row>
    <row r="245" ht="16.5" customHeight="1">
      <c r="A245" s="8" t="s">
        <v>5</v>
      </c>
      <c r="E245" s="83" t="s">
        <v>88</v>
      </c>
      <c r="F245" s="56" t="s">
        <v>870</v>
      </c>
      <c r="G245" s="34" t="s">
        <v>5350</v>
      </c>
      <c r="H245" s="35" t="s">
        <v>4369</v>
      </c>
      <c r="L245" s="9"/>
      <c r="M245" s="9"/>
      <c r="N245" s="9"/>
      <c r="O245" s="9"/>
      <c r="P245" s="9"/>
      <c r="Q245" s="9"/>
      <c r="R245" s="9"/>
      <c r="S245" s="9"/>
      <c r="T245" s="9"/>
      <c r="U245" s="9"/>
      <c r="V245" s="9"/>
      <c r="W245" s="9"/>
      <c r="X245" s="9"/>
      <c r="Y245" s="9"/>
      <c r="Z245" s="9"/>
      <c r="AA245" s="9"/>
      <c r="AB245" s="9"/>
      <c r="AC245" s="9"/>
      <c r="AD245" s="9"/>
      <c r="AE245" s="9"/>
      <c r="AF245" s="9"/>
    </row>
    <row r="246" ht="16.5" customHeight="1">
      <c r="A246" s="8" t="s">
        <v>5</v>
      </c>
      <c r="E246" s="8" t="s">
        <v>88</v>
      </c>
      <c r="F246" s="8" t="s">
        <v>875</v>
      </c>
      <c r="G246" s="34" t="s">
        <v>5351</v>
      </c>
      <c r="H246" s="8" t="s">
        <v>875</v>
      </c>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ht="16.5" customHeight="1">
      <c r="A247" s="8" t="s">
        <v>5</v>
      </c>
      <c r="E247" s="8" t="s">
        <v>88</v>
      </c>
      <c r="F247" s="8" t="s">
        <v>872</v>
      </c>
      <c r="G247" s="34" t="s">
        <v>5352</v>
      </c>
      <c r="H247" s="8" t="s">
        <v>852</v>
      </c>
      <c r="J247" s="9"/>
      <c r="K247" s="9"/>
      <c r="L247" s="9"/>
      <c r="M247" s="9"/>
      <c r="N247" s="9"/>
      <c r="O247" s="9"/>
      <c r="P247" s="9"/>
      <c r="Q247" s="9"/>
      <c r="R247" s="9"/>
      <c r="S247" s="9"/>
      <c r="T247" s="9"/>
      <c r="U247" s="9"/>
      <c r="V247" s="9"/>
      <c r="W247" s="9"/>
      <c r="X247" s="9"/>
      <c r="Y247" s="9"/>
      <c r="Z247" s="9"/>
      <c r="AA247" s="9"/>
      <c r="AB247" s="9"/>
      <c r="AC247" s="9"/>
      <c r="AD247" s="9"/>
      <c r="AE247" s="9"/>
      <c r="AF247" s="9"/>
    </row>
    <row r="248" ht="16.5" customHeight="1">
      <c r="A248" s="8" t="s">
        <v>5</v>
      </c>
      <c r="E248" s="8" t="s">
        <v>88</v>
      </c>
      <c r="F248" s="8" t="s">
        <v>875</v>
      </c>
      <c r="G248" s="34" t="s">
        <v>5353</v>
      </c>
      <c r="H248" s="35" t="s">
        <v>4328</v>
      </c>
      <c r="I248" s="36"/>
      <c r="L248" s="9"/>
      <c r="M248" s="9"/>
      <c r="N248" s="9"/>
      <c r="O248" s="9"/>
      <c r="P248" s="9"/>
      <c r="Q248" s="9"/>
      <c r="R248" s="9"/>
      <c r="S248" s="9"/>
      <c r="T248" s="9"/>
      <c r="U248" s="9"/>
      <c r="V248" s="9"/>
      <c r="W248" s="9"/>
      <c r="X248" s="9"/>
      <c r="Y248" s="9"/>
      <c r="Z248" s="9"/>
      <c r="AA248" s="9"/>
      <c r="AB248" s="9"/>
      <c r="AC248" s="9"/>
      <c r="AD248" s="9"/>
      <c r="AE248" s="9"/>
      <c r="AF248" s="9"/>
    </row>
    <row r="249" ht="16.5" customHeight="1">
      <c r="A249" s="8" t="s">
        <v>5</v>
      </c>
      <c r="E249" s="8" t="s">
        <v>88</v>
      </c>
      <c r="F249" s="8" t="s">
        <v>872</v>
      </c>
      <c r="G249" s="34" t="s">
        <v>5354</v>
      </c>
      <c r="H249" s="35" t="s">
        <v>1076</v>
      </c>
      <c r="I249" s="36"/>
      <c r="L249" s="9"/>
      <c r="M249" s="9"/>
      <c r="N249" s="9"/>
      <c r="O249" s="9"/>
      <c r="P249" s="9"/>
      <c r="Q249" s="9"/>
      <c r="R249" s="9"/>
      <c r="S249" s="9"/>
      <c r="T249" s="9"/>
      <c r="U249" s="9"/>
      <c r="V249" s="9"/>
      <c r="W249" s="9"/>
      <c r="X249" s="9"/>
      <c r="Y249" s="9"/>
      <c r="Z249" s="9"/>
      <c r="AA249" s="9"/>
      <c r="AB249" s="9"/>
      <c r="AC249" s="9"/>
      <c r="AD249" s="9"/>
      <c r="AE249" s="9"/>
      <c r="AF249" s="9"/>
    </row>
    <row r="250" ht="16.5" customHeight="1">
      <c r="A250" s="8" t="s">
        <v>5</v>
      </c>
      <c r="E250" s="83" t="s">
        <v>88</v>
      </c>
      <c r="F250" s="56" t="s">
        <v>869</v>
      </c>
      <c r="G250" s="29"/>
      <c r="H250" s="36"/>
      <c r="L250" s="9"/>
      <c r="M250" s="9"/>
      <c r="N250" s="9"/>
      <c r="O250" s="9"/>
      <c r="P250" s="9"/>
      <c r="Q250" s="9"/>
      <c r="R250" s="9"/>
      <c r="S250" s="9"/>
      <c r="T250" s="9"/>
      <c r="U250" s="9"/>
      <c r="V250" s="9"/>
      <c r="W250" s="9"/>
      <c r="X250" s="9"/>
      <c r="Y250" s="9"/>
      <c r="Z250" s="9"/>
      <c r="AA250" s="9"/>
      <c r="AB250" s="9"/>
      <c r="AC250" s="9"/>
      <c r="AD250" s="9"/>
      <c r="AE250" s="9"/>
      <c r="AF250" s="9"/>
    </row>
    <row r="251" ht="16.5" customHeight="1">
      <c r="A251" s="8" t="s">
        <v>5</v>
      </c>
      <c r="E251" s="83" t="s">
        <v>88</v>
      </c>
      <c r="F251" s="56" t="s">
        <v>120</v>
      </c>
      <c r="G251" s="34" t="s">
        <v>5355</v>
      </c>
      <c r="H251" s="56" t="s">
        <v>120</v>
      </c>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ht="16.5" customHeight="1">
      <c r="A252" s="8" t="s">
        <v>5</v>
      </c>
      <c r="E252" s="83" t="s">
        <v>88</v>
      </c>
      <c r="F252" s="56" t="s">
        <v>544</v>
      </c>
      <c r="G252" s="34" t="s">
        <v>5356</v>
      </c>
      <c r="H252" s="56" t="s">
        <v>544</v>
      </c>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ht="16.5" customHeight="1">
      <c r="A253" s="8" t="s">
        <v>5</v>
      </c>
      <c r="E253" s="83" t="s">
        <v>88</v>
      </c>
      <c r="F253" s="56" t="s">
        <v>247</v>
      </c>
      <c r="G253" s="29"/>
      <c r="H253" s="31"/>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ht="16.5" customHeight="1">
      <c r="A254" s="8" t="s">
        <v>5</v>
      </c>
      <c r="E254" s="83" t="s">
        <v>88</v>
      </c>
      <c r="F254" s="56" t="s">
        <v>95</v>
      </c>
      <c r="G254" s="194" t="s">
        <v>5357</v>
      </c>
      <c r="H254" s="56" t="s">
        <v>95</v>
      </c>
      <c r="I254" s="31"/>
      <c r="J254" s="9"/>
      <c r="K254" s="9"/>
      <c r="L254" s="9"/>
      <c r="M254" s="9"/>
      <c r="N254" s="9"/>
      <c r="O254" s="9"/>
      <c r="P254" s="9"/>
      <c r="Q254" s="9"/>
      <c r="R254" s="9"/>
      <c r="S254" s="9"/>
      <c r="T254" s="9"/>
      <c r="U254" s="9"/>
      <c r="V254" s="9"/>
      <c r="W254" s="9"/>
      <c r="X254" s="9"/>
      <c r="Y254" s="9"/>
      <c r="Z254" s="9"/>
      <c r="AA254" s="9"/>
      <c r="AB254" s="9"/>
      <c r="AC254" s="9"/>
      <c r="AD254" s="9"/>
      <c r="AE254" s="9"/>
      <c r="AF254" s="9"/>
    </row>
    <row r="255" ht="16.5" customHeight="1">
      <c r="A255" s="8" t="s">
        <v>5</v>
      </c>
      <c r="E255" s="83" t="s">
        <v>88</v>
      </c>
      <c r="F255" s="56" t="s">
        <v>96</v>
      </c>
      <c r="G255" s="34" t="s">
        <v>5358</v>
      </c>
      <c r="H255" s="56" t="s">
        <v>96</v>
      </c>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ht="16.5" customHeight="1">
      <c r="A256" s="8" t="s">
        <v>5</v>
      </c>
      <c r="E256" s="83" t="s">
        <v>88</v>
      </c>
      <c r="F256" s="56" t="s">
        <v>122</v>
      </c>
      <c r="G256" s="34" t="s">
        <v>5359</v>
      </c>
      <c r="H256" s="56" t="s">
        <v>122</v>
      </c>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ht="16.5" customHeight="1">
      <c r="A257" s="8" t="s">
        <v>5</v>
      </c>
      <c r="E257" s="83" t="s">
        <v>86</v>
      </c>
      <c r="F257" s="500" t="s">
        <v>90</v>
      </c>
      <c r="G257" s="34" t="s">
        <v>5360</v>
      </c>
      <c r="H257" s="500" t="s">
        <v>90</v>
      </c>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ht="16.5" customHeight="1">
      <c r="A258" s="8" t="s">
        <v>5</v>
      </c>
      <c r="E258" s="83" t="s">
        <v>86</v>
      </c>
      <c r="F258" s="500" t="s">
        <v>338</v>
      </c>
      <c r="G258" s="34" t="s">
        <v>5361</v>
      </c>
      <c r="H258" s="500" t="s">
        <v>338</v>
      </c>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ht="16.5" customHeight="1">
      <c r="A259" s="8" t="s">
        <v>5</v>
      </c>
      <c r="E259" s="83" t="s">
        <v>104</v>
      </c>
      <c r="F259" s="440" t="s">
        <v>250</v>
      </c>
      <c r="G259" s="34" t="s">
        <v>5362</v>
      </c>
      <c r="H259" s="440" t="s">
        <v>250</v>
      </c>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ht="16.5" customHeight="1">
      <c r="A260" s="8" t="s">
        <v>5</v>
      </c>
      <c r="E260" s="83" t="s">
        <v>178</v>
      </c>
      <c r="F260" s="500" t="s">
        <v>209</v>
      </c>
      <c r="G260" s="34" t="s">
        <v>5363</v>
      </c>
      <c r="H260" s="500" t="s">
        <v>209</v>
      </c>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ht="16.5" customHeight="1">
      <c r="A261" s="8" t="s">
        <v>5</v>
      </c>
      <c r="E261" s="83" t="s">
        <v>178</v>
      </c>
      <c r="F261" s="440" t="s">
        <v>210</v>
      </c>
      <c r="G261" s="34" t="s">
        <v>5364</v>
      </c>
      <c r="H261" s="440" t="s">
        <v>210</v>
      </c>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ht="16.5" customHeight="1">
      <c r="A262" s="8" t="s">
        <v>5</v>
      </c>
      <c r="B262" s="348" t="s">
        <v>5365</v>
      </c>
      <c r="C262" s="507" t="s">
        <v>5366</v>
      </c>
      <c r="D262" s="83" t="s">
        <v>20</v>
      </c>
      <c r="E262" s="83" t="s">
        <v>88</v>
      </c>
      <c r="F262" s="56" t="s">
        <v>89</v>
      </c>
      <c r="G262" s="29"/>
      <c r="H262" s="36"/>
      <c r="L262" s="9"/>
      <c r="M262" s="9"/>
      <c r="N262" s="9"/>
      <c r="O262" s="9"/>
      <c r="P262" s="9"/>
      <c r="Q262" s="9"/>
      <c r="R262" s="9"/>
      <c r="S262" s="9"/>
      <c r="T262" s="9"/>
      <c r="U262" s="9"/>
      <c r="V262" s="9"/>
      <c r="W262" s="9"/>
      <c r="X262" s="9"/>
      <c r="Y262" s="9"/>
      <c r="Z262" s="9"/>
      <c r="AA262" s="9"/>
      <c r="AB262" s="9"/>
      <c r="AC262" s="9"/>
      <c r="AD262" s="9"/>
      <c r="AE262" s="9"/>
      <c r="AF262" s="9"/>
    </row>
    <row r="263" ht="16.5" customHeight="1">
      <c r="A263" s="8" t="s">
        <v>5</v>
      </c>
      <c r="E263" s="83" t="s">
        <v>21</v>
      </c>
      <c r="F263" s="56" t="s">
        <v>51</v>
      </c>
      <c r="G263" s="34" t="s">
        <v>5367</v>
      </c>
      <c r="H263" s="56" t="s">
        <v>51</v>
      </c>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ht="16.5" customHeight="1">
      <c r="A264" s="8" t="s">
        <v>5</v>
      </c>
      <c r="E264" s="83" t="s">
        <v>88</v>
      </c>
      <c r="F264" s="56" t="s">
        <v>154</v>
      </c>
      <c r="G264" s="34" t="s">
        <v>5368</v>
      </c>
      <c r="H264" s="56" t="s">
        <v>154</v>
      </c>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ht="16.5" customHeight="1">
      <c r="A265" s="8" t="s">
        <v>5</v>
      </c>
      <c r="E265" s="83" t="s">
        <v>88</v>
      </c>
      <c r="F265" s="56" t="s">
        <v>859</v>
      </c>
      <c r="G265" s="34" t="s">
        <v>5369</v>
      </c>
      <c r="H265" s="56" t="s">
        <v>859</v>
      </c>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ht="16.5" customHeight="1">
      <c r="A266" s="8" t="s">
        <v>5</v>
      </c>
      <c r="E266" s="83" t="s">
        <v>88</v>
      </c>
      <c r="F266" s="56" t="s">
        <v>879</v>
      </c>
      <c r="G266" s="34" t="s">
        <v>5370</v>
      </c>
      <c r="H266" s="56" t="s">
        <v>879</v>
      </c>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ht="16.5" customHeight="1">
      <c r="A267" s="8" t="s">
        <v>5</v>
      </c>
      <c r="E267" s="83" t="s">
        <v>88</v>
      </c>
      <c r="F267" s="56" t="s">
        <v>877</v>
      </c>
      <c r="G267" s="194" t="s">
        <v>5371</v>
      </c>
      <c r="H267" s="56" t="s">
        <v>877</v>
      </c>
      <c r="I267" s="31"/>
      <c r="J267" s="9"/>
      <c r="K267" s="9"/>
      <c r="L267" s="9"/>
      <c r="M267" s="9"/>
      <c r="N267" s="9"/>
      <c r="O267" s="9"/>
      <c r="P267" s="9"/>
      <c r="Q267" s="9"/>
      <c r="R267" s="9"/>
      <c r="S267" s="9"/>
      <c r="T267" s="9"/>
      <c r="U267" s="9"/>
      <c r="V267" s="9"/>
      <c r="W267" s="9"/>
      <c r="X267" s="9"/>
      <c r="Y267" s="9"/>
      <c r="Z267" s="9"/>
      <c r="AA267" s="9"/>
      <c r="AB267" s="9"/>
      <c r="AC267" s="9"/>
      <c r="AD267" s="9"/>
      <c r="AE267" s="9"/>
      <c r="AF267" s="9"/>
    </row>
    <row r="268" ht="16.5" customHeight="1">
      <c r="A268" s="8" t="s">
        <v>5</v>
      </c>
      <c r="E268" s="83" t="s">
        <v>88</v>
      </c>
      <c r="F268" s="56" t="s">
        <v>881</v>
      </c>
      <c r="G268" s="34" t="s">
        <v>5372</v>
      </c>
      <c r="H268" s="56" t="s">
        <v>881</v>
      </c>
      <c r="I268" s="31"/>
      <c r="J268" s="9"/>
      <c r="K268" s="9"/>
      <c r="L268" s="9"/>
      <c r="M268" s="9"/>
      <c r="N268" s="9"/>
      <c r="O268" s="9"/>
      <c r="P268" s="9"/>
      <c r="Q268" s="9"/>
      <c r="R268" s="9"/>
      <c r="S268" s="9"/>
      <c r="T268" s="9"/>
      <c r="U268" s="9"/>
      <c r="V268" s="9"/>
      <c r="W268" s="9"/>
      <c r="X268" s="9"/>
      <c r="Y268" s="9"/>
      <c r="Z268" s="9"/>
      <c r="AA268" s="9"/>
      <c r="AB268" s="9"/>
      <c r="AC268" s="9"/>
      <c r="AD268" s="9"/>
      <c r="AE268" s="9"/>
      <c r="AF268" s="9"/>
    </row>
    <row r="269" ht="16.5" customHeight="1">
      <c r="A269" s="8" t="s">
        <v>5</v>
      </c>
      <c r="E269" s="83" t="s">
        <v>88</v>
      </c>
      <c r="F269" s="56" t="s">
        <v>870</v>
      </c>
      <c r="G269" s="34" t="s">
        <v>5373</v>
      </c>
      <c r="H269" s="56" t="s">
        <v>870</v>
      </c>
      <c r="I269" s="31"/>
      <c r="J269" s="9"/>
      <c r="K269" s="9"/>
      <c r="L269" s="9"/>
      <c r="M269" s="9"/>
      <c r="N269" s="9"/>
      <c r="O269" s="9"/>
      <c r="P269" s="9"/>
      <c r="Q269" s="9"/>
      <c r="R269" s="9"/>
      <c r="S269" s="9"/>
      <c r="T269" s="9"/>
      <c r="U269" s="9"/>
      <c r="V269" s="9"/>
      <c r="W269" s="9"/>
      <c r="X269" s="9"/>
      <c r="Y269" s="9"/>
      <c r="Z269" s="9"/>
      <c r="AA269" s="9"/>
      <c r="AB269" s="9"/>
      <c r="AC269" s="9"/>
      <c r="AD269" s="9"/>
      <c r="AE269" s="9"/>
      <c r="AF269" s="9"/>
    </row>
    <row r="270" ht="16.5" customHeight="1">
      <c r="A270" s="8" t="s">
        <v>5</v>
      </c>
      <c r="E270" s="83" t="s">
        <v>88</v>
      </c>
      <c r="F270" s="56" t="s">
        <v>881</v>
      </c>
      <c r="G270" s="34" t="s">
        <v>5374</v>
      </c>
      <c r="H270" s="35" t="s">
        <v>4399</v>
      </c>
      <c r="L270" s="9"/>
      <c r="M270" s="9"/>
      <c r="N270" s="9"/>
      <c r="O270" s="9"/>
      <c r="P270" s="9"/>
      <c r="Q270" s="9"/>
      <c r="R270" s="9"/>
      <c r="S270" s="9"/>
      <c r="T270" s="9"/>
      <c r="U270" s="9"/>
      <c r="V270" s="9"/>
      <c r="W270" s="9"/>
      <c r="X270" s="9"/>
      <c r="Y270" s="9"/>
      <c r="Z270" s="9"/>
      <c r="AA270" s="9"/>
      <c r="AB270" s="9"/>
      <c r="AC270" s="9"/>
      <c r="AD270" s="9"/>
      <c r="AE270" s="9"/>
      <c r="AF270" s="9"/>
    </row>
    <row r="271" ht="16.5" customHeight="1">
      <c r="A271" s="8" t="s">
        <v>5</v>
      </c>
      <c r="E271" s="83" t="s">
        <v>88</v>
      </c>
      <c r="F271" s="56" t="s">
        <v>870</v>
      </c>
      <c r="G271" s="34" t="s">
        <v>5375</v>
      </c>
      <c r="H271" s="35" t="s">
        <v>4369</v>
      </c>
      <c r="L271" s="9"/>
      <c r="M271" s="9"/>
      <c r="N271" s="9"/>
      <c r="O271" s="9"/>
      <c r="P271" s="9"/>
      <c r="Q271" s="9"/>
      <c r="R271" s="9"/>
      <c r="S271" s="9"/>
      <c r="T271" s="9"/>
      <c r="U271" s="9"/>
      <c r="V271" s="9"/>
      <c r="W271" s="9"/>
      <c r="X271" s="9"/>
      <c r="Y271" s="9"/>
      <c r="Z271" s="9"/>
      <c r="AA271" s="9"/>
      <c r="AB271" s="9"/>
      <c r="AC271" s="9"/>
      <c r="AD271" s="9"/>
      <c r="AE271" s="9"/>
      <c r="AF271" s="9"/>
    </row>
    <row r="272" ht="16.5" customHeight="1">
      <c r="A272" s="8" t="s">
        <v>5</v>
      </c>
      <c r="E272" s="8" t="s">
        <v>88</v>
      </c>
      <c r="F272" s="8" t="s">
        <v>875</v>
      </c>
      <c r="G272" s="34" t="s">
        <v>5376</v>
      </c>
      <c r="H272" s="8" t="s">
        <v>875</v>
      </c>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ht="16.5" customHeight="1">
      <c r="A273" s="8" t="s">
        <v>5</v>
      </c>
      <c r="E273" s="8" t="s">
        <v>88</v>
      </c>
      <c r="F273" s="8" t="s">
        <v>872</v>
      </c>
      <c r="G273" s="34" t="s">
        <v>5377</v>
      </c>
      <c r="H273" s="35" t="s">
        <v>846</v>
      </c>
      <c r="I273" s="36"/>
      <c r="L273" s="9"/>
      <c r="M273" s="9"/>
      <c r="N273" s="9"/>
      <c r="O273" s="9"/>
      <c r="P273" s="9"/>
      <c r="Q273" s="9"/>
      <c r="R273" s="9"/>
      <c r="S273" s="9"/>
      <c r="T273" s="9"/>
      <c r="U273" s="9"/>
      <c r="V273" s="9"/>
      <c r="W273" s="9"/>
      <c r="X273" s="9"/>
      <c r="Y273" s="9"/>
      <c r="Z273" s="9"/>
      <c r="AA273" s="9"/>
      <c r="AB273" s="9"/>
      <c r="AC273" s="9"/>
      <c r="AD273" s="9"/>
      <c r="AE273" s="9"/>
      <c r="AF273" s="9"/>
    </row>
    <row r="274" ht="16.5" customHeight="1">
      <c r="A274" s="8" t="s">
        <v>5</v>
      </c>
      <c r="E274" s="83" t="s">
        <v>88</v>
      </c>
      <c r="F274" s="56" t="s">
        <v>869</v>
      </c>
      <c r="G274" s="29"/>
      <c r="H274" s="8"/>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ht="16.5" customHeight="1">
      <c r="A275" s="8" t="s">
        <v>5</v>
      </c>
      <c r="E275" s="83" t="s">
        <v>88</v>
      </c>
      <c r="F275" s="56" t="s">
        <v>120</v>
      </c>
      <c r="G275" s="34" t="s">
        <v>5378</v>
      </c>
      <c r="H275" s="56" t="s">
        <v>120</v>
      </c>
      <c r="L275" s="9"/>
      <c r="M275" s="9"/>
      <c r="N275" s="9"/>
      <c r="O275" s="9"/>
      <c r="P275" s="9"/>
      <c r="Q275" s="9"/>
      <c r="R275" s="9"/>
      <c r="S275" s="9"/>
      <c r="T275" s="9"/>
      <c r="U275" s="9"/>
      <c r="V275" s="9"/>
      <c r="W275" s="9"/>
      <c r="X275" s="9"/>
      <c r="Y275" s="9"/>
      <c r="Z275" s="9"/>
      <c r="AA275" s="9"/>
      <c r="AB275" s="9"/>
      <c r="AC275" s="9"/>
      <c r="AD275" s="9"/>
      <c r="AE275" s="9"/>
      <c r="AF275" s="9"/>
    </row>
    <row r="276" ht="16.5" customHeight="1">
      <c r="A276" s="8" t="s">
        <v>5</v>
      </c>
      <c r="E276" s="83" t="s">
        <v>88</v>
      </c>
      <c r="F276" s="56" t="s">
        <v>544</v>
      </c>
      <c r="G276" s="34" t="s">
        <v>5379</v>
      </c>
      <c r="H276" s="56" t="s">
        <v>544</v>
      </c>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ht="16.5" customHeight="1">
      <c r="A277" s="8" t="s">
        <v>5</v>
      </c>
      <c r="E277" s="83" t="s">
        <v>88</v>
      </c>
      <c r="F277" s="56" t="s">
        <v>247</v>
      </c>
      <c r="G277" s="29"/>
      <c r="H277" s="31"/>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ht="16.5" customHeight="1">
      <c r="A278" s="8" t="s">
        <v>5</v>
      </c>
      <c r="E278" s="83" t="s">
        <v>88</v>
      </c>
      <c r="F278" s="56" t="s">
        <v>95</v>
      </c>
      <c r="G278" s="34" t="s">
        <v>5380</v>
      </c>
      <c r="H278" s="56" t="s">
        <v>95</v>
      </c>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ht="16.5" customHeight="1">
      <c r="A279" s="8" t="s">
        <v>5</v>
      </c>
      <c r="E279" s="83" t="s">
        <v>88</v>
      </c>
      <c r="F279" s="56" t="s">
        <v>96</v>
      </c>
      <c r="G279" s="34" t="s">
        <v>5381</v>
      </c>
      <c r="H279" s="56" t="s">
        <v>96</v>
      </c>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ht="16.5" customHeight="1">
      <c r="A280" s="8" t="s">
        <v>5</v>
      </c>
      <c r="E280" s="83" t="s">
        <v>88</v>
      </c>
      <c r="F280" s="56" t="s">
        <v>122</v>
      </c>
      <c r="G280" s="194" t="s">
        <v>5382</v>
      </c>
      <c r="H280" s="56" t="s">
        <v>122</v>
      </c>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ht="16.5" customHeight="1">
      <c r="A281" s="8" t="s">
        <v>5</v>
      </c>
      <c r="E281" s="83" t="s">
        <v>86</v>
      </c>
      <c r="F281" s="500" t="s">
        <v>90</v>
      </c>
      <c r="G281" s="34" t="s">
        <v>5383</v>
      </c>
      <c r="H281" s="500" t="s">
        <v>90</v>
      </c>
      <c r="I281" s="31"/>
      <c r="J281" s="9"/>
      <c r="K281" s="9"/>
      <c r="L281" s="9"/>
      <c r="M281" s="9"/>
      <c r="N281" s="9"/>
      <c r="O281" s="9"/>
      <c r="P281" s="9"/>
      <c r="Q281" s="9"/>
      <c r="R281" s="9"/>
      <c r="S281" s="9"/>
      <c r="T281" s="9"/>
      <c r="U281" s="9"/>
      <c r="V281" s="9"/>
      <c r="W281" s="9"/>
      <c r="X281" s="9"/>
      <c r="Y281" s="9"/>
      <c r="Z281" s="9"/>
      <c r="AA281" s="9"/>
      <c r="AB281" s="9"/>
      <c r="AC281" s="9"/>
      <c r="AD281" s="9"/>
      <c r="AE281" s="9"/>
      <c r="AF281" s="9"/>
    </row>
    <row r="282" ht="16.5" customHeight="1">
      <c r="A282" s="8" t="s">
        <v>5</v>
      </c>
      <c r="E282" s="83" t="s">
        <v>86</v>
      </c>
      <c r="F282" s="500" t="s">
        <v>338</v>
      </c>
      <c r="G282" s="34" t="s">
        <v>5384</v>
      </c>
      <c r="H282" s="500" t="s">
        <v>338</v>
      </c>
      <c r="I282" s="31"/>
      <c r="J282" s="9"/>
      <c r="K282" s="9"/>
      <c r="L282" s="9"/>
      <c r="M282" s="9"/>
      <c r="N282" s="9"/>
      <c r="O282" s="9"/>
      <c r="P282" s="9"/>
      <c r="Q282" s="9"/>
      <c r="R282" s="9"/>
      <c r="S282" s="9"/>
      <c r="T282" s="9"/>
      <c r="U282" s="9"/>
      <c r="V282" s="9"/>
      <c r="W282" s="9"/>
      <c r="X282" s="9"/>
      <c r="Y282" s="9"/>
      <c r="Z282" s="9"/>
      <c r="AA282" s="9"/>
      <c r="AB282" s="9"/>
      <c r="AC282" s="9"/>
      <c r="AD282" s="9"/>
      <c r="AE282" s="9"/>
      <c r="AF282" s="9"/>
    </row>
    <row r="283" ht="16.5" customHeight="1">
      <c r="A283" s="8" t="s">
        <v>5</v>
      </c>
      <c r="E283" s="83" t="s">
        <v>104</v>
      </c>
      <c r="F283" s="440" t="s">
        <v>250</v>
      </c>
      <c r="G283" s="34" t="s">
        <v>5385</v>
      </c>
      <c r="H283" s="440" t="s">
        <v>250</v>
      </c>
      <c r="I283" s="31"/>
      <c r="J283" s="9"/>
      <c r="K283" s="9"/>
      <c r="L283" s="9"/>
      <c r="M283" s="9"/>
      <c r="N283" s="9"/>
      <c r="O283" s="9"/>
      <c r="P283" s="9"/>
      <c r="Q283" s="9"/>
      <c r="R283" s="9"/>
      <c r="S283" s="9"/>
      <c r="T283" s="9"/>
      <c r="U283" s="9"/>
      <c r="V283" s="9"/>
      <c r="W283" s="9"/>
      <c r="X283" s="9"/>
      <c r="Y283" s="9"/>
      <c r="Z283" s="9"/>
      <c r="AA283" s="9"/>
      <c r="AB283" s="9"/>
      <c r="AC283" s="9"/>
      <c r="AD283" s="9"/>
      <c r="AE283" s="9"/>
      <c r="AF283" s="9"/>
    </row>
    <row r="284" ht="16.5" customHeight="1">
      <c r="A284" s="8" t="s">
        <v>5</v>
      </c>
      <c r="E284" s="83" t="s">
        <v>178</v>
      </c>
      <c r="F284" s="500" t="s">
        <v>209</v>
      </c>
      <c r="G284" s="34" t="s">
        <v>5386</v>
      </c>
      <c r="H284" s="500" t="s">
        <v>209</v>
      </c>
      <c r="I284" s="31"/>
      <c r="J284" s="9"/>
      <c r="K284" s="9"/>
      <c r="L284" s="9"/>
      <c r="M284" s="9"/>
      <c r="N284" s="9"/>
      <c r="O284" s="9"/>
      <c r="P284" s="9"/>
      <c r="Q284" s="9"/>
      <c r="R284" s="9"/>
      <c r="S284" s="9"/>
      <c r="T284" s="9"/>
      <c r="U284" s="9"/>
      <c r="V284" s="9"/>
      <c r="W284" s="9"/>
      <c r="X284" s="9"/>
      <c r="Y284" s="9"/>
      <c r="Z284" s="9"/>
      <c r="AA284" s="9"/>
      <c r="AB284" s="9"/>
      <c r="AC284" s="9"/>
      <c r="AD284" s="9"/>
      <c r="AE284" s="9"/>
      <c r="AF284" s="9"/>
    </row>
    <row r="285" ht="16.5" customHeight="1">
      <c r="A285" s="8" t="s">
        <v>5</v>
      </c>
      <c r="E285" s="83" t="s">
        <v>178</v>
      </c>
      <c r="F285" s="500" t="s">
        <v>210</v>
      </c>
      <c r="G285" s="34" t="s">
        <v>5387</v>
      </c>
      <c r="H285" s="500" t="s">
        <v>210</v>
      </c>
      <c r="I285" s="31"/>
      <c r="J285" s="9"/>
      <c r="K285" s="9"/>
      <c r="L285" s="9"/>
      <c r="M285" s="9"/>
      <c r="N285" s="9"/>
      <c r="O285" s="9"/>
      <c r="P285" s="9"/>
      <c r="Q285" s="9"/>
      <c r="R285" s="9"/>
      <c r="S285" s="9"/>
      <c r="T285" s="9"/>
      <c r="U285" s="9"/>
      <c r="V285" s="9"/>
      <c r="W285" s="9"/>
      <c r="X285" s="9"/>
      <c r="Y285" s="9"/>
      <c r="Z285" s="9"/>
      <c r="AA285" s="9"/>
      <c r="AB285" s="9"/>
      <c r="AC285" s="9"/>
      <c r="AD285" s="9"/>
      <c r="AE285" s="9"/>
      <c r="AF285" s="9"/>
    </row>
    <row r="286" ht="16.5" customHeight="1">
      <c r="A286" s="8" t="s">
        <v>5</v>
      </c>
      <c r="B286" s="348" t="s">
        <v>5388</v>
      </c>
      <c r="C286" s="507" t="s">
        <v>5389</v>
      </c>
      <c r="D286" s="83" t="s">
        <v>20</v>
      </c>
      <c r="E286" s="83" t="s">
        <v>88</v>
      </c>
      <c r="F286" s="56" t="s">
        <v>89</v>
      </c>
      <c r="G286" s="29"/>
      <c r="H286" s="36"/>
      <c r="L286" s="9"/>
      <c r="M286" s="9"/>
      <c r="N286" s="9"/>
      <c r="O286" s="9"/>
      <c r="P286" s="9"/>
      <c r="Q286" s="9"/>
      <c r="R286" s="9"/>
      <c r="S286" s="9"/>
      <c r="T286" s="9"/>
      <c r="U286" s="9"/>
      <c r="V286" s="9"/>
      <c r="W286" s="9"/>
      <c r="X286" s="9"/>
      <c r="Y286" s="9"/>
      <c r="Z286" s="9"/>
      <c r="AA286" s="9"/>
      <c r="AB286" s="9"/>
      <c r="AC286" s="9"/>
      <c r="AD286" s="9"/>
      <c r="AE286" s="9"/>
      <c r="AF286" s="9"/>
    </row>
    <row r="287" ht="16.5" customHeight="1">
      <c r="A287" s="8" t="s">
        <v>5</v>
      </c>
      <c r="E287" s="83" t="s">
        <v>21</v>
      </c>
      <c r="F287" s="56" t="s">
        <v>51</v>
      </c>
      <c r="G287" s="34" t="s">
        <v>5390</v>
      </c>
      <c r="H287" s="35" t="s">
        <v>51</v>
      </c>
      <c r="L287" s="9"/>
      <c r="M287" s="9"/>
      <c r="N287" s="9"/>
      <c r="O287" s="9"/>
      <c r="P287" s="9"/>
      <c r="Q287" s="9"/>
      <c r="R287" s="9"/>
      <c r="S287" s="9"/>
      <c r="T287" s="9"/>
      <c r="U287" s="9"/>
      <c r="V287" s="9"/>
      <c r="W287" s="9"/>
      <c r="X287" s="9"/>
      <c r="Y287" s="9"/>
      <c r="Z287" s="9"/>
      <c r="AA287" s="9"/>
      <c r="AB287" s="9"/>
      <c r="AC287" s="9"/>
      <c r="AD287" s="9"/>
      <c r="AE287" s="9"/>
      <c r="AF287" s="9"/>
    </row>
    <row r="288" ht="16.5" customHeight="1">
      <c r="A288" s="8" t="s">
        <v>5</v>
      </c>
      <c r="E288" s="83" t="s">
        <v>88</v>
      </c>
      <c r="F288" s="56" t="s">
        <v>154</v>
      </c>
      <c r="G288" s="34" t="s">
        <v>5391</v>
      </c>
      <c r="H288" s="56" t="s">
        <v>154</v>
      </c>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ht="16.5" customHeight="1">
      <c r="A289" s="8" t="s">
        <v>5</v>
      </c>
      <c r="E289" s="83" t="s">
        <v>88</v>
      </c>
      <c r="F289" s="56" t="s">
        <v>859</v>
      </c>
      <c r="G289" s="34" t="s">
        <v>5392</v>
      </c>
      <c r="H289" s="56" t="s">
        <v>859</v>
      </c>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ht="16.5" customHeight="1">
      <c r="A290" s="8" t="s">
        <v>5</v>
      </c>
      <c r="E290" s="83" t="s">
        <v>88</v>
      </c>
      <c r="F290" s="56" t="s">
        <v>879</v>
      </c>
      <c r="G290" s="34" t="s">
        <v>5393</v>
      </c>
      <c r="H290" s="56" t="s">
        <v>879</v>
      </c>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ht="16.5" customHeight="1">
      <c r="A291" s="8" t="s">
        <v>5</v>
      </c>
      <c r="E291" s="83" t="s">
        <v>88</v>
      </c>
      <c r="F291" s="56" t="s">
        <v>877</v>
      </c>
      <c r="G291" s="194" t="s">
        <v>5394</v>
      </c>
      <c r="H291" s="56" t="s">
        <v>877</v>
      </c>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ht="16.5" customHeight="1">
      <c r="A292" s="8" t="s">
        <v>5</v>
      </c>
      <c r="E292" s="83" t="s">
        <v>88</v>
      </c>
      <c r="F292" s="56" t="s">
        <v>881</v>
      </c>
      <c r="G292" s="34" t="s">
        <v>5395</v>
      </c>
      <c r="H292" s="56" t="s">
        <v>881</v>
      </c>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ht="16.5" customHeight="1">
      <c r="A293" s="8" t="s">
        <v>5</v>
      </c>
      <c r="E293" s="83" t="s">
        <v>88</v>
      </c>
      <c r="F293" s="56" t="s">
        <v>870</v>
      </c>
      <c r="G293" s="34" t="s">
        <v>5396</v>
      </c>
      <c r="H293" s="56" t="s">
        <v>870</v>
      </c>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ht="16.5" customHeight="1">
      <c r="A294" s="8" t="s">
        <v>5</v>
      </c>
      <c r="E294" s="83" t="s">
        <v>88</v>
      </c>
      <c r="F294" s="56" t="s">
        <v>881</v>
      </c>
      <c r="G294" s="34" t="s">
        <v>5397</v>
      </c>
      <c r="H294" s="35" t="s">
        <v>4399</v>
      </c>
      <c r="L294" s="9"/>
      <c r="M294" s="9"/>
      <c r="N294" s="9"/>
      <c r="O294" s="9"/>
      <c r="P294" s="9"/>
      <c r="Q294" s="9"/>
      <c r="R294" s="9"/>
      <c r="S294" s="9"/>
      <c r="T294" s="9"/>
      <c r="U294" s="9"/>
      <c r="V294" s="9"/>
      <c r="W294" s="9"/>
      <c r="X294" s="9"/>
      <c r="Y294" s="9"/>
      <c r="Z294" s="9"/>
      <c r="AA294" s="9"/>
      <c r="AB294" s="9"/>
      <c r="AC294" s="9"/>
      <c r="AD294" s="9"/>
      <c r="AE294" s="9"/>
      <c r="AF294" s="9"/>
    </row>
    <row r="295" ht="16.5" customHeight="1">
      <c r="A295" s="8" t="s">
        <v>5</v>
      </c>
      <c r="E295" s="83" t="s">
        <v>88</v>
      </c>
      <c r="F295" s="56" t="s">
        <v>870</v>
      </c>
      <c r="G295" s="34" t="s">
        <v>5398</v>
      </c>
      <c r="H295" s="35" t="s">
        <v>4369</v>
      </c>
      <c r="L295" s="9"/>
      <c r="M295" s="9"/>
      <c r="N295" s="9"/>
      <c r="O295" s="9"/>
      <c r="P295" s="9"/>
      <c r="Q295" s="9"/>
      <c r="R295" s="9"/>
      <c r="S295" s="9"/>
      <c r="T295" s="9"/>
      <c r="U295" s="9"/>
      <c r="V295" s="9"/>
      <c r="W295" s="9"/>
      <c r="X295" s="9"/>
      <c r="Y295" s="9"/>
      <c r="Z295" s="9"/>
      <c r="AA295" s="9"/>
      <c r="AB295" s="9"/>
      <c r="AC295" s="9"/>
      <c r="AD295" s="9"/>
      <c r="AE295" s="9"/>
      <c r="AF295" s="9"/>
    </row>
    <row r="296" ht="16.5" customHeight="1">
      <c r="A296" s="8" t="s">
        <v>5</v>
      </c>
      <c r="E296" s="8" t="s">
        <v>88</v>
      </c>
      <c r="F296" s="8" t="s">
        <v>875</v>
      </c>
      <c r="G296" s="34" t="s">
        <v>5399</v>
      </c>
      <c r="H296" s="8" t="s">
        <v>875</v>
      </c>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ht="16.5" customHeight="1">
      <c r="A297" s="8" t="s">
        <v>5</v>
      </c>
      <c r="E297" s="8" t="s">
        <v>88</v>
      </c>
      <c r="F297" s="8" t="s">
        <v>872</v>
      </c>
      <c r="G297" s="34" t="s">
        <v>5400</v>
      </c>
      <c r="H297" s="183" t="s">
        <v>846</v>
      </c>
      <c r="I297" s="8"/>
      <c r="J297" s="9"/>
      <c r="K297" s="9"/>
      <c r="L297" s="9"/>
      <c r="M297" s="9"/>
      <c r="N297" s="9"/>
      <c r="O297" s="9"/>
      <c r="P297" s="9"/>
      <c r="Q297" s="9"/>
      <c r="R297" s="9"/>
      <c r="S297" s="9"/>
      <c r="T297" s="9"/>
      <c r="U297" s="9"/>
      <c r="V297" s="9"/>
      <c r="W297" s="9"/>
      <c r="X297" s="9"/>
      <c r="Y297" s="9"/>
      <c r="Z297" s="9"/>
      <c r="AA297" s="9"/>
      <c r="AB297" s="9"/>
      <c r="AC297" s="9"/>
      <c r="AD297" s="9"/>
      <c r="AE297" s="9"/>
      <c r="AF297" s="9"/>
    </row>
    <row r="298" ht="16.5" customHeight="1">
      <c r="A298" s="8" t="s">
        <v>5</v>
      </c>
      <c r="E298" s="83" t="s">
        <v>88</v>
      </c>
      <c r="F298" s="56" t="s">
        <v>869</v>
      </c>
      <c r="G298" s="29"/>
      <c r="H298" s="8"/>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ht="16.5" customHeight="1">
      <c r="A299" s="8" t="s">
        <v>5</v>
      </c>
      <c r="E299" s="83" t="s">
        <v>88</v>
      </c>
      <c r="F299" s="56" t="s">
        <v>120</v>
      </c>
      <c r="G299" s="34" t="s">
        <v>5401</v>
      </c>
      <c r="H299" s="56" t="s">
        <v>120</v>
      </c>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ht="16.5" customHeight="1">
      <c r="A300" s="8" t="s">
        <v>5</v>
      </c>
      <c r="E300" s="83" t="s">
        <v>88</v>
      </c>
      <c r="F300" s="56" t="s">
        <v>544</v>
      </c>
      <c r="G300" s="34" t="s">
        <v>5402</v>
      </c>
      <c r="H300" s="56" t="s">
        <v>544</v>
      </c>
      <c r="I300" s="36"/>
      <c r="L300" s="9"/>
      <c r="M300" s="9"/>
      <c r="N300" s="9"/>
      <c r="O300" s="9"/>
      <c r="P300" s="9"/>
      <c r="Q300" s="9"/>
      <c r="R300" s="9"/>
      <c r="S300" s="9"/>
      <c r="T300" s="9"/>
      <c r="U300" s="9"/>
      <c r="V300" s="9"/>
      <c r="W300" s="9"/>
      <c r="X300" s="9"/>
      <c r="Y300" s="9"/>
      <c r="Z300" s="9"/>
      <c r="AA300" s="9"/>
      <c r="AB300" s="9"/>
      <c r="AC300" s="9"/>
      <c r="AD300" s="9"/>
      <c r="AE300" s="9"/>
      <c r="AF300" s="9"/>
    </row>
    <row r="301" ht="16.5" customHeight="1">
      <c r="A301" s="8" t="s">
        <v>5</v>
      </c>
      <c r="E301" s="83" t="s">
        <v>88</v>
      </c>
      <c r="F301" s="56" t="s">
        <v>247</v>
      </c>
      <c r="G301" s="29"/>
      <c r="H301" s="31"/>
      <c r="I301" s="31"/>
      <c r="J301" s="9"/>
      <c r="K301" s="9"/>
      <c r="L301" s="9"/>
      <c r="M301" s="9"/>
      <c r="N301" s="9"/>
      <c r="O301" s="9"/>
      <c r="P301" s="9"/>
      <c r="Q301" s="9"/>
      <c r="R301" s="9"/>
      <c r="S301" s="9"/>
      <c r="T301" s="9"/>
      <c r="U301" s="9"/>
      <c r="V301" s="9"/>
      <c r="W301" s="9"/>
      <c r="X301" s="9"/>
      <c r="Y301" s="9"/>
      <c r="Z301" s="9"/>
      <c r="AA301" s="9"/>
      <c r="AB301" s="9"/>
      <c r="AC301" s="9"/>
      <c r="AD301" s="9"/>
      <c r="AE301" s="9"/>
      <c r="AF301" s="9"/>
    </row>
    <row r="302" ht="16.5" customHeight="1">
      <c r="A302" s="8" t="s">
        <v>5</v>
      </c>
      <c r="E302" s="83" t="s">
        <v>88</v>
      </c>
      <c r="F302" s="56" t="s">
        <v>95</v>
      </c>
      <c r="G302" s="34" t="s">
        <v>5403</v>
      </c>
      <c r="H302" s="56" t="s">
        <v>95</v>
      </c>
      <c r="I302" s="31"/>
      <c r="J302" s="9"/>
      <c r="K302" s="9"/>
      <c r="L302" s="9"/>
      <c r="M302" s="9"/>
      <c r="N302" s="9"/>
      <c r="O302" s="9"/>
      <c r="P302" s="9"/>
      <c r="Q302" s="9"/>
      <c r="R302" s="9"/>
      <c r="S302" s="9"/>
      <c r="T302" s="9"/>
      <c r="U302" s="9"/>
      <c r="V302" s="9"/>
      <c r="W302" s="9"/>
      <c r="X302" s="9"/>
      <c r="Y302" s="9"/>
      <c r="Z302" s="9"/>
      <c r="AA302" s="9"/>
      <c r="AB302" s="9"/>
      <c r="AC302" s="9"/>
      <c r="AD302" s="9"/>
      <c r="AE302" s="9"/>
      <c r="AF302" s="9"/>
    </row>
    <row r="303" ht="16.5" customHeight="1">
      <c r="A303" s="8" t="s">
        <v>5</v>
      </c>
      <c r="E303" s="83" t="s">
        <v>88</v>
      </c>
      <c r="F303" s="56" t="s">
        <v>96</v>
      </c>
      <c r="G303" s="34" t="s">
        <v>5404</v>
      </c>
      <c r="H303" s="56" t="s">
        <v>96</v>
      </c>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ht="16.5" customHeight="1">
      <c r="A304" s="8" t="s">
        <v>5</v>
      </c>
      <c r="E304" s="83" t="s">
        <v>86</v>
      </c>
      <c r="F304" s="500" t="s">
        <v>90</v>
      </c>
      <c r="G304" s="34" t="s">
        <v>5405</v>
      </c>
      <c r="H304" s="500" t="s">
        <v>90</v>
      </c>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ht="16.5" customHeight="1">
      <c r="A305" s="8" t="s">
        <v>5</v>
      </c>
      <c r="E305" s="83" t="s">
        <v>86</v>
      </c>
      <c r="F305" s="500" t="s">
        <v>91</v>
      </c>
      <c r="G305" s="194" t="s">
        <v>5406</v>
      </c>
      <c r="H305" s="500" t="s">
        <v>91</v>
      </c>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ht="16.5" customHeight="1">
      <c r="A306" s="8" t="s">
        <v>5</v>
      </c>
      <c r="E306" s="83" t="s">
        <v>86</v>
      </c>
      <c r="F306" s="500" t="s">
        <v>338</v>
      </c>
      <c r="G306" s="194" t="s">
        <v>5407</v>
      </c>
      <c r="H306" s="500" t="s">
        <v>338</v>
      </c>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ht="16.5" customHeight="1">
      <c r="A307" s="8" t="s">
        <v>5</v>
      </c>
      <c r="E307" s="83" t="s">
        <v>104</v>
      </c>
      <c r="F307" s="440" t="s">
        <v>250</v>
      </c>
      <c r="G307" s="34" t="s">
        <v>5408</v>
      </c>
      <c r="H307" s="440" t="s">
        <v>250</v>
      </c>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ht="16.5" customHeight="1">
      <c r="A308" s="8" t="s">
        <v>5</v>
      </c>
      <c r="E308" s="83" t="s">
        <v>178</v>
      </c>
      <c r="F308" s="500" t="s">
        <v>209</v>
      </c>
      <c r="G308" s="34" t="s">
        <v>5409</v>
      </c>
      <c r="H308" s="500" t="s">
        <v>209</v>
      </c>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ht="16.5" customHeight="1">
      <c r="A309" s="8" t="s">
        <v>5</v>
      </c>
      <c r="E309" s="83" t="s">
        <v>178</v>
      </c>
      <c r="F309" s="500" t="s">
        <v>210</v>
      </c>
      <c r="G309" s="34" t="s">
        <v>5410</v>
      </c>
      <c r="H309" s="500" t="s">
        <v>210</v>
      </c>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ht="16.5" customHeight="1">
      <c r="A310" s="164" t="s">
        <v>5</v>
      </c>
      <c r="B310" s="164" t="s">
        <v>5411</v>
      </c>
      <c r="C310" s="448" t="s">
        <v>5412</v>
      </c>
      <c r="D310" s="83" t="s">
        <v>20</v>
      </c>
      <c r="E310" s="83" t="s">
        <v>88</v>
      </c>
      <c r="F310" s="56" t="s">
        <v>89</v>
      </c>
      <c r="G310" s="511"/>
      <c r="H310" s="164"/>
      <c r="I310" s="496"/>
      <c r="J310" s="496"/>
      <c r="K310" s="496"/>
      <c r="L310" s="496"/>
      <c r="M310" s="144"/>
      <c r="N310" s="144"/>
      <c r="O310" s="144"/>
      <c r="P310" s="144"/>
      <c r="Q310" s="144"/>
      <c r="R310" s="144"/>
      <c r="S310" s="144"/>
      <c r="T310" s="144"/>
      <c r="U310" s="144"/>
      <c r="V310" s="144"/>
      <c r="W310" s="144"/>
      <c r="X310" s="144"/>
      <c r="Y310" s="144"/>
      <c r="Z310" s="144"/>
      <c r="AA310" s="144"/>
      <c r="AB310" s="144"/>
      <c r="AC310" s="144"/>
      <c r="AD310" s="144"/>
      <c r="AE310" s="144"/>
      <c r="AF310" s="144"/>
    </row>
    <row r="311" ht="16.5" customHeight="1">
      <c r="A311" s="164" t="s">
        <v>5</v>
      </c>
      <c r="E311" s="83" t="s">
        <v>88</v>
      </c>
      <c r="F311" s="56" t="s">
        <v>154</v>
      </c>
      <c r="G311" s="512" t="s">
        <v>5413</v>
      </c>
      <c r="H311" s="56" t="s">
        <v>154</v>
      </c>
      <c r="I311" s="496"/>
      <c r="J311" s="496"/>
      <c r="K311" s="496"/>
      <c r="L311" s="496"/>
      <c r="M311" s="144"/>
      <c r="N311" s="144"/>
      <c r="O311" s="144"/>
      <c r="P311" s="144"/>
      <c r="Q311" s="144"/>
      <c r="R311" s="144"/>
      <c r="S311" s="144"/>
      <c r="T311" s="144"/>
      <c r="U311" s="144"/>
      <c r="V311" s="144"/>
      <c r="W311" s="144"/>
      <c r="X311" s="144"/>
      <c r="Y311" s="144"/>
      <c r="Z311" s="144"/>
      <c r="AA311" s="144"/>
      <c r="AB311" s="144"/>
      <c r="AC311" s="144"/>
      <c r="AD311" s="144"/>
      <c r="AE311" s="144"/>
      <c r="AF311" s="144"/>
    </row>
    <row r="312" ht="16.5" customHeight="1">
      <c r="A312" s="164" t="s">
        <v>5</v>
      </c>
      <c r="E312" s="83" t="s">
        <v>88</v>
      </c>
      <c r="F312" s="56" t="s">
        <v>859</v>
      </c>
      <c r="G312" s="512" t="s">
        <v>5414</v>
      </c>
      <c r="H312" s="56" t="s">
        <v>859</v>
      </c>
      <c r="I312" s="496"/>
      <c r="J312" s="496"/>
      <c r="K312" s="496"/>
      <c r="L312" s="496"/>
      <c r="M312" s="144"/>
      <c r="N312" s="144"/>
      <c r="O312" s="144"/>
      <c r="P312" s="144"/>
      <c r="Q312" s="144"/>
      <c r="R312" s="144"/>
      <c r="S312" s="144"/>
      <c r="T312" s="144"/>
      <c r="U312" s="144"/>
      <c r="V312" s="144"/>
      <c r="W312" s="144"/>
      <c r="X312" s="144"/>
      <c r="Y312" s="144"/>
      <c r="Z312" s="144"/>
      <c r="AA312" s="144"/>
      <c r="AB312" s="144"/>
      <c r="AC312" s="144"/>
      <c r="AD312" s="144"/>
      <c r="AE312" s="144"/>
      <c r="AF312" s="144"/>
    </row>
    <row r="313" ht="16.5" customHeight="1">
      <c r="A313" s="164" t="s">
        <v>5</v>
      </c>
      <c r="E313" s="83" t="s">
        <v>88</v>
      </c>
      <c r="F313" s="56" t="s">
        <v>879</v>
      </c>
      <c r="G313" s="512" t="s">
        <v>5415</v>
      </c>
      <c r="H313" s="56" t="s">
        <v>879</v>
      </c>
      <c r="I313" s="496"/>
      <c r="J313" s="496"/>
      <c r="K313" s="496"/>
      <c r="L313" s="496"/>
      <c r="M313" s="144"/>
      <c r="N313" s="144"/>
      <c r="O313" s="144"/>
      <c r="P313" s="144"/>
      <c r="Q313" s="144"/>
      <c r="R313" s="144"/>
      <c r="S313" s="144"/>
      <c r="T313" s="144"/>
      <c r="U313" s="144"/>
      <c r="V313" s="144"/>
      <c r="W313" s="144"/>
      <c r="X313" s="144"/>
      <c r="Y313" s="144"/>
      <c r="Z313" s="144"/>
      <c r="AA313" s="144"/>
      <c r="AB313" s="144"/>
      <c r="AC313" s="144"/>
      <c r="AD313" s="144"/>
      <c r="AE313" s="144"/>
      <c r="AF313" s="144"/>
    </row>
    <row r="314" ht="16.5" customHeight="1">
      <c r="A314" s="164" t="s">
        <v>5</v>
      </c>
      <c r="E314" s="83" t="s">
        <v>88</v>
      </c>
      <c r="F314" s="56" t="s">
        <v>881</v>
      </c>
      <c r="G314" s="512" t="s">
        <v>5416</v>
      </c>
      <c r="H314" s="56" t="s">
        <v>881</v>
      </c>
      <c r="I314" s="496"/>
      <c r="J314" s="496"/>
      <c r="K314" s="496"/>
      <c r="L314" s="496"/>
      <c r="M314" s="144"/>
      <c r="N314" s="144"/>
      <c r="O314" s="144"/>
      <c r="P314" s="144"/>
      <c r="Q314" s="144"/>
      <c r="R314" s="144"/>
      <c r="S314" s="144"/>
      <c r="T314" s="144"/>
      <c r="U314" s="144"/>
      <c r="V314" s="144"/>
      <c r="W314" s="144"/>
      <c r="X314" s="144"/>
      <c r="Y314" s="144"/>
      <c r="Z314" s="144"/>
      <c r="AA314" s="144"/>
      <c r="AB314" s="144"/>
      <c r="AC314" s="144"/>
      <c r="AD314" s="144"/>
      <c r="AE314" s="144"/>
      <c r="AF314" s="144"/>
    </row>
    <row r="315" ht="16.5" customHeight="1">
      <c r="A315" s="164" t="s">
        <v>5</v>
      </c>
      <c r="E315" s="83" t="s">
        <v>88</v>
      </c>
      <c r="F315" s="56" t="s">
        <v>870</v>
      </c>
      <c r="G315" s="512" t="s">
        <v>5417</v>
      </c>
      <c r="H315" s="56" t="s">
        <v>870</v>
      </c>
      <c r="I315" s="496"/>
      <c r="J315" s="496"/>
      <c r="K315" s="496"/>
      <c r="L315" s="496"/>
      <c r="M315" s="144"/>
      <c r="N315" s="144"/>
      <c r="O315" s="144"/>
      <c r="P315" s="144"/>
      <c r="Q315" s="144"/>
      <c r="R315" s="144"/>
      <c r="S315" s="144"/>
      <c r="T315" s="144"/>
      <c r="U315" s="144"/>
      <c r="V315" s="144"/>
      <c r="W315" s="144"/>
      <c r="X315" s="144"/>
      <c r="Y315" s="144"/>
      <c r="Z315" s="144"/>
      <c r="AA315" s="144"/>
      <c r="AB315" s="144"/>
      <c r="AC315" s="144"/>
      <c r="AD315" s="144"/>
      <c r="AE315" s="144"/>
      <c r="AF315" s="144"/>
    </row>
    <row r="316" ht="16.5" customHeight="1">
      <c r="A316" s="164" t="s">
        <v>5</v>
      </c>
      <c r="E316" s="83" t="s">
        <v>88</v>
      </c>
      <c r="F316" s="56" t="s">
        <v>881</v>
      </c>
      <c r="G316" s="512" t="s">
        <v>5418</v>
      </c>
      <c r="H316" s="35" t="s">
        <v>4399</v>
      </c>
      <c r="L316" s="496"/>
      <c r="M316" s="144"/>
      <c r="N316" s="144"/>
      <c r="O316" s="144"/>
      <c r="P316" s="144"/>
      <c r="Q316" s="144"/>
      <c r="R316" s="144"/>
      <c r="S316" s="144"/>
      <c r="T316" s="144"/>
      <c r="U316" s="144"/>
      <c r="V316" s="144"/>
      <c r="W316" s="144"/>
      <c r="X316" s="144"/>
      <c r="Y316" s="144"/>
      <c r="Z316" s="144"/>
      <c r="AA316" s="144"/>
      <c r="AB316" s="144"/>
      <c r="AC316" s="144"/>
      <c r="AD316" s="144"/>
      <c r="AE316" s="144"/>
      <c r="AF316" s="144"/>
    </row>
    <row r="317" ht="16.5" customHeight="1">
      <c r="A317" s="164" t="s">
        <v>5</v>
      </c>
      <c r="E317" s="83" t="s">
        <v>88</v>
      </c>
      <c r="F317" s="56" t="s">
        <v>870</v>
      </c>
      <c r="G317" s="512" t="s">
        <v>5419</v>
      </c>
      <c r="H317" s="35" t="s">
        <v>4369</v>
      </c>
      <c r="L317" s="496"/>
      <c r="M317" s="144"/>
      <c r="N317" s="144"/>
      <c r="O317" s="144"/>
      <c r="P317" s="144"/>
      <c r="Q317" s="144"/>
      <c r="R317" s="144"/>
      <c r="S317" s="144"/>
      <c r="T317" s="144"/>
      <c r="U317" s="144"/>
      <c r="V317" s="144"/>
      <c r="W317" s="144"/>
      <c r="X317" s="144"/>
      <c r="Y317" s="144"/>
      <c r="Z317" s="144"/>
      <c r="AA317" s="144"/>
      <c r="AB317" s="144"/>
      <c r="AC317" s="144"/>
      <c r="AD317" s="144"/>
      <c r="AE317" s="144"/>
      <c r="AF317" s="144"/>
    </row>
    <row r="318" ht="16.5" customHeight="1">
      <c r="A318" s="164" t="s">
        <v>5</v>
      </c>
      <c r="E318" s="83" t="s">
        <v>88</v>
      </c>
      <c r="F318" s="56" t="s">
        <v>869</v>
      </c>
      <c r="G318" s="511"/>
      <c r="H318" s="164"/>
      <c r="I318" s="496"/>
      <c r="J318" s="496"/>
      <c r="K318" s="496"/>
      <c r="L318" s="496"/>
      <c r="M318" s="144"/>
      <c r="N318" s="144"/>
      <c r="O318" s="144"/>
      <c r="P318" s="144"/>
      <c r="Q318" s="144"/>
      <c r="R318" s="144"/>
      <c r="S318" s="144"/>
      <c r="T318" s="144"/>
      <c r="U318" s="144"/>
      <c r="V318" s="144"/>
      <c r="W318" s="144"/>
      <c r="X318" s="144"/>
      <c r="Y318" s="144"/>
      <c r="Z318" s="144"/>
      <c r="AA318" s="144"/>
      <c r="AB318" s="144"/>
      <c r="AC318" s="144"/>
      <c r="AD318" s="144"/>
      <c r="AE318" s="144"/>
      <c r="AF318" s="144"/>
    </row>
    <row r="319" ht="16.5" customHeight="1">
      <c r="A319" s="164" t="s">
        <v>5</v>
      </c>
      <c r="E319" s="83" t="s">
        <v>21</v>
      </c>
      <c r="F319" s="56" t="s">
        <v>51</v>
      </c>
      <c r="G319" s="512" t="s">
        <v>5420</v>
      </c>
      <c r="H319" s="56" t="s">
        <v>51</v>
      </c>
      <c r="I319" s="496"/>
      <c r="J319" s="496"/>
      <c r="K319" s="496"/>
      <c r="L319" s="496"/>
      <c r="M319" s="144"/>
      <c r="N319" s="144"/>
      <c r="O319" s="144"/>
      <c r="P319" s="144"/>
      <c r="Q319" s="144"/>
      <c r="R319" s="144"/>
      <c r="S319" s="144"/>
      <c r="T319" s="144"/>
      <c r="U319" s="144"/>
      <c r="V319" s="144"/>
      <c r="W319" s="144"/>
      <c r="X319" s="144"/>
      <c r="Y319" s="144"/>
      <c r="Z319" s="144"/>
      <c r="AA319" s="144"/>
      <c r="AB319" s="144"/>
      <c r="AC319" s="144"/>
      <c r="AD319" s="144"/>
      <c r="AE319" s="144"/>
      <c r="AF319" s="144"/>
    </row>
    <row r="320" ht="16.5" customHeight="1">
      <c r="A320" s="164" t="s">
        <v>5</v>
      </c>
      <c r="E320" s="83" t="s">
        <v>43</v>
      </c>
      <c r="F320" s="56" t="s">
        <v>588</v>
      </c>
      <c r="G320" s="512" t="s">
        <v>5421</v>
      </c>
      <c r="H320" s="56" t="s">
        <v>588</v>
      </c>
      <c r="I320" s="496"/>
      <c r="J320" s="496"/>
      <c r="K320" s="496"/>
      <c r="L320" s="496"/>
      <c r="M320" s="144"/>
      <c r="N320" s="144"/>
      <c r="O320" s="144"/>
      <c r="P320" s="144"/>
      <c r="Q320" s="144"/>
      <c r="R320" s="144"/>
      <c r="S320" s="144"/>
      <c r="T320" s="144"/>
      <c r="U320" s="144"/>
      <c r="V320" s="144"/>
      <c r="W320" s="144"/>
      <c r="X320" s="144"/>
      <c r="Y320" s="144"/>
      <c r="Z320" s="144"/>
      <c r="AA320" s="144"/>
      <c r="AB320" s="144"/>
      <c r="AC320" s="144"/>
      <c r="AD320" s="144"/>
      <c r="AE320" s="144"/>
      <c r="AF320" s="144"/>
    </row>
    <row r="321" ht="16.5" customHeight="1">
      <c r="A321" s="164" t="s">
        <v>5</v>
      </c>
      <c r="E321" s="83" t="s">
        <v>43</v>
      </c>
      <c r="F321" s="56" t="s">
        <v>343</v>
      </c>
      <c r="G321" s="512" t="s">
        <v>5422</v>
      </c>
      <c r="H321" s="56" t="s">
        <v>343</v>
      </c>
      <c r="I321" s="496"/>
      <c r="J321" s="496"/>
      <c r="K321" s="496"/>
      <c r="L321" s="496"/>
      <c r="M321" s="144"/>
      <c r="N321" s="144"/>
      <c r="O321" s="144"/>
      <c r="P321" s="144"/>
      <c r="Q321" s="144"/>
      <c r="R321" s="144"/>
      <c r="S321" s="144"/>
      <c r="T321" s="144"/>
      <c r="U321" s="144"/>
      <c r="V321" s="144"/>
      <c r="W321" s="144"/>
      <c r="X321" s="144"/>
      <c r="Y321" s="144"/>
      <c r="Z321" s="144"/>
      <c r="AA321" s="144"/>
      <c r="AB321" s="144"/>
      <c r="AC321" s="144"/>
      <c r="AD321" s="144"/>
      <c r="AE321" s="144"/>
      <c r="AF321" s="144"/>
    </row>
    <row r="322" ht="16.5" customHeight="1">
      <c r="A322" s="164" t="s">
        <v>5</v>
      </c>
      <c r="E322" s="83" t="s">
        <v>88</v>
      </c>
      <c r="F322" s="56" t="s">
        <v>122</v>
      </c>
      <c r="G322" s="512" t="s">
        <v>5423</v>
      </c>
      <c r="H322" s="164" t="s">
        <v>122</v>
      </c>
      <c r="I322" s="496"/>
      <c r="J322" s="496"/>
      <c r="K322" s="496"/>
      <c r="L322" s="496"/>
      <c r="M322" s="144"/>
      <c r="N322" s="144"/>
      <c r="O322" s="144"/>
      <c r="P322" s="144"/>
      <c r="Q322" s="144"/>
      <c r="R322" s="144"/>
      <c r="S322" s="144"/>
      <c r="T322" s="144"/>
      <c r="U322" s="144"/>
      <c r="V322" s="144"/>
      <c r="W322" s="144"/>
      <c r="X322" s="144"/>
      <c r="Y322" s="144"/>
      <c r="Z322" s="144"/>
      <c r="AA322" s="144"/>
      <c r="AB322" s="144"/>
      <c r="AC322" s="144"/>
      <c r="AD322" s="144"/>
      <c r="AE322" s="144"/>
      <c r="AF322" s="144"/>
    </row>
    <row r="323" ht="16.5" customHeight="1">
      <c r="A323" s="164" t="s">
        <v>5</v>
      </c>
      <c r="E323" s="83" t="s">
        <v>43</v>
      </c>
      <c r="F323" s="56" t="s">
        <v>588</v>
      </c>
      <c r="G323" s="512" t="s">
        <v>5421</v>
      </c>
      <c r="H323" s="164" t="s">
        <v>588</v>
      </c>
      <c r="I323" s="496"/>
      <c r="J323" s="496"/>
      <c r="K323" s="496"/>
      <c r="L323" s="496"/>
      <c r="M323" s="144"/>
      <c r="N323" s="144"/>
      <c r="O323" s="144"/>
      <c r="P323" s="144"/>
      <c r="Q323" s="144"/>
      <c r="R323" s="144"/>
      <c r="S323" s="144"/>
      <c r="T323" s="144"/>
      <c r="U323" s="144"/>
      <c r="V323" s="144"/>
      <c r="W323" s="144"/>
      <c r="X323" s="144"/>
      <c r="Y323" s="144"/>
      <c r="Z323" s="144"/>
      <c r="AA323" s="144"/>
      <c r="AB323" s="144"/>
      <c r="AC323" s="144"/>
      <c r="AD323" s="144"/>
      <c r="AE323" s="144"/>
      <c r="AF323" s="144"/>
    </row>
    <row r="324" ht="16.5" customHeight="1">
      <c r="A324" s="164" t="s">
        <v>5</v>
      </c>
      <c r="E324" s="83" t="s">
        <v>43</v>
      </c>
      <c r="F324" s="56" t="s">
        <v>343</v>
      </c>
      <c r="G324" s="512" t="s">
        <v>5424</v>
      </c>
      <c r="H324" s="35" t="s">
        <v>5425</v>
      </c>
      <c r="L324" s="496"/>
      <c r="M324" s="144"/>
      <c r="N324" s="144"/>
      <c r="O324" s="144"/>
      <c r="P324" s="144"/>
      <c r="Q324" s="144"/>
      <c r="R324" s="144"/>
      <c r="S324" s="144"/>
      <c r="T324" s="144"/>
      <c r="U324" s="144"/>
      <c r="V324" s="144"/>
      <c r="W324" s="144"/>
      <c r="X324" s="144"/>
      <c r="Y324" s="144"/>
      <c r="Z324" s="144"/>
      <c r="AA324" s="144"/>
      <c r="AB324" s="144"/>
      <c r="AC324" s="144"/>
      <c r="AD324" s="144"/>
      <c r="AE324" s="144"/>
      <c r="AF324" s="144"/>
    </row>
    <row r="325" ht="16.5" customHeight="1">
      <c r="A325" s="164" t="s">
        <v>5</v>
      </c>
      <c r="E325" s="83" t="s">
        <v>88</v>
      </c>
      <c r="F325" s="56" t="s">
        <v>122</v>
      </c>
      <c r="G325" s="512" t="s">
        <v>5426</v>
      </c>
      <c r="H325" s="35" t="s">
        <v>1531</v>
      </c>
      <c r="L325" s="496"/>
      <c r="M325" s="144"/>
      <c r="N325" s="144"/>
      <c r="O325" s="144"/>
      <c r="P325" s="144"/>
      <c r="Q325" s="144"/>
      <c r="R325" s="144"/>
      <c r="S325" s="144"/>
      <c r="T325" s="144"/>
      <c r="U325" s="144"/>
      <c r="V325" s="144"/>
      <c r="W325" s="144"/>
      <c r="X325" s="144"/>
      <c r="Y325" s="144"/>
      <c r="Z325" s="144"/>
      <c r="AA325" s="144"/>
      <c r="AB325" s="144"/>
      <c r="AC325" s="144"/>
      <c r="AD325" s="144"/>
      <c r="AE325" s="144"/>
      <c r="AF325" s="144"/>
    </row>
    <row r="326" ht="16.5" customHeight="1">
      <c r="A326" s="164" t="s">
        <v>5</v>
      </c>
      <c r="E326" s="83" t="s">
        <v>43</v>
      </c>
      <c r="F326" s="56" t="s">
        <v>588</v>
      </c>
      <c r="G326" s="512" t="s">
        <v>5421</v>
      </c>
      <c r="H326" s="164" t="s">
        <v>588</v>
      </c>
      <c r="I326" s="496"/>
      <c r="J326" s="496"/>
      <c r="K326" s="496"/>
      <c r="L326" s="496"/>
      <c r="M326" s="144"/>
      <c r="N326" s="144"/>
      <c r="O326" s="144"/>
      <c r="P326" s="144"/>
      <c r="Q326" s="144"/>
      <c r="R326" s="144"/>
      <c r="S326" s="144"/>
      <c r="T326" s="144"/>
      <c r="U326" s="144"/>
      <c r="V326" s="144"/>
      <c r="W326" s="144"/>
      <c r="X326" s="144"/>
      <c r="Y326" s="144"/>
      <c r="Z326" s="144"/>
      <c r="AA326" s="144"/>
      <c r="AB326" s="144"/>
      <c r="AC326" s="144"/>
      <c r="AD326" s="144"/>
      <c r="AE326" s="144"/>
      <c r="AF326" s="144"/>
    </row>
    <row r="327" ht="16.5" customHeight="1">
      <c r="A327" s="164" t="s">
        <v>5</v>
      </c>
      <c r="E327" s="83" t="s">
        <v>43</v>
      </c>
      <c r="F327" s="56" t="s">
        <v>343</v>
      </c>
      <c r="G327" s="512" t="s">
        <v>5427</v>
      </c>
      <c r="H327" s="35" t="s">
        <v>5428</v>
      </c>
      <c r="L327" s="496"/>
      <c r="M327" s="144"/>
      <c r="N327" s="144"/>
      <c r="O327" s="144"/>
      <c r="P327" s="144"/>
      <c r="Q327" s="144"/>
      <c r="R327" s="144"/>
      <c r="S327" s="144"/>
      <c r="T327" s="144"/>
      <c r="U327" s="144"/>
      <c r="V327" s="144"/>
      <c r="W327" s="144"/>
      <c r="X327" s="144"/>
      <c r="Y327" s="144"/>
      <c r="Z327" s="144"/>
      <c r="AA327" s="144"/>
      <c r="AB327" s="144"/>
      <c r="AC327" s="144"/>
      <c r="AD327" s="144"/>
      <c r="AE327" s="144"/>
      <c r="AF327" s="144"/>
    </row>
    <row r="328" ht="16.5" customHeight="1">
      <c r="A328" s="164" t="s">
        <v>5</v>
      </c>
      <c r="E328" s="83" t="s">
        <v>88</v>
      </c>
      <c r="F328" s="56" t="s">
        <v>96</v>
      </c>
      <c r="G328" s="512" t="s">
        <v>5429</v>
      </c>
      <c r="H328" s="56" t="s">
        <v>96</v>
      </c>
      <c r="I328" s="496"/>
      <c r="J328" s="496"/>
      <c r="K328" s="496"/>
      <c r="L328" s="496"/>
      <c r="M328" s="144"/>
      <c r="N328" s="144"/>
      <c r="O328" s="144"/>
      <c r="P328" s="144"/>
      <c r="Q328" s="144"/>
      <c r="R328" s="144"/>
      <c r="S328" s="144"/>
      <c r="T328" s="144"/>
      <c r="U328" s="144"/>
      <c r="V328" s="144"/>
      <c r="W328" s="144"/>
      <c r="X328" s="144"/>
      <c r="Y328" s="144"/>
      <c r="Z328" s="144"/>
      <c r="AA328" s="144"/>
      <c r="AB328" s="144"/>
      <c r="AC328" s="144"/>
      <c r="AD328" s="144"/>
      <c r="AE328" s="144"/>
      <c r="AF328" s="144"/>
    </row>
    <row r="329" ht="16.5" customHeight="1">
      <c r="A329" s="164" t="s">
        <v>5</v>
      </c>
      <c r="E329" s="83" t="s">
        <v>86</v>
      </c>
      <c r="F329" s="500" t="s">
        <v>90</v>
      </c>
      <c r="G329" s="512" t="s">
        <v>5430</v>
      </c>
      <c r="H329" s="500" t="s">
        <v>90</v>
      </c>
      <c r="I329" s="496"/>
      <c r="J329" s="496"/>
      <c r="K329" s="496"/>
      <c r="L329" s="496"/>
      <c r="M329" s="144"/>
      <c r="N329" s="144"/>
      <c r="O329" s="144"/>
      <c r="P329" s="144"/>
      <c r="Q329" s="144"/>
      <c r="R329" s="144"/>
      <c r="S329" s="144"/>
      <c r="T329" s="144"/>
      <c r="U329" s="144"/>
      <c r="V329" s="144"/>
      <c r="W329" s="144"/>
      <c r="X329" s="144"/>
      <c r="Y329" s="144"/>
      <c r="Z329" s="144"/>
      <c r="AA329" s="144"/>
      <c r="AB329" s="144"/>
      <c r="AC329" s="144"/>
      <c r="AD329" s="144"/>
      <c r="AE329" s="144"/>
      <c r="AF329" s="144"/>
    </row>
    <row r="330" ht="16.5" customHeight="1">
      <c r="A330" s="164" t="s">
        <v>5</v>
      </c>
      <c r="E330" s="83" t="s">
        <v>86</v>
      </c>
      <c r="F330" s="440" t="s">
        <v>91</v>
      </c>
      <c r="G330" s="512" t="s">
        <v>5431</v>
      </c>
      <c r="H330" s="440" t="s">
        <v>91</v>
      </c>
      <c r="I330" s="496"/>
      <c r="J330" s="496"/>
      <c r="K330" s="496"/>
      <c r="L330" s="496"/>
      <c r="M330" s="144"/>
      <c r="N330" s="144"/>
      <c r="O330" s="144"/>
      <c r="P330" s="144"/>
      <c r="Q330" s="144"/>
      <c r="R330" s="144"/>
      <c r="S330" s="144"/>
      <c r="T330" s="144"/>
      <c r="U330" s="144"/>
      <c r="V330" s="144"/>
      <c r="W330" s="144"/>
      <c r="X330" s="144"/>
      <c r="Y330" s="144"/>
      <c r="Z330" s="144"/>
      <c r="AA330" s="144"/>
      <c r="AB330" s="144"/>
      <c r="AC330" s="144"/>
      <c r="AD330" s="144"/>
      <c r="AE330" s="144"/>
      <c r="AF330" s="144"/>
    </row>
    <row r="331" ht="16.5" customHeight="1">
      <c r="A331" s="164" t="s">
        <v>5</v>
      </c>
      <c r="E331" s="83" t="s">
        <v>86</v>
      </c>
      <c r="F331" s="500" t="s">
        <v>338</v>
      </c>
      <c r="G331" s="512" t="s">
        <v>5432</v>
      </c>
      <c r="H331" s="500" t="s">
        <v>338</v>
      </c>
      <c r="I331" s="496"/>
      <c r="J331" s="496"/>
      <c r="K331" s="496"/>
      <c r="L331" s="496"/>
      <c r="M331" s="144"/>
      <c r="N331" s="144"/>
      <c r="O331" s="144"/>
      <c r="P331" s="144"/>
      <c r="Q331" s="144"/>
      <c r="R331" s="144"/>
      <c r="S331" s="144"/>
      <c r="T331" s="144"/>
      <c r="U331" s="144"/>
      <c r="V331" s="144"/>
      <c r="W331" s="144"/>
      <c r="X331" s="144"/>
      <c r="Y331" s="144"/>
      <c r="Z331" s="144"/>
      <c r="AA331" s="144"/>
      <c r="AB331" s="144"/>
      <c r="AC331" s="144"/>
      <c r="AD331" s="144"/>
      <c r="AE331" s="144"/>
      <c r="AF331" s="144"/>
    </row>
    <row r="332" ht="16.5" customHeight="1">
      <c r="A332" s="164" t="s">
        <v>5</v>
      </c>
      <c r="B332" s="164" t="s">
        <v>3987</v>
      </c>
      <c r="C332" s="448" t="s">
        <v>5433</v>
      </c>
      <c r="D332" s="164" t="s">
        <v>20</v>
      </c>
      <c r="E332" s="164" t="s">
        <v>149</v>
      </c>
      <c r="F332" s="164" t="s">
        <v>895</v>
      </c>
      <c r="G332" s="512" t="s">
        <v>5434</v>
      </c>
      <c r="H332" s="164" t="s">
        <v>895</v>
      </c>
      <c r="I332" s="496"/>
      <c r="J332" s="496"/>
      <c r="K332" s="496"/>
      <c r="L332" s="496"/>
      <c r="M332" s="144"/>
      <c r="N332" s="144"/>
      <c r="O332" s="144"/>
      <c r="P332" s="144"/>
      <c r="Q332" s="144"/>
      <c r="R332" s="144"/>
      <c r="S332" s="144"/>
      <c r="T332" s="144"/>
      <c r="U332" s="144"/>
      <c r="V332" s="144"/>
      <c r="W332" s="144"/>
      <c r="X332" s="144"/>
      <c r="Y332" s="144"/>
      <c r="Z332" s="144"/>
      <c r="AA332" s="144"/>
      <c r="AB332" s="144"/>
      <c r="AC332" s="144"/>
      <c r="AD332" s="144"/>
      <c r="AE332" s="144"/>
      <c r="AF332" s="144"/>
    </row>
    <row r="333" ht="16.5" customHeight="1">
      <c r="A333" s="9"/>
      <c r="B333" s="348"/>
      <c r="C333" s="507"/>
      <c r="D333" s="83"/>
      <c r="E333" s="83"/>
      <c r="F333" s="56"/>
      <c r="G333" s="29"/>
      <c r="H333" s="8"/>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ht="16.5" customHeight="1">
      <c r="A334" s="9"/>
      <c r="B334" s="348"/>
      <c r="C334" s="507"/>
      <c r="D334" s="83"/>
      <c r="E334" s="83"/>
      <c r="F334" s="56"/>
      <c r="G334" s="29"/>
      <c r="H334" s="36"/>
      <c r="L334" s="9"/>
      <c r="M334" s="9"/>
      <c r="N334" s="9"/>
      <c r="O334" s="9"/>
      <c r="P334" s="9"/>
      <c r="Q334" s="9"/>
      <c r="R334" s="9"/>
      <c r="S334" s="9"/>
      <c r="T334" s="9"/>
      <c r="U334" s="9"/>
      <c r="V334" s="9"/>
      <c r="W334" s="9"/>
      <c r="X334" s="9"/>
      <c r="Y334" s="9"/>
      <c r="Z334" s="9"/>
      <c r="AA334" s="9"/>
      <c r="AB334" s="9"/>
      <c r="AC334" s="9"/>
      <c r="AD334" s="9"/>
      <c r="AE334" s="9"/>
      <c r="AF334" s="9"/>
    </row>
    <row r="335" ht="16.5" customHeight="1">
      <c r="A335" s="9"/>
      <c r="B335" s="348"/>
      <c r="C335" s="507"/>
      <c r="D335" s="83"/>
      <c r="E335" s="83"/>
      <c r="F335" s="56"/>
      <c r="G335" s="29"/>
      <c r="H335" s="31"/>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ht="16.5" customHeight="1">
      <c r="A336" s="9"/>
      <c r="B336" s="348"/>
      <c r="C336" s="507"/>
      <c r="D336" s="83"/>
      <c r="E336" s="83"/>
      <c r="F336" s="56"/>
      <c r="G336" s="29"/>
      <c r="H336" s="31"/>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ht="16.5" customHeight="1">
      <c r="A337" s="9"/>
      <c r="B337" s="348"/>
      <c r="C337" s="507"/>
      <c r="D337" s="83"/>
      <c r="E337" s="83"/>
      <c r="F337" s="56"/>
      <c r="G337" s="29"/>
      <c r="H337" s="31"/>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ht="16.5" customHeight="1">
      <c r="A338" s="9"/>
      <c r="B338" s="348"/>
      <c r="C338" s="507"/>
      <c r="D338" s="83"/>
      <c r="E338" s="31"/>
      <c r="F338" s="31"/>
      <c r="G338" s="29"/>
      <c r="H338" s="31"/>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ht="16.5" customHeight="1">
      <c r="A339" s="9"/>
      <c r="B339" s="348"/>
      <c r="C339" s="507"/>
      <c r="D339" s="83"/>
      <c r="E339" s="31"/>
      <c r="F339" s="31"/>
      <c r="G339" s="29"/>
      <c r="H339" s="31"/>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ht="16.5" customHeight="1">
      <c r="A340" s="9"/>
      <c r="B340" s="348"/>
      <c r="C340" s="507"/>
      <c r="D340" s="83"/>
      <c r="E340" s="83"/>
      <c r="F340" s="56"/>
      <c r="G340" s="31"/>
      <c r="H340" s="31"/>
      <c r="I340" s="31"/>
      <c r="J340" s="9"/>
      <c r="K340" s="9"/>
      <c r="L340" s="9"/>
      <c r="M340" s="9"/>
      <c r="N340" s="9"/>
      <c r="O340" s="9"/>
      <c r="P340" s="9"/>
      <c r="Q340" s="9"/>
      <c r="R340" s="9"/>
      <c r="S340" s="9"/>
      <c r="T340" s="9"/>
      <c r="U340" s="9"/>
      <c r="V340" s="9"/>
      <c r="W340" s="9"/>
      <c r="X340" s="9"/>
      <c r="Y340" s="9"/>
      <c r="Z340" s="9"/>
      <c r="AA340" s="9"/>
      <c r="AB340" s="9"/>
      <c r="AC340" s="9"/>
      <c r="AD340" s="9"/>
      <c r="AE340" s="9"/>
      <c r="AF340" s="9"/>
    </row>
    <row r="341" ht="16.5" customHeight="1">
      <c r="A341" s="9"/>
      <c r="B341" s="348"/>
      <c r="C341" s="507"/>
      <c r="D341" s="83"/>
      <c r="E341" s="83"/>
      <c r="F341" s="56"/>
      <c r="G341" s="29"/>
      <c r="H341" s="8"/>
      <c r="I341" s="31"/>
      <c r="J341" s="9"/>
      <c r="K341" s="9"/>
      <c r="L341" s="9"/>
      <c r="M341" s="9"/>
      <c r="N341" s="9"/>
      <c r="O341" s="9"/>
      <c r="P341" s="9"/>
      <c r="Q341" s="9"/>
      <c r="R341" s="9"/>
      <c r="S341" s="9"/>
      <c r="T341" s="9"/>
      <c r="U341" s="9"/>
      <c r="V341" s="9"/>
      <c r="W341" s="9"/>
      <c r="X341" s="9"/>
      <c r="Y341" s="9"/>
      <c r="Z341" s="9"/>
      <c r="AA341" s="9"/>
      <c r="AB341" s="9"/>
      <c r="AC341" s="9"/>
      <c r="AD341" s="9"/>
      <c r="AE341" s="9"/>
      <c r="AF341" s="9"/>
    </row>
    <row r="342" ht="16.5" customHeight="1">
      <c r="A342" s="9"/>
      <c r="B342" s="348"/>
      <c r="C342" s="507"/>
      <c r="D342" s="83"/>
      <c r="E342" s="83"/>
      <c r="F342" s="56"/>
      <c r="G342" s="29"/>
      <c r="H342" s="31"/>
      <c r="I342" s="31"/>
      <c r="J342" s="9"/>
      <c r="K342" s="9"/>
      <c r="L342" s="9"/>
      <c r="M342" s="9"/>
      <c r="N342" s="9"/>
      <c r="O342" s="9"/>
      <c r="P342" s="9"/>
      <c r="Q342" s="9"/>
      <c r="R342" s="9"/>
      <c r="S342" s="9"/>
      <c r="T342" s="9"/>
      <c r="U342" s="9"/>
      <c r="V342" s="9"/>
      <c r="W342" s="9"/>
      <c r="X342" s="9"/>
      <c r="Y342" s="9"/>
      <c r="Z342" s="9"/>
      <c r="AA342" s="9"/>
      <c r="AB342" s="9"/>
      <c r="AC342" s="9"/>
      <c r="AD342" s="9"/>
      <c r="AE342" s="9"/>
      <c r="AF342" s="9"/>
    </row>
    <row r="343" ht="16.5" customHeight="1">
      <c r="A343" s="9"/>
      <c r="B343" s="348"/>
      <c r="C343" s="507"/>
      <c r="D343" s="83"/>
      <c r="E343" s="83"/>
      <c r="F343" s="56"/>
      <c r="G343" s="29"/>
      <c r="H343" s="31"/>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ht="16.5" customHeight="1">
      <c r="A344" s="9"/>
      <c r="B344" s="348"/>
      <c r="C344" s="507"/>
      <c r="D344" s="83"/>
      <c r="E344" s="83"/>
      <c r="F344" s="56"/>
      <c r="G344" s="29"/>
      <c r="H344" s="8"/>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ht="16.5" customHeight="1">
      <c r="A345" s="9"/>
      <c r="B345" s="348"/>
      <c r="C345" s="507"/>
      <c r="D345" s="83"/>
      <c r="E345" s="83"/>
      <c r="F345" s="56"/>
      <c r="G345" s="29"/>
      <c r="H345" s="8"/>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ht="16.5" customHeight="1">
      <c r="A346" s="9"/>
      <c r="B346" s="348"/>
      <c r="C346" s="507"/>
      <c r="D346" s="83"/>
      <c r="E346" s="83"/>
      <c r="F346" s="500"/>
      <c r="G346" s="29"/>
      <c r="H346" s="8"/>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ht="16.5" customHeight="1">
      <c r="A347" s="9"/>
      <c r="B347" s="348"/>
      <c r="C347" s="507"/>
      <c r="D347" s="83"/>
      <c r="E347" s="83"/>
      <c r="F347" s="500"/>
      <c r="G347" s="29"/>
      <c r="H347" s="8"/>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ht="16.5" customHeight="1">
      <c r="A348" s="9"/>
      <c r="B348" s="348"/>
      <c r="C348" s="507"/>
      <c r="D348" s="83"/>
      <c r="E348" s="83"/>
      <c r="F348" s="500"/>
      <c r="G348" s="29"/>
      <c r="H348" s="8"/>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ht="16.5" customHeight="1">
      <c r="A349" s="9"/>
      <c r="B349" s="348"/>
      <c r="C349" s="507"/>
      <c r="D349" s="83"/>
      <c r="E349" s="83"/>
      <c r="F349" s="440"/>
      <c r="G349" s="29"/>
      <c r="H349" s="8"/>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ht="16.5" customHeight="1">
      <c r="A350" s="9"/>
      <c r="B350" s="348"/>
      <c r="C350" s="507"/>
      <c r="D350" s="83"/>
      <c r="E350" s="83"/>
      <c r="F350" s="500"/>
      <c r="G350" s="29"/>
      <c r="H350" s="36"/>
      <c r="L350" s="9"/>
      <c r="M350" s="9"/>
      <c r="N350" s="9"/>
      <c r="O350" s="9"/>
      <c r="P350" s="9"/>
      <c r="Q350" s="9"/>
      <c r="R350" s="9"/>
      <c r="S350" s="9"/>
      <c r="T350" s="9"/>
      <c r="U350" s="9"/>
      <c r="V350" s="9"/>
      <c r="W350" s="9"/>
      <c r="X350" s="9"/>
      <c r="Y350" s="9"/>
      <c r="Z350" s="9"/>
      <c r="AA350" s="9"/>
      <c r="AB350" s="9"/>
      <c r="AC350" s="9"/>
      <c r="AD350" s="9"/>
      <c r="AE350" s="9"/>
      <c r="AF350" s="9"/>
    </row>
    <row r="351" ht="16.5" customHeight="1">
      <c r="A351" s="9"/>
      <c r="B351" s="348"/>
      <c r="C351" s="507"/>
      <c r="D351" s="83"/>
      <c r="E351" s="83"/>
      <c r="F351" s="500"/>
      <c r="G351" s="29"/>
      <c r="H351" s="31"/>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ht="16.5" customHeight="1">
      <c r="A352" s="9"/>
      <c r="B352" s="341"/>
      <c r="C352" s="545"/>
      <c r="D352" s="341"/>
      <c r="E352" s="31"/>
      <c r="F352" s="31"/>
      <c r="G352" s="29"/>
      <c r="H352" s="31"/>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ht="16.5" customHeight="1">
      <c r="A353" s="9"/>
      <c r="B353" s="341"/>
      <c r="C353" s="545"/>
      <c r="D353" s="341"/>
      <c r="E353" s="31"/>
      <c r="F353" s="31"/>
      <c r="G353" s="29"/>
      <c r="H353" s="31"/>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ht="16.5" customHeight="1">
      <c r="A354" s="9"/>
      <c r="B354" s="341"/>
      <c r="C354" s="545"/>
      <c r="D354" s="341"/>
      <c r="E354" s="31"/>
      <c r="F354" s="31"/>
      <c r="G354" s="29"/>
      <c r="H354" s="31"/>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ht="16.5" customHeight="1">
      <c r="A355" s="9"/>
      <c r="B355" s="341"/>
      <c r="C355" s="545"/>
      <c r="D355" s="341"/>
      <c r="E355" s="31"/>
      <c r="F355" s="31"/>
      <c r="G355" s="29"/>
      <c r="H355" s="31"/>
      <c r="I355" s="31"/>
      <c r="J355" s="9"/>
      <c r="K355" s="9"/>
      <c r="L355" s="9"/>
      <c r="M355" s="9"/>
      <c r="N355" s="9"/>
      <c r="O355" s="9"/>
      <c r="P355" s="9"/>
      <c r="Q355" s="9"/>
      <c r="R355" s="9"/>
      <c r="S355" s="9"/>
      <c r="T355" s="9"/>
      <c r="U355" s="9"/>
      <c r="V355" s="9"/>
      <c r="W355" s="9"/>
      <c r="X355" s="9"/>
      <c r="Y355" s="9"/>
      <c r="Z355" s="9"/>
      <c r="AA355" s="9"/>
      <c r="AB355" s="9"/>
      <c r="AC355" s="9"/>
      <c r="AD355" s="9"/>
      <c r="AE355" s="9"/>
      <c r="AF355" s="9"/>
    </row>
    <row r="356" ht="16.5" customHeight="1">
      <c r="A356" s="9"/>
      <c r="B356" s="341"/>
      <c r="C356" s="545"/>
      <c r="D356" s="341"/>
      <c r="E356" s="31"/>
      <c r="F356" s="31"/>
      <c r="G356" s="31"/>
      <c r="H356" s="31"/>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ht="16.5" customHeight="1">
      <c r="A357" s="9"/>
      <c r="B357" s="341"/>
      <c r="C357" s="545"/>
      <c r="D357" s="341"/>
      <c r="E357" s="8"/>
      <c r="F357" s="8"/>
      <c r="G357" s="29"/>
      <c r="H357" s="8"/>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ht="16.5" customHeight="1">
      <c r="A358" s="9"/>
      <c r="B358" s="341"/>
      <c r="C358" s="545"/>
      <c r="D358" s="341"/>
      <c r="E358" s="31"/>
      <c r="F358" s="31"/>
      <c r="G358" s="29"/>
      <c r="H358" s="31"/>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ht="16.5" customHeight="1">
      <c r="A359" s="9"/>
      <c r="B359" s="341"/>
      <c r="C359" s="545"/>
      <c r="D359" s="341"/>
      <c r="E359" s="31"/>
      <c r="F359" s="31"/>
      <c r="G359" s="29"/>
      <c r="H359" s="31"/>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ht="16.5" customHeight="1">
      <c r="A360" s="9"/>
      <c r="B360" s="341"/>
      <c r="C360" s="545"/>
      <c r="D360" s="341"/>
      <c r="E360" s="8"/>
      <c r="F360" s="8"/>
      <c r="G360" s="29"/>
      <c r="H360" s="8"/>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ht="16.5" customHeight="1">
      <c r="A361" s="9"/>
      <c r="B361" s="341"/>
      <c r="C361" s="545"/>
      <c r="D361" s="341"/>
      <c r="E361" s="8"/>
      <c r="F361" s="8"/>
      <c r="G361" s="29"/>
      <c r="H361" s="8"/>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ht="16.5" customHeight="1">
      <c r="A362" s="9"/>
      <c r="B362" s="341"/>
      <c r="C362" s="545"/>
      <c r="D362" s="341"/>
      <c r="E362" s="8"/>
      <c r="F362" s="8"/>
      <c r="G362" s="29"/>
      <c r="H362" s="8"/>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ht="16.5" customHeight="1">
      <c r="A363" s="9"/>
      <c r="B363" s="341"/>
      <c r="C363" s="545"/>
      <c r="D363" s="341"/>
      <c r="E363" s="8"/>
      <c r="F363" s="8"/>
      <c r="G363" s="29"/>
      <c r="H363" s="8"/>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ht="16.5" customHeight="1">
      <c r="A364" s="9"/>
      <c r="B364" s="341"/>
      <c r="C364" s="545"/>
      <c r="D364" s="341"/>
      <c r="E364" s="8"/>
      <c r="F364" s="8"/>
      <c r="G364" s="29"/>
      <c r="H364" s="8"/>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ht="16.5" customHeight="1">
      <c r="A365" s="9"/>
      <c r="B365" s="341"/>
      <c r="C365" s="545"/>
      <c r="D365" s="341"/>
      <c r="E365" s="8"/>
      <c r="F365" s="8"/>
      <c r="G365" s="29"/>
      <c r="H365" s="8"/>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ht="16.5" customHeight="1">
      <c r="A366" s="9"/>
      <c r="B366" s="341"/>
      <c r="C366" s="545"/>
      <c r="D366" s="341"/>
      <c r="E366" s="8"/>
      <c r="F366" s="8"/>
      <c r="G366" s="29"/>
      <c r="H366" s="36"/>
      <c r="L366" s="9"/>
      <c r="M366" s="9"/>
      <c r="N366" s="9"/>
      <c r="O366" s="9"/>
      <c r="P366" s="9"/>
      <c r="Q366" s="9"/>
      <c r="R366" s="9"/>
      <c r="S366" s="9"/>
      <c r="T366" s="9"/>
      <c r="U366" s="9"/>
      <c r="V366" s="9"/>
      <c r="W366" s="9"/>
      <c r="X366" s="9"/>
      <c r="Y366" s="9"/>
      <c r="Z366" s="9"/>
      <c r="AA366" s="9"/>
      <c r="AB366" s="9"/>
      <c r="AC366" s="9"/>
      <c r="AD366" s="9"/>
      <c r="AE366" s="9"/>
      <c r="AF366" s="9"/>
    </row>
    <row r="367" ht="16.5" customHeight="1">
      <c r="A367" s="9"/>
      <c r="E367" s="31"/>
      <c r="F367" s="31"/>
      <c r="G367" s="29"/>
      <c r="H367" s="31"/>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ht="16.5" customHeight="1">
      <c r="A368" s="9"/>
      <c r="E368" s="31"/>
      <c r="F368" s="31"/>
      <c r="G368" s="29"/>
      <c r="H368" s="31"/>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ht="16.5" customHeight="1">
      <c r="A369" s="9"/>
      <c r="E369" s="31"/>
      <c r="F369" s="31"/>
      <c r="G369" s="29"/>
      <c r="H369" s="31"/>
      <c r="I369" s="31"/>
      <c r="J369" s="9"/>
      <c r="K369" s="9"/>
      <c r="L369" s="9"/>
      <c r="M369" s="9"/>
      <c r="N369" s="9"/>
      <c r="O369" s="9"/>
      <c r="P369" s="9"/>
      <c r="Q369" s="9"/>
      <c r="R369" s="9"/>
      <c r="S369" s="9"/>
      <c r="T369" s="9"/>
      <c r="U369" s="9"/>
      <c r="V369" s="9"/>
      <c r="W369" s="9"/>
      <c r="X369" s="9"/>
      <c r="Y369" s="9"/>
      <c r="Z369" s="9"/>
      <c r="AA369" s="9"/>
      <c r="AB369" s="9"/>
      <c r="AC369" s="9"/>
      <c r="AD369" s="9"/>
      <c r="AE369" s="9"/>
      <c r="AF369" s="9"/>
    </row>
    <row r="370" ht="16.5" customHeight="1">
      <c r="A370" s="9"/>
      <c r="E370" s="31"/>
      <c r="F370" s="31"/>
      <c r="G370" s="29"/>
      <c r="H370" s="31"/>
      <c r="I370" s="31"/>
      <c r="J370" s="9"/>
      <c r="K370" s="9"/>
      <c r="L370" s="9"/>
      <c r="M370" s="9"/>
      <c r="N370" s="9"/>
      <c r="O370" s="9"/>
      <c r="P370" s="9"/>
      <c r="Q370" s="9"/>
      <c r="R370" s="9"/>
      <c r="S370" s="9"/>
      <c r="T370" s="9"/>
      <c r="U370" s="9"/>
      <c r="V370" s="9"/>
      <c r="W370" s="9"/>
      <c r="X370" s="9"/>
      <c r="Y370" s="9"/>
      <c r="Z370" s="9"/>
      <c r="AA370" s="9"/>
      <c r="AB370" s="9"/>
      <c r="AC370" s="9"/>
      <c r="AD370" s="9"/>
      <c r="AE370" s="9"/>
      <c r="AF370" s="9"/>
    </row>
    <row r="371" ht="16.5" customHeight="1">
      <c r="A371" s="9"/>
      <c r="E371" s="31"/>
      <c r="F371" s="31"/>
      <c r="G371" s="29"/>
      <c r="H371" s="31"/>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ht="16.5" customHeight="1">
      <c r="A372" s="9"/>
      <c r="E372" s="31"/>
      <c r="F372" s="31"/>
      <c r="G372" s="31"/>
      <c r="H372" s="31"/>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ht="16.5" customHeight="1">
      <c r="A373" s="9"/>
      <c r="E373" s="8"/>
      <c r="F373" s="8"/>
      <c r="G373" s="29"/>
      <c r="H373" s="8"/>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ht="16.5" customHeight="1">
      <c r="A374" s="9"/>
      <c r="E374" s="31"/>
      <c r="F374" s="31"/>
      <c r="G374" s="29"/>
      <c r="H374" s="31"/>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ht="16.5" customHeight="1">
      <c r="A375" s="9"/>
      <c r="E375" s="31"/>
      <c r="F375" s="31"/>
      <c r="G375" s="29"/>
      <c r="H375" s="31"/>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ht="16.5" customHeight="1">
      <c r="A376" s="9"/>
      <c r="E376" s="8"/>
      <c r="F376" s="8"/>
      <c r="G376" s="29"/>
      <c r="H376" s="8"/>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ht="16.5" customHeight="1">
      <c r="A377" s="9"/>
      <c r="E377" s="8"/>
      <c r="F377" s="8"/>
      <c r="G377" s="29"/>
      <c r="H377" s="8"/>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ht="16.5" customHeight="1">
      <c r="A378" s="9"/>
      <c r="E378" s="8"/>
      <c r="F378" s="8"/>
      <c r="G378" s="29"/>
      <c r="H378" s="8"/>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ht="16.5" customHeight="1">
      <c r="A379" s="9"/>
      <c r="E379" s="8"/>
      <c r="F379" s="8"/>
      <c r="G379" s="29"/>
      <c r="H379" s="8"/>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ht="16.5" customHeight="1">
      <c r="A380" s="9"/>
      <c r="E380" s="8"/>
      <c r="F380" s="8"/>
      <c r="G380" s="29"/>
      <c r="H380" s="8"/>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ht="16.5" customHeight="1">
      <c r="A381" s="9"/>
      <c r="E381" s="8"/>
      <c r="F381" s="8"/>
      <c r="G381" s="29"/>
      <c r="H381" s="8"/>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ht="16.5" customHeight="1">
      <c r="A382" s="9"/>
      <c r="B382" s="341"/>
      <c r="C382" s="545"/>
      <c r="D382" s="341"/>
      <c r="E382" s="8"/>
      <c r="F382" s="8"/>
      <c r="G382" s="29"/>
      <c r="H382" s="36"/>
      <c r="L382" s="9"/>
      <c r="M382" s="9"/>
      <c r="N382" s="9"/>
      <c r="O382" s="9"/>
      <c r="P382" s="9"/>
      <c r="Q382" s="9"/>
      <c r="R382" s="9"/>
      <c r="S382" s="9"/>
      <c r="T382" s="9"/>
      <c r="U382" s="9"/>
      <c r="V382" s="9"/>
      <c r="W382" s="9"/>
      <c r="X382" s="9"/>
      <c r="Y382" s="9"/>
      <c r="Z382" s="9"/>
      <c r="AA382" s="9"/>
      <c r="AB382" s="9"/>
      <c r="AC382" s="9"/>
      <c r="AD382" s="9"/>
      <c r="AE382" s="9"/>
      <c r="AF382" s="9"/>
    </row>
    <row r="383" ht="16.5" customHeight="1">
      <c r="A383" s="9"/>
      <c r="E383" s="31"/>
      <c r="F383" s="31"/>
      <c r="G383" s="29"/>
      <c r="H383" s="31"/>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ht="16.5" customHeight="1">
      <c r="A384" s="9"/>
      <c r="E384" s="31"/>
      <c r="F384" s="31"/>
      <c r="G384" s="29"/>
      <c r="H384" s="31"/>
      <c r="I384" s="9"/>
      <c r="J384" s="9"/>
      <c r="K384" s="31"/>
      <c r="L384" s="9"/>
      <c r="M384" s="9"/>
      <c r="N384" s="9"/>
      <c r="O384" s="9"/>
      <c r="P384" s="9"/>
      <c r="Q384" s="9"/>
      <c r="R384" s="9"/>
      <c r="S384" s="9"/>
      <c r="T384" s="9"/>
      <c r="U384" s="9"/>
      <c r="V384" s="9"/>
      <c r="W384" s="9"/>
      <c r="X384" s="9"/>
      <c r="Y384" s="9"/>
      <c r="Z384" s="9"/>
      <c r="AA384" s="9"/>
      <c r="AB384" s="9"/>
      <c r="AC384" s="9"/>
      <c r="AD384" s="9"/>
      <c r="AE384" s="9"/>
      <c r="AF384" s="9"/>
    </row>
    <row r="385" ht="16.5" customHeight="1">
      <c r="A385" s="9"/>
      <c r="E385" s="31"/>
      <c r="F385" s="31"/>
      <c r="G385" s="29"/>
      <c r="H385" s="31"/>
      <c r="I385" s="31"/>
      <c r="J385" s="9"/>
      <c r="K385" s="9"/>
      <c r="L385" s="9"/>
      <c r="M385" s="9"/>
      <c r="N385" s="9"/>
      <c r="O385" s="9"/>
      <c r="P385" s="9"/>
      <c r="Q385" s="9"/>
      <c r="R385" s="9"/>
      <c r="S385" s="9"/>
      <c r="T385" s="9"/>
      <c r="U385" s="9"/>
      <c r="V385" s="9"/>
      <c r="W385" s="9"/>
      <c r="X385" s="9"/>
      <c r="Y385" s="9"/>
      <c r="Z385" s="9"/>
      <c r="AA385" s="9"/>
      <c r="AB385" s="9"/>
      <c r="AC385" s="9"/>
      <c r="AD385" s="9"/>
      <c r="AE385" s="9"/>
      <c r="AF385" s="9"/>
    </row>
    <row r="386" ht="16.5" customHeight="1">
      <c r="A386" s="9"/>
      <c r="E386" s="31"/>
      <c r="F386" s="31"/>
      <c r="G386" s="29"/>
      <c r="H386" s="31"/>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ht="16.5" customHeight="1">
      <c r="A387" s="9"/>
      <c r="E387" s="31"/>
      <c r="F387" s="31"/>
      <c r="G387" s="29"/>
      <c r="H387" s="31"/>
      <c r="I387" s="31"/>
      <c r="J387" s="9"/>
      <c r="K387" s="9"/>
      <c r="L387" s="9"/>
      <c r="M387" s="9"/>
      <c r="N387" s="9"/>
      <c r="O387" s="9"/>
      <c r="P387" s="9"/>
      <c r="Q387" s="9"/>
      <c r="R387" s="9"/>
      <c r="S387" s="9"/>
      <c r="T387" s="9"/>
      <c r="U387" s="9"/>
      <c r="V387" s="9"/>
      <c r="W387" s="9"/>
      <c r="X387" s="9"/>
      <c r="Y387" s="9"/>
      <c r="Z387" s="9"/>
      <c r="AA387" s="9"/>
      <c r="AB387" s="9"/>
      <c r="AC387" s="9"/>
      <c r="AD387" s="9"/>
      <c r="AE387" s="9"/>
      <c r="AF387" s="9"/>
    </row>
    <row r="388" ht="16.5" customHeight="1">
      <c r="A388" s="9"/>
      <c r="E388" s="31"/>
      <c r="F388" s="31"/>
      <c r="G388" s="29"/>
      <c r="H388" s="31"/>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ht="16.5" customHeight="1">
      <c r="A389" s="9"/>
      <c r="E389" s="31"/>
      <c r="F389" s="31"/>
      <c r="G389" s="29"/>
      <c r="H389" s="31"/>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ht="16.5" customHeight="1">
      <c r="A390" s="9"/>
      <c r="E390" s="31"/>
      <c r="F390" s="31"/>
      <c r="G390" s="29"/>
      <c r="H390" s="31"/>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ht="16.5" customHeight="1">
      <c r="A391" s="9"/>
      <c r="E391" s="31"/>
      <c r="F391" s="31"/>
      <c r="G391" s="29"/>
      <c r="H391" s="31"/>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ht="16.5" customHeight="1">
      <c r="A392" s="9"/>
      <c r="E392" s="31"/>
      <c r="F392" s="31"/>
      <c r="G392" s="31"/>
      <c r="H392" s="31"/>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ht="16.5" customHeight="1">
      <c r="A393" s="9"/>
      <c r="E393" s="8"/>
      <c r="F393" s="8"/>
      <c r="G393" s="29"/>
      <c r="H393" s="8"/>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ht="16.5" customHeight="1">
      <c r="A394" s="9"/>
      <c r="E394" s="31"/>
      <c r="F394" s="31"/>
      <c r="G394" s="29"/>
      <c r="H394" s="31"/>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ht="16.5" customHeight="1">
      <c r="A395" s="9"/>
      <c r="E395" s="31"/>
      <c r="F395" s="31"/>
      <c r="G395" s="29"/>
      <c r="H395" s="31"/>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ht="16.5" customHeight="1">
      <c r="A396" s="9"/>
      <c r="E396" s="8"/>
      <c r="F396" s="8"/>
      <c r="G396" s="29"/>
      <c r="H396" s="8"/>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ht="16.5" customHeight="1">
      <c r="A397" s="9"/>
      <c r="E397" s="8"/>
      <c r="F397" s="8"/>
      <c r="G397" s="29"/>
      <c r="H397" s="8"/>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ht="16.5" customHeight="1">
      <c r="A398" s="9"/>
      <c r="E398" s="8"/>
      <c r="F398" s="8"/>
      <c r="G398" s="29"/>
      <c r="H398" s="8"/>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ht="16.5" customHeight="1">
      <c r="A399" s="9"/>
      <c r="E399" s="8"/>
      <c r="F399" s="8"/>
      <c r="G399" s="29"/>
      <c r="H399" s="8"/>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ht="16.5" customHeight="1">
      <c r="A400" s="9"/>
      <c r="E400" s="8"/>
      <c r="F400" s="8"/>
      <c r="G400" s="29"/>
      <c r="H400" s="8"/>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ht="16.5" customHeight="1">
      <c r="A401" s="9"/>
      <c r="B401" s="341"/>
      <c r="C401" s="545"/>
      <c r="D401" s="341"/>
      <c r="E401" s="8"/>
      <c r="F401" s="8"/>
      <c r="G401" s="29"/>
      <c r="H401" s="36"/>
      <c r="L401" s="9"/>
      <c r="M401" s="9"/>
      <c r="N401" s="9"/>
      <c r="O401" s="9"/>
      <c r="P401" s="9"/>
      <c r="Q401" s="9"/>
      <c r="R401" s="9"/>
      <c r="S401" s="9"/>
      <c r="T401" s="9"/>
      <c r="U401" s="9"/>
      <c r="V401" s="9"/>
      <c r="W401" s="9"/>
      <c r="X401" s="9"/>
      <c r="Y401" s="9"/>
      <c r="Z401" s="9"/>
      <c r="AA401" s="9"/>
      <c r="AB401" s="9"/>
      <c r="AC401" s="9"/>
      <c r="AD401" s="9"/>
      <c r="AE401" s="9"/>
      <c r="AF401" s="9"/>
    </row>
    <row r="402" ht="16.5" customHeight="1">
      <c r="A402" s="9"/>
      <c r="E402" s="31"/>
      <c r="F402" s="31"/>
      <c r="G402" s="29"/>
      <c r="H402" s="31"/>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ht="16.5" customHeight="1">
      <c r="A403" s="9"/>
      <c r="E403" s="31"/>
      <c r="F403" s="31"/>
      <c r="G403" s="29"/>
      <c r="H403" s="31"/>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ht="16.5" customHeight="1">
      <c r="E404" s="31"/>
      <c r="F404" s="31"/>
      <c r="G404" s="29"/>
      <c r="H404" s="31"/>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ht="16.5" customHeight="1">
      <c r="E405" s="31"/>
      <c r="F405" s="31"/>
      <c r="G405" s="29"/>
      <c r="H405" s="31"/>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ht="16.5" customHeight="1">
      <c r="E406" s="31"/>
      <c r="F406" s="31"/>
      <c r="G406" s="29"/>
      <c r="H406" s="31"/>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ht="16.5" customHeight="1">
      <c r="E407" s="31"/>
      <c r="F407" s="31"/>
      <c r="G407" s="29"/>
      <c r="H407" s="31"/>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ht="16.5" customHeight="1">
      <c r="A408" s="9"/>
      <c r="E408" s="31"/>
      <c r="F408" s="31"/>
      <c r="G408" s="29"/>
      <c r="H408" s="31"/>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ht="16.5" customHeight="1">
      <c r="A409" s="9"/>
      <c r="E409" s="31"/>
      <c r="F409" s="31"/>
      <c r="G409" s="29"/>
      <c r="H409" s="31"/>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ht="16.5" customHeight="1">
      <c r="A410" s="9"/>
      <c r="E410" s="31"/>
      <c r="F410" s="31"/>
      <c r="G410" s="29"/>
      <c r="H410" s="31"/>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ht="16.5" customHeight="1">
      <c r="A411" s="9"/>
      <c r="E411" s="31"/>
      <c r="F411" s="31"/>
      <c r="G411" s="29"/>
      <c r="H411" s="31"/>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ht="16.5" customHeight="1">
      <c r="A412" s="9"/>
      <c r="E412" s="31"/>
      <c r="F412" s="31"/>
      <c r="G412" s="31"/>
      <c r="H412" s="31"/>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ht="16.5" customHeight="1">
      <c r="A413" s="9"/>
      <c r="E413" s="8"/>
      <c r="F413" s="8"/>
      <c r="G413" s="29"/>
      <c r="H413" s="8"/>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ht="16.5" customHeight="1">
      <c r="A414" s="9"/>
      <c r="E414" s="31"/>
      <c r="F414" s="31"/>
      <c r="G414" s="29"/>
      <c r="H414" s="31"/>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ht="16.5" customHeight="1">
      <c r="A415" s="9"/>
      <c r="E415" s="31"/>
      <c r="F415" s="31"/>
      <c r="G415" s="29"/>
      <c r="H415" s="31"/>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ht="16.5" customHeight="1">
      <c r="A416" s="9"/>
      <c r="E416" s="8"/>
      <c r="F416" s="8"/>
      <c r="G416" s="29"/>
      <c r="H416" s="8"/>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ht="16.5" customHeight="1">
      <c r="A417" s="9"/>
      <c r="E417" s="8"/>
      <c r="F417" s="8"/>
      <c r="G417" s="29"/>
      <c r="H417" s="8"/>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ht="16.5" customHeight="1">
      <c r="A418" s="9"/>
      <c r="E418" s="8"/>
      <c r="F418" s="8"/>
      <c r="G418" s="29"/>
      <c r="H418" s="8"/>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ht="16.5" customHeight="1">
      <c r="A419" s="9"/>
      <c r="E419" s="8"/>
      <c r="F419" s="8"/>
      <c r="G419" s="29"/>
      <c r="H419" s="8"/>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ht="16.5" customHeight="1">
      <c r="A420" s="9"/>
      <c r="E420" s="8"/>
      <c r="F420" s="8"/>
      <c r="G420" s="29"/>
      <c r="H420" s="8"/>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ht="16.5" customHeight="1">
      <c r="A421" s="9"/>
      <c r="B421" s="341"/>
      <c r="C421" s="545"/>
      <c r="D421" s="341"/>
      <c r="E421" s="8"/>
      <c r="F421" s="8"/>
      <c r="G421" s="29"/>
      <c r="H421" s="36"/>
      <c r="L421" s="9"/>
      <c r="M421" s="9"/>
      <c r="N421" s="9"/>
      <c r="O421" s="9"/>
      <c r="P421" s="9"/>
      <c r="Q421" s="9"/>
      <c r="R421" s="9"/>
      <c r="S421" s="9"/>
      <c r="T421" s="9"/>
      <c r="U421" s="9"/>
      <c r="V421" s="9"/>
      <c r="W421" s="9"/>
      <c r="X421" s="9"/>
      <c r="Y421" s="9"/>
      <c r="Z421" s="9"/>
      <c r="AA421" s="9"/>
      <c r="AB421" s="9"/>
      <c r="AC421" s="9"/>
      <c r="AD421" s="9"/>
      <c r="AE421" s="9"/>
      <c r="AF421" s="9"/>
    </row>
    <row r="422" ht="16.5" customHeight="1">
      <c r="A422" s="9"/>
      <c r="E422" s="31"/>
      <c r="F422" s="31"/>
      <c r="G422" s="29"/>
      <c r="H422" s="31"/>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ht="16.5" customHeight="1">
      <c r="A423" s="9"/>
      <c r="E423" s="31"/>
      <c r="F423" s="31"/>
      <c r="G423" s="29"/>
      <c r="H423" s="31"/>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ht="16.5" customHeight="1">
      <c r="A424" s="9"/>
      <c r="E424" s="31"/>
      <c r="F424" s="31"/>
      <c r="G424" s="29"/>
      <c r="H424" s="31"/>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ht="16.5" customHeight="1">
      <c r="A425" s="9"/>
      <c r="E425" s="31"/>
      <c r="F425" s="31"/>
      <c r="G425" s="29"/>
      <c r="H425" s="31"/>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ht="16.5" customHeight="1">
      <c r="A426" s="9"/>
      <c r="E426" s="31"/>
      <c r="F426" s="31"/>
      <c r="G426" s="29"/>
      <c r="H426" s="31"/>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ht="16.5" customHeight="1">
      <c r="A427" s="9"/>
      <c r="E427" s="31"/>
      <c r="F427" s="31"/>
      <c r="G427" s="29"/>
      <c r="H427" s="31"/>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ht="16.5" customHeight="1">
      <c r="A428" s="9"/>
      <c r="E428" s="31"/>
      <c r="F428" s="31"/>
      <c r="G428" s="29"/>
      <c r="H428" s="31"/>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ht="16.5" customHeight="1">
      <c r="A429" s="9"/>
      <c r="E429" s="31"/>
      <c r="F429" s="31"/>
      <c r="G429" s="29"/>
      <c r="H429" s="31"/>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ht="16.5" customHeight="1">
      <c r="A430" s="9"/>
      <c r="E430" s="31"/>
      <c r="F430" s="31"/>
      <c r="G430" s="29"/>
      <c r="H430" s="31"/>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ht="16.5" customHeight="1">
      <c r="A431" s="9"/>
      <c r="E431" s="9"/>
      <c r="F431" s="9"/>
      <c r="G431" s="42"/>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ht="16.5" customHeight="1">
      <c r="A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ht="16.5" customHeight="1">
      <c r="A433" s="9"/>
      <c r="E433" s="8"/>
      <c r="F433" s="8"/>
      <c r="G433" s="42"/>
      <c r="H433" s="8"/>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ht="16.5" customHeight="1">
      <c r="A434" s="9"/>
      <c r="E434" s="9"/>
      <c r="F434" s="9"/>
      <c r="G434" s="42"/>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ht="16.5" customHeight="1">
      <c r="A435" s="9"/>
      <c r="E435" s="9"/>
      <c r="F435" s="9"/>
      <c r="G435" s="42"/>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ht="16.5" customHeight="1">
      <c r="A436" s="9"/>
      <c r="E436" s="8"/>
      <c r="F436" s="8"/>
      <c r="G436" s="42"/>
      <c r="H436" s="8"/>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ht="16.5" customHeight="1">
      <c r="A437" s="9"/>
      <c r="E437" s="8"/>
      <c r="F437" s="8"/>
      <c r="G437" s="42"/>
      <c r="H437" s="8"/>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ht="16.5" customHeight="1">
      <c r="A438" s="9"/>
      <c r="E438" s="8"/>
      <c r="F438" s="8"/>
      <c r="G438" s="42"/>
      <c r="H438" s="8"/>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ht="16.5" customHeight="1">
      <c r="A439" s="9"/>
      <c r="E439" s="8"/>
      <c r="F439" s="8"/>
      <c r="G439" s="42"/>
      <c r="H439" s="8"/>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ht="16.5" customHeight="1">
      <c r="A440" s="9"/>
      <c r="E440" s="8"/>
      <c r="F440" s="8"/>
      <c r="G440" s="42"/>
      <c r="H440" s="8"/>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ht="16.5" customHeight="1">
      <c r="A441" s="9"/>
      <c r="E441" s="8"/>
      <c r="F441" s="8"/>
      <c r="G441" s="42"/>
      <c r="H441" s="8"/>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ht="16.5" customHeight="1">
      <c r="A442" s="9"/>
      <c r="B442" s="341"/>
      <c r="C442" s="546"/>
      <c r="D442" s="547"/>
      <c r="E442" s="8"/>
      <c r="F442" s="8"/>
      <c r="G442" s="42"/>
      <c r="H442" s="36"/>
      <c r="L442" s="9"/>
      <c r="M442" s="9"/>
      <c r="N442" s="9"/>
      <c r="O442" s="9"/>
      <c r="P442" s="9"/>
      <c r="Q442" s="9"/>
      <c r="R442" s="9"/>
      <c r="S442" s="9"/>
      <c r="T442" s="9"/>
      <c r="U442" s="9"/>
      <c r="V442" s="9"/>
      <c r="W442" s="9"/>
      <c r="X442" s="9"/>
      <c r="Y442" s="9"/>
      <c r="Z442" s="9"/>
      <c r="AA442" s="9"/>
      <c r="AB442" s="9"/>
      <c r="AC442" s="9"/>
      <c r="AD442" s="9"/>
      <c r="AE442" s="9"/>
      <c r="AF442" s="9"/>
    </row>
    <row r="443" ht="16.5" customHeight="1">
      <c r="A443" s="9"/>
      <c r="E443" s="9"/>
      <c r="F443" s="9"/>
      <c r="G443" s="42"/>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ht="16.5" customHeight="1">
      <c r="A444" s="9"/>
      <c r="E444" s="31"/>
      <c r="F444" s="31"/>
      <c r="G444" s="2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ht="16.5" customHeight="1">
      <c r="A445" s="9"/>
      <c r="E445" s="31"/>
      <c r="F445" s="31"/>
      <c r="G445" s="29"/>
      <c r="H445" s="31"/>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ht="16.5" customHeight="1">
      <c r="A446" s="9"/>
      <c r="E446" s="31"/>
      <c r="F446" s="31"/>
      <c r="G446" s="29"/>
      <c r="H446" s="31"/>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ht="16.5" customHeight="1">
      <c r="A447" s="9"/>
      <c r="E447" s="31"/>
      <c r="F447" s="31"/>
      <c r="G447" s="29"/>
      <c r="H447" s="31"/>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ht="16.5" customHeight="1">
      <c r="A448" s="9"/>
      <c r="E448" s="31"/>
      <c r="F448" s="31"/>
      <c r="G448" s="29"/>
      <c r="H448" s="31"/>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ht="16.5" customHeight="1">
      <c r="A449" s="9"/>
      <c r="E449" s="31"/>
      <c r="F449" s="31"/>
      <c r="G449" s="29"/>
      <c r="H449" s="31"/>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ht="16.5" customHeight="1">
      <c r="A450" s="9"/>
      <c r="E450" s="31"/>
      <c r="F450" s="31"/>
      <c r="G450" s="29"/>
      <c r="H450" s="31"/>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ht="16.5" customHeight="1">
      <c r="A451" s="9"/>
      <c r="E451" s="31"/>
      <c r="F451" s="31"/>
      <c r="G451" s="29"/>
      <c r="H451" s="31"/>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ht="16.5" customHeight="1">
      <c r="A452" s="9"/>
      <c r="E452" s="31"/>
      <c r="F452" s="31"/>
      <c r="G452" s="29"/>
      <c r="H452" s="31"/>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ht="16.5" customHeight="1">
      <c r="A453" s="9"/>
      <c r="E453" s="31"/>
      <c r="F453" s="31"/>
      <c r="G453" s="31"/>
      <c r="H453" s="31"/>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ht="16.5" customHeight="1">
      <c r="A454" s="9"/>
      <c r="E454" s="8"/>
      <c r="F454" s="8"/>
      <c r="G454" s="29"/>
      <c r="H454" s="8"/>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ht="16.5" customHeight="1">
      <c r="A455" s="9"/>
      <c r="E455" s="31"/>
      <c r="F455" s="31"/>
      <c r="G455" s="29"/>
      <c r="H455" s="31"/>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ht="16.5" customHeight="1">
      <c r="A456" s="9"/>
      <c r="E456" s="31"/>
      <c r="F456" s="31"/>
      <c r="G456" s="29"/>
      <c r="H456" s="31"/>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ht="16.5" customHeight="1">
      <c r="A457" s="9"/>
      <c r="E457" s="8"/>
      <c r="F457" s="8"/>
      <c r="G457" s="29"/>
      <c r="H457" s="8"/>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ht="16.5" customHeight="1">
      <c r="A458" s="9"/>
      <c r="E458" s="8"/>
      <c r="F458" s="8"/>
      <c r="G458" s="29"/>
      <c r="H458" s="8"/>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ht="16.5" customHeight="1">
      <c r="A459" s="9"/>
      <c r="E459" s="8"/>
      <c r="F459" s="8"/>
      <c r="G459" s="29"/>
      <c r="H459" s="8"/>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ht="16.5" customHeight="1">
      <c r="A460" s="9"/>
      <c r="E460" s="8"/>
      <c r="F460" s="8"/>
      <c r="G460" s="29"/>
      <c r="H460" s="8"/>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ht="16.5" customHeight="1">
      <c r="A461" s="9"/>
      <c r="E461" s="8"/>
      <c r="F461" s="8"/>
      <c r="G461" s="29"/>
      <c r="H461" s="8"/>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ht="16.5" customHeight="1">
      <c r="A462" s="9"/>
      <c r="E462" s="8"/>
      <c r="F462" s="8"/>
      <c r="G462" s="29"/>
      <c r="H462" s="8"/>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ht="16.5" customHeight="1">
      <c r="A463" s="9"/>
      <c r="B463" s="341"/>
      <c r="C463" s="545"/>
      <c r="D463" s="341"/>
      <c r="E463" s="8"/>
      <c r="F463" s="8"/>
      <c r="G463" s="29"/>
      <c r="H463" s="36"/>
      <c r="L463" s="9"/>
      <c r="M463" s="9"/>
      <c r="N463" s="9"/>
      <c r="O463" s="9"/>
      <c r="P463" s="9"/>
      <c r="Q463" s="9"/>
      <c r="R463" s="9"/>
      <c r="S463" s="9"/>
      <c r="T463" s="9"/>
      <c r="U463" s="9"/>
      <c r="V463" s="9"/>
      <c r="W463" s="9"/>
      <c r="X463" s="9"/>
      <c r="Y463" s="9"/>
      <c r="Z463" s="9"/>
      <c r="AA463" s="9"/>
      <c r="AB463" s="9"/>
      <c r="AC463" s="9"/>
      <c r="AD463" s="9"/>
      <c r="AE463" s="9"/>
      <c r="AF463" s="9"/>
    </row>
    <row r="464" ht="16.5" customHeight="1">
      <c r="A464" s="9"/>
      <c r="E464" s="31"/>
      <c r="F464" s="31"/>
      <c r="G464" s="29"/>
      <c r="H464" s="31"/>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ht="16.5" customHeight="1">
      <c r="A465" s="9"/>
      <c r="E465" s="31"/>
      <c r="F465" s="31"/>
      <c r="G465" s="29"/>
      <c r="H465" s="31"/>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ht="16.5" customHeight="1">
      <c r="A466" s="9"/>
      <c r="E466" s="9"/>
      <c r="F466" s="9"/>
      <c r="G466" s="42"/>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ht="16.5" customHeight="1">
      <c r="A467" s="9"/>
      <c r="E467" s="9"/>
      <c r="F467" s="9"/>
      <c r="G467" s="42"/>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ht="16.5" customHeight="1">
      <c r="A468" s="9"/>
      <c r="E468" s="9"/>
      <c r="F468" s="9"/>
      <c r="G468" s="42"/>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ht="16.5" customHeight="1">
      <c r="A469" s="9"/>
      <c r="E469" s="9"/>
      <c r="F469" s="9"/>
      <c r="G469" s="42"/>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ht="16.5" customHeight="1">
      <c r="A470" s="9"/>
      <c r="E470" s="9"/>
      <c r="F470" s="9"/>
      <c r="G470" s="42"/>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ht="16.5" customHeight="1">
      <c r="A471" s="9"/>
      <c r="E471" s="9"/>
      <c r="F471" s="9"/>
      <c r="G471" s="42"/>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ht="16.5" customHeight="1">
      <c r="A472" s="9"/>
      <c r="E472" s="9"/>
      <c r="F472" s="9"/>
      <c r="G472" s="42"/>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ht="16.5" customHeight="1">
      <c r="A473" s="9"/>
      <c r="E473" s="9"/>
      <c r="F473" s="9"/>
      <c r="G473" s="42"/>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ht="16.5" customHeight="1">
      <c r="A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ht="16.5" customHeight="1">
      <c r="A475" s="9"/>
      <c r="E475" s="8"/>
      <c r="F475" s="8"/>
      <c r="G475" s="42"/>
      <c r="H475" s="8"/>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ht="16.5" customHeight="1">
      <c r="A476" s="9"/>
      <c r="E476" s="9"/>
      <c r="F476" s="9"/>
      <c r="G476" s="42"/>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ht="16.5" customHeight="1">
      <c r="A477" s="9"/>
      <c r="E477" s="8"/>
      <c r="F477" s="8"/>
      <c r="G477" s="42"/>
      <c r="H477" s="8"/>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ht="16.5" customHeight="1">
      <c r="A478" s="9"/>
      <c r="E478" s="8"/>
      <c r="F478" s="8"/>
      <c r="G478" s="42"/>
      <c r="H478" s="8"/>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ht="16.5" customHeight="1">
      <c r="A479" s="9"/>
      <c r="E479" s="8"/>
      <c r="F479" s="8"/>
      <c r="G479" s="42"/>
      <c r="H479" s="8"/>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ht="16.5" customHeight="1">
      <c r="A480" s="9"/>
      <c r="E480" s="8"/>
      <c r="F480" s="8"/>
      <c r="G480" s="42"/>
      <c r="H480" s="8"/>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ht="16.5" customHeight="1">
      <c r="A481" s="9"/>
      <c r="E481" s="8"/>
      <c r="F481" s="8"/>
      <c r="G481" s="42"/>
      <c r="H481" s="8"/>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ht="16.5" customHeight="1">
      <c r="A482" s="9"/>
      <c r="E482" s="8"/>
      <c r="F482" s="8"/>
      <c r="G482" s="42"/>
      <c r="H482" s="8"/>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ht="16.5" customHeight="1">
      <c r="A483" s="9"/>
      <c r="B483" s="547"/>
      <c r="C483" s="546"/>
      <c r="D483" s="547"/>
      <c r="E483" s="8"/>
      <c r="F483" s="8"/>
      <c r="G483" s="42"/>
      <c r="H483" s="36"/>
      <c r="L483" s="9"/>
      <c r="M483" s="9"/>
      <c r="N483" s="9"/>
      <c r="O483" s="9"/>
      <c r="P483" s="9"/>
      <c r="Q483" s="9"/>
      <c r="R483" s="9"/>
      <c r="S483" s="9"/>
      <c r="T483" s="9"/>
      <c r="U483" s="9"/>
      <c r="V483" s="9"/>
      <c r="W483" s="9"/>
      <c r="X483" s="9"/>
      <c r="Y483" s="9"/>
      <c r="Z483" s="9"/>
      <c r="AA483" s="9"/>
      <c r="AB483" s="9"/>
      <c r="AC483" s="9"/>
      <c r="AD483" s="9"/>
      <c r="AE483" s="9"/>
      <c r="AF483" s="9"/>
    </row>
    <row r="484" ht="16.5" customHeight="1">
      <c r="A484" s="9"/>
      <c r="E484" s="9"/>
      <c r="F484" s="9"/>
      <c r="G484" s="42"/>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ht="16.5" customHeight="1">
      <c r="A485" s="9"/>
      <c r="E485" s="9"/>
      <c r="F485" s="9"/>
      <c r="G485" s="42"/>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ht="16.5" customHeight="1">
      <c r="A486" s="9"/>
      <c r="E486" s="9"/>
      <c r="F486" s="9"/>
      <c r="G486" s="42"/>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ht="16.5" customHeight="1">
      <c r="A487" s="9"/>
      <c r="E487" s="9"/>
      <c r="F487" s="9"/>
      <c r="G487" s="42"/>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ht="16.5" customHeight="1">
      <c r="A488" s="9"/>
      <c r="E488" s="9"/>
      <c r="F488" s="9"/>
      <c r="G488" s="42"/>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ht="16.5" customHeight="1">
      <c r="A489" s="9"/>
      <c r="E489" s="9"/>
      <c r="F489" s="9"/>
      <c r="G489" s="42"/>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ht="16.5" customHeight="1">
      <c r="A490" s="9"/>
      <c r="E490" s="9"/>
      <c r="F490" s="9"/>
      <c r="G490" s="42"/>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ht="16.5" customHeight="1">
      <c r="A491" s="9"/>
      <c r="E491" s="9"/>
      <c r="F491" s="9"/>
      <c r="G491" s="42"/>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ht="16.5" customHeight="1">
      <c r="A492" s="9"/>
      <c r="E492" s="9"/>
      <c r="F492" s="9"/>
      <c r="G492" s="42"/>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ht="16.5" customHeight="1">
      <c r="A493" s="9"/>
      <c r="E493" s="9"/>
      <c r="F493" s="9"/>
      <c r="G493" s="42"/>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ht="16.5" customHeight="1">
      <c r="A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ht="16.5" customHeight="1">
      <c r="A495" s="9"/>
      <c r="E495" s="8"/>
      <c r="F495" s="8"/>
      <c r="G495" s="42"/>
      <c r="H495" s="8"/>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ht="16.5" customHeight="1">
      <c r="A496" s="9"/>
      <c r="E496" s="9"/>
      <c r="F496" s="9"/>
      <c r="G496" s="42"/>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ht="16.5" customHeight="1">
      <c r="A497" s="9"/>
      <c r="E497" s="9"/>
      <c r="F497" s="9"/>
      <c r="G497" s="42"/>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ht="16.5" customHeight="1">
      <c r="A498" s="9"/>
      <c r="E498" s="8"/>
      <c r="F498" s="8"/>
      <c r="G498" s="42"/>
      <c r="H498" s="8"/>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ht="16.5" customHeight="1">
      <c r="A499" s="9"/>
      <c r="E499" s="8"/>
      <c r="F499" s="8"/>
      <c r="G499" s="42"/>
      <c r="H499" s="8"/>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ht="16.5" customHeight="1">
      <c r="A500" s="9"/>
      <c r="E500" s="8"/>
      <c r="F500" s="8"/>
      <c r="G500" s="42"/>
      <c r="H500" s="8"/>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ht="16.5" customHeight="1">
      <c r="A501" s="9"/>
      <c r="E501" s="8"/>
      <c r="F501" s="8"/>
      <c r="G501" s="42"/>
      <c r="H501" s="8"/>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ht="16.5" customHeight="1">
      <c r="A502" s="9"/>
      <c r="E502" s="8"/>
      <c r="F502" s="8"/>
      <c r="G502" s="42"/>
      <c r="H502" s="8"/>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ht="16.5" customHeight="1">
      <c r="A503" s="9"/>
      <c r="E503" s="8"/>
      <c r="F503" s="8"/>
      <c r="G503" s="42"/>
      <c r="H503" s="8"/>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ht="16.5" customHeight="1">
      <c r="A504" s="9"/>
      <c r="B504" s="547"/>
      <c r="C504" s="546"/>
      <c r="D504" s="547"/>
      <c r="E504" s="8"/>
      <c r="F504" s="8"/>
      <c r="G504" s="42"/>
      <c r="H504" s="36"/>
      <c r="L504" s="9"/>
      <c r="M504" s="9"/>
      <c r="N504" s="9"/>
      <c r="O504" s="9"/>
      <c r="P504" s="9"/>
      <c r="Q504" s="9"/>
      <c r="R504" s="9"/>
      <c r="S504" s="9"/>
      <c r="T504" s="9"/>
      <c r="U504" s="9"/>
      <c r="V504" s="9"/>
      <c r="W504" s="9"/>
      <c r="X504" s="9"/>
      <c r="Y504" s="9"/>
      <c r="Z504" s="9"/>
      <c r="AA504" s="9"/>
      <c r="AB504" s="9"/>
      <c r="AC504" s="9"/>
      <c r="AD504" s="9"/>
      <c r="AE504" s="9"/>
      <c r="AF504" s="9"/>
    </row>
    <row r="505" ht="16.5" customHeight="1">
      <c r="A505" s="9"/>
      <c r="E505" s="9"/>
      <c r="F505" s="9"/>
      <c r="G505" s="42"/>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ht="16.5" customHeight="1">
      <c r="A506" s="9"/>
      <c r="E506" s="9"/>
      <c r="F506" s="9"/>
      <c r="G506" s="42"/>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ht="16.5" customHeight="1">
      <c r="A507" s="9"/>
      <c r="E507" s="9"/>
      <c r="F507" s="9"/>
      <c r="G507" s="42"/>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ht="16.5" customHeight="1">
      <c r="A508" s="9"/>
      <c r="E508" s="9"/>
      <c r="F508" s="9"/>
      <c r="G508" s="42"/>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ht="16.5" customHeight="1">
      <c r="A509" s="9"/>
      <c r="E509" s="9"/>
      <c r="F509" s="9"/>
      <c r="G509" s="42"/>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ht="16.5" customHeight="1">
      <c r="A510" s="9"/>
      <c r="E510" s="9"/>
      <c r="F510" s="9"/>
      <c r="G510" s="42"/>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ht="16.5" customHeight="1">
      <c r="A511" s="9"/>
      <c r="E511" s="9"/>
      <c r="F511" s="9"/>
      <c r="G511" s="42"/>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ht="16.5" customHeight="1">
      <c r="A512" s="9"/>
      <c r="E512" s="9"/>
      <c r="F512" s="9"/>
      <c r="G512" s="42"/>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ht="16.5" customHeight="1">
      <c r="A513" s="9"/>
      <c r="E513" s="9"/>
      <c r="F513" s="9"/>
      <c r="G513" s="42"/>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ht="16.5" customHeight="1">
      <c r="A514" s="9"/>
      <c r="E514" s="9"/>
      <c r="F514" s="9"/>
      <c r="G514" s="42"/>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ht="16.5" customHeight="1">
      <c r="A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ht="16.5" customHeight="1">
      <c r="A516" s="9"/>
      <c r="E516" s="8"/>
      <c r="F516" s="8"/>
      <c r="G516" s="42"/>
      <c r="H516" s="8"/>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ht="16.5" customHeight="1">
      <c r="A517" s="9"/>
      <c r="E517" s="9"/>
      <c r="F517" s="9"/>
      <c r="G517" s="42"/>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ht="16.5" customHeight="1">
      <c r="A518" s="9"/>
      <c r="E518" s="9"/>
      <c r="F518" s="9"/>
      <c r="G518" s="42"/>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ht="16.5" customHeight="1">
      <c r="A519" s="9"/>
      <c r="E519" s="8"/>
      <c r="F519" s="8"/>
      <c r="G519" s="42"/>
      <c r="H519" s="8"/>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ht="16.5" customHeight="1">
      <c r="A520" s="9"/>
      <c r="E520" s="8"/>
      <c r="F520" s="8"/>
      <c r="G520" s="42"/>
      <c r="H520" s="8"/>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ht="16.5" customHeight="1">
      <c r="A521" s="9"/>
      <c r="E521" s="8"/>
      <c r="F521" s="8"/>
      <c r="G521" s="42"/>
      <c r="H521" s="8"/>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ht="16.5" customHeight="1">
      <c r="A522" s="9"/>
      <c r="E522" s="8"/>
      <c r="F522" s="8"/>
      <c r="G522" s="42"/>
      <c r="H522" s="8"/>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ht="16.5" customHeight="1">
      <c r="A523" s="9"/>
      <c r="E523" s="8"/>
      <c r="F523" s="8"/>
      <c r="G523" s="42"/>
      <c r="H523" s="8"/>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ht="16.5" customHeight="1">
      <c r="A524" s="9"/>
      <c r="E524" s="8"/>
      <c r="F524" s="8"/>
      <c r="G524" s="42"/>
      <c r="H524" s="8"/>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ht="16.5" customHeight="1">
      <c r="A525" s="9"/>
      <c r="B525" s="547"/>
      <c r="C525" s="546"/>
      <c r="D525" s="547"/>
      <c r="E525" s="8"/>
      <c r="F525" s="8"/>
      <c r="G525" s="42"/>
      <c r="H525" s="36"/>
      <c r="L525" s="9"/>
      <c r="M525" s="9"/>
      <c r="N525" s="9"/>
      <c r="O525" s="9"/>
      <c r="P525" s="9"/>
      <c r="Q525" s="9"/>
      <c r="R525" s="9"/>
      <c r="S525" s="9"/>
      <c r="T525" s="9"/>
      <c r="U525" s="9"/>
      <c r="V525" s="9"/>
      <c r="W525" s="9"/>
      <c r="X525" s="9"/>
      <c r="Y525" s="9"/>
      <c r="Z525" s="9"/>
      <c r="AA525" s="9"/>
      <c r="AB525" s="9"/>
      <c r="AC525" s="9"/>
      <c r="AD525" s="9"/>
      <c r="AE525" s="9"/>
      <c r="AF525" s="9"/>
    </row>
    <row r="526" ht="16.5" customHeight="1">
      <c r="A526" s="9"/>
      <c r="E526" s="9"/>
      <c r="F526" s="9"/>
      <c r="G526" s="42"/>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ht="16.5" customHeight="1">
      <c r="A527" s="9"/>
      <c r="E527" s="9"/>
      <c r="F527" s="9"/>
      <c r="G527" s="42"/>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ht="16.5" customHeight="1">
      <c r="A528" s="9"/>
      <c r="E528" s="9"/>
      <c r="F528" s="9"/>
      <c r="G528" s="42"/>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ht="16.5" customHeight="1">
      <c r="A529" s="9"/>
      <c r="E529" s="9"/>
      <c r="F529" s="9"/>
      <c r="G529" s="42"/>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ht="16.5" customHeight="1">
      <c r="A530" s="9"/>
      <c r="E530" s="9"/>
      <c r="F530" s="9"/>
      <c r="G530" s="42"/>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ht="16.5" customHeight="1">
      <c r="A531" s="9"/>
      <c r="E531" s="9"/>
      <c r="F531" s="9"/>
      <c r="G531" s="42"/>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ht="16.5" customHeight="1">
      <c r="A532" s="9"/>
      <c r="E532" s="9"/>
      <c r="F532" s="9"/>
      <c r="G532" s="42"/>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ht="16.5" customHeight="1">
      <c r="A533" s="9"/>
      <c r="E533" s="9"/>
      <c r="F533" s="9"/>
      <c r="G533" s="42"/>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ht="16.5" customHeight="1">
      <c r="A534" s="9"/>
      <c r="E534" s="9"/>
      <c r="F534" s="9"/>
      <c r="G534" s="42"/>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ht="16.5" customHeight="1">
      <c r="A535" s="9"/>
      <c r="E535" s="9"/>
      <c r="F535" s="9"/>
      <c r="G535" s="42"/>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ht="16.5" customHeight="1">
      <c r="A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ht="16.5" customHeight="1">
      <c r="A537" s="9"/>
      <c r="E537" s="8"/>
      <c r="F537" s="8"/>
      <c r="G537" s="42"/>
      <c r="H537" s="8"/>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ht="16.5" customHeight="1">
      <c r="A538" s="9"/>
      <c r="E538" s="9"/>
      <c r="F538" s="9"/>
      <c r="G538" s="42"/>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ht="16.5" customHeight="1">
      <c r="A539" s="9"/>
      <c r="E539" s="9"/>
      <c r="F539" s="9"/>
      <c r="G539" s="42"/>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ht="16.5" customHeight="1">
      <c r="A540" s="9"/>
      <c r="E540" s="8"/>
      <c r="F540" s="8"/>
      <c r="G540" s="42"/>
      <c r="H540" s="8"/>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ht="16.5" customHeight="1">
      <c r="A541" s="9"/>
      <c r="E541" s="8"/>
      <c r="F541" s="8"/>
      <c r="G541" s="42"/>
      <c r="H541" s="8"/>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ht="16.5" customHeight="1">
      <c r="A542" s="9"/>
      <c r="E542" s="8"/>
      <c r="F542" s="8"/>
      <c r="G542" s="42"/>
      <c r="H542" s="8"/>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ht="16.5" customHeight="1">
      <c r="A543" s="9"/>
      <c r="E543" s="8"/>
      <c r="F543" s="8"/>
      <c r="G543" s="42"/>
      <c r="H543" s="8"/>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ht="16.5" customHeight="1">
      <c r="A544" s="9"/>
      <c r="E544" s="8"/>
      <c r="F544" s="8"/>
      <c r="G544" s="42"/>
      <c r="H544" s="8"/>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ht="16.5" customHeight="1">
      <c r="A545" s="9"/>
      <c r="E545" s="8"/>
      <c r="F545" s="8"/>
      <c r="G545" s="42"/>
      <c r="H545" s="8"/>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ht="16.5" customHeight="1">
      <c r="A546" s="9"/>
      <c r="B546" s="547"/>
      <c r="C546" s="546"/>
      <c r="D546" s="547"/>
      <c r="E546" s="8"/>
      <c r="F546" s="8"/>
      <c r="G546" s="42"/>
      <c r="H546" s="36"/>
      <c r="L546" s="9"/>
      <c r="M546" s="9"/>
      <c r="N546" s="9"/>
      <c r="O546" s="9"/>
      <c r="P546" s="9"/>
      <c r="Q546" s="9"/>
      <c r="R546" s="9"/>
      <c r="S546" s="9"/>
      <c r="T546" s="9"/>
      <c r="U546" s="9"/>
      <c r="V546" s="9"/>
      <c r="W546" s="9"/>
      <c r="X546" s="9"/>
      <c r="Y546" s="9"/>
      <c r="Z546" s="9"/>
      <c r="AA546" s="9"/>
      <c r="AB546" s="9"/>
      <c r="AC546" s="9"/>
      <c r="AD546" s="9"/>
      <c r="AE546" s="9"/>
      <c r="AF546" s="9"/>
    </row>
    <row r="547" ht="16.5" customHeight="1">
      <c r="A547" s="9"/>
      <c r="E547" s="9"/>
      <c r="F547" s="9"/>
      <c r="G547" s="42"/>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ht="16.5" customHeight="1">
      <c r="A548" s="9"/>
      <c r="E548" s="9"/>
      <c r="F548" s="9"/>
      <c r="G548" s="42"/>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ht="16.5" customHeight="1">
      <c r="A549" s="9"/>
      <c r="E549" s="9"/>
      <c r="F549" s="9"/>
      <c r="G549" s="42"/>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ht="16.5" customHeight="1">
      <c r="A550" s="9"/>
      <c r="E550" s="9"/>
      <c r="F550" s="9"/>
      <c r="G550" s="42"/>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ht="16.5" customHeight="1">
      <c r="A551" s="9"/>
      <c r="E551" s="9"/>
      <c r="F551" s="9"/>
      <c r="G551" s="42"/>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ht="16.5" customHeight="1">
      <c r="A552" s="9"/>
      <c r="E552" s="9"/>
      <c r="F552" s="9"/>
      <c r="G552" s="42"/>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ht="16.5" customHeight="1">
      <c r="A553" s="9"/>
      <c r="E553" s="9"/>
      <c r="F553" s="9"/>
      <c r="G553" s="42"/>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ht="16.5" customHeight="1">
      <c r="A554" s="9"/>
      <c r="E554" s="9"/>
      <c r="F554" s="9"/>
      <c r="G554" s="42"/>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ht="16.5" customHeight="1">
      <c r="A555" s="9"/>
      <c r="E555" s="9"/>
      <c r="F555" s="9"/>
      <c r="G555" s="42"/>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ht="16.5" customHeight="1">
      <c r="A556" s="9"/>
      <c r="E556" s="9"/>
      <c r="F556" s="9"/>
      <c r="G556" s="42"/>
      <c r="H556" s="8"/>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ht="16.5" customHeight="1">
      <c r="A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ht="16.5" customHeight="1">
      <c r="A558" s="9"/>
      <c r="E558" s="8"/>
      <c r="F558" s="8"/>
      <c r="G558" s="42"/>
      <c r="H558" s="8"/>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ht="16.5" customHeight="1">
      <c r="A559" s="9"/>
      <c r="E559" s="9"/>
      <c r="F559" s="9"/>
      <c r="G559" s="42"/>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ht="16.5" customHeight="1">
      <c r="A560" s="9"/>
      <c r="E560" s="9"/>
      <c r="F560" s="9"/>
      <c r="G560" s="42"/>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ht="16.5" customHeight="1">
      <c r="A561" s="9"/>
      <c r="E561" s="8"/>
      <c r="F561" s="8"/>
      <c r="G561" s="42"/>
      <c r="H561" s="8"/>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ht="16.5" customHeight="1">
      <c r="A562" s="9"/>
      <c r="E562" s="8"/>
      <c r="F562" s="8"/>
      <c r="G562" s="42"/>
      <c r="H562" s="8"/>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ht="16.5" customHeight="1">
      <c r="A563" s="9"/>
      <c r="E563" s="8"/>
      <c r="F563" s="8"/>
      <c r="G563" s="42"/>
      <c r="H563" s="8"/>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ht="16.5" customHeight="1">
      <c r="A564" s="9"/>
      <c r="E564" s="8"/>
      <c r="F564" s="8"/>
      <c r="G564" s="42"/>
      <c r="H564" s="8"/>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ht="16.5" customHeight="1">
      <c r="A565" s="9"/>
      <c r="E565" s="8"/>
      <c r="F565" s="8"/>
      <c r="G565" s="42"/>
      <c r="H565" s="8"/>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ht="16.5" customHeight="1">
      <c r="A566" s="9"/>
      <c r="E566" s="8"/>
      <c r="F566" s="8"/>
      <c r="G566" s="42"/>
      <c r="H566" s="8"/>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ht="16.5" customHeight="1">
      <c r="A567" s="9"/>
      <c r="B567" s="547"/>
      <c r="C567" s="546"/>
      <c r="D567" s="547"/>
      <c r="E567" s="8"/>
      <c r="F567" s="8"/>
      <c r="G567" s="42"/>
      <c r="H567" s="36"/>
      <c r="L567" s="9"/>
      <c r="M567" s="9"/>
      <c r="N567" s="9"/>
      <c r="O567" s="9"/>
      <c r="P567" s="9"/>
      <c r="Q567" s="9"/>
      <c r="R567" s="9"/>
      <c r="S567" s="9"/>
      <c r="T567" s="9"/>
      <c r="U567" s="9"/>
      <c r="V567" s="9"/>
      <c r="W567" s="9"/>
      <c r="X567" s="9"/>
      <c r="Y567" s="9"/>
      <c r="Z567" s="9"/>
      <c r="AA567" s="9"/>
      <c r="AB567" s="9"/>
      <c r="AC567" s="9"/>
      <c r="AD567" s="9"/>
      <c r="AE567" s="9"/>
      <c r="AF567" s="9"/>
    </row>
    <row r="568" ht="16.5" customHeight="1">
      <c r="A568" s="9"/>
      <c r="E568" s="9"/>
      <c r="F568" s="9"/>
      <c r="G568" s="42"/>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ht="16.5" customHeight="1">
      <c r="A569" s="9"/>
      <c r="E569" s="9"/>
      <c r="F569" s="9"/>
      <c r="G569" s="42"/>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ht="16.5" customHeight="1">
      <c r="A570" s="9"/>
      <c r="E570" s="9"/>
      <c r="F570" s="9"/>
      <c r="G570" s="42"/>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ht="16.5" customHeight="1">
      <c r="A571" s="9"/>
      <c r="E571" s="9"/>
      <c r="F571" s="9"/>
      <c r="G571" s="42"/>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ht="16.5" customHeight="1">
      <c r="A572" s="9"/>
      <c r="E572" s="9"/>
      <c r="F572" s="9"/>
      <c r="G572" s="42"/>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ht="16.5" customHeight="1">
      <c r="A573" s="9"/>
      <c r="E573" s="9"/>
      <c r="F573" s="9"/>
      <c r="G573" s="42"/>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ht="16.5" customHeight="1">
      <c r="A574" s="9"/>
      <c r="E574" s="9"/>
      <c r="F574" s="9"/>
      <c r="G574" s="42"/>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ht="16.5" customHeight="1">
      <c r="A575" s="9"/>
      <c r="E575" s="9"/>
      <c r="F575" s="9"/>
      <c r="G575" s="42"/>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ht="16.5" customHeight="1">
      <c r="A576" s="9"/>
      <c r="E576" s="9"/>
      <c r="F576" s="9"/>
      <c r="G576" s="42"/>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ht="16.5" customHeight="1">
      <c r="A577" s="9"/>
      <c r="E577" s="9"/>
      <c r="F577" s="9"/>
      <c r="G577" s="42"/>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ht="16.5" customHeight="1">
      <c r="A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ht="16.5" customHeight="1">
      <c r="A579" s="9"/>
      <c r="E579" s="8"/>
      <c r="F579" s="8"/>
      <c r="G579" s="42"/>
      <c r="H579" s="8"/>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ht="16.5" customHeight="1">
      <c r="A580" s="9"/>
      <c r="E580" s="9"/>
      <c r="F580" s="9"/>
      <c r="G580" s="42"/>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ht="16.5" customHeight="1">
      <c r="A581" s="9"/>
      <c r="E581" s="9"/>
      <c r="F581" s="9"/>
      <c r="G581" s="42"/>
      <c r="H581" s="8"/>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ht="16.5" customHeight="1">
      <c r="A582" s="9"/>
      <c r="E582" s="8"/>
      <c r="F582" s="8"/>
      <c r="G582" s="42"/>
      <c r="H582" s="8"/>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ht="16.5" customHeight="1">
      <c r="A583" s="9"/>
      <c r="E583" s="8"/>
      <c r="F583" s="8"/>
      <c r="G583" s="42"/>
      <c r="H583" s="8"/>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ht="16.5" customHeight="1">
      <c r="A584" s="9"/>
      <c r="E584" s="8"/>
      <c r="F584" s="8"/>
      <c r="G584" s="42"/>
      <c r="H584" s="8"/>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ht="16.5" customHeight="1">
      <c r="A585" s="9"/>
      <c r="E585" s="8"/>
      <c r="F585" s="8"/>
      <c r="G585" s="42"/>
      <c r="H585" s="8"/>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ht="16.5" customHeight="1">
      <c r="A586" s="9"/>
      <c r="E586" s="8"/>
      <c r="F586" s="8"/>
      <c r="G586" s="42"/>
      <c r="H586" s="8"/>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ht="16.5" customHeight="1">
      <c r="A587" s="9"/>
      <c r="E587" s="8"/>
      <c r="F587" s="8"/>
      <c r="G587" s="42"/>
      <c r="H587" s="8"/>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ht="16.5" customHeight="1">
      <c r="A588" s="9"/>
      <c r="B588" s="547"/>
      <c r="C588" s="546"/>
      <c r="D588" s="547"/>
      <c r="E588" s="8"/>
      <c r="F588" s="8"/>
      <c r="G588" s="42"/>
      <c r="H588" s="36"/>
      <c r="L588" s="9"/>
      <c r="M588" s="9"/>
      <c r="N588" s="9"/>
      <c r="O588" s="9"/>
      <c r="P588" s="9"/>
      <c r="Q588" s="9"/>
      <c r="R588" s="9"/>
      <c r="S588" s="9"/>
      <c r="T588" s="9"/>
      <c r="U588" s="9"/>
      <c r="V588" s="9"/>
      <c r="W588" s="9"/>
      <c r="X588" s="9"/>
      <c r="Y588" s="9"/>
      <c r="Z588" s="9"/>
      <c r="AA588" s="9"/>
      <c r="AB588" s="9"/>
      <c r="AC588" s="9"/>
      <c r="AD588" s="9"/>
      <c r="AE588" s="9"/>
      <c r="AF588" s="9"/>
    </row>
    <row r="589" ht="16.5" customHeight="1">
      <c r="A589" s="9"/>
      <c r="E589" s="9"/>
      <c r="F589" s="9"/>
      <c r="G589" s="42"/>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ht="16.5" customHeight="1">
      <c r="A590" s="9"/>
      <c r="E590" s="9"/>
      <c r="F590" s="9"/>
      <c r="G590" s="42"/>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ht="16.5" customHeight="1">
      <c r="A591" s="9"/>
      <c r="E591" s="9"/>
      <c r="F591" s="9"/>
      <c r="G591" s="42"/>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ht="16.5" customHeight="1">
      <c r="A592" s="9"/>
      <c r="E592" s="9"/>
      <c r="F592" s="9"/>
      <c r="G592" s="42"/>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ht="16.5" customHeight="1">
      <c r="A593" s="9"/>
      <c r="E593" s="9"/>
      <c r="F593" s="9"/>
      <c r="G593" s="42"/>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ht="16.5" customHeight="1">
      <c r="A594" s="9"/>
      <c r="E594" s="9"/>
      <c r="F594" s="9"/>
      <c r="G594" s="42"/>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ht="16.5" customHeight="1">
      <c r="A595" s="9"/>
      <c r="E595" s="9"/>
      <c r="F595" s="9"/>
      <c r="G595" s="42"/>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ht="16.5" customHeight="1">
      <c r="A596" s="9"/>
      <c r="E596" s="9"/>
      <c r="F596" s="9"/>
      <c r="G596" s="42"/>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ht="16.5" customHeight="1">
      <c r="A597" s="9"/>
      <c r="E597" s="9"/>
      <c r="F597" s="9"/>
      <c r="G597" s="42"/>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ht="16.5" customHeight="1">
      <c r="A598" s="9"/>
      <c r="E598" s="9"/>
      <c r="F598" s="9"/>
      <c r="G598" s="42"/>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ht="16.5" customHeight="1">
      <c r="A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ht="16.5" customHeight="1">
      <c r="A600" s="9"/>
      <c r="E600" s="8"/>
      <c r="F600" s="8"/>
      <c r="G600" s="42"/>
      <c r="H600" s="8"/>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ht="16.5" customHeight="1">
      <c r="A601" s="9"/>
      <c r="E601" s="9"/>
      <c r="F601" s="9"/>
      <c r="G601" s="42"/>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ht="16.5" customHeight="1">
      <c r="A602" s="9"/>
      <c r="E602" s="9"/>
      <c r="F602" s="9"/>
      <c r="G602" s="42"/>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ht="16.5" customHeight="1">
      <c r="A603" s="9"/>
      <c r="E603" s="8"/>
      <c r="F603" s="8"/>
      <c r="G603" s="42"/>
      <c r="H603" s="8"/>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ht="16.5" customHeight="1">
      <c r="A604" s="9"/>
      <c r="E604" s="8"/>
      <c r="F604" s="8"/>
      <c r="G604" s="42"/>
      <c r="H604" s="8"/>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ht="16.5" customHeight="1">
      <c r="A605" s="9"/>
      <c r="E605" s="8"/>
      <c r="F605" s="8"/>
      <c r="G605" s="42"/>
      <c r="H605" s="8"/>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ht="16.5" customHeight="1">
      <c r="A606" s="9"/>
      <c r="E606" s="8"/>
      <c r="F606" s="8"/>
      <c r="G606" s="42"/>
      <c r="H606" s="8"/>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ht="16.5" customHeight="1">
      <c r="A607" s="9"/>
      <c r="E607" s="8"/>
      <c r="F607" s="8"/>
      <c r="G607" s="42"/>
      <c r="H607" s="8"/>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ht="16.5" customHeight="1">
      <c r="A608" s="9"/>
      <c r="E608" s="8"/>
      <c r="F608" s="8"/>
      <c r="G608" s="42"/>
      <c r="H608" s="8"/>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ht="16.5" customHeight="1">
      <c r="A609" s="9"/>
      <c r="B609" s="547"/>
      <c r="C609" s="546"/>
      <c r="D609" s="547"/>
      <c r="E609" s="8"/>
      <c r="F609" s="8"/>
      <c r="G609" s="42"/>
      <c r="H609" s="36"/>
      <c r="L609" s="9"/>
      <c r="M609" s="9"/>
      <c r="N609" s="9"/>
      <c r="O609" s="9"/>
      <c r="P609" s="9"/>
      <c r="Q609" s="9"/>
      <c r="R609" s="9"/>
      <c r="S609" s="9"/>
      <c r="T609" s="9"/>
      <c r="U609" s="9"/>
      <c r="V609" s="9"/>
      <c r="W609" s="9"/>
      <c r="X609" s="9"/>
      <c r="Y609" s="9"/>
      <c r="Z609" s="9"/>
      <c r="AA609" s="9"/>
      <c r="AB609" s="9"/>
      <c r="AC609" s="9"/>
      <c r="AD609" s="9"/>
      <c r="AE609" s="9"/>
      <c r="AF609" s="9"/>
    </row>
    <row r="610" ht="16.5" customHeight="1">
      <c r="A610" s="9"/>
      <c r="E610" s="9"/>
      <c r="F610" s="9"/>
      <c r="G610" s="42"/>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ht="16.5" customHeight="1">
      <c r="A611" s="9"/>
      <c r="E611" s="9"/>
      <c r="F611" s="9"/>
      <c r="G611" s="42"/>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ht="16.5" customHeight="1">
      <c r="A612" s="9"/>
      <c r="E612" s="9"/>
      <c r="F612" s="9"/>
      <c r="G612" s="42"/>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ht="16.5" customHeight="1">
      <c r="A613" s="9"/>
      <c r="E613" s="9"/>
      <c r="F613" s="9"/>
      <c r="G613" s="42"/>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ht="16.5" customHeight="1">
      <c r="A614" s="9"/>
      <c r="E614" s="9"/>
      <c r="F614" s="9"/>
      <c r="G614" s="42"/>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ht="16.5" customHeight="1">
      <c r="A615" s="9"/>
      <c r="E615" s="9"/>
      <c r="F615" s="9"/>
      <c r="G615" s="42"/>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ht="16.5" customHeight="1">
      <c r="A616" s="9"/>
      <c r="E616" s="9"/>
      <c r="F616" s="9"/>
      <c r="G616" s="42"/>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ht="16.5" customHeight="1">
      <c r="A617" s="9"/>
      <c r="E617" s="9"/>
      <c r="F617" s="9"/>
      <c r="G617" s="548"/>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ht="16.5" customHeight="1">
      <c r="A618" s="9"/>
      <c r="E618" s="9"/>
      <c r="F618" s="9"/>
      <c r="G618" s="548"/>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ht="16.5" customHeight="1">
      <c r="A619" s="9"/>
      <c r="E619" s="9"/>
      <c r="F619" s="9"/>
      <c r="G619" s="548"/>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ht="16.5" customHeight="1">
      <c r="A620" s="9"/>
      <c r="E620" s="9"/>
      <c r="F620" s="9"/>
      <c r="G620" s="45"/>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ht="16.5" customHeight="1">
      <c r="A621" s="9"/>
      <c r="E621" s="8"/>
      <c r="F621" s="8"/>
      <c r="G621" s="548"/>
      <c r="H621" s="8"/>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ht="16.5" customHeight="1">
      <c r="A622" s="9"/>
      <c r="E622" s="9"/>
      <c r="F622" s="9"/>
      <c r="G622" s="548"/>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ht="16.5" customHeight="1">
      <c r="A623" s="9"/>
      <c r="E623" s="9"/>
      <c r="F623" s="9"/>
      <c r="G623" s="548"/>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ht="16.5" customHeight="1">
      <c r="A624" s="9"/>
      <c r="E624" s="8"/>
      <c r="F624" s="8"/>
      <c r="G624" s="548"/>
      <c r="H624" s="8"/>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ht="16.5" customHeight="1">
      <c r="A625" s="9"/>
      <c r="E625" s="8"/>
      <c r="F625" s="8"/>
      <c r="G625" s="548"/>
      <c r="H625" s="8"/>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ht="16.5" customHeight="1">
      <c r="A626" s="144"/>
      <c r="E626" s="164"/>
      <c r="F626" s="164"/>
      <c r="G626" s="511"/>
      <c r="H626" s="164"/>
      <c r="I626" s="496"/>
      <c r="J626" s="496"/>
      <c r="K626" s="496"/>
      <c r="L626" s="496"/>
      <c r="M626" s="144"/>
      <c r="N626" s="144"/>
      <c r="O626" s="144"/>
      <c r="P626" s="144"/>
      <c r="Q626" s="144"/>
      <c r="R626" s="144"/>
      <c r="S626" s="144"/>
      <c r="T626" s="144"/>
      <c r="U626" s="144"/>
      <c r="V626" s="144"/>
      <c r="W626" s="144"/>
      <c r="X626" s="144"/>
      <c r="Y626" s="144"/>
      <c r="Z626" s="144"/>
      <c r="AA626" s="144"/>
      <c r="AB626" s="144"/>
      <c r="AC626" s="144"/>
      <c r="AD626" s="144"/>
      <c r="AE626" s="144"/>
      <c r="AF626" s="144"/>
    </row>
    <row r="627" ht="16.5" customHeight="1">
      <c r="A627" s="144"/>
      <c r="E627" s="164"/>
      <c r="F627" s="164"/>
      <c r="G627" s="511"/>
      <c r="H627" s="164"/>
      <c r="I627" s="496"/>
      <c r="J627" s="496"/>
      <c r="K627" s="496"/>
      <c r="L627" s="496"/>
      <c r="M627" s="144"/>
      <c r="N627" s="144"/>
      <c r="O627" s="144"/>
      <c r="P627" s="144"/>
      <c r="Q627" s="144"/>
      <c r="R627" s="144"/>
      <c r="S627" s="144"/>
      <c r="T627" s="144"/>
      <c r="U627" s="144"/>
      <c r="V627" s="144"/>
      <c r="W627" s="144"/>
      <c r="X627" s="144"/>
      <c r="Y627" s="144"/>
      <c r="Z627" s="144"/>
      <c r="AA627" s="144"/>
      <c r="AB627" s="144"/>
      <c r="AC627" s="144"/>
      <c r="AD627" s="144"/>
      <c r="AE627" s="144"/>
      <c r="AF627" s="144"/>
    </row>
    <row r="628" ht="16.5" customHeight="1">
      <c r="A628" s="144"/>
      <c r="E628" s="164"/>
      <c r="F628" s="164"/>
      <c r="G628" s="511"/>
      <c r="H628" s="164"/>
      <c r="I628" s="496"/>
      <c r="J628" s="496"/>
      <c r="K628" s="496"/>
      <c r="L628" s="496"/>
      <c r="M628" s="144"/>
      <c r="N628" s="144"/>
      <c r="O628" s="144"/>
      <c r="P628" s="144"/>
      <c r="Q628" s="144"/>
      <c r="R628" s="144"/>
      <c r="S628" s="144"/>
      <c r="T628" s="144"/>
      <c r="U628" s="144"/>
      <c r="V628" s="144"/>
      <c r="W628" s="144"/>
      <c r="X628" s="144"/>
      <c r="Y628" s="144"/>
      <c r="Z628" s="144"/>
      <c r="AA628" s="144"/>
      <c r="AB628" s="144"/>
      <c r="AC628" s="144"/>
      <c r="AD628" s="144"/>
      <c r="AE628" s="144"/>
      <c r="AF628" s="144"/>
    </row>
    <row r="629" ht="16.5" customHeight="1">
      <c r="A629" s="144"/>
      <c r="E629" s="164"/>
      <c r="F629" s="164"/>
      <c r="G629" s="511"/>
      <c r="H629" s="164"/>
      <c r="I629" s="496"/>
      <c r="J629" s="496"/>
      <c r="K629" s="496"/>
      <c r="L629" s="496"/>
      <c r="M629" s="144"/>
      <c r="N629" s="144"/>
      <c r="O629" s="144"/>
      <c r="P629" s="144"/>
      <c r="Q629" s="144"/>
      <c r="R629" s="144"/>
      <c r="S629" s="144"/>
      <c r="T629" s="144"/>
      <c r="U629" s="144"/>
      <c r="V629" s="144"/>
      <c r="W629" s="144"/>
      <c r="X629" s="144"/>
      <c r="Y629" s="144"/>
      <c r="Z629" s="144"/>
      <c r="AA629" s="144"/>
      <c r="AB629" s="144"/>
      <c r="AC629" s="144"/>
      <c r="AD629" s="144"/>
      <c r="AE629" s="144"/>
      <c r="AF629" s="144"/>
    </row>
    <row r="630" ht="16.5" customHeight="1">
      <c r="A630" s="144"/>
      <c r="B630" s="164"/>
      <c r="C630" s="164"/>
      <c r="D630" s="164"/>
      <c r="E630" s="164"/>
      <c r="F630" s="164"/>
      <c r="G630" s="511"/>
      <c r="H630" s="36"/>
      <c r="L630" s="496"/>
      <c r="M630" s="144"/>
      <c r="N630" s="144"/>
      <c r="O630" s="144"/>
      <c r="P630" s="144"/>
      <c r="Q630" s="144"/>
      <c r="R630" s="144"/>
      <c r="S630" s="144"/>
      <c r="T630" s="144"/>
      <c r="U630" s="144"/>
      <c r="V630" s="144"/>
      <c r="W630" s="144"/>
      <c r="X630" s="144"/>
      <c r="Y630" s="144"/>
      <c r="Z630" s="144"/>
      <c r="AA630" s="144"/>
      <c r="AB630" s="144"/>
      <c r="AC630" s="144"/>
      <c r="AD630" s="144"/>
      <c r="AE630" s="144"/>
      <c r="AF630" s="144"/>
    </row>
    <row r="631" ht="16.5" customHeight="1">
      <c r="A631" s="144"/>
      <c r="E631" s="164"/>
      <c r="F631" s="164"/>
      <c r="G631" s="511"/>
      <c r="H631" s="164"/>
      <c r="I631" s="496"/>
      <c r="J631" s="496"/>
      <c r="K631" s="496"/>
      <c r="L631" s="496"/>
      <c r="M631" s="144"/>
      <c r="N631" s="144"/>
      <c r="O631" s="144"/>
      <c r="P631" s="144"/>
      <c r="Q631" s="144"/>
      <c r="R631" s="144"/>
      <c r="S631" s="144"/>
      <c r="T631" s="144"/>
      <c r="U631" s="144"/>
      <c r="V631" s="144"/>
      <c r="W631" s="144"/>
      <c r="X631" s="144"/>
      <c r="Y631" s="144"/>
      <c r="Z631" s="144"/>
      <c r="AA631" s="144"/>
      <c r="AB631" s="144"/>
      <c r="AC631" s="144"/>
      <c r="AD631" s="144"/>
      <c r="AE631" s="144"/>
      <c r="AF631" s="144"/>
    </row>
    <row r="632" ht="16.5" customHeight="1">
      <c r="A632" s="144"/>
      <c r="E632" s="164"/>
      <c r="F632" s="164"/>
      <c r="G632" s="511"/>
      <c r="H632" s="164"/>
      <c r="I632" s="496"/>
      <c r="J632" s="496"/>
      <c r="K632" s="496"/>
      <c r="L632" s="496"/>
      <c r="M632" s="144"/>
      <c r="N632" s="144"/>
      <c r="O632" s="144"/>
      <c r="P632" s="144"/>
      <c r="Q632" s="144"/>
      <c r="R632" s="144"/>
      <c r="S632" s="144"/>
      <c r="T632" s="144"/>
      <c r="U632" s="144"/>
      <c r="V632" s="144"/>
      <c r="W632" s="144"/>
      <c r="X632" s="144"/>
      <c r="Y632" s="144"/>
      <c r="Z632" s="144"/>
      <c r="AA632" s="144"/>
      <c r="AB632" s="144"/>
      <c r="AC632" s="144"/>
      <c r="AD632" s="144"/>
      <c r="AE632" s="144"/>
      <c r="AF632" s="144"/>
    </row>
    <row r="633" ht="16.5" customHeight="1">
      <c r="A633" s="144"/>
      <c r="E633" s="164"/>
      <c r="F633" s="164"/>
      <c r="G633" s="511"/>
      <c r="H633" s="164"/>
      <c r="I633" s="496"/>
      <c r="J633" s="496"/>
      <c r="K633" s="496"/>
      <c r="L633" s="496"/>
      <c r="M633" s="144"/>
      <c r="N633" s="144"/>
      <c r="O633" s="144"/>
      <c r="P633" s="144"/>
      <c r="Q633" s="144"/>
      <c r="R633" s="144"/>
      <c r="S633" s="144"/>
      <c r="T633" s="144"/>
      <c r="U633" s="144"/>
      <c r="V633" s="144"/>
      <c r="W633" s="144"/>
      <c r="X633" s="144"/>
      <c r="Y633" s="144"/>
      <c r="Z633" s="144"/>
      <c r="AA633" s="144"/>
      <c r="AB633" s="144"/>
      <c r="AC633" s="144"/>
      <c r="AD633" s="144"/>
      <c r="AE633" s="144"/>
      <c r="AF633" s="144"/>
    </row>
    <row r="634" ht="16.5" customHeight="1">
      <c r="A634" s="144"/>
      <c r="E634" s="164"/>
      <c r="F634" s="164"/>
      <c r="G634" s="511"/>
      <c r="H634" s="36"/>
      <c r="L634" s="496"/>
      <c r="M634" s="144"/>
      <c r="N634" s="144"/>
      <c r="O634" s="144"/>
      <c r="P634" s="144"/>
      <c r="Q634" s="144"/>
      <c r="R634" s="144"/>
      <c r="S634" s="144"/>
      <c r="T634" s="144"/>
      <c r="U634" s="144"/>
      <c r="V634" s="144"/>
      <c r="W634" s="144"/>
      <c r="X634" s="144"/>
      <c r="Y634" s="144"/>
      <c r="Z634" s="144"/>
      <c r="AA634" s="144"/>
      <c r="AB634" s="144"/>
      <c r="AC634" s="144"/>
      <c r="AD634" s="144"/>
      <c r="AE634" s="144"/>
      <c r="AF634" s="144"/>
    </row>
    <row r="635" ht="16.5" customHeight="1">
      <c r="A635" s="144"/>
      <c r="E635" s="164"/>
      <c r="F635" s="164"/>
      <c r="G635" s="511"/>
      <c r="H635" s="164"/>
      <c r="I635" s="496"/>
      <c r="J635" s="496"/>
      <c r="K635" s="496"/>
      <c r="L635" s="496"/>
      <c r="M635" s="144"/>
      <c r="N635" s="144"/>
      <c r="O635" s="144"/>
      <c r="P635" s="144"/>
      <c r="Q635" s="144"/>
      <c r="R635" s="144"/>
      <c r="S635" s="144"/>
      <c r="T635" s="144"/>
      <c r="U635" s="144"/>
      <c r="V635" s="144"/>
      <c r="W635" s="144"/>
      <c r="X635" s="144"/>
      <c r="Y635" s="144"/>
      <c r="Z635" s="144"/>
      <c r="AA635" s="144"/>
      <c r="AB635" s="144"/>
      <c r="AC635" s="144"/>
      <c r="AD635" s="144"/>
      <c r="AE635" s="144"/>
      <c r="AF635" s="144"/>
    </row>
    <row r="636" ht="16.5" customHeight="1">
      <c r="A636" s="144"/>
      <c r="E636" s="164"/>
      <c r="F636" s="164"/>
      <c r="G636" s="511"/>
      <c r="H636" s="164"/>
      <c r="I636" s="496"/>
      <c r="J636" s="496"/>
      <c r="K636" s="496"/>
      <c r="L636" s="496"/>
      <c r="M636" s="144"/>
      <c r="N636" s="144"/>
      <c r="O636" s="144"/>
      <c r="P636" s="144"/>
      <c r="Q636" s="144"/>
      <c r="R636" s="144"/>
      <c r="S636" s="144"/>
      <c r="T636" s="144"/>
      <c r="U636" s="144"/>
      <c r="V636" s="144"/>
      <c r="W636" s="144"/>
      <c r="X636" s="144"/>
      <c r="Y636" s="144"/>
      <c r="Z636" s="144"/>
      <c r="AA636" s="144"/>
      <c r="AB636" s="144"/>
      <c r="AC636" s="144"/>
      <c r="AD636" s="144"/>
      <c r="AE636" s="144"/>
      <c r="AF636" s="144"/>
    </row>
    <row r="637" ht="16.5" customHeight="1">
      <c r="A637" s="144"/>
      <c r="E637" s="164"/>
      <c r="F637" s="164"/>
      <c r="G637" s="511"/>
      <c r="H637" s="164"/>
      <c r="I637" s="496"/>
      <c r="J637" s="496"/>
      <c r="K637" s="496"/>
      <c r="L637" s="496"/>
      <c r="M637" s="144"/>
      <c r="N637" s="144"/>
      <c r="O637" s="144"/>
      <c r="P637" s="144"/>
      <c r="Q637" s="144"/>
      <c r="R637" s="144"/>
      <c r="S637" s="144"/>
      <c r="T637" s="144"/>
      <c r="U637" s="144"/>
      <c r="V637" s="144"/>
      <c r="W637" s="144"/>
      <c r="X637" s="144"/>
      <c r="Y637" s="144"/>
      <c r="Z637" s="144"/>
      <c r="AA637" s="144"/>
      <c r="AB637" s="144"/>
      <c r="AC637" s="144"/>
      <c r="AD637" s="144"/>
      <c r="AE637" s="144"/>
      <c r="AF637" s="144"/>
    </row>
    <row r="638" ht="16.5" customHeight="1">
      <c r="A638" s="144"/>
      <c r="E638" s="164"/>
      <c r="F638" s="164"/>
      <c r="G638" s="511"/>
      <c r="H638" s="164"/>
      <c r="I638" s="496"/>
      <c r="J638" s="496"/>
      <c r="K638" s="496"/>
      <c r="L638" s="496"/>
      <c r="M638" s="144"/>
      <c r="N638" s="144"/>
      <c r="O638" s="144"/>
      <c r="P638" s="144"/>
      <c r="Q638" s="144"/>
      <c r="R638" s="144"/>
      <c r="S638" s="144"/>
      <c r="T638" s="144"/>
      <c r="U638" s="144"/>
      <c r="V638" s="144"/>
      <c r="W638" s="144"/>
      <c r="X638" s="144"/>
      <c r="Y638" s="144"/>
      <c r="Z638" s="144"/>
      <c r="AA638" s="144"/>
      <c r="AB638" s="144"/>
      <c r="AC638" s="144"/>
      <c r="AD638" s="144"/>
      <c r="AE638" s="144"/>
      <c r="AF638" s="144"/>
    </row>
    <row r="639" ht="16.5" customHeight="1">
      <c r="A639" s="144"/>
      <c r="E639" s="164"/>
      <c r="F639" s="164"/>
      <c r="G639" s="511"/>
      <c r="H639" s="164"/>
      <c r="I639" s="496"/>
      <c r="J639" s="496"/>
      <c r="K639" s="496"/>
      <c r="L639" s="496"/>
      <c r="M639" s="144"/>
      <c r="N639" s="144"/>
      <c r="O639" s="144"/>
      <c r="P639" s="144"/>
      <c r="Q639" s="144"/>
      <c r="R639" s="144"/>
      <c r="S639" s="144"/>
      <c r="T639" s="144"/>
      <c r="U639" s="144"/>
      <c r="V639" s="144"/>
      <c r="W639" s="144"/>
      <c r="X639" s="144"/>
      <c r="Y639" s="144"/>
      <c r="Z639" s="144"/>
      <c r="AA639" s="144"/>
      <c r="AB639" s="144"/>
      <c r="AC639" s="144"/>
      <c r="AD639" s="144"/>
      <c r="AE639" s="144"/>
      <c r="AF639" s="144"/>
    </row>
    <row r="640" ht="16.5" customHeight="1">
      <c r="A640" s="144"/>
      <c r="E640" s="164"/>
      <c r="F640" s="164"/>
      <c r="G640" s="511"/>
      <c r="H640" s="164"/>
      <c r="I640" s="496"/>
      <c r="J640" s="496"/>
      <c r="K640" s="496"/>
      <c r="L640" s="496"/>
      <c r="M640" s="144"/>
      <c r="N640" s="144"/>
      <c r="O640" s="144"/>
      <c r="P640" s="144"/>
      <c r="Q640" s="144"/>
      <c r="R640" s="144"/>
      <c r="S640" s="144"/>
      <c r="T640" s="144"/>
      <c r="U640" s="144"/>
      <c r="V640" s="144"/>
      <c r="W640" s="144"/>
      <c r="X640" s="144"/>
      <c r="Y640" s="144"/>
      <c r="Z640" s="144"/>
      <c r="AA640" s="144"/>
      <c r="AB640" s="144"/>
      <c r="AC640" s="144"/>
      <c r="AD640" s="144"/>
      <c r="AE640" s="144"/>
      <c r="AF640" s="144"/>
    </row>
    <row r="641" ht="16.5" customHeight="1">
      <c r="A641" s="144"/>
      <c r="E641" s="164"/>
      <c r="F641" s="164"/>
      <c r="G641" s="511"/>
      <c r="H641" s="164"/>
      <c r="I641" s="496"/>
      <c r="J641" s="496"/>
      <c r="K641" s="496"/>
      <c r="L641" s="496"/>
      <c r="M641" s="144"/>
      <c r="N641" s="144"/>
      <c r="O641" s="144"/>
      <c r="P641" s="144"/>
      <c r="Q641" s="144"/>
      <c r="R641" s="144"/>
      <c r="S641" s="144"/>
      <c r="T641" s="144"/>
      <c r="U641" s="144"/>
      <c r="V641" s="144"/>
      <c r="W641" s="144"/>
      <c r="X641" s="144"/>
      <c r="Y641" s="144"/>
      <c r="Z641" s="144"/>
      <c r="AA641" s="144"/>
      <c r="AB641" s="144"/>
      <c r="AC641" s="144"/>
      <c r="AD641" s="144"/>
      <c r="AE641" s="144"/>
      <c r="AF641" s="144"/>
    </row>
    <row r="642" ht="16.5" customHeight="1">
      <c r="A642" s="144"/>
      <c r="E642" s="164"/>
      <c r="F642" s="164"/>
      <c r="G642" s="511"/>
      <c r="H642" s="164"/>
      <c r="I642" s="496"/>
      <c r="J642" s="496"/>
      <c r="K642" s="496"/>
      <c r="L642" s="496"/>
      <c r="M642" s="144"/>
      <c r="N642" s="144"/>
      <c r="O642" s="144"/>
      <c r="P642" s="144"/>
      <c r="Q642" s="144"/>
      <c r="R642" s="144"/>
      <c r="S642" s="144"/>
      <c r="T642" s="144"/>
      <c r="U642" s="144"/>
      <c r="V642" s="144"/>
      <c r="W642" s="144"/>
      <c r="X642" s="144"/>
      <c r="Y642" s="144"/>
      <c r="Z642" s="144"/>
      <c r="AA642" s="144"/>
      <c r="AB642" s="144"/>
      <c r="AC642" s="144"/>
      <c r="AD642" s="144"/>
      <c r="AE642" s="144"/>
      <c r="AF642" s="144"/>
    </row>
    <row r="643" ht="16.5" customHeight="1">
      <c r="A643" s="144"/>
      <c r="B643" s="164"/>
      <c r="C643" s="448"/>
      <c r="D643" s="164"/>
      <c r="E643" s="164"/>
      <c r="F643" s="164"/>
      <c r="G643" s="511"/>
      <c r="H643" s="164"/>
      <c r="I643" s="496"/>
      <c r="J643" s="496"/>
      <c r="K643" s="496"/>
      <c r="L643" s="496"/>
      <c r="M643" s="144"/>
      <c r="N643" s="144"/>
      <c r="O643" s="144"/>
      <c r="P643" s="144"/>
      <c r="Q643" s="144"/>
      <c r="R643" s="144"/>
      <c r="S643" s="144"/>
      <c r="T643" s="144"/>
      <c r="U643" s="144"/>
      <c r="V643" s="144"/>
      <c r="W643" s="144"/>
      <c r="X643" s="144"/>
      <c r="Y643" s="144"/>
      <c r="Z643" s="144"/>
      <c r="AA643" s="144"/>
      <c r="AB643" s="144"/>
      <c r="AC643" s="144"/>
      <c r="AD643" s="144"/>
      <c r="AE643" s="144"/>
      <c r="AF643" s="144"/>
    </row>
    <row r="644" ht="16.5" customHeight="1">
      <c r="A644" s="144"/>
      <c r="B644" s="144"/>
      <c r="C644" s="144"/>
      <c r="D644" s="144"/>
      <c r="E644" s="144"/>
      <c r="F644" s="144"/>
      <c r="G644" s="144"/>
      <c r="H644" s="144"/>
      <c r="I644" s="496"/>
      <c r="J644" s="496"/>
      <c r="K644" s="496"/>
      <c r="L644" s="496"/>
      <c r="M644" s="144"/>
      <c r="N644" s="144"/>
      <c r="O644" s="144"/>
      <c r="P644" s="144"/>
      <c r="Q644" s="144"/>
      <c r="R644" s="144"/>
      <c r="S644" s="144"/>
      <c r="T644" s="144"/>
      <c r="U644" s="144"/>
      <c r="V644" s="144"/>
      <c r="W644" s="144"/>
      <c r="X644" s="144"/>
      <c r="Y644" s="144"/>
      <c r="Z644" s="144"/>
      <c r="AA644" s="144"/>
      <c r="AB644" s="144"/>
      <c r="AC644" s="144"/>
      <c r="AD644" s="144"/>
      <c r="AE644" s="144"/>
      <c r="AF644" s="144"/>
    </row>
    <row r="645" ht="16.5" customHeight="1">
      <c r="A645" s="144"/>
      <c r="B645" s="144"/>
      <c r="C645" s="144"/>
      <c r="D645" s="144"/>
      <c r="E645" s="144"/>
      <c r="F645" s="144"/>
      <c r="G645" s="144"/>
      <c r="H645" s="144"/>
      <c r="I645" s="496"/>
      <c r="J645" s="496"/>
      <c r="K645" s="496"/>
      <c r="L645" s="496"/>
      <c r="M645" s="144"/>
      <c r="N645" s="144"/>
      <c r="O645" s="144"/>
      <c r="P645" s="144"/>
      <c r="Q645" s="144"/>
      <c r="R645" s="144"/>
      <c r="S645" s="144"/>
      <c r="T645" s="144"/>
      <c r="U645" s="144"/>
      <c r="V645" s="144"/>
      <c r="W645" s="144"/>
      <c r="X645" s="144"/>
      <c r="Y645" s="144"/>
      <c r="Z645" s="144"/>
      <c r="AA645" s="144"/>
      <c r="AB645" s="144"/>
      <c r="AC645" s="144"/>
      <c r="AD645" s="144"/>
      <c r="AE645" s="144"/>
      <c r="AF645" s="144"/>
    </row>
    <row r="646" ht="16.5" customHeight="1">
      <c r="A646" s="144"/>
      <c r="B646" s="144"/>
      <c r="C646" s="144"/>
      <c r="D646" s="144"/>
      <c r="E646" s="144"/>
      <c r="F646" s="144"/>
      <c r="G646" s="144"/>
      <c r="H646" s="144"/>
      <c r="I646" s="496"/>
      <c r="J646" s="496"/>
      <c r="K646" s="496"/>
      <c r="L646" s="496"/>
      <c r="M646" s="144"/>
      <c r="N646" s="144"/>
      <c r="O646" s="144"/>
      <c r="P646" s="144"/>
      <c r="Q646" s="144"/>
      <c r="R646" s="144"/>
      <c r="S646" s="144"/>
      <c r="T646" s="144"/>
      <c r="U646" s="144"/>
      <c r="V646" s="144"/>
      <c r="W646" s="144"/>
      <c r="X646" s="144"/>
      <c r="Y646" s="144"/>
      <c r="Z646" s="144"/>
      <c r="AA646" s="144"/>
      <c r="AB646" s="144"/>
      <c r="AC646" s="144"/>
      <c r="AD646" s="144"/>
      <c r="AE646" s="144"/>
      <c r="AF646" s="144"/>
    </row>
    <row r="647" ht="16.5" customHeight="1">
      <c r="A647" s="144"/>
      <c r="B647" s="144"/>
      <c r="C647" s="144"/>
      <c r="D647" s="144"/>
      <c r="E647" s="144"/>
      <c r="F647" s="144"/>
      <c r="G647" s="144"/>
      <c r="H647" s="144"/>
      <c r="I647" s="496"/>
      <c r="J647" s="496"/>
      <c r="K647" s="496"/>
      <c r="L647" s="496"/>
      <c r="M647" s="144"/>
      <c r="N647" s="144"/>
      <c r="O647" s="144"/>
      <c r="P647" s="144"/>
      <c r="Q647" s="144"/>
      <c r="R647" s="144"/>
      <c r="S647" s="144"/>
      <c r="T647" s="144"/>
      <c r="U647" s="144"/>
      <c r="V647" s="144"/>
      <c r="W647" s="144"/>
      <c r="X647" s="144"/>
      <c r="Y647" s="144"/>
      <c r="Z647" s="144"/>
      <c r="AA647" s="144"/>
      <c r="AB647" s="144"/>
      <c r="AC647" s="144"/>
      <c r="AD647" s="144"/>
      <c r="AE647" s="144"/>
      <c r="AF647" s="144"/>
    </row>
    <row r="648" ht="16.5" customHeight="1">
      <c r="A648" s="144"/>
      <c r="B648" s="144"/>
      <c r="C648" s="144"/>
      <c r="D648" s="144"/>
      <c r="E648" s="144"/>
      <c r="F648" s="144"/>
      <c r="G648" s="144"/>
      <c r="H648" s="144"/>
      <c r="I648" s="496"/>
      <c r="J648" s="496"/>
      <c r="K648" s="496"/>
      <c r="L648" s="496"/>
      <c r="M648" s="144"/>
      <c r="N648" s="144"/>
      <c r="O648" s="144"/>
      <c r="P648" s="144"/>
      <c r="Q648" s="144"/>
      <c r="R648" s="144"/>
      <c r="S648" s="144"/>
      <c r="T648" s="144"/>
      <c r="U648" s="144"/>
      <c r="V648" s="144"/>
      <c r="W648" s="144"/>
      <c r="X648" s="144"/>
      <c r="Y648" s="144"/>
      <c r="Z648" s="144"/>
      <c r="AA648" s="144"/>
      <c r="AB648" s="144"/>
      <c r="AC648" s="144"/>
      <c r="AD648" s="144"/>
      <c r="AE648" s="144"/>
      <c r="AF648" s="144"/>
    </row>
    <row r="649" ht="16.5" customHeight="1">
      <c r="A649" s="144"/>
      <c r="B649" s="144"/>
      <c r="C649" s="144"/>
      <c r="D649" s="144"/>
      <c r="E649" s="144"/>
      <c r="F649" s="144"/>
      <c r="G649" s="144"/>
      <c r="H649" s="144"/>
      <c r="I649" s="496"/>
      <c r="J649" s="496"/>
      <c r="K649" s="496"/>
      <c r="L649" s="496"/>
      <c r="M649" s="144"/>
      <c r="N649" s="144"/>
      <c r="O649" s="144"/>
      <c r="P649" s="144"/>
      <c r="Q649" s="144"/>
      <c r="R649" s="144"/>
      <c r="S649" s="144"/>
      <c r="T649" s="144"/>
      <c r="U649" s="144"/>
      <c r="V649" s="144"/>
      <c r="W649" s="144"/>
      <c r="X649" s="144"/>
      <c r="Y649" s="144"/>
      <c r="Z649" s="144"/>
      <c r="AA649" s="144"/>
      <c r="AB649" s="144"/>
      <c r="AC649" s="144"/>
      <c r="AD649" s="144"/>
      <c r="AE649" s="144"/>
      <c r="AF649" s="144"/>
    </row>
    <row r="650" ht="16.5" customHeight="1">
      <c r="A650" s="144"/>
      <c r="B650" s="144"/>
      <c r="C650" s="144"/>
      <c r="D650" s="144"/>
      <c r="E650" s="144"/>
      <c r="F650" s="144"/>
      <c r="G650" s="144"/>
      <c r="H650" s="144"/>
      <c r="I650" s="496"/>
      <c r="J650" s="496"/>
      <c r="K650" s="496"/>
      <c r="L650" s="496"/>
      <c r="M650" s="144"/>
      <c r="N650" s="144"/>
      <c r="O650" s="144"/>
      <c r="P650" s="144"/>
      <c r="Q650" s="144"/>
      <c r="R650" s="144"/>
      <c r="S650" s="144"/>
      <c r="T650" s="144"/>
      <c r="U650" s="144"/>
      <c r="V650" s="144"/>
      <c r="W650" s="144"/>
      <c r="X650" s="144"/>
      <c r="Y650" s="144"/>
      <c r="Z650" s="144"/>
      <c r="AA650" s="144"/>
      <c r="AB650" s="144"/>
      <c r="AC650" s="144"/>
      <c r="AD650" s="144"/>
      <c r="AE650" s="144"/>
      <c r="AF650" s="144"/>
    </row>
    <row r="651" ht="16.5" customHeight="1">
      <c r="A651" s="144"/>
      <c r="B651" s="144"/>
      <c r="C651" s="144"/>
      <c r="D651" s="144"/>
      <c r="E651" s="144"/>
      <c r="F651" s="144"/>
      <c r="G651" s="144"/>
      <c r="H651" s="144"/>
      <c r="I651" s="496"/>
      <c r="J651" s="496"/>
      <c r="K651" s="496"/>
      <c r="L651" s="496"/>
      <c r="M651" s="144"/>
      <c r="N651" s="144"/>
      <c r="O651" s="144"/>
      <c r="P651" s="144"/>
      <c r="Q651" s="144"/>
      <c r="R651" s="144"/>
      <c r="S651" s="144"/>
      <c r="T651" s="144"/>
      <c r="U651" s="144"/>
      <c r="V651" s="144"/>
      <c r="W651" s="144"/>
      <c r="X651" s="144"/>
      <c r="Y651" s="144"/>
      <c r="Z651" s="144"/>
      <c r="AA651" s="144"/>
      <c r="AB651" s="144"/>
      <c r="AC651" s="144"/>
      <c r="AD651" s="144"/>
      <c r="AE651" s="144"/>
      <c r="AF651" s="144"/>
    </row>
    <row r="652" ht="16.5" customHeight="1">
      <c r="A652" s="144"/>
      <c r="B652" s="144"/>
      <c r="C652" s="144"/>
      <c r="D652" s="144"/>
      <c r="E652" s="144"/>
      <c r="F652" s="144"/>
      <c r="G652" s="144"/>
      <c r="H652" s="144"/>
      <c r="I652" s="496"/>
      <c r="J652" s="496"/>
      <c r="K652" s="496"/>
      <c r="L652" s="496"/>
      <c r="M652" s="144"/>
      <c r="N652" s="144"/>
      <c r="O652" s="144"/>
      <c r="P652" s="144"/>
      <c r="Q652" s="144"/>
      <c r="R652" s="144"/>
      <c r="S652" s="144"/>
      <c r="T652" s="144"/>
      <c r="U652" s="144"/>
      <c r="V652" s="144"/>
      <c r="W652" s="144"/>
      <c r="X652" s="144"/>
      <c r="Y652" s="144"/>
      <c r="Z652" s="144"/>
      <c r="AA652" s="144"/>
      <c r="AB652" s="144"/>
      <c r="AC652" s="144"/>
      <c r="AD652" s="144"/>
      <c r="AE652" s="144"/>
      <c r="AF652" s="144"/>
    </row>
    <row r="653" ht="16.5" customHeight="1">
      <c r="A653" s="144"/>
      <c r="B653" s="144"/>
      <c r="C653" s="144"/>
      <c r="D653" s="144"/>
      <c r="E653" s="144"/>
      <c r="F653" s="144"/>
      <c r="G653" s="144"/>
      <c r="H653" s="144"/>
      <c r="I653" s="496"/>
      <c r="J653" s="496"/>
      <c r="K653" s="496"/>
      <c r="L653" s="496"/>
      <c r="M653" s="144"/>
      <c r="N653" s="144"/>
      <c r="O653" s="144"/>
      <c r="P653" s="144"/>
      <c r="Q653" s="144"/>
      <c r="R653" s="144"/>
      <c r="S653" s="144"/>
      <c r="T653" s="144"/>
      <c r="U653" s="144"/>
      <c r="V653" s="144"/>
      <c r="W653" s="144"/>
      <c r="X653" s="144"/>
      <c r="Y653" s="144"/>
      <c r="Z653" s="144"/>
      <c r="AA653" s="144"/>
      <c r="AB653" s="144"/>
      <c r="AC653" s="144"/>
      <c r="AD653" s="144"/>
      <c r="AE653" s="144"/>
      <c r="AF653" s="144"/>
    </row>
    <row r="654" ht="16.5" customHeight="1">
      <c r="A654" s="144"/>
      <c r="B654" s="144"/>
      <c r="C654" s="144"/>
      <c r="D654" s="144"/>
      <c r="E654" s="144"/>
      <c r="F654" s="144"/>
      <c r="G654" s="144"/>
      <c r="H654" s="144"/>
      <c r="I654" s="496"/>
      <c r="J654" s="496"/>
      <c r="K654" s="496"/>
      <c r="L654" s="496"/>
      <c r="M654" s="144"/>
      <c r="N654" s="144"/>
      <c r="O654" s="144"/>
      <c r="P654" s="144"/>
      <c r="Q654" s="144"/>
      <c r="R654" s="144"/>
      <c r="S654" s="144"/>
      <c r="T654" s="144"/>
      <c r="U654" s="144"/>
      <c r="V654" s="144"/>
      <c r="W654" s="144"/>
      <c r="X654" s="144"/>
      <c r="Y654" s="144"/>
      <c r="Z654" s="144"/>
      <c r="AA654" s="144"/>
      <c r="AB654" s="144"/>
      <c r="AC654" s="144"/>
      <c r="AD654" s="144"/>
      <c r="AE654" s="144"/>
      <c r="AF654" s="144"/>
    </row>
    <row r="655" ht="16.5" customHeight="1">
      <c r="A655" s="144"/>
      <c r="B655" s="144"/>
      <c r="C655" s="144"/>
      <c r="D655" s="144"/>
      <c r="E655" s="144"/>
      <c r="F655" s="144"/>
      <c r="G655" s="144"/>
      <c r="H655" s="144"/>
      <c r="I655" s="496"/>
      <c r="J655" s="496"/>
      <c r="K655" s="496"/>
      <c r="L655" s="496"/>
      <c r="M655" s="144"/>
      <c r="N655" s="144"/>
      <c r="O655" s="144"/>
      <c r="P655" s="144"/>
      <c r="Q655" s="144"/>
      <c r="R655" s="144"/>
      <c r="S655" s="144"/>
      <c r="T655" s="144"/>
      <c r="U655" s="144"/>
      <c r="V655" s="144"/>
      <c r="W655" s="144"/>
      <c r="X655" s="144"/>
      <c r="Y655" s="144"/>
      <c r="Z655" s="144"/>
      <c r="AA655" s="144"/>
      <c r="AB655" s="144"/>
      <c r="AC655" s="144"/>
      <c r="AD655" s="144"/>
      <c r="AE655" s="144"/>
      <c r="AF655" s="144"/>
    </row>
    <row r="656" ht="16.5" customHeight="1">
      <c r="A656" s="144"/>
      <c r="B656" s="144"/>
      <c r="C656" s="144"/>
      <c r="D656" s="144"/>
      <c r="E656" s="144"/>
      <c r="F656" s="144"/>
      <c r="G656" s="144"/>
      <c r="H656" s="144"/>
      <c r="I656" s="496"/>
      <c r="J656" s="496"/>
      <c r="K656" s="496"/>
      <c r="L656" s="496"/>
      <c r="M656" s="144"/>
      <c r="N656" s="144"/>
      <c r="O656" s="144"/>
      <c r="P656" s="144"/>
      <c r="Q656" s="144"/>
      <c r="R656" s="144"/>
      <c r="S656" s="144"/>
      <c r="T656" s="144"/>
      <c r="U656" s="144"/>
      <c r="V656" s="144"/>
      <c r="W656" s="144"/>
      <c r="X656" s="144"/>
      <c r="Y656" s="144"/>
      <c r="Z656" s="144"/>
      <c r="AA656" s="144"/>
      <c r="AB656" s="144"/>
      <c r="AC656" s="144"/>
      <c r="AD656" s="144"/>
      <c r="AE656" s="144"/>
      <c r="AF656" s="144"/>
    </row>
    <row r="657" ht="16.5" customHeight="1">
      <c r="A657" s="144"/>
      <c r="B657" s="144"/>
      <c r="C657" s="144"/>
      <c r="D657" s="144"/>
      <c r="E657" s="144"/>
      <c r="F657" s="144"/>
      <c r="G657" s="144"/>
      <c r="H657" s="144"/>
      <c r="I657" s="496"/>
      <c r="J657" s="496"/>
      <c r="K657" s="496"/>
      <c r="L657" s="496"/>
      <c r="M657" s="144"/>
      <c r="N657" s="144"/>
      <c r="O657" s="144"/>
      <c r="P657" s="144"/>
      <c r="Q657" s="144"/>
      <c r="R657" s="144"/>
      <c r="S657" s="144"/>
      <c r="T657" s="144"/>
      <c r="U657" s="144"/>
      <c r="V657" s="144"/>
      <c r="W657" s="144"/>
      <c r="X657" s="144"/>
      <c r="Y657" s="144"/>
      <c r="Z657" s="144"/>
      <c r="AA657" s="144"/>
      <c r="AB657" s="144"/>
      <c r="AC657" s="144"/>
      <c r="AD657" s="144"/>
      <c r="AE657" s="144"/>
      <c r="AF657" s="144"/>
    </row>
    <row r="658" ht="16.5" customHeight="1">
      <c r="A658" s="144"/>
      <c r="B658" s="144"/>
      <c r="C658" s="144"/>
      <c r="D658" s="144"/>
      <c r="E658" s="144"/>
      <c r="F658" s="144"/>
      <c r="G658" s="144"/>
      <c r="H658" s="144"/>
      <c r="I658" s="496"/>
      <c r="J658" s="496"/>
      <c r="K658" s="496"/>
      <c r="L658" s="496"/>
      <c r="M658" s="144"/>
      <c r="N658" s="144"/>
      <c r="O658" s="144"/>
      <c r="P658" s="144"/>
      <c r="Q658" s="144"/>
      <c r="R658" s="144"/>
      <c r="S658" s="144"/>
      <c r="T658" s="144"/>
      <c r="U658" s="144"/>
      <c r="V658" s="144"/>
      <c r="W658" s="144"/>
      <c r="X658" s="144"/>
      <c r="Y658" s="144"/>
      <c r="Z658" s="144"/>
      <c r="AA658" s="144"/>
      <c r="AB658" s="144"/>
      <c r="AC658" s="144"/>
      <c r="AD658" s="144"/>
      <c r="AE658" s="144"/>
      <c r="AF658" s="144"/>
    </row>
    <row r="659" ht="16.5" customHeight="1">
      <c r="A659" s="144"/>
      <c r="B659" s="144"/>
      <c r="C659" s="144"/>
      <c r="D659" s="144"/>
      <c r="E659" s="144"/>
      <c r="F659" s="144"/>
      <c r="G659" s="144"/>
      <c r="H659" s="144"/>
      <c r="I659" s="496"/>
      <c r="J659" s="496"/>
      <c r="K659" s="496"/>
      <c r="L659" s="496"/>
      <c r="M659" s="144"/>
      <c r="N659" s="144"/>
      <c r="O659" s="144"/>
      <c r="P659" s="144"/>
      <c r="Q659" s="144"/>
      <c r="R659" s="144"/>
      <c r="S659" s="144"/>
      <c r="T659" s="144"/>
      <c r="U659" s="144"/>
      <c r="V659" s="144"/>
      <c r="W659" s="144"/>
      <c r="X659" s="144"/>
      <c r="Y659" s="144"/>
      <c r="Z659" s="144"/>
      <c r="AA659" s="144"/>
      <c r="AB659" s="144"/>
      <c r="AC659" s="144"/>
      <c r="AD659" s="144"/>
      <c r="AE659" s="144"/>
      <c r="AF659" s="144"/>
    </row>
    <row r="660" ht="16.5" customHeight="1">
      <c r="A660" s="144"/>
      <c r="B660" s="144"/>
      <c r="C660" s="144"/>
      <c r="D660" s="144"/>
      <c r="E660" s="144"/>
      <c r="F660" s="144"/>
      <c r="G660" s="144"/>
      <c r="H660" s="144"/>
      <c r="I660" s="496"/>
      <c r="J660" s="496"/>
      <c r="K660" s="496"/>
      <c r="L660" s="496"/>
      <c r="M660" s="144"/>
      <c r="N660" s="144"/>
      <c r="O660" s="144"/>
      <c r="P660" s="144"/>
      <c r="Q660" s="144"/>
      <c r="R660" s="144"/>
      <c r="S660" s="144"/>
      <c r="T660" s="144"/>
      <c r="U660" s="144"/>
      <c r="V660" s="144"/>
      <c r="W660" s="144"/>
      <c r="X660" s="144"/>
      <c r="Y660" s="144"/>
      <c r="Z660" s="144"/>
      <c r="AA660" s="144"/>
      <c r="AB660" s="144"/>
      <c r="AC660" s="144"/>
      <c r="AD660" s="144"/>
      <c r="AE660" s="144"/>
      <c r="AF660" s="144"/>
    </row>
    <row r="661" ht="16.5" customHeight="1">
      <c r="A661" s="144"/>
      <c r="B661" s="144"/>
      <c r="C661" s="144"/>
      <c r="D661" s="144"/>
      <c r="E661" s="144"/>
      <c r="F661" s="144"/>
      <c r="G661" s="144"/>
      <c r="H661" s="144"/>
      <c r="I661" s="496"/>
      <c r="J661" s="496"/>
      <c r="K661" s="496"/>
      <c r="L661" s="496"/>
      <c r="M661" s="144"/>
      <c r="N661" s="144"/>
      <c r="O661" s="144"/>
      <c r="P661" s="144"/>
      <c r="Q661" s="144"/>
      <c r="R661" s="144"/>
      <c r="S661" s="144"/>
      <c r="T661" s="144"/>
      <c r="U661" s="144"/>
      <c r="V661" s="144"/>
      <c r="W661" s="144"/>
      <c r="X661" s="144"/>
      <c r="Y661" s="144"/>
      <c r="Z661" s="144"/>
      <c r="AA661" s="144"/>
      <c r="AB661" s="144"/>
      <c r="AC661" s="144"/>
      <c r="AD661" s="144"/>
      <c r="AE661" s="144"/>
      <c r="AF661" s="144"/>
    </row>
    <row r="662" ht="16.5" customHeight="1">
      <c r="A662" s="144"/>
      <c r="B662" s="144"/>
      <c r="C662" s="144"/>
      <c r="D662" s="144"/>
      <c r="E662" s="144"/>
      <c r="F662" s="144"/>
      <c r="G662" s="144"/>
      <c r="H662" s="144"/>
      <c r="I662" s="496"/>
      <c r="J662" s="496"/>
      <c r="K662" s="496"/>
      <c r="L662" s="496"/>
      <c r="M662" s="144"/>
      <c r="N662" s="144"/>
      <c r="O662" s="144"/>
      <c r="P662" s="144"/>
      <c r="Q662" s="144"/>
      <c r="R662" s="144"/>
      <c r="S662" s="144"/>
      <c r="T662" s="144"/>
      <c r="U662" s="144"/>
      <c r="V662" s="144"/>
      <c r="W662" s="144"/>
      <c r="X662" s="144"/>
      <c r="Y662" s="144"/>
      <c r="Z662" s="144"/>
      <c r="AA662" s="144"/>
      <c r="AB662" s="144"/>
      <c r="AC662" s="144"/>
      <c r="AD662" s="144"/>
      <c r="AE662" s="144"/>
      <c r="AF662" s="144"/>
    </row>
    <row r="663" ht="16.5" customHeight="1">
      <c r="A663" s="144"/>
      <c r="B663" s="144"/>
      <c r="C663" s="144"/>
      <c r="D663" s="144"/>
      <c r="E663" s="144"/>
      <c r="F663" s="144"/>
      <c r="G663" s="144"/>
      <c r="H663" s="144"/>
      <c r="I663" s="496"/>
      <c r="J663" s="496"/>
      <c r="K663" s="496"/>
      <c r="L663" s="496"/>
      <c r="M663" s="144"/>
      <c r="N663" s="144"/>
      <c r="O663" s="144"/>
      <c r="P663" s="144"/>
      <c r="Q663" s="144"/>
      <c r="R663" s="144"/>
      <c r="S663" s="144"/>
      <c r="T663" s="144"/>
      <c r="U663" s="144"/>
      <c r="V663" s="144"/>
      <c r="W663" s="144"/>
      <c r="X663" s="144"/>
      <c r="Y663" s="144"/>
      <c r="Z663" s="144"/>
      <c r="AA663" s="144"/>
      <c r="AB663" s="144"/>
      <c r="AC663" s="144"/>
      <c r="AD663" s="144"/>
      <c r="AE663" s="144"/>
      <c r="AF663" s="144"/>
    </row>
    <row r="664" ht="16.5" customHeight="1">
      <c r="A664" s="144"/>
      <c r="B664" s="144"/>
      <c r="C664" s="144"/>
      <c r="D664" s="144"/>
      <c r="E664" s="144"/>
      <c r="F664" s="144"/>
      <c r="G664" s="144"/>
      <c r="H664" s="144"/>
      <c r="I664" s="496"/>
      <c r="J664" s="496"/>
      <c r="K664" s="496"/>
      <c r="L664" s="496"/>
      <c r="M664" s="144"/>
      <c r="N664" s="144"/>
      <c r="O664" s="144"/>
      <c r="P664" s="144"/>
      <c r="Q664" s="144"/>
      <c r="R664" s="144"/>
      <c r="S664" s="144"/>
      <c r="T664" s="144"/>
      <c r="U664" s="144"/>
      <c r="V664" s="144"/>
      <c r="W664" s="144"/>
      <c r="X664" s="144"/>
      <c r="Y664" s="144"/>
      <c r="Z664" s="144"/>
      <c r="AA664" s="144"/>
      <c r="AB664" s="144"/>
      <c r="AC664" s="144"/>
      <c r="AD664" s="144"/>
      <c r="AE664" s="144"/>
      <c r="AF664" s="144"/>
    </row>
    <row r="665" ht="16.5" customHeight="1">
      <c r="A665" s="144"/>
      <c r="B665" s="144"/>
      <c r="C665" s="144"/>
      <c r="D665" s="144"/>
      <c r="E665" s="144"/>
      <c r="F665" s="144"/>
      <c r="G665" s="144"/>
      <c r="H665" s="144"/>
      <c r="I665" s="496"/>
      <c r="J665" s="496"/>
      <c r="K665" s="496"/>
      <c r="L665" s="496"/>
      <c r="M665" s="144"/>
      <c r="N665" s="144"/>
      <c r="O665" s="144"/>
      <c r="P665" s="144"/>
      <c r="Q665" s="144"/>
      <c r="R665" s="144"/>
      <c r="S665" s="144"/>
      <c r="T665" s="144"/>
      <c r="U665" s="144"/>
      <c r="V665" s="144"/>
      <c r="W665" s="144"/>
      <c r="X665" s="144"/>
      <c r="Y665" s="144"/>
      <c r="Z665" s="144"/>
      <c r="AA665" s="144"/>
      <c r="AB665" s="144"/>
      <c r="AC665" s="144"/>
      <c r="AD665" s="144"/>
      <c r="AE665" s="144"/>
      <c r="AF665" s="144"/>
    </row>
    <row r="666" ht="16.5" customHeight="1">
      <c r="A666" s="144"/>
      <c r="B666" s="144"/>
      <c r="C666" s="144"/>
      <c r="D666" s="144"/>
      <c r="E666" s="144"/>
      <c r="F666" s="144"/>
      <c r="G666" s="144"/>
      <c r="H666" s="144"/>
      <c r="I666" s="496"/>
      <c r="J666" s="496"/>
      <c r="K666" s="496"/>
      <c r="L666" s="496"/>
      <c r="M666" s="144"/>
      <c r="N666" s="144"/>
      <c r="O666" s="144"/>
      <c r="P666" s="144"/>
      <c r="Q666" s="144"/>
      <c r="R666" s="144"/>
      <c r="S666" s="144"/>
      <c r="T666" s="144"/>
      <c r="U666" s="144"/>
      <c r="V666" s="144"/>
      <c r="W666" s="144"/>
      <c r="X666" s="144"/>
      <c r="Y666" s="144"/>
      <c r="Z666" s="144"/>
      <c r="AA666" s="144"/>
      <c r="AB666" s="144"/>
      <c r="AC666" s="144"/>
      <c r="AD666" s="144"/>
      <c r="AE666" s="144"/>
      <c r="AF666" s="144"/>
    </row>
    <row r="667" ht="16.5" customHeight="1">
      <c r="A667" s="144"/>
      <c r="B667" s="144"/>
      <c r="C667" s="144"/>
      <c r="D667" s="144"/>
      <c r="E667" s="144"/>
      <c r="F667" s="144"/>
      <c r="G667" s="144"/>
      <c r="H667" s="144"/>
      <c r="I667" s="496"/>
      <c r="J667" s="496"/>
      <c r="K667" s="496"/>
      <c r="L667" s="496"/>
      <c r="M667" s="144"/>
      <c r="N667" s="144"/>
      <c r="O667" s="144"/>
      <c r="P667" s="144"/>
      <c r="Q667" s="144"/>
      <c r="R667" s="144"/>
      <c r="S667" s="144"/>
      <c r="T667" s="144"/>
      <c r="U667" s="144"/>
      <c r="V667" s="144"/>
      <c r="W667" s="144"/>
      <c r="X667" s="144"/>
      <c r="Y667" s="144"/>
      <c r="Z667" s="144"/>
      <c r="AA667" s="144"/>
      <c r="AB667" s="144"/>
      <c r="AC667" s="144"/>
      <c r="AD667" s="144"/>
      <c r="AE667" s="144"/>
      <c r="AF667" s="144"/>
    </row>
    <row r="668" ht="16.5" customHeight="1">
      <c r="A668" s="144"/>
      <c r="B668" s="144"/>
      <c r="C668" s="144"/>
      <c r="D668" s="144"/>
      <c r="E668" s="144"/>
      <c r="F668" s="144"/>
      <c r="G668" s="144"/>
      <c r="H668" s="144"/>
      <c r="I668" s="496"/>
      <c r="J668" s="496"/>
      <c r="K668" s="496"/>
      <c r="L668" s="496"/>
      <c r="M668" s="144"/>
      <c r="N668" s="144"/>
      <c r="O668" s="144"/>
      <c r="P668" s="144"/>
      <c r="Q668" s="144"/>
      <c r="R668" s="144"/>
      <c r="S668" s="144"/>
      <c r="T668" s="144"/>
      <c r="U668" s="144"/>
      <c r="V668" s="144"/>
      <c r="W668" s="144"/>
      <c r="X668" s="144"/>
      <c r="Y668" s="144"/>
      <c r="Z668" s="144"/>
      <c r="AA668" s="144"/>
      <c r="AB668" s="144"/>
      <c r="AC668" s="144"/>
      <c r="AD668" s="144"/>
      <c r="AE668" s="144"/>
      <c r="AF668" s="144"/>
    </row>
    <row r="669" ht="16.5" customHeight="1">
      <c r="A669" s="144"/>
      <c r="B669" s="144"/>
      <c r="C669" s="144"/>
      <c r="D669" s="144"/>
      <c r="E669" s="144"/>
      <c r="F669" s="144"/>
      <c r="G669" s="144"/>
      <c r="H669" s="144"/>
      <c r="I669" s="496"/>
      <c r="J669" s="496"/>
      <c r="K669" s="496"/>
      <c r="L669" s="496"/>
      <c r="M669" s="144"/>
      <c r="N669" s="144"/>
      <c r="O669" s="144"/>
      <c r="P669" s="144"/>
      <c r="Q669" s="144"/>
      <c r="R669" s="144"/>
      <c r="S669" s="144"/>
      <c r="T669" s="144"/>
      <c r="U669" s="144"/>
      <c r="V669" s="144"/>
      <c r="W669" s="144"/>
      <c r="X669" s="144"/>
      <c r="Y669" s="144"/>
      <c r="Z669" s="144"/>
      <c r="AA669" s="144"/>
      <c r="AB669" s="144"/>
      <c r="AC669" s="144"/>
      <c r="AD669" s="144"/>
      <c r="AE669" s="144"/>
      <c r="AF669" s="144"/>
    </row>
    <row r="670" ht="16.5" customHeight="1">
      <c r="A670" s="144"/>
      <c r="B670" s="144"/>
      <c r="C670" s="144"/>
      <c r="D670" s="144"/>
      <c r="E670" s="144"/>
      <c r="F670" s="144"/>
      <c r="G670" s="144"/>
      <c r="H670" s="144"/>
      <c r="I670" s="496"/>
      <c r="J670" s="496"/>
      <c r="K670" s="496"/>
      <c r="L670" s="496"/>
      <c r="M670" s="144"/>
      <c r="N670" s="144"/>
      <c r="O670" s="144"/>
      <c r="P670" s="144"/>
      <c r="Q670" s="144"/>
      <c r="R670" s="144"/>
      <c r="S670" s="144"/>
      <c r="T670" s="144"/>
      <c r="U670" s="144"/>
      <c r="V670" s="144"/>
      <c r="W670" s="144"/>
      <c r="X670" s="144"/>
      <c r="Y670" s="144"/>
      <c r="Z670" s="144"/>
      <c r="AA670" s="144"/>
      <c r="AB670" s="144"/>
      <c r="AC670" s="144"/>
      <c r="AD670" s="144"/>
      <c r="AE670" s="144"/>
      <c r="AF670" s="144"/>
    </row>
    <row r="671" ht="16.5" customHeight="1">
      <c r="A671" s="144"/>
      <c r="B671" s="144"/>
      <c r="C671" s="144"/>
      <c r="D671" s="144"/>
      <c r="E671" s="144"/>
      <c r="F671" s="144"/>
      <c r="G671" s="144"/>
      <c r="H671" s="144"/>
      <c r="I671" s="496"/>
      <c r="J671" s="496"/>
      <c r="K671" s="496"/>
      <c r="L671" s="496"/>
      <c r="M671" s="144"/>
      <c r="N671" s="144"/>
      <c r="O671" s="144"/>
      <c r="P671" s="144"/>
      <c r="Q671" s="144"/>
      <c r="R671" s="144"/>
      <c r="S671" s="144"/>
      <c r="T671" s="144"/>
      <c r="U671" s="144"/>
      <c r="V671" s="144"/>
      <c r="W671" s="144"/>
      <c r="X671" s="144"/>
      <c r="Y671" s="144"/>
      <c r="Z671" s="144"/>
      <c r="AA671" s="144"/>
      <c r="AB671" s="144"/>
      <c r="AC671" s="144"/>
      <c r="AD671" s="144"/>
      <c r="AE671" s="144"/>
      <c r="AF671" s="144"/>
    </row>
    <row r="672" ht="16.5" customHeight="1">
      <c r="A672" s="144"/>
      <c r="B672" s="144"/>
      <c r="C672" s="144"/>
      <c r="D672" s="144"/>
      <c r="E672" s="144"/>
      <c r="F672" s="144"/>
      <c r="G672" s="144"/>
      <c r="H672" s="144"/>
      <c r="I672" s="496"/>
      <c r="J672" s="496"/>
      <c r="K672" s="496"/>
      <c r="L672" s="496"/>
      <c r="M672" s="144"/>
      <c r="N672" s="144"/>
      <c r="O672" s="144"/>
      <c r="P672" s="144"/>
      <c r="Q672" s="144"/>
      <c r="R672" s="144"/>
      <c r="S672" s="144"/>
      <c r="T672" s="144"/>
      <c r="U672" s="144"/>
      <c r="V672" s="144"/>
      <c r="W672" s="144"/>
      <c r="X672" s="144"/>
      <c r="Y672" s="144"/>
      <c r="Z672" s="144"/>
      <c r="AA672" s="144"/>
      <c r="AB672" s="144"/>
      <c r="AC672" s="144"/>
      <c r="AD672" s="144"/>
      <c r="AE672" s="144"/>
      <c r="AF672" s="144"/>
    </row>
    <row r="673" ht="16.5" customHeight="1">
      <c r="A673" s="144"/>
      <c r="B673" s="144"/>
      <c r="C673" s="144"/>
      <c r="D673" s="144"/>
      <c r="E673" s="144"/>
      <c r="F673" s="144"/>
      <c r="G673" s="144"/>
      <c r="H673" s="144"/>
      <c r="I673" s="496"/>
      <c r="J673" s="496"/>
      <c r="K673" s="496"/>
      <c r="L673" s="496"/>
      <c r="M673" s="144"/>
      <c r="N673" s="144"/>
      <c r="O673" s="144"/>
      <c r="P673" s="144"/>
      <c r="Q673" s="144"/>
      <c r="R673" s="144"/>
      <c r="S673" s="144"/>
      <c r="T673" s="144"/>
      <c r="U673" s="144"/>
      <c r="V673" s="144"/>
      <c r="W673" s="144"/>
      <c r="X673" s="144"/>
      <c r="Y673" s="144"/>
      <c r="Z673" s="144"/>
      <c r="AA673" s="144"/>
      <c r="AB673" s="144"/>
      <c r="AC673" s="144"/>
      <c r="AD673" s="144"/>
      <c r="AE673" s="144"/>
      <c r="AF673" s="144"/>
    </row>
    <row r="674" ht="16.5" customHeight="1">
      <c r="A674" s="144"/>
      <c r="B674" s="144"/>
      <c r="C674" s="144"/>
      <c r="D674" s="144"/>
      <c r="E674" s="144"/>
      <c r="F674" s="144"/>
      <c r="G674" s="144"/>
      <c r="H674" s="144"/>
      <c r="I674" s="496"/>
      <c r="J674" s="496"/>
      <c r="K674" s="496"/>
      <c r="L674" s="496"/>
      <c r="M674" s="144"/>
      <c r="N674" s="144"/>
      <c r="O674" s="144"/>
      <c r="P674" s="144"/>
      <c r="Q674" s="144"/>
      <c r="R674" s="144"/>
      <c r="S674" s="144"/>
      <c r="T674" s="144"/>
      <c r="U674" s="144"/>
      <c r="V674" s="144"/>
      <c r="W674" s="144"/>
      <c r="X674" s="144"/>
      <c r="Y674" s="144"/>
      <c r="Z674" s="144"/>
      <c r="AA674" s="144"/>
      <c r="AB674" s="144"/>
      <c r="AC674" s="144"/>
      <c r="AD674" s="144"/>
      <c r="AE674" s="144"/>
      <c r="AF674" s="144"/>
    </row>
    <row r="675" ht="16.5" customHeight="1">
      <c r="A675" s="144"/>
      <c r="B675" s="144"/>
      <c r="C675" s="144"/>
      <c r="D675" s="144"/>
      <c r="E675" s="144"/>
      <c r="F675" s="144"/>
      <c r="G675" s="144"/>
      <c r="H675" s="144"/>
      <c r="I675" s="496"/>
      <c r="J675" s="496"/>
      <c r="K675" s="496"/>
      <c r="L675" s="496"/>
      <c r="M675" s="144"/>
      <c r="N675" s="144"/>
      <c r="O675" s="144"/>
      <c r="P675" s="144"/>
      <c r="Q675" s="144"/>
      <c r="R675" s="144"/>
      <c r="S675" s="144"/>
      <c r="T675" s="144"/>
      <c r="U675" s="144"/>
      <c r="V675" s="144"/>
      <c r="W675" s="144"/>
      <c r="X675" s="144"/>
      <c r="Y675" s="144"/>
      <c r="Z675" s="144"/>
      <c r="AA675" s="144"/>
      <c r="AB675" s="144"/>
      <c r="AC675" s="144"/>
      <c r="AD675" s="144"/>
      <c r="AE675" s="144"/>
      <c r="AF675" s="144"/>
    </row>
    <row r="676" ht="16.5" customHeight="1">
      <c r="A676" s="144"/>
      <c r="B676" s="144"/>
      <c r="C676" s="144"/>
      <c r="D676" s="144"/>
      <c r="E676" s="144"/>
      <c r="F676" s="144"/>
      <c r="G676" s="144"/>
      <c r="H676" s="144"/>
      <c r="I676" s="496"/>
      <c r="J676" s="496"/>
      <c r="K676" s="496"/>
      <c r="L676" s="496"/>
      <c r="M676" s="144"/>
      <c r="N676" s="144"/>
      <c r="O676" s="144"/>
      <c r="P676" s="144"/>
      <c r="Q676" s="144"/>
      <c r="R676" s="144"/>
      <c r="S676" s="144"/>
      <c r="T676" s="144"/>
      <c r="U676" s="144"/>
      <c r="V676" s="144"/>
      <c r="W676" s="144"/>
      <c r="X676" s="144"/>
      <c r="Y676" s="144"/>
      <c r="Z676" s="144"/>
      <c r="AA676" s="144"/>
      <c r="AB676" s="144"/>
      <c r="AC676" s="144"/>
      <c r="AD676" s="144"/>
      <c r="AE676" s="144"/>
      <c r="AF676" s="144"/>
    </row>
    <row r="677" ht="16.5" customHeight="1">
      <c r="A677" s="144"/>
      <c r="B677" s="144"/>
      <c r="C677" s="144"/>
      <c r="D677" s="144"/>
      <c r="E677" s="144"/>
      <c r="F677" s="144"/>
      <c r="G677" s="144"/>
      <c r="H677" s="144"/>
      <c r="I677" s="496"/>
      <c r="J677" s="496"/>
      <c r="K677" s="496"/>
      <c r="L677" s="496"/>
      <c r="M677" s="144"/>
      <c r="N677" s="144"/>
      <c r="O677" s="144"/>
      <c r="P677" s="144"/>
      <c r="Q677" s="144"/>
      <c r="R677" s="144"/>
      <c r="S677" s="144"/>
      <c r="T677" s="144"/>
      <c r="U677" s="144"/>
      <c r="V677" s="144"/>
      <c r="W677" s="144"/>
      <c r="X677" s="144"/>
      <c r="Y677" s="144"/>
      <c r="Z677" s="144"/>
      <c r="AA677" s="144"/>
      <c r="AB677" s="144"/>
      <c r="AC677" s="144"/>
      <c r="AD677" s="144"/>
      <c r="AE677" s="144"/>
      <c r="AF677" s="144"/>
    </row>
    <row r="678" ht="16.5" customHeight="1">
      <c r="A678" s="144"/>
      <c r="B678" s="144"/>
      <c r="C678" s="144"/>
      <c r="D678" s="144"/>
      <c r="E678" s="144"/>
      <c r="F678" s="144"/>
      <c r="G678" s="144"/>
      <c r="H678" s="144"/>
      <c r="I678" s="496"/>
      <c r="J678" s="496"/>
      <c r="K678" s="496"/>
      <c r="L678" s="496"/>
      <c r="M678" s="144"/>
      <c r="N678" s="144"/>
      <c r="O678" s="144"/>
      <c r="P678" s="144"/>
      <c r="Q678" s="144"/>
      <c r="R678" s="144"/>
      <c r="S678" s="144"/>
      <c r="T678" s="144"/>
      <c r="U678" s="144"/>
      <c r="V678" s="144"/>
      <c r="W678" s="144"/>
      <c r="X678" s="144"/>
      <c r="Y678" s="144"/>
      <c r="Z678" s="144"/>
      <c r="AA678" s="144"/>
      <c r="AB678" s="144"/>
      <c r="AC678" s="144"/>
      <c r="AD678" s="144"/>
      <c r="AE678" s="144"/>
      <c r="AF678" s="144"/>
    </row>
    <row r="679" ht="16.5" customHeight="1">
      <c r="A679" s="144"/>
      <c r="B679" s="144"/>
      <c r="C679" s="144"/>
      <c r="D679" s="144"/>
      <c r="E679" s="144"/>
      <c r="F679" s="144"/>
      <c r="G679" s="144"/>
      <c r="H679" s="144"/>
      <c r="I679" s="496"/>
      <c r="J679" s="496"/>
      <c r="K679" s="496"/>
      <c r="L679" s="496"/>
      <c r="M679" s="144"/>
      <c r="N679" s="144"/>
      <c r="O679" s="144"/>
      <c r="P679" s="144"/>
      <c r="Q679" s="144"/>
      <c r="R679" s="144"/>
      <c r="S679" s="144"/>
      <c r="T679" s="144"/>
      <c r="U679" s="144"/>
      <c r="V679" s="144"/>
      <c r="W679" s="144"/>
      <c r="X679" s="144"/>
      <c r="Y679" s="144"/>
      <c r="Z679" s="144"/>
      <c r="AA679" s="144"/>
      <c r="AB679" s="144"/>
      <c r="AC679" s="144"/>
      <c r="AD679" s="144"/>
      <c r="AE679" s="144"/>
      <c r="AF679" s="144"/>
    </row>
    <row r="680" ht="16.5" customHeight="1">
      <c r="A680" s="144"/>
      <c r="B680" s="144"/>
      <c r="C680" s="144"/>
      <c r="D680" s="144"/>
      <c r="E680" s="144"/>
      <c r="F680" s="144"/>
      <c r="G680" s="144"/>
      <c r="H680" s="144"/>
      <c r="I680" s="496"/>
      <c r="J680" s="496"/>
      <c r="K680" s="496"/>
      <c r="L680" s="496"/>
      <c r="M680" s="144"/>
      <c r="N680" s="144"/>
      <c r="O680" s="144"/>
      <c r="P680" s="144"/>
      <c r="Q680" s="144"/>
      <c r="R680" s="144"/>
      <c r="S680" s="144"/>
      <c r="T680" s="144"/>
      <c r="U680" s="144"/>
      <c r="V680" s="144"/>
      <c r="W680" s="144"/>
      <c r="X680" s="144"/>
      <c r="Y680" s="144"/>
      <c r="Z680" s="144"/>
      <c r="AA680" s="144"/>
      <c r="AB680" s="144"/>
      <c r="AC680" s="144"/>
      <c r="AD680" s="144"/>
      <c r="AE680" s="144"/>
      <c r="AF680" s="144"/>
    </row>
    <row r="681" ht="16.5" customHeight="1">
      <c r="A681" s="144"/>
      <c r="B681" s="144"/>
      <c r="C681" s="144"/>
      <c r="D681" s="144"/>
      <c r="E681" s="144"/>
      <c r="F681" s="144"/>
      <c r="G681" s="144"/>
      <c r="H681" s="144"/>
      <c r="I681" s="496"/>
      <c r="J681" s="496"/>
      <c r="K681" s="496"/>
      <c r="L681" s="496"/>
      <c r="M681" s="144"/>
      <c r="N681" s="144"/>
      <c r="O681" s="144"/>
      <c r="P681" s="144"/>
      <c r="Q681" s="144"/>
      <c r="R681" s="144"/>
      <c r="S681" s="144"/>
      <c r="T681" s="144"/>
      <c r="U681" s="144"/>
      <c r="V681" s="144"/>
      <c r="W681" s="144"/>
      <c r="X681" s="144"/>
      <c r="Y681" s="144"/>
      <c r="Z681" s="144"/>
      <c r="AA681" s="144"/>
      <c r="AB681" s="144"/>
      <c r="AC681" s="144"/>
      <c r="AD681" s="144"/>
      <c r="AE681" s="144"/>
      <c r="AF681" s="144"/>
    </row>
    <row r="682" ht="16.5" customHeight="1">
      <c r="A682" s="144"/>
      <c r="B682" s="144"/>
      <c r="C682" s="144"/>
      <c r="D682" s="144"/>
      <c r="E682" s="144"/>
      <c r="F682" s="144"/>
      <c r="G682" s="144"/>
      <c r="H682" s="144"/>
      <c r="I682" s="496"/>
      <c r="J682" s="496"/>
      <c r="K682" s="496"/>
      <c r="L682" s="496"/>
      <c r="M682" s="144"/>
      <c r="N682" s="144"/>
      <c r="O682" s="144"/>
      <c r="P682" s="144"/>
      <c r="Q682" s="144"/>
      <c r="R682" s="144"/>
      <c r="S682" s="144"/>
      <c r="T682" s="144"/>
      <c r="U682" s="144"/>
      <c r="V682" s="144"/>
      <c r="W682" s="144"/>
      <c r="X682" s="144"/>
      <c r="Y682" s="144"/>
      <c r="Z682" s="144"/>
      <c r="AA682" s="144"/>
      <c r="AB682" s="144"/>
      <c r="AC682" s="144"/>
      <c r="AD682" s="144"/>
      <c r="AE682" s="144"/>
      <c r="AF682" s="144"/>
    </row>
    <row r="683" ht="16.5" customHeight="1">
      <c r="A683" s="144"/>
      <c r="B683" s="144"/>
      <c r="C683" s="144"/>
      <c r="D683" s="144"/>
      <c r="E683" s="144"/>
      <c r="F683" s="144"/>
      <c r="G683" s="144"/>
      <c r="H683" s="144"/>
      <c r="I683" s="496"/>
      <c r="J683" s="496"/>
      <c r="K683" s="496"/>
      <c r="L683" s="496"/>
      <c r="M683" s="144"/>
      <c r="N683" s="144"/>
      <c r="O683" s="144"/>
      <c r="P683" s="144"/>
      <c r="Q683" s="144"/>
      <c r="R683" s="144"/>
      <c r="S683" s="144"/>
      <c r="T683" s="144"/>
      <c r="U683" s="144"/>
      <c r="V683" s="144"/>
      <c r="W683" s="144"/>
      <c r="X683" s="144"/>
      <c r="Y683" s="144"/>
      <c r="Z683" s="144"/>
      <c r="AA683" s="144"/>
      <c r="AB683" s="144"/>
      <c r="AC683" s="144"/>
      <c r="AD683" s="144"/>
      <c r="AE683" s="144"/>
      <c r="AF683" s="144"/>
    </row>
    <row r="684" ht="16.5" customHeight="1">
      <c r="A684" s="144"/>
      <c r="B684" s="144"/>
      <c r="C684" s="144"/>
      <c r="D684" s="144"/>
      <c r="E684" s="144"/>
      <c r="F684" s="144"/>
      <c r="G684" s="144"/>
      <c r="H684" s="144"/>
      <c r="I684" s="496"/>
      <c r="J684" s="496"/>
      <c r="K684" s="496"/>
      <c r="L684" s="496"/>
      <c r="M684" s="144"/>
      <c r="N684" s="144"/>
      <c r="O684" s="144"/>
      <c r="P684" s="144"/>
      <c r="Q684" s="144"/>
      <c r="R684" s="144"/>
      <c r="S684" s="144"/>
      <c r="T684" s="144"/>
      <c r="U684" s="144"/>
      <c r="V684" s="144"/>
      <c r="W684" s="144"/>
      <c r="X684" s="144"/>
      <c r="Y684" s="144"/>
      <c r="Z684" s="144"/>
      <c r="AA684" s="144"/>
      <c r="AB684" s="144"/>
      <c r="AC684" s="144"/>
      <c r="AD684" s="144"/>
      <c r="AE684" s="144"/>
      <c r="AF684" s="144"/>
    </row>
    <row r="685" ht="16.5" customHeight="1">
      <c r="A685" s="144"/>
      <c r="B685" s="144"/>
      <c r="C685" s="144"/>
      <c r="D685" s="144"/>
      <c r="E685" s="144"/>
      <c r="F685" s="144"/>
      <c r="G685" s="144"/>
      <c r="H685" s="144"/>
      <c r="I685" s="496"/>
      <c r="J685" s="496"/>
      <c r="K685" s="496"/>
      <c r="L685" s="496"/>
      <c r="M685" s="144"/>
      <c r="N685" s="144"/>
      <c r="O685" s="144"/>
      <c r="P685" s="144"/>
      <c r="Q685" s="144"/>
      <c r="R685" s="144"/>
      <c r="S685" s="144"/>
      <c r="T685" s="144"/>
      <c r="U685" s="144"/>
      <c r="V685" s="144"/>
      <c r="W685" s="144"/>
      <c r="X685" s="144"/>
      <c r="Y685" s="144"/>
      <c r="Z685" s="144"/>
      <c r="AA685" s="144"/>
      <c r="AB685" s="144"/>
      <c r="AC685" s="144"/>
      <c r="AD685" s="144"/>
      <c r="AE685" s="144"/>
      <c r="AF685" s="144"/>
    </row>
    <row r="686" ht="16.5" customHeight="1">
      <c r="A686" s="144"/>
      <c r="B686" s="144"/>
      <c r="C686" s="144"/>
      <c r="D686" s="144"/>
      <c r="E686" s="144"/>
      <c r="F686" s="144"/>
      <c r="G686" s="144"/>
      <c r="H686" s="144"/>
      <c r="I686" s="496"/>
      <c r="J686" s="496"/>
      <c r="K686" s="496"/>
      <c r="L686" s="496"/>
      <c r="M686" s="144"/>
      <c r="N686" s="144"/>
      <c r="O686" s="144"/>
      <c r="P686" s="144"/>
      <c r="Q686" s="144"/>
      <c r="R686" s="144"/>
      <c r="S686" s="144"/>
      <c r="T686" s="144"/>
      <c r="U686" s="144"/>
      <c r="V686" s="144"/>
      <c r="W686" s="144"/>
      <c r="X686" s="144"/>
      <c r="Y686" s="144"/>
      <c r="Z686" s="144"/>
      <c r="AA686" s="144"/>
      <c r="AB686" s="144"/>
      <c r="AC686" s="144"/>
      <c r="AD686" s="144"/>
      <c r="AE686" s="144"/>
      <c r="AF686" s="144"/>
    </row>
    <row r="687" ht="16.5" customHeight="1">
      <c r="A687" s="144"/>
      <c r="B687" s="144"/>
      <c r="C687" s="144"/>
      <c r="D687" s="144"/>
      <c r="E687" s="144"/>
      <c r="F687" s="144"/>
      <c r="G687" s="144"/>
      <c r="H687" s="144"/>
      <c r="I687" s="496"/>
      <c r="J687" s="496"/>
      <c r="K687" s="496"/>
      <c r="L687" s="496"/>
      <c r="M687" s="144"/>
      <c r="N687" s="144"/>
      <c r="O687" s="144"/>
      <c r="P687" s="144"/>
      <c r="Q687" s="144"/>
      <c r="R687" s="144"/>
      <c r="S687" s="144"/>
      <c r="T687" s="144"/>
      <c r="U687" s="144"/>
      <c r="V687" s="144"/>
      <c r="W687" s="144"/>
      <c r="X687" s="144"/>
      <c r="Y687" s="144"/>
      <c r="Z687" s="144"/>
      <c r="AA687" s="144"/>
      <c r="AB687" s="144"/>
      <c r="AC687" s="144"/>
      <c r="AD687" s="144"/>
      <c r="AE687" s="144"/>
      <c r="AF687" s="144"/>
    </row>
    <row r="688" ht="16.5" customHeight="1">
      <c r="A688" s="144"/>
      <c r="B688" s="144"/>
      <c r="C688" s="144"/>
      <c r="D688" s="144"/>
      <c r="E688" s="144"/>
      <c r="F688" s="144"/>
      <c r="G688" s="144"/>
      <c r="H688" s="144"/>
      <c r="I688" s="496"/>
      <c r="J688" s="496"/>
      <c r="K688" s="496"/>
      <c r="L688" s="496"/>
      <c r="M688" s="144"/>
      <c r="N688" s="144"/>
      <c r="O688" s="144"/>
      <c r="P688" s="144"/>
      <c r="Q688" s="144"/>
      <c r="R688" s="144"/>
      <c r="S688" s="144"/>
      <c r="T688" s="144"/>
      <c r="U688" s="144"/>
      <c r="V688" s="144"/>
      <c r="W688" s="144"/>
      <c r="X688" s="144"/>
      <c r="Y688" s="144"/>
      <c r="Z688" s="144"/>
      <c r="AA688" s="144"/>
      <c r="AB688" s="144"/>
      <c r="AC688" s="144"/>
      <c r="AD688" s="144"/>
      <c r="AE688" s="144"/>
      <c r="AF688" s="144"/>
    </row>
    <row r="689" ht="16.5" customHeight="1">
      <c r="A689" s="144"/>
      <c r="B689" s="144"/>
      <c r="C689" s="144"/>
      <c r="D689" s="144"/>
      <c r="E689" s="144"/>
      <c r="F689" s="144"/>
      <c r="G689" s="144"/>
      <c r="H689" s="144"/>
      <c r="I689" s="496"/>
      <c r="J689" s="496"/>
      <c r="K689" s="496"/>
      <c r="L689" s="496"/>
      <c r="M689" s="144"/>
      <c r="N689" s="144"/>
      <c r="O689" s="144"/>
      <c r="P689" s="144"/>
      <c r="Q689" s="144"/>
      <c r="R689" s="144"/>
      <c r="S689" s="144"/>
      <c r="T689" s="144"/>
      <c r="U689" s="144"/>
      <c r="V689" s="144"/>
      <c r="W689" s="144"/>
      <c r="X689" s="144"/>
      <c r="Y689" s="144"/>
      <c r="Z689" s="144"/>
      <c r="AA689" s="144"/>
      <c r="AB689" s="144"/>
      <c r="AC689" s="144"/>
      <c r="AD689" s="144"/>
      <c r="AE689" s="144"/>
      <c r="AF689" s="144"/>
    </row>
    <row r="690" ht="16.5" customHeight="1">
      <c r="A690" s="144"/>
      <c r="B690" s="144"/>
      <c r="C690" s="144"/>
      <c r="D690" s="144"/>
      <c r="E690" s="144"/>
      <c r="F690" s="144"/>
      <c r="G690" s="144"/>
      <c r="H690" s="144"/>
      <c r="I690" s="496"/>
      <c r="J690" s="496"/>
      <c r="K690" s="496"/>
      <c r="L690" s="496"/>
      <c r="M690" s="144"/>
      <c r="N690" s="144"/>
      <c r="O690" s="144"/>
      <c r="P690" s="144"/>
      <c r="Q690" s="144"/>
      <c r="R690" s="144"/>
      <c r="S690" s="144"/>
      <c r="T690" s="144"/>
      <c r="U690" s="144"/>
      <c r="V690" s="144"/>
      <c r="W690" s="144"/>
      <c r="X690" s="144"/>
      <c r="Y690" s="144"/>
      <c r="Z690" s="144"/>
      <c r="AA690" s="144"/>
      <c r="AB690" s="144"/>
      <c r="AC690" s="144"/>
      <c r="AD690" s="144"/>
      <c r="AE690" s="144"/>
      <c r="AF690" s="144"/>
    </row>
    <row r="691" ht="16.5" customHeight="1">
      <c r="A691" s="144"/>
      <c r="B691" s="144"/>
      <c r="C691" s="144"/>
      <c r="D691" s="144"/>
      <c r="E691" s="144"/>
      <c r="F691" s="144"/>
      <c r="G691" s="144"/>
      <c r="H691" s="144"/>
      <c r="I691" s="496"/>
      <c r="J691" s="496"/>
      <c r="K691" s="496"/>
      <c r="L691" s="496"/>
      <c r="M691" s="144"/>
      <c r="N691" s="144"/>
      <c r="O691" s="144"/>
      <c r="P691" s="144"/>
      <c r="Q691" s="144"/>
      <c r="R691" s="144"/>
      <c r="S691" s="144"/>
      <c r="T691" s="144"/>
      <c r="U691" s="144"/>
      <c r="V691" s="144"/>
      <c r="W691" s="144"/>
      <c r="X691" s="144"/>
      <c r="Y691" s="144"/>
      <c r="Z691" s="144"/>
      <c r="AA691" s="144"/>
      <c r="AB691" s="144"/>
      <c r="AC691" s="144"/>
      <c r="AD691" s="144"/>
      <c r="AE691" s="144"/>
      <c r="AF691" s="144"/>
    </row>
    <row r="692" ht="16.5" customHeight="1">
      <c r="A692" s="144"/>
      <c r="B692" s="144"/>
      <c r="C692" s="144"/>
      <c r="D692" s="144"/>
      <c r="E692" s="144"/>
      <c r="F692" s="144"/>
      <c r="G692" s="144"/>
      <c r="H692" s="144"/>
      <c r="I692" s="496"/>
      <c r="J692" s="496"/>
      <c r="K692" s="496"/>
      <c r="L692" s="496"/>
      <c r="M692" s="144"/>
      <c r="N692" s="144"/>
      <c r="O692" s="144"/>
      <c r="P692" s="144"/>
      <c r="Q692" s="144"/>
      <c r="R692" s="144"/>
      <c r="S692" s="144"/>
      <c r="T692" s="144"/>
      <c r="U692" s="144"/>
      <c r="V692" s="144"/>
      <c r="W692" s="144"/>
      <c r="X692" s="144"/>
      <c r="Y692" s="144"/>
      <c r="Z692" s="144"/>
      <c r="AA692" s="144"/>
      <c r="AB692" s="144"/>
      <c r="AC692" s="144"/>
      <c r="AD692" s="144"/>
      <c r="AE692" s="144"/>
      <c r="AF692" s="144"/>
    </row>
    <row r="693" ht="16.5" customHeight="1">
      <c r="A693" s="144"/>
      <c r="B693" s="144"/>
      <c r="C693" s="144"/>
      <c r="D693" s="144"/>
      <c r="E693" s="144"/>
      <c r="F693" s="144"/>
      <c r="G693" s="144"/>
      <c r="H693" s="144"/>
      <c r="I693" s="496"/>
      <c r="J693" s="496"/>
      <c r="K693" s="496"/>
      <c r="L693" s="496"/>
      <c r="M693" s="144"/>
      <c r="N693" s="144"/>
      <c r="O693" s="144"/>
      <c r="P693" s="144"/>
      <c r="Q693" s="144"/>
      <c r="R693" s="144"/>
      <c r="S693" s="144"/>
      <c r="T693" s="144"/>
      <c r="U693" s="144"/>
      <c r="V693" s="144"/>
      <c r="W693" s="144"/>
      <c r="X693" s="144"/>
      <c r="Y693" s="144"/>
      <c r="Z693" s="144"/>
      <c r="AA693" s="144"/>
      <c r="AB693" s="144"/>
      <c r="AC693" s="144"/>
      <c r="AD693" s="144"/>
      <c r="AE693" s="144"/>
      <c r="AF693" s="144"/>
    </row>
    <row r="694" ht="16.5" customHeight="1">
      <c r="A694" s="144"/>
      <c r="B694" s="144"/>
      <c r="C694" s="144"/>
      <c r="D694" s="144"/>
      <c r="E694" s="144"/>
      <c r="F694" s="144"/>
      <c r="G694" s="144"/>
      <c r="H694" s="144"/>
      <c r="I694" s="496"/>
      <c r="J694" s="496"/>
      <c r="K694" s="496"/>
      <c r="L694" s="496"/>
      <c r="M694" s="144"/>
      <c r="N694" s="144"/>
      <c r="O694" s="144"/>
      <c r="P694" s="144"/>
      <c r="Q694" s="144"/>
      <c r="R694" s="144"/>
      <c r="S694" s="144"/>
      <c r="T694" s="144"/>
      <c r="U694" s="144"/>
      <c r="V694" s="144"/>
      <c r="W694" s="144"/>
      <c r="X694" s="144"/>
      <c r="Y694" s="144"/>
      <c r="Z694" s="144"/>
      <c r="AA694" s="144"/>
      <c r="AB694" s="144"/>
      <c r="AC694" s="144"/>
      <c r="AD694" s="144"/>
      <c r="AE694" s="144"/>
      <c r="AF694" s="144"/>
    </row>
    <row r="695" ht="16.5" customHeight="1">
      <c r="A695" s="144"/>
      <c r="B695" s="144"/>
      <c r="C695" s="144"/>
      <c r="D695" s="144"/>
      <c r="E695" s="144"/>
      <c r="F695" s="144"/>
      <c r="G695" s="144"/>
      <c r="H695" s="144"/>
      <c r="I695" s="496"/>
      <c r="J695" s="496"/>
      <c r="K695" s="496"/>
      <c r="L695" s="496"/>
      <c r="M695" s="144"/>
      <c r="N695" s="144"/>
      <c r="O695" s="144"/>
      <c r="P695" s="144"/>
      <c r="Q695" s="144"/>
      <c r="R695" s="144"/>
      <c r="S695" s="144"/>
      <c r="T695" s="144"/>
      <c r="U695" s="144"/>
      <c r="V695" s="144"/>
      <c r="W695" s="144"/>
      <c r="X695" s="144"/>
      <c r="Y695" s="144"/>
      <c r="Z695" s="144"/>
      <c r="AA695" s="144"/>
      <c r="AB695" s="144"/>
      <c r="AC695" s="144"/>
      <c r="AD695" s="144"/>
      <c r="AE695" s="144"/>
      <c r="AF695" s="144"/>
    </row>
    <row r="696" ht="16.5" customHeight="1">
      <c r="A696" s="144"/>
      <c r="B696" s="144"/>
      <c r="C696" s="144"/>
      <c r="D696" s="144"/>
      <c r="E696" s="144"/>
      <c r="F696" s="144"/>
      <c r="G696" s="144"/>
      <c r="H696" s="144"/>
      <c r="I696" s="496"/>
      <c r="J696" s="496"/>
      <c r="K696" s="496"/>
      <c r="L696" s="496"/>
      <c r="M696" s="144"/>
      <c r="N696" s="144"/>
      <c r="O696" s="144"/>
      <c r="P696" s="144"/>
      <c r="Q696" s="144"/>
      <c r="R696" s="144"/>
      <c r="S696" s="144"/>
      <c r="T696" s="144"/>
      <c r="U696" s="144"/>
      <c r="V696" s="144"/>
      <c r="W696" s="144"/>
      <c r="X696" s="144"/>
      <c r="Y696" s="144"/>
      <c r="Z696" s="144"/>
      <c r="AA696" s="144"/>
      <c r="AB696" s="144"/>
      <c r="AC696" s="144"/>
      <c r="AD696" s="144"/>
      <c r="AE696" s="144"/>
      <c r="AF696" s="144"/>
    </row>
    <row r="697" ht="16.5" customHeight="1">
      <c r="A697" s="144"/>
      <c r="B697" s="144"/>
      <c r="C697" s="144"/>
      <c r="D697" s="144"/>
      <c r="E697" s="144"/>
      <c r="F697" s="144"/>
      <c r="G697" s="144"/>
      <c r="H697" s="144"/>
      <c r="I697" s="496"/>
      <c r="J697" s="496"/>
      <c r="K697" s="496"/>
      <c r="L697" s="496"/>
      <c r="M697" s="144"/>
      <c r="N697" s="144"/>
      <c r="O697" s="144"/>
      <c r="P697" s="144"/>
      <c r="Q697" s="144"/>
      <c r="R697" s="144"/>
      <c r="S697" s="144"/>
      <c r="T697" s="144"/>
      <c r="U697" s="144"/>
      <c r="V697" s="144"/>
      <c r="W697" s="144"/>
      <c r="X697" s="144"/>
      <c r="Y697" s="144"/>
      <c r="Z697" s="144"/>
      <c r="AA697" s="144"/>
      <c r="AB697" s="144"/>
      <c r="AC697" s="144"/>
      <c r="AD697" s="144"/>
      <c r="AE697" s="144"/>
      <c r="AF697" s="144"/>
    </row>
    <row r="698" ht="16.5" customHeight="1">
      <c r="A698" s="144"/>
      <c r="B698" s="144"/>
      <c r="C698" s="144"/>
      <c r="D698" s="144"/>
      <c r="E698" s="144"/>
      <c r="F698" s="144"/>
      <c r="G698" s="144"/>
      <c r="H698" s="144"/>
      <c r="I698" s="496"/>
      <c r="J698" s="496"/>
      <c r="K698" s="496"/>
      <c r="L698" s="496"/>
      <c r="M698" s="144"/>
      <c r="N698" s="144"/>
      <c r="O698" s="144"/>
      <c r="P698" s="144"/>
      <c r="Q698" s="144"/>
      <c r="R698" s="144"/>
      <c r="S698" s="144"/>
      <c r="T698" s="144"/>
      <c r="U698" s="144"/>
      <c r="V698" s="144"/>
      <c r="W698" s="144"/>
      <c r="X698" s="144"/>
      <c r="Y698" s="144"/>
      <c r="Z698" s="144"/>
      <c r="AA698" s="144"/>
      <c r="AB698" s="144"/>
      <c r="AC698" s="144"/>
      <c r="AD698" s="144"/>
      <c r="AE698" s="144"/>
      <c r="AF698" s="144"/>
    </row>
    <row r="699" ht="16.5" customHeight="1">
      <c r="A699" s="144"/>
      <c r="B699" s="144"/>
      <c r="C699" s="144"/>
      <c r="D699" s="144"/>
      <c r="E699" s="144"/>
      <c r="F699" s="144"/>
      <c r="G699" s="144"/>
      <c r="H699" s="144"/>
      <c r="I699" s="496"/>
      <c r="J699" s="496"/>
      <c r="K699" s="496"/>
      <c r="L699" s="496"/>
      <c r="M699" s="144"/>
      <c r="N699" s="144"/>
      <c r="O699" s="144"/>
      <c r="P699" s="144"/>
      <c r="Q699" s="144"/>
      <c r="R699" s="144"/>
      <c r="S699" s="144"/>
      <c r="T699" s="144"/>
      <c r="U699" s="144"/>
      <c r="V699" s="144"/>
      <c r="W699" s="144"/>
      <c r="X699" s="144"/>
      <c r="Y699" s="144"/>
      <c r="Z699" s="144"/>
      <c r="AA699" s="144"/>
      <c r="AB699" s="144"/>
      <c r="AC699" s="144"/>
      <c r="AD699" s="144"/>
      <c r="AE699" s="144"/>
      <c r="AF699" s="144"/>
    </row>
    <row r="700" ht="16.5" customHeight="1">
      <c r="A700" s="144"/>
      <c r="B700" s="144"/>
      <c r="C700" s="144"/>
      <c r="D700" s="144"/>
      <c r="E700" s="144"/>
      <c r="F700" s="144"/>
      <c r="G700" s="144"/>
      <c r="H700" s="144"/>
      <c r="I700" s="496"/>
      <c r="J700" s="496"/>
      <c r="K700" s="496"/>
      <c r="L700" s="496"/>
      <c r="M700" s="144"/>
      <c r="N700" s="144"/>
      <c r="O700" s="144"/>
      <c r="P700" s="144"/>
      <c r="Q700" s="144"/>
      <c r="R700" s="144"/>
      <c r="S700" s="144"/>
      <c r="T700" s="144"/>
      <c r="U700" s="144"/>
      <c r="V700" s="144"/>
      <c r="W700" s="144"/>
      <c r="X700" s="144"/>
      <c r="Y700" s="144"/>
      <c r="Z700" s="144"/>
      <c r="AA700" s="144"/>
      <c r="AB700" s="144"/>
      <c r="AC700" s="144"/>
      <c r="AD700" s="144"/>
      <c r="AE700" s="144"/>
      <c r="AF700" s="144"/>
    </row>
    <row r="701" ht="16.5" customHeight="1">
      <c r="A701" s="144"/>
      <c r="B701" s="144"/>
      <c r="C701" s="144"/>
      <c r="D701" s="144"/>
      <c r="E701" s="144"/>
      <c r="F701" s="144"/>
      <c r="G701" s="144"/>
      <c r="H701" s="144"/>
      <c r="I701" s="496"/>
      <c r="J701" s="496"/>
      <c r="K701" s="496"/>
      <c r="L701" s="496"/>
      <c r="M701" s="144"/>
      <c r="N701" s="144"/>
      <c r="O701" s="144"/>
      <c r="P701" s="144"/>
      <c r="Q701" s="144"/>
      <c r="R701" s="144"/>
      <c r="S701" s="144"/>
      <c r="T701" s="144"/>
      <c r="U701" s="144"/>
      <c r="V701" s="144"/>
      <c r="W701" s="144"/>
      <c r="X701" s="144"/>
      <c r="Y701" s="144"/>
      <c r="Z701" s="144"/>
      <c r="AA701" s="144"/>
      <c r="AB701" s="144"/>
      <c r="AC701" s="144"/>
      <c r="AD701" s="144"/>
      <c r="AE701" s="144"/>
      <c r="AF701" s="144"/>
    </row>
    <row r="702" ht="16.5" customHeight="1">
      <c r="A702" s="144"/>
      <c r="B702" s="144"/>
      <c r="C702" s="144"/>
      <c r="D702" s="144"/>
      <c r="E702" s="144"/>
      <c r="F702" s="144"/>
      <c r="G702" s="144"/>
      <c r="H702" s="144"/>
      <c r="I702" s="496"/>
      <c r="J702" s="496"/>
      <c r="K702" s="496"/>
      <c r="L702" s="496"/>
      <c r="M702" s="144"/>
      <c r="N702" s="144"/>
      <c r="O702" s="144"/>
      <c r="P702" s="144"/>
      <c r="Q702" s="144"/>
      <c r="R702" s="144"/>
      <c r="S702" s="144"/>
      <c r="T702" s="144"/>
      <c r="U702" s="144"/>
      <c r="V702" s="144"/>
      <c r="W702" s="144"/>
      <c r="X702" s="144"/>
      <c r="Y702" s="144"/>
      <c r="Z702" s="144"/>
      <c r="AA702" s="144"/>
      <c r="AB702" s="144"/>
      <c r="AC702" s="144"/>
      <c r="AD702" s="144"/>
      <c r="AE702" s="144"/>
      <c r="AF702" s="144"/>
    </row>
    <row r="703" ht="16.5" customHeight="1">
      <c r="A703" s="144"/>
      <c r="B703" s="144"/>
      <c r="C703" s="144"/>
      <c r="D703" s="144"/>
      <c r="E703" s="144"/>
      <c r="F703" s="144"/>
      <c r="G703" s="144"/>
      <c r="H703" s="144"/>
      <c r="I703" s="496"/>
      <c r="J703" s="496"/>
      <c r="K703" s="496"/>
      <c r="L703" s="496"/>
      <c r="M703" s="144"/>
      <c r="N703" s="144"/>
      <c r="O703" s="144"/>
      <c r="P703" s="144"/>
      <c r="Q703" s="144"/>
      <c r="R703" s="144"/>
      <c r="S703" s="144"/>
      <c r="T703" s="144"/>
      <c r="U703" s="144"/>
      <c r="V703" s="144"/>
      <c r="W703" s="144"/>
      <c r="X703" s="144"/>
      <c r="Y703" s="144"/>
      <c r="Z703" s="144"/>
      <c r="AA703" s="144"/>
      <c r="AB703" s="144"/>
      <c r="AC703" s="144"/>
      <c r="AD703" s="144"/>
      <c r="AE703" s="144"/>
      <c r="AF703" s="144"/>
    </row>
    <row r="704" ht="16.5" customHeight="1">
      <c r="A704" s="144"/>
      <c r="B704" s="144"/>
      <c r="C704" s="144"/>
      <c r="D704" s="144"/>
      <c r="E704" s="144"/>
      <c r="F704" s="144"/>
      <c r="G704" s="144"/>
      <c r="H704" s="144"/>
      <c r="I704" s="496"/>
      <c r="J704" s="496"/>
      <c r="K704" s="496"/>
      <c r="L704" s="496"/>
      <c r="M704" s="144"/>
      <c r="N704" s="144"/>
      <c r="O704" s="144"/>
      <c r="P704" s="144"/>
      <c r="Q704" s="144"/>
      <c r="R704" s="144"/>
      <c r="S704" s="144"/>
      <c r="T704" s="144"/>
      <c r="U704" s="144"/>
      <c r="V704" s="144"/>
      <c r="W704" s="144"/>
      <c r="X704" s="144"/>
      <c r="Y704" s="144"/>
      <c r="Z704" s="144"/>
      <c r="AA704" s="144"/>
      <c r="AB704" s="144"/>
      <c r="AC704" s="144"/>
      <c r="AD704" s="144"/>
      <c r="AE704" s="144"/>
      <c r="AF704" s="144"/>
    </row>
    <row r="705" ht="16.5" customHeight="1">
      <c r="A705" s="144"/>
      <c r="B705" s="144"/>
      <c r="C705" s="144"/>
      <c r="D705" s="144"/>
      <c r="E705" s="144"/>
      <c r="F705" s="144"/>
      <c r="G705" s="144"/>
      <c r="H705" s="144"/>
      <c r="I705" s="496"/>
      <c r="J705" s="496"/>
      <c r="K705" s="496"/>
      <c r="L705" s="496"/>
      <c r="M705" s="144"/>
      <c r="N705" s="144"/>
      <c r="O705" s="144"/>
      <c r="P705" s="144"/>
      <c r="Q705" s="144"/>
      <c r="R705" s="144"/>
      <c r="S705" s="144"/>
      <c r="T705" s="144"/>
      <c r="U705" s="144"/>
      <c r="V705" s="144"/>
      <c r="W705" s="144"/>
      <c r="X705" s="144"/>
      <c r="Y705" s="144"/>
      <c r="Z705" s="144"/>
      <c r="AA705" s="144"/>
      <c r="AB705" s="144"/>
      <c r="AC705" s="144"/>
      <c r="AD705" s="144"/>
      <c r="AE705" s="144"/>
      <c r="AF705" s="144"/>
    </row>
    <row r="706" ht="16.5" customHeight="1">
      <c r="A706" s="144"/>
      <c r="B706" s="144"/>
      <c r="C706" s="144"/>
      <c r="D706" s="144"/>
      <c r="E706" s="144"/>
      <c r="F706" s="144"/>
      <c r="G706" s="144"/>
      <c r="H706" s="144"/>
      <c r="I706" s="496"/>
      <c r="J706" s="496"/>
      <c r="K706" s="496"/>
      <c r="L706" s="496"/>
      <c r="M706" s="144"/>
      <c r="N706" s="144"/>
      <c r="O706" s="144"/>
      <c r="P706" s="144"/>
      <c r="Q706" s="144"/>
      <c r="R706" s="144"/>
      <c r="S706" s="144"/>
      <c r="T706" s="144"/>
      <c r="U706" s="144"/>
      <c r="V706" s="144"/>
      <c r="W706" s="144"/>
      <c r="X706" s="144"/>
      <c r="Y706" s="144"/>
      <c r="Z706" s="144"/>
      <c r="AA706" s="144"/>
      <c r="AB706" s="144"/>
      <c r="AC706" s="144"/>
      <c r="AD706" s="144"/>
      <c r="AE706" s="144"/>
      <c r="AF706" s="144"/>
    </row>
    <row r="707" ht="16.5" customHeight="1">
      <c r="A707" s="144"/>
      <c r="B707" s="144"/>
      <c r="C707" s="144"/>
      <c r="D707" s="144"/>
      <c r="E707" s="144"/>
      <c r="F707" s="144"/>
      <c r="G707" s="144"/>
      <c r="H707" s="144"/>
      <c r="I707" s="496"/>
      <c r="J707" s="496"/>
      <c r="K707" s="496"/>
      <c r="L707" s="496"/>
      <c r="M707" s="144"/>
      <c r="N707" s="144"/>
      <c r="O707" s="144"/>
      <c r="P707" s="144"/>
      <c r="Q707" s="144"/>
      <c r="R707" s="144"/>
      <c r="S707" s="144"/>
      <c r="T707" s="144"/>
      <c r="U707" s="144"/>
      <c r="V707" s="144"/>
      <c r="W707" s="144"/>
      <c r="X707" s="144"/>
      <c r="Y707" s="144"/>
      <c r="Z707" s="144"/>
      <c r="AA707" s="144"/>
      <c r="AB707" s="144"/>
      <c r="AC707" s="144"/>
      <c r="AD707" s="144"/>
      <c r="AE707" s="144"/>
      <c r="AF707" s="144"/>
    </row>
    <row r="708" ht="16.5" customHeight="1">
      <c r="A708" s="144"/>
      <c r="B708" s="144"/>
      <c r="C708" s="144"/>
      <c r="D708" s="144"/>
      <c r="E708" s="144"/>
      <c r="F708" s="144"/>
      <c r="G708" s="144"/>
      <c r="H708" s="144"/>
      <c r="I708" s="496"/>
      <c r="J708" s="496"/>
      <c r="K708" s="496"/>
      <c r="L708" s="496"/>
      <c r="M708" s="144"/>
      <c r="N708" s="144"/>
      <c r="O708" s="144"/>
      <c r="P708" s="144"/>
      <c r="Q708" s="144"/>
      <c r="R708" s="144"/>
      <c r="S708" s="144"/>
      <c r="T708" s="144"/>
      <c r="U708" s="144"/>
      <c r="V708" s="144"/>
      <c r="W708" s="144"/>
      <c r="X708" s="144"/>
      <c r="Y708" s="144"/>
      <c r="Z708" s="144"/>
      <c r="AA708" s="144"/>
      <c r="AB708" s="144"/>
      <c r="AC708" s="144"/>
      <c r="AD708" s="144"/>
      <c r="AE708" s="144"/>
      <c r="AF708" s="144"/>
    </row>
    <row r="709" ht="16.5" customHeight="1">
      <c r="A709" s="144"/>
      <c r="B709" s="144"/>
      <c r="C709" s="144"/>
      <c r="D709" s="144"/>
      <c r="E709" s="144"/>
      <c r="F709" s="144"/>
      <c r="G709" s="144"/>
      <c r="H709" s="144"/>
      <c r="I709" s="496"/>
      <c r="J709" s="496"/>
      <c r="K709" s="496"/>
      <c r="L709" s="496"/>
      <c r="M709" s="144"/>
      <c r="N709" s="144"/>
      <c r="O709" s="144"/>
      <c r="P709" s="144"/>
      <c r="Q709" s="144"/>
      <c r="R709" s="144"/>
      <c r="S709" s="144"/>
      <c r="T709" s="144"/>
      <c r="U709" s="144"/>
      <c r="V709" s="144"/>
      <c r="W709" s="144"/>
      <c r="X709" s="144"/>
      <c r="Y709" s="144"/>
      <c r="Z709" s="144"/>
      <c r="AA709" s="144"/>
      <c r="AB709" s="144"/>
      <c r="AC709" s="144"/>
      <c r="AD709" s="144"/>
      <c r="AE709" s="144"/>
      <c r="AF709" s="144"/>
    </row>
    <row r="710" ht="16.5" customHeight="1">
      <c r="A710" s="144"/>
      <c r="B710" s="144"/>
      <c r="C710" s="144"/>
      <c r="D710" s="144"/>
      <c r="E710" s="144"/>
      <c r="F710" s="144"/>
      <c r="G710" s="144"/>
      <c r="H710" s="144"/>
      <c r="I710" s="496"/>
      <c r="J710" s="496"/>
      <c r="K710" s="496"/>
      <c r="L710" s="496"/>
      <c r="M710" s="144"/>
      <c r="N710" s="144"/>
      <c r="O710" s="144"/>
      <c r="P710" s="144"/>
      <c r="Q710" s="144"/>
      <c r="R710" s="144"/>
      <c r="S710" s="144"/>
      <c r="T710" s="144"/>
      <c r="U710" s="144"/>
      <c r="V710" s="144"/>
      <c r="W710" s="144"/>
      <c r="X710" s="144"/>
      <c r="Y710" s="144"/>
      <c r="Z710" s="144"/>
      <c r="AA710" s="144"/>
      <c r="AB710" s="144"/>
      <c r="AC710" s="144"/>
      <c r="AD710" s="144"/>
      <c r="AE710" s="144"/>
      <c r="AF710" s="144"/>
    </row>
    <row r="711" ht="16.5" customHeight="1">
      <c r="A711" s="144"/>
      <c r="B711" s="144"/>
      <c r="C711" s="144"/>
      <c r="D711" s="144"/>
      <c r="E711" s="144"/>
      <c r="F711" s="144"/>
      <c r="G711" s="144"/>
      <c r="H711" s="144"/>
      <c r="I711" s="496"/>
      <c r="J711" s="496"/>
      <c r="K711" s="496"/>
      <c r="L711" s="496"/>
      <c r="M711" s="144"/>
      <c r="N711" s="144"/>
      <c r="O711" s="144"/>
      <c r="P711" s="144"/>
      <c r="Q711" s="144"/>
      <c r="R711" s="144"/>
      <c r="S711" s="144"/>
      <c r="T711" s="144"/>
      <c r="U711" s="144"/>
      <c r="V711" s="144"/>
      <c r="W711" s="144"/>
      <c r="X711" s="144"/>
      <c r="Y711" s="144"/>
      <c r="Z711" s="144"/>
      <c r="AA711" s="144"/>
      <c r="AB711" s="144"/>
      <c r="AC711" s="144"/>
      <c r="AD711" s="144"/>
      <c r="AE711" s="144"/>
      <c r="AF711" s="144"/>
    </row>
    <row r="712" ht="16.5" customHeight="1">
      <c r="A712" s="144"/>
      <c r="B712" s="144"/>
      <c r="C712" s="144"/>
      <c r="D712" s="144"/>
      <c r="E712" s="144"/>
      <c r="F712" s="144"/>
      <c r="G712" s="144"/>
      <c r="H712" s="144"/>
      <c r="I712" s="496"/>
      <c r="J712" s="496"/>
      <c r="K712" s="496"/>
      <c r="L712" s="496"/>
      <c r="M712" s="144"/>
      <c r="N712" s="144"/>
      <c r="O712" s="144"/>
      <c r="P712" s="144"/>
      <c r="Q712" s="144"/>
      <c r="R712" s="144"/>
      <c r="S712" s="144"/>
      <c r="T712" s="144"/>
      <c r="U712" s="144"/>
      <c r="V712" s="144"/>
      <c r="W712" s="144"/>
      <c r="X712" s="144"/>
      <c r="Y712" s="144"/>
      <c r="Z712" s="144"/>
      <c r="AA712" s="144"/>
      <c r="AB712" s="144"/>
      <c r="AC712" s="144"/>
      <c r="AD712" s="144"/>
      <c r="AE712" s="144"/>
      <c r="AF712" s="144"/>
    </row>
    <row r="713" ht="16.5" customHeight="1">
      <c r="A713" s="144"/>
      <c r="B713" s="144"/>
      <c r="C713" s="144"/>
      <c r="D713" s="144"/>
      <c r="E713" s="144"/>
      <c r="F713" s="144"/>
      <c r="G713" s="144"/>
      <c r="H713" s="144"/>
      <c r="I713" s="496"/>
      <c r="J713" s="496"/>
      <c r="K713" s="496"/>
      <c r="L713" s="496"/>
      <c r="M713" s="144"/>
      <c r="N713" s="144"/>
      <c r="O713" s="144"/>
      <c r="P713" s="144"/>
      <c r="Q713" s="144"/>
      <c r="R713" s="144"/>
      <c r="S713" s="144"/>
      <c r="T713" s="144"/>
      <c r="U713" s="144"/>
      <c r="V713" s="144"/>
      <c r="W713" s="144"/>
      <c r="X713" s="144"/>
      <c r="Y713" s="144"/>
      <c r="Z713" s="144"/>
      <c r="AA713" s="144"/>
      <c r="AB713" s="144"/>
      <c r="AC713" s="144"/>
      <c r="AD713" s="144"/>
      <c r="AE713" s="144"/>
      <c r="AF713" s="144"/>
    </row>
    <row r="714" ht="16.5" customHeight="1">
      <c r="A714" s="144"/>
      <c r="B714" s="144"/>
      <c r="C714" s="144"/>
      <c r="D714" s="144"/>
      <c r="E714" s="144"/>
      <c r="F714" s="144"/>
      <c r="G714" s="144"/>
      <c r="H714" s="144"/>
      <c r="I714" s="496"/>
      <c r="J714" s="496"/>
      <c r="K714" s="496"/>
      <c r="L714" s="496"/>
      <c r="M714" s="144"/>
      <c r="N714" s="144"/>
      <c r="O714" s="144"/>
      <c r="P714" s="144"/>
      <c r="Q714" s="144"/>
      <c r="R714" s="144"/>
      <c r="S714" s="144"/>
      <c r="T714" s="144"/>
      <c r="U714" s="144"/>
      <c r="V714" s="144"/>
      <c r="W714" s="144"/>
      <c r="X714" s="144"/>
      <c r="Y714" s="144"/>
      <c r="Z714" s="144"/>
      <c r="AA714" s="144"/>
      <c r="AB714" s="144"/>
      <c r="AC714" s="144"/>
      <c r="AD714" s="144"/>
      <c r="AE714" s="144"/>
      <c r="AF714" s="144"/>
    </row>
    <row r="715" ht="16.5" customHeight="1">
      <c r="A715" s="144"/>
      <c r="B715" s="144"/>
      <c r="C715" s="144"/>
      <c r="D715" s="144"/>
      <c r="E715" s="144"/>
      <c r="F715" s="144"/>
      <c r="G715" s="144"/>
      <c r="H715" s="144"/>
      <c r="I715" s="496"/>
      <c r="J715" s="496"/>
      <c r="K715" s="496"/>
      <c r="L715" s="496"/>
      <c r="M715" s="144"/>
      <c r="N715" s="144"/>
      <c r="O715" s="144"/>
      <c r="P715" s="144"/>
      <c r="Q715" s="144"/>
      <c r="R715" s="144"/>
      <c r="S715" s="144"/>
      <c r="T715" s="144"/>
      <c r="U715" s="144"/>
      <c r="V715" s="144"/>
      <c r="W715" s="144"/>
      <c r="X715" s="144"/>
      <c r="Y715" s="144"/>
      <c r="Z715" s="144"/>
      <c r="AA715" s="144"/>
      <c r="AB715" s="144"/>
      <c r="AC715" s="144"/>
      <c r="AD715" s="144"/>
      <c r="AE715" s="144"/>
      <c r="AF715" s="144"/>
    </row>
    <row r="716" ht="16.5" customHeight="1">
      <c r="A716" s="144"/>
      <c r="B716" s="144"/>
      <c r="C716" s="144"/>
      <c r="D716" s="144"/>
      <c r="E716" s="144"/>
      <c r="F716" s="144"/>
      <c r="G716" s="144"/>
      <c r="H716" s="144"/>
      <c r="I716" s="496"/>
      <c r="J716" s="496"/>
      <c r="K716" s="496"/>
      <c r="L716" s="496"/>
      <c r="M716" s="144"/>
      <c r="N716" s="144"/>
      <c r="O716" s="144"/>
      <c r="P716" s="144"/>
      <c r="Q716" s="144"/>
      <c r="R716" s="144"/>
      <c r="S716" s="144"/>
      <c r="T716" s="144"/>
      <c r="U716" s="144"/>
      <c r="V716" s="144"/>
      <c r="W716" s="144"/>
      <c r="X716" s="144"/>
      <c r="Y716" s="144"/>
      <c r="Z716" s="144"/>
      <c r="AA716" s="144"/>
      <c r="AB716" s="144"/>
      <c r="AC716" s="144"/>
      <c r="AD716" s="144"/>
      <c r="AE716" s="144"/>
      <c r="AF716" s="144"/>
    </row>
    <row r="717" ht="16.5" customHeight="1">
      <c r="A717" s="144"/>
      <c r="B717" s="144"/>
      <c r="C717" s="144"/>
      <c r="D717" s="144"/>
      <c r="E717" s="144"/>
      <c r="F717" s="144"/>
      <c r="G717" s="144"/>
      <c r="H717" s="144"/>
      <c r="I717" s="496"/>
      <c r="J717" s="496"/>
      <c r="K717" s="496"/>
      <c r="L717" s="496"/>
      <c r="M717" s="144"/>
      <c r="N717" s="144"/>
      <c r="O717" s="144"/>
      <c r="P717" s="144"/>
      <c r="Q717" s="144"/>
      <c r="R717" s="144"/>
      <c r="S717" s="144"/>
      <c r="T717" s="144"/>
      <c r="U717" s="144"/>
      <c r="V717" s="144"/>
      <c r="W717" s="144"/>
      <c r="X717" s="144"/>
      <c r="Y717" s="144"/>
      <c r="Z717" s="144"/>
      <c r="AA717" s="144"/>
      <c r="AB717" s="144"/>
      <c r="AC717" s="144"/>
      <c r="AD717" s="144"/>
      <c r="AE717" s="144"/>
      <c r="AF717" s="144"/>
    </row>
    <row r="718" ht="16.5" customHeight="1">
      <c r="A718" s="144"/>
      <c r="B718" s="144"/>
      <c r="C718" s="144"/>
      <c r="D718" s="144"/>
      <c r="E718" s="144"/>
      <c r="F718" s="144"/>
      <c r="G718" s="144"/>
      <c r="H718" s="144"/>
      <c r="I718" s="496"/>
      <c r="J718" s="496"/>
      <c r="K718" s="496"/>
      <c r="L718" s="496"/>
      <c r="M718" s="144"/>
      <c r="N718" s="144"/>
      <c r="O718" s="144"/>
      <c r="P718" s="144"/>
      <c r="Q718" s="144"/>
      <c r="R718" s="144"/>
      <c r="S718" s="144"/>
      <c r="T718" s="144"/>
      <c r="U718" s="144"/>
      <c r="V718" s="144"/>
      <c r="W718" s="144"/>
      <c r="X718" s="144"/>
      <c r="Y718" s="144"/>
      <c r="Z718" s="144"/>
      <c r="AA718" s="144"/>
      <c r="AB718" s="144"/>
      <c r="AC718" s="144"/>
      <c r="AD718" s="144"/>
      <c r="AE718" s="144"/>
      <c r="AF718" s="144"/>
    </row>
    <row r="719" ht="16.5" customHeight="1">
      <c r="A719" s="144"/>
      <c r="B719" s="144"/>
      <c r="C719" s="144"/>
      <c r="D719" s="144"/>
      <c r="E719" s="144"/>
      <c r="F719" s="144"/>
      <c r="G719" s="144"/>
      <c r="H719" s="144"/>
      <c r="I719" s="496"/>
      <c r="J719" s="496"/>
      <c r="K719" s="496"/>
      <c r="L719" s="496"/>
      <c r="M719" s="144"/>
      <c r="N719" s="144"/>
      <c r="O719" s="144"/>
      <c r="P719" s="144"/>
      <c r="Q719" s="144"/>
      <c r="R719" s="144"/>
      <c r="S719" s="144"/>
      <c r="T719" s="144"/>
      <c r="U719" s="144"/>
      <c r="V719" s="144"/>
      <c r="W719" s="144"/>
      <c r="X719" s="144"/>
      <c r="Y719" s="144"/>
      <c r="Z719" s="144"/>
      <c r="AA719" s="144"/>
      <c r="AB719" s="144"/>
      <c r="AC719" s="144"/>
      <c r="AD719" s="144"/>
      <c r="AE719" s="144"/>
      <c r="AF719" s="144"/>
    </row>
    <row r="720" ht="16.5" customHeight="1">
      <c r="A720" s="144"/>
      <c r="B720" s="144"/>
      <c r="C720" s="144"/>
      <c r="D720" s="144"/>
      <c r="E720" s="144"/>
      <c r="F720" s="144"/>
      <c r="G720" s="144"/>
      <c r="H720" s="144"/>
      <c r="I720" s="496"/>
      <c r="J720" s="496"/>
      <c r="K720" s="496"/>
      <c r="L720" s="496"/>
      <c r="M720" s="144"/>
      <c r="N720" s="144"/>
      <c r="O720" s="144"/>
      <c r="P720" s="144"/>
      <c r="Q720" s="144"/>
      <c r="R720" s="144"/>
      <c r="S720" s="144"/>
      <c r="T720" s="144"/>
      <c r="U720" s="144"/>
      <c r="V720" s="144"/>
      <c r="W720" s="144"/>
      <c r="X720" s="144"/>
      <c r="Y720" s="144"/>
      <c r="Z720" s="144"/>
      <c r="AA720" s="144"/>
      <c r="AB720" s="144"/>
      <c r="AC720" s="144"/>
      <c r="AD720" s="144"/>
      <c r="AE720" s="144"/>
      <c r="AF720" s="144"/>
    </row>
    <row r="721" ht="16.5" customHeight="1">
      <c r="A721" s="144"/>
      <c r="B721" s="144"/>
      <c r="C721" s="144"/>
      <c r="D721" s="144"/>
      <c r="E721" s="144"/>
      <c r="F721" s="144"/>
      <c r="G721" s="144"/>
      <c r="H721" s="144"/>
      <c r="I721" s="496"/>
      <c r="J721" s="496"/>
      <c r="K721" s="496"/>
      <c r="L721" s="496"/>
      <c r="M721" s="144"/>
      <c r="N721" s="144"/>
      <c r="O721" s="144"/>
      <c r="P721" s="144"/>
      <c r="Q721" s="144"/>
      <c r="R721" s="144"/>
      <c r="S721" s="144"/>
      <c r="T721" s="144"/>
      <c r="U721" s="144"/>
      <c r="V721" s="144"/>
      <c r="W721" s="144"/>
      <c r="X721" s="144"/>
      <c r="Y721" s="144"/>
      <c r="Z721" s="144"/>
      <c r="AA721" s="144"/>
      <c r="AB721" s="144"/>
      <c r="AC721" s="144"/>
      <c r="AD721" s="144"/>
      <c r="AE721" s="144"/>
      <c r="AF721" s="144"/>
    </row>
    <row r="722" ht="16.5" customHeight="1">
      <c r="A722" s="144"/>
      <c r="B722" s="144"/>
      <c r="C722" s="144"/>
      <c r="D722" s="144"/>
      <c r="E722" s="144"/>
      <c r="F722" s="144"/>
      <c r="G722" s="144"/>
      <c r="H722" s="144"/>
      <c r="I722" s="496"/>
      <c r="J722" s="496"/>
      <c r="K722" s="496"/>
      <c r="L722" s="496"/>
      <c r="M722" s="144"/>
      <c r="N722" s="144"/>
      <c r="O722" s="144"/>
      <c r="P722" s="144"/>
      <c r="Q722" s="144"/>
      <c r="R722" s="144"/>
      <c r="S722" s="144"/>
      <c r="T722" s="144"/>
      <c r="U722" s="144"/>
      <c r="V722" s="144"/>
      <c r="W722" s="144"/>
      <c r="X722" s="144"/>
      <c r="Y722" s="144"/>
      <c r="Z722" s="144"/>
      <c r="AA722" s="144"/>
      <c r="AB722" s="144"/>
      <c r="AC722" s="144"/>
      <c r="AD722" s="144"/>
      <c r="AE722" s="144"/>
      <c r="AF722" s="144"/>
    </row>
    <row r="723" ht="16.5" customHeight="1">
      <c r="A723" s="144"/>
      <c r="B723" s="144"/>
      <c r="C723" s="144"/>
      <c r="D723" s="144"/>
      <c r="E723" s="144"/>
      <c r="F723" s="144"/>
      <c r="G723" s="144"/>
      <c r="H723" s="144"/>
      <c r="I723" s="496"/>
      <c r="J723" s="496"/>
      <c r="K723" s="496"/>
      <c r="L723" s="496"/>
      <c r="M723" s="144"/>
      <c r="N723" s="144"/>
      <c r="O723" s="144"/>
      <c r="P723" s="144"/>
      <c r="Q723" s="144"/>
      <c r="R723" s="144"/>
      <c r="S723" s="144"/>
      <c r="T723" s="144"/>
      <c r="U723" s="144"/>
      <c r="V723" s="144"/>
      <c r="W723" s="144"/>
      <c r="X723" s="144"/>
      <c r="Y723" s="144"/>
      <c r="Z723" s="144"/>
      <c r="AA723" s="144"/>
      <c r="AB723" s="144"/>
      <c r="AC723" s="144"/>
      <c r="AD723" s="144"/>
      <c r="AE723" s="144"/>
      <c r="AF723" s="144"/>
    </row>
    <row r="724" ht="16.5" customHeight="1">
      <c r="A724" s="144"/>
      <c r="B724" s="144"/>
      <c r="C724" s="144"/>
      <c r="D724" s="144"/>
      <c r="E724" s="144"/>
      <c r="F724" s="144"/>
      <c r="G724" s="144"/>
      <c r="H724" s="144"/>
      <c r="I724" s="496"/>
      <c r="J724" s="496"/>
      <c r="K724" s="496"/>
      <c r="L724" s="496"/>
      <c r="M724" s="144"/>
      <c r="N724" s="144"/>
      <c r="O724" s="144"/>
      <c r="P724" s="144"/>
      <c r="Q724" s="144"/>
      <c r="R724" s="144"/>
      <c r="S724" s="144"/>
      <c r="T724" s="144"/>
      <c r="U724" s="144"/>
      <c r="V724" s="144"/>
      <c r="W724" s="144"/>
      <c r="X724" s="144"/>
      <c r="Y724" s="144"/>
      <c r="Z724" s="144"/>
      <c r="AA724" s="144"/>
      <c r="AB724" s="144"/>
      <c r="AC724" s="144"/>
      <c r="AD724" s="144"/>
      <c r="AE724" s="144"/>
      <c r="AF724" s="144"/>
    </row>
    <row r="725" ht="16.5" customHeight="1">
      <c r="A725" s="144"/>
      <c r="B725" s="144"/>
      <c r="C725" s="144"/>
      <c r="D725" s="144"/>
      <c r="E725" s="144"/>
      <c r="F725" s="144"/>
      <c r="G725" s="144"/>
      <c r="H725" s="144"/>
      <c r="I725" s="496"/>
      <c r="J725" s="496"/>
      <c r="K725" s="496"/>
      <c r="L725" s="496"/>
      <c r="M725" s="144"/>
      <c r="N725" s="144"/>
      <c r="O725" s="144"/>
      <c r="P725" s="144"/>
      <c r="Q725" s="144"/>
      <c r="R725" s="144"/>
      <c r="S725" s="144"/>
      <c r="T725" s="144"/>
      <c r="U725" s="144"/>
      <c r="V725" s="144"/>
      <c r="W725" s="144"/>
      <c r="X725" s="144"/>
      <c r="Y725" s="144"/>
      <c r="Z725" s="144"/>
      <c r="AA725" s="144"/>
      <c r="AB725" s="144"/>
      <c r="AC725" s="144"/>
      <c r="AD725" s="144"/>
      <c r="AE725" s="144"/>
      <c r="AF725" s="144"/>
    </row>
    <row r="726" ht="16.5" customHeight="1">
      <c r="A726" s="144"/>
      <c r="B726" s="144"/>
      <c r="C726" s="144"/>
      <c r="D726" s="144"/>
      <c r="E726" s="144"/>
      <c r="F726" s="144"/>
      <c r="G726" s="144"/>
      <c r="H726" s="144"/>
      <c r="I726" s="496"/>
      <c r="J726" s="496"/>
      <c r="K726" s="496"/>
      <c r="L726" s="496"/>
      <c r="M726" s="144"/>
      <c r="N726" s="144"/>
      <c r="O726" s="144"/>
      <c r="P726" s="144"/>
      <c r="Q726" s="144"/>
      <c r="R726" s="144"/>
      <c r="S726" s="144"/>
      <c r="T726" s="144"/>
      <c r="U726" s="144"/>
      <c r="V726" s="144"/>
      <c r="W726" s="144"/>
      <c r="X726" s="144"/>
      <c r="Y726" s="144"/>
      <c r="Z726" s="144"/>
      <c r="AA726" s="144"/>
      <c r="AB726" s="144"/>
      <c r="AC726" s="144"/>
      <c r="AD726" s="144"/>
      <c r="AE726" s="144"/>
      <c r="AF726" s="144"/>
    </row>
    <row r="727" ht="16.5" customHeight="1">
      <c r="A727" s="144"/>
      <c r="B727" s="144"/>
      <c r="C727" s="144"/>
      <c r="D727" s="144"/>
      <c r="E727" s="144"/>
      <c r="F727" s="144"/>
      <c r="G727" s="144"/>
      <c r="H727" s="144"/>
      <c r="I727" s="496"/>
      <c r="J727" s="496"/>
      <c r="K727" s="496"/>
      <c r="L727" s="496"/>
      <c r="M727" s="144"/>
      <c r="N727" s="144"/>
      <c r="O727" s="144"/>
      <c r="P727" s="144"/>
      <c r="Q727" s="144"/>
      <c r="R727" s="144"/>
      <c r="S727" s="144"/>
      <c r="T727" s="144"/>
      <c r="U727" s="144"/>
      <c r="V727" s="144"/>
      <c r="W727" s="144"/>
      <c r="X727" s="144"/>
      <c r="Y727" s="144"/>
      <c r="Z727" s="144"/>
      <c r="AA727" s="144"/>
      <c r="AB727" s="144"/>
      <c r="AC727" s="144"/>
      <c r="AD727" s="144"/>
      <c r="AE727" s="144"/>
      <c r="AF727" s="144"/>
    </row>
    <row r="728" ht="16.5" customHeight="1">
      <c r="A728" s="144"/>
      <c r="B728" s="144"/>
      <c r="C728" s="144"/>
      <c r="D728" s="144"/>
      <c r="E728" s="144"/>
      <c r="F728" s="144"/>
      <c r="G728" s="144"/>
      <c r="H728" s="144"/>
      <c r="I728" s="496"/>
      <c r="J728" s="496"/>
      <c r="K728" s="496"/>
      <c r="L728" s="496"/>
      <c r="M728" s="144"/>
      <c r="N728" s="144"/>
      <c r="O728" s="144"/>
      <c r="P728" s="144"/>
      <c r="Q728" s="144"/>
      <c r="R728" s="144"/>
      <c r="S728" s="144"/>
      <c r="T728" s="144"/>
      <c r="U728" s="144"/>
      <c r="V728" s="144"/>
      <c r="W728" s="144"/>
      <c r="X728" s="144"/>
      <c r="Y728" s="144"/>
      <c r="Z728" s="144"/>
      <c r="AA728" s="144"/>
      <c r="AB728" s="144"/>
      <c r="AC728" s="144"/>
      <c r="AD728" s="144"/>
      <c r="AE728" s="144"/>
      <c r="AF728" s="144"/>
    </row>
    <row r="729" ht="16.5" customHeight="1">
      <c r="A729" s="144"/>
      <c r="B729" s="144"/>
      <c r="C729" s="144"/>
      <c r="D729" s="144"/>
      <c r="E729" s="144"/>
      <c r="F729" s="144"/>
      <c r="G729" s="144"/>
      <c r="H729" s="144"/>
      <c r="I729" s="496"/>
      <c r="J729" s="496"/>
      <c r="K729" s="496"/>
      <c r="L729" s="496"/>
      <c r="M729" s="144"/>
      <c r="N729" s="144"/>
      <c r="O729" s="144"/>
      <c r="P729" s="144"/>
      <c r="Q729" s="144"/>
      <c r="R729" s="144"/>
      <c r="S729" s="144"/>
      <c r="T729" s="144"/>
      <c r="U729" s="144"/>
      <c r="V729" s="144"/>
      <c r="W729" s="144"/>
      <c r="X729" s="144"/>
      <c r="Y729" s="144"/>
      <c r="Z729" s="144"/>
      <c r="AA729" s="144"/>
      <c r="AB729" s="144"/>
      <c r="AC729" s="144"/>
      <c r="AD729" s="144"/>
      <c r="AE729" s="144"/>
      <c r="AF729" s="144"/>
    </row>
    <row r="730" ht="16.5" customHeight="1">
      <c r="A730" s="144"/>
      <c r="B730" s="144"/>
      <c r="C730" s="144"/>
      <c r="D730" s="144"/>
      <c r="E730" s="144"/>
      <c r="F730" s="144"/>
      <c r="G730" s="144"/>
      <c r="H730" s="144"/>
      <c r="I730" s="496"/>
      <c r="J730" s="496"/>
      <c r="K730" s="496"/>
      <c r="L730" s="496"/>
      <c r="M730" s="144"/>
      <c r="N730" s="144"/>
      <c r="O730" s="144"/>
      <c r="P730" s="144"/>
      <c r="Q730" s="144"/>
      <c r="R730" s="144"/>
      <c r="S730" s="144"/>
      <c r="T730" s="144"/>
      <c r="U730" s="144"/>
      <c r="V730" s="144"/>
      <c r="W730" s="144"/>
      <c r="X730" s="144"/>
      <c r="Y730" s="144"/>
      <c r="Z730" s="144"/>
      <c r="AA730" s="144"/>
      <c r="AB730" s="144"/>
      <c r="AC730" s="144"/>
      <c r="AD730" s="144"/>
      <c r="AE730" s="144"/>
      <c r="AF730" s="144"/>
    </row>
    <row r="731" ht="16.5" customHeight="1">
      <c r="A731" s="144"/>
      <c r="B731" s="144"/>
      <c r="C731" s="144"/>
      <c r="D731" s="144"/>
      <c r="E731" s="144"/>
      <c r="F731" s="144"/>
      <c r="G731" s="144"/>
      <c r="H731" s="144"/>
      <c r="I731" s="496"/>
      <c r="J731" s="496"/>
      <c r="K731" s="496"/>
      <c r="L731" s="496"/>
      <c r="M731" s="144"/>
      <c r="N731" s="144"/>
      <c r="O731" s="144"/>
      <c r="P731" s="144"/>
      <c r="Q731" s="144"/>
      <c r="R731" s="144"/>
      <c r="S731" s="144"/>
      <c r="T731" s="144"/>
      <c r="U731" s="144"/>
      <c r="V731" s="144"/>
      <c r="W731" s="144"/>
      <c r="X731" s="144"/>
      <c r="Y731" s="144"/>
      <c r="Z731" s="144"/>
      <c r="AA731" s="144"/>
      <c r="AB731" s="144"/>
      <c r="AC731" s="144"/>
      <c r="AD731" s="144"/>
      <c r="AE731" s="144"/>
      <c r="AF731" s="144"/>
    </row>
    <row r="732" ht="16.5" customHeight="1">
      <c r="A732" s="144"/>
      <c r="B732" s="144"/>
      <c r="C732" s="144"/>
      <c r="D732" s="144"/>
      <c r="E732" s="144"/>
      <c r="F732" s="144"/>
      <c r="G732" s="144"/>
      <c r="H732" s="144"/>
      <c r="I732" s="496"/>
      <c r="J732" s="496"/>
      <c r="K732" s="496"/>
      <c r="L732" s="496"/>
      <c r="M732" s="144"/>
      <c r="N732" s="144"/>
      <c r="O732" s="144"/>
      <c r="P732" s="144"/>
      <c r="Q732" s="144"/>
      <c r="R732" s="144"/>
      <c r="S732" s="144"/>
      <c r="T732" s="144"/>
      <c r="U732" s="144"/>
      <c r="V732" s="144"/>
      <c r="W732" s="144"/>
      <c r="X732" s="144"/>
      <c r="Y732" s="144"/>
      <c r="Z732" s="144"/>
      <c r="AA732" s="144"/>
      <c r="AB732" s="144"/>
      <c r="AC732" s="144"/>
      <c r="AD732" s="144"/>
      <c r="AE732" s="144"/>
      <c r="AF732" s="144"/>
    </row>
    <row r="733" ht="16.5" customHeight="1">
      <c r="A733" s="144"/>
      <c r="B733" s="144"/>
      <c r="C733" s="144"/>
      <c r="D733" s="144"/>
      <c r="E733" s="144"/>
      <c r="F733" s="144"/>
      <c r="G733" s="144"/>
      <c r="H733" s="144"/>
      <c r="I733" s="496"/>
      <c r="J733" s="496"/>
      <c r="K733" s="496"/>
      <c r="L733" s="496"/>
      <c r="M733" s="144"/>
      <c r="N733" s="144"/>
      <c r="O733" s="144"/>
      <c r="P733" s="144"/>
      <c r="Q733" s="144"/>
      <c r="R733" s="144"/>
      <c r="S733" s="144"/>
      <c r="T733" s="144"/>
      <c r="U733" s="144"/>
      <c r="V733" s="144"/>
      <c r="W733" s="144"/>
      <c r="X733" s="144"/>
      <c r="Y733" s="144"/>
      <c r="Z733" s="144"/>
      <c r="AA733" s="144"/>
      <c r="AB733" s="144"/>
      <c r="AC733" s="144"/>
      <c r="AD733" s="144"/>
      <c r="AE733" s="144"/>
      <c r="AF733" s="144"/>
    </row>
    <row r="734" ht="16.5" customHeight="1">
      <c r="A734" s="144"/>
      <c r="B734" s="144"/>
      <c r="C734" s="144"/>
      <c r="D734" s="144"/>
      <c r="E734" s="144"/>
      <c r="F734" s="144"/>
      <c r="G734" s="144"/>
      <c r="H734" s="144"/>
      <c r="I734" s="496"/>
      <c r="J734" s="496"/>
      <c r="K734" s="496"/>
      <c r="L734" s="496"/>
      <c r="M734" s="144"/>
      <c r="N734" s="144"/>
      <c r="O734" s="144"/>
      <c r="P734" s="144"/>
      <c r="Q734" s="144"/>
      <c r="R734" s="144"/>
      <c r="S734" s="144"/>
      <c r="T734" s="144"/>
      <c r="U734" s="144"/>
      <c r="V734" s="144"/>
      <c r="W734" s="144"/>
      <c r="X734" s="144"/>
      <c r="Y734" s="144"/>
      <c r="Z734" s="144"/>
      <c r="AA734" s="144"/>
      <c r="AB734" s="144"/>
      <c r="AC734" s="144"/>
      <c r="AD734" s="144"/>
      <c r="AE734" s="144"/>
      <c r="AF734" s="144"/>
    </row>
    <row r="735" ht="16.5" customHeight="1">
      <c r="A735" s="144"/>
      <c r="B735" s="144"/>
      <c r="C735" s="144"/>
      <c r="D735" s="144"/>
      <c r="E735" s="144"/>
      <c r="F735" s="144"/>
      <c r="G735" s="144"/>
      <c r="H735" s="144"/>
      <c r="I735" s="496"/>
      <c r="J735" s="496"/>
      <c r="K735" s="496"/>
      <c r="L735" s="496"/>
      <c r="M735" s="144"/>
      <c r="N735" s="144"/>
      <c r="O735" s="144"/>
      <c r="P735" s="144"/>
      <c r="Q735" s="144"/>
      <c r="R735" s="144"/>
      <c r="S735" s="144"/>
      <c r="T735" s="144"/>
      <c r="U735" s="144"/>
      <c r="V735" s="144"/>
      <c r="W735" s="144"/>
      <c r="X735" s="144"/>
      <c r="Y735" s="144"/>
      <c r="Z735" s="144"/>
      <c r="AA735" s="144"/>
      <c r="AB735" s="144"/>
      <c r="AC735" s="144"/>
      <c r="AD735" s="144"/>
      <c r="AE735" s="144"/>
      <c r="AF735" s="144"/>
    </row>
    <row r="736" ht="16.5" customHeight="1">
      <c r="A736" s="144"/>
      <c r="B736" s="144"/>
      <c r="C736" s="144"/>
      <c r="D736" s="144"/>
      <c r="E736" s="144"/>
      <c r="F736" s="144"/>
      <c r="G736" s="144"/>
      <c r="H736" s="144"/>
      <c r="I736" s="496"/>
      <c r="J736" s="496"/>
      <c r="K736" s="496"/>
      <c r="L736" s="496"/>
      <c r="M736" s="144"/>
      <c r="N736" s="144"/>
      <c r="O736" s="144"/>
      <c r="P736" s="144"/>
      <c r="Q736" s="144"/>
      <c r="R736" s="144"/>
      <c r="S736" s="144"/>
      <c r="T736" s="144"/>
      <c r="U736" s="144"/>
      <c r="V736" s="144"/>
      <c r="W736" s="144"/>
      <c r="X736" s="144"/>
      <c r="Y736" s="144"/>
      <c r="Z736" s="144"/>
      <c r="AA736" s="144"/>
      <c r="AB736" s="144"/>
      <c r="AC736" s="144"/>
      <c r="AD736" s="144"/>
      <c r="AE736" s="144"/>
      <c r="AF736" s="144"/>
    </row>
    <row r="737" ht="16.5" customHeight="1">
      <c r="A737" s="144"/>
      <c r="B737" s="144"/>
      <c r="C737" s="144"/>
      <c r="D737" s="144"/>
      <c r="E737" s="144"/>
      <c r="F737" s="144"/>
      <c r="G737" s="144"/>
      <c r="H737" s="144"/>
      <c r="I737" s="496"/>
      <c r="J737" s="496"/>
      <c r="K737" s="496"/>
      <c r="L737" s="496"/>
      <c r="M737" s="144"/>
      <c r="N737" s="144"/>
      <c r="O737" s="144"/>
      <c r="P737" s="144"/>
      <c r="Q737" s="144"/>
      <c r="R737" s="144"/>
      <c r="S737" s="144"/>
      <c r="T737" s="144"/>
      <c r="U737" s="144"/>
      <c r="V737" s="144"/>
      <c r="W737" s="144"/>
      <c r="X737" s="144"/>
      <c r="Y737" s="144"/>
      <c r="Z737" s="144"/>
      <c r="AA737" s="144"/>
      <c r="AB737" s="144"/>
      <c r="AC737" s="144"/>
      <c r="AD737" s="144"/>
      <c r="AE737" s="144"/>
      <c r="AF737" s="144"/>
    </row>
    <row r="738" ht="16.5" customHeight="1">
      <c r="A738" s="144"/>
      <c r="B738" s="144"/>
      <c r="C738" s="144"/>
      <c r="D738" s="144"/>
      <c r="E738" s="144"/>
      <c r="F738" s="144"/>
      <c r="G738" s="144"/>
      <c r="H738" s="144"/>
      <c r="I738" s="496"/>
      <c r="J738" s="496"/>
      <c r="K738" s="496"/>
      <c r="L738" s="496"/>
      <c r="M738" s="144"/>
      <c r="N738" s="144"/>
      <c r="O738" s="144"/>
      <c r="P738" s="144"/>
      <c r="Q738" s="144"/>
      <c r="R738" s="144"/>
      <c r="S738" s="144"/>
      <c r="T738" s="144"/>
      <c r="U738" s="144"/>
      <c r="V738" s="144"/>
      <c r="W738" s="144"/>
      <c r="X738" s="144"/>
      <c r="Y738" s="144"/>
      <c r="Z738" s="144"/>
      <c r="AA738" s="144"/>
      <c r="AB738" s="144"/>
      <c r="AC738" s="144"/>
      <c r="AD738" s="144"/>
      <c r="AE738" s="144"/>
      <c r="AF738" s="144"/>
    </row>
    <row r="739" ht="16.5" customHeight="1">
      <c r="A739" s="144"/>
      <c r="B739" s="144"/>
      <c r="C739" s="144"/>
      <c r="D739" s="144"/>
      <c r="E739" s="144"/>
      <c r="F739" s="144"/>
      <c r="G739" s="144"/>
      <c r="H739" s="144"/>
      <c r="I739" s="496"/>
      <c r="J739" s="496"/>
      <c r="K739" s="496"/>
      <c r="L739" s="496"/>
      <c r="M739" s="144"/>
      <c r="N739" s="144"/>
      <c r="O739" s="144"/>
      <c r="P739" s="144"/>
      <c r="Q739" s="144"/>
      <c r="R739" s="144"/>
      <c r="S739" s="144"/>
      <c r="T739" s="144"/>
      <c r="U739" s="144"/>
      <c r="V739" s="144"/>
      <c r="W739" s="144"/>
      <c r="X739" s="144"/>
      <c r="Y739" s="144"/>
      <c r="Z739" s="144"/>
      <c r="AA739" s="144"/>
      <c r="AB739" s="144"/>
      <c r="AC739" s="144"/>
      <c r="AD739" s="144"/>
      <c r="AE739" s="144"/>
      <c r="AF739" s="144"/>
    </row>
    <row r="740" ht="16.5" customHeight="1">
      <c r="A740" s="144"/>
      <c r="B740" s="144"/>
      <c r="C740" s="144"/>
      <c r="D740" s="144"/>
      <c r="E740" s="144"/>
      <c r="F740" s="144"/>
      <c r="G740" s="144"/>
      <c r="H740" s="144"/>
      <c r="I740" s="496"/>
      <c r="J740" s="496"/>
      <c r="K740" s="496"/>
      <c r="L740" s="496"/>
      <c r="M740" s="144"/>
      <c r="N740" s="144"/>
      <c r="O740" s="144"/>
      <c r="P740" s="144"/>
      <c r="Q740" s="144"/>
      <c r="R740" s="144"/>
      <c r="S740" s="144"/>
      <c r="T740" s="144"/>
      <c r="U740" s="144"/>
      <c r="V740" s="144"/>
      <c r="W740" s="144"/>
      <c r="X740" s="144"/>
      <c r="Y740" s="144"/>
      <c r="Z740" s="144"/>
      <c r="AA740" s="144"/>
      <c r="AB740" s="144"/>
      <c r="AC740" s="144"/>
      <c r="AD740" s="144"/>
      <c r="AE740" s="144"/>
      <c r="AF740" s="144"/>
    </row>
    <row r="741" ht="16.5" customHeight="1">
      <c r="A741" s="144"/>
      <c r="B741" s="144"/>
      <c r="C741" s="144"/>
      <c r="D741" s="144"/>
      <c r="E741" s="144"/>
      <c r="F741" s="144"/>
      <c r="G741" s="144"/>
      <c r="H741" s="144"/>
      <c r="I741" s="496"/>
      <c r="J741" s="496"/>
      <c r="K741" s="496"/>
      <c r="L741" s="496"/>
      <c r="M741" s="144"/>
      <c r="N741" s="144"/>
      <c r="O741" s="144"/>
      <c r="P741" s="144"/>
      <c r="Q741" s="144"/>
      <c r="R741" s="144"/>
      <c r="S741" s="144"/>
      <c r="T741" s="144"/>
      <c r="U741" s="144"/>
      <c r="V741" s="144"/>
      <c r="W741" s="144"/>
      <c r="X741" s="144"/>
      <c r="Y741" s="144"/>
      <c r="Z741" s="144"/>
      <c r="AA741" s="144"/>
      <c r="AB741" s="144"/>
      <c r="AC741" s="144"/>
      <c r="AD741" s="144"/>
      <c r="AE741" s="144"/>
      <c r="AF741" s="144"/>
    </row>
    <row r="742" ht="16.5" customHeight="1">
      <c r="A742" s="144"/>
      <c r="B742" s="144"/>
      <c r="C742" s="144"/>
      <c r="D742" s="144"/>
      <c r="E742" s="144"/>
      <c r="F742" s="144"/>
      <c r="G742" s="144"/>
      <c r="H742" s="144"/>
      <c r="I742" s="496"/>
      <c r="J742" s="496"/>
      <c r="K742" s="496"/>
      <c r="L742" s="496"/>
      <c r="M742" s="144"/>
      <c r="N742" s="144"/>
      <c r="O742" s="144"/>
      <c r="P742" s="144"/>
      <c r="Q742" s="144"/>
      <c r="R742" s="144"/>
      <c r="S742" s="144"/>
      <c r="T742" s="144"/>
      <c r="U742" s="144"/>
      <c r="V742" s="144"/>
      <c r="W742" s="144"/>
      <c r="X742" s="144"/>
      <c r="Y742" s="144"/>
      <c r="Z742" s="144"/>
      <c r="AA742" s="144"/>
      <c r="AB742" s="144"/>
      <c r="AC742" s="144"/>
      <c r="AD742" s="144"/>
      <c r="AE742" s="144"/>
      <c r="AF742" s="144"/>
    </row>
    <row r="743" ht="16.5" customHeight="1">
      <c r="A743" s="144"/>
      <c r="B743" s="144"/>
      <c r="C743" s="144"/>
      <c r="D743" s="144"/>
      <c r="E743" s="144"/>
      <c r="F743" s="144"/>
      <c r="G743" s="144"/>
      <c r="H743" s="144"/>
      <c r="I743" s="496"/>
      <c r="J743" s="496"/>
      <c r="K743" s="496"/>
      <c r="L743" s="496"/>
      <c r="M743" s="144"/>
      <c r="N743" s="144"/>
      <c r="O743" s="144"/>
      <c r="P743" s="144"/>
      <c r="Q743" s="144"/>
      <c r="R743" s="144"/>
      <c r="S743" s="144"/>
      <c r="T743" s="144"/>
      <c r="U743" s="144"/>
      <c r="V743" s="144"/>
      <c r="W743" s="144"/>
      <c r="X743" s="144"/>
      <c r="Y743" s="144"/>
      <c r="Z743" s="144"/>
      <c r="AA743" s="144"/>
      <c r="AB743" s="144"/>
      <c r="AC743" s="144"/>
      <c r="AD743" s="144"/>
      <c r="AE743" s="144"/>
      <c r="AF743" s="144"/>
    </row>
    <row r="744" ht="16.5" customHeight="1">
      <c r="A744" s="144"/>
      <c r="B744" s="144"/>
      <c r="C744" s="144"/>
      <c r="D744" s="144"/>
      <c r="E744" s="144"/>
      <c r="F744" s="144"/>
      <c r="G744" s="144"/>
      <c r="H744" s="144"/>
      <c r="I744" s="496"/>
      <c r="J744" s="496"/>
      <c r="K744" s="496"/>
      <c r="L744" s="496"/>
      <c r="M744" s="144"/>
      <c r="N744" s="144"/>
      <c r="O744" s="144"/>
      <c r="P744" s="144"/>
      <c r="Q744" s="144"/>
      <c r="R744" s="144"/>
      <c r="S744" s="144"/>
      <c r="T744" s="144"/>
      <c r="U744" s="144"/>
      <c r="V744" s="144"/>
      <c r="W744" s="144"/>
      <c r="X744" s="144"/>
      <c r="Y744" s="144"/>
      <c r="Z744" s="144"/>
      <c r="AA744" s="144"/>
      <c r="AB744" s="144"/>
      <c r="AC744" s="144"/>
      <c r="AD744" s="144"/>
      <c r="AE744" s="144"/>
      <c r="AF744" s="144"/>
    </row>
    <row r="745" ht="16.5" customHeight="1">
      <c r="A745" s="144"/>
      <c r="B745" s="144"/>
      <c r="C745" s="144"/>
      <c r="D745" s="144"/>
      <c r="E745" s="144"/>
      <c r="F745" s="144"/>
      <c r="G745" s="144"/>
      <c r="H745" s="144"/>
      <c r="I745" s="496"/>
      <c r="J745" s="496"/>
      <c r="K745" s="496"/>
      <c r="L745" s="496"/>
      <c r="M745" s="144"/>
      <c r="N745" s="144"/>
      <c r="O745" s="144"/>
      <c r="P745" s="144"/>
      <c r="Q745" s="144"/>
      <c r="R745" s="144"/>
      <c r="S745" s="144"/>
      <c r="T745" s="144"/>
      <c r="U745" s="144"/>
      <c r="V745" s="144"/>
      <c r="W745" s="144"/>
      <c r="X745" s="144"/>
      <c r="Y745" s="144"/>
      <c r="Z745" s="144"/>
      <c r="AA745" s="144"/>
      <c r="AB745" s="144"/>
      <c r="AC745" s="144"/>
      <c r="AD745" s="144"/>
      <c r="AE745" s="144"/>
      <c r="AF745" s="144"/>
    </row>
    <row r="746" ht="16.5" customHeight="1">
      <c r="A746" s="144"/>
      <c r="B746" s="144"/>
      <c r="C746" s="144"/>
      <c r="D746" s="144"/>
      <c r="E746" s="144"/>
      <c r="F746" s="144"/>
      <c r="G746" s="144"/>
      <c r="H746" s="144"/>
      <c r="I746" s="496"/>
      <c r="J746" s="496"/>
      <c r="K746" s="496"/>
      <c r="L746" s="496"/>
      <c r="M746" s="144"/>
      <c r="N746" s="144"/>
      <c r="O746" s="144"/>
      <c r="P746" s="144"/>
      <c r="Q746" s="144"/>
      <c r="R746" s="144"/>
      <c r="S746" s="144"/>
      <c r="T746" s="144"/>
      <c r="U746" s="144"/>
      <c r="V746" s="144"/>
      <c r="W746" s="144"/>
      <c r="X746" s="144"/>
      <c r="Y746" s="144"/>
      <c r="Z746" s="144"/>
      <c r="AA746" s="144"/>
      <c r="AB746" s="144"/>
      <c r="AC746" s="144"/>
      <c r="AD746" s="144"/>
      <c r="AE746" s="144"/>
      <c r="AF746" s="144"/>
    </row>
    <row r="747" ht="16.5" customHeight="1">
      <c r="A747" s="144"/>
      <c r="B747" s="144"/>
      <c r="C747" s="144"/>
      <c r="D747" s="144"/>
      <c r="E747" s="144"/>
      <c r="F747" s="144"/>
      <c r="G747" s="144"/>
      <c r="H747" s="144"/>
      <c r="I747" s="496"/>
      <c r="J747" s="496"/>
      <c r="K747" s="496"/>
      <c r="L747" s="496"/>
      <c r="M747" s="144"/>
      <c r="N747" s="144"/>
      <c r="O747" s="144"/>
      <c r="P747" s="144"/>
      <c r="Q747" s="144"/>
      <c r="R747" s="144"/>
      <c r="S747" s="144"/>
      <c r="T747" s="144"/>
      <c r="U747" s="144"/>
      <c r="V747" s="144"/>
      <c r="W747" s="144"/>
      <c r="X747" s="144"/>
      <c r="Y747" s="144"/>
      <c r="Z747" s="144"/>
      <c r="AA747" s="144"/>
      <c r="AB747" s="144"/>
      <c r="AC747" s="144"/>
      <c r="AD747" s="144"/>
      <c r="AE747" s="144"/>
      <c r="AF747" s="144"/>
    </row>
    <row r="748" ht="16.5" customHeight="1">
      <c r="A748" s="144"/>
      <c r="B748" s="144"/>
      <c r="C748" s="144"/>
      <c r="D748" s="144"/>
      <c r="E748" s="144"/>
      <c r="F748" s="144"/>
      <c r="G748" s="144"/>
      <c r="H748" s="144"/>
      <c r="I748" s="496"/>
      <c r="J748" s="496"/>
      <c r="K748" s="496"/>
      <c r="L748" s="496"/>
      <c r="M748" s="144"/>
      <c r="N748" s="144"/>
      <c r="O748" s="144"/>
      <c r="P748" s="144"/>
      <c r="Q748" s="144"/>
      <c r="R748" s="144"/>
      <c r="S748" s="144"/>
      <c r="T748" s="144"/>
      <c r="U748" s="144"/>
      <c r="V748" s="144"/>
      <c r="W748" s="144"/>
      <c r="X748" s="144"/>
      <c r="Y748" s="144"/>
      <c r="Z748" s="144"/>
      <c r="AA748" s="144"/>
      <c r="AB748" s="144"/>
      <c r="AC748" s="144"/>
      <c r="AD748" s="144"/>
      <c r="AE748" s="144"/>
      <c r="AF748" s="144"/>
    </row>
    <row r="749" ht="16.5" customHeight="1">
      <c r="A749" s="144"/>
      <c r="B749" s="144"/>
      <c r="C749" s="144"/>
      <c r="D749" s="144"/>
      <c r="E749" s="144"/>
      <c r="F749" s="144"/>
      <c r="G749" s="144"/>
      <c r="H749" s="144"/>
      <c r="I749" s="496"/>
      <c r="J749" s="496"/>
      <c r="K749" s="496"/>
      <c r="L749" s="496"/>
      <c r="M749" s="144"/>
      <c r="N749" s="144"/>
      <c r="O749" s="144"/>
      <c r="P749" s="144"/>
      <c r="Q749" s="144"/>
      <c r="R749" s="144"/>
      <c r="S749" s="144"/>
      <c r="T749" s="144"/>
      <c r="U749" s="144"/>
      <c r="V749" s="144"/>
      <c r="W749" s="144"/>
      <c r="X749" s="144"/>
      <c r="Y749" s="144"/>
      <c r="Z749" s="144"/>
      <c r="AA749" s="144"/>
      <c r="AB749" s="144"/>
      <c r="AC749" s="144"/>
      <c r="AD749" s="144"/>
      <c r="AE749" s="144"/>
      <c r="AF749" s="144"/>
    </row>
    <row r="750" ht="16.5" customHeight="1">
      <c r="A750" s="144"/>
      <c r="B750" s="144"/>
      <c r="C750" s="144"/>
      <c r="D750" s="144"/>
      <c r="E750" s="144"/>
      <c r="F750" s="144"/>
      <c r="G750" s="144"/>
      <c r="H750" s="144"/>
      <c r="I750" s="496"/>
      <c r="J750" s="496"/>
      <c r="K750" s="496"/>
      <c r="L750" s="496"/>
      <c r="M750" s="144"/>
      <c r="N750" s="144"/>
      <c r="O750" s="144"/>
      <c r="P750" s="144"/>
      <c r="Q750" s="144"/>
      <c r="R750" s="144"/>
      <c r="S750" s="144"/>
      <c r="T750" s="144"/>
      <c r="U750" s="144"/>
      <c r="V750" s="144"/>
      <c r="W750" s="144"/>
      <c r="X750" s="144"/>
      <c r="Y750" s="144"/>
      <c r="Z750" s="144"/>
      <c r="AA750" s="144"/>
      <c r="AB750" s="144"/>
      <c r="AC750" s="144"/>
      <c r="AD750" s="144"/>
      <c r="AE750" s="144"/>
      <c r="AF750" s="144"/>
    </row>
    <row r="751" ht="16.5" customHeight="1">
      <c r="A751" s="144"/>
      <c r="B751" s="144"/>
      <c r="C751" s="144"/>
      <c r="D751" s="144"/>
      <c r="E751" s="144"/>
      <c r="F751" s="144"/>
      <c r="G751" s="144"/>
      <c r="H751" s="144"/>
      <c r="I751" s="496"/>
      <c r="J751" s="496"/>
      <c r="K751" s="496"/>
      <c r="L751" s="496"/>
      <c r="M751" s="144"/>
      <c r="N751" s="144"/>
      <c r="O751" s="144"/>
      <c r="P751" s="144"/>
      <c r="Q751" s="144"/>
      <c r="R751" s="144"/>
      <c r="S751" s="144"/>
      <c r="T751" s="144"/>
      <c r="U751" s="144"/>
      <c r="V751" s="144"/>
      <c r="W751" s="144"/>
      <c r="X751" s="144"/>
      <c r="Y751" s="144"/>
      <c r="Z751" s="144"/>
      <c r="AA751" s="144"/>
      <c r="AB751" s="144"/>
      <c r="AC751" s="144"/>
      <c r="AD751" s="144"/>
      <c r="AE751" s="144"/>
      <c r="AF751" s="144"/>
    </row>
    <row r="752" ht="16.5" customHeight="1">
      <c r="A752" s="144"/>
      <c r="B752" s="144"/>
      <c r="C752" s="144"/>
      <c r="D752" s="144"/>
      <c r="E752" s="144"/>
      <c r="F752" s="144"/>
      <c r="G752" s="144"/>
      <c r="H752" s="144"/>
      <c r="I752" s="496"/>
      <c r="J752" s="496"/>
      <c r="K752" s="496"/>
      <c r="L752" s="496"/>
      <c r="M752" s="144"/>
      <c r="N752" s="144"/>
      <c r="O752" s="144"/>
      <c r="P752" s="144"/>
      <c r="Q752" s="144"/>
      <c r="R752" s="144"/>
      <c r="S752" s="144"/>
      <c r="T752" s="144"/>
      <c r="U752" s="144"/>
      <c r="V752" s="144"/>
      <c r="W752" s="144"/>
      <c r="X752" s="144"/>
      <c r="Y752" s="144"/>
      <c r="Z752" s="144"/>
      <c r="AA752" s="144"/>
      <c r="AB752" s="144"/>
      <c r="AC752" s="144"/>
      <c r="AD752" s="144"/>
      <c r="AE752" s="144"/>
      <c r="AF752" s="144"/>
    </row>
    <row r="753" ht="16.5" customHeight="1">
      <c r="A753" s="144"/>
      <c r="B753" s="144"/>
      <c r="C753" s="144"/>
      <c r="D753" s="144"/>
      <c r="E753" s="144"/>
      <c r="F753" s="144"/>
      <c r="G753" s="144"/>
      <c r="H753" s="144"/>
      <c r="I753" s="496"/>
      <c r="J753" s="496"/>
      <c r="K753" s="496"/>
      <c r="L753" s="496"/>
      <c r="M753" s="144"/>
      <c r="N753" s="144"/>
      <c r="O753" s="144"/>
      <c r="P753" s="144"/>
      <c r="Q753" s="144"/>
      <c r="R753" s="144"/>
      <c r="S753" s="144"/>
      <c r="T753" s="144"/>
      <c r="U753" s="144"/>
      <c r="V753" s="144"/>
      <c r="W753" s="144"/>
      <c r="X753" s="144"/>
      <c r="Y753" s="144"/>
      <c r="Z753" s="144"/>
      <c r="AA753" s="144"/>
      <c r="AB753" s="144"/>
      <c r="AC753" s="144"/>
      <c r="AD753" s="144"/>
      <c r="AE753" s="144"/>
      <c r="AF753" s="144"/>
    </row>
    <row r="754" ht="16.5" customHeight="1">
      <c r="A754" s="144"/>
      <c r="B754" s="144"/>
      <c r="C754" s="144"/>
      <c r="D754" s="144"/>
      <c r="E754" s="144"/>
      <c r="F754" s="144"/>
      <c r="G754" s="144"/>
      <c r="H754" s="144"/>
      <c r="I754" s="496"/>
      <c r="J754" s="496"/>
      <c r="K754" s="496"/>
      <c r="L754" s="496"/>
      <c r="M754" s="144"/>
      <c r="N754" s="144"/>
      <c r="O754" s="144"/>
      <c r="P754" s="144"/>
      <c r="Q754" s="144"/>
      <c r="R754" s="144"/>
      <c r="S754" s="144"/>
      <c r="T754" s="144"/>
      <c r="U754" s="144"/>
      <c r="V754" s="144"/>
      <c r="W754" s="144"/>
      <c r="X754" s="144"/>
      <c r="Y754" s="144"/>
      <c r="Z754" s="144"/>
      <c r="AA754" s="144"/>
      <c r="AB754" s="144"/>
      <c r="AC754" s="144"/>
      <c r="AD754" s="144"/>
      <c r="AE754" s="144"/>
      <c r="AF754" s="144"/>
    </row>
    <row r="755" ht="16.5" customHeight="1">
      <c r="A755" s="144"/>
      <c r="B755" s="144"/>
      <c r="C755" s="144"/>
      <c r="D755" s="144"/>
      <c r="E755" s="144"/>
      <c r="F755" s="144"/>
      <c r="G755" s="144"/>
      <c r="H755" s="144"/>
      <c r="I755" s="496"/>
      <c r="J755" s="496"/>
      <c r="K755" s="496"/>
      <c r="L755" s="496"/>
      <c r="M755" s="144"/>
      <c r="N755" s="144"/>
      <c r="O755" s="144"/>
      <c r="P755" s="144"/>
      <c r="Q755" s="144"/>
      <c r="R755" s="144"/>
      <c r="S755" s="144"/>
      <c r="T755" s="144"/>
      <c r="U755" s="144"/>
      <c r="V755" s="144"/>
      <c r="W755" s="144"/>
      <c r="X755" s="144"/>
      <c r="Y755" s="144"/>
      <c r="Z755" s="144"/>
      <c r="AA755" s="144"/>
      <c r="AB755" s="144"/>
      <c r="AC755" s="144"/>
      <c r="AD755" s="144"/>
      <c r="AE755" s="144"/>
      <c r="AF755" s="144"/>
    </row>
    <row r="756" ht="16.5" customHeight="1">
      <c r="A756" s="144"/>
      <c r="B756" s="144"/>
      <c r="C756" s="144"/>
      <c r="D756" s="144"/>
      <c r="E756" s="144"/>
      <c r="F756" s="144"/>
      <c r="G756" s="144"/>
      <c r="H756" s="144"/>
      <c r="I756" s="496"/>
      <c r="J756" s="496"/>
      <c r="K756" s="496"/>
      <c r="L756" s="496"/>
      <c r="M756" s="144"/>
      <c r="N756" s="144"/>
      <c r="O756" s="144"/>
      <c r="P756" s="144"/>
      <c r="Q756" s="144"/>
      <c r="R756" s="144"/>
      <c r="S756" s="144"/>
      <c r="T756" s="144"/>
      <c r="U756" s="144"/>
      <c r="V756" s="144"/>
      <c r="W756" s="144"/>
      <c r="X756" s="144"/>
      <c r="Y756" s="144"/>
      <c r="Z756" s="144"/>
      <c r="AA756" s="144"/>
      <c r="AB756" s="144"/>
      <c r="AC756" s="144"/>
      <c r="AD756" s="144"/>
      <c r="AE756" s="144"/>
      <c r="AF756" s="144"/>
    </row>
    <row r="757" ht="16.5" customHeight="1">
      <c r="A757" s="144"/>
      <c r="B757" s="144"/>
      <c r="C757" s="144"/>
      <c r="D757" s="144"/>
      <c r="E757" s="144"/>
      <c r="F757" s="144"/>
      <c r="G757" s="144"/>
      <c r="H757" s="144"/>
      <c r="I757" s="496"/>
      <c r="J757" s="496"/>
      <c r="K757" s="496"/>
      <c r="L757" s="496"/>
      <c r="M757" s="144"/>
      <c r="N757" s="144"/>
      <c r="O757" s="144"/>
      <c r="P757" s="144"/>
      <c r="Q757" s="144"/>
      <c r="R757" s="144"/>
      <c r="S757" s="144"/>
      <c r="T757" s="144"/>
      <c r="U757" s="144"/>
      <c r="V757" s="144"/>
      <c r="W757" s="144"/>
      <c r="X757" s="144"/>
      <c r="Y757" s="144"/>
      <c r="Z757" s="144"/>
      <c r="AA757" s="144"/>
      <c r="AB757" s="144"/>
      <c r="AC757" s="144"/>
      <c r="AD757" s="144"/>
      <c r="AE757" s="144"/>
      <c r="AF757" s="144"/>
    </row>
    <row r="758" ht="16.5" customHeight="1">
      <c r="A758" s="144"/>
      <c r="B758" s="144"/>
      <c r="C758" s="144"/>
      <c r="D758" s="144"/>
      <c r="E758" s="144"/>
      <c r="F758" s="144"/>
      <c r="G758" s="144"/>
      <c r="H758" s="144"/>
      <c r="I758" s="496"/>
      <c r="J758" s="496"/>
      <c r="K758" s="496"/>
      <c r="L758" s="496"/>
      <c r="M758" s="144"/>
      <c r="N758" s="144"/>
      <c r="O758" s="144"/>
      <c r="P758" s="144"/>
      <c r="Q758" s="144"/>
      <c r="R758" s="144"/>
      <c r="S758" s="144"/>
      <c r="T758" s="144"/>
      <c r="U758" s="144"/>
      <c r="V758" s="144"/>
      <c r="W758" s="144"/>
      <c r="X758" s="144"/>
      <c r="Y758" s="144"/>
      <c r="Z758" s="144"/>
      <c r="AA758" s="144"/>
      <c r="AB758" s="144"/>
      <c r="AC758" s="144"/>
      <c r="AD758" s="144"/>
      <c r="AE758" s="144"/>
      <c r="AF758" s="144"/>
    </row>
    <row r="759" ht="16.5" customHeight="1">
      <c r="A759" s="144"/>
      <c r="B759" s="144"/>
      <c r="C759" s="144"/>
      <c r="D759" s="144"/>
      <c r="E759" s="144"/>
      <c r="F759" s="144"/>
      <c r="G759" s="144"/>
      <c r="H759" s="144"/>
      <c r="I759" s="496"/>
      <c r="J759" s="496"/>
      <c r="K759" s="496"/>
      <c r="L759" s="496"/>
      <c r="M759" s="144"/>
      <c r="N759" s="144"/>
      <c r="O759" s="144"/>
      <c r="P759" s="144"/>
      <c r="Q759" s="144"/>
      <c r="R759" s="144"/>
      <c r="S759" s="144"/>
      <c r="T759" s="144"/>
      <c r="U759" s="144"/>
      <c r="V759" s="144"/>
      <c r="W759" s="144"/>
      <c r="X759" s="144"/>
      <c r="Y759" s="144"/>
      <c r="Z759" s="144"/>
      <c r="AA759" s="144"/>
      <c r="AB759" s="144"/>
      <c r="AC759" s="144"/>
      <c r="AD759" s="144"/>
      <c r="AE759" s="144"/>
      <c r="AF759" s="144"/>
    </row>
    <row r="760" ht="16.5" customHeight="1">
      <c r="A760" s="144"/>
      <c r="B760" s="144"/>
      <c r="C760" s="144"/>
      <c r="D760" s="144"/>
      <c r="E760" s="144"/>
      <c r="F760" s="144"/>
      <c r="G760" s="144"/>
      <c r="H760" s="144"/>
      <c r="I760" s="496"/>
      <c r="J760" s="496"/>
      <c r="K760" s="496"/>
      <c r="L760" s="496"/>
      <c r="M760" s="144"/>
      <c r="N760" s="144"/>
      <c r="O760" s="144"/>
      <c r="P760" s="144"/>
      <c r="Q760" s="144"/>
      <c r="R760" s="144"/>
      <c r="S760" s="144"/>
      <c r="T760" s="144"/>
      <c r="U760" s="144"/>
      <c r="V760" s="144"/>
      <c r="W760" s="144"/>
      <c r="X760" s="144"/>
      <c r="Y760" s="144"/>
      <c r="Z760" s="144"/>
      <c r="AA760" s="144"/>
      <c r="AB760" s="144"/>
      <c r="AC760" s="144"/>
      <c r="AD760" s="144"/>
      <c r="AE760" s="144"/>
      <c r="AF760" s="144"/>
    </row>
    <row r="761" ht="16.5" customHeight="1">
      <c r="A761" s="144"/>
      <c r="B761" s="144"/>
      <c r="C761" s="144"/>
      <c r="D761" s="144"/>
      <c r="E761" s="144"/>
      <c r="F761" s="144"/>
      <c r="G761" s="144"/>
      <c r="H761" s="144"/>
      <c r="I761" s="496"/>
      <c r="J761" s="496"/>
      <c r="K761" s="496"/>
      <c r="L761" s="496"/>
      <c r="M761" s="144"/>
      <c r="N761" s="144"/>
      <c r="O761" s="144"/>
      <c r="P761" s="144"/>
      <c r="Q761" s="144"/>
      <c r="R761" s="144"/>
      <c r="S761" s="144"/>
      <c r="T761" s="144"/>
      <c r="U761" s="144"/>
      <c r="V761" s="144"/>
      <c r="W761" s="144"/>
      <c r="X761" s="144"/>
      <c r="Y761" s="144"/>
      <c r="Z761" s="144"/>
      <c r="AA761" s="144"/>
      <c r="AB761" s="144"/>
      <c r="AC761" s="144"/>
      <c r="AD761" s="144"/>
      <c r="AE761" s="144"/>
      <c r="AF761" s="144"/>
    </row>
    <row r="762" ht="16.5" customHeight="1">
      <c r="A762" s="144"/>
      <c r="B762" s="144"/>
      <c r="C762" s="144"/>
      <c r="D762" s="144"/>
      <c r="E762" s="144"/>
      <c r="F762" s="144"/>
      <c r="G762" s="144"/>
      <c r="H762" s="144"/>
      <c r="I762" s="496"/>
      <c r="J762" s="496"/>
      <c r="K762" s="496"/>
      <c r="L762" s="496"/>
      <c r="M762" s="144"/>
      <c r="N762" s="144"/>
      <c r="O762" s="144"/>
      <c r="P762" s="144"/>
      <c r="Q762" s="144"/>
      <c r="R762" s="144"/>
      <c r="S762" s="144"/>
      <c r="T762" s="144"/>
      <c r="U762" s="144"/>
      <c r="V762" s="144"/>
      <c r="W762" s="144"/>
      <c r="X762" s="144"/>
      <c r="Y762" s="144"/>
      <c r="Z762" s="144"/>
      <c r="AA762" s="144"/>
      <c r="AB762" s="144"/>
      <c r="AC762" s="144"/>
      <c r="AD762" s="144"/>
      <c r="AE762" s="144"/>
      <c r="AF762" s="144"/>
    </row>
    <row r="763" ht="16.5" customHeight="1">
      <c r="A763" s="144"/>
      <c r="B763" s="144"/>
      <c r="C763" s="144"/>
      <c r="D763" s="144"/>
      <c r="E763" s="144"/>
      <c r="F763" s="144"/>
      <c r="G763" s="144"/>
      <c r="H763" s="144"/>
      <c r="I763" s="496"/>
      <c r="J763" s="496"/>
      <c r="K763" s="496"/>
      <c r="L763" s="496"/>
      <c r="M763" s="144"/>
      <c r="N763" s="144"/>
      <c r="O763" s="144"/>
      <c r="P763" s="144"/>
      <c r="Q763" s="144"/>
      <c r="R763" s="144"/>
      <c r="S763" s="144"/>
      <c r="T763" s="144"/>
      <c r="U763" s="144"/>
      <c r="V763" s="144"/>
      <c r="W763" s="144"/>
      <c r="X763" s="144"/>
      <c r="Y763" s="144"/>
      <c r="Z763" s="144"/>
      <c r="AA763" s="144"/>
      <c r="AB763" s="144"/>
      <c r="AC763" s="144"/>
      <c r="AD763" s="144"/>
      <c r="AE763" s="144"/>
      <c r="AF763" s="144"/>
    </row>
    <row r="764" ht="16.5" customHeight="1">
      <c r="A764" s="144"/>
      <c r="B764" s="144"/>
      <c r="C764" s="144"/>
      <c r="D764" s="144"/>
      <c r="E764" s="144"/>
      <c r="F764" s="144"/>
      <c r="G764" s="144"/>
      <c r="H764" s="144"/>
      <c r="I764" s="496"/>
      <c r="J764" s="496"/>
      <c r="K764" s="496"/>
      <c r="L764" s="496"/>
      <c r="M764" s="144"/>
      <c r="N764" s="144"/>
      <c r="O764" s="144"/>
      <c r="P764" s="144"/>
      <c r="Q764" s="144"/>
      <c r="R764" s="144"/>
      <c r="S764" s="144"/>
      <c r="T764" s="144"/>
      <c r="U764" s="144"/>
      <c r="V764" s="144"/>
      <c r="W764" s="144"/>
      <c r="X764" s="144"/>
      <c r="Y764" s="144"/>
      <c r="Z764" s="144"/>
      <c r="AA764" s="144"/>
      <c r="AB764" s="144"/>
      <c r="AC764" s="144"/>
      <c r="AD764" s="144"/>
      <c r="AE764" s="144"/>
      <c r="AF764" s="144"/>
    </row>
    <row r="765" ht="16.5" customHeight="1">
      <c r="A765" s="144"/>
      <c r="B765" s="144"/>
      <c r="C765" s="144"/>
      <c r="D765" s="144"/>
      <c r="E765" s="144"/>
      <c r="F765" s="144"/>
      <c r="G765" s="144"/>
      <c r="H765" s="144"/>
      <c r="I765" s="496"/>
      <c r="J765" s="496"/>
      <c r="K765" s="496"/>
      <c r="L765" s="496"/>
      <c r="M765" s="144"/>
      <c r="N765" s="144"/>
      <c r="O765" s="144"/>
      <c r="P765" s="144"/>
      <c r="Q765" s="144"/>
      <c r="R765" s="144"/>
      <c r="S765" s="144"/>
      <c r="T765" s="144"/>
      <c r="U765" s="144"/>
      <c r="V765" s="144"/>
      <c r="W765" s="144"/>
      <c r="X765" s="144"/>
      <c r="Y765" s="144"/>
      <c r="Z765" s="144"/>
      <c r="AA765" s="144"/>
      <c r="AB765" s="144"/>
      <c r="AC765" s="144"/>
      <c r="AD765" s="144"/>
      <c r="AE765" s="144"/>
      <c r="AF765" s="144"/>
    </row>
    <row r="766" ht="16.5" customHeight="1">
      <c r="A766" s="144"/>
      <c r="B766" s="144"/>
      <c r="C766" s="144"/>
      <c r="D766" s="144"/>
      <c r="E766" s="144"/>
      <c r="F766" s="144"/>
      <c r="G766" s="144"/>
      <c r="H766" s="144"/>
      <c r="I766" s="496"/>
      <c r="J766" s="496"/>
      <c r="K766" s="496"/>
      <c r="L766" s="496"/>
      <c r="M766" s="144"/>
      <c r="N766" s="144"/>
      <c r="O766" s="144"/>
      <c r="P766" s="144"/>
      <c r="Q766" s="144"/>
      <c r="R766" s="144"/>
      <c r="S766" s="144"/>
      <c r="T766" s="144"/>
      <c r="U766" s="144"/>
      <c r="V766" s="144"/>
      <c r="W766" s="144"/>
      <c r="X766" s="144"/>
      <c r="Y766" s="144"/>
      <c r="Z766" s="144"/>
      <c r="AA766" s="144"/>
      <c r="AB766" s="144"/>
      <c r="AC766" s="144"/>
      <c r="AD766" s="144"/>
      <c r="AE766" s="144"/>
      <c r="AF766" s="144"/>
    </row>
    <row r="767" ht="16.5" customHeight="1">
      <c r="A767" s="144"/>
      <c r="B767" s="144"/>
      <c r="C767" s="144"/>
      <c r="D767" s="144"/>
      <c r="E767" s="144"/>
      <c r="F767" s="144"/>
      <c r="G767" s="144"/>
      <c r="H767" s="144"/>
      <c r="I767" s="496"/>
      <c r="J767" s="496"/>
      <c r="K767" s="496"/>
      <c r="L767" s="496"/>
      <c r="M767" s="144"/>
      <c r="N767" s="144"/>
      <c r="O767" s="144"/>
      <c r="P767" s="144"/>
      <c r="Q767" s="144"/>
      <c r="R767" s="144"/>
      <c r="S767" s="144"/>
      <c r="T767" s="144"/>
      <c r="U767" s="144"/>
      <c r="V767" s="144"/>
      <c r="W767" s="144"/>
      <c r="X767" s="144"/>
      <c r="Y767" s="144"/>
      <c r="Z767" s="144"/>
      <c r="AA767" s="144"/>
      <c r="AB767" s="144"/>
      <c r="AC767" s="144"/>
      <c r="AD767" s="144"/>
      <c r="AE767" s="144"/>
      <c r="AF767" s="144"/>
    </row>
    <row r="768" ht="16.5" customHeight="1">
      <c r="A768" s="144"/>
      <c r="B768" s="144"/>
      <c r="C768" s="144"/>
      <c r="D768" s="144"/>
      <c r="E768" s="144"/>
      <c r="F768" s="144"/>
      <c r="G768" s="144"/>
      <c r="H768" s="144"/>
      <c r="I768" s="496"/>
      <c r="J768" s="496"/>
      <c r="K768" s="496"/>
      <c r="L768" s="496"/>
      <c r="M768" s="144"/>
      <c r="N768" s="144"/>
      <c r="O768" s="144"/>
      <c r="P768" s="144"/>
      <c r="Q768" s="144"/>
      <c r="R768" s="144"/>
      <c r="S768" s="144"/>
      <c r="T768" s="144"/>
      <c r="U768" s="144"/>
      <c r="V768" s="144"/>
      <c r="W768" s="144"/>
      <c r="X768" s="144"/>
      <c r="Y768" s="144"/>
      <c r="Z768" s="144"/>
      <c r="AA768" s="144"/>
      <c r="AB768" s="144"/>
      <c r="AC768" s="144"/>
      <c r="AD768" s="144"/>
      <c r="AE768" s="144"/>
      <c r="AF768" s="144"/>
    </row>
    <row r="769" ht="16.5" customHeight="1">
      <c r="A769" s="144"/>
      <c r="B769" s="144"/>
      <c r="C769" s="144"/>
      <c r="D769" s="144"/>
      <c r="E769" s="144"/>
      <c r="F769" s="144"/>
      <c r="G769" s="144"/>
      <c r="H769" s="144"/>
      <c r="I769" s="496"/>
      <c r="J769" s="496"/>
      <c r="K769" s="496"/>
      <c r="L769" s="496"/>
      <c r="M769" s="144"/>
      <c r="N769" s="144"/>
      <c r="O769" s="144"/>
      <c r="P769" s="144"/>
      <c r="Q769" s="144"/>
      <c r="R769" s="144"/>
      <c r="S769" s="144"/>
      <c r="T769" s="144"/>
      <c r="U769" s="144"/>
      <c r="V769" s="144"/>
      <c r="W769" s="144"/>
      <c r="X769" s="144"/>
      <c r="Y769" s="144"/>
      <c r="Z769" s="144"/>
      <c r="AA769" s="144"/>
      <c r="AB769" s="144"/>
      <c r="AC769" s="144"/>
      <c r="AD769" s="144"/>
      <c r="AE769" s="144"/>
      <c r="AF769" s="144"/>
    </row>
    <row r="770" ht="16.5" customHeight="1">
      <c r="A770" s="144"/>
      <c r="B770" s="144"/>
      <c r="C770" s="144"/>
      <c r="D770" s="144"/>
      <c r="E770" s="144"/>
      <c r="F770" s="144"/>
      <c r="G770" s="144"/>
      <c r="H770" s="144"/>
      <c r="I770" s="496"/>
      <c r="J770" s="496"/>
      <c r="K770" s="496"/>
      <c r="L770" s="496"/>
      <c r="M770" s="144"/>
      <c r="N770" s="144"/>
      <c r="O770" s="144"/>
      <c r="P770" s="144"/>
      <c r="Q770" s="144"/>
      <c r="R770" s="144"/>
      <c r="S770" s="144"/>
      <c r="T770" s="144"/>
      <c r="U770" s="144"/>
      <c r="V770" s="144"/>
      <c r="W770" s="144"/>
      <c r="X770" s="144"/>
      <c r="Y770" s="144"/>
      <c r="Z770" s="144"/>
      <c r="AA770" s="144"/>
      <c r="AB770" s="144"/>
      <c r="AC770" s="144"/>
      <c r="AD770" s="144"/>
      <c r="AE770" s="144"/>
      <c r="AF770" s="144"/>
    </row>
    <row r="771" ht="16.5" customHeight="1">
      <c r="A771" s="144"/>
      <c r="B771" s="144"/>
      <c r="C771" s="144"/>
      <c r="D771" s="144"/>
      <c r="E771" s="144"/>
      <c r="F771" s="144"/>
      <c r="G771" s="144"/>
      <c r="H771" s="144"/>
      <c r="I771" s="496"/>
      <c r="J771" s="496"/>
      <c r="K771" s="496"/>
      <c r="L771" s="496"/>
      <c r="M771" s="144"/>
      <c r="N771" s="144"/>
      <c r="O771" s="144"/>
      <c r="P771" s="144"/>
      <c r="Q771" s="144"/>
      <c r="R771" s="144"/>
      <c r="S771" s="144"/>
      <c r="T771" s="144"/>
      <c r="U771" s="144"/>
      <c r="V771" s="144"/>
      <c r="W771" s="144"/>
      <c r="X771" s="144"/>
      <c r="Y771" s="144"/>
      <c r="Z771" s="144"/>
      <c r="AA771" s="144"/>
      <c r="AB771" s="144"/>
      <c r="AC771" s="144"/>
      <c r="AD771" s="144"/>
      <c r="AE771" s="144"/>
      <c r="AF771" s="144"/>
    </row>
    <row r="772" ht="16.5" customHeight="1">
      <c r="A772" s="144"/>
      <c r="B772" s="144"/>
      <c r="C772" s="144"/>
      <c r="D772" s="144"/>
      <c r="E772" s="144"/>
      <c r="F772" s="144"/>
      <c r="G772" s="144"/>
      <c r="H772" s="144"/>
      <c r="I772" s="496"/>
      <c r="J772" s="496"/>
      <c r="K772" s="496"/>
      <c r="L772" s="496"/>
      <c r="M772" s="144"/>
      <c r="N772" s="144"/>
      <c r="O772" s="144"/>
      <c r="P772" s="144"/>
      <c r="Q772" s="144"/>
      <c r="R772" s="144"/>
      <c r="S772" s="144"/>
      <c r="T772" s="144"/>
      <c r="U772" s="144"/>
      <c r="V772" s="144"/>
      <c r="W772" s="144"/>
      <c r="X772" s="144"/>
      <c r="Y772" s="144"/>
      <c r="Z772" s="144"/>
      <c r="AA772" s="144"/>
      <c r="AB772" s="144"/>
      <c r="AC772" s="144"/>
      <c r="AD772" s="144"/>
      <c r="AE772" s="144"/>
      <c r="AF772" s="144"/>
    </row>
    <row r="773" ht="16.5" customHeight="1">
      <c r="A773" s="144"/>
      <c r="B773" s="144"/>
      <c r="C773" s="144"/>
      <c r="D773" s="144"/>
      <c r="E773" s="144"/>
      <c r="F773" s="144"/>
      <c r="G773" s="144"/>
      <c r="H773" s="144"/>
      <c r="I773" s="496"/>
      <c r="J773" s="496"/>
      <c r="K773" s="496"/>
      <c r="L773" s="496"/>
      <c r="M773" s="144"/>
      <c r="N773" s="144"/>
      <c r="O773" s="144"/>
      <c r="P773" s="144"/>
      <c r="Q773" s="144"/>
      <c r="R773" s="144"/>
      <c r="S773" s="144"/>
      <c r="T773" s="144"/>
      <c r="U773" s="144"/>
      <c r="V773" s="144"/>
      <c r="W773" s="144"/>
      <c r="X773" s="144"/>
      <c r="Y773" s="144"/>
      <c r="Z773" s="144"/>
      <c r="AA773" s="144"/>
      <c r="AB773" s="144"/>
      <c r="AC773" s="144"/>
      <c r="AD773" s="144"/>
      <c r="AE773" s="144"/>
      <c r="AF773" s="144"/>
    </row>
    <row r="774" ht="16.5" customHeight="1">
      <c r="A774" s="144"/>
      <c r="B774" s="144"/>
      <c r="C774" s="144"/>
      <c r="D774" s="144"/>
      <c r="E774" s="144"/>
      <c r="F774" s="144"/>
      <c r="G774" s="144"/>
      <c r="H774" s="144"/>
      <c r="I774" s="496"/>
      <c r="J774" s="496"/>
      <c r="K774" s="496"/>
      <c r="L774" s="496"/>
      <c r="M774" s="144"/>
      <c r="N774" s="144"/>
      <c r="O774" s="144"/>
      <c r="P774" s="144"/>
      <c r="Q774" s="144"/>
      <c r="R774" s="144"/>
      <c r="S774" s="144"/>
      <c r="T774" s="144"/>
      <c r="U774" s="144"/>
      <c r="V774" s="144"/>
      <c r="W774" s="144"/>
      <c r="X774" s="144"/>
      <c r="Y774" s="144"/>
      <c r="Z774" s="144"/>
      <c r="AA774" s="144"/>
      <c r="AB774" s="144"/>
      <c r="AC774" s="144"/>
      <c r="AD774" s="144"/>
      <c r="AE774" s="144"/>
      <c r="AF774" s="144"/>
    </row>
    <row r="775" ht="16.5" customHeight="1">
      <c r="A775" s="144"/>
      <c r="B775" s="144"/>
      <c r="C775" s="144"/>
      <c r="D775" s="144"/>
      <c r="E775" s="144"/>
      <c r="F775" s="144"/>
      <c r="G775" s="144"/>
      <c r="H775" s="144"/>
      <c r="I775" s="496"/>
      <c r="J775" s="496"/>
      <c r="K775" s="496"/>
      <c r="L775" s="496"/>
      <c r="M775" s="144"/>
      <c r="N775" s="144"/>
      <c r="O775" s="144"/>
      <c r="P775" s="144"/>
      <c r="Q775" s="144"/>
      <c r="R775" s="144"/>
      <c r="S775" s="144"/>
      <c r="T775" s="144"/>
      <c r="U775" s="144"/>
      <c r="V775" s="144"/>
      <c r="W775" s="144"/>
      <c r="X775" s="144"/>
      <c r="Y775" s="144"/>
      <c r="Z775" s="144"/>
      <c r="AA775" s="144"/>
      <c r="AB775" s="144"/>
      <c r="AC775" s="144"/>
      <c r="AD775" s="144"/>
      <c r="AE775" s="144"/>
      <c r="AF775" s="144"/>
    </row>
    <row r="776" ht="16.5" customHeight="1">
      <c r="A776" s="144"/>
      <c r="B776" s="144"/>
      <c r="C776" s="144"/>
      <c r="D776" s="144"/>
      <c r="E776" s="144"/>
      <c r="F776" s="144"/>
      <c r="G776" s="144"/>
      <c r="H776" s="144"/>
      <c r="I776" s="496"/>
      <c r="J776" s="496"/>
      <c r="K776" s="496"/>
      <c r="L776" s="496"/>
      <c r="M776" s="144"/>
      <c r="N776" s="144"/>
      <c r="O776" s="144"/>
      <c r="P776" s="144"/>
      <c r="Q776" s="144"/>
      <c r="R776" s="144"/>
      <c r="S776" s="144"/>
      <c r="T776" s="144"/>
      <c r="U776" s="144"/>
      <c r="V776" s="144"/>
      <c r="W776" s="144"/>
      <c r="X776" s="144"/>
      <c r="Y776" s="144"/>
      <c r="Z776" s="144"/>
      <c r="AA776" s="144"/>
      <c r="AB776" s="144"/>
      <c r="AC776" s="144"/>
      <c r="AD776" s="144"/>
      <c r="AE776" s="144"/>
      <c r="AF776" s="144"/>
    </row>
    <row r="777" ht="16.5" customHeight="1">
      <c r="A777" s="144"/>
      <c r="B777" s="144"/>
      <c r="C777" s="144"/>
      <c r="D777" s="144"/>
      <c r="E777" s="144"/>
      <c r="F777" s="144"/>
      <c r="G777" s="144"/>
      <c r="H777" s="144"/>
      <c r="I777" s="496"/>
      <c r="J777" s="496"/>
      <c r="K777" s="496"/>
      <c r="L777" s="496"/>
      <c r="M777" s="144"/>
      <c r="N777" s="144"/>
      <c r="O777" s="144"/>
      <c r="P777" s="144"/>
      <c r="Q777" s="144"/>
      <c r="R777" s="144"/>
      <c r="S777" s="144"/>
      <c r="T777" s="144"/>
      <c r="U777" s="144"/>
      <c r="V777" s="144"/>
      <c r="W777" s="144"/>
      <c r="X777" s="144"/>
      <c r="Y777" s="144"/>
      <c r="Z777" s="144"/>
      <c r="AA777" s="144"/>
      <c r="AB777" s="144"/>
      <c r="AC777" s="144"/>
      <c r="AD777" s="144"/>
      <c r="AE777" s="144"/>
      <c r="AF777" s="144"/>
    </row>
    <row r="778" ht="16.5" customHeight="1">
      <c r="A778" s="144"/>
      <c r="B778" s="144"/>
      <c r="C778" s="144"/>
      <c r="D778" s="144"/>
      <c r="E778" s="144"/>
      <c r="F778" s="144"/>
      <c r="G778" s="144"/>
      <c r="H778" s="144"/>
      <c r="I778" s="496"/>
      <c r="J778" s="496"/>
      <c r="K778" s="496"/>
      <c r="L778" s="496"/>
      <c r="M778" s="144"/>
      <c r="N778" s="144"/>
      <c r="O778" s="144"/>
      <c r="P778" s="144"/>
      <c r="Q778" s="144"/>
      <c r="R778" s="144"/>
      <c r="S778" s="144"/>
      <c r="T778" s="144"/>
      <c r="U778" s="144"/>
      <c r="V778" s="144"/>
      <c r="W778" s="144"/>
      <c r="X778" s="144"/>
      <c r="Y778" s="144"/>
      <c r="Z778" s="144"/>
      <c r="AA778" s="144"/>
      <c r="AB778" s="144"/>
      <c r="AC778" s="144"/>
      <c r="AD778" s="144"/>
      <c r="AE778" s="144"/>
      <c r="AF778" s="144"/>
    </row>
    <row r="779" ht="16.5" customHeight="1">
      <c r="A779" s="144"/>
      <c r="B779" s="144"/>
      <c r="C779" s="144"/>
      <c r="D779" s="144"/>
      <c r="E779" s="144"/>
      <c r="F779" s="144"/>
      <c r="G779" s="144"/>
      <c r="H779" s="144"/>
      <c r="I779" s="496"/>
      <c r="J779" s="496"/>
      <c r="K779" s="496"/>
      <c r="L779" s="496"/>
      <c r="M779" s="144"/>
      <c r="N779" s="144"/>
      <c r="O779" s="144"/>
      <c r="P779" s="144"/>
      <c r="Q779" s="144"/>
      <c r="R779" s="144"/>
      <c r="S779" s="144"/>
      <c r="T779" s="144"/>
      <c r="U779" s="144"/>
      <c r="V779" s="144"/>
      <c r="W779" s="144"/>
      <c r="X779" s="144"/>
      <c r="Y779" s="144"/>
      <c r="Z779" s="144"/>
      <c r="AA779" s="144"/>
      <c r="AB779" s="144"/>
      <c r="AC779" s="144"/>
      <c r="AD779" s="144"/>
      <c r="AE779" s="144"/>
      <c r="AF779" s="144"/>
    </row>
    <row r="780" ht="16.5" customHeight="1">
      <c r="A780" s="144"/>
      <c r="B780" s="144"/>
      <c r="C780" s="144"/>
      <c r="D780" s="144"/>
      <c r="E780" s="144"/>
      <c r="F780" s="144"/>
      <c r="G780" s="144"/>
      <c r="H780" s="144"/>
      <c r="I780" s="496"/>
      <c r="J780" s="496"/>
      <c r="K780" s="496"/>
      <c r="L780" s="496"/>
      <c r="M780" s="144"/>
      <c r="N780" s="144"/>
      <c r="O780" s="144"/>
      <c r="P780" s="144"/>
      <c r="Q780" s="144"/>
      <c r="R780" s="144"/>
      <c r="S780" s="144"/>
      <c r="T780" s="144"/>
      <c r="U780" s="144"/>
      <c r="V780" s="144"/>
      <c r="W780" s="144"/>
      <c r="X780" s="144"/>
      <c r="Y780" s="144"/>
      <c r="Z780" s="144"/>
      <c r="AA780" s="144"/>
      <c r="AB780" s="144"/>
      <c r="AC780" s="144"/>
      <c r="AD780" s="144"/>
      <c r="AE780" s="144"/>
      <c r="AF780" s="144"/>
    </row>
    <row r="781" ht="16.5" customHeight="1">
      <c r="A781" s="144"/>
      <c r="B781" s="144"/>
      <c r="C781" s="144"/>
      <c r="D781" s="144"/>
      <c r="E781" s="144"/>
      <c r="F781" s="144"/>
      <c r="G781" s="144"/>
      <c r="H781" s="144"/>
      <c r="I781" s="496"/>
      <c r="J781" s="496"/>
      <c r="K781" s="496"/>
      <c r="L781" s="496"/>
      <c r="M781" s="144"/>
      <c r="N781" s="144"/>
      <c r="O781" s="144"/>
      <c r="P781" s="144"/>
      <c r="Q781" s="144"/>
      <c r="R781" s="144"/>
      <c r="S781" s="144"/>
      <c r="T781" s="144"/>
      <c r="U781" s="144"/>
      <c r="V781" s="144"/>
      <c r="W781" s="144"/>
      <c r="X781" s="144"/>
      <c r="Y781" s="144"/>
      <c r="Z781" s="144"/>
      <c r="AA781" s="144"/>
      <c r="AB781" s="144"/>
      <c r="AC781" s="144"/>
      <c r="AD781" s="144"/>
      <c r="AE781" s="144"/>
      <c r="AF781" s="144"/>
    </row>
    <row r="782" ht="16.5" customHeight="1">
      <c r="A782" s="144"/>
      <c r="B782" s="144"/>
      <c r="C782" s="144"/>
      <c r="D782" s="144"/>
      <c r="E782" s="144"/>
      <c r="F782" s="144"/>
      <c r="G782" s="144"/>
      <c r="H782" s="144"/>
      <c r="I782" s="496"/>
      <c r="J782" s="496"/>
      <c r="K782" s="496"/>
      <c r="L782" s="496"/>
      <c r="M782" s="144"/>
      <c r="N782" s="144"/>
      <c r="O782" s="144"/>
      <c r="P782" s="144"/>
      <c r="Q782" s="144"/>
      <c r="R782" s="144"/>
      <c r="S782" s="144"/>
      <c r="T782" s="144"/>
      <c r="U782" s="144"/>
      <c r="V782" s="144"/>
      <c r="W782" s="144"/>
      <c r="X782" s="144"/>
      <c r="Y782" s="144"/>
      <c r="Z782" s="144"/>
      <c r="AA782" s="144"/>
      <c r="AB782" s="144"/>
      <c r="AC782" s="144"/>
      <c r="AD782" s="144"/>
      <c r="AE782" s="144"/>
      <c r="AF782" s="144"/>
    </row>
    <row r="783" ht="16.5" customHeight="1">
      <c r="A783" s="144"/>
      <c r="B783" s="144"/>
      <c r="C783" s="144"/>
      <c r="D783" s="144"/>
      <c r="E783" s="144"/>
      <c r="F783" s="144"/>
      <c r="G783" s="144"/>
      <c r="H783" s="144"/>
      <c r="I783" s="496"/>
      <c r="J783" s="496"/>
      <c r="K783" s="496"/>
      <c r="L783" s="496"/>
      <c r="M783" s="144"/>
      <c r="N783" s="144"/>
      <c r="O783" s="144"/>
      <c r="P783" s="144"/>
      <c r="Q783" s="144"/>
      <c r="R783" s="144"/>
      <c r="S783" s="144"/>
      <c r="T783" s="144"/>
      <c r="U783" s="144"/>
      <c r="V783" s="144"/>
      <c r="W783" s="144"/>
      <c r="X783" s="144"/>
      <c r="Y783" s="144"/>
      <c r="Z783" s="144"/>
      <c r="AA783" s="144"/>
      <c r="AB783" s="144"/>
      <c r="AC783" s="144"/>
      <c r="AD783" s="144"/>
      <c r="AE783" s="144"/>
      <c r="AF783" s="144"/>
    </row>
    <row r="784" ht="16.5" customHeight="1">
      <c r="A784" s="144"/>
      <c r="B784" s="144"/>
      <c r="C784" s="144"/>
      <c r="D784" s="144"/>
      <c r="E784" s="144"/>
      <c r="F784" s="144"/>
      <c r="G784" s="144"/>
      <c r="H784" s="144"/>
      <c r="I784" s="496"/>
      <c r="J784" s="496"/>
      <c r="K784" s="496"/>
      <c r="L784" s="496"/>
      <c r="M784" s="144"/>
      <c r="N784" s="144"/>
      <c r="O784" s="144"/>
      <c r="P784" s="144"/>
      <c r="Q784" s="144"/>
      <c r="R784" s="144"/>
      <c r="S784" s="144"/>
      <c r="T784" s="144"/>
      <c r="U784" s="144"/>
      <c r="V784" s="144"/>
      <c r="W784" s="144"/>
      <c r="X784" s="144"/>
      <c r="Y784" s="144"/>
      <c r="Z784" s="144"/>
      <c r="AA784" s="144"/>
      <c r="AB784" s="144"/>
      <c r="AC784" s="144"/>
      <c r="AD784" s="144"/>
      <c r="AE784" s="144"/>
      <c r="AF784" s="144"/>
    </row>
    <row r="785" ht="16.5" customHeight="1">
      <c r="A785" s="144"/>
      <c r="B785" s="144"/>
      <c r="C785" s="144"/>
      <c r="D785" s="144"/>
      <c r="E785" s="144"/>
      <c r="F785" s="144"/>
      <c r="G785" s="144"/>
      <c r="H785" s="144"/>
      <c r="I785" s="496"/>
      <c r="J785" s="496"/>
      <c r="K785" s="496"/>
      <c r="L785" s="496"/>
      <c r="M785" s="144"/>
      <c r="N785" s="144"/>
      <c r="O785" s="144"/>
      <c r="P785" s="144"/>
      <c r="Q785" s="144"/>
      <c r="R785" s="144"/>
      <c r="S785" s="144"/>
      <c r="T785" s="144"/>
      <c r="U785" s="144"/>
      <c r="V785" s="144"/>
      <c r="W785" s="144"/>
      <c r="X785" s="144"/>
      <c r="Y785" s="144"/>
      <c r="Z785" s="144"/>
      <c r="AA785" s="144"/>
      <c r="AB785" s="144"/>
      <c r="AC785" s="144"/>
      <c r="AD785" s="144"/>
      <c r="AE785" s="144"/>
      <c r="AF785" s="144"/>
    </row>
    <row r="786" ht="16.5" customHeight="1">
      <c r="A786" s="144"/>
      <c r="B786" s="144"/>
      <c r="C786" s="144"/>
      <c r="D786" s="144"/>
      <c r="E786" s="144"/>
      <c r="F786" s="144"/>
      <c r="G786" s="144"/>
      <c r="H786" s="144"/>
      <c r="I786" s="496"/>
      <c r="J786" s="496"/>
      <c r="K786" s="496"/>
      <c r="L786" s="496"/>
      <c r="M786" s="144"/>
      <c r="N786" s="144"/>
      <c r="O786" s="144"/>
      <c r="P786" s="144"/>
      <c r="Q786" s="144"/>
      <c r="R786" s="144"/>
      <c r="S786" s="144"/>
      <c r="T786" s="144"/>
      <c r="U786" s="144"/>
      <c r="V786" s="144"/>
      <c r="W786" s="144"/>
      <c r="X786" s="144"/>
      <c r="Y786" s="144"/>
      <c r="Z786" s="144"/>
      <c r="AA786" s="144"/>
      <c r="AB786" s="144"/>
      <c r="AC786" s="144"/>
      <c r="AD786" s="144"/>
      <c r="AE786" s="144"/>
      <c r="AF786" s="144"/>
    </row>
    <row r="787" ht="16.5" customHeight="1">
      <c r="A787" s="144"/>
      <c r="B787" s="144"/>
      <c r="C787" s="144"/>
      <c r="D787" s="144"/>
      <c r="E787" s="144"/>
      <c r="F787" s="144"/>
      <c r="G787" s="144"/>
      <c r="H787" s="144"/>
      <c r="I787" s="496"/>
      <c r="J787" s="496"/>
      <c r="K787" s="496"/>
      <c r="L787" s="496"/>
      <c r="M787" s="144"/>
      <c r="N787" s="144"/>
      <c r="O787" s="144"/>
      <c r="P787" s="144"/>
      <c r="Q787" s="144"/>
      <c r="R787" s="144"/>
      <c r="S787" s="144"/>
      <c r="T787" s="144"/>
      <c r="U787" s="144"/>
      <c r="V787" s="144"/>
      <c r="W787" s="144"/>
      <c r="X787" s="144"/>
      <c r="Y787" s="144"/>
      <c r="Z787" s="144"/>
      <c r="AA787" s="144"/>
      <c r="AB787" s="144"/>
      <c r="AC787" s="144"/>
      <c r="AD787" s="144"/>
      <c r="AE787" s="144"/>
      <c r="AF787" s="144"/>
    </row>
    <row r="788" ht="16.5" customHeight="1">
      <c r="A788" s="144"/>
      <c r="B788" s="144"/>
      <c r="C788" s="144"/>
      <c r="D788" s="144"/>
      <c r="E788" s="144"/>
      <c r="F788" s="144"/>
      <c r="G788" s="144"/>
      <c r="H788" s="144"/>
      <c r="I788" s="496"/>
      <c r="J788" s="496"/>
      <c r="K788" s="496"/>
      <c r="L788" s="496"/>
      <c r="M788" s="144"/>
      <c r="N788" s="144"/>
      <c r="O788" s="144"/>
      <c r="P788" s="144"/>
      <c r="Q788" s="144"/>
      <c r="R788" s="144"/>
      <c r="S788" s="144"/>
      <c r="T788" s="144"/>
      <c r="U788" s="144"/>
      <c r="V788" s="144"/>
      <c r="W788" s="144"/>
      <c r="X788" s="144"/>
      <c r="Y788" s="144"/>
      <c r="Z788" s="144"/>
      <c r="AA788" s="144"/>
      <c r="AB788" s="144"/>
      <c r="AC788" s="144"/>
      <c r="AD788" s="144"/>
      <c r="AE788" s="144"/>
      <c r="AF788" s="144"/>
    </row>
    <row r="789" ht="16.5" customHeight="1">
      <c r="A789" s="144"/>
      <c r="B789" s="144"/>
      <c r="C789" s="144"/>
      <c r="D789" s="144"/>
      <c r="E789" s="144"/>
      <c r="F789" s="144"/>
      <c r="G789" s="144"/>
      <c r="H789" s="144"/>
      <c r="I789" s="496"/>
      <c r="J789" s="496"/>
      <c r="K789" s="496"/>
      <c r="L789" s="496"/>
      <c r="M789" s="144"/>
      <c r="N789" s="144"/>
      <c r="O789" s="144"/>
      <c r="P789" s="144"/>
      <c r="Q789" s="144"/>
      <c r="R789" s="144"/>
      <c r="S789" s="144"/>
      <c r="T789" s="144"/>
      <c r="U789" s="144"/>
      <c r="V789" s="144"/>
      <c r="W789" s="144"/>
      <c r="X789" s="144"/>
      <c r="Y789" s="144"/>
      <c r="Z789" s="144"/>
      <c r="AA789" s="144"/>
      <c r="AB789" s="144"/>
      <c r="AC789" s="144"/>
      <c r="AD789" s="144"/>
      <c r="AE789" s="144"/>
      <c r="AF789" s="144"/>
    </row>
    <row r="790" ht="16.5" customHeight="1">
      <c r="A790" s="144"/>
      <c r="B790" s="144"/>
      <c r="C790" s="144"/>
      <c r="D790" s="144"/>
      <c r="E790" s="144"/>
      <c r="F790" s="144"/>
      <c r="G790" s="144"/>
      <c r="H790" s="144"/>
      <c r="I790" s="496"/>
      <c r="J790" s="496"/>
      <c r="K790" s="496"/>
      <c r="L790" s="496"/>
      <c r="M790" s="144"/>
      <c r="N790" s="144"/>
      <c r="O790" s="144"/>
      <c r="P790" s="144"/>
      <c r="Q790" s="144"/>
      <c r="R790" s="144"/>
      <c r="S790" s="144"/>
      <c r="T790" s="144"/>
      <c r="U790" s="144"/>
      <c r="V790" s="144"/>
      <c r="W790" s="144"/>
      <c r="X790" s="144"/>
      <c r="Y790" s="144"/>
      <c r="Z790" s="144"/>
      <c r="AA790" s="144"/>
      <c r="AB790" s="144"/>
      <c r="AC790" s="144"/>
      <c r="AD790" s="144"/>
      <c r="AE790" s="144"/>
      <c r="AF790" s="144"/>
    </row>
    <row r="791" ht="16.5" customHeight="1">
      <c r="A791" s="144"/>
      <c r="B791" s="144"/>
      <c r="C791" s="144"/>
      <c r="D791" s="144"/>
      <c r="E791" s="144"/>
      <c r="F791" s="144"/>
      <c r="G791" s="144"/>
      <c r="H791" s="144"/>
      <c r="I791" s="496"/>
      <c r="J791" s="496"/>
      <c r="K791" s="496"/>
      <c r="L791" s="496"/>
      <c r="M791" s="144"/>
      <c r="N791" s="144"/>
      <c r="O791" s="144"/>
      <c r="P791" s="144"/>
      <c r="Q791" s="144"/>
      <c r="R791" s="144"/>
      <c r="S791" s="144"/>
      <c r="T791" s="144"/>
      <c r="U791" s="144"/>
      <c r="V791" s="144"/>
      <c r="W791" s="144"/>
      <c r="X791" s="144"/>
      <c r="Y791" s="144"/>
      <c r="Z791" s="144"/>
      <c r="AA791" s="144"/>
      <c r="AB791" s="144"/>
      <c r="AC791" s="144"/>
      <c r="AD791" s="144"/>
      <c r="AE791" s="144"/>
      <c r="AF791" s="144"/>
    </row>
    <row r="792" ht="16.5" customHeight="1">
      <c r="A792" s="144"/>
      <c r="B792" s="144"/>
      <c r="C792" s="144"/>
      <c r="D792" s="144"/>
      <c r="E792" s="144"/>
      <c r="F792" s="144"/>
      <c r="G792" s="144"/>
      <c r="H792" s="144"/>
      <c r="I792" s="496"/>
      <c r="J792" s="496"/>
      <c r="K792" s="496"/>
      <c r="L792" s="496"/>
      <c r="M792" s="144"/>
      <c r="N792" s="144"/>
      <c r="O792" s="144"/>
      <c r="P792" s="144"/>
      <c r="Q792" s="144"/>
      <c r="R792" s="144"/>
      <c r="S792" s="144"/>
      <c r="T792" s="144"/>
      <c r="U792" s="144"/>
      <c r="V792" s="144"/>
      <c r="W792" s="144"/>
      <c r="X792" s="144"/>
      <c r="Y792" s="144"/>
      <c r="Z792" s="144"/>
      <c r="AA792" s="144"/>
      <c r="AB792" s="144"/>
      <c r="AC792" s="144"/>
      <c r="AD792" s="144"/>
      <c r="AE792" s="144"/>
      <c r="AF792" s="144"/>
    </row>
    <row r="793" ht="16.5" customHeight="1">
      <c r="A793" s="144"/>
      <c r="B793" s="144"/>
      <c r="C793" s="144"/>
      <c r="D793" s="144"/>
      <c r="E793" s="144"/>
      <c r="F793" s="144"/>
      <c r="G793" s="144"/>
      <c r="H793" s="144"/>
      <c r="I793" s="496"/>
      <c r="J793" s="496"/>
      <c r="K793" s="496"/>
      <c r="L793" s="496"/>
      <c r="M793" s="144"/>
      <c r="N793" s="144"/>
      <c r="O793" s="144"/>
      <c r="P793" s="144"/>
      <c r="Q793" s="144"/>
      <c r="R793" s="144"/>
      <c r="S793" s="144"/>
      <c r="T793" s="144"/>
      <c r="U793" s="144"/>
      <c r="V793" s="144"/>
      <c r="W793" s="144"/>
      <c r="X793" s="144"/>
      <c r="Y793" s="144"/>
      <c r="Z793" s="144"/>
      <c r="AA793" s="144"/>
      <c r="AB793" s="144"/>
      <c r="AC793" s="144"/>
      <c r="AD793" s="144"/>
      <c r="AE793" s="144"/>
      <c r="AF793" s="144"/>
    </row>
    <row r="794" ht="16.5" customHeight="1">
      <c r="A794" s="144"/>
      <c r="B794" s="144"/>
      <c r="C794" s="144"/>
      <c r="D794" s="144"/>
      <c r="E794" s="144"/>
      <c r="F794" s="144"/>
      <c r="G794" s="144"/>
      <c r="H794" s="144"/>
      <c r="I794" s="496"/>
      <c r="J794" s="496"/>
      <c r="K794" s="496"/>
      <c r="L794" s="496"/>
      <c r="M794" s="144"/>
      <c r="N794" s="144"/>
      <c r="O794" s="144"/>
      <c r="P794" s="144"/>
      <c r="Q794" s="144"/>
      <c r="R794" s="144"/>
      <c r="S794" s="144"/>
      <c r="T794" s="144"/>
      <c r="U794" s="144"/>
      <c r="V794" s="144"/>
      <c r="W794" s="144"/>
      <c r="X794" s="144"/>
      <c r="Y794" s="144"/>
      <c r="Z794" s="144"/>
      <c r="AA794" s="144"/>
      <c r="AB794" s="144"/>
      <c r="AC794" s="144"/>
      <c r="AD794" s="144"/>
      <c r="AE794" s="144"/>
      <c r="AF794" s="144"/>
    </row>
    <row r="795" ht="16.5" customHeight="1">
      <c r="A795" s="144"/>
      <c r="B795" s="144"/>
      <c r="C795" s="144"/>
      <c r="D795" s="144"/>
      <c r="E795" s="144"/>
      <c r="F795" s="144"/>
      <c r="G795" s="144"/>
      <c r="H795" s="144"/>
      <c r="I795" s="496"/>
      <c r="J795" s="496"/>
      <c r="K795" s="496"/>
      <c r="L795" s="496"/>
      <c r="M795" s="144"/>
      <c r="N795" s="144"/>
      <c r="O795" s="144"/>
      <c r="P795" s="144"/>
      <c r="Q795" s="144"/>
      <c r="R795" s="144"/>
      <c r="S795" s="144"/>
      <c r="T795" s="144"/>
      <c r="U795" s="144"/>
      <c r="V795" s="144"/>
      <c r="W795" s="144"/>
      <c r="X795" s="144"/>
      <c r="Y795" s="144"/>
      <c r="Z795" s="144"/>
      <c r="AA795" s="144"/>
      <c r="AB795" s="144"/>
      <c r="AC795" s="144"/>
      <c r="AD795" s="144"/>
      <c r="AE795" s="144"/>
      <c r="AF795" s="144"/>
    </row>
    <row r="796" ht="16.5" customHeight="1">
      <c r="A796" s="144"/>
      <c r="B796" s="144"/>
      <c r="C796" s="144"/>
      <c r="D796" s="144"/>
      <c r="E796" s="144"/>
      <c r="F796" s="144"/>
      <c r="G796" s="144"/>
      <c r="H796" s="144"/>
      <c r="I796" s="496"/>
      <c r="J796" s="496"/>
      <c r="K796" s="496"/>
      <c r="L796" s="496"/>
      <c r="M796" s="144"/>
      <c r="N796" s="144"/>
      <c r="O796" s="144"/>
      <c r="P796" s="144"/>
      <c r="Q796" s="144"/>
      <c r="R796" s="144"/>
      <c r="S796" s="144"/>
      <c r="T796" s="144"/>
      <c r="U796" s="144"/>
      <c r="V796" s="144"/>
      <c r="W796" s="144"/>
      <c r="X796" s="144"/>
      <c r="Y796" s="144"/>
      <c r="Z796" s="144"/>
      <c r="AA796" s="144"/>
      <c r="AB796" s="144"/>
      <c r="AC796" s="144"/>
      <c r="AD796" s="144"/>
      <c r="AE796" s="144"/>
      <c r="AF796" s="144"/>
    </row>
    <row r="797" ht="16.5" customHeight="1">
      <c r="A797" s="144"/>
      <c r="B797" s="144"/>
      <c r="C797" s="144"/>
      <c r="D797" s="144"/>
      <c r="E797" s="144"/>
      <c r="F797" s="144"/>
      <c r="G797" s="144"/>
      <c r="H797" s="144"/>
      <c r="I797" s="496"/>
      <c r="J797" s="496"/>
      <c r="K797" s="496"/>
      <c r="L797" s="496"/>
      <c r="M797" s="144"/>
      <c r="N797" s="144"/>
      <c r="O797" s="144"/>
      <c r="P797" s="144"/>
      <c r="Q797" s="144"/>
      <c r="R797" s="144"/>
      <c r="S797" s="144"/>
      <c r="T797" s="144"/>
      <c r="U797" s="144"/>
      <c r="V797" s="144"/>
      <c r="W797" s="144"/>
      <c r="X797" s="144"/>
      <c r="Y797" s="144"/>
      <c r="Z797" s="144"/>
      <c r="AA797" s="144"/>
      <c r="AB797" s="144"/>
      <c r="AC797" s="144"/>
      <c r="AD797" s="144"/>
      <c r="AE797" s="144"/>
      <c r="AF797" s="144"/>
    </row>
    <row r="798" ht="16.5" customHeight="1">
      <c r="A798" s="144"/>
      <c r="B798" s="144"/>
      <c r="C798" s="144"/>
      <c r="D798" s="144"/>
      <c r="E798" s="144"/>
      <c r="F798" s="144"/>
      <c r="G798" s="144"/>
      <c r="H798" s="144"/>
      <c r="I798" s="496"/>
      <c r="J798" s="496"/>
      <c r="K798" s="496"/>
      <c r="L798" s="496"/>
      <c r="M798" s="144"/>
      <c r="N798" s="144"/>
      <c r="O798" s="144"/>
      <c r="P798" s="144"/>
      <c r="Q798" s="144"/>
      <c r="R798" s="144"/>
      <c r="S798" s="144"/>
      <c r="T798" s="144"/>
      <c r="U798" s="144"/>
      <c r="V798" s="144"/>
      <c r="W798" s="144"/>
      <c r="X798" s="144"/>
      <c r="Y798" s="144"/>
      <c r="Z798" s="144"/>
      <c r="AA798" s="144"/>
      <c r="AB798" s="144"/>
      <c r="AC798" s="144"/>
      <c r="AD798" s="144"/>
      <c r="AE798" s="144"/>
      <c r="AF798" s="144"/>
    </row>
    <row r="799" ht="16.5" customHeight="1">
      <c r="A799" s="144"/>
      <c r="B799" s="144"/>
      <c r="C799" s="144"/>
      <c r="D799" s="144"/>
      <c r="E799" s="144"/>
      <c r="F799" s="144"/>
      <c r="G799" s="144"/>
      <c r="H799" s="144"/>
      <c r="I799" s="496"/>
      <c r="J799" s="496"/>
      <c r="K799" s="496"/>
      <c r="L799" s="496"/>
      <c r="M799" s="144"/>
      <c r="N799" s="144"/>
      <c r="O799" s="144"/>
      <c r="P799" s="144"/>
      <c r="Q799" s="144"/>
      <c r="R799" s="144"/>
      <c r="S799" s="144"/>
      <c r="T799" s="144"/>
      <c r="U799" s="144"/>
      <c r="V799" s="144"/>
      <c r="W799" s="144"/>
      <c r="X799" s="144"/>
      <c r="Y799" s="144"/>
      <c r="Z799" s="144"/>
      <c r="AA799" s="144"/>
      <c r="AB799" s="144"/>
      <c r="AC799" s="144"/>
      <c r="AD799" s="144"/>
      <c r="AE799" s="144"/>
      <c r="AF799" s="144"/>
    </row>
    <row r="800" ht="16.5" customHeight="1">
      <c r="A800" s="144"/>
      <c r="B800" s="144"/>
      <c r="C800" s="144"/>
      <c r="D800" s="144"/>
      <c r="E800" s="144"/>
      <c r="F800" s="144"/>
      <c r="G800" s="144"/>
      <c r="H800" s="144"/>
      <c r="I800" s="496"/>
      <c r="J800" s="496"/>
      <c r="K800" s="496"/>
      <c r="L800" s="496"/>
      <c r="M800" s="144"/>
      <c r="N800" s="144"/>
      <c r="O800" s="144"/>
      <c r="P800" s="144"/>
      <c r="Q800" s="144"/>
      <c r="R800" s="144"/>
      <c r="S800" s="144"/>
      <c r="T800" s="144"/>
      <c r="U800" s="144"/>
      <c r="V800" s="144"/>
      <c r="W800" s="144"/>
      <c r="X800" s="144"/>
      <c r="Y800" s="144"/>
      <c r="Z800" s="144"/>
      <c r="AA800" s="144"/>
      <c r="AB800" s="144"/>
      <c r="AC800" s="144"/>
      <c r="AD800" s="144"/>
      <c r="AE800" s="144"/>
      <c r="AF800" s="144"/>
    </row>
    <row r="801" ht="16.5" customHeight="1">
      <c r="A801" s="144"/>
      <c r="B801" s="144"/>
      <c r="C801" s="144"/>
      <c r="D801" s="144"/>
      <c r="E801" s="144"/>
      <c r="F801" s="144"/>
      <c r="G801" s="144"/>
      <c r="H801" s="144"/>
      <c r="I801" s="496"/>
      <c r="J801" s="496"/>
      <c r="K801" s="496"/>
      <c r="L801" s="496"/>
      <c r="M801" s="144"/>
      <c r="N801" s="144"/>
      <c r="O801" s="144"/>
      <c r="P801" s="144"/>
      <c r="Q801" s="144"/>
      <c r="R801" s="144"/>
      <c r="S801" s="144"/>
      <c r="T801" s="144"/>
      <c r="U801" s="144"/>
      <c r="V801" s="144"/>
      <c r="W801" s="144"/>
      <c r="X801" s="144"/>
      <c r="Y801" s="144"/>
      <c r="Z801" s="144"/>
      <c r="AA801" s="144"/>
      <c r="AB801" s="144"/>
      <c r="AC801" s="144"/>
      <c r="AD801" s="144"/>
      <c r="AE801" s="144"/>
      <c r="AF801" s="144"/>
    </row>
    <row r="802" ht="16.5" customHeight="1">
      <c r="A802" s="144"/>
      <c r="B802" s="144"/>
      <c r="C802" s="144"/>
      <c r="D802" s="144"/>
      <c r="E802" s="144"/>
      <c r="F802" s="144"/>
      <c r="G802" s="144"/>
      <c r="H802" s="144"/>
      <c r="I802" s="496"/>
      <c r="J802" s="496"/>
      <c r="K802" s="496"/>
      <c r="L802" s="496"/>
      <c r="M802" s="144"/>
      <c r="N802" s="144"/>
      <c r="O802" s="144"/>
      <c r="P802" s="144"/>
      <c r="Q802" s="144"/>
      <c r="R802" s="144"/>
      <c r="S802" s="144"/>
      <c r="T802" s="144"/>
      <c r="U802" s="144"/>
      <c r="V802" s="144"/>
      <c r="W802" s="144"/>
      <c r="X802" s="144"/>
      <c r="Y802" s="144"/>
      <c r="Z802" s="144"/>
      <c r="AA802" s="144"/>
      <c r="AB802" s="144"/>
      <c r="AC802" s="144"/>
      <c r="AD802" s="144"/>
      <c r="AE802" s="144"/>
      <c r="AF802" s="144"/>
    </row>
    <row r="803" ht="16.5" customHeight="1">
      <c r="A803" s="144"/>
      <c r="B803" s="144"/>
      <c r="C803" s="144"/>
      <c r="D803" s="144"/>
      <c r="E803" s="144"/>
      <c r="F803" s="144"/>
      <c r="G803" s="144"/>
      <c r="H803" s="144"/>
      <c r="I803" s="496"/>
      <c r="J803" s="496"/>
      <c r="K803" s="496"/>
      <c r="L803" s="496"/>
      <c r="M803" s="144"/>
      <c r="N803" s="144"/>
      <c r="O803" s="144"/>
      <c r="P803" s="144"/>
      <c r="Q803" s="144"/>
      <c r="R803" s="144"/>
      <c r="S803" s="144"/>
      <c r="T803" s="144"/>
      <c r="U803" s="144"/>
      <c r="V803" s="144"/>
      <c r="W803" s="144"/>
      <c r="X803" s="144"/>
      <c r="Y803" s="144"/>
      <c r="Z803" s="144"/>
      <c r="AA803" s="144"/>
      <c r="AB803" s="144"/>
      <c r="AC803" s="144"/>
      <c r="AD803" s="144"/>
      <c r="AE803" s="144"/>
      <c r="AF803" s="144"/>
    </row>
    <row r="804" ht="16.5" customHeight="1">
      <c r="A804" s="144"/>
      <c r="B804" s="144"/>
      <c r="C804" s="144"/>
      <c r="D804" s="144"/>
      <c r="E804" s="144"/>
      <c r="F804" s="144"/>
      <c r="G804" s="144"/>
      <c r="H804" s="144"/>
      <c r="I804" s="496"/>
      <c r="J804" s="496"/>
      <c r="K804" s="496"/>
      <c r="L804" s="496"/>
      <c r="M804" s="144"/>
      <c r="N804" s="144"/>
      <c r="O804" s="144"/>
      <c r="P804" s="144"/>
      <c r="Q804" s="144"/>
      <c r="R804" s="144"/>
      <c r="S804" s="144"/>
      <c r="T804" s="144"/>
      <c r="U804" s="144"/>
      <c r="V804" s="144"/>
      <c r="W804" s="144"/>
      <c r="X804" s="144"/>
      <c r="Y804" s="144"/>
      <c r="Z804" s="144"/>
      <c r="AA804" s="144"/>
      <c r="AB804" s="144"/>
      <c r="AC804" s="144"/>
      <c r="AD804" s="144"/>
      <c r="AE804" s="144"/>
      <c r="AF804" s="144"/>
    </row>
    <row r="805" ht="16.5" customHeight="1">
      <c r="A805" s="144"/>
      <c r="B805" s="144"/>
      <c r="C805" s="144"/>
      <c r="D805" s="144"/>
      <c r="E805" s="144"/>
      <c r="F805" s="144"/>
      <c r="G805" s="144"/>
      <c r="H805" s="144"/>
      <c r="I805" s="496"/>
      <c r="J805" s="496"/>
      <c r="K805" s="496"/>
      <c r="L805" s="496"/>
      <c r="M805" s="144"/>
      <c r="N805" s="144"/>
      <c r="O805" s="144"/>
      <c r="P805" s="144"/>
      <c r="Q805" s="144"/>
      <c r="R805" s="144"/>
      <c r="S805" s="144"/>
      <c r="T805" s="144"/>
      <c r="U805" s="144"/>
      <c r="V805" s="144"/>
      <c r="W805" s="144"/>
      <c r="X805" s="144"/>
      <c r="Y805" s="144"/>
      <c r="Z805" s="144"/>
      <c r="AA805" s="144"/>
      <c r="AB805" s="144"/>
      <c r="AC805" s="144"/>
      <c r="AD805" s="144"/>
      <c r="AE805" s="144"/>
      <c r="AF805" s="144"/>
    </row>
    <row r="806" ht="16.5" customHeight="1">
      <c r="A806" s="144"/>
      <c r="B806" s="144"/>
      <c r="C806" s="144"/>
      <c r="D806" s="144"/>
      <c r="E806" s="144"/>
      <c r="F806" s="144"/>
      <c r="G806" s="144"/>
      <c r="H806" s="144"/>
      <c r="I806" s="496"/>
      <c r="J806" s="496"/>
      <c r="K806" s="496"/>
      <c r="L806" s="496"/>
      <c r="M806" s="144"/>
      <c r="N806" s="144"/>
      <c r="O806" s="144"/>
      <c r="P806" s="144"/>
      <c r="Q806" s="144"/>
      <c r="R806" s="144"/>
      <c r="S806" s="144"/>
      <c r="T806" s="144"/>
      <c r="U806" s="144"/>
      <c r="V806" s="144"/>
      <c r="W806" s="144"/>
      <c r="X806" s="144"/>
      <c r="Y806" s="144"/>
      <c r="Z806" s="144"/>
      <c r="AA806" s="144"/>
      <c r="AB806" s="144"/>
      <c r="AC806" s="144"/>
      <c r="AD806" s="144"/>
      <c r="AE806" s="144"/>
      <c r="AF806" s="144"/>
    </row>
    <row r="807" ht="16.5" customHeight="1">
      <c r="A807" s="144"/>
      <c r="B807" s="144"/>
      <c r="C807" s="144"/>
      <c r="D807" s="144"/>
      <c r="E807" s="144"/>
      <c r="F807" s="144"/>
      <c r="G807" s="144"/>
      <c r="H807" s="144"/>
      <c r="I807" s="496"/>
      <c r="J807" s="496"/>
      <c r="K807" s="496"/>
      <c r="L807" s="496"/>
      <c r="M807" s="144"/>
      <c r="N807" s="144"/>
      <c r="O807" s="144"/>
      <c r="P807" s="144"/>
      <c r="Q807" s="144"/>
      <c r="R807" s="144"/>
      <c r="S807" s="144"/>
      <c r="T807" s="144"/>
      <c r="U807" s="144"/>
      <c r="V807" s="144"/>
      <c r="W807" s="144"/>
      <c r="X807" s="144"/>
      <c r="Y807" s="144"/>
      <c r="Z807" s="144"/>
      <c r="AA807" s="144"/>
      <c r="AB807" s="144"/>
      <c r="AC807" s="144"/>
      <c r="AD807" s="144"/>
      <c r="AE807" s="144"/>
      <c r="AF807" s="144"/>
    </row>
    <row r="808" ht="16.5" customHeight="1">
      <c r="A808" s="144"/>
      <c r="B808" s="144"/>
      <c r="C808" s="144"/>
      <c r="D808" s="144"/>
      <c r="E808" s="144"/>
      <c r="F808" s="144"/>
      <c r="G808" s="144"/>
      <c r="H808" s="144"/>
      <c r="I808" s="496"/>
      <c r="J808" s="496"/>
      <c r="K808" s="496"/>
      <c r="L808" s="496"/>
      <c r="M808" s="144"/>
      <c r="N808" s="144"/>
      <c r="O808" s="144"/>
      <c r="P808" s="144"/>
      <c r="Q808" s="144"/>
      <c r="R808" s="144"/>
      <c r="S808" s="144"/>
      <c r="T808" s="144"/>
      <c r="U808" s="144"/>
      <c r="V808" s="144"/>
      <c r="W808" s="144"/>
      <c r="X808" s="144"/>
      <c r="Y808" s="144"/>
      <c r="Z808" s="144"/>
      <c r="AA808" s="144"/>
      <c r="AB808" s="144"/>
      <c r="AC808" s="144"/>
      <c r="AD808" s="144"/>
      <c r="AE808" s="144"/>
      <c r="AF808" s="144"/>
    </row>
    <row r="809" ht="16.5" customHeight="1">
      <c r="A809" s="144"/>
      <c r="B809" s="144"/>
      <c r="C809" s="144"/>
      <c r="D809" s="144"/>
      <c r="E809" s="144"/>
      <c r="F809" s="144"/>
      <c r="G809" s="144"/>
      <c r="H809" s="144"/>
      <c r="I809" s="496"/>
      <c r="J809" s="496"/>
      <c r="K809" s="496"/>
      <c r="L809" s="496"/>
      <c r="M809" s="144"/>
      <c r="N809" s="144"/>
      <c r="O809" s="144"/>
      <c r="P809" s="144"/>
      <c r="Q809" s="144"/>
      <c r="R809" s="144"/>
      <c r="S809" s="144"/>
      <c r="T809" s="144"/>
      <c r="U809" s="144"/>
      <c r="V809" s="144"/>
      <c r="W809" s="144"/>
      <c r="X809" s="144"/>
      <c r="Y809" s="144"/>
      <c r="Z809" s="144"/>
      <c r="AA809" s="144"/>
      <c r="AB809" s="144"/>
      <c r="AC809" s="144"/>
      <c r="AD809" s="144"/>
      <c r="AE809" s="144"/>
      <c r="AF809" s="144"/>
    </row>
    <row r="810" ht="16.5" customHeight="1">
      <c r="A810" s="144"/>
      <c r="B810" s="144"/>
      <c r="C810" s="144"/>
      <c r="D810" s="144"/>
      <c r="E810" s="144"/>
      <c r="F810" s="144"/>
      <c r="G810" s="144"/>
      <c r="H810" s="144"/>
      <c r="I810" s="496"/>
      <c r="J810" s="496"/>
      <c r="K810" s="496"/>
      <c r="L810" s="496"/>
      <c r="M810" s="144"/>
      <c r="N810" s="144"/>
      <c r="O810" s="144"/>
      <c r="P810" s="144"/>
      <c r="Q810" s="144"/>
      <c r="R810" s="144"/>
      <c r="S810" s="144"/>
      <c r="T810" s="144"/>
      <c r="U810" s="144"/>
      <c r="V810" s="144"/>
      <c r="W810" s="144"/>
      <c r="X810" s="144"/>
      <c r="Y810" s="144"/>
      <c r="Z810" s="144"/>
      <c r="AA810" s="144"/>
      <c r="AB810" s="144"/>
      <c r="AC810" s="144"/>
      <c r="AD810" s="144"/>
      <c r="AE810" s="144"/>
      <c r="AF810" s="144"/>
    </row>
    <row r="811" ht="16.5" customHeight="1">
      <c r="A811" s="144"/>
      <c r="B811" s="144"/>
      <c r="C811" s="144"/>
      <c r="D811" s="144"/>
      <c r="E811" s="144"/>
      <c r="F811" s="144"/>
      <c r="G811" s="144"/>
      <c r="H811" s="144"/>
      <c r="I811" s="496"/>
      <c r="J811" s="496"/>
      <c r="K811" s="496"/>
      <c r="L811" s="496"/>
      <c r="M811" s="144"/>
      <c r="N811" s="144"/>
      <c r="O811" s="144"/>
      <c r="P811" s="144"/>
      <c r="Q811" s="144"/>
      <c r="R811" s="144"/>
      <c r="S811" s="144"/>
      <c r="T811" s="144"/>
      <c r="U811" s="144"/>
      <c r="V811" s="144"/>
      <c r="W811" s="144"/>
      <c r="X811" s="144"/>
      <c r="Y811" s="144"/>
      <c r="Z811" s="144"/>
      <c r="AA811" s="144"/>
      <c r="AB811" s="144"/>
      <c r="AC811" s="144"/>
      <c r="AD811" s="144"/>
      <c r="AE811" s="144"/>
      <c r="AF811" s="144"/>
    </row>
    <row r="812" ht="16.5" customHeight="1">
      <c r="A812" s="144"/>
      <c r="B812" s="144"/>
      <c r="C812" s="144"/>
      <c r="D812" s="144"/>
      <c r="E812" s="144"/>
      <c r="F812" s="144"/>
      <c r="G812" s="144"/>
      <c r="H812" s="144"/>
      <c r="I812" s="496"/>
      <c r="J812" s="496"/>
      <c r="K812" s="496"/>
      <c r="L812" s="496"/>
      <c r="M812" s="144"/>
      <c r="N812" s="144"/>
      <c r="O812" s="144"/>
      <c r="P812" s="144"/>
      <c r="Q812" s="144"/>
      <c r="R812" s="144"/>
      <c r="S812" s="144"/>
      <c r="T812" s="144"/>
      <c r="U812" s="144"/>
      <c r="V812" s="144"/>
      <c r="W812" s="144"/>
      <c r="X812" s="144"/>
      <c r="Y812" s="144"/>
      <c r="Z812" s="144"/>
      <c r="AA812" s="144"/>
      <c r="AB812" s="144"/>
      <c r="AC812" s="144"/>
      <c r="AD812" s="144"/>
      <c r="AE812" s="144"/>
      <c r="AF812" s="144"/>
    </row>
    <row r="813" ht="16.5" customHeight="1">
      <c r="A813" s="144"/>
      <c r="B813" s="144"/>
      <c r="C813" s="144"/>
      <c r="D813" s="144"/>
      <c r="E813" s="144"/>
      <c r="F813" s="144"/>
      <c r="G813" s="144"/>
      <c r="H813" s="144"/>
      <c r="I813" s="496"/>
      <c r="J813" s="496"/>
      <c r="K813" s="496"/>
      <c r="L813" s="496"/>
      <c r="M813" s="144"/>
      <c r="N813" s="144"/>
      <c r="O813" s="144"/>
      <c r="P813" s="144"/>
      <c r="Q813" s="144"/>
      <c r="R813" s="144"/>
      <c r="S813" s="144"/>
      <c r="T813" s="144"/>
      <c r="U813" s="144"/>
      <c r="V813" s="144"/>
      <c r="W813" s="144"/>
      <c r="X813" s="144"/>
      <c r="Y813" s="144"/>
      <c r="Z813" s="144"/>
      <c r="AA813" s="144"/>
      <c r="AB813" s="144"/>
      <c r="AC813" s="144"/>
      <c r="AD813" s="144"/>
      <c r="AE813" s="144"/>
      <c r="AF813" s="144"/>
    </row>
    <row r="814" ht="16.5" customHeight="1">
      <c r="A814" s="144"/>
      <c r="B814" s="144"/>
      <c r="C814" s="144"/>
      <c r="D814" s="144"/>
      <c r="E814" s="144"/>
      <c r="F814" s="144"/>
      <c r="G814" s="144"/>
      <c r="H814" s="144"/>
      <c r="I814" s="496"/>
      <c r="J814" s="496"/>
      <c r="K814" s="496"/>
      <c r="L814" s="496"/>
      <c r="M814" s="144"/>
      <c r="N814" s="144"/>
      <c r="O814" s="144"/>
      <c r="P814" s="144"/>
      <c r="Q814" s="144"/>
      <c r="R814" s="144"/>
      <c r="S814" s="144"/>
      <c r="T814" s="144"/>
      <c r="U814" s="144"/>
      <c r="V814" s="144"/>
      <c r="W814" s="144"/>
      <c r="X814" s="144"/>
      <c r="Y814" s="144"/>
      <c r="Z814" s="144"/>
      <c r="AA814" s="144"/>
      <c r="AB814" s="144"/>
      <c r="AC814" s="144"/>
      <c r="AD814" s="144"/>
      <c r="AE814" s="144"/>
      <c r="AF814" s="144"/>
    </row>
    <row r="815" ht="16.5" customHeight="1">
      <c r="A815" s="144"/>
      <c r="B815" s="144"/>
      <c r="C815" s="144"/>
      <c r="D815" s="144"/>
      <c r="E815" s="144"/>
      <c r="F815" s="144"/>
      <c r="G815" s="144"/>
      <c r="H815" s="144"/>
      <c r="I815" s="496"/>
      <c r="J815" s="496"/>
      <c r="K815" s="496"/>
      <c r="L815" s="496"/>
      <c r="M815" s="144"/>
      <c r="N815" s="144"/>
      <c r="O815" s="144"/>
      <c r="P815" s="144"/>
      <c r="Q815" s="144"/>
      <c r="R815" s="144"/>
      <c r="S815" s="144"/>
      <c r="T815" s="144"/>
      <c r="U815" s="144"/>
      <c r="V815" s="144"/>
      <c r="W815" s="144"/>
      <c r="X815" s="144"/>
      <c r="Y815" s="144"/>
      <c r="Z815" s="144"/>
      <c r="AA815" s="144"/>
      <c r="AB815" s="144"/>
      <c r="AC815" s="144"/>
      <c r="AD815" s="144"/>
      <c r="AE815" s="144"/>
      <c r="AF815" s="144"/>
    </row>
    <row r="816" ht="16.5" customHeight="1">
      <c r="A816" s="144"/>
      <c r="B816" s="144"/>
      <c r="C816" s="144"/>
      <c r="D816" s="144"/>
      <c r="E816" s="144"/>
      <c r="F816" s="144"/>
      <c r="G816" s="144"/>
      <c r="H816" s="144"/>
      <c r="I816" s="496"/>
      <c r="J816" s="496"/>
      <c r="K816" s="496"/>
      <c r="L816" s="496"/>
      <c r="M816" s="144"/>
      <c r="N816" s="144"/>
      <c r="O816" s="144"/>
      <c r="P816" s="144"/>
      <c r="Q816" s="144"/>
      <c r="R816" s="144"/>
      <c r="S816" s="144"/>
      <c r="T816" s="144"/>
      <c r="U816" s="144"/>
      <c r="V816" s="144"/>
      <c r="W816" s="144"/>
      <c r="X816" s="144"/>
      <c r="Y816" s="144"/>
      <c r="Z816" s="144"/>
      <c r="AA816" s="144"/>
      <c r="AB816" s="144"/>
      <c r="AC816" s="144"/>
      <c r="AD816" s="144"/>
      <c r="AE816" s="144"/>
      <c r="AF816" s="144"/>
    </row>
    <row r="817" ht="16.5" customHeight="1">
      <c r="A817" s="144"/>
      <c r="B817" s="144"/>
      <c r="C817" s="144"/>
      <c r="D817" s="144"/>
      <c r="E817" s="144"/>
      <c r="F817" s="144"/>
      <c r="G817" s="144"/>
      <c r="H817" s="144"/>
      <c r="I817" s="496"/>
      <c r="J817" s="496"/>
      <c r="K817" s="496"/>
      <c r="L817" s="496"/>
      <c r="M817" s="144"/>
      <c r="N817" s="144"/>
      <c r="O817" s="144"/>
      <c r="P817" s="144"/>
      <c r="Q817" s="144"/>
      <c r="R817" s="144"/>
      <c r="S817" s="144"/>
      <c r="T817" s="144"/>
      <c r="U817" s="144"/>
      <c r="V817" s="144"/>
      <c r="W817" s="144"/>
      <c r="X817" s="144"/>
      <c r="Y817" s="144"/>
      <c r="Z817" s="144"/>
      <c r="AA817" s="144"/>
      <c r="AB817" s="144"/>
      <c r="AC817" s="144"/>
      <c r="AD817" s="144"/>
      <c r="AE817" s="144"/>
      <c r="AF817" s="144"/>
    </row>
    <row r="818" ht="16.5" customHeight="1">
      <c r="A818" s="144"/>
      <c r="B818" s="144"/>
      <c r="C818" s="144"/>
      <c r="D818" s="144"/>
      <c r="E818" s="144"/>
      <c r="F818" s="144"/>
      <c r="G818" s="144"/>
      <c r="H818" s="144"/>
      <c r="I818" s="496"/>
      <c r="J818" s="496"/>
      <c r="K818" s="496"/>
      <c r="L818" s="496"/>
      <c r="M818" s="144"/>
      <c r="N818" s="144"/>
      <c r="O818" s="144"/>
      <c r="P818" s="144"/>
      <c r="Q818" s="144"/>
      <c r="R818" s="144"/>
      <c r="S818" s="144"/>
      <c r="T818" s="144"/>
      <c r="U818" s="144"/>
      <c r="V818" s="144"/>
      <c r="W818" s="144"/>
      <c r="X818" s="144"/>
      <c r="Y818" s="144"/>
      <c r="Z818" s="144"/>
      <c r="AA818" s="144"/>
      <c r="AB818" s="144"/>
      <c r="AC818" s="144"/>
      <c r="AD818" s="144"/>
      <c r="AE818" s="144"/>
      <c r="AF818" s="144"/>
    </row>
    <row r="819" ht="16.5" customHeight="1">
      <c r="A819" s="144"/>
      <c r="B819" s="144"/>
      <c r="C819" s="144"/>
      <c r="D819" s="144"/>
      <c r="E819" s="144"/>
      <c r="F819" s="144"/>
      <c r="G819" s="144"/>
      <c r="H819" s="144"/>
      <c r="I819" s="496"/>
      <c r="J819" s="496"/>
      <c r="K819" s="496"/>
      <c r="L819" s="496"/>
      <c r="M819" s="144"/>
      <c r="N819" s="144"/>
      <c r="O819" s="144"/>
      <c r="P819" s="144"/>
      <c r="Q819" s="144"/>
      <c r="R819" s="144"/>
      <c r="S819" s="144"/>
      <c r="T819" s="144"/>
      <c r="U819" s="144"/>
      <c r="V819" s="144"/>
      <c r="W819" s="144"/>
      <c r="X819" s="144"/>
      <c r="Y819" s="144"/>
      <c r="Z819" s="144"/>
      <c r="AA819" s="144"/>
      <c r="AB819" s="144"/>
      <c r="AC819" s="144"/>
      <c r="AD819" s="144"/>
      <c r="AE819" s="144"/>
      <c r="AF819" s="144"/>
    </row>
    <row r="820" ht="16.5" customHeight="1">
      <c r="A820" s="144"/>
      <c r="B820" s="144"/>
      <c r="C820" s="144"/>
      <c r="D820" s="144"/>
      <c r="E820" s="144"/>
      <c r="F820" s="144"/>
      <c r="G820" s="144"/>
      <c r="H820" s="144"/>
      <c r="I820" s="496"/>
      <c r="J820" s="496"/>
      <c r="K820" s="496"/>
      <c r="L820" s="496"/>
      <c r="M820" s="144"/>
      <c r="N820" s="144"/>
      <c r="O820" s="144"/>
      <c r="P820" s="144"/>
      <c r="Q820" s="144"/>
      <c r="R820" s="144"/>
      <c r="S820" s="144"/>
      <c r="T820" s="144"/>
      <c r="U820" s="144"/>
      <c r="V820" s="144"/>
      <c r="W820" s="144"/>
      <c r="X820" s="144"/>
      <c r="Y820" s="144"/>
      <c r="Z820" s="144"/>
      <c r="AA820" s="144"/>
      <c r="AB820" s="144"/>
      <c r="AC820" s="144"/>
      <c r="AD820" s="144"/>
      <c r="AE820" s="144"/>
      <c r="AF820" s="144"/>
    </row>
    <row r="821" ht="16.5" customHeight="1">
      <c r="A821" s="144"/>
      <c r="B821" s="144"/>
      <c r="C821" s="144"/>
      <c r="D821" s="144"/>
      <c r="E821" s="144"/>
      <c r="F821" s="144"/>
      <c r="G821" s="144"/>
      <c r="H821" s="144"/>
      <c r="I821" s="496"/>
      <c r="J821" s="496"/>
      <c r="K821" s="496"/>
      <c r="L821" s="496"/>
      <c r="M821" s="144"/>
      <c r="N821" s="144"/>
      <c r="O821" s="144"/>
      <c r="P821" s="144"/>
      <c r="Q821" s="144"/>
      <c r="R821" s="144"/>
      <c r="S821" s="144"/>
      <c r="T821" s="144"/>
      <c r="U821" s="144"/>
      <c r="V821" s="144"/>
      <c r="W821" s="144"/>
      <c r="X821" s="144"/>
      <c r="Y821" s="144"/>
      <c r="Z821" s="144"/>
      <c r="AA821" s="144"/>
      <c r="AB821" s="144"/>
      <c r="AC821" s="144"/>
      <c r="AD821" s="144"/>
      <c r="AE821" s="144"/>
      <c r="AF821" s="144"/>
    </row>
    <row r="822" ht="16.5" customHeight="1">
      <c r="A822" s="144"/>
      <c r="B822" s="144"/>
      <c r="C822" s="144"/>
      <c r="D822" s="144"/>
      <c r="E822" s="144"/>
      <c r="F822" s="144"/>
      <c r="G822" s="144"/>
      <c r="H822" s="144"/>
      <c r="I822" s="496"/>
      <c r="J822" s="496"/>
      <c r="K822" s="496"/>
      <c r="L822" s="496"/>
      <c r="M822" s="144"/>
      <c r="N822" s="144"/>
      <c r="O822" s="144"/>
      <c r="P822" s="144"/>
      <c r="Q822" s="144"/>
      <c r="R822" s="144"/>
      <c r="S822" s="144"/>
      <c r="T822" s="144"/>
      <c r="U822" s="144"/>
      <c r="V822" s="144"/>
      <c r="W822" s="144"/>
      <c r="X822" s="144"/>
      <c r="Y822" s="144"/>
      <c r="Z822" s="144"/>
      <c r="AA822" s="144"/>
      <c r="AB822" s="144"/>
      <c r="AC822" s="144"/>
      <c r="AD822" s="144"/>
      <c r="AE822" s="144"/>
      <c r="AF822" s="144"/>
    </row>
    <row r="823" ht="16.5" customHeight="1">
      <c r="A823" s="144"/>
      <c r="B823" s="144"/>
      <c r="C823" s="144"/>
      <c r="D823" s="144"/>
      <c r="E823" s="144"/>
      <c r="F823" s="144"/>
      <c r="G823" s="144"/>
      <c r="H823" s="144"/>
      <c r="I823" s="496"/>
      <c r="J823" s="496"/>
      <c r="K823" s="496"/>
      <c r="L823" s="496"/>
      <c r="M823" s="144"/>
      <c r="N823" s="144"/>
      <c r="O823" s="144"/>
      <c r="P823" s="144"/>
      <c r="Q823" s="144"/>
      <c r="R823" s="144"/>
      <c r="S823" s="144"/>
      <c r="T823" s="144"/>
      <c r="U823" s="144"/>
      <c r="V823" s="144"/>
      <c r="W823" s="144"/>
      <c r="X823" s="144"/>
      <c r="Y823" s="144"/>
      <c r="Z823" s="144"/>
      <c r="AA823" s="144"/>
      <c r="AB823" s="144"/>
      <c r="AC823" s="144"/>
      <c r="AD823" s="144"/>
      <c r="AE823" s="144"/>
      <c r="AF823" s="144"/>
    </row>
    <row r="824" ht="16.5" customHeight="1">
      <c r="A824" s="144"/>
      <c r="B824" s="144"/>
      <c r="C824" s="144"/>
      <c r="D824" s="144"/>
      <c r="E824" s="144"/>
      <c r="F824" s="144"/>
      <c r="G824" s="144"/>
      <c r="H824" s="144"/>
      <c r="I824" s="496"/>
      <c r="J824" s="496"/>
      <c r="K824" s="496"/>
      <c r="L824" s="496"/>
      <c r="M824" s="144"/>
      <c r="N824" s="144"/>
      <c r="O824" s="144"/>
      <c r="P824" s="144"/>
      <c r="Q824" s="144"/>
      <c r="R824" s="144"/>
      <c r="S824" s="144"/>
      <c r="T824" s="144"/>
      <c r="U824" s="144"/>
      <c r="V824" s="144"/>
      <c r="W824" s="144"/>
      <c r="X824" s="144"/>
      <c r="Y824" s="144"/>
      <c r="Z824" s="144"/>
      <c r="AA824" s="144"/>
      <c r="AB824" s="144"/>
      <c r="AC824" s="144"/>
      <c r="AD824" s="144"/>
      <c r="AE824" s="144"/>
      <c r="AF824" s="144"/>
    </row>
    <row r="825" ht="16.5" customHeight="1">
      <c r="A825" s="144"/>
      <c r="B825" s="144"/>
      <c r="C825" s="144"/>
      <c r="D825" s="144"/>
      <c r="E825" s="144"/>
      <c r="F825" s="144"/>
      <c r="G825" s="144"/>
      <c r="H825" s="144"/>
      <c r="I825" s="496"/>
      <c r="J825" s="496"/>
      <c r="K825" s="496"/>
      <c r="L825" s="496"/>
      <c r="M825" s="144"/>
      <c r="N825" s="144"/>
      <c r="O825" s="144"/>
      <c r="P825" s="144"/>
      <c r="Q825" s="144"/>
      <c r="R825" s="144"/>
      <c r="S825" s="144"/>
      <c r="T825" s="144"/>
      <c r="U825" s="144"/>
      <c r="V825" s="144"/>
      <c r="W825" s="144"/>
      <c r="X825" s="144"/>
      <c r="Y825" s="144"/>
      <c r="Z825" s="144"/>
      <c r="AA825" s="144"/>
      <c r="AB825" s="144"/>
      <c r="AC825" s="144"/>
      <c r="AD825" s="144"/>
      <c r="AE825" s="144"/>
      <c r="AF825" s="144"/>
    </row>
    <row r="826" ht="16.5" customHeight="1">
      <c r="A826" s="144"/>
      <c r="B826" s="144"/>
      <c r="C826" s="144"/>
      <c r="D826" s="144"/>
      <c r="E826" s="144"/>
      <c r="F826" s="144"/>
      <c r="G826" s="144"/>
      <c r="H826" s="144"/>
      <c r="I826" s="496"/>
      <c r="J826" s="496"/>
      <c r="K826" s="496"/>
      <c r="L826" s="496"/>
      <c r="M826" s="144"/>
      <c r="N826" s="144"/>
      <c r="O826" s="144"/>
      <c r="P826" s="144"/>
      <c r="Q826" s="144"/>
      <c r="R826" s="144"/>
      <c r="S826" s="144"/>
      <c r="T826" s="144"/>
      <c r="U826" s="144"/>
      <c r="V826" s="144"/>
      <c r="W826" s="144"/>
      <c r="X826" s="144"/>
      <c r="Y826" s="144"/>
      <c r="Z826" s="144"/>
      <c r="AA826" s="144"/>
      <c r="AB826" s="144"/>
      <c r="AC826" s="144"/>
      <c r="AD826" s="144"/>
      <c r="AE826" s="144"/>
      <c r="AF826" s="144"/>
    </row>
    <row r="827" ht="16.5" customHeight="1">
      <c r="A827" s="144"/>
      <c r="B827" s="144"/>
      <c r="C827" s="144"/>
      <c r="D827" s="144"/>
      <c r="E827" s="144"/>
      <c r="F827" s="144"/>
      <c r="G827" s="144"/>
      <c r="H827" s="144"/>
      <c r="I827" s="496"/>
      <c r="J827" s="496"/>
      <c r="K827" s="496"/>
      <c r="L827" s="496"/>
      <c r="M827" s="144"/>
      <c r="N827" s="144"/>
      <c r="O827" s="144"/>
      <c r="P827" s="144"/>
      <c r="Q827" s="144"/>
      <c r="R827" s="144"/>
      <c r="S827" s="144"/>
      <c r="T827" s="144"/>
      <c r="U827" s="144"/>
      <c r="V827" s="144"/>
      <c r="W827" s="144"/>
      <c r="X827" s="144"/>
      <c r="Y827" s="144"/>
      <c r="Z827" s="144"/>
      <c r="AA827" s="144"/>
      <c r="AB827" s="144"/>
      <c r="AC827" s="144"/>
      <c r="AD827" s="144"/>
      <c r="AE827" s="144"/>
      <c r="AF827" s="144"/>
    </row>
    <row r="828" ht="16.5" customHeight="1">
      <c r="A828" s="144"/>
      <c r="B828" s="144"/>
      <c r="C828" s="144"/>
      <c r="D828" s="144"/>
      <c r="E828" s="144"/>
      <c r="F828" s="144"/>
      <c r="G828" s="144"/>
      <c r="H828" s="144"/>
      <c r="I828" s="496"/>
      <c r="J828" s="496"/>
      <c r="K828" s="496"/>
      <c r="L828" s="496"/>
      <c r="M828" s="144"/>
      <c r="N828" s="144"/>
      <c r="O828" s="144"/>
      <c r="P828" s="144"/>
      <c r="Q828" s="144"/>
      <c r="R828" s="144"/>
      <c r="S828" s="144"/>
      <c r="T828" s="144"/>
      <c r="U828" s="144"/>
      <c r="V828" s="144"/>
      <c r="W828" s="144"/>
      <c r="X828" s="144"/>
      <c r="Y828" s="144"/>
      <c r="Z828" s="144"/>
      <c r="AA828" s="144"/>
      <c r="AB828" s="144"/>
      <c r="AC828" s="144"/>
      <c r="AD828" s="144"/>
      <c r="AE828" s="144"/>
      <c r="AF828" s="144"/>
    </row>
    <row r="829" ht="16.5" customHeight="1">
      <c r="A829" s="144"/>
      <c r="B829" s="144"/>
      <c r="C829" s="144"/>
      <c r="D829" s="144"/>
      <c r="E829" s="144"/>
      <c r="F829" s="144"/>
      <c r="G829" s="144"/>
      <c r="H829" s="144"/>
      <c r="I829" s="496"/>
      <c r="J829" s="496"/>
      <c r="K829" s="496"/>
      <c r="L829" s="496"/>
      <c r="M829" s="144"/>
      <c r="N829" s="144"/>
      <c r="O829" s="144"/>
      <c r="P829" s="144"/>
      <c r="Q829" s="144"/>
      <c r="R829" s="144"/>
      <c r="S829" s="144"/>
      <c r="T829" s="144"/>
      <c r="U829" s="144"/>
      <c r="V829" s="144"/>
      <c r="W829" s="144"/>
      <c r="X829" s="144"/>
      <c r="Y829" s="144"/>
      <c r="Z829" s="144"/>
      <c r="AA829" s="144"/>
      <c r="AB829" s="144"/>
      <c r="AC829" s="144"/>
      <c r="AD829" s="144"/>
      <c r="AE829" s="144"/>
      <c r="AF829" s="144"/>
    </row>
    <row r="830" ht="16.5" customHeight="1">
      <c r="A830" s="144"/>
      <c r="B830" s="144"/>
      <c r="C830" s="144"/>
      <c r="D830" s="144"/>
      <c r="E830" s="144"/>
      <c r="F830" s="144"/>
      <c r="G830" s="144"/>
      <c r="H830" s="144"/>
      <c r="I830" s="496"/>
      <c r="J830" s="496"/>
      <c r="K830" s="496"/>
      <c r="L830" s="496"/>
      <c r="M830" s="144"/>
      <c r="N830" s="144"/>
      <c r="O830" s="144"/>
      <c r="P830" s="144"/>
      <c r="Q830" s="144"/>
      <c r="R830" s="144"/>
      <c r="S830" s="144"/>
      <c r="T830" s="144"/>
      <c r="U830" s="144"/>
      <c r="V830" s="144"/>
      <c r="W830" s="144"/>
      <c r="X830" s="144"/>
      <c r="Y830" s="144"/>
      <c r="Z830" s="144"/>
      <c r="AA830" s="144"/>
      <c r="AB830" s="144"/>
      <c r="AC830" s="144"/>
      <c r="AD830" s="144"/>
      <c r="AE830" s="144"/>
      <c r="AF830" s="144"/>
    </row>
    <row r="831" ht="16.5" customHeight="1">
      <c r="A831" s="144"/>
      <c r="B831" s="144"/>
      <c r="C831" s="144"/>
      <c r="D831" s="144"/>
      <c r="E831" s="144"/>
      <c r="F831" s="144"/>
      <c r="G831" s="144"/>
      <c r="H831" s="144"/>
      <c r="I831" s="496"/>
      <c r="J831" s="496"/>
      <c r="K831" s="496"/>
      <c r="L831" s="496"/>
      <c r="M831" s="144"/>
      <c r="N831" s="144"/>
      <c r="O831" s="144"/>
      <c r="P831" s="144"/>
      <c r="Q831" s="144"/>
      <c r="R831" s="144"/>
      <c r="S831" s="144"/>
      <c r="T831" s="144"/>
      <c r="U831" s="144"/>
      <c r="V831" s="144"/>
      <c r="W831" s="144"/>
      <c r="X831" s="144"/>
      <c r="Y831" s="144"/>
      <c r="Z831" s="144"/>
      <c r="AA831" s="144"/>
      <c r="AB831" s="144"/>
      <c r="AC831" s="144"/>
      <c r="AD831" s="144"/>
      <c r="AE831" s="144"/>
      <c r="AF831" s="144"/>
    </row>
    <row r="832" ht="16.5" customHeight="1">
      <c r="A832" s="144"/>
      <c r="B832" s="144"/>
      <c r="C832" s="144"/>
      <c r="D832" s="144"/>
      <c r="E832" s="144"/>
      <c r="F832" s="144"/>
      <c r="G832" s="144"/>
      <c r="H832" s="144"/>
      <c r="I832" s="496"/>
      <c r="J832" s="496"/>
      <c r="K832" s="496"/>
      <c r="L832" s="496"/>
      <c r="M832" s="144"/>
      <c r="N832" s="144"/>
      <c r="O832" s="144"/>
      <c r="P832" s="144"/>
      <c r="Q832" s="144"/>
      <c r="R832" s="144"/>
      <c r="S832" s="144"/>
      <c r="T832" s="144"/>
      <c r="U832" s="144"/>
      <c r="V832" s="144"/>
      <c r="W832" s="144"/>
      <c r="X832" s="144"/>
      <c r="Y832" s="144"/>
      <c r="Z832" s="144"/>
      <c r="AA832" s="144"/>
      <c r="AB832" s="144"/>
      <c r="AC832" s="144"/>
      <c r="AD832" s="144"/>
      <c r="AE832" s="144"/>
      <c r="AF832" s="144"/>
    </row>
    <row r="833" ht="16.5" customHeight="1">
      <c r="A833" s="144"/>
      <c r="B833" s="144"/>
      <c r="C833" s="144"/>
      <c r="D833" s="144"/>
      <c r="E833" s="144"/>
      <c r="F833" s="144"/>
      <c r="G833" s="144"/>
      <c r="H833" s="144"/>
      <c r="I833" s="496"/>
      <c r="J833" s="496"/>
      <c r="K833" s="496"/>
      <c r="L833" s="496"/>
      <c r="M833" s="144"/>
      <c r="N833" s="144"/>
      <c r="O833" s="144"/>
      <c r="P833" s="144"/>
      <c r="Q833" s="144"/>
      <c r="R833" s="144"/>
      <c r="S833" s="144"/>
      <c r="T833" s="144"/>
      <c r="U833" s="144"/>
      <c r="V833" s="144"/>
      <c r="W833" s="144"/>
      <c r="X833" s="144"/>
      <c r="Y833" s="144"/>
      <c r="Z833" s="144"/>
      <c r="AA833" s="144"/>
      <c r="AB833" s="144"/>
      <c r="AC833" s="144"/>
      <c r="AD833" s="144"/>
      <c r="AE833" s="144"/>
      <c r="AF833" s="144"/>
    </row>
    <row r="834" ht="16.5" customHeight="1">
      <c r="A834" s="144"/>
      <c r="B834" s="144"/>
      <c r="C834" s="144"/>
      <c r="D834" s="144"/>
      <c r="E834" s="144"/>
      <c r="F834" s="144"/>
      <c r="G834" s="144"/>
      <c r="H834" s="144"/>
      <c r="I834" s="496"/>
      <c r="J834" s="496"/>
      <c r="K834" s="496"/>
      <c r="L834" s="496"/>
      <c r="M834" s="144"/>
      <c r="N834" s="144"/>
      <c r="O834" s="144"/>
      <c r="P834" s="144"/>
      <c r="Q834" s="144"/>
      <c r="R834" s="144"/>
      <c r="S834" s="144"/>
      <c r="T834" s="144"/>
      <c r="U834" s="144"/>
      <c r="V834" s="144"/>
      <c r="W834" s="144"/>
      <c r="X834" s="144"/>
      <c r="Y834" s="144"/>
      <c r="Z834" s="144"/>
      <c r="AA834" s="144"/>
      <c r="AB834" s="144"/>
      <c r="AC834" s="144"/>
      <c r="AD834" s="144"/>
      <c r="AE834" s="144"/>
      <c r="AF834" s="144"/>
    </row>
    <row r="835" ht="16.5" customHeight="1">
      <c r="A835" s="144"/>
      <c r="B835" s="144"/>
      <c r="C835" s="144"/>
      <c r="D835" s="144"/>
      <c r="E835" s="144"/>
      <c r="F835" s="144"/>
      <c r="G835" s="144"/>
      <c r="H835" s="144"/>
      <c r="I835" s="496"/>
      <c r="J835" s="496"/>
      <c r="K835" s="496"/>
      <c r="L835" s="496"/>
      <c r="M835" s="144"/>
      <c r="N835" s="144"/>
      <c r="O835" s="144"/>
      <c r="P835" s="144"/>
      <c r="Q835" s="144"/>
      <c r="R835" s="144"/>
      <c r="S835" s="144"/>
      <c r="T835" s="144"/>
      <c r="U835" s="144"/>
      <c r="V835" s="144"/>
      <c r="W835" s="144"/>
      <c r="X835" s="144"/>
      <c r="Y835" s="144"/>
      <c r="Z835" s="144"/>
      <c r="AA835" s="144"/>
      <c r="AB835" s="144"/>
      <c r="AC835" s="144"/>
      <c r="AD835" s="144"/>
      <c r="AE835" s="144"/>
      <c r="AF835" s="144"/>
    </row>
    <row r="836" ht="16.5" customHeight="1">
      <c r="A836" s="144"/>
      <c r="B836" s="144"/>
      <c r="C836" s="144"/>
      <c r="D836" s="144"/>
      <c r="E836" s="144"/>
      <c r="F836" s="144"/>
      <c r="G836" s="144"/>
      <c r="H836" s="144"/>
      <c r="I836" s="496"/>
      <c r="J836" s="496"/>
      <c r="K836" s="496"/>
      <c r="L836" s="496"/>
      <c r="M836" s="144"/>
      <c r="N836" s="144"/>
      <c r="O836" s="144"/>
      <c r="P836" s="144"/>
      <c r="Q836" s="144"/>
      <c r="R836" s="144"/>
      <c r="S836" s="144"/>
      <c r="T836" s="144"/>
      <c r="U836" s="144"/>
      <c r="V836" s="144"/>
      <c r="W836" s="144"/>
      <c r="X836" s="144"/>
      <c r="Y836" s="144"/>
      <c r="Z836" s="144"/>
      <c r="AA836" s="144"/>
      <c r="AB836" s="144"/>
      <c r="AC836" s="144"/>
      <c r="AD836" s="144"/>
      <c r="AE836" s="144"/>
      <c r="AF836" s="144"/>
    </row>
    <row r="837" ht="16.5" customHeight="1">
      <c r="A837" s="144"/>
      <c r="B837" s="144"/>
      <c r="C837" s="144"/>
      <c r="D837" s="144"/>
      <c r="E837" s="144"/>
      <c r="F837" s="144"/>
      <c r="G837" s="144"/>
      <c r="H837" s="144"/>
      <c r="I837" s="496"/>
      <c r="J837" s="496"/>
      <c r="K837" s="496"/>
      <c r="L837" s="496"/>
      <c r="M837" s="144"/>
      <c r="N837" s="144"/>
      <c r="O837" s="144"/>
      <c r="P837" s="144"/>
      <c r="Q837" s="144"/>
      <c r="R837" s="144"/>
      <c r="S837" s="144"/>
      <c r="T837" s="144"/>
      <c r="U837" s="144"/>
      <c r="V837" s="144"/>
      <c r="W837" s="144"/>
      <c r="X837" s="144"/>
      <c r="Y837" s="144"/>
      <c r="Z837" s="144"/>
      <c r="AA837" s="144"/>
      <c r="AB837" s="144"/>
      <c r="AC837" s="144"/>
      <c r="AD837" s="144"/>
      <c r="AE837" s="144"/>
      <c r="AF837" s="144"/>
    </row>
    <row r="838" ht="16.5" customHeight="1">
      <c r="A838" s="144"/>
      <c r="B838" s="144"/>
      <c r="C838" s="144"/>
      <c r="D838" s="144"/>
      <c r="E838" s="144"/>
      <c r="F838" s="144"/>
      <c r="G838" s="144"/>
      <c r="H838" s="144"/>
      <c r="I838" s="496"/>
      <c r="J838" s="496"/>
      <c r="K838" s="496"/>
      <c r="L838" s="496"/>
      <c r="M838" s="144"/>
      <c r="N838" s="144"/>
      <c r="O838" s="144"/>
      <c r="P838" s="144"/>
      <c r="Q838" s="144"/>
      <c r="R838" s="144"/>
      <c r="S838" s="144"/>
      <c r="T838" s="144"/>
      <c r="U838" s="144"/>
      <c r="V838" s="144"/>
      <c r="W838" s="144"/>
      <c r="X838" s="144"/>
      <c r="Y838" s="144"/>
      <c r="Z838" s="144"/>
      <c r="AA838" s="144"/>
      <c r="AB838" s="144"/>
      <c r="AC838" s="144"/>
      <c r="AD838" s="144"/>
      <c r="AE838" s="144"/>
      <c r="AF838" s="144"/>
    </row>
    <row r="839" ht="16.5" customHeight="1">
      <c r="A839" s="144"/>
      <c r="B839" s="144"/>
      <c r="C839" s="144"/>
      <c r="D839" s="144"/>
      <c r="E839" s="144"/>
      <c r="F839" s="144"/>
      <c r="G839" s="144"/>
      <c r="H839" s="144"/>
      <c r="I839" s="496"/>
      <c r="J839" s="496"/>
      <c r="K839" s="496"/>
      <c r="L839" s="496"/>
      <c r="M839" s="144"/>
      <c r="N839" s="144"/>
      <c r="O839" s="144"/>
      <c r="P839" s="144"/>
      <c r="Q839" s="144"/>
      <c r="R839" s="144"/>
      <c r="S839" s="144"/>
      <c r="T839" s="144"/>
      <c r="U839" s="144"/>
      <c r="V839" s="144"/>
      <c r="W839" s="144"/>
      <c r="X839" s="144"/>
      <c r="Y839" s="144"/>
      <c r="Z839" s="144"/>
      <c r="AA839" s="144"/>
      <c r="AB839" s="144"/>
      <c r="AC839" s="144"/>
      <c r="AD839" s="144"/>
      <c r="AE839" s="144"/>
      <c r="AF839" s="144"/>
    </row>
    <row r="840" ht="16.5" customHeight="1">
      <c r="A840" s="144"/>
      <c r="B840" s="144"/>
      <c r="C840" s="144"/>
      <c r="D840" s="144"/>
      <c r="E840" s="144"/>
      <c r="F840" s="144"/>
      <c r="G840" s="144"/>
      <c r="H840" s="144"/>
      <c r="I840" s="496"/>
      <c r="J840" s="496"/>
      <c r="K840" s="496"/>
      <c r="L840" s="496"/>
      <c r="M840" s="144"/>
      <c r="N840" s="144"/>
      <c r="O840" s="144"/>
      <c r="P840" s="144"/>
      <c r="Q840" s="144"/>
      <c r="R840" s="144"/>
      <c r="S840" s="144"/>
      <c r="T840" s="144"/>
      <c r="U840" s="144"/>
      <c r="V840" s="144"/>
      <c r="W840" s="144"/>
      <c r="X840" s="144"/>
      <c r="Y840" s="144"/>
      <c r="Z840" s="144"/>
      <c r="AA840" s="144"/>
      <c r="AB840" s="144"/>
      <c r="AC840" s="144"/>
      <c r="AD840" s="144"/>
      <c r="AE840" s="144"/>
      <c r="AF840" s="144"/>
    </row>
    <row r="841" ht="16.5" customHeight="1">
      <c r="A841" s="144"/>
      <c r="B841" s="144"/>
      <c r="C841" s="144"/>
      <c r="D841" s="144"/>
      <c r="E841" s="144"/>
      <c r="F841" s="144"/>
      <c r="G841" s="144"/>
      <c r="H841" s="144"/>
      <c r="I841" s="496"/>
      <c r="J841" s="496"/>
      <c r="K841" s="496"/>
      <c r="L841" s="496"/>
      <c r="M841" s="144"/>
      <c r="N841" s="144"/>
      <c r="O841" s="144"/>
      <c r="P841" s="144"/>
      <c r="Q841" s="144"/>
      <c r="R841" s="144"/>
      <c r="S841" s="144"/>
      <c r="T841" s="144"/>
      <c r="U841" s="144"/>
      <c r="V841" s="144"/>
      <c r="W841" s="144"/>
      <c r="X841" s="144"/>
      <c r="Y841" s="144"/>
      <c r="Z841" s="144"/>
      <c r="AA841" s="144"/>
      <c r="AB841" s="144"/>
      <c r="AC841" s="144"/>
      <c r="AD841" s="144"/>
      <c r="AE841" s="144"/>
      <c r="AF841" s="144"/>
    </row>
    <row r="842" ht="16.5" customHeight="1">
      <c r="A842" s="144"/>
      <c r="B842" s="144"/>
      <c r="C842" s="144"/>
      <c r="D842" s="144"/>
      <c r="E842" s="144"/>
      <c r="F842" s="144"/>
      <c r="G842" s="144"/>
      <c r="H842" s="144"/>
      <c r="I842" s="496"/>
      <c r="J842" s="496"/>
      <c r="K842" s="496"/>
      <c r="L842" s="496"/>
      <c r="M842" s="144"/>
      <c r="N842" s="144"/>
      <c r="O842" s="144"/>
      <c r="P842" s="144"/>
      <c r="Q842" s="144"/>
      <c r="R842" s="144"/>
      <c r="S842" s="144"/>
      <c r="T842" s="144"/>
      <c r="U842" s="144"/>
      <c r="V842" s="144"/>
      <c r="W842" s="144"/>
      <c r="X842" s="144"/>
      <c r="Y842" s="144"/>
      <c r="Z842" s="144"/>
      <c r="AA842" s="144"/>
      <c r="AB842" s="144"/>
      <c r="AC842" s="144"/>
      <c r="AD842" s="144"/>
      <c r="AE842" s="144"/>
      <c r="AF842" s="144"/>
    </row>
    <row r="843" ht="16.5" customHeight="1">
      <c r="A843" s="144"/>
      <c r="B843" s="144"/>
      <c r="C843" s="144"/>
      <c r="D843" s="144"/>
      <c r="E843" s="144"/>
      <c r="F843" s="144"/>
      <c r="G843" s="144"/>
      <c r="H843" s="144"/>
      <c r="I843" s="496"/>
      <c r="J843" s="496"/>
      <c r="K843" s="496"/>
      <c r="L843" s="496"/>
      <c r="M843" s="144"/>
      <c r="N843" s="144"/>
      <c r="O843" s="144"/>
      <c r="P843" s="144"/>
      <c r="Q843" s="144"/>
      <c r="R843" s="144"/>
      <c r="S843" s="144"/>
      <c r="T843" s="144"/>
      <c r="U843" s="144"/>
      <c r="V843" s="144"/>
      <c r="W843" s="144"/>
      <c r="X843" s="144"/>
      <c r="Y843" s="144"/>
      <c r="Z843" s="144"/>
      <c r="AA843" s="144"/>
      <c r="AB843" s="144"/>
      <c r="AC843" s="144"/>
      <c r="AD843" s="144"/>
      <c r="AE843" s="144"/>
      <c r="AF843" s="144"/>
    </row>
    <row r="844" ht="16.5" customHeight="1">
      <c r="A844" s="144"/>
      <c r="B844" s="144"/>
      <c r="C844" s="144"/>
      <c r="D844" s="144"/>
      <c r="E844" s="144"/>
      <c r="F844" s="144"/>
      <c r="G844" s="144"/>
      <c r="H844" s="144"/>
      <c r="I844" s="496"/>
      <c r="J844" s="496"/>
      <c r="K844" s="496"/>
      <c r="L844" s="496"/>
      <c r="M844" s="144"/>
      <c r="N844" s="144"/>
      <c r="O844" s="144"/>
      <c r="P844" s="144"/>
      <c r="Q844" s="144"/>
      <c r="R844" s="144"/>
      <c r="S844" s="144"/>
      <c r="T844" s="144"/>
      <c r="U844" s="144"/>
      <c r="V844" s="144"/>
      <c r="W844" s="144"/>
      <c r="X844" s="144"/>
      <c r="Y844" s="144"/>
      <c r="Z844" s="144"/>
      <c r="AA844" s="144"/>
      <c r="AB844" s="144"/>
      <c r="AC844" s="144"/>
      <c r="AD844" s="144"/>
      <c r="AE844" s="144"/>
      <c r="AF844" s="144"/>
    </row>
    <row r="845" ht="16.5" customHeight="1">
      <c r="A845" s="144"/>
      <c r="B845" s="144"/>
      <c r="C845" s="144"/>
      <c r="D845" s="144"/>
      <c r="E845" s="144"/>
      <c r="F845" s="144"/>
      <c r="G845" s="144"/>
      <c r="H845" s="144"/>
      <c r="I845" s="496"/>
      <c r="J845" s="496"/>
      <c r="K845" s="496"/>
      <c r="L845" s="496"/>
      <c r="M845" s="144"/>
      <c r="N845" s="144"/>
      <c r="O845" s="144"/>
      <c r="P845" s="144"/>
      <c r="Q845" s="144"/>
      <c r="R845" s="144"/>
      <c r="S845" s="144"/>
      <c r="T845" s="144"/>
      <c r="U845" s="144"/>
      <c r="V845" s="144"/>
      <c r="W845" s="144"/>
      <c r="X845" s="144"/>
      <c r="Y845" s="144"/>
      <c r="Z845" s="144"/>
      <c r="AA845" s="144"/>
      <c r="AB845" s="144"/>
      <c r="AC845" s="144"/>
      <c r="AD845" s="144"/>
      <c r="AE845" s="144"/>
      <c r="AF845" s="144"/>
    </row>
    <row r="846" ht="16.5" customHeight="1">
      <c r="A846" s="144"/>
      <c r="B846" s="144"/>
      <c r="C846" s="144"/>
      <c r="D846" s="144"/>
      <c r="E846" s="144"/>
      <c r="F846" s="144"/>
      <c r="G846" s="144"/>
      <c r="H846" s="144"/>
      <c r="I846" s="496"/>
      <c r="J846" s="496"/>
      <c r="K846" s="496"/>
      <c r="L846" s="496"/>
      <c r="M846" s="144"/>
      <c r="N846" s="144"/>
      <c r="O846" s="144"/>
      <c r="P846" s="144"/>
      <c r="Q846" s="144"/>
      <c r="R846" s="144"/>
      <c r="S846" s="144"/>
      <c r="T846" s="144"/>
      <c r="U846" s="144"/>
      <c r="V846" s="144"/>
      <c r="W846" s="144"/>
      <c r="X846" s="144"/>
      <c r="Y846" s="144"/>
      <c r="Z846" s="144"/>
      <c r="AA846" s="144"/>
      <c r="AB846" s="144"/>
      <c r="AC846" s="144"/>
      <c r="AD846" s="144"/>
      <c r="AE846" s="144"/>
      <c r="AF846" s="144"/>
    </row>
    <row r="847" ht="16.5" customHeight="1">
      <c r="A847" s="144"/>
      <c r="B847" s="144"/>
      <c r="C847" s="144"/>
      <c r="D847" s="144"/>
      <c r="E847" s="144"/>
      <c r="F847" s="144"/>
      <c r="G847" s="144"/>
      <c r="H847" s="144"/>
      <c r="I847" s="496"/>
      <c r="J847" s="496"/>
      <c r="K847" s="496"/>
      <c r="L847" s="496"/>
      <c r="M847" s="144"/>
      <c r="N847" s="144"/>
      <c r="O847" s="144"/>
      <c r="P847" s="144"/>
      <c r="Q847" s="144"/>
      <c r="R847" s="144"/>
      <c r="S847" s="144"/>
      <c r="T847" s="144"/>
      <c r="U847" s="144"/>
      <c r="V847" s="144"/>
      <c r="W847" s="144"/>
      <c r="X847" s="144"/>
      <c r="Y847" s="144"/>
      <c r="Z847" s="144"/>
      <c r="AA847" s="144"/>
      <c r="AB847" s="144"/>
      <c r="AC847" s="144"/>
      <c r="AD847" s="144"/>
      <c r="AE847" s="144"/>
      <c r="AF847" s="144"/>
    </row>
    <row r="848" ht="16.5" customHeight="1">
      <c r="A848" s="144"/>
      <c r="B848" s="144"/>
      <c r="C848" s="144"/>
      <c r="D848" s="144"/>
      <c r="E848" s="144"/>
      <c r="F848" s="144"/>
      <c r="G848" s="144"/>
      <c r="H848" s="144"/>
      <c r="I848" s="496"/>
      <c r="J848" s="496"/>
      <c r="K848" s="496"/>
      <c r="L848" s="496"/>
      <c r="M848" s="144"/>
      <c r="N848" s="144"/>
      <c r="O848" s="144"/>
      <c r="P848" s="144"/>
      <c r="Q848" s="144"/>
      <c r="R848" s="144"/>
      <c r="S848" s="144"/>
      <c r="T848" s="144"/>
      <c r="U848" s="144"/>
      <c r="V848" s="144"/>
      <c r="W848" s="144"/>
      <c r="X848" s="144"/>
      <c r="Y848" s="144"/>
      <c r="Z848" s="144"/>
      <c r="AA848" s="144"/>
      <c r="AB848" s="144"/>
      <c r="AC848" s="144"/>
      <c r="AD848" s="144"/>
      <c r="AE848" s="144"/>
      <c r="AF848" s="144"/>
    </row>
    <row r="849" ht="16.5" customHeight="1">
      <c r="A849" s="144"/>
      <c r="B849" s="144"/>
      <c r="C849" s="144"/>
      <c r="D849" s="144"/>
      <c r="E849" s="144"/>
      <c r="F849" s="144"/>
      <c r="G849" s="144"/>
      <c r="H849" s="144"/>
      <c r="I849" s="496"/>
      <c r="J849" s="496"/>
      <c r="K849" s="496"/>
      <c r="L849" s="496"/>
      <c r="M849" s="144"/>
      <c r="N849" s="144"/>
      <c r="O849" s="144"/>
      <c r="P849" s="144"/>
      <c r="Q849" s="144"/>
      <c r="R849" s="144"/>
      <c r="S849" s="144"/>
      <c r="T849" s="144"/>
      <c r="U849" s="144"/>
      <c r="V849" s="144"/>
      <c r="W849" s="144"/>
      <c r="X849" s="144"/>
      <c r="Y849" s="144"/>
      <c r="Z849" s="144"/>
      <c r="AA849" s="144"/>
      <c r="AB849" s="144"/>
      <c r="AC849" s="144"/>
      <c r="AD849" s="144"/>
      <c r="AE849" s="144"/>
      <c r="AF849" s="144"/>
    </row>
    <row r="850" ht="16.5" customHeight="1">
      <c r="A850" s="144"/>
      <c r="B850" s="144"/>
      <c r="C850" s="144"/>
      <c r="D850" s="144"/>
      <c r="E850" s="144"/>
      <c r="F850" s="144"/>
      <c r="G850" s="144"/>
      <c r="H850" s="144"/>
      <c r="I850" s="496"/>
      <c r="J850" s="496"/>
      <c r="K850" s="496"/>
      <c r="L850" s="496"/>
      <c r="M850" s="144"/>
      <c r="N850" s="144"/>
      <c r="O850" s="144"/>
      <c r="P850" s="144"/>
      <c r="Q850" s="144"/>
      <c r="R850" s="144"/>
      <c r="S850" s="144"/>
      <c r="T850" s="144"/>
      <c r="U850" s="144"/>
      <c r="V850" s="144"/>
      <c r="W850" s="144"/>
      <c r="X850" s="144"/>
      <c r="Y850" s="144"/>
      <c r="Z850" s="144"/>
      <c r="AA850" s="144"/>
      <c r="AB850" s="144"/>
      <c r="AC850" s="144"/>
      <c r="AD850" s="144"/>
      <c r="AE850" s="144"/>
      <c r="AF850" s="144"/>
    </row>
    <row r="851" ht="16.5" customHeight="1">
      <c r="A851" s="144"/>
      <c r="B851" s="144"/>
      <c r="C851" s="144"/>
      <c r="D851" s="144"/>
      <c r="E851" s="144"/>
      <c r="F851" s="144"/>
      <c r="G851" s="144"/>
      <c r="H851" s="144"/>
      <c r="I851" s="496"/>
      <c r="J851" s="496"/>
      <c r="K851" s="496"/>
      <c r="L851" s="496"/>
      <c r="M851" s="144"/>
      <c r="N851" s="144"/>
      <c r="O851" s="144"/>
      <c r="P851" s="144"/>
      <c r="Q851" s="144"/>
      <c r="R851" s="144"/>
      <c r="S851" s="144"/>
      <c r="T851" s="144"/>
      <c r="U851" s="144"/>
      <c r="V851" s="144"/>
      <c r="W851" s="144"/>
      <c r="X851" s="144"/>
      <c r="Y851" s="144"/>
      <c r="Z851" s="144"/>
      <c r="AA851" s="144"/>
      <c r="AB851" s="144"/>
      <c r="AC851" s="144"/>
      <c r="AD851" s="144"/>
      <c r="AE851" s="144"/>
      <c r="AF851" s="144"/>
    </row>
    <row r="852" ht="16.5" customHeight="1">
      <c r="A852" s="144"/>
      <c r="B852" s="144"/>
      <c r="C852" s="144"/>
      <c r="D852" s="144"/>
      <c r="E852" s="144"/>
      <c r="F852" s="144"/>
      <c r="G852" s="144"/>
      <c r="H852" s="144"/>
      <c r="I852" s="496"/>
      <c r="J852" s="496"/>
      <c r="K852" s="496"/>
      <c r="L852" s="496"/>
      <c r="M852" s="144"/>
      <c r="N852" s="144"/>
      <c r="O852" s="144"/>
      <c r="P852" s="144"/>
      <c r="Q852" s="144"/>
      <c r="R852" s="144"/>
      <c r="S852" s="144"/>
      <c r="T852" s="144"/>
      <c r="U852" s="144"/>
      <c r="V852" s="144"/>
      <c r="W852" s="144"/>
      <c r="X852" s="144"/>
      <c r="Y852" s="144"/>
      <c r="Z852" s="144"/>
      <c r="AA852" s="144"/>
      <c r="AB852" s="144"/>
      <c r="AC852" s="144"/>
      <c r="AD852" s="144"/>
      <c r="AE852" s="144"/>
      <c r="AF852" s="144"/>
    </row>
    <row r="853" ht="16.5" customHeight="1">
      <c r="A853" s="144"/>
      <c r="B853" s="144"/>
      <c r="C853" s="144"/>
      <c r="D853" s="144"/>
      <c r="E853" s="144"/>
      <c r="F853" s="144"/>
      <c r="G853" s="144"/>
      <c r="H853" s="144"/>
      <c r="I853" s="496"/>
      <c r="J853" s="496"/>
      <c r="K853" s="496"/>
      <c r="L853" s="496"/>
      <c r="M853" s="144"/>
      <c r="N853" s="144"/>
      <c r="O853" s="144"/>
      <c r="P853" s="144"/>
      <c r="Q853" s="144"/>
      <c r="R853" s="144"/>
      <c r="S853" s="144"/>
      <c r="T853" s="144"/>
      <c r="U853" s="144"/>
      <c r="V853" s="144"/>
      <c r="W853" s="144"/>
      <c r="X853" s="144"/>
      <c r="Y853" s="144"/>
      <c r="Z853" s="144"/>
      <c r="AA853" s="144"/>
      <c r="AB853" s="144"/>
      <c r="AC853" s="144"/>
      <c r="AD853" s="144"/>
      <c r="AE853" s="144"/>
      <c r="AF853" s="144"/>
    </row>
    <row r="854" ht="16.5" customHeight="1">
      <c r="A854" s="144"/>
      <c r="B854" s="144"/>
      <c r="C854" s="144"/>
      <c r="D854" s="144"/>
      <c r="E854" s="144"/>
      <c r="F854" s="144"/>
      <c r="G854" s="144"/>
      <c r="H854" s="144"/>
      <c r="I854" s="496"/>
      <c r="J854" s="496"/>
      <c r="K854" s="496"/>
      <c r="L854" s="496"/>
      <c r="M854" s="144"/>
      <c r="N854" s="144"/>
      <c r="O854" s="144"/>
      <c r="P854" s="144"/>
      <c r="Q854" s="144"/>
      <c r="R854" s="144"/>
      <c r="S854" s="144"/>
      <c r="T854" s="144"/>
      <c r="U854" s="144"/>
      <c r="V854" s="144"/>
      <c r="W854" s="144"/>
      <c r="X854" s="144"/>
      <c r="Y854" s="144"/>
      <c r="Z854" s="144"/>
      <c r="AA854" s="144"/>
      <c r="AB854" s="144"/>
      <c r="AC854" s="144"/>
      <c r="AD854" s="144"/>
      <c r="AE854" s="144"/>
      <c r="AF854" s="144"/>
    </row>
    <row r="855" ht="16.5" customHeight="1">
      <c r="A855" s="144"/>
      <c r="B855" s="144"/>
      <c r="C855" s="144"/>
      <c r="D855" s="144"/>
      <c r="E855" s="144"/>
      <c r="F855" s="144"/>
      <c r="G855" s="144"/>
      <c r="H855" s="144"/>
      <c r="I855" s="496"/>
      <c r="J855" s="496"/>
      <c r="K855" s="496"/>
      <c r="L855" s="496"/>
      <c r="M855" s="144"/>
      <c r="N855" s="144"/>
      <c r="O855" s="144"/>
      <c r="P855" s="144"/>
      <c r="Q855" s="144"/>
      <c r="R855" s="144"/>
      <c r="S855" s="144"/>
      <c r="T855" s="144"/>
      <c r="U855" s="144"/>
      <c r="V855" s="144"/>
      <c r="W855" s="144"/>
      <c r="X855" s="144"/>
      <c r="Y855" s="144"/>
      <c r="Z855" s="144"/>
      <c r="AA855" s="144"/>
      <c r="AB855" s="144"/>
      <c r="AC855" s="144"/>
      <c r="AD855" s="144"/>
      <c r="AE855" s="144"/>
      <c r="AF855" s="144"/>
    </row>
    <row r="856" ht="16.5" customHeight="1">
      <c r="A856" s="144"/>
      <c r="B856" s="144"/>
      <c r="C856" s="144"/>
      <c r="D856" s="144"/>
      <c r="E856" s="144"/>
      <c r="F856" s="144"/>
      <c r="G856" s="144"/>
      <c r="H856" s="144"/>
      <c r="I856" s="496"/>
      <c r="J856" s="496"/>
      <c r="K856" s="496"/>
      <c r="L856" s="496"/>
      <c r="M856" s="144"/>
      <c r="N856" s="144"/>
      <c r="O856" s="144"/>
      <c r="P856" s="144"/>
      <c r="Q856" s="144"/>
      <c r="R856" s="144"/>
      <c r="S856" s="144"/>
      <c r="T856" s="144"/>
      <c r="U856" s="144"/>
      <c r="V856" s="144"/>
      <c r="W856" s="144"/>
      <c r="X856" s="144"/>
      <c r="Y856" s="144"/>
      <c r="Z856" s="144"/>
      <c r="AA856" s="144"/>
      <c r="AB856" s="144"/>
      <c r="AC856" s="144"/>
      <c r="AD856" s="144"/>
      <c r="AE856" s="144"/>
      <c r="AF856" s="144"/>
    </row>
    <row r="857" ht="16.5" customHeight="1">
      <c r="A857" s="144"/>
      <c r="B857" s="144"/>
      <c r="C857" s="144"/>
      <c r="D857" s="144"/>
      <c r="E857" s="144"/>
      <c r="F857" s="144"/>
      <c r="G857" s="144"/>
      <c r="H857" s="144"/>
      <c r="I857" s="496"/>
      <c r="J857" s="496"/>
      <c r="K857" s="496"/>
      <c r="L857" s="496"/>
      <c r="M857" s="144"/>
      <c r="N857" s="144"/>
      <c r="O857" s="144"/>
      <c r="P857" s="144"/>
      <c r="Q857" s="144"/>
      <c r="R857" s="144"/>
      <c r="S857" s="144"/>
      <c r="T857" s="144"/>
      <c r="U857" s="144"/>
      <c r="V857" s="144"/>
      <c r="W857" s="144"/>
      <c r="X857" s="144"/>
      <c r="Y857" s="144"/>
      <c r="Z857" s="144"/>
      <c r="AA857" s="144"/>
      <c r="AB857" s="144"/>
      <c r="AC857" s="144"/>
      <c r="AD857" s="144"/>
      <c r="AE857" s="144"/>
      <c r="AF857" s="144"/>
    </row>
    <row r="858" ht="16.5" customHeight="1">
      <c r="A858" s="144"/>
      <c r="B858" s="144"/>
      <c r="C858" s="144"/>
      <c r="D858" s="144"/>
      <c r="E858" s="144"/>
      <c r="F858" s="144"/>
      <c r="G858" s="144"/>
      <c r="H858" s="144"/>
      <c r="I858" s="496"/>
      <c r="J858" s="496"/>
      <c r="K858" s="496"/>
      <c r="L858" s="496"/>
      <c r="M858" s="144"/>
      <c r="N858" s="144"/>
      <c r="O858" s="144"/>
      <c r="P858" s="144"/>
      <c r="Q858" s="144"/>
      <c r="R858" s="144"/>
      <c r="S858" s="144"/>
      <c r="T858" s="144"/>
      <c r="U858" s="144"/>
      <c r="V858" s="144"/>
      <c r="W858" s="144"/>
      <c r="X858" s="144"/>
      <c r="Y858" s="144"/>
      <c r="Z858" s="144"/>
      <c r="AA858" s="144"/>
      <c r="AB858" s="144"/>
      <c r="AC858" s="144"/>
      <c r="AD858" s="144"/>
      <c r="AE858" s="144"/>
      <c r="AF858" s="144"/>
    </row>
    <row r="859" ht="16.5" customHeight="1">
      <c r="A859" s="144"/>
      <c r="B859" s="144"/>
      <c r="C859" s="144"/>
      <c r="D859" s="144"/>
      <c r="E859" s="144"/>
      <c r="F859" s="144"/>
      <c r="G859" s="144"/>
      <c r="H859" s="144"/>
      <c r="I859" s="496"/>
      <c r="J859" s="496"/>
      <c r="K859" s="496"/>
      <c r="L859" s="496"/>
      <c r="M859" s="144"/>
      <c r="N859" s="144"/>
      <c r="O859" s="144"/>
      <c r="P859" s="144"/>
      <c r="Q859" s="144"/>
      <c r="R859" s="144"/>
      <c r="S859" s="144"/>
      <c r="T859" s="144"/>
      <c r="U859" s="144"/>
      <c r="V859" s="144"/>
      <c r="W859" s="144"/>
      <c r="X859" s="144"/>
      <c r="Y859" s="144"/>
      <c r="Z859" s="144"/>
      <c r="AA859" s="144"/>
      <c r="AB859" s="144"/>
      <c r="AC859" s="144"/>
      <c r="AD859" s="144"/>
      <c r="AE859" s="144"/>
      <c r="AF859" s="144"/>
    </row>
    <row r="860" ht="16.5" customHeight="1">
      <c r="A860" s="144"/>
      <c r="B860" s="144"/>
      <c r="C860" s="144"/>
      <c r="D860" s="144"/>
      <c r="E860" s="144"/>
      <c r="F860" s="144"/>
      <c r="G860" s="144"/>
      <c r="H860" s="144"/>
      <c r="I860" s="496"/>
      <c r="J860" s="496"/>
      <c r="K860" s="496"/>
      <c r="L860" s="496"/>
      <c r="M860" s="144"/>
      <c r="N860" s="144"/>
      <c r="O860" s="144"/>
      <c r="P860" s="144"/>
      <c r="Q860" s="144"/>
      <c r="R860" s="144"/>
      <c r="S860" s="144"/>
      <c r="T860" s="144"/>
      <c r="U860" s="144"/>
      <c r="V860" s="144"/>
      <c r="W860" s="144"/>
      <c r="X860" s="144"/>
      <c r="Y860" s="144"/>
      <c r="Z860" s="144"/>
      <c r="AA860" s="144"/>
      <c r="AB860" s="144"/>
      <c r="AC860" s="144"/>
      <c r="AD860" s="144"/>
      <c r="AE860" s="144"/>
      <c r="AF860" s="144"/>
    </row>
    <row r="861" ht="16.5" customHeight="1">
      <c r="A861" s="144"/>
      <c r="B861" s="144"/>
      <c r="C861" s="144"/>
      <c r="D861" s="144"/>
      <c r="E861" s="144"/>
      <c r="F861" s="144"/>
      <c r="G861" s="144"/>
      <c r="H861" s="144"/>
      <c r="I861" s="496"/>
      <c r="J861" s="496"/>
      <c r="K861" s="496"/>
      <c r="L861" s="496"/>
      <c r="M861" s="144"/>
      <c r="N861" s="144"/>
      <c r="O861" s="144"/>
      <c r="P861" s="144"/>
      <c r="Q861" s="144"/>
      <c r="R861" s="144"/>
      <c r="S861" s="144"/>
      <c r="T861" s="144"/>
      <c r="U861" s="144"/>
      <c r="V861" s="144"/>
      <c r="W861" s="144"/>
      <c r="X861" s="144"/>
      <c r="Y861" s="144"/>
      <c r="Z861" s="144"/>
      <c r="AA861" s="144"/>
      <c r="AB861" s="144"/>
      <c r="AC861" s="144"/>
      <c r="AD861" s="144"/>
      <c r="AE861" s="144"/>
      <c r="AF861" s="144"/>
    </row>
    <row r="862" ht="16.5" customHeight="1">
      <c r="A862" s="144"/>
      <c r="B862" s="144"/>
      <c r="C862" s="144"/>
      <c r="D862" s="144"/>
      <c r="E862" s="144"/>
      <c r="F862" s="144"/>
      <c r="G862" s="144"/>
      <c r="H862" s="144"/>
      <c r="I862" s="496"/>
      <c r="J862" s="496"/>
      <c r="K862" s="496"/>
      <c r="L862" s="496"/>
      <c r="M862" s="144"/>
      <c r="N862" s="144"/>
      <c r="O862" s="144"/>
      <c r="P862" s="144"/>
      <c r="Q862" s="144"/>
      <c r="R862" s="144"/>
      <c r="S862" s="144"/>
      <c r="T862" s="144"/>
      <c r="U862" s="144"/>
      <c r="V862" s="144"/>
      <c r="W862" s="144"/>
      <c r="X862" s="144"/>
      <c r="Y862" s="144"/>
      <c r="Z862" s="144"/>
      <c r="AA862" s="144"/>
      <c r="AB862" s="144"/>
      <c r="AC862" s="144"/>
      <c r="AD862" s="144"/>
      <c r="AE862" s="144"/>
      <c r="AF862" s="144"/>
    </row>
    <row r="863" ht="16.5" customHeight="1">
      <c r="A863" s="144"/>
      <c r="B863" s="144"/>
      <c r="C863" s="144"/>
      <c r="D863" s="144"/>
      <c r="E863" s="144"/>
      <c r="F863" s="144"/>
      <c r="G863" s="144"/>
      <c r="H863" s="144"/>
      <c r="I863" s="496"/>
      <c r="J863" s="496"/>
      <c r="K863" s="496"/>
      <c r="L863" s="496"/>
      <c r="M863" s="144"/>
      <c r="N863" s="144"/>
      <c r="O863" s="144"/>
      <c r="P863" s="144"/>
      <c r="Q863" s="144"/>
      <c r="R863" s="144"/>
      <c r="S863" s="144"/>
      <c r="T863" s="144"/>
      <c r="U863" s="144"/>
      <c r="V863" s="144"/>
      <c r="W863" s="144"/>
      <c r="X863" s="144"/>
      <c r="Y863" s="144"/>
      <c r="Z863" s="144"/>
      <c r="AA863" s="144"/>
      <c r="AB863" s="144"/>
      <c r="AC863" s="144"/>
      <c r="AD863" s="144"/>
      <c r="AE863" s="144"/>
      <c r="AF863" s="144"/>
    </row>
    <row r="864" ht="16.5" customHeight="1">
      <c r="A864" s="144"/>
      <c r="B864" s="144"/>
      <c r="C864" s="144"/>
      <c r="D864" s="144"/>
      <c r="E864" s="144"/>
      <c r="F864" s="144"/>
      <c r="G864" s="144"/>
      <c r="H864" s="144"/>
      <c r="I864" s="496"/>
      <c r="J864" s="496"/>
      <c r="K864" s="496"/>
      <c r="L864" s="496"/>
      <c r="M864" s="144"/>
      <c r="N864" s="144"/>
      <c r="O864" s="144"/>
      <c r="P864" s="144"/>
      <c r="Q864" s="144"/>
      <c r="R864" s="144"/>
      <c r="S864" s="144"/>
      <c r="T864" s="144"/>
      <c r="U864" s="144"/>
      <c r="V864" s="144"/>
      <c r="W864" s="144"/>
      <c r="X864" s="144"/>
      <c r="Y864" s="144"/>
      <c r="Z864" s="144"/>
      <c r="AA864" s="144"/>
      <c r="AB864" s="144"/>
      <c r="AC864" s="144"/>
      <c r="AD864" s="144"/>
      <c r="AE864" s="144"/>
      <c r="AF864" s="144"/>
    </row>
    <row r="865" ht="16.5" customHeight="1">
      <c r="A865" s="144"/>
      <c r="B865" s="144"/>
      <c r="C865" s="144"/>
      <c r="D865" s="144"/>
      <c r="E865" s="144"/>
      <c r="F865" s="144"/>
      <c r="G865" s="144"/>
      <c r="H865" s="144"/>
      <c r="I865" s="496"/>
      <c r="J865" s="496"/>
      <c r="K865" s="496"/>
      <c r="L865" s="496"/>
      <c r="M865" s="144"/>
      <c r="N865" s="144"/>
      <c r="O865" s="144"/>
      <c r="P865" s="144"/>
      <c r="Q865" s="144"/>
      <c r="R865" s="144"/>
      <c r="S865" s="144"/>
      <c r="T865" s="144"/>
      <c r="U865" s="144"/>
      <c r="V865" s="144"/>
      <c r="W865" s="144"/>
      <c r="X865" s="144"/>
      <c r="Y865" s="144"/>
      <c r="Z865" s="144"/>
      <c r="AA865" s="144"/>
      <c r="AB865" s="144"/>
      <c r="AC865" s="144"/>
      <c r="AD865" s="144"/>
      <c r="AE865" s="144"/>
      <c r="AF865" s="144"/>
    </row>
    <row r="866" ht="16.5" customHeight="1">
      <c r="A866" s="144"/>
      <c r="B866" s="144"/>
      <c r="C866" s="144"/>
      <c r="D866" s="144"/>
      <c r="E866" s="144"/>
      <c r="F866" s="144"/>
      <c r="G866" s="144"/>
      <c r="H866" s="144"/>
      <c r="I866" s="496"/>
      <c r="J866" s="496"/>
      <c r="K866" s="496"/>
      <c r="L866" s="496"/>
      <c r="M866" s="144"/>
      <c r="N866" s="144"/>
      <c r="O866" s="144"/>
      <c r="P866" s="144"/>
      <c r="Q866" s="144"/>
      <c r="R866" s="144"/>
      <c r="S866" s="144"/>
      <c r="T866" s="144"/>
      <c r="U866" s="144"/>
      <c r="V866" s="144"/>
      <c r="W866" s="144"/>
      <c r="X866" s="144"/>
      <c r="Y866" s="144"/>
      <c r="Z866" s="144"/>
      <c r="AA866" s="144"/>
      <c r="AB866" s="144"/>
      <c r="AC866" s="144"/>
      <c r="AD866" s="144"/>
      <c r="AE866" s="144"/>
      <c r="AF866" s="144"/>
    </row>
    <row r="867" ht="16.5" customHeight="1">
      <c r="A867" s="144"/>
      <c r="B867" s="144"/>
      <c r="C867" s="144"/>
      <c r="D867" s="144"/>
      <c r="E867" s="144"/>
      <c r="F867" s="144"/>
      <c r="G867" s="144"/>
      <c r="H867" s="144"/>
      <c r="I867" s="496"/>
      <c r="J867" s="496"/>
      <c r="K867" s="496"/>
      <c r="L867" s="496"/>
      <c r="M867" s="144"/>
      <c r="N867" s="144"/>
      <c r="O867" s="144"/>
      <c r="P867" s="144"/>
      <c r="Q867" s="144"/>
      <c r="R867" s="144"/>
      <c r="S867" s="144"/>
      <c r="T867" s="144"/>
      <c r="U867" s="144"/>
      <c r="V867" s="144"/>
      <c r="W867" s="144"/>
      <c r="X867" s="144"/>
      <c r="Y867" s="144"/>
      <c r="Z867" s="144"/>
      <c r="AA867" s="144"/>
      <c r="AB867" s="144"/>
      <c r="AC867" s="144"/>
      <c r="AD867" s="144"/>
      <c r="AE867" s="144"/>
      <c r="AF867" s="144"/>
    </row>
    <row r="868" ht="16.5" customHeight="1">
      <c r="A868" s="144"/>
      <c r="B868" s="144"/>
      <c r="C868" s="144"/>
      <c r="D868" s="144"/>
      <c r="E868" s="144"/>
      <c r="F868" s="144"/>
      <c r="G868" s="144"/>
      <c r="H868" s="144"/>
      <c r="I868" s="496"/>
      <c r="J868" s="496"/>
      <c r="K868" s="496"/>
      <c r="L868" s="496"/>
      <c r="M868" s="144"/>
      <c r="N868" s="144"/>
      <c r="O868" s="144"/>
      <c r="P868" s="144"/>
      <c r="Q868" s="144"/>
      <c r="R868" s="144"/>
      <c r="S868" s="144"/>
      <c r="T868" s="144"/>
      <c r="U868" s="144"/>
      <c r="V868" s="144"/>
      <c r="W868" s="144"/>
      <c r="X868" s="144"/>
      <c r="Y868" s="144"/>
      <c r="Z868" s="144"/>
      <c r="AA868" s="144"/>
      <c r="AB868" s="144"/>
      <c r="AC868" s="144"/>
      <c r="AD868" s="144"/>
      <c r="AE868" s="144"/>
      <c r="AF868" s="144"/>
    </row>
    <row r="869" ht="16.5" customHeight="1">
      <c r="A869" s="144"/>
      <c r="B869" s="144"/>
      <c r="C869" s="144"/>
      <c r="D869" s="144"/>
      <c r="E869" s="144"/>
      <c r="F869" s="144"/>
      <c r="G869" s="144"/>
      <c r="H869" s="144"/>
      <c r="I869" s="496"/>
      <c r="J869" s="496"/>
      <c r="K869" s="496"/>
      <c r="L869" s="496"/>
      <c r="M869" s="144"/>
      <c r="N869" s="144"/>
      <c r="O869" s="144"/>
      <c r="P869" s="144"/>
      <c r="Q869" s="144"/>
      <c r="R869" s="144"/>
      <c r="S869" s="144"/>
      <c r="T869" s="144"/>
      <c r="U869" s="144"/>
      <c r="V869" s="144"/>
      <c r="W869" s="144"/>
      <c r="X869" s="144"/>
      <c r="Y869" s="144"/>
      <c r="Z869" s="144"/>
      <c r="AA869" s="144"/>
      <c r="AB869" s="144"/>
      <c r="AC869" s="144"/>
      <c r="AD869" s="144"/>
      <c r="AE869" s="144"/>
      <c r="AF869" s="144"/>
    </row>
    <row r="870" ht="16.5" customHeight="1">
      <c r="A870" s="144"/>
      <c r="B870" s="144"/>
      <c r="C870" s="144"/>
      <c r="D870" s="144"/>
      <c r="E870" s="144"/>
      <c r="F870" s="144"/>
      <c r="G870" s="144"/>
      <c r="H870" s="144"/>
      <c r="I870" s="496"/>
      <c r="J870" s="496"/>
      <c r="K870" s="496"/>
      <c r="L870" s="496"/>
      <c r="M870" s="144"/>
      <c r="N870" s="144"/>
      <c r="O870" s="144"/>
      <c r="P870" s="144"/>
      <c r="Q870" s="144"/>
      <c r="R870" s="144"/>
      <c r="S870" s="144"/>
      <c r="T870" s="144"/>
      <c r="U870" s="144"/>
      <c r="V870" s="144"/>
      <c r="W870" s="144"/>
      <c r="X870" s="144"/>
      <c r="Y870" s="144"/>
      <c r="Z870" s="144"/>
      <c r="AA870" s="144"/>
      <c r="AB870" s="144"/>
      <c r="AC870" s="144"/>
      <c r="AD870" s="144"/>
      <c r="AE870" s="144"/>
      <c r="AF870" s="144"/>
    </row>
    <row r="871" ht="16.5" customHeight="1">
      <c r="A871" s="144"/>
      <c r="B871" s="144"/>
      <c r="C871" s="144"/>
      <c r="D871" s="144"/>
      <c r="E871" s="144"/>
      <c r="F871" s="144"/>
      <c r="G871" s="144"/>
      <c r="H871" s="144"/>
      <c r="I871" s="496"/>
      <c r="J871" s="496"/>
      <c r="K871" s="496"/>
      <c r="L871" s="496"/>
      <c r="M871" s="144"/>
      <c r="N871" s="144"/>
      <c r="O871" s="144"/>
      <c r="P871" s="144"/>
      <c r="Q871" s="144"/>
      <c r="R871" s="144"/>
      <c r="S871" s="144"/>
      <c r="T871" s="144"/>
      <c r="U871" s="144"/>
      <c r="V871" s="144"/>
      <c r="W871" s="144"/>
      <c r="X871" s="144"/>
      <c r="Y871" s="144"/>
      <c r="Z871" s="144"/>
      <c r="AA871" s="144"/>
      <c r="AB871" s="144"/>
      <c r="AC871" s="144"/>
      <c r="AD871" s="144"/>
      <c r="AE871" s="144"/>
      <c r="AF871" s="144"/>
    </row>
    <row r="872" ht="16.5" customHeight="1">
      <c r="A872" s="144"/>
      <c r="B872" s="144"/>
      <c r="C872" s="144"/>
      <c r="D872" s="144"/>
      <c r="E872" s="144"/>
      <c r="F872" s="144"/>
      <c r="G872" s="144"/>
      <c r="H872" s="144"/>
      <c r="I872" s="496"/>
      <c r="J872" s="496"/>
      <c r="K872" s="496"/>
      <c r="L872" s="496"/>
      <c r="M872" s="144"/>
      <c r="N872" s="144"/>
      <c r="O872" s="144"/>
      <c r="P872" s="144"/>
      <c r="Q872" s="144"/>
      <c r="R872" s="144"/>
      <c r="S872" s="144"/>
      <c r="T872" s="144"/>
      <c r="U872" s="144"/>
      <c r="V872" s="144"/>
      <c r="W872" s="144"/>
      <c r="X872" s="144"/>
      <c r="Y872" s="144"/>
      <c r="Z872" s="144"/>
      <c r="AA872" s="144"/>
      <c r="AB872" s="144"/>
      <c r="AC872" s="144"/>
      <c r="AD872" s="144"/>
      <c r="AE872" s="144"/>
      <c r="AF872" s="144"/>
    </row>
    <row r="873" ht="16.5" customHeight="1">
      <c r="A873" s="144"/>
      <c r="B873" s="144"/>
      <c r="C873" s="144"/>
      <c r="D873" s="144"/>
      <c r="E873" s="144"/>
      <c r="F873" s="144"/>
      <c r="G873" s="144"/>
      <c r="H873" s="144"/>
      <c r="I873" s="496"/>
      <c r="J873" s="496"/>
      <c r="K873" s="496"/>
      <c r="L873" s="496"/>
      <c r="M873" s="144"/>
      <c r="N873" s="144"/>
      <c r="O873" s="144"/>
      <c r="P873" s="144"/>
      <c r="Q873" s="144"/>
      <c r="R873" s="144"/>
      <c r="S873" s="144"/>
      <c r="T873" s="144"/>
      <c r="U873" s="144"/>
      <c r="V873" s="144"/>
      <c r="W873" s="144"/>
      <c r="X873" s="144"/>
      <c r="Y873" s="144"/>
      <c r="Z873" s="144"/>
      <c r="AA873" s="144"/>
      <c r="AB873" s="144"/>
      <c r="AC873" s="144"/>
      <c r="AD873" s="144"/>
      <c r="AE873" s="144"/>
      <c r="AF873" s="144"/>
    </row>
    <row r="874" ht="16.5" customHeight="1">
      <c r="A874" s="144"/>
      <c r="B874" s="144"/>
      <c r="C874" s="144"/>
      <c r="D874" s="144"/>
      <c r="E874" s="144"/>
      <c r="F874" s="144"/>
      <c r="G874" s="144"/>
      <c r="H874" s="144"/>
      <c r="I874" s="496"/>
      <c r="J874" s="496"/>
      <c r="K874" s="496"/>
      <c r="L874" s="496"/>
      <c r="M874" s="144"/>
      <c r="N874" s="144"/>
      <c r="O874" s="144"/>
      <c r="P874" s="144"/>
      <c r="Q874" s="144"/>
      <c r="R874" s="144"/>
      <c r="S874" s="144"/>
      <c r="T874" s="144"/>
      <c r="U874" s="144"/>
      <c r="V874" s="144"/>
      <c r="W874" s="144"/>
      <c r="X874" s="144"/>
      <c r="Y874" s="144"/>
      <c r="Z874" s="144"/>
      <c r="AA874" s="144"/>
      <c r="AB874" s="144"/>
      <c r="AC874" s="144"/>
      <c r="AD874" s="144"/>
      <c r="AE874" s="144"/>
      <c r="AF874" s="144"/>
    </row>
    <row r="875" ht="16.5" customHeight="1">
      <c r="A875" s="144"/>
      <c r="B875" s="144"/>
      <c r="C875" s="144"/>
      <c r="D875" s="144"/>
      <c r="E875" s="144"/>
      <c r="F875" s="144"/>
      <c r="G875" s="144"/>
      <c r="H875" s="144"/>
      <c r="I875" s="496"/>
      <c r="J875" s="496"/>
      <c r="K875" s="496"/>
      <c r="L875" s="496"/>
      <c r="M875" s="144"/>
      <c r="N875" s="144"/>
      <c r="O875" s="144"/>
      <c r="P875" s="144"/>
      <c r="Q875" s="144"/>
      <c r="R875" s="144"/>
      <c r="S875" s="144"/>
      <c r="T875" s="144"/>
      <c r="U875" s="144"/>
      <c r="V875" s="144"/>
      <c r="W875" s="144"/>
      <c r="X875" s="144"/>
      <c r="Y875" s="144"/>
      <c r="Z875" s="144"/>
      <c r="AA875" s="144"/>
      <c r="AB875" s="144"/>
      <c r="AC875" s="144"/>
      <c r="AD875" s="144"/>
      <c r="AE875" s="144"/>
      <c r="AF875" s="144"/>
    </row>
    <row r="876" ht="16.5" customHeight="1">
      <c r="A876" s="144"/>
      <c r="B876" s="144"/>
      <c r="C876" s="144"/>
      <c r="D876" s="144"/>
      <c r="E876" s="144"/>
      <c r="F876" s="144"/>
      <c r="G876" s="144"/>
      <c r="H876" s="144"/>
      <c r="I876" s="496"/>
      <c r="J876" s="496"/>
      <c r="K876" s="496"/>
      <c r="L876" s="496"/>
      <c r="M876" s="144"/>
      <c r="N876" s="144"/>
      <c r="O876" s="144"/>
      <c r="P876" s="144"/>
      <c r="Q876" s="144"/>
      <c r="R876" s="144"/>
      <c r="S876" s="144"/>
      <c r="T876" s="144"/>
      <c r="U876" s="144"/>
      <c r="V876" s="144"/>
      <c r="W876" s="144"/>
      <c r="X876" s="144"/>
      <c r="Y876" s="144"/>
      <c r="Z876" s="144"/>
      <c r="AA876" s="144"/>
      <c r="AB876" s="144"/>
      <c r="AC876" s="144"/>
      <c r="AD876" s="144"/>
      <c r="AE876" s="144"/>
      <c r="AF876" s="144"/>
    </row>
    <row r="877" ht="16.5" customHeight="1">
      <c r="A877" s="144"/>
      <c r="B877" s="144"/>
      <c r="C877" s="144"/>
      <c r="D877" s="144"/>
      <c r="E877" s="144"/>
      <c r="F877" s="144"/>
      <c r="G877" s="144"/>
      <c r="H877" s="144"/>
      <c r="I877" s="496"/>
      <c r="J877" s="496"/>
      <c r="K877" s="496"/>
      <c r="L877" s="496"/>
      <c r="M877" s="144"/>
      <c r="N877" s="144"/>
      <c r="O877" s="144"/>
      <c r="P877" s="144"/>
      <c r="Q877" s="144"/>
      <c r="R877" s="144"/>
      <c r="S877" s="144"/>
      <c r="T877" s="144"/>
      <c r="U877" s="144"/>
      <c r="V877" s="144"/>
      <c r="W877" s="144"/>
      <c r="X877" s="144"/>
      <c r="Y877" s="144"/>
      <c r="Z877" s="144"/>
      <c r="AA877" s="144"/>
      <c r="AB877" s="144"/>
      <c r="AC877" s="144"/>
      <c r="AD877" s="144"/>
      <c r="AE877" s="144"/>
      <c r="AF877" s="144"/>
    </row>
    <row r="878" ht="16.5" customHeight="1">
      <c r="A878" s="144"/>
      <c r="B878" s="144"/>
      <c r="C878" s="144"/>
      <c r="D878" s="144"/>
      <c r="E878" s="144"/>
      <c r="F878" s="144"/>
      <c r="G878" s="144"/>
      <c r="H878" s="144"/>
      <c r="I878" s="496"/>
      <c r="J878" s="496"/>
      <c r="K878" s="496"/>
      <c r="L878" s="496"/>
      <c r="M878" s="144"/>
      <c r="N878" s="144"/>
      <c r="O878" s="144"/>
      <c r="P878" s="144"/>
      <c r="Q878" s="144"/>
      <c r="R878" s="144"/>
      <c r="S878" s="144"/>
      <c r="T878" s="144"/>
      <c r="U878" s="144"/>
      <c r="V878" s="144"/>
      <c r="W878" s="144"/>
      <c r="X878" s="144"/>
      <c r="Y878" s="144"/>
      <c r="Z878" s="144"/>
      <c r="AA878" s="144"/>
      <c r="AB878" s="144"/>
      <c r="AC878" s="144"/>
      <c r="AD878" s="144"/>
      <c r="AE878" s="144"/>
      <c r="AF878" s="144"/>
    </row>
    <row r="879" ht="16.5" customHeight="1">
      <c r="A879" s="144"/>
      <c r="B879" s="144"/>
      <c r="C879" s="144"/>
      <c r="D879" s="144"/>
      <c r="E879" s="144"/>
      <c r="F879" s="144"/>
      <c r="G879" s="144"/>
      <c r="H879" s="144"/>
      <c r="I879" s="496"/>
      <c r="J879" s="496"/>
      <c r="K879" s="496"/>
      <c r="L879" s="496"/>
      <c r="M879" s="144"/>
      <c r="N879" s="144"/>
      <c r="O879" s="144"/>
      <c r="P879" s="144"/>
      <c r="Q879" s="144"/>
      <c r="R879" s="144"/>
      <c r="S879" s="144"/>
      <c r="T879" s="144"/>
      <c r="U879" s="144"/>
      <c r="V879" s="144"/>
      <c r="W879" s="144"/>
      <c r="X879" s="144"/>
      <c r="Y879" s="144"/>
      <c r="Z879" s="144"/>
      <c r="AA879" s="144"/>
      <c r="AB879" s="144"/>
      <c r="AC879" s="144"/>
      <c r="AD879" s="144"/>
      <c r="AE879" s="144"/>
      <c r="AF879" s="144"/>
    </row>
    <row r="880" ht="16.5" customHeight="1">
      <c r="A880" s="144"/>
      <c r="B880" s="144"/>
      <c r="C880" s="144"/>
      <c r="D880" s="144"/>
      <c r="E880" s="144"/>
      <c r="F880" s="144"/>
      <c r="G880" s="144"/>
      <c r="H880" s="144"/>
      <c r="I880" s="496"/>
      <c r="J880" s="496"/>
      <c r="K880" s="496"/>
      <c r="L880" s="496"/>
      <c r="M880" s="144"/>
      <c r="N880" s="144"/>
      <c r="O880" s="144"/>
      <c r="P880" s="144"/>
      <c r="Q880" s="144"/>
      <c r="R880" s="144"/>
      <c r="S880" s="144"/>
      <c r="T880" s="144"/>
      <c r="U880" s="144"/>
      <c r="V880" s="144"/>
      <c r="W880" s="144"/>
      <c r="X880" s="144"/>
      <c r="Y880" s="144"/>
      <c r="Z880" s="144"/>
      <c r="AA880" s="144"/>
      <c r="AB880" s="144"/>
      <c r="AC880" s="144"/>
      <c r="AD880" s="144"/>
      <c r="AE880" s="144"/>
      <c r="AF880" s="144"/>
    </row>
    <row r="881" ht="16.5" customHeight="1">
      <c r="A881" s="144"/>
      <c r="B881" s="144"/>
      <c r="C881" s="144"/>
      <c r="D881" s="144"/>
      <c r="E881" s="144"/>
      <c r="F881" s="144"/>
      <c r="G881" s="144"/>
      <c r="H881" s="144"/>
      <c r="I881" s="496"/>
      <c r="J881" s="496"/>
      <c r="K881" s="496"/>
      <c r="L881" s="496"/>
      <c r="M881" s="144"/>
      <c r="N881" s="144"/>
      <c r="O881" s="144"/>
      <c r="P881" s="144"/>
      <c r="Q881" s="144"/>
      <c r="R881" s="144"/>
      <c r="S881" s="144"/>
      <c r="T881" s="144"/>
      <c r="U881" s="144"/>
      <c r="V881" s="144"/>
      <c r="W881" s="144"/>
      <c r="X881" s="144"/>
      <c r="Y881" s="144"/>
      <c r="Z881" s="144"/>
      <c r="AA881" s="144"/>
      <c r="AB881" s="144"/>
      <c r="AC881" s="144"/>
      <c r="AD881" s="144"/>
      <c r="AE881" s="144"/>
      <c r="AF881" s="144"/>
    </row>
    <row r="882" ht="16.5" customHeight="1">
      <c r="A882" s="144"/>
      <c r="B882" s="144"/>
      <c r="C882" s="144"/>
      <c r="D882" s="144"/>
      <c r="E882" s="144"/>
      <c r="F882" s="144"/>
      <c r="G882" s="144"/>
      <c r="H882" s="144"/>
      <c r="I882" s="496"/>
      <c r="J882" s="496"/>
      <c r="K882" s="496"/>
      <c r="L882" s="496"/>
      <c r="M882" s="144"/>
      <c r="N882" s="144"/>
      <c r="O882" s="144"/>
      <c r="P882" s="144"/>
      <c r="Q882" s="144"/>
      <c r="R882" s="144"/>
      <c r="S882" s="144"/>
      <c r="T882" s="144"/>
      <c r="U882" s="144"/>
      <c r="V882" s="144"/>
      <c r="W882" s="144"/>
      <c r="X882" s="144"/>
      <c r="Y882" s="144"/>
      <c r="Z882" s="144"/>
      <c r="AA882" s="144"/>
      <c r="AB882" s="144"/>
      <c r="AC882" s="144"/>
      <c r="AD882" s="144"/>
      <c r="AE882" s="144"/>
      <c r="AF882" s="144"/>
    </row>
    <row r="883" ht="16.5" customHeight="1">
      <c r="A883" s="144"/>
      <c r="B883" s="144"/>
      <c r="C883" s="144"/>
      <c r="D883" s="144"/>
      <c r="E883" s="144"/>
      <c r="F883" s="144"/>
      <c r="G883" s="144"/>
      <c r="H883" s="144"/>
      <c r="I883" s="496"/>
      <c r="J883" s="496"/>
      <c r="K883" s="496"/>
      <c r="L883" s="496"/>
      <c r="M883" s="144"/>
      <c r="N883" s="144"/>
      <c r="O883" s="144"/>
      <c r="P883" s="144"/>
      <c r="Q883" s="144"/>
      <c r="R883" s="144"/>
      <c r="S883" s="144"/>
      <c r="T883" s="144"/>
      <c r="U883" s="144"/>
      <c r="V883" s="144"/>
      <c r="W883" s="144"/>
      <c r="X883" s="144"/>
      <c r="Y883" s="144"/>
      <c r="Z883" s="144"/>
      <c r="AA883" s="144"/>
      <c r="AB883" s="144"/>
      <c r="AC883" s="144"/>
      <c r="AD883" s="144"/>
      <c r="AE883" s="144"/>
      <c r="AF883" s="144"/>
    </row>
    <row r="884" ht="16.5" customHeight="1">
      <c r="A884" s="144"/>
      <c r="B884" s="144"/>
      <c r="C884" s="144"/>
      <c r="D884" s="144"/>
      <c r="E884" s="144"/>
      <c r="F884" s="144"/>
      <c r="G884" s="144"/>
      <c r="H884" s="144"/>
      <c r="I884" s="496"/>
      <c r="J884" s="496"/>
      <c r="K884" s="496"/>
      <c r="L884" s="496"/>
      <c r="M884" s="144"/>
      <c r="N884" s="144"/>
      <c r="O884" s="144"/>
      <c r="P884" s="144"/>
      <c r="Q884" s="144"/>
      <c r="R884" s="144"/>
      <c r="S884" s="144"/>
      <c r="T884" s="144"/>
      <c r="U884" s="144"/>
      <c r="V884" s="144"/>
      <c r="W884" s="144"/>
      <c r="X884" s="144"/>
      <c r="Y884" s="144"/>
      <c r="Z884" s="144"/>
      <c r="AA884" s="144"/>
      <c r="AB884" s="144"/>
      <c r="AC884" s="144"/>
      <c r="AD884" s="144"/>
      <c r="AE884" s="144"/>
      <c r="AF884" s="144"/>
    </row>
    <row r="885" ht="16.5" customHeight="1">
      <c r="A885" s="144"/>
      <c r="B885" s="144"/>
      <c r="C885" s="144"/>
      <c r="D885" s="144"/>
      <c r="E885" s="144"/>
      <c r="F885" s="144"/>
      <c r="G885" s="144"/>
      <c r="H885" s="144"/>
      <c r="I885" s="496"/>
      <c r="J885" s="496"/>
      <c r="K885" s="496"/>
      <c r="L885" s="496"/>
      <c r="M885" s="144"/>
      <c r="N885" s="144"/>
      <c r="O885" s="144"/>
      <c r="P885" s="144"/>
      <c r="Q885" s="144"/>
      <c r="R885" s="144"/>
      <c r="S885" s="144"/>
      <c r="T885" s="144"/>
      <c r="U885" s="144"/>
      <c r="V885" s="144"/>
      <c r="W885" s="144"/>
      <c r="X885" s="144"/>
      <c r="Y885" s="144"/>
      <c r="Z885" s="144"/>
      <c r="AA885" s="144"/>
      <c r="AB885" s="144"/>
      <c r="AC885" s="144"/>
      <c r="AD885" s="144"/>
      <c r="AE885" s="144"/>
      <c r="AF885" s="144"/>
    </row>
    <row r="886" ht="16.5" customHeight="1">
      <c r="A886" s="144"/>
      <c r="B886" s="144"/>
      <c r="C886" s="144"/>
      <c r="D886" s="144"/>
      <c r="E886" s="144"/>
      <c r="F886" s="144"/>
      <c r="G886" s="144"/>
      <c r="H886" s="144"/>
      <c r="I886" s="496"/>
      <c r="J886" s="496"/>
      <c r="K886" s="496"/>
      <c r="L886" s="496"/>
      <c r="M886" s="144"/>
      <c r="N886" s="144"/>
      <c r="O886" s="144"/>
      <c r="P886" s="144"/>
      <c r="Q886" s="144"/>
      <c r="R886" s="144"/>
      <c r="S886" s="144"/>
      <c r="T886" s="144"/>
      <c r="U886" s="144"/>
      <c r="V886" s="144"/>
      <c r="W886" s="144"/>
      <c r="X886" s="144"/>
      <c r="Y886" s="144"/>
      <c r="Z886" s="144"/>
      <c r="AA886" s="144"/>
      <c r="AB886" s="144"/>
      <c r="AC886" s="144"/>
      <c r="AD886" s="144"/>
      <c r="AE886" s="144"/>
      <c r="AF886" s="144"/>
    </row>
    <row r="887" ht="16.5" customHeight="1">
      <c r="A887" s="144"/>
      <c r="B887" s="144"/>
      <c r="C887" s="144"/>
      <c r="D887" s="144"/>
      <c r="E887" s="144"/>
      <c r="F887" s="144"/>
      <c r="G887" s="144"/>
      <c r="H887" s="144"/>
      <c r="I887" s="496"/>
      <c r="J887" s="496"/>
      <c r="K887" s="496"/>
      <c r="L887" s="496"/>
      <c r="M887" s="144"/>
      <c r="N887" s="144"/>
      <c r="O887" s="144"/>
      <c r="P887" s="144"/>
      <c r="Q887" s="144"/>
      <c r="R887" s="144"/>
      <c r="S887" s="144"/>
      <c r="T887" s="144"/>
      <c r="U887" s="144"/>
      <c r="V887" s="144"/>
      <c r="W887" s="144"/>
      <c r="X887" s="144"/>
      <c r="Y887" s="144"/>
      <c r="Z887" s="144"/>
      <c r="AA887" s="144"/>
      <c r="AB887" s="144"/>
      <c r="AC887" s="144"/>
      <c r="AD887" s="144"/>
      <c r="AE887" s="144"/>
      <c r="AF887" s="144"/>
    </row>
    <row r="888" ht="16.5" customHeight="1">
      <c r="A888" s="144"/>
      <c r="B888" s="144"/>
      <c r="C888" s="144"/>
      <c r="D888" s="144"/>
      <c r="E888" s="144"/>
      <c r="F888" s="144"/>
      <c r="G888" s="144"/>
      <c r="H888" s="144"/>
      <c r="I888" s="496"/>
      <c r="J888" s="496"/>
      <c r="K888" s="496"/>
      <c r="L888" s="496"/>
      <c r="M888" s="144"/>
      <c r="N888" s="144"/>
      <c r="O888" s="144"/>
      <c r="P888" s="144"/>
      <c r="Q888" s="144"/>
      <c r="R888" s="144"/>
      <c r="S888" s="144"/>
      <c r="T888" s="144"/>
      <c r="U888" s="144"/>
      <c r="V888" s="144"/>
      <c r="W888" s="144"/>
      <c r="X888" s="144"/>
      <c r="Y888" s="144"/>
      <c r="Z888" s="144"/>
      <c r="AA888" s="144"/>
      <c r="AB888" s="144"/>
      <c r="AC888" s="144"/>
      <c r="AD888" s="144"/>
      <c r="AE888" s="144"/>
      <c r="AF888" s="144"/>
    </row>
    <row r="889" ht="16.5" customHeight="1">
      <c r="A889" s="144"/>
      <c r="B889" s="144"/>
      <c r="C889" s="144"/>
      <c r="D889" s="144"/>
      <c r="E889" s="144"/>
      <c r="F889" s="144"/>
      <c r="G889" s="144"/>
      <c r="H889" s="144"/>
      <c r="I889" s="496"/>
      <c r="J889" s="496"/>
      <c r="K889" s="496"/>
      <c r="L889" s="496"/>
      <c r="M889" s="144"/>
      <c r="N889" s="144"/>
      <c r="O889" s="144"/>
      <c r="P889" s="144"/>
      <c r="Q889" s="144"/>
      <c r="R889" s="144"/>
      <c r="S889" s="144"/>
      <c r="T889" s="144"/>
      <c r="U889" s="144"/>
      <c r="V889" s="144"/>
      <c r="W889" s="144"/>
      <c r="X889" s="144"/>
      <c r="Y889" s="144"/>
      <c r="Z889" s="144"/>
      <c r="AA889" s="144"/>
      <c r="AB889" s="144"/>
      <c r="AC889" s="144"/>
      <c r="AD889" s="144"/>
      <c r="AE889" s="144"/>
      <c r="AF889" s="144"/>
    </row>
    <row r="890" ht="16.5" customHeight="1">
      <c r="A890" s="144"/>
      <c r="B890" s="144"/>
      <c r="C890" s="144"/>
      <c r="D890" s="144"/>
      <c r="E890" s="144"/>
      <c r="F890" s="144"/>
      <c r="G890" s="144"/>
      <c r="H890" s="144"/>
      <c r="I890" s="496"/>
      <c r="J890" s="496"/>
      <c r="K890" s="496"/>
      <c r="L890" s="496"/>
      <c r="M890" s="144"/>
      <c r="N890" s="144"/>
      <c r="O890" s="144"/>
      <c r="P890" s="144"/>
      <c r="Q890" s="144"/>
      <c r="R890" s="144"/>
      <c r="S890" s="144"/>
      <c r="T890" s="144"/>
      <c r="U890" s="144"/>
      <c r="V890" s="144"/>
      <c r="W890" s="144"/>
      <c r="X890" s="144"/>
      <c r="Y890" s="144"/>
      <c r="Z890" s="144"/>
      <c r="AA890" s="144"/>
      <c r="AB890" s="144"/>
      <c r="AC890" s="144"/>
      <c r="AD890" s="144"/>
      <c r="AE890" s="144"/>
      <c r="AF890" s="144"/>
    </row>
    <row r="891" ht="16.5" customHeight="1">
      <c r="A891" s="144"/>
      <c r="B891" s="144"/>
      <c r="C891" s="144"/>
      <c r="D891" s="144"/>
      <c r="E891" s="144"/>
      <c r="F891" s="144"/>
      <c r="G891" s="144"/>
      <c r="H891" s="144"/>
      <c r="I891" s="496"/>
      <c r="J891" s="496"/>
      <c r="K891" s="496"/>
      <c r="L891" s="496"/>
      <c r="M891" s="144"/>
      <c r="N891" s="144"/>
      <c r="O891" s="144"/>
      <c r="P891" s="144"/>
      <c r="Q891" s="144"/>
      <c r="R891" s="144"/>
      <c r="S891" s="144"/>
      <c r="T891" s="144"/>
      <c r="U891" s="144"/>
      <c r="V891" s="144"/>
      <c r="W891" s="144"/>
      <c r="X891" s="144"/>
      <c r="Y891" s="144"/>
      <c r="Z891" s="144"/>
      <c r="AA891" s="144"/>
      <c r="AB891" s="144"/>
      <c r="AC891" s="144"/>
      <c r="AD891" s="144"/>
      <c r="AE891" s="144"/>
      <c r="AF891" s="144"/>
    </row>
    <row r="892" ht="16.5" customHeight="1">
      <c r="A892" s="144"/>
      <c r="B892" s="144"/>
      <c r="C892" s="144"/>
      <c r="D892" s="144"/>
      <c r="E892" s="144"/>
      <c r="F892" s="144"/>
      <c r="G892" s="144"/>
      <c r="H892" s="144"/>
      <c r="I892" s="496"/>
      <c r="J892" s="496"/>
      <c r="K892" s="496"/>
      <c r="L892" s="496"/>
      <c r="M892" s="144"/>
      <c r="N892" s="144"/>
      <c r="O892" s="144"/>
      <c r="P892" s="144"/>
      <c r="Q892" s="144"/>
      <c r="R892" s="144"/>
      <c r="S892" s="144"/>
      <c r="T892" s="144"/>
      <c r="U892" s="144"/>
      <c r="V892" s="144"/>
      <c r="W892" s="144"/>
      <c r="X892" s="144"/>
      <c r="Y892" s="144"/>
      <c r="Z892" s="144"/>
      <c r="AA892" s="144"/>
      <c r="AB892" s="144"/>
      <c r="AC892" s="144"/>
      <c r="AD892" s="144"/>
      <c r="AE892" s="144"/>
      <c r="AF892" s="144"/>
    </row>
    <row r="893" ht="16.5" customHeight="1">
      <c r="A893" s="144"/>
      <c r="B893" s="144"/>
      <c r="C893" s="144"/>
      <c r="D893" s="144"/>
      <c r="E893" s="144"/>
      <c r="F893" s="144"/>
      <c r="G893" s="144"/>
      <c r="H893" s="144"/>
      <c r="I893" s="496"/>
      <c r="J893" s="496"/>
      <c r="K893" s="496"/>
      <c r="L893" s="496"/>
      <c r="M893" s="144"/>
      <c r="N893" s="144"/>
      <c r="O893" s="144"/>
      <c r="P893" s="144"/>
      <c r="Q893" s="144"/>
      <c r="R893" s="144"/>
      <c r="S893" s="144"/>
      <c r="T893" s="144"/>
      <c r="U893" s="144"/>
      <c r="V893" s="144"/>
      <c r="W893" s="144"/>
      <c r="X893" s="144"/>
      <c r="Y893" s="144"/>
      <c r="Z893" s="144"/>
      <c r="AA893" s="144"/>
      <c r="AB893" s="144"/>
      <c r="AC893" s="144"/>
      <c r="AD893" s="144"/>
      <c r="AE893" s="144"/>
      <c r="AF893" s="144"/>
    </row>
    <row r="894" ht="16.5" customHeight="1">
      <c r="A894" s="144"/>
      <c r="B894" s="144"/>
      <c r="C894" s="144"/>
      <c r="D894" s="144"/>
      <c r="E894" s="144"/>
      <c r="F894" s="144"/>
      <c r="G894" s="144"/>
      <c r="H894" s="144"/>
      <c r="I894" s="496"/>
      <c r="J894" s="496"/>
      <c r="K894" s="496"/>
      <c r="L894" s="496"/>
      <c r="M894" s="144"/>
      <c r="N894" s="144"/>
      <c r="O894" s="144"/>
      <c r="P894" s="144"/>
      <c r="Q894" s="144"/>
      <c r="R894" s="144"/>
      <c r="S894" s="144"/>
      <c r="T894" s="144"/>
      <c r="U894" s="144"/>
      <c r="V894" s="144"/>
      <c r="W894" s="144"/>
      <c r="X894" s="144"/>
      <c r="Y894" s="144"/>
      <c r="Z894" s="144"/>
      <c r="AA894" s="144"/>
      <c r="AB894" s="144"/>
      <c r="AC894" s="144"/>
      <c r="AD894" s="144"/>
      <c r="AE894" s="144"/>
      <c r="AF894" s="144"/>
    </row>
    <row r="895" ht="16.5" customHeight="1">
      <c r="A895" s="144"/>
      <c r="B895" s="144"/>
      <c r="C895" s="144"/>
      <c r="D895" s="144"/>
      <c r="E895" s="144"/>
      <c r="F895" s="144"/>
      <c r="G895" s="144"/>
      <c r="H895" s="144"/>
      <c r="I895" s="496"/>
      <c r="J895" s="496"/>
      <c r="K895" s="496"/>
      <c r="L895" s="496"/>
      <c r="M895" s="144"/>
      <c r="N895" s="144"/>
      <c r="O895" s="144"/>
      <c r="P895" s="144"/>
      <c r="Q895" s="144"/>
      <c r="R895" s="144"/>
      <c r="S895" s="144"/>
      <c r="T895" s="144"/>
      <c r="U895" s="144"/>
      <c r="V895" s="144"/>
      <c r="W895" s="144"/>
      <c r="X895" s="144"/>
      <c r="Y895" s="144"/>
      <c r="Z895" s="144"/>
      <c r="AA895" s="144"/>
      <c r="AB895" s="144"/>
      <c r="AC895" s="144"/>
      <c r="AD895" s="144"/>
      <c r="AE895" s="144"/>
      <c r="AF895" s="144"/>
    </row>
    <row r="896" ht="16.5" customHeight="1">
      <c r="A896" s="144"/>
      <c r="B896" s="144"/>
      <c r="C896" s="144"/>
      <c r="D896" s="144"/>
      <c r="E896" s="144"/>
      <c r="F896" s="144"/>
      <c r="G896" s="144"/>
      <c r="H896" s="144"/>
      <c r="I896" s="496"/>
      <c r="J896" s="496"/>
      <c r="K896" s="496"/>
      <c r="L896" s="496"/>
      <c r="M896" s="144"/>
      <c r="N896" s="144"/>
      <c r="O896" s="144"/>
      <c r="P896" s="144"/>
      <c r="Q896" s="144"/>
      <c r="R896" s="144"/>
      <c r="S896" s="144"/>
      <c r="T896" s="144"/>
      <c r="U896" s="144"/>
      <c r="V896" s="144"/>
      <c r="W896" s="144"/>
      <c r="X896" s="144"/>
      <c r="Y896" s="144"/>
      <c r="Z896" s="144"/>
      <c r="AA896" s="144"/>
      <c r="AB896" s="144"/>
      <c r="AC896" s="144"/>
      <c r="AD896" s="144"/>
      <c r="AE896" s="144"/>
      <c r="AF896" s="144"/>
    </row>
    <row r="897" ht="16.5" customHeight="1">
      <c r="A897" s="144"/>
      <c r="B897" s="144"/>
      <c r="C897" s="144"/>
      <c r="D897" s="144"/>
      <c r="E897" s="144"/>
      <c r="F897" s="144"/>
      <c r="G897" s="144"/>
      <c r="H897" s="144"/>
      <c r="I897" s="496"/>
      <c r="J897" s="496"/>
      <c r="K897" s="496"/>
      <c r="L897" s="496"/>
      <c r="M897" s="144"/>
      <c r="N897" s="144"/>
      <c r="O897" s="144"/>
      <c r="P897" s="144"/>
      <c r="Q897" s="144"/>
      <c r="R897" s="144"/>
      <c r="S897" s="144"/>
      <c r="T897" s="144"/>
      <c r="U897" s="144"/>
      <c r="V897" s="144"/>
      <c r="W897" s="144"/>
      <c r="X897" s="144"/>
      <c r="Y897" s="144"/>
      <c r="Z897" s="144"/>
      <c r="AA897" s="144"/>
      <c r="AB897" s="144"/>
      <c r="AC897" s="144"/>
      <c r="AD897" s="144"/>
      <c r="AE897" s="144"/>
      <c r="AF897" s="144"/>
    </row>
    <row r="898" ht="16.5" customHeight="1">
      <c r="A898" s="144"/>
      <c r="B898" s="144"/>
      <c r="C898" s="144"/>
      <c r="D898" s="144"/>
      <c r="E898" s="144"/>
      <c r="F898" s="144"/>
      <c r="G898" s="144"/>
      <c r="H898" s="144"/>
      <c r="I898" s="496"/>
      <c r="J898" s="496"/>
      <c r="K898" s="496"/>
      <c r="L898" s="496"/>
      <c r="M898" s="144"/>
      <c r="N898" s="144"/>
      <c r="O898" s="144"/>
      <c r="P898" s="144"/>
      <c r="Q898" s="144"/>
      <c r="R898" s="144"/>
      <c r="S898" s="144"/>
      <c r="T898" s="144"/>
      <c r="U898" s="144"/>
      <c r="V898" s="144"/>
      <c r="W898" s="144"/>
      <c r="X898" s="144"/>
      <c r="Y898" s="144"/>
      <c r="Z898" s="144"/>
      <c r="AA898" s="144"/>
      <c r="AB898" s="144"/>
      <c r="AC898" s="144"/>
      <c r="AD898" s="144"/>
      <c r="AE898" s="144"/>
      <c r="AF898" s="144"/>
    </row>
    <row r="899" ht="16.5" customHeight="1">
      <c r="A899" s="144"/>
      <c r="B899" s="144"/>
      <c r="C899" s="144"/>
      <c r="D899" s="144"/>
      <c r="E899" s="144"/>
      <c r="F899" s="144"/>
      <c r="G899" s="144"/>
      <c r="H899" s="144"/>
      <c r="I899" s="496"/>
      <c r="J899" s="496"/>
      <c r="K899" s="496"/>
      <c r="L899" s="496"/>
      <c r="M899" s="144"/>
      <c r="N899" s="144"/>
      <c r="O899" s="144"/>
      <c r="P899" s="144"/>
      <c r="Q899" s="144"/>
      <c r="R899" s="144"/>
      <c r="S899" s="144"/>
      <c r="T899" s="144"/>
      <c r="U899" s="144"/>
      <c r="V899" s="144"/>
      <c r="W899" s="144"/>
      <c r="X899" s="144"/>
      <c r="Y899" s="144"/>
      <c r="Z899" s="144"/>
      <c r="AA899" s="144"/>
      <c r="AB899" s="144"/>
      <c r="AC899" s="144"/>
      <c r="AD899" s="144"/>
      <c r="AE899" s="144"/>
      <c r="AF899" s="144"/>
    </row>
    <row r="900" ht="16.5" customHeight="1">
      <c r="A900" s="144"/>
      <c r="B900" s="144"/>
      <c r="C900" s="144"/>
      <c r="D900" s="144"/>
      <c r="E900" s="144"/>
      <c r="F900" s="144"/>
      <c r="G900" s="144"/>
      <c r="H900" s="144"/>
      <c r="I900" s="496"/>
      <c r="J900" s="496"/>
      <c r="K900" s="496"/>
      <c r="L900" s="496"/>
      <c r="M900" s="144"/>
      <c r="N900" s="144"/>
      <c r="O900" s="144"/>
      <c r="P900" s="144"/>
      <c r="Q900" s="144"/>
      <c r="R900" s="144"/>
      <c r="S900" s="144"/>
      <c r="T900" s="144"/>
      <c r="U900" s="144"/>
      <c r="V900" s="144"/>
      <c r="W900" s="144"/>
      <c r="X900" s="144"/>
      <c r="Y900" s="144"/>
      <c r="Z900" s="144"/>
      <c r="AA900" s="144"/>
      <c r="AB900" s="144"/>
      <c r="AC900" s="144"/>
      <c r="AD900" s="144"/>
      <c r="AE900" s="144"/>
      <c r="AF900" s="144"/>
    </row>
    <row r="901" ht="16.5" customHeight="1">
      <c r="A901" s="144"/>
      <c r="B901" s="144"/>
      <c r="C901" s="144"/>
      <c r="D901" s="144"/>
      <c r="E901" s="144"/>
      <c r="F901" s="144"/>
      <c r="G901" s="144"/>
      <c r="H901" s="144"/>
      <c r="I901" s="496"/>
      <c r="J901" s="496"/>
      <c r="K901" s="496"/>
      <c r="L901" s="496"/>
      <c r="M901" s="144"/>
      <c r="N901" s="144"/>
      <c r="O901" s="144"/>
      <c r="P901" s="144"/>
      <c r="Q901" s="144"/>
      <c r="R901" s="144"/>
      <c r="S901" s="144"/>
      <c r="T901" s="144"/>
      <c r="U901" s="144"/>
      <c r="V901" s="144"/>
      <c r="W901" s="144"/>
      <c r="X901" s="144"/>
      <c r="Y901" s="144"/>
      <c r="Z901" s="144"/>
      <c r="AA901" s="144"/>
      <c r="AB901" s="144"/>
      <c r="AC901" s="144"/>
      <c r="AD901" s="144"/>
      <c r="AE901" s="144"/>
      <c r="AF901" s="144"/>
    </row>
    <row r="902" ht="16.5" customHeight="1">
      <c r="A902" s="144"/>
      <c r="B902" s="144"/>
      <c r="C902" s="144"/>
      <c r="D902" s="144"/>
      <c r="E902" s="144"/>
      <c r="F902" s="144"/>
      <c r="G902" s="144"/>
      <c r="H902" s="144"/>
      <c r="I902" s="496"/>
      <c r="J902" s="496"/>
      <c r="K902" s="496"/>
      <c r="L902" s="496"/>
      <c r="M902" s="144"/>
      <c r="N902" s="144"/>
      <c r="O902" s="144"/>
      <c r="P902" s="144"/>
      <c r="Q902" s="144"/>
      <c r="R902" s="144"/>
      <c r="S902" s="144"/>
      <c r="T902" s="144"/>
      <c r="U902" s="144"/>
      <c r="V902" s="144"/>
      <c r="W902" s="144"/>
      <c r="X902" s="144"/>
      <c r="Y902" s="144"/>
      <c r="Z902" s="144"/>
      <c r="AA902" s="144"/>
      <c r="AB902" s="144"/>
      <c r="AC902" s="144"/>
      <c r="AD902" s="144"/>
      <c r="AE902" s="144"/>
      <c r="AF902" s="144"/>
    </row>
    <row r="903" ht="16.5" customHeight="1">
      <c r="A903" s="144"/>
      <c r="B903" s="144"/>
      <c r="C903" s="144"/>
      <c r="D903" s="144"/>
      <c r="E903" s="144"/>
      <c r="F903" s="144"/>
      <c r="G903" s="144"/>
      <c r="H903" s="144"/>
      <c r="I903" s="496"/>
      <c r="J903" s="496"/>
      <c r="K903" s="496"/>
      <c r="L903" s="496"/>
      <c r="M903" s="144"/>
      <c r="N903" s="144"/>
      <c r="O903" s="144"/>
      <c r="P903" s="144"/>
      <c r="Q903" s="144"/>
      <c r="R903" s="144"/>
      <c r="S903" s="144"/>
      <c r="T903" s="144"/>
      <c r="U903" s="144"/>
      <c r="V903" s="144"/>
      <c r="W903" s="144"/>
      <c r="X903" s="144"/>
      <c r="Y903" s="144"/>
      <c r="Z903" s="144"/>
      <c r="AA903" s="144"/>
      <c r="AB903" s="144"/>
      <c r="AC903" s="144"/>
      <c r="AD903" s="144"/>
      <c r="AE903" s="144"/>
      <c r="AF903" s="144"/>
    </row>
    <row r="904" ht="16.5" customHeight="1">
      <c r="A904" s="144"/>
      <c r="B904" s="144"/>
      <c r="C904" s="144"/>
      <c r="D904" s="144"/>
      <c r="E904" s="144"/>
      <c r="F904" s="144"/>
      <c r="G904" s="144"/>
      <c r="H904" s="144"/>
      <c r="I904" s="496"/>
      <c r="J904" s="496"/>
      <c r="K904" s="496"/>
      <c r="L904" s="496"/>
      <c r="M904" s="144"/>
      <c r="N904" s="144"/>
      <c r="O904" s="144"/>
      <c r="P904" s="144"/>
      <c r="Q904" s="144"/>
      <c r="R904" s="144"/>
      <c r="S904" s="144"/>
      <c r="T904" s="144"/>
      <c r="U904" s="144"/>
      <c r="V904" s="144"/>
      <c r="W904" s="144"/>
      <c r="X904" s="144"/>
      <c r="Y904" s="144"/>
      <c r="Z904" s="144"/>
      <c r="AA904" s="144"/>
      <c r="AB904" s="144"/>
      <c r="AC904" s="144"/>
      <c r="AD904" s="144"/>
      <c r="AE904" s="144"/>
      <c r="AF904" s="144"/>
    </row>
    <row r="905" ht="16.5" customHeight="1">
      <c r="A905" s="144"/>
      <c r="B905" s="144"/>
      <c r="C905" s="144"/>
      <c r="D905" s="144"/>
      <c r="E905" s="144"/>
      <c r="F905" s="144"/>
      <c r="G905" s="144"/>
      <c r="H905" s="144"/>
      <c r="I905" s="496"/>
      <c r="J905" s="496"/>
      <c r="K905" s="496"/>
      <c r="L905" s="496"/>
      <c r="M905" s="144"/>
      <c r="N905" s="144"/>
      <c r="O905" s="144"/>
      <c r="P905" s="144"/>
      <c r="Q905" s="144"/>
      <c r="R905" s="144"/>
      <c r="S905" s="144"/>
      <c r="T905" s="144"/>
      <c r="U905" s="144"/>
      <c r="V905" s="144"/>
      <c r="W905" s="144"/>
      <c r="X905" s="144"/>
      <c r="Y905" s="144"/>
      <c r="Z905" s="144"/>
      <c r="AA905" s="144"/>
      <c r="AB905" s="144"/>
      <c r="AC905" s="144"/>
      <c r="AD905" s="144"/>
      <c r="AE905" s="144"/>
      <c r="AF905" s="144"/>
    </row>
    <row r="906" ht="16.5" customHeight="1">
      <c r="A906" s="144"/>
      <c r="B906" s="144"/>
      <c r="C906" s="144"/>
      <c r="D906" s="144"/>
      <c r="E906" s="144"/>
      <c r="F906" s="144"/>
      <c r="G906" s="144"/>
      <c r="H906" s="144"/>
      <c r="I906" s="496"/>
      <c r="J906" s="496"/>
      <c r="K906" s="496"/>
      <c r="L906" s="496"/>
      <c r="M906" s="144"/>
      <c r="N906" s="144"/>
      <c r="O906" s="144"/>
      <c r="P906" s="144"/>
      <c r="Q906" s="144"/>
      <c r="R906" s="144"/>
      <c r="S906" s="144"/>
      <c r="T906" s="144"/>
      <c r="U906" s="144"/>
      <c r="V906" s="144"/>
      <c r="W906" s="144"/>
      <c r="X906" s="144"/>
      <c r="Y906" s="144"/>
      <c r="Z906" s="144"/>
      <c r="AA906" s="144"/>
      <c r="AB906" s="144"/>
      <c r="AC906" s="144"/>
      <c r="AD906" s="144"/>
      <c r="AE906" s="144"/>
      <c r="AF906" s="144"/>
    </row>
    <row r="907" ht="16.5" customHeight="1">
      <c r="A907" s="144"/>
      <c r="B907" s="144"/>
      <c r="C907" s="144"/>
      <c r="D907" s="144"/>
      <c r="E907" s="144"/>
      <c r="F907" s="144"/>
      <c r="G907" s="144"/>
      <c r="H907" s="144"/>
      <c r="I907" s="496"/>
      <c r="J907" s="496"/>
      <c r="K907" s="496"/>
      <c r="L907" s="496"/>
      <c r="M907" s="144"/>
      <c r="N907" s="144"/>
      <c r="O907" s="144"/>
      <c r="P907" s="144"/>
      <c r="Q907" s="144"/>
      <c r="R907" s="144"/>
      <c r="S907" s="144"/>
      <c r="T907" s="144"/>
      <c r="U907" s="144"/>
      <c r="V907" s="144"/>
      <c r="W907" s="144"/>
      <c r="X907" s="144"/>
      <c r="Y907" s="144"/>
      <c r="Z907" s="144"/>
      <c r="AA907" s="144"/>
      <c r="AB907" s="144"/>
      <c r="AC907" s="144"/>
      <c r="AD907" s="144"/>
      <c r="AE907" s="144"/>
      <c r="AF907" s="144"/>
    </row>
    <row r="908" ht="16.5" customHeight="1">
      <c r="A908" s="144"/>
      <c r="B908" s="144"/>
      <c r="C908" s="144"/>
      <c r="D908" s="144"/>
      <c r="E908" s="144"/>
      <c r="F908" s="144"/>
      <c r="G908" s="144"/>
      <c r="H908" s="144"/>
      <c r="I908" s="496"/>
      <c r="J908" s="496"/>
      <c r="K908" s="496"/>
      <c r="L908" s="496"/>
      <c r="M908" s="144"/>
      <c r="N908" s="144"/>
      <c r="O908" s="144"/>
      <c r="P908" s="144"/>
      <c r="Q908" s="144"/>
      <c r="R908" s="144"/>
      <c r="S908" s="144"/>
      <c r="T908" s="144"/>
      <c r="U908" s="144"/>
      <c r="V908" s="144"/>
      <c r="W908" s="144"/>
      <c r="X908" s="144"/>
      <c r="Y908" s="144"/>
      <c r="Z908" s="144"/>
      <c r="AA908" s="144"/>
      <c r="AB908" s="144"/>
      <c r="AC908" s="144"/>
      <c r="AD908" s="144"/>
      <c r="AE908" s="144"/>
      <c r="AF908" s="144"/>
    </row>
    <row r="909" ht="16.5" customHeight="1">
      <c r="A909" s="144"/>
      <c r="B909" s="144"/>
      <c r="C909" s="144"/>
      <c r="D909" s="144"/>
      <c r="E909" s="144"/>
      <c r="F909" s="144"/>
      <c r="G909" s="144"/>
      <c r="H909" s="144"/>
      <c r="I909" s="496"/>
      <c r="J909" s="496"/>
      <c r="K909" s="496"/>
      <c r="L909" s="496"/>
      <c r="M909" s="144"/>
      <c r="N909" s="144"/>
      <c r="O909" s="144"/>
      <c r="P909" s="144"/>
      <c r="Q909" s="144"/>
      <c r="R909" s="144"/>
      <c r="S909" s="144"/>
      <c r="T909" s="144"/>
      <c r="U909" s="144"/>
      <c r="V909" s="144"/>
      <c r="W909" s="144"/>
      <c r="X909" s="144"/>
      <c r="Y909" s="144"/>
      <c r="Z909" s="144"/>
      <c r="AA909" s="144"/>
      <c r="AB909" s="144"/>
      <c r="AC909" s="144"/>
      <c r="AD909" s="144"/>
      <c r="AE909" s="144"/>
      <c r="AF909" s="144"/>
    </row>
    <row r="910" ht="16.5" customHeight="1">
      <c r="A910" s="144"/>
      <c r="B910" s="144"/>
      <c r="C910" s="144"/>
      <c r="D910" s="144"/>
      <c r="E910" s="144"/>
      <c r="F910" s="144"/>
      <c r="G910" s="144"/>
      <c r="H910" s="144"/>
      <c r="I910" s="496"/>
      <c r="J910" s="496"/>
      <c r="K910" s="496"/>
      <c r="L910" s="496"/>
      <c r="M910" s="144"/>
      <c r="N910" s="144"/>
      <c r="O910" s="144"/>
      <c r="P910" s="144"/>
      <c r="Q910" s="144"/>
      <c r="R910" s="144"/>
      <c r="S910" s="144"/>
      <c r="T910" s="144"/>
      <c r="U910" s="144"/>
      <c r="V910" s="144"/>
      <c r="W910" s="144"/>
      <c r="X910" s="144"/>
      <c r="Y910" s="144"/>
      <c r="Z910" s="144"/>
      <c r="AA910" s="144"/>
      <c r="AB910" s="144"/>
      <c r="AC910" s="144"/>
      <c r="AD910" s="144"/>
      <c r="AE910" s="144"/>
      <c r="AF910" s="144"/>
    </row>
    <row r="911" ht="16.5" customHeight="1">
      <c r="A911" s="144"/>
      <c r="B911" s="144"/>
      <c r="C911" s="144"/>
      <c r="D911" s="144"/>
      <c r="E911" s="144"/>
      <c r="F911" s="144"/>
      <c r="G911" s="144"/>
      <c r="H911" s="144"/>
      <c r="I911" s="496"/>
      <c r="J911" s="496"/>
      <c r="K911" s="496"/>
      <c r="L911" s="496"/>
      <c r="M911" s="144"/>
      <c r="N911" s="144"/>
      <c r="O911" s="144"/>
      <c r="P911" s="144"/>
      <c r="Q911" s="144"/>
      <c r="R911" s="144"/>
      <c r="S911" s="144"/>
      <c r="T911" s="144"/>
      <c r="U911" s="144"/>
      <c r="V911" s="144"/>
      <c r="W911" s="144"/>
      <c r="X911" s="144"/>
      <c r="Y911" s="144"/>
      <c r="Z911" s="144"/>
      <c r="AA911" s="144"/>
      <c r="AB911" s="144"/>
      <c r="AC911" s="144"/>
      <c r="AD911" s="144"/>
      <c r="AE911" s="144"/>
      <c r="AF911" s="144"/>
    </row>
    <row r="912" ht="16.5" customHeight="1">
      <c r="A912" s="144"/>
      <c r="B912" s="144"/>
      <c r="C912" s="144"/>
      <c r="D912" s="144"/>
      <c r="E912" s="144"/>
      <c r="F912" s="144"/>
      <c r="G912" s="144"/>
      <c r="H912" s="144"/>
      <c r="I912" s="496"/>
      <c r="J912" s="496"/>
      <c r="K912" s="496"/>
      <c r="L912" s="496"/>
      <c r="M912" s="144"/>
      <c r="N912" s="144"/>
      <c r="O912" s="144"/>
      <c r="P912" s="144"/>
      <c r="Q912" s="144"/>
      <c r="R912" s="144"/>
      <c r="S912" s="144"/>
      <c r="T912" s="144"/>
      <c r="U912" s="144"/>
      <c r="V912" s="144"/>
      <c r="W912" s="144"/>
      <c r="X912" s="144"/>
      <c r="Y912" s="144"/>
      <c r="Z912" s="144"/>
      <c r="AA912" s="144"/>
      <c r="AB912" s="144"/>
      <c r="AC912" s="144"/>
      <c r="AD912" s="144"/>
      <c r="AE912" s="144"/>
      <c r="AF912" s="144"/>
    </row>
    <row r="913" ht="16.5" customHeight="1">
      <c r="A913" s="144"/>
      <c r="B913" s="144"/>
      <c r="C913" s="144"/>
      <c r="D913" s="144"/>
      <c r="E913" s="144"/>
      <c r="F913" s="144"/>
      <c r="G913" s="144"/>
      <c r="H913" s="144"/>
      <c r="I913" s="496"/>
      <c r="J913" s="496"/>
      <c r="K913" s="496"/>
      <c r="L913" s="496"/>
      <c r="M913" s="144"/>
      <c r="N913" s="144"/>
      <c r="O913" s="144"/>
      <c r="P913" s="144"/>
      <c r="Q913" s="144"/>
      <c r="R913" s="144"/>
      <c r="S913" s="144"/>
      <c r="T913" s="144"/>
      <c r="U913" s="144"/>
      <c r="V913" s="144"/>
      <c r="W913" s="144"/>
      <c r="X913" s="144"/>
      <c r="Y913" s="144"/>
      <c r="Z913" s="144"/>
      <c r="AA913" s="144"/>
      <c r="AB913" s="144"/>
      <c r="AC913" s="144"/>
      <c r="AD913" s="144"/>
      <c r="AE913" s="144"/>
      <c r="AF913" s="144"/>
    </row>
    <row r="914" ht="16.5" customHeight="1">
      <c r="A914" s="144"/>
      <c r="B914" s="144"/>
      <c r="C914" s="144"/>
      <c r="D914" s="144"/>
      <c r="E914" s="144"/>
      <c r="F914" s="144"/>
      <c r="G914" s="144"/>
      <c r="H914" s="144"/>
      <c r="I914" s="496"/>
      <c r="J914" s="496"/>
      <c r="K914" s="496"/>
      <c r="L914" s="496"/>
      <c r="M914" s="144"/>
      <c r="N914" s="144"/>
      <c r="O914" s="144"/>
      <c r="P914" s="144"/>
      <c r="Q914" s="144"/>
      <c r="R914" s="144"/>
      <c r="S914" s="144"/>
      <c r="T914" s="144"/>
      <c r="U914" s="144"/>
      <c r="V914" s="144"/>
      <c r="W914" s="144"/>
      <c r="X914" s="144"/>
      <c r="Y914" s="144"/>
      <c r="Z914" s="144"/>
      <c r="AA914" s="144"/>
      <c r="AB914" s="144"/>
      <c r="AC914" s="144"/>
      <c r="AD914" s="144"/>
      <c r="AE914" s="144"/>
      <c r="AF914" s="144"/>
    </row>
    <row r="915" ht="16.5" customHeight="1">
      <c r="A915" s="144"/>
      <c r="B915" s="144"/>
      <c r="C915" s="144"/>
      <c r="D915" s="144"/>
      <c r="E915" s="144"/>
      <c r="F915" s="144"/>
      <c r="G915" s="144"/>
      <c r="H915" s="144"/>
      <c r="I915" s="496"/>
      <c r="J915" s="496"/>
      <c r="K915" s="496"/>
      <c r="L915" s="496"/>
      <c r="M915" s="144"/>
      <c r="N915" s="144"/>
      <c r="O915" s="144"/>
      <c r="P915" s="144"/>
      <c r="Q915" s="144"/>
      <c r="R915" s="144"/>
      <c r="S915" s="144"/>
      <c r="T915" s="144"/>
      <c r="U915" s="144"/>
      <c r="V915" s="144"/>
      <c r="W915" s="144"/>
      <c r="X915" s="144"/>
      <c r="Y915" s="144"/>
      <c r="Z915" s="144"/>
      <c r="AA915" s="144"/>
      <c r="AB915" s="144"/>
      <c r="AC915" s="144"/>
      <c r="AD915" s="144"/>
      <c r="AE915" s="144"/>
      <c r="AF915" s="144"/>
    </row>
    <row r="916" ht="16.5" customHeight="1">
      <c r="A916" s="144"/>
      <c r="B916" s="144"/>
      <c r="C916" s="144"/>
      <c r="D916" s="144"/>
      <c r="E916" s="144"/>
      <c r="F916" s="144"/>
      <c r="G916" s="144"/>
      <c r="H916" s="144"/>
      <c r="I916" s="496"/>
      <c r="J916" s="496"/>
      <c r="K916" s="496"/>
      <c r="L916" s="496"/>
      <c r="M916" s="144"/>
      <c r="N916" s="144"/>
      <c r="O916" s="144"/>
      <c r="P916" s="144"/>
      <c r="Q916" s="144"/>
      <c r="R916" s="144"/>
      <c r="S916" s="144"/>
      <c r="T916" s="144"/>
      <c r="U916" s="144"/>
      <c r="V916" s="144"/>
      <c r="W916" s="144"/>
      <c r="X916" s="144"/>
      <c r="Y916" s="144"/>
      <c r="Z916" s="144"/>
      <c r="AA916" s="144"/>
      <c r="AB916" s="144"/>
      <c r="AC916" s="144"/>
      <c r="AD916" s="144"/>
      <c r="AE916" s="144"/>
      <c r="AF916" s="144"/>
    </row>
    <row r="917" ht="16.5" customHeight="1">
      <c r="A917" s="144"/>
      <c r="B917" s="144"/>
      <c r="C917" s="144"/>
      <c r="D917" s="144"/>
      <c r="E917" s="144"/>
      <c r="F917" s="144"/>
      <c r="G917" s="144"/>
      <c r="H917" s="144"/>
      <c r="I917" s="496"/>
      <c r="J917" s="496"/>
      <c r="K917" s="496"/>
      <c r="L917" s="496"/>
      <c r="M917" s="144"/>
      <c r="N917" s="144"/>
      <c r="O917" s="144"/>
      <c r="P917" s="144"/>
      <c r="Q917" s="144"/>
      <c r="R917" s="144"/>
      <c r="S917" s="144"/>
      <c r="T917" s="144"/>
      <c r="U917" s="144"/>
      <c r="V917" s="144"/>
      <c r="W917" s="144"/>
      <c r="X917" s="144"/>
      <c r="Y917" s="144"/>
      <c r="Z917" s="144"/>
      <c r="AA917" s="144"/>
      <c r="AB917" s="144"/>
      <c r="AC917" s="144"/>
      <c r="AD917" s="144"/>
      <c r="AE917" s="144"/>
      <c r="AF917" s="144"/>
    </row>
    <row r="918" ht="16.5" customHeight="1">
      <c r="A918" s="144"/>
      <c r="B918" s="144"/>
      <c r="C918" s="144"/>
      <c r="D918" s="144"/>
      <c r="E918" s="144"/>
      <c r="F918" s="144"/>
      <c r="G918" s="144"/>
      <c r="H918" s="144"/>
      <c r="I918" s="496"/>
      <c r="J918" s="496"/>
      <c r="K918" s="496"/>
      <c r="L918" s="496"/>
      <c r="M918" s="144"/>
      <c r="N918" s="144"/>
      <c r="O918" s="144"/>
      <c r="P918" s="144"/>
      <c r="Q918" s="144"/>
      <c r="R918" s="144"/>
      <c r="S918" s="144"/>
      <c r="T918" s="144"/>
      <c r="U918" s="144"/>
      <c r="V918" s="144"/>
      <c r="W918" s="144"/>
      <c r="X918" s="144"/>
      <c r="Y918" s="144"/>
      <c r="Z918" s="144"/>
      <c r="AA918" s="144"/>
      <c r="AB918" s="144"/>
      <c r="AC918" s="144"/>
      <c r="AD918" s="144"/>
      <c r="AE918" s="144"/>
      <c r="AF918" s="144"/>
    </row>
    <row r="919" ht="16.5" customHeight="1">
      <c r="A919" s="144"/>
      <c r="B919" s="144"/>
      <c r="C919" s="144"/>
      <c r="D919" s="144"/>
      <c r="E919" s="144"/>
      <c r="F919" s="144"/>
      <c r="G919" s="144"/>
      <c r="H919" s="144"/>
      <c r="I919" s="496"/>
      <c r="J919" s="496"/>
      <c r="K919" s="496"/>
      <c r="L919" s="496"/>
      <c r="M919" s="144"/>
      <c r="N919" s="144"/>
      <c r="O919" s="144"/>
      <c r="P919" s="144"/>
      <c r="Q919" s="144"/>
      <c r="R919" s="144"/>
      <c r="S919" s="144"/>
      <c r="T919" s="144"/>
      <c r="U919" s="144"/>
      <c r="V919" s="144"/>
      <c r="W919" s="144"/>
      <c r="X919" s="144"/>
      <c r="Y919" s="144"/>
      <c r="Z919" s="144"/>
      <c r="AA919" s="144"/>
      <c r="AB919" s="144"/>
      <c r="AC919" s="144"/>
      <c r="AD919" s="144"/>
      <c r="AE919" s="144"/>
      <c r="AF919" s="144"/>
    </row>
    <row r="920" ht="16.5" customHeight="1">
      <c r="A920" s="144"/>
      <c r="B920" s="144"/>
      <c r="C920" s="144"/>
      <c r="D920" s="144"/>
      <c r="E920" s="144"/>
      <c r="F920" s="144"/>
      <c r="G920" s="144"/>
      <c r="H920" s="144"/>
      <c r="I920" s="496"/>
      <c r="J920" s="496"/>
      <c r="K920" s="496"/>
      <c r="L920" s="496"/>
      <c r="M920" s="144"/>
      <c r="N920" s="144"/>
      <c r="O920" s="144"/>
      <c r="P920" s="144"/>
      <c r="Q920" s="144"/>
      <c r="R920" s="144"/>
      <c r="S920" s="144"/>
      <c r="T920" s="144"/>
      <c r="U920" s="144"/>
      <c r="V920" s="144"/>
      <c r="W920" s="144"/>
      <c r="X920" s="144"/>
      <c r="Y920" s="144"/>
      <c r="Z920" s="144"/>
      <c r="AA920" s="144"/>
      <c r="AB920" s="144"/>
      <c r="AC920" s="144"/>
      <c r="AD920" s="144"/>
      <c r="AE920" s="144"/>
      <c r="AF920" s="144"/>
    </row>
    <row r="921" ht="16.5" customHeight="1">
      <c r="A921" s="144"/>
      <c r="B921" s="144"/>
      <c r="C921" s="144"/>
      <c r="D921" s="144"/>
      <c r="E921" s="144"/>
      <c r="F921" s="144"/>
      <c r="G921" s="144"/>
      <c r="H921" s="144"/>
      <c r="I921" s="496"/>
      <c r="J921" s="496"/>
      <c r="K921" s="496"/>
      <c r="L921" s="496"/>
      <c r="M921" s="144"/>
      <c r="N921" s="144"/>
      <c r="O921" s="144"/>
      <c r="P921" s="144"/>
      <c r="Q921" s="144"/>
      <c r="R921" s="144"/>
      <c r="S921" s="144"/>
      <c r="T921" s="144"/>
      <c r="U921" s="144"/>
      <c r="V921" s="144"/>
      <c r="W921" s="144"/>
      <c r="X921" s="144"/>
      <c r="Y921" s="144"/>
      <c r="Z921" s="144"/>
      <c r="AA921" s="144"/>
      <c r="AB921" s="144"/>
      <c r="AC921" s="144"/>
      <c r="AD921" s="144"/>
      <c r="AE921" s="144"/>
      <c r="AF921" s="144"/>
    </row>
    <row r="922" ht="16.5" customHeight="1">
      <c r="A922" s="144"/>
      <c r="B922" s="144"/>
      <c r="C922" s="144"/>
      <c r="D922" s="144"/>
      <c r="E922" s="144"/>
      <c r="F922" s="144"/>
      <c r="G922" s="144"/>
      <c r="H922" s="144"/>
      <c r="I922" s="496"/>
      <c r="J922" s="496"/>
      <c r="K922" s="496"/>
      <c r="L922" s="496"/>
      <c r="M922" s="144"/>
      <c r="N922" s="144"/>
      <c r="O922" s="144"/>
      <c r="P922" s="144"/>
      <c r="Q922" s="144"/>
      <c r="R922" s="144"/>
      <c r="S922" s="144"/>
      <c r="T922" s="144"/>
      <c r="U922" s="144"/>
      <c r="V922" s="144"/>
      <c r="W922" s="144"/>
      <c r="X922" s="144"/>
      <c r="Y922" s="144"/>
      <c r="Z922" s="144"/>
      <c r="AA922" s="144"/>
      <c r="AB922" s="144"/>
      <c r="AC922" s="144"/>
      <c r="AD922" s="144"/>
      <c r="AE922" s="144"/>
      <c r="AF922" s="144"/>
    </row>
    <row r="923" ht="16.5" customHeight="1">
      <c r="A923" s="144"/>
      <c r="B923" s="144"/>
      <c r="C923" s="144"/>
      <c r="D923" s="144"/>
      <c r="E923" s="144"/>
      <c r="F923" s="144"/>
      <c r="G923" s="144"/>
      <c r="H923" s="144"/>
      <c r="I923" s="496"/>
      <c r="J923" s="496"/>
      <c r="K923" s="496"/>
      <c r="L923" s="496"/>
      <c r="M923" s="144"/>
      <c r="N923" s="144"/>
      <c r="O923" s="144"/>
      <c r="P923" s="144"/>
      <c r="Q923" s="144"/>
      <c r="R923" s="144"/>
      <c r="S923" s="144"/>
      <c r="T923" s="144"/>
      <c r="U923" s="144"/>
      <c r="V923" s="144"/>
      <c r="W923" s="144"/>
      <c r="X923" s="144"/>
      <c r="Y923" s="144"/>
      <c r="Z923" s="144"/>
      <c r="AA923" s="144"/>
      <c r="AB923" s="144"/>
      <c r="AC923" s="144"/>
      <c r="AD923" s="144"/>
      <c r="AE923" s="144"/>
      <c r="AF923" s="144"/>
    </row>
    <row r="924" ht="16.5" customHeight="1">
      <c r="A924" s="144"/>
      <c r="B924" s="144"/>
      <c r="C924" s="144"/>
      <c r="D924" s="144"/>
      <c r="E924" s="144"/>
      <c r="F924" s="144"/>
      <c r="G924" s="144"/>
      <c r="H924" s="144"/>
      <c r="I924" s="496"/>
      <c r="J924" s="496"/>
      <c r="K924" s="496"/>
      <c r="L924" s="496"/>
      <c r="M924" s="144"/>
      <c r="N924" s="144"/>
      <c r="O924" s="144"/>
      <c r="P924" s="144"/>
      <c r="Q924" s="144"/>
      <c r="R924" s="144"/>
      <c r="S924" s="144"/>
      <c r="T924" s="144"/>
      <c r="U924" s="144"/>
      <c r="V924" s="144"/>
      <c r="W924" s="144"/>
      <c r="X924" s="144"/>
      <c r="Y924" s="144"/>
      <c r="Z924" s="144"/>
      <c r="AA924" s="144"/>
      <c r="AB924" s="144"/>
      <c r="AC924" s="144"/>
      <c r="AD924" s="144"/>
      <c r="AE924" s="144"/>
      <c r="AF924" s="144"/>
    </row>
    <row r="925" ht="16.5" customHeight="1">
      <c r="A925" s="144"/>
      <c r="B925" s="144"/>
      <c r="C925" s="144"/>
      <c r="D925" s="144"/>
      <c r="E925" s="144"/>
      <c r="F925" s="144"/>
      <c r="G925" s="144"/>
      <c r="H925" s="144"/>
      <c r="I925" s="496"/>
      <c r="J925" s="496"/>
      <c r="K925" s="496"/>
      <c r="L925" s="496"/>
      <c r="M925" s="144"/>
      <c r="N925" s="144"/>
      <c r="O925" s="144"/>
      <c r="P925" s="144"/>
      <c r="Q925" s="144"/>
      <c r="R925" s="144"/>
      <c r="S925" s="144"/>
      <c r="T925" s="144"/>
      <c r="U925" s="144"/>
      <c r="V925" s="144"/>
      <c r="W925" s="144"/>
      <c r="X925" s="144"/>
      <c r="Y925" s="144"/>
      <c r="Z925" s="144"/>
      <c r="AA925" s="144"/>
      <c r="AB925" s="144"/>
      <c r="AC925" s="144"/>
      <c r="AD925" s="144"/>
      <c r="AE925" s="144"/>
      <c r="AF925" s="144"/>
    </row>
    <row r="926" ht="16.5" customHeight="1">
      <c r="A926" s="144"/>
      <c r="B926" s="144"/>
      <c r="C926" s="144"/>
      <c r="D926" s="144"/>
      <c r="E926" s="144"/>
      <c r="F926" s="144"/>
      <c r="G926" s="144"/>
      <c r="H926" s="144"/>
      <c r="I926" s="496"/>
      <c r="J926" s="496"/>
      <c r="K926" s="496"/>
      <c r="L926" s="496"/>
      <c r="M926" s="144"/>
      <c r="N926" s="144"/>
      <c r="O926" s="144"/>
      <c r="P926" s="144"/>
      <c r="Q926" s="144"/>
      <c r="R926" s="144"/>
      <c r="S926" s="144"/>
      <c r="T926" s="144"/>
      <c r="U926" s="144"/>
      <c r="V926" s="144"/>
      <c r="W926" s="144"/>
      <c r="X926" s="144"/>
      <c r="Y926" s="144"/>
      <c r="Z926" s="144"/>
      <c r="AA926" s="144"/>
      <c r="AB926" s="144"/>
      <c r="AC926" s="144"/>
      <c r="AD926" s="144"/>
      <c r="AE926" s="144"/>
      <c r="AF926" s="144"/>
    </row>
    <row r="927" ht="16.5" customHeight="1">
      <c r="A927" s="144"/>
      <c r="B927" s="144"/>
      <c r="C927" s="144"/>
      <c r="D927" s="144"/>
      <c r="E927" s="144"/>
      <c r="F927" s="144"/>
      <c r="G927" s="144"/>
      <c r="H927" s="144"/>
      <c r="I927" s="496"/>
      <c r="J927" s="496"/>
      <c r="K927" s="496"/>
      <c r="L927" s="496"/>
      <c r="M927" s="144"/>
      <c r="N927" s="144"/>
      <c r="O927" s="144"/>
      <c r="P927" s="144"/>
      <c r="Q927" s="144"/>
      <c r="R927" s="144"/>
      <c r="S927" s="144"/>
      <c r="T927" s="144"/>
      <c r="U927" s="144"/>
      <c r="V927" s="144"/>
      <c r="W927" s="144"/>
      <c r="X927" s="144"/>
      <c r="Y927" s="144"/>
      <c r="Z927" s="144"/>
      <c r="AA927" s="144"/>
      <c r="AB927" s="144"/>
      <c r="AC927" s="144"/>
      <c r="AD927" s="144"/>
      <c r="AE927" s="144"/>
      <c r="AF927" s="144"/>
    </row>
    <row r="928" ht="16.5" customHeight="1">
      <c r="A928" s="144"/>
      <c r="B928" s="144"/>
      <c r="C928" s="144"/>
      <c r="D928" s="144"/>
      <c r="E928" s="144"/>
      <c r="F928" s="144"/>
      <c r="G928" s="144"/>
      <c r="H928" s="144"/>
      <c r="I928" s="496"/>
      <c r="J928" s="496"/>
      <c r="K928" s="496"/>
      <c r="L928" s="496"/>
      <c r="M928" s="144"/>
      <c r="N928" s="144"/>
      <c r="O928" s="144"/>
      <c r="P928" s="144"/>
      <c r="Q928" s="144"/>
      <c r="R928" s="144"/>
      <c r="S928" s="144"/>
      <c r="T928" s="144"/>
      <c r="U928" s="144"/>
      <c r="V928" s="144"/>
      <c r="W928" s="144"/>
      <c r="X928" s="144"/>
      <c r="Y928" s="144"/>
      <c r="Z928" s="144"/>
      <c r="AA928" s="144"/>
      <c r="AB928" s="144"/>
      <c r="AC928" s="144"/>
      <c r="AD928" s="144"/>
      <c r="AE928" s="144"/>
      <c r="AF928" s="144"/>
    </row>
    <row r="929" ht="16.5" customHeight="1">
      <c r="A929" s="144"/>
      <c r="B929" s="144"/>
      <c r="C929" s="144"/>
      <c r="D929" s="144"/>
      <c r="E929" s="144"/>
      <c r="F929" s="144"/>
      <c r="G929" s="144"/>
      <c r="H929" s="144"/>
      <c r="I929" s="496"/>
      <c r="J929" s="496"/>
      <c r="K929" s="496"/>
      <c r="L929" s="496"/>
      <c r="M929" s="144"/>
      <c r="N929" s="144"/>
      <c r="O929" s="144"/>
      <c r="P929" s="144"/>
      <c r="Q929" s="144"/>
      <c r="R929" s="144"/>
      <c r="S929" s="144"/>
      <c r="T929" s="144"/>
      <c r="U929" s="144"/>
      <c r="V929" s="144"/>
      <c r="W929" s="144"/>
      <c r="X929" s="144"/>
      <c r="Y929" s="144"/>
      <c r="Z929" s="144"/>
      <c r="AA929" s="144"/>
      <c r="AB929" s="144"/>
      <c r="AC929" s="144"/>
      <c r="AD929" s="144"/>
      <c r="AE929" s="144"/>
      <c r="AF929" s="144"/>
    </row>
    <row r="930" ht="16.5" customHeight="1">
      <c r="A930" s="144"/>
      <c r="B930" s="144"/>
      <c r="C930" s="144"/>
      <c r="D930" s="144"/>
      <c r="E930" s="144"/>
      <c r="F930" s="144"/>
      <c r="G930" s="144"/>
      <c r="H930" s="144"/>
      <c r="I930" s="496"/>
      <c r="J930" s="496"/>
      <c r="K930" s="496"/>
      <c r="L930" s="496"/>
      <c r="M930" s="144"/>
      <c r="N930" s="144"/>
      <c r="O930" s="144"/>
      <c r="P930" s="144"/>
      <c r="Q930" s="144"/>
      <c r="R930" s="144"/>
      <c r="S930" s="144"/>
      <c r="T930" s="144"/>
      <c r="U930" s="144"/>
      <c r="V930" s="144"/>
      <c r="W930" s="144"/>
      <c r="X930" s="144"/>
      <c r="Y930" s="144"/>
      <c r="Z930" s="144"/>
      <c r="AA930" s="144"/>
      <c r="AB930" s="144"/>
      <c r="AC930" s="144"/>
      <c r="AD930" s="144"/>
      <c r="AE930" s="144"/>
      <c r="AF930" s="144"/>
    </row>
    <row r="931" ht="16.5" customHeight="1">
      <c r="A931" s="144"/>
      <c r="B931" s="144"/>
      <c r="C931" s="144"/>
      <c r="D931" s="144"/>
      <c r="E931" s="144"/>
      <c r="F931" s="144"/>
      <c r="G931" s="144"/>
      <c r="H931" s="144"/>
      <c r="I931" s="496"/>
      <c r="J931" s="496"/>
      <c r="K931" s="496"/>
      <c r="L931" s="496"/>
      <c r="M931" s="144"/>
      <c r="N931" s="144"/>
      <c r="O931" s="144"/>
      <c r="P931" s="144"/>
      <c r="Q931" s="144"/>
      <c r="R931" s="144"/>
      <c r="S931" s="144"/>
      <c r="T931" s="144"/>
      <c r="U931" s="144"/>
      <c r="V931" s="144"/>
      <c r="W931" s="144"/>
      <c r="X931" s="144"/>
      <c r="Y931" s="144"/>
      <c r="Z931" s="144"/>
      <c r="AA931" s="144"/>
      <c r="AB931" s="144"/>
      <c r="AC931" s="144"/>
      <c r="AD931" s="144"/>
      <c r="AE931" s="144"/>
      <c r="AF931" s="144"/>
    </row>
    <row r="932" ht="16.5" customHeight="1">
      <c r="A932" s="144"/>
      <c r="B932" s="144"/>
      <c r="C932" s="144"/>
      <c r="D932" s="144"/>
      <c r="E932" s="144"/>
      <c r="F932" s="144"/>
      <c r="G932" s="144"/>
      <c r="H932" s="144"/>
      <c r="I932" s="496"/>
      <c r="J932" s="496"/>
      <c r="K932" s="496"/>
      <c r="L932" s="496"/>
      <c r="M932" s="144"/>
      <c r="N932" s="144"/>
      <c r="O932" s="144"/>
      <c r="P932" s="144"/>
      <c r="Q932" s="144"/>
      <c r="R932" s="144"/>
      <c r="S932" s="144"/>
      <c r="T932" s="144"/>
      <c r="U932" s="144"/>
      <c r="V932" s="144"/>
      <c r="W932" s="144"/>
      <c r="X932" s="144"/>
      <c r="Y932" s="144"/>
      <c r="Z932" s="144"/>
      <c r="AA932" s="144"/>
      <c r="AB932" s="144"/>
      <c r="AC932" s="144"/>
      <c r="AD932" s="144"/>
      <c r="AE932" s="144"/>
      <c r="AF932" s="144"/>
    </row>
    <row r="933" ht="16.5" customHeight="1">
      <c r="A933" s="144"/>
      <c r="B933" s="144"/>
      <c r="C933" s="144"/>
      <c r="D933" s="144"/>
      <c r="E933" s="144"/>
      <c r="F933" s="144"/>
      <c r="G933" s="144"/>
      <c r="H933" s="144"/>
      <c r="I933" s="496"/>
      <c r="J933" s="496"/>
      <c r="K933" s="496"/>
      <c r="L933" s="496"/>
      <c r="M933" s="144"/>
      <c r="N933" s="144"/>
      <c r="O933" s="144"/>
      <c r="P933" s="144"/>
      <c r="Q933" s="144"/>
      <c r="R933" s="144"/>
      <c r="S933" s="144"/>
      <c r="T933" s="144"/>
      <c r="U933" s="144"/>
      <c r="V933" s="144"/>
      <c r="W933" s="144"/>
      <c r="X933" s="144"/>
      <c r="Y933" s="144"/>
      <c r="Z933" s="144"/>
      <c r="AA933" s="144"/>
      <c r="AB933" s="144"/>
      <c r="AC933" s="144"/>
      <c r="AD933" s="144"/>
      <c r="AE933" s="144"/>
      <c r="AF933" s="144"/>
    </row>
    <row r="934" ht="16.5" customHeight="1">
      <c r="A934" s="144"/>
      <c r="B934" s="144"/>
      <c r="C934" s="144"/>
      <c r="D934" s="144"/>
      <c r="E934" s="144"/>
      <c r="F934" s="144"/>
      <c r="G934" s="144"/>
      <c r="H934" s="144"/>
      <c r="I934" s="496"/>
      <c r="J934" s="496"/>
      <c r="K934" s="496"/>
      <c r="L934" s="496"/>
      <c r="M934" s="144"/>
      <c r="N934" s="144"/>
      <c r="O934" s="144"/>
      <c r="P934" s="144"/>
      <c r="Q934" s="144"/>
      <c r="R934" s="144"/>
      <c r="S934" s="144"/>
      <c r="T934" s="144"/>
      <c r="U934" s="144"/>
      <c r="V934" s="144"/>
      <c r="W934" s="144"/>
      <c r="X934" s="144"/>
      <c r="Y934" s="144"/>
      <c r="Z934" s="144"/>
      <c r="AA934" s="144"/>
      <c r="AB934" s="144"/>
      <c r="AC934" s="144"/>
      <c r="AD934" s="144"/>
      <c r="AE934" s="144"/>
      <c r="AF934" s="144"/>
    </row>
    <row r="935" ht="16.5" customHeight="1">
      <c r="A935" s="144"/>
      <c r="B935" s="144"/>
      <c r="C935" s="144"/>
      <c r="D935" s="144"/>
      <c r="E935" s="144"/>
      <c r="F935" s="144"/>
      <c r="G935" s="144"/>
      <c r="H935" s="144"/>
      <c r="I935" s="496"/>
      <c r="J935" s="496"/>
      <c r="K935" s="496"/>
      <c r="L935" s="496"/>
      <c r="M935" s="144"/>
      <c r="N935" s="144"/>
      <c r="O935" s="144"/>
      <c r="P935" s="144"/>
      <c r="Q935" s="144"/>
      <c r="R935" s="144"/>
      <c r="S935" s="144"/>
      <c r="T935" s="144"/>
      <c r="U935" s="144"/>
      <c r="V935" s="144"/>
      <c r="W935" s="144"/>
      <c r="X935" s="144"/>
      <c r="Y935" s="144"/>
      <c r="Z935" s="144"/>
      <c r="AA935" s="144"/>
      <c r="AB935" s="144"/>
      <c r="AC935" s="144"/>
      <c r="AD935" s="144"/>
      <c r="AE935" s="144"/>
      <c r="AF935" s="144"/>
    </row>
    <row r="936" ht="16.5" customHeight="1">
      <c r="A936" s="144"/>
      <c r="B936" s="144"/>
      <c r="C936" s="144"/>
      <c r="D936" s="144"/>
      <c r="E936" s="144"/>
      <c r="F936" s="144"/>
      <c r="G936" s="144"/>
      <c r="H936" s="144"/>
      <c r="I936" s="496"/>
      <c r="J936" s="496"/>
      <c r="K936" s="496"/>
      <c r="L936" s="496"/>
      <c r="M936" s="144"/>
      <c r="N936" s="144"/>
      <c r="O936" s="144"/>
      <c r="P936" s="144"/>
      <c r="Q936" s="144"/>
      <c r="R936" s="144"/>
      <c r="S936" s="144"/>
      <c r="T936" s="144"/>
      <c r="U936" s="144"/>
      <c r="V936" s="144"/>
      <c r="W936" s="144"/>
      <c r="X936" s="144"/>
      <c r="Y936" s="144"/>
      <c r="Z936" s="144"/>
      <c r="AA936" s="144"/>
      <c r="AB936" s="144"/>
      <c r="AC936" s="144"/>
      <c r="AD936" s="144"/>
      <c r="AE936" s="144"/>
      <c r="AF936" s="144"/>
    </row>
    <row r="937" ht="16.5" customHeight="1">
      <c r="A937" s="144"/>
      <c r="B937" s="144"/>
      <c r="C937" s="144"/>
      <c r="D937" s="144"/>
      <c r="E937" s="144"/>
      <c r="F937" s="144"/>
      <c r="G937" s="144"/>
      <c r="H937" s="144"/>
      <c r="I937" s="496"/>
      <c r="J937" s="496"/>
      <c r="K937" s="496"/>
      <c r="L937" s="496"/>
      <c r="M937" s="144"/>
      <c r="N937" s="144"/>
      <c r="O937" s="144"/>
      <c r="P937" s="144"/>
      <c r="Q937" s="144"/>
      <c r="R937" s="144"/>
      <c r="S937" s="144"/>
      <c r="T937" s="144"/>
      <c r="U937" s="144"/>
      <c r="V937" s="144"/>
      <c r="W937" s="144"/>
      <c r="X937" s="144"/>
      <c r="Y937" s="144"/>
      <c r="Z937" s="144"/>
      <c r="AA937" s="144"/>
      <c r="AB937" s="144"/>
      <c r="AC937" s="144"/>
      <c r="AD937" s="144"/>
      <c r="AE937" s="144"/>
      <c r="AF937" s="144"/>
    </row>
    <row r="938" ht="16.5" customHeight="1">
      <c r="A938" s="144"/>
      <c r="B938" s="144"/>
      <c r="C938" s="144"/>
      <c r="D938" s="144"/>
      <c r="E938" s="144"/>
      <c r="F938" s="144"/>
      <c r="G938" s="144"/>
      <c r="H938" s="144"/>
      <c r="I938" s="496"/>
      <c r="J938" s="496"/>
      <c r="K938" s="496"/>
      <c r="L938" s="496"/>
      <c r="M938" s="144"/>
      <c r="N938" s="144"/>
      <c r="O938" s="144"/>
      <c r="P938" s="144"/>
      <c r="Q938" s="144"/>
      <c r="R938" s="144"/>
      <c r="S938" s="144"/>
      <c r="T938" s="144"/>
      <c r="U938" s="144"/>
      <c r="V938" s="144"/>
      <c r="W938" s="144"/>
      <c r="X938" s="144"/>
      <c r="Y938" s="144"/>
      <c r="Z938" s="144"/>
      <c r="AA938" s="144"/>
      <c r="AB938" s="144"/>
      <c r="AC938" s="144"/>
      <c r="AD938" s="144"/>
      <c r="AE938" s="144"/>
      <c r="AF938" s="144"/>
    </row>
    <row r="939" ht="16.5" customHeight="1">
      <c r="A939" s="144"/>
      <c r="B939" s="144"/>
      <c r="C939" s="144"/>
      <c r="D939" s="144"/>
      <c r="E939" s="144"/>
      <c r="F939" s="144"/>
      <c r="G939" s="144"/>
      <c r="H939" s="144"/>
      <c r="I939" s="496"/>
      <c r="J939" s="496"/>
      <c r="K939" s="496"/>
      <c r="L939" s="496"/>
      <c r="M939" s="144"/>
      <c r="N939" s="144"/>
      <c r="O939" s="144"/>
      <c r="P939" s="144"/>
      <c r="Q939" s="144"/>
      <c r="R939" s="144"/>
      <c r="S939" s="144"/>
      <c r="T939" s="144"/>
      <c r="U939" s="144"/>
      <c r="V939" s="144"/>
      <c r="W939" s="144"/>
      <c r="X939" s="144"/>
      <c r="Y939" s="144"/>
      <c r="Z939" s="144"/>
      <c r="AA939" s="144"/>
      <c r="AB939" s="144"/>
      <c r="AC939" s="144"/>
      <c r="AD939" s="144"/>
      <c r="AE939" s="144"/>
      <c r="AF939" s="144"/>
    </row>
    <row r="940" ht="16.5" customHeight="1">
      <c r="A940" s="144"/>
      <c r="B940" s="144"/>
      <c r="C940" s="144"/>
      <c r="D940" s="144"/>
      <c r="E940" s="144"/>
      <c r="F940" s="144"/>
      <c r="G940" s="144"/>
      <c r="H940" s="144"/>
      <c r="I940" s="496"/>
      <c r="J940" s="496"/>
      <c r="K940" s="496"/>
      <c r="L940" s="496"/>
      <c r="M940" s="144"/>
      <c r="N940" s="144"/>
      <c r="O940" s="144"/>
      <c r="P940" s="144"/>
      <c r="Q940" s="144"/>
      <c r="R940" s="144"/>
      <c r="S940" s="144"/>
      <c r="T940" s="144"/>
      <c r="U940" s="144"/>
      <c r="V940" s="144"/>
      <c r="W940" s="144"/>
      <c r="X940" s="144"/>
      <c r="Y940" s="144"/>
      <c r="Z940" s="144"/>
      <c r="AA940" s="144"/>
      <c r="AB940" s="144"/>
      <c r="AC940" s="144"/>
      <c r="AD940" s="144"/>
      <c r="AE940" s="144"/>
      <c r="AF940" s="144"/>
    </row>
    <row r="941" ht="16.5" customHeight="1">
      <c r="A941" s="144"/>
      <c r="B941" s="144"/>
      <c r="C941" s="144"/>
      <c r="D941" s="144"/>
      <c r="E941" s="144"/>
      <c r="F941" s="144"/>
      <c r="G941" s="144"/>
      <c r="H941" s="144"/>
      <c r="I941" s="496"/>
      <c r="J941" s="496"/>
      <c r="K941" s="496"/>
      <c r="L941" s="496"/>
      <c r="M941" s="144"/>
      <c r="N941" s="144"/>
      <c r="O941" s="144"/>
      <c r="P941" s="144"/>
      <c r="Q941" s="144"/>
      <c r="R941" s="144"/>
      <c r="S941" s="144"/>
      <c r="T941" s="144"/>
      <c r="U941" s="144"/>
      <c r="V941" s="144"/>
      <c r="W941" s="144"/>
      <c r="X941" s="144"/>
      <c r="Y941" s="144"/>
      <c r="Z941" s="144"/>
      <c r="AA941" s="144"/>
      <c r="AB941" s="144"/>
      <c r="AC941" s="144"/>
      <c r="AD941" s="144"/>
      <c r="AE941" s="144"/>
      <c r="AF941" s="144"/>
    </row>
    <row r="942" ht="16.5" customHeight="1">
      <c r="A942" s="144"/>
      <c r="B942" s="144"/>
      <c r="C942" s="144"/>
      <c r="D942" s="144"/>
      <c r="E942" s="144"/>
      <c r="F942" s="144"/>
      <c r="G942" s="144"/>
      <c r="H942" s="144"/>
      <c r="I942" s="496"/>
      <c r="J942" s="496"/>
      <c r="K942" s="496"/>
      <c r="L942" s="496"/>
      <c r="M942" s="144"/>
      <c r="N942" s="144"/>
      <c r="O942" s="144"/>
      <c r="P942" s="144"/>
      <c r="Q942" s="144"/>
      <c r="R942" s="144"/>
      <c r="S942" s="144"/>
      <c r="T942" s="144"/>
      <c r="U942" s="144"/>
      <c r="V942" s="144"/>
      <c r="W942" s="144"/>
      <c r="X942" s="144"/>
      <c r="Y942" s="144"/>
      <c r="Z942" s="144"/>
      <c r="AA942" s="144"/>
      <c r="AB942" s="144"/>
      <c r="AC942" s="144"/>
      <c r="AD942" s="144"/>
      <c r="AE942" s="144"/>
      <c r="AF942" s="144"/>
    </row>
    <row r="943" ht="16.5" customHeight="1">
      <c r="A943" s="144"/>
      <c r="B943" s="144"/>
      <c r="C943" s="144"/>
      <c r="D943" s="144"/>
      <c r="E943" s="144"/>
      <c r="F943" s="144"/>
      <c r="G943" s="144"/>
      <c r="H943" s="144"/>
      <c r="I943" s="496"/>
      <c r="J943" s="496"/>
      <c r="K943" s="496"/>
      <c r="L943" s="496"/>
      <c r="M943" s="144"/>
      <c r="N943" s="144"/>
      <c r="O943" s="144"/>
      <c r="P943" s="144"/>
      <c r="Q943" s="144"/>
      <c r="R943" s="144"/>
      <c r="S943" s="144"/>
      <c r="T943" s="144"/>
      <c r="U943" s="144"/>
      <c r="V943" s="144"/>
      <c r="W943" s="144"/>
      <c r="X943" s="144"/>
      <c r="Y943" s="144"/>
      <c r="Z943" s="144"/>
      <c r="AA943" s="144"/>
      <c r="AB943" s="144"/>
      <c r="AC943" s="144"/>
      <c r="AD943" s="144"/>
      <c r="AE943" s="144"/>
      <c r="AF943" s="144"/>
    </row>
    <row r="944" ht="16.5" customHeight="1">
      <c r="A944" s="144"/>
      <c r="B944" s="144"/>
      <c r="C944" s="144"/>
      <c r="D944" s="144"/>
      <c r="E944" s="144"/>
      <c r="F944" s="144"/>
      <c r="G944" s="144"/>
      <c r="H944" s="144"/>
      <c r="I944" s="496"/>
      <c r="J944" s="496"/>
      <c r="K944" s="496"/>
      <c r="L944" s="496"/>
      <c r="M944" s="144"/>
      <c r="N944" s="144"/>
      <c r="O944" s="144"/>
      <c r="P944" s="144"/>
      <c r="Q944" s="144"/>
      <c r="R944" s="144"/>
      <c r="S944" s="144"/>
      <c r="T944" s="144"/>
      <c r="U944" s="144"/>
      <c r="V944" s="144"/>
      <c r="W944" s="144"/>
      <c r="X944" s="144"/>
      <c r="Y944" s="144"/>
      <c r="Z944" s="144"/>
      <c r="AA944" s="144"/>
      <c r="AB944" s="144"/>
      <c r="AC944" s="144"/>
      <c r="AD944" s="144"/>
      <c r="AE944" s="144"/>
      <c r="AF944" s="144"/>
    </row>
    <row r="945" ht="16.5" customHeight="1">
      <c r="A945" s="144"/>
      <c r="B945" s="144"/>
      <c r="C945" s="144"/>
      <c r="D945" s="144"/>
      <c r="E945" s="144"/>
      <c r="F945" s="144"/>
      <c r="G945" s="144"/>
      <c r="H945" s="144"/>
      <c r="I945" s="496"/>
      <c r="J945" s="496"/>
      <c r="K945" s="496"/>
      <c r="L945" s="496"/>
      <c r="M945" s="144"/>
      <c r="N945" s="144"/>
      <c r="O945" s="144"/>
      <c r="P945" s="144"/>
      <c r="Q945" s="144"/>
      <c r="R945" s="144"/>
      <c r="S945" s="144"/>
      <c r="T945" s="144"/>
      <c r="U945" s="144"/>
      <c r="V945" s="144"/>
      <c r="W945" s="144"/>
      <c r="X945" s="144"/>
      <c r="Y945" s="144"/>
      <c r="Z945" s="144"/>
      <c r="AA945" s="144"/>
      <c r="AB945" s="144"/>
      <c r="AC945" s="144"/>
      <c r="AD945" s="144"/>
      <c r="AE945" s="144"/>
      <c r="AF945" s="144"/>
    </row>
    <row r="946" ht="16.5" customHeight="1">
      <c r="A946" s="144"/>
      <c r="B946" s="144"/>
      <c r="C946" s="144"/>
      <c r="D946" s="144"/>
      <c r="E946" s="144"/>
      <c r="F946" s="144"/>
      <c r="G946" s="144"/>
      <c r="H946" s="144"/>
      <c r="I946" s="496"/>
      <c r="J946" s="496"/>
      <c r="K946" s="496"/>
      <c r="L946" s="496"/>
      <c r="M946" s="144"/>
      <c r="N946" s="144"/>
      <c r="O946" s="144"/>
      <c r="P946" s="144"/>
      <c r="Q946" s="144"/>
      <c r="R946" s="144"/>
      <c r="S946" s="144"/>
      <c r="T946" s="144"/>
      <c r="U946" s="144"/>
      <c r="V946" s="144"/>
      <c r="W946" s="144"/>
      <c r="X946" s="144"/>
      <c r="Y946" s="144"/>
      <c r="Z946" s="144"/>
      <c r="AA946" s="144"/>
      <c r="AB946" s="144"/>
      <c r="AC946" s="144"/>
      <c r="AD946" s="144"/>
      <c r="AE946" s="144"/>
      <c r="AF946" s="144"/>
    </row>
    <row r="947" ht="16.5" customHeight="1">
      <c r="A947" s="144"/>
      <c r="B947" s="144"/>
      <c r="C947" s="144"/>
      <c r="D947" s="144"/>
      <c r="E947" s="144"/>
      <c r="F947" s="144"/>
      <c r="G947" s="144"/>
      <c r="H947" s="144"/>
      <c r="I947" s="496"/>
      <c r="J947" s="496"/>
      <c r="K947" s="496"/>
      <c r="L947" s="496"/>
      <c r="M947" s="144"/>
      <c r="N947" s="144"/>
      <c r="O947" s="144"/>
      <c r="P947" s="144"/>
      <c r="Q947" s="144"/>
      <c r="R947" s="144"/>
      <c r="S947" s="144"/>
      <c r="T947" s="144"/>
      <c r="U947" s="144"/>
      <c r="V947" s="144"/>
      <c r="W947" s="144"/>
      <c r="X947" s="144"/>
      <c r="Y947" s="144"/>
      <c r="Z947" s="144"/>
      <c r="AA947" s="144"/>
      <c r="AB947" s="144"/>
      <c r="AC947" s="144"/>
      <c r="AD947" s="144"/>
      <c r="AE947" s="144"/>
      <c r="AF947" s="144"/>
    </row>
    <row r="948" ht="16.5" customHeight="1">
      <c r="A948" s="144"/>
      <c r="B948" s="144"/>
      <c r="C948" s="144"/>
      <c r="D948" s="144"/>
      <c r="E948" s="144"/>
      <c r="F948" s="144"/>
      <c r="G948" s="144"/>
      <c r="H948" s="144"/>
      <c r="I948" s="496"/>
      <c r="J948" s="496"/>
      <c r="K948" s="496"/>
      <c r="L948" s="496"/>
      <c r="M948" s="144"/>
      <c r="N948" s="144"/>
      <c r="O948" s="144"/>
      <c r="P948" s="144"/>
      <c r="Q948" s="144"/>
      <c r="R948" s="144"/>
      <c r="S948" s="144"/>
      <c r="T948" s="144"/>
      <c r="U948" s="144"/>
      <c r="V948" s="144"/>
      <c r="W948" s="144"/>
      <c r="X948" s="144"/>
      <c r="Y948" s="144"/>
      <c r="Z948" s="144"/>
      <c r="AA948" s="144"/>
      <c r="AB948" s="144"/>
      <c r="AC948" s="144"/>
      <c r="AD948" s="144"/>
      <c r="AE948" s="144"/>
      <c r="AF948" s="144"/>
    </row>
    <row r="949" ht="16.5" customHeight="1">
      <c r="A949" s="144"/>
      <c r="B949" s="144"/>
      <c r="C949" s="144"/>
      <c r="D949" s="144"/>
      <c r="E949" s="144"/>
      <c r="F949" s="144"/>
      <c r="G949" s="144"/>
      <c r="H949" s="144"/>
      <c r="I949" s="496"/>
      <c r="J949" s="496"/>
      <c r="K949" s="496"/>
      <c r="L949" s="496"/>
      <c r="M949" s="144"/>
      <c r="N949" s="144"/>
      <c r="O949" s="144"/>
      <c r="P949" s="144"/>
      <c r="Q949" s="144"/>
      <c r="R949" s="144"/>
      <c r="S949" s="144"/>
      <c r="T949" s="144"/>
      <c r="U949" s="144"/>
      <c r="V949" s="144"/>
      <c r="W949" s="144"/>
      <c r="X949" s="144"/>
      <c r="Y949" s="144"/>
      <c r="Z949" s="144"/>
      <c r="AA949" s="144"/>
      <c r="AB949" s="144"/>
      <c r="AC949" s="144"/>
      <c r="AD949" s="144"/>
      <c r="AE949" s="144"/>
      <c r="AF949" s="144"/>
    </row>
    <row r="950" ht="16.5" customHeight="1">
      <c r="A950" s="144"/>
      <c r="B950" s="144"/>
      <c r="C950" s="144"/>
      <c r="D950" s="144"/>
      <c r="E950" s="144"/>
      <c r="F950" s="144"/>
      <c r="G950" s="144"/>
      <c r="H950" s="144"/>
      <c r="I950" s="496"/>
      <c r="J950" s="496"/>
      <c r="K950" s="496"/>
      <c r="L950" s="496"/>
      <c r="M950" s="144"/>
      <c r="N950" s="144"/>
      <c r="O950" s="144"/>
      <c r="P950" s="144"/>
      <c r="Q950" s="144"/>
      <c r="R950" s="144"/>
      <c r="S950" s="144"/>
      <c r="T950" s="144"/>
      <c r="U950" s="144"/>
      <c r="V950" s="144"/>
      <c r="W950" s="144"/>
      <c r="X950" s="144"/>
      <c r="Y950" s="144"/>
      <c r="Z950" s="144"/>
      <c r="AA950" s="144"/>
      <c r="AB950" s="144"/>
      <c r="AC950" s="144"/>
      <c r="AD950" s="144"/>
      <c r="AE950" s="144"/>
      <c r="AF950" s="144"/>
    </row>
    <row r="951" ht="16.5" customHeight="1">
      <c r="A951" s="144"/>
      <c r="B951" s="144"/>
      <c r="C951" s="144"/>
      <c r="D951" s="144"/>
      <c r="E951" s="144"/>
      <c r="F951" s="144"/>
      <c r="G951" s="144"/>
      <c r="H951" s="144"/>
      <c r="I951" s="496"/>
      <c r="J951" s="496"/>
      <c r="K951" s="496"/>
      <c r="L951" s="496"/>
      <c r="M951" s="144"/>
      <c r="N951" s="144"/>
      <c r="O951" s="144"/>
      <c r="P951" s="144"/>
      <c r="Q951" s="144"/>
      <c r="R951" s="144"/>
      <c r="S951" s="144"/>
      <c r="T951" s="144"/>
      <c r="U951" s="144"/>
      <c r="V951" s="144"/>
      <c r="W951" s="144"/>
      <c r="X951" s="144"/>
      <c r="Y951" s="144"/>
      <c r="Z951" s="144"/>
      <c r="AA951" s="144"/>
      <c r="AB951" s="144"/>
      <c r="AC951" s="144"/>
      <c r="AD951" s="144"/>
      <c r="AE951" s="144"/>
      <c r="AF951" s="144"/>
    </row>
    <row r="952" ht="16.5" customHeight="1">
      <c r="A952" s="144"/>
      <c r="B952" s="144"/>
      <c r="C952" s="144"/>
      <c r="D952" s="144"/>
      <c r="E952" s="144"/>
      <c r="F952" s="144"/>
      <c r="G952" s="144"/>
      <c r="H952" s="144"/>
      <c r="I952" s="496"/>
      <c r="J952" s="496"/>
      <c r="K952" s="496"/>
      <c r="L952" s="496"/>
      <c r="M952" s="144"/>
      <c r="N952" s="144"/>
      <c r="O952" s="144"/>
      <c r="P952" s="144"/>
      <c r="Q952" s="144"/>
      <c r="R952" s="144"/>
      <c r="S952" s="144"/>
      <c r="T952" s="144"/>
      <c r="U952" s="144"/>
      <c r="V952" s="144"/>
      <c r="W952" s="144"/>
      <c r="X952" s="144"/>
      <c r="Y952" s="144"/>
      <c r="Z952" s="144"/>
      <c r="AA952" s="144"/>
      <c r="AB952" s="144"/>
      <c r="AC952" s="144"/>
      <c r="AD952" s="144"/>
      <c r="AE952" s="144"/>
      <c r="AF952" s="144"/>
    </row>
    <row r="953" ht="16.5" customHeight="1">
      <c r="A953" s="144"/>
      <c r="B953" s="144"/>
      <c r="C953" s="144"/>
      <c r="D953" s="144"/>
      <c r="E953" s="144"/>
      <c r="F953" s="144"/>
      <c r="G953" s="144"/>
      <c r="H953" s="144"/>
      <c r="I953" s="496"/>
      <c r="J953" s="496"/>
      <c r="K953" s="496"/>
      <c r="L953" s="496"/>
      <c r="M953" s="144"/>
      <c r="N953" s="144"/>
      <c r="O953" s="144"/>
      <c r="P953" s="144"/>
      <c r="Q953" s="144"/>
      <c r="R953" s="144"/>
      <c r="S953" s="144"/>
      <c r="T953" s="144"/>
      <c r="U953" s="144"/>
      <c r="V953" s="144"/>
      <c r="W953" s="144"/>
      <c r="X953" s="144"/>
      <c r="Y953" s="144"/>
      <c r="Z953" s="144"/>
      <c r="AA953" s="144"/>
      <c r="AB953" s="144"/>
      <c r="AC953" s="144"/>
      <c r="AD953" s="144"/>
      <c r="AE953" s="144"/>
      <c r="AF953" s="144"/>
    </row>
    <row r="954" ht="16.5" customHeight="1">
      <c r="A954" s="144"/>
      <c r="B954" s="144"/>
      <c r="C954" s="144"/>
      <c r="D954" s="144"/>
      <c r="E954" s="144"/>
      <c r="F954" s="144"/>
      <c r="G954" s="144"/>
      <c r="H954" s="144"/>
      <c r="I954" s="496"/>
      <c r="J954" s="496"/>
      <c r="K954" s="496"/>
      <c r="L954" s="496"/>
      <c r="M954" s="144"/>
      <c r="N954" s="144"/>
      <c r="O954" s="144"/>
      <c r="P954" s="144"/>
      <c r="Q954" s="144"/>
      <c r="R954" s="144"/>
      <c r="S954" s="144"/>
      <c r="T954" s="144"/>
      <c r="U954" s="144"/>
      <c r="V954" s="144"/>
      <c r="W954" s="144"/>
      <c r="X954" s="144"/>
      <c r="Y954" s="144"/>
      <c r="Z954" s="144"/>
      <c r="AA954" s="144"/>
      <c r="AB954" s="144"/>
      <c r="AC954" s="144"/>
      <c r="AD954" s="144"/>
      <c r="AE954" s="144"/>
      <c r="AF954" s="144"/>
    </row>
    <row r="955" ht="16.5" customHeight="1">
      <c r="A955" s="144"/>
      <c r="B955" s="144"/>
      <c r="C955" s="144"/>
      <c r="D955" s="144"/>
      <c r="E955" s="144"/>
      <c r="F955" s="144"/>
      <c r="G955" s="144"/>
      <c r="H955" s="144"/>
      <c r="I955" s="496"/>
      <c r="J955" s="496"/>
      <c r="K955" s="496"/>
      <c r="L955" s="496"/>
      <c r="M955" s="144"/>
      <c r="N955" s="144"/>
      <c r="O955" s="144"/>
      <c r="P955" s="144"/>
      <c r="Q955" s="144"/>
      <c r="R955" s="144"/>
      <c r="S955" s="144"/>
      <c r="T955" s="144"/>
      <c r="U955" s="144"/>
      <c r="V955" s="144"/>
      <c r="W955" s="144"/>
      <c r="X955" s="144"/>
      <c r="Y955" s="144"/>
      <c r="Z955" s="144"/>
      <c r="AA955" s="144"/>
      <c r="AB955" s="144"/>
      <c r="AC955" s="144"/>
      <c r="AD955" s="144"/>
      <c r="AE955" s="144"/>
      <c r="AF955" s="144"/>
    </row>
    <row r="956" ht="16.5" customHeight="1">
      <c r="A956" s="144"/>
      <c r="B956" s="144"/>
      <c r="C956" s="144"/>
      <c r="D956" s="144"/>
      <c r="E956" s="144"/>
      <c r="F956" s="144"/>
      <c r="G956" s="144"/>
      <c r="H956" s="144"/>
      <c r="I956" s="496"/>
      <c r="J956" s="496"/>
      <c r="K956" s="496"/>
      <c r="L956" s="496"/>
      <c r="M956" s="144"/>
      <c r="N956" s="144"/>
      <c r="O956" s="144"/>
      <c r="P956" s="144"/>
      <c r="Q956" s="144"/>
      <c r="R956" s="144"/>
      <c r="S956" s="144"/>
      <c r="T956" s="144"/>
      <c r="U956" s="144"/>
      <c r="V956" s="144"/>
      <c r="W956" s="144"/>
      <c r="X956" s="144"/>
      <c r="Y956" s="144"/>
      <c r="Z956" s="144"/>
      <c r="AA956" s="144"/>
      <c r="AB956" s="144"/>
      <c r="AC956" s="144"/>
      <c r="AD956" s="144"/>
      <c r="AE956" s="144"/>
      <c r="AF956" s="144"/>
    </row>
    <row r="957" ht="16.5" customHeight="1">
      <c r="A957" s="144"/>
      <c r="B957" s="144"/>
      <c r="C957" s="144"/>
      <c r="D957" s="144"/>
      <c r="E957" s="144"/>
      <c r="F957" s="144"/>
      <c r="G957" s="144"/>
      <c r="H957" s="144"/>
      <c r="I957" s="496"/>
      <c r="J957" s="496"/>
      <c r="K957" s="496"/>
      <c r="L957" s="496"/>
      <c r="M957" s="144"/>
      <c r="N957" s="144"/>
      <c r="O957" s="144"/>
      <c r="P957" s="144"/>
      <c r="Q957" s="144"/>
      <c r="R957" s="144"/>
      <c r="S957" s="144"/>
      <c r="T957" s="144"/>
      <c r="U957" s="144"/>
      <c r="V957" s="144"/>
      <c r="W957" s="144"/>
      <c r="X957" s="144"/>
      <c r="Y957" s="144"/>
      <c r="Z957" s="144"/>
      <c r="AA957" s="144"/>
      <c r="AB957" s="144"/>
      <c r="AC957" s="144"/>
      <c r="AD957" s="144"/>
      <c r="AE957" s="144"/>
      <c r="AF957" s="144"/>
    </row>
    <row r="958" ht="16.5" customHeight="1">
      <c r="A958" s="144"/>
      <c r="B958" s="144"/>
      <c r="C958" s="144"/>
      <c r="D958" s="144"/>
      <c r="E958" s="144"/>
      <c r="F958" s="144"/>
      <c r="G958" s="144"/>
      <c r="H958" s="144"/>
      <c r="I958" s="496"/>
      <c r="J958" s="496"/>
      <c r="K958" s="496"/>
      <c r="L958" s="496"/>
      <c r="M958" s="144"/>
      <c r="N958" s="144"/>
      <c r="O958" s="144"/>
      <c r="P958" s="144"/>
      <c r="Q958" s="144"/>
      <c r="R958" s="144"/>
      <c r="S958" s="144"/>
      <c r="T958" s="144"/>
      <c r="U958" s="144"/>
      <c r="V958" s="144"/>
      <c r="W958" s="144"/>
      <c r="X958" s="144"/>
      <c r="Y958" s="144"/>
      <c r="Z958" s="144"/>
      <c r="AA958" s="144"/>
      <c r="AB958" s="144"/>
      <c r="AC958" s="144"/>
      <c r="AD958" s="144"/>
      <c r="AE958" s="144"/>
      <c r="AF958" s="144"/>
    </row>
    <row r="959" ht="16.5" customHeight="1">
      <c r="A959" s="144"/>
      <c r="B959" s="144"/>
      <c r="C959" s="144"/>
      <c r="D959" s="144"/>
      <c r="E959" s="144"/>
      <c r="F959" s="144"/>
      <c r="G959" s="144"/>
      <c r="H959" s="144"/>
      <c r="I959" s="496"/>
      <c r="J959" s="496"/>
      <c r="K959" s="496"/>
      <c r="L959" s="496"/>
      <c r="M959" s="144"/>
      <c r="N959" s="144"/>
      <c r="O959" s="144"/>
      <c r="P959" s="144"/>
      <c r="Q959" s="144"/>
      <c r="R959" s="144"/>
      <c r="S959" s="144"/>
      <c r="T959" s="144"/>
      <c r="U959" s="144"/>
      <c r="V959" s="144"/>
      <c r="W959" s="144"/>
      <c r="X959" s="144"/>
      <c r="Y959" s="144"/>
      <c r="Z959" s="144"/>
      <c r="AA959" s="144"/>
      <c r="AB959" s="144"/>
      <c r="AC959" s="144"/>
      <c r="AD959" s="144"/>
      <c r="AE959" s="144"/>
      <c r="AF959" s="144"/>
    </row>
    <row r="960" ht="16.5" customHeight="1">
      <c r="A960" s="144"/>
      <c r="B960" s="144"/>
      <c r="C960" s="144"/>
      <c r="D960" s="144"/>
      <c r="E960" s="144"/>
      <c r="F960" s="144"/>
      <c r="G960" s="144"/>
      <c r="H960" s="144"/>
      <c r="I960" s="496"/>
      <c r="J960" s="496"/>
      <c r="K960" s="496"/>
      <c r="L960" s="496"/>
      <c r="M960" s="144"/>
      <c r="N960" s="144"/>
      <c r="O960" s="144"/>
      <c r="P960" s="144"/>
      <c r="Q960" s="144"/>
      <c r="R960" s="144"/>
      <c r="S960" s="144"/>
      <c r="T960" s="144"/>
      <c r="U960" s="144"/>
      <c r="V960" s="144"/>
      <c r="W960" s="144"/>
      <c r="X960" s="144"/>
      <c r="Y960" s="144"/>
      <c r="Z960" s="144"/>
      <c r="AA960" s="144"/>
      <c r="AB960" s="144"/>
      <c r="AC960" s="144"/>
      <c r="AD960" s="144"/>
      <c r="AE960" s="144"/>
      <c r="AF960" s="144"/>
    </row>
    <row r="961" ht="16.5" customHeight="1">
      <c r="A961" s="144"/>
      <c r="B961" s="144"/>
      <c r="C961" s="144"/>
      <c r="D961" s="144"/>
      <c r="E961" s="144"/>
      <c r="F961" s="144"/>
      <c r="G961" s="144"/>
      <c r="H961" s="144"/>
      <c r="I961" s="496"/>
      <c r="J961" s="496"/>
      <c r="K961" s="496"/>
      <c r="L961" s="496"/>
      <c r="M961" s="144"/>
      <c r="N961" s="144"/>
      <c r="O961" s="144"/>
      <c r="P961" s="144"/>
      <c r="Q961" s="144"/>
      <c r="R961" s="144"/>
      <c r="S961" s="144"/>
      <c r="T961" s="144"/>
      <c r="U961" s="144"/>
      <c r="V961" s="144"/>
      <c r="W961" s="144"/>
      <c r="X961" s="144"/>
      <c r="Y961" s="144"/>
      <c r="Z961" s="144"/>
      <c r="AA961" s="144"/>
      <c r="AB961" s="144"/>
      <c r="AC961" s="144"/>
      <c r="AD961" s="144"/>
      <c r="AE961" s="144"/>
      <c r="AF961" s="144"/>
    </row>
    <row r="962" ht="16.5" customHeight="1">
      <c r="A962" s="144"/>
      <c r="B962" s="144"/>
      <c r="C962" s="144"/>
      <c r="D962" s="144"/>
      <c r="E962" s="144"/>
      <c r="F962" s="144"/>
      <c r="G962" s="144"/>
      <c r="H962" s="144"/>
      <c r="I962" s="496"/>
      <c r="J962" s="496"/>
      <c r="K962" s="496"/>
      <c r="L962" s="496"/>
      <c r="M962" s="144"/>
      <c r="N962" s="144"/>
      <c r="O962" s="144"/>
      <c r="P962" s="144"/>
      <c r="Q962" s="144"/>
      <c r="R962" s="144"/>
      <c r="S962" s="144"/>
      <c r="T962" s="144"/>
      <c r="U962" s="144"/>
      <c r="V962" s="144"/>
      <c r="W962" s="144"/>
      <c r="X962" s="144"/>
      <c r="Y962" s="144"/>
      <c r="Z962" s="144"/>
      <c r="AA962" s="144"/>
      <c r="AB962" s="144"/>
      <c r="AC962" s="144"/>
      <c r="AD962" s="144"/>
      <c r="AE962" s="144"/>
      <c r="AF962" s="144"/>
    </row>
    <row r="963" ht="16.5" customHeight="1">
      <c r="A963" s="144"/>
      <c r="B963" s="144"/>
      <c r="C963" s="144"/>
      <c r="D963" s="144"/>
      <c r="E963" s="144"/>
      <c r="F963" s="144"/>
      <c r="G963" s="144"/>
      <c r="H963" s="144"/>
      <c r="I963" s="496"/>
      <c r="J963" s="496"/>
      <c r="K963" s="496"/>
      <c r="L963" s="496"/>
      <c r="M963" s="144"/>
      <c r="N963" s="144"/>
      <c r="O963" s="144"/>
      <c r="P963" s="144"/>
      <c r="Q963" s="144"/>
      <c r="R963" s="144"/>
      <c r="S963" s="144"/>
      <c r="T963" s="144"/>
      <c r="U963" s="144"/>
      <c r="V963" s="144"/>
      <c r="W963" s="144"/>
      <c r="X963" s="144"/>
      <c r="Y963" s="144"/>
      <c r="Z963" s="144"/>
      <c r="AA963" s="144"/>
      <c r="AB963" s="144"/>
      <c r="AC963" s="144"/>
      <c r="AD963" s="144"/>
      <c r="AE963" s="144"/>
      <c r="AF963" s="144"/>
    </row>
    <row r="964" ht="16.5" customHeight="1">
      <c r="A964" s="144"/>
      <c r="B964" s="144"/>
      <c r="C964" s="144"/>
      <c r="D964" s="144"/>
      <c r="E964" s="144"/>
      <c r="F964" s="144"/>
      <c r="G964" s="144"/>
      <c r="H964" s="144"/>
      <c r="I964" s="496"/>
      <c r="J964" s="496"/>
      <c r="K964" s="496"/>
      <c r="L964" s="496"/>
      <c r="M964" s="144"/>
      <c r="N964" s="144"/>
      <c r="O964" s="144"/>
      <c r="P964" s="144"/>
      <c r="Q964" s="144"/>
      <c r="R964" s="144"/>
      <c r="S964" s="144"/>
      <c r="T964" s="144"/>
      <c r="U964" s="144"/>
      <c r="V964" s="144"/>
      <c r="W964" s="144"/>
      <c r="X964" s="144"/>
      <c r="Y964" s="144"/>
      <c r="Z964" s="144"/>
      <c r="AA964" s="144"/>
      <c r="AB964" s="144"/>
      <c r="AC964" s="144"/>
      <c r="AD964" s="144"/>
      <c r="AE964" s="144"/>
      <c r="AF964" s="144"/>
    </row>
    <row r="965" ht="16.5" customHeight="1">
      <c r="A965" s="144"/>
      <c r="B965" s="144"/>
      <c r="C965" s="144"/>
      <c r="D965" s="144"/>
      <c r="E965" s="144"/>
      <c r="F965" s="144"/>
      <c r="G965" s="144"/>
      <c r="H965" s="144"/>
      <c r="I965" s="496"/>
      <c r="J965" s="496"/>
      <c r="K965" s="496"/>
      <c r="L965" s="496"/>
      <c r="M965" s="144"/>
      <c r="N965" s="144"/>
      <c r="O965" s="144"/>
      <c r="P965" s="144"/>
      <c r="Q965" s="144"/>
      <c r="R965" s="144"/>
      <c r="S965" s="144"/>
      <c r="T965" s="144"/>
      <c r="U965" s="144"/>
      <c r="V965" s="144"/>
      <c r="W965" s="144"/>
      <c r="X965" s="144"/>
      <c r="Y965" s="144"/>
      <c r="Z965" s="144"/>
      <c r="AA965" s="144"/>
      <c r="AB965" s="144"/>
      <c r="AC965" s="144"/>
      <c r="AD965" s="144"/>
      <c r="AE965" s="144"/>
      <c r="AF965" s="144"/>
    </row>
    <row r="966" ht="16.5" customHeight="1">
      <c r="A966" s="144"/>
      <c r="B966" s="144"/>
      <c r="C966" s="144"/>
      <c r="D966" s="144"/>
      <c r="E966" s="144"/>
      <c r="F966" s="144"/>
      <c r="G966" s="144"/>
      <c r="H966" s="144"/>
      <c r="I966" s="496"/>
      <c r="J966" s="496"/>
      <c r="K966" s="496"/>
      <c r="L966" s="496"/>
      <c r="M966" s="144"/>
      <c r="N966" s="144"/>
      <c r="O966" s="144"/>
      <c r="P966" s="144"/>
      <c r="Q966" s="144"/>
      <c r="R966" s="144"/>
      <c r="S966" s="144"/>
      <c r="T966" s="144"/>
      <c r="U966" s="144"/>
      <c r="V966" s="144"/>
      <c r="W966" s="144"/>
      <c r="X966" s="144"/>
      <c r="Y966" s="144"/>
      <c r="Z966" s="144"/>
      <c r="AA966" s="144"/>
      <c r="AB966" s="144"/>
      <c r="AC966" s="144"/>
      <c r="AD966" s="144"/>
      <c r="AE966" s="144"/>
      <c r="AF966" s="144"/>
    </row>
    <row r="967" ht="16.5" customHeight="1">
      <c r="A967" s="144"/>
      <c r="B967" s="144"/>
      <c r="C967" s="144"/>
      <c r="D967" s="144"/>
      <c r="E967" s="144"/>
      <c r="F967" s="144"/>
      <c r="G967" s="144"/>
      <c r="H967" s="144"/>
      <c r="I967" s="496"/>
      <c r="J967" s="496"/>
      <c r="K967" s="496"/>
      <c r="L967" s="496"/>
      <c r="M967" s="144"/>
      <c r="N967" s="144"/>
      <c r="O967" s="144"/>
      <c r="P967" s="144"/>
      <c r="Q967" s="144"/>
      <c r="R967" s="144"/>
      <c r="S967" s="144"/>
      <c r="T967" s="144"/>
      <c r="U967" s="144"/>
      <c r="V967" s="144"/>
      <c r="W967" s="144"/>
      <c r="X967" s="144"/>
      <c r="Y967" s="144"/>
      <c r="Z967" s="144"/>
      <c r="AA967" s="144"/>
      <c r="AB967" s="144"/>
      <c r="AC967" s="144"/>
      <c r="AD967" s="144"/>
      <c r="AE967" s="144"/>
      <c r="AF967" s="144"/>
    </row>
    <row r="968" ht="16.5" customHeight="1">
      <c r="A968" s="144"/>
      <c r="B968" s="144"/>
      <c r="C968" s="144"/>
      <c r="D968" s="144"/>
      <c r="E968" s="144"/>
      <c r="F968" s="144"/>
      <c r="G968" s="144"/>
      <c r="H968" s="144"/>
      <c r="I968" s="496"/>
      <c r="J968" s="496"/>
      <c r="K968" s="496"/>
      <c r="L968" s="496"/>
      <c r="M968" s="144"/>
      <c r="N968" s="144"/>
      <c r="O968" s="144"/>
      <c r="P968" s="144"/>
      <c r="Q968" s="144"/>
      <c r="R968" s="144"/>
      <c r="S968" s="144"/>
      <c r="T968" s="144"/>
      <c r="U968" s="144"/>
      <c r="V968" s="144"/>
      <c r="W968" s="144"/>
      <c r="X968" s="144"/>
      <c r="Y968" s="144"/>
      <c r="Z968" s="144"/>
      <c r="AA968" s="144"/>
      <c r="AB968" s="144"/>
      <c r="AC968" s="144"/>
      <c r="AD968" s="144"/>
      <c r="AE968" s="144"/>
      <c r="AF968" s="144"/>
    </row>
    <row r="969" ht="16.5" customHeight="1">
      <c r="A969" s="144"/>
      <c r="B969" s="144"/>
      <c r="C969" s="144"/>
      <c r="D969" s="144"/>
      <c r="E969" s="144"/>
      <c r="F969" s="144"/>
      <c r="G969" s="144"/>
      <c r="H969" s="144"/>
      <c r="I969" s="496"/>
      <c r="J969" s="496"/>
      <c r="K969" s="496"/>
      <c r="L969" s="496"/>
      <c r="M969" s="144"/>
      <c r="N969" s="144"/>
      <c r="O969" s="144"/>
      <c r="P969" s="144"/>
      <c r="Q969" s="144"/>
      <c r="R969" s="144"/>
      <c r="S969" s="144"/>
      <c r="T969" s="144"/>
      <c r="U969" s="144"/>
      <c r="V969" s="144"/>
      <c r="W969" s="144"/>
      <c r="X969" s="144"/>
      <c r="Y969" s="144"/>
      <c r="Z969" s="144"/>
      <c r="AA969" s="144"/>
      <c r="AB969" s="144"/>
      <c r="AC969" s="144"/>
      <c r="AD969" s="144"/>
      <c r="AE969" s="144"/>
      <c r="AF969" s="144"/>
    </row>
    <row r="970" ht="16.5" customHeight="1">
      <c r="A970" s="144"/>
      <c r="B970" s="144"/>
      <c r="C970" s="144"/>
      <c r="D970" s="144"/>
      <c r="E970" s="144"/>
      <c r="F970" s="144"/>
      <c r="G970" s="144"/>
      <c r="H970" s="144"/>
      <c r="I970" s="496"/>
      <c r="J970" s="496"/>
      <c r="K970" s="496"/>
      <c r="L970" s="496"/>
      <c r="M970" s="144"/>
      <c r="N970" s="144"/>
      <c r="O970" s="144"/>
      <c r="P970" s="144"/>
      <c r="Q970" s="144"/>
      <c r="R970" s="144"/>
      <c r="S970" s="144"/>
      <c r="T970" s="144"/>
      <c r="U970" s="144"/>
      <c r="V970" s="144"/>
      <c r="W970" s="144"/>
      <c r="X970" s="144"/>
      <c r="Y970" s="144"/>
      <c r="Z970" s="144"/>
      <c r="AA970" s="144"/>
      <c r="AB970" s="144"/>
      <c r="AC970" s="144"/>
      <c r="AD970" s="144"/>
      <c r="AE970" s="144"/>
      <c r="AF970" s="144"/>
    </row>
    <row r="971" ht="16.5" customHeight="1">
      <c r="A971" s="144"/>
      <c r="B971" s="144"/>
      <c r="C971" s="144"/>
      <c r="D971" s="144"/>
      <c r="E971" s="144"/>
      <c r="F971" s="144"/>
      <c r="G971" s="144"/>
      <c r="H971" s="144"/>
      <c r="I971" s="496"/>
      <c r="J971" s="496"/>
      <c r="K971" s="496"/>
      <c r="L971" s="496"/>
      <c r="M971" s="144"/>
      <c r="N971" s="144"/>
      <c r="O971" s="144"/>
      <c r="P971" s="144"/>
      <c r="Q971" s="144"/>
      <c r="R971" s="144"/>
      <c r="S971" s="144"/>
      <c r="T971" s="144"/>
      <c r="U971" s="144"/>
      <c r="V971" s="144"/>
      <c r="W971" s="144"/>
      <c r="X971" s="144"/>
      <c r="Y971" s="144"/>
      <c r="Z971" s="144"/>
      <c r="AA971" s="144"/>
      <c r="AB971" s="144"/>
      <c r="AC971" s="144"/>
      <c r="AD971" s="144"/>
      <c r="AE971" s="144"/>
      <c r="AF971" s="144"/>
    </row>
    <row r="972" ht="16.5" customHeight="1">
      <c r="A972" s="144"/>
      <c r="B972" s="144"/>
      <c r="C972" s="144"/>
      <c r="D972" s="144"/>
      <c r="E972" s="144"/>
      <c r="F972" s="144"/>
      <c r="G972" s="144"/>
      <c r="H972" s="144"/>
      <c r="I972" s="496"/>
      <c r="J972" s="496"/>
      <c r="K972" s="496"/>
      <c r="L972" s="496"/>
      <c r="M972" s="144"/>
      <c r="N972" s="144"/>
      <c r="O972" s="144"/>
      <c r="P972" s="144"/>
      <c r="Q972" s="144"/>
      <c r="R972" s="144"/>
      <c r="S972" s="144"/>
      <c r="T972" s="144"/>
      <c r="U972" s="144"/>
      <c r="V972" s="144"/>
      <c r="W972" s="144"/>
      <c r="X972" s="144"/>
      <c r="Y972" s="144"/>
      <c r="Z972" s="144"/>
      <c r="AA972" s="144"/>
      <c r="AB972" s="144"/>
      <c r="AC972" s="144"/>
      <c r="AD972" s="144"/>
      <c r="AE972" s="144"/>
      <c r="AF972" s="144"/>
    </row>
    <row r="973" ht="16.5" customHeight="1">
      <c r="A973" s="144"/>
      <c r="B973" s="144"/>
      <c r="C973" s="144"/>
      <c r="D973" s="144"/>
      <c r="E973" s="144"/>
      <c r="F973" s="144"/>
      <c r="G973" s="144"/>
      <c r="H973" s="144"/>
      <c r="I973" s="496"/>
      <c r="J973" s="496"/>
      <c r="K973" s="496"/>
      <c r="L973" s="496"/>
      <c r="M973" s="144"/>
      <c r="N973" s="144"/>
      <c r="O973" s="144"/>
      <c r="P973" s="144"/>
      <c r="Q973" s="144"/>
      <c r="R973" s="144"/>
      <c r="S973" s="144"/>
      <c r="T973" s="144"/>
      <c r="U973" s="144"/>
      <c r="V973" s="144"/>
      <c r="W973" s="144"/>
      <c r="X973" s="144"/>
      <c r="Y973" s="144"/>
      <c r="Z973" s="144"/>
      <c r="AA973" s="144"/>
      <c r="AB973" s="144"/>
      <c r="AC973" s="144"/>
      <c r="AD973" s="144"/>
      <c r="AE973" s="144"/>
      <c r="AF973" s="144"/>
    </row>
    <row r="974" ht="16.5" customHeight="1">
      <c r="A974" s="144"/>
      <c r="B974" s="144"/>
      <c r="C974" s="144"/>
      <c r="D974" s="144"/>
      <c r="E974" s="144"/>
      <c r="F974" s="144"/>
      <c r="G974" s="144"/>
      <c r="H974" s="144"/>
      <c r="I974" s="496"/>
      <c r="J974" s="496"/>
      <c r="K974" s="496"/>
      <c r="L974" s="496"/>
      <c r="M974" s="144"/>
      <c r="N974" s="144"/>
      <c r="O974" s="144"/>
      <c r="P974" s="144"/>
      <c r="Q974" s="144"/>
      <c r="R974" s="144"/>
      <c r="S974" s="144"/>
      <c r="T974" s="144"/>
      <c r="U974" s="144"/>
      <c r="V974" s="144"/>
      <c r="W974" s="144"/>
      <c r="X974" s="144"/>
      <c r="Y974" s="144"/>
      <c r="Z974" s="144"/>
      <c r="AA974" s="144"/>
      <c r="AB974" s="144"/>
      <c r="AC974" s="144"/>
      <c r="AD974" s="144"/>
      <c r="AE974" s="144"/>
      <c r="AF974" s="144"/>
    </row>
    <row r="975" ht="16.5" customHeight="1">
      <c r="A975" s="144"/>
      <c r="B975" s="144"/>
      <c r="C975" s="144"/>
      <c r="D975" s="144"/>
      <c r="E975" s="144"/>
      <c r="F975" s="144"/>
      <c r="G975" s="144"/>
      <c r="H975" s="144"/>
      <c r="I975" s="496"/>
      <c r="J975" s="496"/>
      <c r="K975" s="496"/>
      <c r="L975" s="496"/>
      <c r="M975" s="144"/>
      <c r="N975" s="144"/>
      <c r="O975" s="144"/>
      <c r="P975" s="144"/>
      <c r="Q975" s="144"/>
      <c r="R975" s="144"/>
      <c r="S975" s="144"/>
      <c r="T975" s="144"/>
      <c r="U975" s="144"/>
      <c r="V975" s="144"/>
      <c r="W975" s="144"/>
      <c r="X975" s="144"/>
      <c r="Y975" s="144"/>
      <c r="Z975" s="144"/>
      <c r="AA975" s="144"/>
      <c r="AB975" s="144"/>
      <c r="AC975" s="144"/>
      <c r="AD975" s="144"/>
      <c r="AE975" s="144"/>
      <c r="AF975" s="144"/>
    </row>
    <row r="976" ht="16.5" customHeight="1">
      <c r="A976" s="144"/>
      <c r="B976" s="144"/>
      <c r="C976" s="144"/>
      <c r="D976" s="144"/>
      <c r="E976" s="144"/>
      <c r="F976" s="144"/>
      <c r="G976" s="144"/>
      <c r="H976" s="144"/>
      <c r="I976" s="496"/>
      <c r="J976" s="496"/>
      <c r="K976" s="496"/>
      <c r="L976" s="496"/>
      <c r="M976" s="144"/>
      <c r="N976" s="144"/>
      <c r="O976" s="144"/>
      <c r="P976" s="144"/>
      <c r="Q976" s="144"/>
      <c r="R976" s="144"/>
      <c r="S976" s="144"/>
      <c r="T976" s="144"/>
      <c r="U976" s="144"/>
      <c r="V976" s="144"/>
      <c r="W976" s="144"/>
      <c r="X976" s="144"/>
      <c r="Y976" s="144"/>
      <c r="Z976" s="144"/>
      <c r="AA976" s="144"/>
      <c r="AB976" s="144"/>
      <c r="AC976" s="144"/>
      <c r="AD976" s="144"/>
      <c r="AE976" s="144"/>
      <c r="AF976" s="144"/>
    </row>
    <row r="977" ht="16.5" customHeight="1">
      <c r="A977" s="144"/>
      <c r="B977" s="144"/>
      <c r="C977" s="144"/>
      <c r="D977" s="144"/>
      <c r="E977" s="144"/>
      <c r="F977" s="144"/>
      <c r="G977" s="144"/>
      <c r="H977" s="144"/>
      <c r="I977" s="496"/>
      <c r="J977" s="496"/>
      <c r="K977" s="496"/>
      <c r="L977" s="496"/>
      <c r="M977" s="144"/>
      <c r="N977" s="144"/>
      <c r="O977" s="144"/>
      <c r="P977" s="144"/>
      <c r="Q977" s="144"/>
      <c r="R977" s="144"/>
      <c r="S977" s="144"/>
      <c r="T977" s="144"/>
      <c r="U977" s="144"/>
      <c r="V977" s="144"/>
      <c r="W977" s="144"/>
      <c r="X977" s="144"/>
      <c r="Y977" s="144"/>
      <c r="Z977" s="144"/>
      <c r="AA977" s="144"/>
      <c r="AB977" s="144"/>
      <c r="AC977" s="144"/>
      <c r="AD977" s="144"/>
      <c r="AE977" s="144"/>
      <c r="AF977" s="144"/>
    </row>
    <row r="978" ht="16.5" customHeight="1">
      <c r="A978" s="144"/>
      <c r="B978" s="144"/>
      <c r="C978" s="144"/>
      <c r="D978" s="144"/>
      <c r="E978" s="144"/>
      <c r="F978" s="144"/>
      <c r="G978" s="144"/>
      <c r="H978" s="144"/>
      <c r="I978" s="496"/>
      <c r="J978" s="496"/>
      <c r="K978" s="496"/>
      <c r="L978" s="496"/>
      <c r="M978" s="144"/>
      <c r="N978" s="144"/>
      <c r="O978" s="144"/>
      <c r="P978" s="144"/>
      <c r="Q978" s="144"/>
      <c r="R978" s="144"/>
      <c r="S978" s="144"/>
      <c r="T978" s="144"/>
      <c r="U978" s="144"/>
      <c r="V978" s="144"/>
      <c r="W978" s="144"/>
      <c r="X978" s="144"/>
      <c r="Y978" s="144"/>
      <c r="Z978" s="144"/>
      <c r="AA978" s="144"/>
      <c r="AB978" s="144"/>
      <c r="AC978" s="144"/>
      <c r="AD978" s="144"/>
      <c r="AE978" s="144"/>
      <c r="AF978" s="144"/>
    </row>
    <row r="979" ht="16.5" customHeight="1">
      <c r="A979" s="144"/>
      <c r="B979" s="144"/>
      <c r="C979" s="144"/>
      <c r="D979" s="144"/>
      <c r="E979" s="144"/>
      <c r="F979" s="144"/>
      <c r="G979" s="144"/>
      <c r="H979" s="144"/>
      <c r="I979" s="496"/>
      <c r="J979" s="496"/>
      <c r="K979" s="496"/>
      <c r="L979" s="496"/>
      <c r="M979" s="144"/>
      <c r="N979" s="144"/>
      <c r="O979" s="144"/>
      <c r="P979" s="144"/>
      <c r="Q979" s="144"/>
      <c r="R979" s="144"/>
      <c r="S979" s="144"/>
      <c r="T979" s="144"/>
      <c r="U979" s="144"/>
      <c r="V979" s="144"/>
      <c r="W979" s="144"/>
      <c r="X979" s="144"/>
      <c r="Y979" s="144"/>
      <c r="Z979" s="144"/>
      <c r="AA979" s="144"/>
      <c r="AB979" s="144"/>
      <c r="AC979" s="144"/>
      <c r="AD979" s="144"/>
      <c r="AE979" s="144"/>
      <c r="AF979" s="144"/>
    </row>
    <row r="980" ht="16.5" customHeight="1">
      <c r="A980" s="144"/>
      <c r="B980" s="144"/>
      <c r="C980" s="144"/>
      <c r="D980" s="144"/>
      <c r="E980" s="144"/>
      <c r="F980" s="144"/>
      <c r="G980" s="144"/>
      <c r="H980" s="144"/>
      <c r="I980" s="496"/>
      <c r="J980" s="496"/>
      <c r="K980" s="496"/>
      <c r="L980" s="496"/>
      <c r="M980" s="144"/>
      <c r="N980" s="144"/>
      <c r="O980" s="144"/>
      <c r="P980" s="144"/>
      <c r="Q980" s="144"/>
      <c r="R980" s="144"/>
      <c r="S980" s="144"/>
      <c r="T980" s="144"/>
      <c r="U980" s="144"/>
      <c r="V980" s="144"/>
      <c r="W980" s="144"/>
      <c r="X980" s="144"/>
      <c r="Y980" s="144"/>
      <c r="Z980" s="144"/>
      <c r="AA980" s="144"/>
      <c r="AB980" s="144"/>
      <c r="AC980" s="144"/>
      <c r="AD980" s="144"/>
      <c r="AE980" s="144"/>
      <c r="AF980" s="144"/>
    </row>
    <row r="981" ht="16.5" customHeight="1">
      <c r="A981" s="144"/>
      <c r="B981" s="144"/>
      <c r="C981" s="144"/>
      <c r="D981" s="144"/>
      <c r="E981" s="144"/>
      <c r="F981" s="144"/>
      <c r="G981" s="144"/>
      <c r="H981" s="144"/>
      <c r="I981" s="496"/>
      <c r="J981" s="496"/>
      <c r="K981" s="496"/>
      <c r="L981" s="496"/>
      <c r="M981" s="144"/>
      <c r="N981" s="144"/>
      <c r="O981" s="144"/>
      <c r="P981" s="144"/>
      <c r="Q981" s="144"/>
      <c r="R981" s="144"/>
      <c r="S981" s="144"/>
      <c r="T981" s="144"/>
      <c r="U981" s="144"/>
      <c r="V981" s="144"/>
      <c r="W981" s="144"/>
      <c r="X981" s="144"/>
      <c r="Y981" s="144"/>
      <c r="Z981" s="144"/>
      <c r="AA981" s="144"/>
      <c r="AB981" s="144"/>
      <c r="AC981" s="144"/>
      <c r="AD981" s="144"/>
      <c r="AE981" s="144"/>
      <c r="AF981" s="144"/>
    </row>
    <row r="982" ht="16.5" customHeight="1">
      <c r="A982" s="144"/>
      <c r="B982" s="144"/>
      <c r="C982" s="144"/>
      <c r="D982" s="144"/>
      <c r="E982" s="144"/>
      <c r="F982" s="144"/>
      <c r="G982" s="144"/>
      <c r="H982" s="144"/>
      <c r="I982" s="496"/>
      <c r="J982" s="496"/>
      <c r="K982" s="496"/>
      <c r="L982" s="496"/>
      <c r="M982" s="144"/>
      <c r="N982" s="144"/>
      <c r="O982" s="144"/>
      <c r="P982" s="144"/>
      <c r="Q982" s="144"/>
      <c r="R982" s="144"/>
      <c r="S982" s="144"/>
      <c r="T982" s="144"/>
      <c r="U982" s="144"/>
      <c r="V982" s="144"/>
      <c r="W982" s="144"/>
      <c r="X982" s="144"/>
      <c r="Y982" s="144"/>
      <c r="Z982" s="144"/>
      <c r="AA982" s="144"/>
      <c r="AB982" s="144"/>
      <c r="AC982" s="144"/>
      <c r="AD982" s="144"/>
      <c r="AE982" s="144"/>
      <c r="AF982" s="144"/>
    </row>
    <row r="983" ht="16.5" customHeight="1">
      <c r="A983" s="144"/>
      <c r="B983" s="144"/>
      <c r="C983" s="144"/>
      <c r="D983" s="144"/>
      <c r="E983" s="144"/>
      <c r="F983" s="144"/>
      <c r="G983" s="144"/>
      <c r="H983" s="144"/>
      <c r="I983" s="496"/>
      <c r="J983" s="496"/>
      <c r="K983" s="496"/>
      <c r="L983" s="496"/>
      <c r="M983" s="144"/>
      <c r="N983" s="144"/>
      <c r="O983" s="144"/>
      <c r="P983" s="144"/>
      <c r="Q983" s="144"/>
      <c r="R983" s="144"/>
      <c r="S983" s="144"/>
      <c r="T983" s="144"/>
      <c r="U983" s="144"/>
      <c r="V983" s="144"/>
      <c r="W983" s="144"/>
      <c r="X983" s="144"/>
      <c r="Y983" s="144"/>
      <c r="Z983" s="144"/>
      <c r="AA983" s="144"/>
      <c r="AB983" s="144"/>
      <c r="AC983" s="144"/>
      <c r="AD983" s="144"/>
      <c r="AE983" s="144"/>
      <c r="AF983" s="144"/>
    </row>
    <row r="984" ht="16.5" customHeight="1">
      <c r="A984" s="144"/>
      <c r="B984" s="144"/>
      <c r="C984" s="144"/>
      <c r="D984" s="144"/>
      <c r="E984" s="144"/>
      <c r="F984" s="144"/>
      <c r="G984" s="144"/>
      <c r="H984" s="144"/>
      <c r="I984" s="496"/>
      <c r="J984" s="496"/>
      <c r="K984" s="496"/>
      <c r="L984" s="496"/>
      <c r="M984" s="144"/>
      <c r="N984" s="144"/>
      <c r="O984" s="144"/>
      <c r="P984" s="144"/>
      <c r="Q984" s="144"/>
      <c r="R984" s="144"/>
      <c r="S984" s="144"/>
      <c r="T984" s="144"/>
      <c r="U984" s="144"/>
      <c r="V984" s="144"/>
      <c r="W984" s="144"/>
      <c r="X984" s="144"/>
      <c r="Y984" s="144"/>
      <c r="Z984" s="144"/>
      <c r="AA984" s="144"/>
      <c r="AB984" s="144"/>
      <c r="AC984" s="144"/>
      <c r="AD984" s="144"/>
      <c r="AE984" s="144"/>
      <c r="AF984" s="144"/>
    </row>
    <row r="985" ht="16.5" customHeight="1">
      <c r="A985" s="144"/>
      <c r="B985" s="144"/>
      <c r="C985" s="144"/>
      <c r="D985" s="144"/>
      <c r="E985" s="144"/>
      <c r="F985" s="144"/>
      <c r="G985" s="144"/>
      <c r="H985" s="144"/>
      <c r="I985" s="496"/>
      <c r="J985" s="496"/>
      <c r="K985" s="496"/>
      <c r="L985" s="496"/>
      <c r="M985" s="144"/>
      <c r="N985" s="144"/>
      <c r="O985" s="144"/>
      <c r="P985" s="144"/>
      <c r="Q985" s="144"/>
      <c r="R985" s="144"/>
      <c r="S985" s="144"/>
      <c r="T985" s="144"/>
      <c r="U985" s="144"/>
      <c r="V985" s="144"/>
      <c r="W985" s="144"/>
      <c r="X985" s="144"/>
      <c r="Y985" s="144"/>
      <c r="Z985" s="144"/>
      <c r="AA985" s="144"/>
      <c r="AB985" s="144"/>
      <c r="AC985" s="144"/>
      <c r="AD985" s="144"/>
      <c r="AE985" s="144"/>
      <c r="AF985" s="144"/>
    </row>
    <row r="986" ht="16.5" customHeight="1">
      <c r="A986" s="144"/>
      <c r="B986" s="144"/>
      <c r="C986" s="144"/>
      <c r="D986" s="144"/>
      <c r="E986" s="144"/>
      <c r="F986" s="144"/>
      <c r="G986" s="144"/>
      <c r="H986" s="144"/>
      <c r="I986" s="496"/>
      <c r="J986" s="496"/>
      <c r="K986" s="496"/>
      <c r="L986" s="496"/>
      <c r="M986" s="144"/>
      <c r="N986" s="144"/>
      <c r="O986" s="144"/>
      <c r="P986" s="144"/>
      <c r="Q986" s="144"/>
      <c r="R986" s="144"/>
      <c r="S986" s="144"/>
      <c r="T986" s="144"/>
      <c r="U986" s="144"/>
      <c r="V986" s="144"/>
      <c r="W986" s="144"/>
      <c r="X986" s="144"/>
      <c r="Y986" s="144"/>
      <c r="Z986" s="144"/>
      <c r="AA986" s="144"/>
      <c r="AB986" s="144"/>
      <c r="AC986" s="144"/>
      <c r="AD986" s="144"/>
      <c r="AE986" s="144"/>
      <c r="AF986" s="144"/>
    </row>
    <row r="987" ht="16.5" customHeight="1">
      <c r="A987" s="144"/>
      <c r="B987" s="144"/>
      <c r="C987" s="144"/>
      <c r="D987" s="144"/>
      <c r="E987" s="144"/>
      <c r="F987" s="144"/>
      <c r="G987" s="144"/>
      <c r="H987" s="144"/>
      <c r="I987" s="496"/>
      <c r="J987" s="496"/>
      <c r="K987" s="496"/>
      <c r="L987" s="496"/>
      <c r="M987" s="144"/>
      <c r="N987" s="144"/>
      <c r="O987" s="144"/>
      <c r="P987" s="144"/>
      <c r="Q987" s="144"/>
      <c r="R987" s="144"/>
      <c r="S987" s="144"/>
      <c r="T987" s="144"/>
      <c r="U987" s="144"/>
      <c r="V987" s="144"/>
      <c r="W987" s="144"/>
      <c r="X987" s="144"/>
      <c r="Y987" s="144"/>
      <c r="Z987" s="144"/>
      <c r="AA987" s="144"/>
      <c r="AB987" s="144"/>
      <c r="AC987" s="144"/>
      <c r="AD987" s="144"/>
      <c r="AE987" s="144"/>
      <c r="AF987" s="144"/>
    </row>
    <row r="988" ht="16.5" customHeight="1">
      <c r="A988" s="144"/>
      <c r="B988" s="144"/>
      <c r="C988" s="144"/>
      <c r="D988" s="144"/>
      <c r="E988" s="144"/>
      <c r="F988" s="144"/>
      <c r="G988" s="144"/>
      <c r="H988" s="144"/>
      <c r="I988" s="496"/>
      <c r="J988" s="496"/>
      <c r="K988" s="496"/>
      <c r="L988" s="496"/>
      <c r="M988" s="144"/>
      <c r="N988" s="144"/>
      <c r="O988" s="144"/>
      <c r="P988" s="144"/>
      <c r="Q988" s="144"/>
      <c r="R988" s="144"/>
      <c r="S988" s="144"/>
      <c r="T988" s="144"/>
      <c r="U988" s="144"/>
      <c r="V988" s="144"/>
      <c r="W988" s="144"/>
      <c r="X988" s="144"/>
      <c r="Y988" s="144"/>
      <c r="Z988" s="144"/>
      <c r="AA988" s="144"/>
      <c r="AB988" s="144"/>
      <c r="AC988" s="144"/>
      <c r="AD988" s="144"/>
      <c r="AE988" s="144"/>
      <c r="AF988" s="144"/>
    </row>
    <row r="989" ht="16.5" customHeight="1">
      <c r="A989" s="144"/>
      <c r="B989" s="144"/>
      <c r="C989" s="144"/>
      <c r="D989" s="144"/>
      <c r="E989" s="144"/>
      <c r="F989" s="144"/>
      <c r="G989" s="144"/>
      <c r="H989" s="144"/>
      <c r="I989" s="496"/>
      <c r="J989" s="496"/>
      <c r="K989" s="496"/>
      <c r="L989" s="496"/>
      <c r="M989" s="144"/>
      <c r="N989" s="144"/>
      <c r="O989" s="144"/>
      <c r="P989" s="144"/>
      <c r="Q989" s="144"/>
      <c r="R989" s="144"/>
      <c r="S989" s="144"/>
      <c r="T989" s="144"/>
      <c r="U989" s="144"/>
      <c r="V989" s="144"/>
      <c r="W989" s="144"/>
      <c r="X989" s="144"/>
      <c r="Y989" s="144"/>
      <c r="Z989" s="144"/>
      <c r="AA989" s="144"/>
      <c r="AB989" s="144"/>
      <c r="AC989" s="144"/>
      <c r="AD989" s="144"/>
      <c r="AE989" s="144"/>
      <c r="AF989" s="144"/>
    </row>
    <row r="990" ht="16.5" customHeight="1">
      <c r="A990" s="144"/>
      <c r="B990" s="144"/>
      <c r="C990" s="144"/>
      <c r="D990" s="144"/>
      <c r="E990" s="144"/>
      <c r="F990" s="144"/>
      <c r="G990" s="144"/>
      <c r="H990" s="144"/>
      <c r="I990" s="496"/>
      <c r="J990" s="496"/>
      <c r="K990" s="496"/>
      <c r="L990" s="496"/>
      <c r="M990" s="144"/>
      <c r="N990" s="144"/>
      <c r="O990" s="144"/>
      <c r="P990" s="144"/>
      <c r="Q990" s="144"/>
      <c r="R990" s="144"/>
      <c r="S990" s="144"/>
      <c r="T990" s="144"/>
      <c r="U990" s="144"/>
      <c r="V990" s="144"/>
      <c r="W990" s="144"/>
      <c r="X990" s="144"/>
      <c r="Y990" s="144"/>
      <c r="Z990" s="144"/>
      <c r="AA990" s="144"/>
      <c r="AB990" s="144"/>
      <c r="AC990" s="144"/>
      <c r="AD990" s="144"/>
      <c r="AE990" s="144"/>
      <c r="AF990" s="144"/>
    </row>
    <row r="991" ht="16.5" customHeight="1">
      <c r="A991" s="144"/>
      <c r="B991" s="144"/>
      <c r="C991" s="144"/>
      <c r="D991" s="144"/>
      <c r="E991" s="144"/>
      <c r="F991" s="144"/>
      <c r="G991" s="144"/>
      <c r="H991" s="144"/>
      <c r="I991" s="496"/>
      <c r="J991" s="496"/>
      <c r="K991" s="496"/>
      <c r="L991" s="496"/>
      <c r="M991" s="144"/>
      <c r="N991" s="144"/>
      <c r="O991" s="144"/>
      <c r="P991" s="144"/>
      <c r="Q991" s="144"/>
      <c r="R991" s="144"/>
      <c r="S991" s="144"/>
      <c r="T991" s="144"/>
      <c r="U991" s="144"/>
      <c r="V991" s="144"/>
      <c r="W991" s="144"/>
      <c r="X991" s="144"/>
      <c r="Y991" s="144"/>
      <c r="Z991" s="144"/>
      <c r="AA991" s="144"/>
      <c r="AB991" s="144"/>
      <c r="AC991" s="144"/>
      <c r="AD991" s="144"/>
      <c r="AE991" s="144"/>
      <c r="AF991" s="144"/>
    </row>
    <row r="992" ht="16.5" customHeight="1">
      <c r="A992" s="144"/>
      <c r="B992" s="144"/>
      <c r="C992" s="144"/>
      <c r="D992" s="144"/>
      <c r="E992" s="144"/>
      <c r="F992" s="144"/>
      <c r="G992" s="144"/>
      <c r="H992" s="144"/>
      <c r="I992" s="496"/>
      <c r="J992" s="496"/>
      <c r="K992" s="496"/>
      <c r="L992" s="496"/>
      <c r="M992" s="144"/>
      <c r="N992" s="144"/>
      <c r="O992" s="144"/>
      <c r="P992" s="144"/>
      <c r="Q992" s="144"/>
      <c r="R992" s="144"/>
      <c r="S992" s="144"/>
      <c r="T992" s="144"/>
      <c r="U992" s="144"/>
      <c r="V992" s="144"/>
      <c r="W992" s="144"/>
      <c r="X992" s="144"/>
      <c r="Y992" s="144"/>
      <c r="Z992" s="144"/>
      <c r="AA992" s="144"/>
      <c r="AB992" s="144"/>
      <c r="AC992" s="144"/>
      <c r="AD992" s="144"/>
      <c r="AE992" s="144"/>
      <c r="AF992" s="144"/>
    </row>
    <row r="993" ht="16.5" customHeight="1">
      <c r="A993" s="144"/>
      <c r="B993" s="144"/>
      <c r="C993" s="144"/>
      <c r="D993" s="144"/>
      <c r="E993" s="144"/>
      <c r="F993" s="144"/>
      <c r="G993" s="144"/>
      <c r="H993" s="144"/>
      <c r="I993" s="496"/>
      <c r="J993" s="496"/>
      <c r="K993" s="496"/>
      <c r="L993" s="496"/>
      <c r="M993" s="144"/>
      <c r="N993" s="144"/>
      <c r="O993" s="144"/>
      <c r="P993" s="144"/>
      <c r="Q993" s="144"/>
      <c r="R993" s="144"/>
      <c r="S993" s="144"/>
      <c r="T993" s="144"/>
      <c r="U993" s="144"/>
      <c r="V993" s="144"/>
      <c r="W993" s="144"/>
      <c r="X993" s="144"/>
      <c r="Y993" s="144"/>
      <c r="Z993" s="144"/>
      <c r="AA993" s="144"/>
      <c r="AB993" s="144"/>
      <c r="AC993" s="144"/>
      <c r="AD993" s="144"/>
      <c r="AE993" s="144"/>
      <c r="AF993" s="144"/>
    </row>
    <row r="994" ht="16.5" customHeight="1">
      <c r="A994" s="144"/>
      <c r="B994" s="144"/>
      <c r="C994" s="144"/>
      <c r="D994" s="144"/>
      <c r="E994" s="144"/>
      <c r="F994" s="144"/>
      <c r="G994" s="144"/>
      <c r="H994" s="144"/>
      <c r="I994" s="496"/>
      <c r="J994" s="496"/>
      <c r="K994" s="496"/>
      <c r="L994" s="496"/>
      <c r="M994" s="144"/>
      <c r="N994" s="144"/>
      <c r="O994" s="144"/>
      <c r="P994" s="144"/>
      <c r="Q994" s="144"/>
      <c r="R994" s="144"/>
      <c r="S994" s="144"/>
      <c r="T994" s="144"/>
      <c r="U994" s="144"/>
      <c r="V994" s="144"/>
      <c r="W994" s="144"/>
      <c r="X994" s="144"/>
      <c r="Y994" s="144"/>
      <c r="Z994" s="144"/>
      <c r="AA994" s="144"/>
      <c r="AB994" s="144"/>
      <c r="AC994" s="144"/>
      <c r="AD994" s="144"/>
      <c r="AE994" s="144"/>
      <c r="AF994" s="144"/>
    </row>
    <row r="995" ht="16.5" customHeight="1">
      <c r="A995" s="144"/>
      <c r="B995" s="144"/>
      <c r="C995" s="144"/>
      <c r="D995" s="144"/>
      <c r="E995" s="144"/>
      <c r="F995" s="144"/>
      <c r="G995" s="144"/>
      <c r="H995" s="144"/>
      <c r="I995" s="496"/>
      <c r="J995" s="496"/>
      <c r="K995" s="496"/>
      <c r="L995" s="496"/>
      <c r="M995" s="144"/>
      <c r="N995" s="144"/>
      <c r="O995" s="144"/>
      <c r="P995" s="144"/>
      <c r="Q995" s="144"/>
      <c r="R995" s="144"/>
      <c r="S995" s="144"/>
      <c r="T995" s="144"/>
      <c r="U995" s="144"/>
      <c r="V995" s="144"/>
      <c r="W995" s="144"/>
      <c r="X995" s="144"/>
      <c r="Y995" s="144"/>
      <c r="Z995" s="144"/>
      <c r="AA995" s="144"/>
      <c r="AB995" s="144"/>
      <c r="AC995" s="144"/>
      <c r="AD995" s="144"/>
      <c r="AE995" s="144"/>
      <c r="AF995" s="144"/>
    </row>
    <row r="996" ht="16.5" customHeight="1">
      <c r="A996" s="144"/>
      <c r="B996" s="144"/>
      <c r="C996" s="144"/>
      <c r="D996" s="144"/>
      <c r="E996" s="144"/>
      <c r="F996" s="144"/>
      <c r="G996" s="144"/>
      <c r="H996" s="144"/>
      <c r="I996" s="496"/>
      <c r="J996" s="496"/>
      <c r="K996" s="496"/>
      <c r="L996" s="496"/>
      <c r="M996" s="144"/>
      <c r="N996" s="144"/>
      <c r="O996" s="144"/>
      <c r="P996" s="144"/>
      <c r="Q996" s="144"/>
      <c r="R996" s="144"/>
      <c r="S996" s="144"/>
      <c r="T996" s="144"/>
      <c r="U996" s="144"/>
      <c r="V996" s="144"/>
      <c r="W996" s="144"/>
      <c r="X996" s="144"/>
      <c r="Y996" s="144"/>
      <c r="Z996" s="144"/>
      <c r="AA996" s="144"/>
      <c r="AB996" s="144"/>
      <c r="AC996" s="144"/>
      <c r="AD996" s="144"/>
      <c r="AE996" s="144"/>
      <c r="AF996" s="144"/>
    </row>
    <row r="997" ht="16.5" customHeight="1">
      <c r="A997" s="144"/>
      <c r="B997" s="144"/>
      <c r="C997" s="144"/>
      <c r="D997" s="144"/>
      <c r="E997" s="144"/>
      <c r="F997" s="144"/>
      <c r="G997" s="144"/>
      <c r="H997" s="144"/>
      <c r="I997" s="496"/>
      <c r="J997" s="496"/>
      <c r="K997" s="496"/>
      <c r="L997" s="496"/>
      <c r="M997" s="144"/>
      <c r="N997" s="144"/>
      <c r="O997" s="144"/>
      <c r="P997" s="144"/>
      <c r="Q997" s="144"/>
      <c r="R997" s="144"/>
      <c r="S997" s="144"/>
      <c r="T997" s="144"/>
      <c r="U997" s="144"/>
      <c r="V997" s="144"/>
      <c r="W997" s="144"/>
      <c r="X997" s="144"/>
      <c r="Y997" s="144"/>
      <c r="Z997" s="144"/>
      <c r="AA997" s="144"/>
      <c r="AB997" s="144"/>
      <c r="AC997" s="144"/>
      <c r="AD997" s="144"/>
      <c r="AE997" s="144"/>
      <c r="AF997" s="144"/>
    </row>
    <row r="998" ht="16.5" customHeight="1">
      <c r="A998" s="144"/>
      <c r="B998" s="144"/>
      <c r="C998" s="144"/>
      <c r="D998" s="144"/>
      <c r="E998" s="144"/>
      <c r="F998" s="144"/>
      <c r="G998" s="144"/>
      <c r="H998" s="144"/>
      <c r="I998" s="496"/>
      <c r="J998" s="496"/>
      <c r="K998" s="496"/>
      <c r="L998" s="496"/>
      <c r="M998" s="144"/>
      <c r="N998" s="144"/>
      <c r="O998" s="144"/>
      <c r="P998" s="144"/>
      <c r="Q998" s="144"/>
      <c r="R998" s="144"/>
      <c r="S998" s="144"/>
      <c r="T998" s="144"/>
      <c r="U998" s="144"/>
      <c r="V998" s="144"/>
      <c r="W998" s="144"/>
      <c r="X998" s="144"/>
      <c r="Y998" s="144"/>
      <c r="Z998" s="144"/>
      <c r="AA998" s="144"/>
      <c r="AB998" s="144"/>
      <c r="AC998" s="144"/>
      <c r="AD998" s="144"/>
      <c r="AE998" s="144"/>
      <c r="AF998" s="144"/>
    </row>
    <row r="999" ht="16.5" customHeight="1">
      <c r="A999" s="144"/>
      <c r="B999" s="144"/>
      <c r="C999" s="144"/>
      <c r="D999" s="144"/>
      <c r="E999" s="144"/>
      <c r="F999" s="144"/>
      <c r="G999" s="144"/>
      <c r="H999" s="144"/>
      <c r="I999" s="496"/>
      <c r="J999" s="496"/>
      <c r="K999" s="496"/>
      <c r="L999" s="496"/>
      <c r="M999" s="144"/>
      <c r="N999" s="144"/>
      <c r="O999" s="144"/>
      <c r="P999" s="144"/>
      <c r="Q999" s="144"/>
      <c r="R999" s="144"/>
      <c r="S999" s="144"/>
      <c r="T999" s="144"/>
      <c r="U999" s="144"/>
      <c r="V999" s="144"/>
      <c r="W999" s="144"/>
      <c r="X999" s="144"/>
      <c r="Y999" s="144"/>
      <c r="Z999" s="144"/>
      <c r="AA999" s="144"/>
      <c r="AB999" s="144"/>
      <c r="AC999" s="144"/>
      <c r="AD999" s="144"/>
      <c r="AE999" s="144"/>
      <c r="AF999" s="144"/>
    </row>
    <row r="1000" ht="16.5" customHeight="1">
      <c r="A1000" s="144"/>
      <c r="B1000" s="144"/>
      <c r="C1000" s="144"/>
      <c r="D1000" s="144"/>
      <c r="E1000" s="144"/>
      <c r="F1000" s="144"/>
      <c r="G1000" s="144"/>
      <c r="H1000" s="144"/>
      <c r="I1000" s="496"/>
      <c r="J1000" s="496"/>
      <c r="K1000" s="496"/>
      <c r="L1000" s="496"/>
      <c r="M1000" s="144"/>
      <c r="N1000" s="144"/>
      <c r="O1000" s="144"/>
      <c r="P1000" s="144"/>
      <c r="Q1000" s="144"/>
      <c r="R1000" s="144"/>
      <c r="S1000" s="144"/>
      <c r="T1000" s="144"/>
      <c r="U1000" s="144"/>
      <c r="V1000" s="144"/>
      <c r="W1000" s="144"/>
      <c r="X1000" s="144"/>
      <c r="Y1000" s="144"/>
      <c r="Z1000" s="144"/>
      <c r="AA1000" s="144"/>
      <c r="AB1000" s="144"/>
      <c r="AC1000" s="144"/>
      <c r="AD1000" s="144"/>
      <c r="AE1000" s="144"/>
      <c r="AF1000" s="144"/>
    </row>
    <row r="1001" ht="16.5" customHeight="1">
      <c r="A1001" s="144"/>
      <c r="B1001" s="144"/>
      <c r="C1001" s="144"/>
      <c r="D1001" s="144"/>
      <c r="E1001" s="144"/>
      <c r="F1001" s="144"/>
      <c r="G1001" s="144"/>
      <c r="H1001" s="144"/>
      <c r="I1001" s="496"/>
      <c r="J1001" s="496"/>
      <c r="K1001" s="496"/>
      <c r="L1001" s="496"/>
      <c r="M1001" s="144"/>
      <c r="N1001" s="144"/>
      <c r="O1001" s="144"/>
      <c r="P1001" s="144"/>
      <c r="Q1001" s="144"/>
      <c r="R1001" s="144"/>
      <c r="S1001" s="144"/>
      <c r="T1001" s="144"/>
      <c r="U1001" s="144"/>
      <c r="V1001" s="144"/>
      <c r="W1001" s="144"/>
      <c r="X1001" s="144"/>
      <c r="Y1001" s="144"/>
      <c r="Z1001" s="144"/>
      <c r="AA1001" s="144"/>
      <c r="AB1001" s="144"/>
      <c r="AC1001" s="144"/>
      <c r="AD1001" s="144"/>
      <c r="AE1001" s="144"/>
      <c r="AF1001" s="144"/>
    </row>
    <row r="1002" ht="16.5" customHeight="1">
      <c r="A1002" s="144"/>
      <c r="B1002" s="144"/>
      <c r="C1002" s="144"/>
      <c r="D1002" s="144"/>
      <c r="E1002" s="144"/>
      <c r="F1002" s="144"/>
      <c r="G1002" s="144"/>
      <c r="H1002" s="144"/>
      <c r="I1002" s="496"/>
      <c r="J1002" s="496"/>
      <c r="K1002" s="496"/>
      <c r="L1002" s="496"/>
      <c r="M1002" s="144"/>
      <c r="N1002" s="144"/>
      <c r="O1002" s="144"/>
      <c r="P1002" s="144"/>
      <c r="Q1002" s="144"/>
      <c r="R1002" s="144"/>
      <c r="S1002" s="144"/>
      <c r="T1002" s="144"/>
      <c r="U1002" s="144"/>
      <c r="V1002" s="144"/>
      <c r="W1002" s="144"/>
      <c r="X1002" s="144"/>
      <c r="Y1002" s="144"/>
      <c r="Z1002" s="144"/>
      <c r="AA1002" s="144"/>
      <c r="AB1002" s="144"/>
      <c r="AC1002" s="144"/>
      <c r="AD1002" s="144"/>
      <c r="AE1002" s="144"/>
      <c r="AF1002" s="144"/>
    </row>
    <row r="1003" ht="16.5" customHeight="1">
      <c r="A1003" s="144"/>
      <c r="B1003" s="144"/>
      <c r="C1003" s="144"/>
      <c r="D1003" s="144"/>
      <c r="E1003" s="144"/>
      <c r="F1003" s="144"/>
      <c r="G1003" s="144"/>
      <c r="H1003" s="144"/>
      <c r="I1003" s="496"/>
      <c r="J1003" s="496"/>
      <c r="K1003" s="496"/>
      <c r="L1003" s="496"/>
      <c r="M1003" s="144"/>
      <c r="N1003" s="144"/>
      <c r="O1003" s="144"/>
      <c r="P1003" s="144"/>
      <c r="Q1003" s="144"/>
      <c r="R1003" s="144"/>
      <c r="S1003" s="144"/>
      <c r="T1003" s="144"/>
      <c r="U1003" s="144"/>
      <c r="V1003" s="144"/>
      <c r="W1003" s="144"/>
      <c r="X1003" s="144"/>
      <c r="Y1003" s="144"/>
      <c r="Z1003" s="144"/>
      <c r="AA1003" s="144"/>
      <c r="AB1003" s="144"/>
      <c r="AC1003" s="144"/>
      <c r="AD1003" s="144"/>
      <c r="AE1003" s="144"/>
      <c r="AF1003" s="144"/>
    </row>
    <row r="1004" ht="16.5" customHeight="1">
      <c r="A1004" s="144"/>
      <c r="B1004" s="144"/>
      <c r="C1004" s="144"/>
      <c r="D1004" s="144"/>
      <c r="E1004" s="144"/>
      <c r="F1004" s="144"/>
      <c r="G1004" s="144"/>
      <c r="H1004" s="144"/>
      <c r="I1004" s="496"/>
      <c r="J1004" s="496"/>
      <c r="K1004" s="496"/>
      <c r="L1004" s="496"/>
      <c r="M1004" s="144"/>
      <c r="N1004" s="144"/>
      <c r="O1004" s="144"/>
      <c r="P1004" s="144"/>
      <c r="Q1004" s="144"/>
      <c r="R1004" s="144"/>
      <c r="S1004" s="144"/>
      <c r="T1004" s="144"/>
      <c r="U1004" s="144"/>
      <c r="V1004" s="144"/>
      <c r="W1004" s="144"/>
      <c r="X1004" s="144"/>
      <c r="Y1004" s="144"/>
      <c r="Z1004" s="144"/>
      <c r="AA1004" s="144"/>
      <c r="AB1004" s="144"/>
      <c r="AC1004" s="144"/>
      <c r="AD1004" s="144"/>
      <c r="AE1004" s="144"/>
      <c r="AF1004" s="144"/>
    </row>
    <row r="1005" ht="16.5" customHeight="1">
      <c r="A1005" s="144"/>
      <c r="B1005" s="144"/>
      <c r="C1005" s="144"/>
      <c r="D1005" s="144"/>
      <c r="E1005" s="144"/>
      <c r="F1005" s="144"/>
      <c r="G1005" s="144"/>
      <c r="H1005" s="144"/>
      <c r="I1005" s="496"/>
      <c r="J1005" s="496"/>
      <c r="K1005" s="496"/>
      <c r="L1005" s="496"/>
      <c r="M1005" s="144"/>
      <c r="N1005" s="144"/>
      <c r="O1005" s="144"/>
      <c r="P1005" s="144"/>
      <c r="Q1005" s="144"/>
      <c r="R1005" s="144"/>
      <c r="S1005" s="144"/>
      <c r="T1005" s="144"/>
      <c r="U1005" s="144"/>
      <c r="V1005" s="144"/>
      <c r="W1005" s="144"/>
      <c r="X1005" s="144"/>
      <c r="Y1005" s="144"/>
      <c r="Z1005" s="144"/>
      <c r="AA1005" s="144"/>
      <c r="AB1005" s="144"/>
      <c r="AC1005" s="144"/>
      <c r="AD1005" s="144"/>
      <c r="AE1005" s="144"/>
      <c r="AF1005" s="144"/>
    </row>
    <row r="1006" ht="16.5" customHeight="1">
      <c r="A1006" s="144"/>
      <c r="B1006" s="144"/>
      <c r="C1006" s="144"/>
      <c r="D1006" s="144"/>
      <c r="E1006" s="144"/>
      <c r="F1006" s="144"/>
      <c r="G1006" s="144"/>
      <c r="H1006" s="144"/>
      <c r="I1006" s="496"/>
      <c r="J1006" s="496"/>
      <c r="K1006" s="496"/>
      <c r="L1006" s="496"/>
      <c r="M1006" s="144"/>
      <c r="N1006" s="144"/>
      <c r="O1006" s="144"/>
      <c r="P1006" s="144"/>
      <c r="Q1006" s="144"/>
      <c r="R1006" s="144"/>
      <c r="S1006" s="144"/>
      <c r="T1006" s="144"/>
      <c r="U1006" s="144"/>
      <c r="V1006" s="144"/>
      <c r="W1006" s="144"/>
      <c r="X1006" s="144"/>
      <c r="Y1006" s="144"/>
      <c r="Z1006" s="144"/>
      <c r="AA1006" s="144"/>
      <c r="AB1006" s="144"/>
      <c r="AC1006" s="144"/>
      <c r="AD1006" s="144"/>
      <c r="AE1006" s="144"/>
      <c r="AF1006" s="144"/>
    </row>
    <row r="1007" ht="16.5" customHeight="1">
      <c r="A1007" s="144"/>
      <c r="B1007" s="144"/>
      <c r="C1007" s="144"/>
      <c r="D1007" s="144"/>
      <c r="E1007" s="144"/>
      <c r="F1007" s="144"/>
      <c r="G1007" s="144"/>
      <c r="H1007" s="144"/>
      <c r="I1007" s="496"/>
      <c r="J1007" s="496"/>
      <c r="K1007" s="496"/>
      <c r="L1007" s="496"/>
      <c r="M1007" s="144"/>
      <c r="N1007" s="144"/>
      <c r="O1007" s="144"/>
      <c r="P1007" s="144"/>
      <c r="Q1007" s="144"/>
      <c r="R1007" s="144"/>
      <c r="S1007" s="144"/>
      <c r="T1007" s="144"/>
      <c r="U1007" s="144"/>
      <c r="V1007" s="144"/>
      <c r="W1007" s="144"/>
      <c r="X1007" s="144"/>
      <c r="Y1007" s="144"/>
      <c r="Z1007" s="144"/>
      <c r="AA1007" s="144"/>
      <c r="AB1007" s="144"/>
      <c r="AC1007" s="144"/>
      <c r="AD1007" s="144"/>
      <c r="AE1007" s="144"/>
      <c r="AF1007" s="144"/>
    </row>
    <row r="1008" ht="16.5" customHeight="1">
      <c r="A1008" s="144"/>
      <c r="B1008" s="144"/>
      <c r="C1008" s="144"/>
      <c r="D1008" s="144"/>
      <c r="E1008" s="144"/>
      <c r="F1008" s="144"/>
      <c r="G1008" s="144"/>
      <c r="H1008" s="144"/>
      <c r="I1008" s="496"/>
      <c r="J1008" s="496"/>
      <c r="K1008" s="496"/>
      <c r="L1008" s="496"/>
      <c r="M1008" s="144"/>
      <c r="N1008" s="144"/>
      <c r="O1008" s="144"/>
      <c r="P1008" s="144"/>
      <c r="Q1008" s="144"/>
      <c r="R1008" s="144"/>
      <c r="S1008" s="144"/>
      <c r="T1008" s="144"/>
      <c r="U1008" s="144"/>
      <c r="V1008" s="144"/>
      <c r="W1008" s="144"/>
      <c r="X1008" s="144"/>
      <c r="Y1008" s="144"/>
      <c r="Z1008" s="144"/>
      <c r="AA1008" s="144"/>
      <c r="AB1008" s="144"/>
      <c r="AC1008" s="144"/>
      <c r="AD1008" s="144"/>
      <c r="AE1008" s="144"/>
      <c r="AF1008" s="144"/>
    </row>
    <row r="1009" ht="16.5" customHeight="1">
      <c r="A1009" s="144"/>
      <c r="B1009" s="144"/>
      <c r="C1009" s="144"/>
      <c r="D1009" s="144"/>
      <c r="E1009" s="144"/>
      <c r="F1009" s="144"/>
      <c r="G1009" s="144"/>
      <c r="H1009" s="144"/>
      <c r="I1009" s="496"/>
      <c r="J1009" s="496"/>
      <c r="K1009" s="496"/>
      <c r="L1009" s="496"/>
      <c r="M1009" s="144"/>
      <c r="N1009" s="144"/>
      <c r="O1009" s="144"/>
      <c r="P1009" s="144"/>
      <c r="Q1009" s="144"/>
      <c r="R1009" s="144"/>
      <c r="S1009" s="144"/>
      <c r="T1009" s="144"/>
      <c r="U1009" s="144"/>
      <c r="V1009" s="144"/>
      <c r="W1009" s="144"/>
      <c r="X1009" s="144"/>
      <c r="Y1009" s="144"/>
      <c r="Z1009" s="144"/>
      <c r="AA1009" s="144"/>
      <c r="AB1009" s="144"/>
      <c r="AC1009" s="144"/>
      <c r="AD1009" s="144"/>
      <c r="AE1009" s="144"/>
      <c r="AF1009" s="144"/>
    </row>
    <row r="1010" ht="16.5" customHeight="1">
      <c r="A1010" s="144"/>
      <c r="B1010" s="144"/>
      <c r="C1010" s="144"/>
      <c r="D1010" s="144"/>
      <c r="E1010" s="144"/>
      <c r="F1010" s="144"/>
      <c r="G1010" s="144"/>
      <c r="H1010" s="144"/>
      <c r="I1010" s="496"/>
      <c r="J1010" s="496"/>
      <c r="K1010" s="496"/>
      <c r="L1010" s="496"/>
      <c r="M1010" s="144"/>
      <c r="N1010" s="144"/>
      <c r="O1010" s="144"/>
      <c r="P1010" s="144"/>
      <c r="Q1010" s="144"/>
      <c r="R1010" s="144"/>
      <c r="S1010" s="144"/>
      <c r="T1010" s="144"/>
      <c r="U1010" s="144"/>
      <c r="V1010" s="144"/>
      <c r="W1010" s="144"/>
      <c r="X1010" s="144"/>
      <c r="Y1010" s="144"/>
      <c r="Z1010" s="144"/>
      <c r="AA1010" s="144"/>
      <c r="AB1010" s="144"/>
      <c r="AC1010" s="144"/>
      <c r="AD1010" s="144"/>
      <c r="AE1010" s="144"/>
      <c r="AF1010" s="144"/>
    </row>
    <row r="1011" ht="16.5" customHeight="1">
      <c r="A1011" s="144"/>
      <c r="B1011" s="144"/>
      <c r="C1011" s="144"/>
      <c r="D1011" s="144"/>
      <c r="E1011" s="144"/>
      <c r="F1011" s="144"/>
      <c r="G1011" s="144"/>
      <c r="H1011" s="144"/>
      <c r="I1011" s="496"/>
      <c r="J1011" s="496"/>
      <c r="K1011" s="496"/>
      <c r="L1011" s="496"/>
      <c r="M1011" s="144"/>
      <c r="N1011" s="144"/>
      <c r="O1011" s="144"/>
      <c r="P1011" s="144"/>
      <c r="Q1011" s="144"/>
      <c r="R1011" s="144"/>
      <c r="S1011" s="144"/>
      <c r="T1011" s="144"/>
      <c r="U1011" s="144"/>
      <c r="V1011" s="144"/>
      <c r="W1011" s="144"/>
      <c r="X1011" s="144"/>
      <c r="Y1011" s="144"/>
      <c r="Z1011" s="144"/>
      <c r="AA1011" s="144"/>
      <c r="AB1011" s="144"/>
      <c r="AC1011" s="144"/>
      <c r="AD1011" s="144"/>
      <c r="AE1011" s="144"/>
      <c r="AF1011" s="144"/>
    </row>
    <row r="1012" ht="16.5" customHeight="1">
      <c r="A1012" s="144"/>
      <c r="B1012" s="144"/>
      <c r="C1012" s="144"/>
      <c r="D1012" s="144"/>
      <c r="E1012" s="144"/>
      <c r="F1012" s="144"/>
      <c r="G1012" s="144"/>
      <c r="H1012" s="144"/>
      <c r="I1012" s="496"/>
      <c r="J1012" s="496"/>
      <c r="K1012" s="496"/>
      <c r="L1012" s="496"/>
      <c r="M1012" s="144"/>
      <c r="N1012" s="144"/>
      <c r="O1012" s="144"/>
      <c r="P1012" s="144"/>
      <c r="Q1012" s="144"/>
      <c r="R1012" s="144"/>
      <c r="S1012" s="144"/>
      <c r="T1012" s="144"/>
      <c r="U1012" s="144"/>
      <c r="V1012" s="144"/>
      <c r="W1012" s="144"/>
      <c r="X1012" s="144"/>
      <c r="Y1012" s="144"/>
      <c r="Z1012" s="144"/>
      <c r="AA1012" s="144"/>
      <c r="AB1012" s="144"/>
      <c r="AC1012" s="144"/>
      <c r="AD1012" s="144"/>
      <c r="AE1012" s="144"/>
      <c r="AF1012" s="144"/>
    </row>
    <row r="1013" ht="16.5" customHeight="1">
      <c r="A1013" s="144"/>
      <c r="B1013" s="144"/>
      <c r="C1013" s="144"/>
      <c r="D1013" s="144"/>
      <c r="E1013" s="144"/>
      <c r="F1013" s="144"/>
      <c r="G1013" s="144"/>
      <c r="H1013" s="144"/>
      <c r="I1013" s="496"/>
      <c r="J1013" s="496"/>
      <c r="K1013" s="496"/>
      <c r="L1013" s="496"/>
      <c r="M1013" s="144"/>
      <c r="N1013" s="144"/>
      <c r="O1013" s="144"/>
      <c r="P1013" s="144"/>
      <c r="Q1013" s="144"/>
      <c r="R1013" s="144"/>
      <c r="S1013" s="144"/>
      <c r="T1013" s="144"/>
      <c r="U1013" s="144"/>
      <c r="V1013" s="144"/>
      <c r="W1013" s="144"/>
      <c r="X1013" s="144"/>
      <c r="Y1013" s="144"/>
      <c r="Z1013" s="144"/>
      <c r="AA1013" s="144"/>
      <c r="AB1013" s="144"/>
      <c r="AC1013" s="144"/>
      <c r="AD1013" s="144"/>
      <c r="AE1013" s="144"/>
      <c r="AF1013" s="144"/>
    </row>
    <row r="1014" ht="16.5" customHeight="1">
      <c r="A1014" s="144"/>
      <c r="B1014" s="144"/>
      <c r="C1014" s="144"/>
      <c r="D1014" s="144"/>
      <c r="E1014" s="144"/>
      <c r="F1014" s="144"/>
      <c r="G1014" s="144"/>
      <c r="H1014" s="144"/>
      <c r="I1014" s="496"/>
      <c r="J1014" s="496"/>
      <c r="K1014" s="496"/>
      <c r="L1014" s="496"/>
      <c r="M1014" s="144"/>
      <c r="N1014" s="144"/>
      <c r="O1014" s="144"/>
      <c r="P1014" s="144"/>
      <c r="Q1014" s="144"/>
      <c r="R1014" s="144"/>
      <c r="S1014" s="144"/>
      <c r="T1014" s="144"/>
      <c r="U1014" s="144"/>
      <c r="V1014" s="144"/>
      <c r="W1014" s="144"/>
      <c r="X1014" s="144"/>
      <c r="Y1014" s="144"/>
      <c r="Z1014" s="144"/>
      <c r="AA1014" s="144"/>
      <c r="AB1014" s="144"/>
      <c r="AC1014" s="144"/>
      <c r="AD1014" s="144"/>
      <c r="AE1014" s="144"/>
      <c r="AF1014" s="144"/>
    </row>
    <row r="1015" ht="16.5" customHeight="1">
      <c r="A1015" s="144"/>
      <c r="B1015" s="144"/>
      <c r="C1015" s="144"/>
      <c r="D1015" s="144"/>
      <c r="E1015" s="144"/>
      <c r="F1015" s="144"/>
      <c r="G1015" s="144"/>
      <c r="H1015" s="144"/>
      <c r="I1015" s="496"/>
      <c r="J1015" s="496"/>
      <c r="K1015" s="496"/>
      <c r="L1015" s="496"/>
      <c r="M1015" s="144"/>
      <c r="N1015" s="144"/>
      <c r="O1015" s="144"/>
      <c r="P1015" s="144"/>
      <c r="Q1015" s="144"/>
      <c r="R1015" s="144"/>
      <c r="S1015" s="144"/>
      <c r="T1015" s="144"/>
      <c r="U1015" s="144"/>
      <c r="V1015" s="144"/>
      <c r="W1015" s="144"/>
      <c r="X1015" s="144"/>
      <c r="Y1015" s="144"/>
      <c r="Z1015" s="144"/>
      <c r="AA1015" s="144"/>
      <c r="AB1015" s="144"/>
      <c r="AC1015" s="144"/>
      <c r="AD1015" s="144"/>
      <c r="AE1015" s="144"/>
      <c r="AF1015" s="144"/>
    </row>
    <row r="1016" ht="16.5" customHeight="1">
      <c r="A1016" s="144"/>
      <c r="B1016" s="144"/>
      <c r="C1016" s="144"/>
      <c r="D1016" s="144"/>
      <c r="E1016" s="144"/>
      <c r="F1016" s="144"/>
      <c r="G1016" s="144"/>
      <c r="H1016" s="144"/>
      <c r="I1016" s="496"/>
      <c r="J1016" s="496"/>
      <c r="K1016" s="496"/>
      <c r="L1016" s="496"/>
      <c r="M1016" s="144"/>
      <c r="N1016" s="144"/>
      <c r="O1016" s="144"/>
      <c r="P1016" s="144"/>
      <c r="Q1016" s="144"/>
      <c r="R1016" s="144"/>
      <c r="S1016" s="144"/>
      <c r="T1016" s="144"/>
      <c r="U1016" s="144"/>
      <c r="V1016" s="144"/>
      <c r="W1016" s="144"/>
      <c r="X1016" s="144"/>
      <c r="Y1016" s="144"/>
      <c r="Z1016" s="144"/>
      <c r="AA1016" s="144"/>
      <c r="AB1016" s="144"/>
      <c r="AC1016" s="144"/>
      <c r="AD1016" s="144"/>
      <c r="AE1016" s="144"/>
      <c r="AF1016" s="144"/>
    </row>
    <row r="1017" ht="16.5" customHeight="1">
      <c r="A1017" s="144"/>
      <c r="B1017" s="144"/>
      <c r="C1017" s="144"/>
      <c r="D1017" s="144"/>
      <c r="E1017" s="144"/>
      <c r="F1017" s="144"/>
      <c r="G1017" s="144"/>
      <c r="H1017" s="144"/>
      <c r="I1017" s="496"/>
      <c r="J1017" s="496"/>
      <c r="K1017" s="496"/>
      <c r="L1017" s="496"/>
      <c r="M1017" s="144"/>
      <c r="N1017" s="144"/>
      <c r="O1017" s="144"/>
      <c r="P1017" s="144"/>
      <c r="Q1017" s="144"/>
      <c r="R1017" s="144"/>
      <c r="S1017" s="144"/>
      <c r="T1017" s="144"/>
      <c r="U1017" s="144"/>
      <c r="V1017" s="144"/>
      <c r="W1017" s="144"/>
      <c r="X1017" s="144"/>
      <c r="Y1017" s="144"/>
      <c r="Z1017" s="144"/>
      <c r="AA1017" s="144"/>
      <c r="AB1017" s="144"/>
      <c r="AC1017" s="144"/>
      <c r="AD1017" s="144"/>
      <c r="AE1017" s="144"/>
      <c r="AF1017" s="144"/>
    </row>
    <row r="1018" ht="16.5" customHeight="1">
      <c r="A1018" s="144"/>
      <c r="B1018" s="144"/>
      <c r="C1018" s="144"/>
      <c r="D1018" s="144"/>
      <c r="E1018" s="144"/>
      <c r="F1018" s="144"/>
      <c r="G1018" s="144"/>
      <c r="H1018" s="144"/>
      <c r="I1018" s="496"/>
      <c r="J1018" s="496"/>
      <c r="K1018" s="496"/>
      <c r="L1018" s="496"/>
      <c r="M1018" s="144"/>
      <c r="N1018" s="144"/>
      <c r="O1018" s="144"/>
      <c r="P1018" s="144"/>
      <c r="Q1018" s="144"/>
      <c r="R1018" s="144"/>
      <c r="S1018" s="144"/>
      <c r="T1018" s="144"/>
      <c r="U1018" s="144"/>
      <c r="V1018" s="144"/>
      <c r="W1018" s="144"/>
      <c r="X1018" s="144"/>
      <c r="Y1018" s="144"/>
      <c r="Z1018" s="144"/>
      <c r="AA1018" s="144"/>
      <c r="AB1018" s="144"/>
      <c r="AC1018" s="144"/>
      <c r="AD1018" s="144"/>
      <c r="AE1018" s="144"/>
      <c r="AF1018" s="144"/>
    </row>
    <row r="1019" ht="16.5" customHeight="1">
      <c r="A1019" s="144"/>
      <c r="B1019" s="144"/>
      <c r="C1019" s="144"/>
      <c r="D1019" s="144"/>
      <c r="E1019" s="144"/>
      <c r="F1019" s="144"/>
      <c r="G1019" s="144"/>
      <c r="H1019" s="144"/>
      <c r="I1019" s="496"/>
      <c r="J1019" s="496"/>
      <c r="K1019" s="496"/>
      <c r="L1019" s="496"/>
      <c r="M1019" s="144"/>
      <c r="N1019" s="144"/>
      <c r="O1019" s="144"/>
      <c r="P1019" s="144"/>
      <c r="Q1019" s="144"/>
      <c r="R1019" s="144"/>
      <c r="S1019" s="144"/>
      <c r="T1019" s="144"/>
      <c r="U1019" s="144"/>
      <c r="V1019" s="144"/>
      <c r="W1019" s="144"/>
      <c r="X1019" s="144"/>
      <c r="Y1019" s="144"/>
      <c r="Z1019" s="144"/>
      <c r="AA1019" s="144"/>
      <c r="AB1019" s="144"/>
      <c r="AC1019" s="144"/>
      <c r="AD1019" s="144"/>
      <c r="AE1019" s="144"/>
      <c r="AF1019" s="144"/>
    </row>
    <row r="1020" ht="16.5" customHeight="1">
      <c r="A1020" s="144"/>
      <c r="B1020" s="144"/>
      <c r="C1020" s="144"/>
      <c r="D1020" s="144"/>
      <c r="E1020" s="144"/>
      <c r="F1020" s="144"/>
      <c r="G1020" s="144"/>
      <c r="H1020" s="144"/>
      <c r="I1020" s="496"/>
      <c r="J1020" s="496"/>
      <c r="K1020" s="496"/>
      <c r="L1020" s="496"/>
      <c r="M1020" s="144"/>
      <c r="N1020" s="144"/>
      <c r="O1020" s="144"/>
      <c r="P1020" s="144"/>
      <c r="Q1020" s="144"/>
      <c r="R1020" s="144"/>
      <c r="S1020" s="144"/>
      <c r="T1020" s="144"/>
      <c r="U1020" s="144"/>
      <c r="V1020" s="144"/>
      <c r="W1020" s="144"/>
      <c r="X1020" s="144"/>
      <c r="Y1020" s="144"/>
      <c r="Z1020" s="144"/>
      <c r="AA1020" s="144"/>
      <c r="AB1020" s="144"/>
      <c r="AC1020" s="144"/>
      <c r="AD1020" s="144"/>
      <c r="AE1020" s="144"/>
      <c r="AF1020" s="144"/>
    </row>
    <row r="1021" ht="16.5" customHeight="1">
      <c r="A1021" s="144"/>
      <c r="B1021" s="144"/>
      <c r="C1021" s="144"/>
      <c r="D1021" s="144"/>
      <c r="E1021" s="144"/>
      <c r="F1021" s="144"/>
      <c r="G1021" s="144"/>
      <c r="H1021" s="144"/>
      <c r="I1021" s="496"/>
      <c r="J1021" s="496"/>
      <c r="K1021" s="496"/>
      <c r="L1021" s="496"/>
      <c r="M1021" s="144"/>
      <c r="N1021" s="144"/>
      <c r="O1021" s="144"/>
      <c r="P1021" s="144"/>
      <c r="Q1021" s="144"/>
      <c r="R1021" s="144"/>
      <c r="S1021" s="144"/>
      <c r="T1021" s="144"/>
      <c r="U1021" s="144"/>
      <c r="V1021" s="144"/>
      <c r="W1021" s="144"/>
      <c r="X1021" s="144"/>
      <c r="Y1021" s="144"/>
      <c r="Z1021" s="144"/>
      <c r="AA1021" s="144"/>
      <c r="AB1021" s="144"/>
      <c r="AC1021" s="144"/>
      <c r="AD1021" s="144"/>
      <c r="AE1021" s="144"/>
      <c r="AF1021" s="144"/>
    </row>
    <row r="1022" ht="16.5" customHeight="1">
      <c r="A1022" s="144"/>
      <c r="B1022" s="144"/>
      <c r="C1022" s="144"/>
      <c r="D1022" s="144"/>
      <c r="E1022" s="144"/>
      <c r="F1022" s="144"/>
      <c r="G1022" s="144"/>
      <c r="H1022" s="144"/>
      <c r="I1022" s="496"/>
      <c r="J1022" s="496"/>
      <c r="K1022" s="496"/>
      <c r="L1022" s="496"/>
      <c r="M1022" s="144"/>
      <c r="N1022" s="144"/>
      <c r="O1022" s="144"/>
      <c r="P1022" s="144"/>
      <c r="Q1022" s="144"/>
      <c r="R1022" s="144"/>
      <c r="S1022" s="144"/>
      <c r="T1022" s="144"/>
      <c r="U1022" s="144"/>
      <c r="V1022" s="144"/>
      <c r="W1022" s="144"/>
      <c r="X1022" s="144"/>
      <c r="Y1022" s="144"/>
      <c r="Z1022" s="144"/>
      <c r="AA1022" s="144"/>
      <c r="AB1022" s="144"/>
      <c r="AC1022" s="144"/>
      <c r="AD1022" s="144"/>
      <c r="AE1022" s="144"/>
      <c r="AF1022" s="144"/>
    </row>
    <row r="1023" ht="16.5" customHeight="1">
      <c r="A1023" s="144"/>
      <c r="B1023" s="144"/>
      <c r="C1023" s="144"/>
      <c r="D1023" s="144"/>
      <c r="E1023" s="144"/>
      <c r="F1023" s="144"/>
      <c r="G1023" s="144"/>
      <c r="H1023" s="144"/>
      <c r="I1023" s="496"/>
      <c r="J1023" s="496"/>
      <c r="K1023" s="496"/>
      <c r="L1023" s="496"/>
      <c r="M1023" s="144"/>
      <c r="N1023" s="144"/>
      <c r="O1023" s="144"/>
      <c r="P1023" s="144"/>
      <c r="Q1023" s="144"/>
      <c r="R1023" s="144"/>
      <c r="S1023" s="144"/>
      <c r="T1023" s="144"/>
      <c r="U1023" s="144"/>
      <c r="V1023" s="144"/>
      <c r="W1023" s="144"/>
      <c r="X1023" s="144"/>
      <c r="Y1023" s="144"/>
      <c r="Z1023" s="144"/>
      <c r="AA1023" s="144"/>
      <c r="AB1023" s="144"/>
      <c r="AC1023" s="144"/>
      <c r="AD1023" s="144"/>
      <c r="AE1023" s="144"/>
      <c r="AF1023" s="144"/>
    </row>
    <row r="1024" ht="16.5" customHeight="1">
      <c r="A1024" s="144"/>
      <c r="B1024" s="144"/>
      <c r="C1024" s="144"/>
      <c r="D1024" s="144"/>
      <c r="E1024" s="144"/>
      <c r="F1024" s="144"/>
      <c r="G1024" s="144"/>
      <c r="H1024" s="144"/>
      <c r="I1024" s="496"/>
      <c r="J1024" s="496"/>
      <c r="K1024" s="496"/>
      <c r="L1024" s="496"/>
      <c r="M1024" s="144"/>
      <c r="N1024" s="144"/>
      <c r="O1024" s="144"/>
      <c r="P1024" s="144"/>
      <c r="Q1024" s="144"/>
      <c r="R1024" s="144"/>
      <c r="S1024" s="144"/>
      <c r="T1024" s="144"/>
      <c r="U1024" s="144"/>
      <c r="V1024" s="144"/>
      <c r="W1024" s="144"/>
      <c r="X1024" s="144"/>
      <c r="Y1024" s="144"/>
      <c r="Z1024" s="144"/>
      <c r="AA1024" s="144"/>
      <c r="AB1024" s="144"/>
      <c r="AC1024" s="144"/>
      <c r="AD1024" s="144"/>
      <c r="AE1024" s="144"/>
      <c r="AF1024" s="144"/>
    </row>
    <row r="1025" ht="16.5" customHeight="1">
      <c r="A1025" s="144"/>
      <c r="B1025" s="144"/>
      <c r="C1025" s="144"/>
      <c r="D1025" s="144"/>
      <c r="E1025" s="144"/>
      <c r="F1025" s="144"/>
      <c r="G1025" s="144"/>
      <c r="H1025" s="144"/>
      <c r="I1025" s="496"/>
      <c r="J1025" s="496"/>
      <c r="K1025" s="496"/>
      <c r="L1025" s="496"/>
      <c r="M1025" s="144"/>
      <c r="N1025" s="144"/>
      <c r="O1025" s="144"/>
      <c r="P1025" s="144"/>
      <c r="Q1025" s="144"/>
      <c r="R1025" s="144"/>
      <c r="S1025" s="144"/>
      <c r="T1025" s="144"/>
      <c r="U1025" s="144"/>
      <c r="V1025" s="144"/>
      <c r="W1025" s="144"/>
      <c r="X1025" s="144"/>
      <c r="Y1025" s="144"/>
      <c r="Z1025" s="144"/>
      <c r="AA1025" s="144"/>
      <c r="AB1025" s="144"/>
      <c r="AC1025" s="144"/>
      <c r="AD1025" s="144"/>
      <c r="AE1025" s="144"/>
      <c r="AF1025" s="144"/>
    </row>
    <row r="1026" ht="16.5" customHeight="1">
      <c r="A1026" s="144"/>
      <c r="B1026" s="144"/>
      <c r="C1026" s="144"/>
      <c r="D1026" s="144"/>
      <c r="E1026" s="144"/>
      <c r="F1026" s="144"/>
      <c r="G1026" s="144"/>
      <c r="H1026" s="144"/>
      <c r="I1026" s="496"/>
      <c r="J1026" s="496"/>
      <c r="K1026" s="496"/>
      <c r="L1026" s="496"/>
      <c r="M1026" s="144"/>
      <c r="N1026" s="144"/>
      <c r="O1026" s="144"/>
      <c r="P1026" s="144"/>
      <c r="Q1026" s="144"/>
      <c r="R1026" s="144"/>
      <c r="S1026" s="144"/>
      <c r="T1026" s="144"/>
      <c r="U1026" s="144"/>
      <c r="V1026" s="144"/>
      <c r="W1026" s="144"/>
      <c r="X1026" s="144"/>
      <c r="Y1026" s="144"/>
      <c r="Z1026" s="144"/>
      <c r="AA1026" s="144"/>
      <c r="AB1026" s="144"/>
      <c r="AC1026" s="144"/>
      <c r="AD1026" s="144"/>
      <c r="AE1026" s="144"/>
      <c r="AF1026" s="144"/>
    </row>
    <row r="1027" ht="16.5" customHeight="1">
      <c r="A1027" s="144"/>
      <c r="B1027" s="144"/>
      <c r="C1027" s="144"/>
      <c r="D1027" s="144"/>
      <c r="E1027" s="144"/>
      <c r="F1027" s="144"/>
      <c r="G1027" s="144"/>
      <c r="H1027" s="144"/>
      <c r="I1027" s="496"/>
      <c r="J1027" s="496"/>
      <c r="K1027" s="496"/>
      <c r="L1027" s="496"/>
      <c r="M1027" s="144"/>
      <c r="N1027" s="144"/>
      <c r="O1027" s="144"/>
      <c r="P1027" s="144"/>
      <c r="Q1027" s="144"/>
      <c r="R1027" s="144"/>
      <c r="S1027" s="144"/>
      <c r="T1027" s="144"/>
      <c r="U1027" s="144"/>
      <c r="V1027" s="144"/>
      <c r="W1027" s="144"/>
      <c r="X1027" s="144"/>
      <c r="Y1027" s="144"/>
      <c r="Z1027" s="144"/>
      <c r="AA1027" s="144"/>
      <c r="AB1027" s="144"/>
      <c r="AC1027" s="144"/>
      <c r="AD1027" s="144"/>
      <c r="AE1027" s="144"/>
      <c r="AF1027" s="144"/>
    </row>
    <row r="1028" ht="16.5" customHeight="1">
      <c r="A1028" s="144"/>
      <c r="B1028" s="144"/>
      <c r="C1028" s="144"/>
      <c r="D1028" s="144"/>
      <c r="E1028" s="144"/>
      <c r="F1028" s="144"/>
      <c r="G1028" s="144"/>
      <c r="H1028" s="144"/>
      <c r="I1028" s="496"/>
      <c r="J1028" s="496"/>
      <c r="K1028" s="496"/>
      <c r="L1028" s="496"/>
      <c r="M1028" s="144"/>
      <c r="N1028" s="144"/>
      <c r="O1028" s="144"/>
      <c r="P1028" s="144"/>
      <c r="Q1028" s="144"/>
      <c r="R1028" s="144"/>
      <c r="S1028" s="144"/>
      <c r="T1028" s="144"/>
      <c r="U1028" s="144"/>
      <c r="V1028" s="144"/>
      <c r="W1028" s="144"/>
      <c r="X1028" s="144"/>
      <c r="Y1028" s="144"/>
      <c r="Z1028" s="144"/>
      <c r="AA1028" s="144"/>
      <c r="AB1028" s="144"/>
      <c r="AC1028" s="144"/>
      <c r="AD1028" s="144"/>
      <c r="AE1028" s="144"/>
      <c r="AF1028" s="144"/>
    </row>
    <row r="1029" ht="16.5" customHeight="1">
      <c r="A1029" s="144"/>
      <c r="B1029" s="144"/>
      <c r="C1029" s="144"/>
      <c r="D1029" s="144"/>
      <c r="E1029" s="144"/>
      <c r="F1029" s="144"/>
      <c r="G1029" s="144"/>
      <c r="H1029" s="144"/>
      <c r="I1029" s="496"/>
      <c r="J1029" s="496"/>
      <c r="K1029" s="496"/>
      <c r="L1029" s="496"/>
      <c r="M1029" s="144"/>
      <c r="N1029" s="144"/>
      <c r="O1029" s="144"/>
      <c r="P1029" s="144"/>
      <c r="Q1029" s="144"/>
      <c r="R1029" s="144"/>
      <c r="S1029" s="144"/>
      <c r="T1029" s="144"/>
      <c r="U1029" s="144"/>
      <c r="V1029" s="144"/>
      <c r="W1029" s="144"/>
      <c r="X1029" s="144"/>
      <c r="Y1029" s="144"/>
      <c r="Z1029" s="144"/>
      <c r="AA1029" s="144"/>
      <c r="AB1029" s="144"/>
      <c r="AC1029" s="144"/>
      <c r="AD1029" s="144"/>
      <c r="AE1029" s="144"/>
      <c r="AF1029" s="144"/>
    </row>
    <row r="1030" ht="16.5" customHeight="1">
      <c r="A1030" s="144"/>
      <c r="B1030" s="144"/>
      <c r="C1030" s="144"/>
      <c r="D1030" s="144"/>
      <c r="E1030" s="144"/>
      <c r="F1030" s="144"/>
      <c r="G1030" s="144"/>
      <c r="H1030" s="144"/>
      <c r="I1030" s="496"/>
      <c r="J1030" s="496"/>
      <c r="K1030" s="496"/>
      <c r="L1030" s="496"/>
      <c r="M1030" s="144"/>
      <c r="N1030" s="144"/>
      <c r="O1030" s="144"/>
      <c r="P1030" s="144"/>
      <c r="Q1030" s="144"/>
      <c r="R1030" s="144"/>
      <c r="S1030" s="144"/>
      <c r="T1030" s="144"/>
      <c r="U1030" s="144"/>
      <c r="V1030" s="144"/>
      <c r="W1030" s="144"/>
      <c r="X1030" s="144"/>
      <c r="Y1030" s="144"/>
      <c r="Z1030" s="144"/>
      <c r="AA1030" s="144"/>
      <c r="AB1030" s="144"/>
      <c r="AC1030" s="144"/>
      <c r="AD1030" s="144"/>
      <c r="AE1030" s="144"/>
      <c r="AF1030" s="144"/>
    </row>
    <row r="1031" ht="16.5" customHeight="1">
      <c r="A1031" s="144"/>
      <c r="B1031" s="144"/>
      <c r="C1031" s="144"/>
      <c r="D1031" s="144"/>
      <c r="E1031" s="144"/>
      <c r="F1031" s="144"/>
      <c r="G1031" s="144"/>
      <c r="H1031" s="144"/>
      <c r="I1031" s="496"/>
      <c r="J1031" s="496"/>
      <c r="K1031" s="496"/>
      <c r="L1031" s="496"/>
      <c r="M1031" s="144"/>
      <c r="N1031" s="144"/>
      <c r="O1031" s="144"/>
      <c r="P1031" s="144"/>
      <c r="Q1031" s="144"/>
      <c r="R1031" s="144"/>
      <c r="S1031" s="144"/>
      <c r="T1031" s="144"/>
      <c r="U1031" s="144"/>
      <c r="V1031" s="144"/>
      <c r="W1031" s="144"/>
      <c r="X1031" s="144"/>
      <c r="Y1031" s="144"/>
      <c r="Z1031" s="144"/>
      <c r="AA1031" s="144"/>
      <c r="AB1031" s="144"/>
      <c r="AC1031" s="144"/>
      <c r="AD1031" s="144"/>
      <c r="AE1031" s="144"/>
      <c r="AF1031" s="144"/>
    </row>
    <row r="1032" ht="16.5" customHeight="1">
      <c r="A1032" s="144"/>
      <c r="B1032" s="144"/>
      <c r="C1032" s="144"/>
      <c r="D1032" s="144"/>
      <c r="E1032" s="144"/>
      <c r="F1032" s="144"/>
      <c r="G1032" s="144"/>
      <c r="H1032" s="144"/>
      <c r="I1032" s="496"/>
      <c r="J1032" s="496"/>
      <c r="K1032" s="496"/>
      <c r="L1032" s="496"/>
      <c r="M1032" s="144"/>
      <c r="N1032" s="144"/>
      <c r="O1032" s="144"/>
      <c r="P1032" s="144"/>
      <c r="Q1032" s="144"/>
      <c r="R1032" s="144"/>
      <c r="S1032" s="144"/>
      <c r="T1032" s="144"/>
      <c r="U1032" s="144"/>
      <c r="V1032" s="144"/>
      <c r="W1032" s="144"/>
      <c r="X1032" s="144"/>
      <c r="Y1032" s="144"/>
      <c r="Z1032" s="144"/>
      <c r="AA1032" s="144"/>
      <c r="AB1032" s="144"/>
      <c r="AC1032" s="144"/>
      <c r="AD1032" s="144"/>
      <c r="AE1032" s="144"/>
      <c r="AF1032" s="144"/>
    </row>
    <row r="1033" ht="16.5" customHeight="1">
      <c r="A1033" s="144"/>
      <c r="B1033" s="144"/>
      <c r="C1033" s="144"/>
      <c r="D1033" s="144"/>
      <c r="E1033" s="144"/>
      <c r="F1033" s="144"/>
      <c r="G1033" s="144"/>
      <c r="H1033" s="144"/>
      <c r="I1033" s="496"/>
      <c r="J1033" s="496"/>
      <c r="K1033" s="496"/>
      <c r="L1033" s="496"/>
      <c r="M1033" s="144"/>
      <c r="N1033" s="144"/>
      <c r="O1033" s="144"/>
      <c r="P1033" s="144"/>
      <c r="Q1033" s="144"/>
      <c r="R1033" s="144"/>
      <c r="S1033" s="144"/>
      <c r="T1033" s="144"/>
      <c r="U1033" s="144"/>
      <c r="V1033" s="144"/>
      <c r="W1033" s="144"/>
      <c r="X1033" s="144"/>
      <c r="Y1033" s="144"/>
      <c r="Z1033" s="144"/>
      <c r="AA1033" s="144"/>
      <c r="AB1033" s="144"/>
      <c r="AC1033" s="144"/>
      <c r="AD1033" s="144"/>
      <c r="AE1033" s="144"/>
      <c r="AF1033" s="144"/>
    </row>
    <row r="1034" ht="16.5" customHeight="1">
      <c r="A1034" s="144"/>
      <c r="B1034" s="144"/>
      <c r="C1034" s="144"/>
      <c r="D1034" s="144"/>
      <c r="E1034" s="144"/>
      <c r="F1034" s="144"/>
      <c r="G1034" s="144"/>
      <c r="H1034" s="144"/>
      <c r="I1034" s="496"/>
      <c r="J1034" s="496"/>
      <c r="K1034" s="496"/>
      <c r="L1034" s="496"/>
      <c r="M1034" s="144"/>
      <c r="N1034" s="144"/>
      <c r="O1034" s="144"/>
      <c r="P1034" s="144"/>
      <c r="Q1034" s="144"/>
      <c r="R1034" s="144"/>
      <c r="S1034" s="144"/>
      <c r="T1034" s="144"/>
      <c r="U1034" s="144"/>
      <c r="V1034" s="144"/>
      <c r="W1034" s="144"/>
      <c r="X1034" s="144"/>
      <c r="Y1034" s="144"/>
      <c r="Z1034" s="144"/>
      <c r="AA1034" s="144"/>
      <c r="AB1034" s="144"/>
      <c r="AC1034" s="144"/>
      <c r="AD1034" s="144"/>
      <c r="AE1034" s="144"/>
      <c r="AF1034" s="144"/>
    </row>
    <row r="1035" ht="16.5" customHeight="1">
      <c r="A1035" s="144"/>
      <c r="B1035" s="144"/>
      <c r="C1035" s="144"/>
      <c r="D1035" s="144"/>
      <c r="E1035" s="144"/>
      <c r="F1035" s="144"/>
      <c r="G1035" s="144"/>
      <c r="H1035" s="144"/>
      <c r="I1035" s="496"/>
      <c r="J1035" s="496"/>
      <c r="K1035" s="496"/>
      <c r="L1035" s="496"/>
      <c r="M1035" s="144"/>
      <c r="N1035" s="144"/>
      <c r="O1035" s="144"/>
      <c r="P1035" s="144"/>
      <c r="Q1035" s="144"/>
      <c r="R1035" s="144"/>
      <c r="S1035" s="144"/>
      <c r="T1035" s="144"/>
      <c r="U1035" s="144"/>
      <c r="V1035" s="144"/>
      <c r="W1035" s="144"/>
      <c r="X1035" s="144"/>
      <c r="Y1035" s="144"/>
      <c r="Z1035" s="144"/>
      <c r="AA1035" s="144"/>
      <c r="AB1035" s="144"/>
      <c r="AC1035" s="144"/>
      <c r="AD1035" s="144"/>
      <c r="AE1035" s="144"/>
      <c r="AF1035" s="144"/>
    </row>
    <row r="1036" ht="16.5" customHeight="1">
      <c r="A1036" s="144"/>
      <c r="B1036" s="144"/>
      <c r="C1036" s="144"/>
      <c r="D1036" s="144"/>
      <c r="E1036" s="144"/>
      <c r="F1036" s="144"/>
      <c r="G1036" s="144"/>
      <c r="H1036" s="144"/>
      <c r="I1036" s="496"/>
      <c r="J1036" s="496"/>
      <c r="K1036" s="496"/>
      <c r="L1036" s="496"/>
      <c r="M1036" s="144"/>
      <c r="N1036" s="144"/>
      <c r="O1036" s="144"/>
      <c r="P1036" s="144"/>
      <c r="Q1036" s="144"/>
      <c r="R1036" s="144"/>
      <c r="S1036" s="144"/>
      <c r="T1036" s="144"/>
      <c r="U1036" s="144"/>
      <c r="V1036" s="144"/>
      <c r="W1036" s="144"/>
      <c r="X1036" s="144"/>
      <c r="Y1036" s="144"/>
      <c r="Z1036" s="144"/>
      <c r="AA1036" s="144"/>
      <c r="AB1036" s="144"/>
      <c r="AC1036" s="144"/>
      <c r="AD1036" s="144"/>
      <c r="AE1036" s="144"/>
      <c r="AF1036" s="144"/>
    </row>
    <row r="1037" ht="16.5" customHeight="1">
      <c r="A1037" s="144"/>
      <c r="B1037" s="144"/>
      <c r="C1037" s="144"/>
      <c r="D1037" s="144"/>
      <c r="E1037" s="144"/>
      <c r="F1037" s="144"/>
      <c r="G1037" s="144"/>
      <c r="H1037" s="144"/>
      <c r="I1037" s="496"/>
      <c r="J1037" s="496"/>
      <c r="K1037" s="496"/>
      <c r="L1037" s="496"/>
      <c r="M1037" s="144"/>
      <c r="N1037" s="144"/>
      <c r="O1037" s="144"/>
      <c r="P1037" s="144"/>
      <c r="Q1037" s="144"/>
      <c r="R1037" s="144"/>
      <c r="S1037" s="144"/>
      <c r="T1037" s="144"/>
      <c r="U1037" s="144"/>
      <c r="V1037" s="144"/>
      <c r="W1037" s="144"/>
      <c r="X1037" s="144"/>
      <c r="Y1037" s="144"/>
      <c r="Z1037" s="144"/>
      <c r="AA1037" s="144"/>
      <c r="AB1037" s="144"/>
      <c r="AC1037" s="144"/>
      <c r="AD1037" s="144"/>
      <c r="AE1037" s="144"/>
      <c r="AF1037" s="144"/>
    </row>
    <row r="1038" ht="16.5" customHeight="1">
      <c r="A1038" s="144"/>
      <c r="B1038" s="144"/>
      <c r="C1038" s="144"/>
      <c r="D1038" s="144"/>
      <c r="E1038" s="144"/>
      <c r="F1038" s="144"/>
      <c r="G1038" s="144"/>
      <c r="H1038" s="144"/>
      <c r="I1038" s="496"/>
      <c r="J1038" s="496"/>
      <c r="K1038" s="496"/>
      <c r="L1038" s="496"/>
      <c r="M1038" s="144"/>
      <c r="N1038" s="144"/>
      <c r="O1038" s="144"/>
      <c r="P1038" s="144"/>
      <c r="Q1038" s="144"/>
      <c r="R1038" s="144"/>
      <c r="S1038" s="144"/>
      <c r="T1038" s="144"/>
      <c r="U1038" s="144"/>
      <c r="V1038" s="144"/>
      <c r="W1038" s="144"/>
      <c r="X1038" s="144"/>
      <c r="Y1038" s="144"/>
      <c r="Z1038" s="144"/>
      <c r="AA1038" s="144"/>
      <c r="AB1038" s="144"/>
      <c r="AC1038" s="144"/>
      <c r="AD1038" s="144"/>
      <c r="AE1038" s="144"/>
      <c r="AF1038" s="144"/>
    </row>
    <row r="1039" ht="16.5" customHeight="1">
      <c r="A1039" s="144"/>
      <c r="B1039" s="144"/>
      <c r="C1039" s="144"/>
      <c r="D1039" s="144"/>
      <c r="E1039" s="144"/>
      <c r="F1039" s="144"/>
      <c r="G1039" s="144"/>
      <c r="H1039" s="144"/>
      <c r="I1039" s="496"/>
      <c r="J1039" s="496"/>
      <c r="K1039" s="496"/>
      <c r="L1039" s="496"/>
      <c r="M1039" s="144"/>
      <c r="N1039" s="144"/>
      <c r="O1039" s="144"/>
      <c r="P1039" s="144"/>
      <c r="Q1039" s="144"/>
      <c r="R1039" s="144"/>
      <c r="S1039" s="144"/>
      <c r="T1039" s="144"/>
      <c r="U1039" s="144"/>
      <c r="V1039" s="144"/>
      <c r="W1039" s="144"/>
      <c r="X1039" s="144"/>
      <c r="Y1039" s="144"/>
      <c r="Z1039" s="144"/>
      <c r="AA1039" s="144"/>
      <c r="AB1039" s="144"/>
      <c r="AC1039" s="144"/>
      <c r="AD1039" s="144"/>
      <c r="AE1039" s="144"/>
      <c r="AF1039" s="144"/>
    </row>
    <row r="1040" ht="16.5" customHeight="1">
      <c r="A1040" s="144"/>
      <c r="B1040" s="144"/>
      <c r="C1040" s="144"/>
      <c r="D1040" s="144"/>
      <c r="E1040" s="144"/>
      <c r="F1040" s="144"/>
      <c r="G1040" s="144"/>
      <c r="H1040" s="144"/>
      <c r="I1040" s="496"/>
      <c r="J1040" s="496"/>
      <c r="K1040" s="496"/>
      <c r="L1040" s="496"/>
      <c r="M1040" s="144"/>
      <c r="N1040" s="144"/>
      <c r="O1040" s="144"/>
      <c r="P1040" s="144"/>
      <c r="Q1040" s="144"/>
      <c r="R1040" s="144"/>
      <c r="S1040" s="144"/>
      <c r="T1040" s="144"/>
      <c r="U1040" s="144"/>
      <c r="V1040" s="144"/>
      <c r="W1040" s="144"/>
      <c r="X1040" s="144"/>
      <c r="Y1040" s="144"/>
      <c r="Z1040" s="144"/>
      <c r="AA1040" s="144"/>
      <c r="AB1040" s="144"/>
      <c r="AC1040" s="144"/>
      <c r="AD1040" s="144"/>
      <c r="AE1040" s="144"/>
      <c r="AF1040" s="144"/>
    </row>
    <row r="1041" ht="16.5" customHeight="1">
      <c r="A1041" s="144"/>
      <c r="B1041" s="144"/>
      <c r="C1041" s="144"/>
      <c r="D1041" s="144"/>
      <c r="E1041" s="144"/>
      <c r="F1041" s="144"/>
      <c r="G1041" s="144"/>
      <c r="H1041" s="144"/>
      <c r="I1041" s="496"/>
      <c r="J1041" s="496"/>
      <c r="K1041" s="496"/>
      <c r="L1041" s="496"/>
      <c r="M1041" s="144"/>
      <c r="N1041" s="144"/>
      <c r="O1041" s="144"/>
      <c r="P1041" s="144"/>
      <c r="Q1041" s="144"/>
      <c r="R1041" s="144"/>
      <c r="S1041" s="144"/>
      <c r="T1041" s="144"/>
      <c r="U1041" s="144"/>
      <c r="V1041" s="144"/>
      <c r="W1041" s="144"/>
      <c r="X1041" s="144"/>
      <c r="Y1041" s="144"/>
      <c r="Z1041" s="144"/>
      <c r="AA1041" s="144"/>
      <c r="AB1041" s="144"/>
      <c r="AC1041" s="144"/>
      <c r="AD1041" s="144"/>
      <c r="AE1041" s="144"/>
      <c r="AF1041" s="144"/>
    </row>
    <row r="1042" ht="16.5" customHeight="1">
      <c r="A1042" s="144"/>
      <c r="B1042" s="144"/>
      <c r="C1042" s="144"/>
      <c r="D1042" s="144"/>
      <c r="E1042" s="144"/>
      <c r="F1042" s="144"/>
      <c r="G1042" s="144"/>
      <c r="H1042" s="144"/>
      <c r="I1042" s="496"/>
      <c r="J1042" s="496"/>
      <c r="K1042" s="496"/>
      <c r="L1042" s="496"/>
      <c r="M1042" s="144"/>
      <c r="N1042" s="144"/>
      <c r="O1042" s="144"/>
      <c r="P1042" s="144"/>
      <c r="Q1042" s="144"/>
      <c r="R1042" s="144"/>
      <c r="S1042" s="144"/>
      <c r="T1042" s="144"/>
      <c r="U1042" s="144"/>
      <c r="V1042" s="144"/>
      <c r="W1042" s="144"/>
      <c r="X1042" s="144"/>
      <c r="Y1042" s="144"/>
      <c r="Z1042" s="144"/>
      <c r="AA1042" s="144"/>
      <c r="AB1042" s="144"/>
      <c r="AC1042" s="144"/>
      <c r="AD1042" s="144"/>
      <c r="AE1042" s="144"/>
      <c r="AF1042" s="144"/>
    </row>
    <row r="1043" ht="16.5" customHeight="1">
      <c r="A1043" s="144"/>
      <c r="B1043" s="144"/>
      <c r="C1043" s="144"/>
      <c r="D1043" s="144"/>
      <c r="E1043" s="144"/>
      <c r="F1043" s="144"/>
      <c r="G1043" s="144"/>
      <c r="H1043" s="144"/>
      <c r="I1043" s="496"/>
      <c r="J1043" s="496"/>
      <c r="K1043" s="496"/>
      <c r="L1043" s="496"/>
      <c r="M1043" s="144"/>
      <c r="N1043" s="144"/>
      <c r="O1043" s="144"/>
      <c r="P1043" s="144"/>
      <c r="Q1043" s="144"/>
      <c r="R1043" s="144"/>
      <c r="S1043" s="144"/>
      <c r="T1043" s="144"/>
      <c r="U1043" s="144"/>
      <c r="V1043" s="144"/>
      <c r="W1043" s="144"/>
      <c r="X1043" s="144"/>
      <c r="Y1043" s="144"/>
      <c r="Z1043" s="144"/>
      <c r="AA1043" s="144"/>
      <c r="AB1043" s="144"/>
      <c r="AC1043" s="144"/>
      <c r="AD1043" s="144"/>
      <c r="AE1043" s="144"/>
      <c r="AF1043" s="144"/>
    </row>
    <row r="1044" ht="16.5" customHeight="1">
      <c r="A1044" s="144"/>
      <c r="B1044" s="144"/>
      <c r="C1044" s="144"/>
      <c r="D1044" s="144"/>
      <c r="E1044" s="144"/>
      <c r="F1044" s="144"/>
      <c r="G1044" s="144"/>
      <c r="H1044" s="144"/>
      <c r="I1044" s="496"/>
      <c r="J1044" s="496"/>
      <c r="K1044" s="496"/>
      <c r="L1044" s="496"/>
      <c r="M1044" s="144"/>
      <c r="N1044" s="144"/>
      <c r="O1044" s="144"/>
      <c r="P1044" s="144"/>
      <c r="Q1044" s="144"/>
      <c r="R1044" s="144"/>
      <c r="S1044" s="144"/>
      <c r="T1044" s="144"/>
      <c r="U1044" s="144"/>
      <c r="V1044" s="144"/>
      <c r="W1044" s="144"/>
      <c r="X1044" s="144"/>
      <c r="Y1044" s="144"/>
      <c r="Z1044" s="144"/>
      <c r="AA1044" s="144"/>
      <c r="AB1044" s="144"/>
      <c r="AC1044" s="144"/>
      <c r="AD1044" s="144"/>
      <c r="AE1044" s="144"/>
      <c r="AF1044" s="144"/>
    </row>
    <row r="1045" ht="16.5" customHeight="1">
      <c r="A1045" s="144"/>
      <c r="B1045" s="144"/>
      <c r="C1045" s="144"/>
      <c r="D1045" s="144"/>
      <c r="E1045" s="144"/>
      <c r="F1045" s="144"/>
      <c r="G1045" s="144"/>
      <c r="H1045" s="144"/>
      <c r="I1045" s="496"/>
      <c r="J1045" s="496"/>
      <c r="K1045" s="496"/>
      <c r="L1045" s="496"/>
      <c r="M1045" s="144"/>
      <c r="N1045" s="144"/>
      <c r="O1045" s="144"/>
      <c r="P1045" s="144"/>
      <c r="Q1045" s="144"/>
      <c r="R1045" s="144"/>
      <c r="S1045" s="144"/>
      <c r="T1045" s="144"/>
      <c r="U1045" s="144"/>
      <c r="V1045" s="144"/>
      <c r="W1045" s="144"/>
      <c r="X1045" s="144"/>
      <c r="Y1045" s="144"/>
      <c r="Z1045" s="144"/>
      <c r="AA1045" s="144"/>
      <c r="AB1045" s="144"/>
      <c r="AC1045" s="144"/>
      <c r="AD1045" s="144"/>
      <c r="AE1045" s="144"/>
      <c r="AF1045" s="144"/>
    </row>
    <row r="1046" ht="16.5" customHeight="1">
      <c r="A1046" s="144"/>
      <c r="B1046" s="144"/>
      <c r="C1046" s="144"/>
      <c r="D1046" s="144"/>
      <c r="E1046" s="144"/>
      <c r="F1046" s="144"/>
      <c r="G1046" s="144"/>
      <c r="H1046" s="144"/>
      <c r="I1046" s="496"/>
      <c r="J1046" s="496"/>
      <c r="K1046" s="496"/>
      <c r="L1046" s="496"/>
      <c r="M1046" s="144"/>
      <c r="N1046" s="144"/>
      <c r="O1046" s="144"/>
      <c r="P1046" s="144"/>
      <c r="Q1046" s="144"/>
      <c r="R1046" s="144"/>
      <c r="S1046" s="144"/>
      <c r="T1046" s="144"/>
      <c r="U1046" s="144"/>
      <c r="V1046" s="144"/>
      <c r="W1046" s="144"/>
      <c r="X1046" s="144"/>
      <c r="Y1046" s="144"/>
      <c r="Z1046" s="144"/>
      <c r="AA1046" s="144"/>
      <c r="AB1046" s="144"/>
      <c r="AC1046" s="144"/>
      <c r="AD1046" s="144"/>
      <c r="AE1046" s="144"/>
      <c r="AF1046" s="144"/>
    </row>
    <row r="1047" ht="16.5" customHeight="1">
      <c r="A1047" s="144"/>
      <c r="B1047" s="144"/>
      <c r="C1047" s="144"/>
      <c r="D1047" s="144"/>
      <c r="E1047" s="144"/>
      <c r="F1047" s="144"/>
      <c r="G1047" s="144"/>
      <c r="H1047" s="144"/>
      <c r="I1047" s="496"/>
      <c r="J1047" s="496"/>
      <c r="K1047" s="496"/>
      <c r="L1047" s="496"/>
      <c r="M1047" s="144"/>
      <c r="N1047" s="144"/>
      <c r="O1047" s="144"/>
      <c r="P1047" s="144"/>
      <c r="Q1047" s="144"/>
      <c r="R1047" s="144"/>
      <c r="S1047" s="144"/>
      <c r="T1047" s="144"/>
      <c r="U1047" s="144"/>
      <c r="V1047" s="144"/>
      <c r="W1047" s="144"/>
      <c r="X1047" s="144"/>
      <c r="Y1047" s="144"/>
      <c r="Z1047" s="144"/>
      <c r="AA1047" s="144"/>
      <c r="AB1047" s="144"/>
      <c r="AC1047" s="144"/>
      <c r="AD1047" s="144"/>
      <c r="AE1047" s="144"/>
      <c r="AF1047" s="144"/>
    </row>
    <row r="1048" ht="16.5" customHeight="1">
      <c r="A1048" s="144"/>
      <c r="B1048" s="144"/>
      <c r="C1048" s="144"/>
      <c r="D1048" s="144"/>
      <c r="E1048" s="144"/>
      <c r="F1048" s="144"/>
      <c r="G1048" s="144"/>
      <c r="H1048" s="144"/>
      <c r="I1048" s="496"/>
      <c r="J1048" s="496"/>
      <c r="K1048" s="496"/>
      <c r="L1048" s="496"/>
      <c r="M1048" s="144"/>
      <c r="N1048" s="144"/>
      <c r="O1048" s="144"/>
      <c r="P1048" s="144"/>
      <c r="Q1048" s="144"/>
      <c r="R1048" s="144"/>
      <c r="S1048" s="144"/>
      <c r="T1048" s="144"/>
      <c r="U1048" s="144"/>
      <c r="V1048" s="144"/>
      <c r="W1048" s="144"/>
      <c r="X1048" s="144"/>
      <c r="Y1048" s="144"/>
      <c r="Z1048" s="144"/>
      <c r="AA1048" s="144"/>
      <c r="AB1048" s="144"/>
      <c r="AC1048" s="144"/>
      <c r="AD1048" s="144"/>
      <c r="AE1048" s="144"/>
      <c r="AF1048" s="144"/>
    </row>
    <row r="1049" ht="16.5" customHeight="1">
      <c r="A1049" s="144"/>
      <c r="B1049" s="144"/>
      <c r="C1049" s="144"/>
      <c r="D1049" s="144"/>
      <c r="E1049" s="144"/>
      <c r="F1049" s="144"/>
      <c r="G1049" s="144"/>
      <c r="H1049" s="144"/>
      <c r="I1049" s="496"/>
      <c r="J1049" s="496"/>
      <c r="K1049" s="496"/>
      <c r="L1049" s="496"/>
      <c r="M1049" s="144"/>
      <c r="N1049" s="144"/>
      <c r="O1049" s="144"/>
      <c r="P1049" s="144"/>
      <c r="Q1049" s="144"/>
      <c r="R1049" s="144"/>
      <c r="S1049" s="144"/>
      <c r="T1049" s="144"/>
      <c r="U1049" s="144"/>
      <c r="V1049" s="144"/>
      <c r="W1049" s="144"/>
      <c r="X1049" s="144"/>
      <c r="Y1049" s="144"/>
      <c r="Z1049" s="144"/>
      <c r="AA1049" s="144"/>
      <c r="AB1049" s="144"/>
      <c r="AC1049" s="144"/>
      <c r="AD1049" s="144"/>
      <c r="AE1049" s="144"/>
      <c r="AF1049" s="144"/>
    </row>
    <row r="1050" ht="16.5" customHeight="1">
      <c r="A1050" s="144"/>
      <c r="B1050" s="144"/>
      <c r="C1050" s="144"/>
      <c r="D1050" s="144"/>
      <c r="E1050" s="144"/>
      <c r="F1050" s="144"/>
      <c r="G1050" s="144"/>
      <c r="H1050" s="144"/>
      <c r="I1050" s="496"/>
      <c r="J1050" s="496"/>
      <c r="K1050" s="496"/>
      <c r="L1050" s="496"/>
      <c r="M1050" s="144"/>
      <c r="N1050" s="144"/>
      <c r="O1050" s="144"/>
      <c r="P1050" s="144"/>
      <c r="Q1050" s="144"/>
      <c r="R1050" s="144"/>
      <c r="S1050" s="144"/>
      <c r="T1050" s="144"/>
      <c r="U1050" s="144"/>
      <c r="V1050" s="144"/>
      <c r="W1050" s="144"/>
      <c r="X1050" s="144"/>
      <c r="Y1050" s="144"/>
      <c r="Z1050" s="144"/>
      <c r="AA1050" s="144"/>
      <c r="AB1050" s="144"/>
      <c r="AC1050" s="144"/>
      <c r="AD1050" s="144"/>
      <c r="AE1050" s="144"/>
      <c r="AF1050" s="144"/>
    </row>
    <row r="1051" ht="16.5" customHeight="1">
      <c r="A1051" s="144"/>
      <c r="B1051" s="144"/>
      <c r="C1051" s="144"/>
      <c r="D1051" s="144"/>
      <c r="E1051" s="144"/>
      <c r="F1051" s="144"/>
      <c r="G1051" s="144"/>
      <c r="H1051" s="144"/>
      <c r="I1051" s="496"/>
      <c r="J1051" s="496"/>
      <c r="K1051" s="496"/>
      <c r="L1051" s="496"/>
      <c r="M1051" s="144"/>
      <c r="N1051" s="144"/>
      <c r="O1051" s="144"/>
      <c r="P1051" s="144"/>
      <c r="Q1051" s="144"/>
      <c r="R1051" s="144"/>
      <c r="S1051" s="144"/>
      <c r="T1051" s="144"/>
      <c r="U1051" s="144"/>
      <c r="V1051" s="144"/>
      <c r="W1051" s="144"/>
      <c r="X1051" s="144"/>
      <c r="Y1051" s="144"/>
      <c r="Z1051" s="144"/>
      <c r="AA1051" s="144"/>
      <c r="AB1051" s="144"/>
      <c r="AC1051" s="144"/>
      <c r="AD1051" s="144"/>
      <c r="AE1051" s="144"/>
      <c r="AF1051" s="144"/>
    </row>
    <row r="1052" ht="16.5" customHeight="1">
      <c r="A1052" s="144"/>
      <c r="B1052" s="144"/>
      <c r="C1052" s="144"/>
      <c r="D1052" s="144"/>
      <c r="E1052" s="144"/>
      <c r="F1052" s="144"/>
      <c r="G1052" s="144"/>
      <c r="H1052" s="144"/>
      <c r="I1052" s="496"/>
      <c r="J1052" s="496"/>
      <c r="K1052" s="496"/>
      <c r="L1052" s="496"/>
      <c r="M1052" s="144"/>
      <c r="N1052" s="144"/>
      <c r="O1052" s="144"/>
      <c r="P1052" s="144"/>
      <c r="Q1052" s="144"/>
      <c r="R1052" s="144"/>
      <c r="S1052" s="144"/>
      <c r="T1052" s="144"/>
      <c r="U1052" s="144"/>
      <c r="V1052" s="144"/>
      <c r="W1052" s="144"/>
      <c r="X1052" s="144"/>
      <c r="Y1052" s="144"/>
      <c r="Z1052" s="144"/>
      <c r="AA1052" s="144"/>
      <c r="AB1052" s="144"/>
      <c r="AC1052" s="144"/>
      <c r="AD1052" s="144"/>
      <c r="AE1052" s="144"/>
      <c r="AF1052" s="144"/>
    </row>
    <row r="1053" ht="16.5" customHeight="1">
      <c r="A1053" s="144"/>
      <c r="B1053" s="144"/>
      <c r="C1053" s="144"/>
      <c r="D1053" s="144"/>
      <c r="E1053" s="144"/>
      <c r="F1053" s="144"/>
      <c r="G1053" s="144"/>
      <c r="H1053" s="144"/>
      <c r="I1053" s="496"/>
      <c r="J1053" s="496"/>
      <c r="K1053" s="496"/>
      <c r="L1053" s="496"/>
      <c r="M1053" s="144"/>
      <c r="N1053" s="144"/>
      <c r="O1053" s="144"/>
      <c r="P1053" s="144"/>
      <c r="Q1053" s="144"/>
      <c r="R1053" s="144"/>
      <c r="S1053" s="144"/>
      <c r="T1053" s="144"/>
      <c r="U1053" s="144"/>
      <c r="V1053" s="144"/>
      <c r="W1053" s="144"/>
      <c r="X1053" s="144"/>
      <c r="Y1053" s="144"/>
      <c r="Z1053" s="144"/>
      <c r="AA1053" s="144"/>
      <c r="AB1053" s="144"/>
      <c r="AC1053" s="144"/>
      <c r="AD1053" s="144"/>
      <c r="AE1053" s="144"/>
      <c r="AF1053" s="144"/>
    </row>
    <row r="1054" ht="16.5" customHeight="1">
      <c r="A1054" s="144"/>
      <c r="B1054" s="144"/>
      <c r="C1054" s="144"/>
      <c r="D1054" s="144"/>
      <c r="E1054" s="144"/>
      <c r="F1054" s="144"/>
      <c r="G1054" s="144"/>
      <c r="H1054" s="144"/>
      <c r="I1054" s="496"/>
      <c r="J1054" s="496"/>
      <c r="K1054" s="496"/>
      <c r="L1054" s="496"/>
      <c r="M1054" s="144"/>
      <c r="N1054" s="144"/>
      <c r="O1054" s="144"/>
      <c r="P1054" s="144"/>
      <c r="Q1054" s="144"/>
      <c r="R1054" s="144"/>
      <c r="S1054" s="144"/>
      <c r="T1054" s="144"/>
      <c r="U1054" s="144"/>
      <c r="V1054" s="144"/>
      <c r="W1054" s="144"/>
      <c r="X1054" s="144"/>
      <c r="Y1054" s="144"/>
      <c r="Z1054" s="144"/>
      <c r="AA1054" s="144"/>
      <c r="AB1054" s="144"/>
      <c r="AC1054" s="144"/>
      <c r="AD1054" s="144"/>
      <c r="AE1054" s="144"/>
      <c r="AF1054" s="144"/>
    </row>
    <row r="1055" ht="16.5" customHeight="1">
      <c r="A1055" s="144"/>
      <c r="B1055" s="144"/>
      <c r="C1055" s="144"/>
      <c r="D1055" s="144"/>
      <c r="E1055" s="144"/>
      <c r="F1055" s="144"/>
      <c r="G1055" s="144"/>
      <c r="H1055" s="144"/>
      <c r="I1055" s="496"/>
      <c r="J1055" s="496"/>
      <c r="K1055" s="496"/>
      <c r="L1055" s="496"/>
      <c r="M1055" s="144"/>
      <c r="N1055" s="144"/>
      <c r="O1055" s="144"/>
      <c r="P1055" s="144"/>
      <c r="Q1055" s="144"/>
      <c r="R1055" s="144"/>
      <c r="S1055" s="144"/>
      <c r="T1055" s="144"/>
      <c r="U1055" s="144"/>
      <c r="V1055" s="144"/>
      <c r="W1055" s="144"/>
      <c r="X1055" s="144"/>
      <c r="Y1055" s="144"/>
      <c r="Z1055" s="144"/>
      <c r="AA1055" s="144"/>
      <c r="AB1055" s="144"/>
      <c r="AC1055" s="144"/>
      <c r="AD1055" s="144"/>
      <c r="AE1055" s="144"/>
      <c r="AF1055" s="144"/>
    </row>
    <row r="1056" ht="16.5" customHeight="1">
      <c r="A1056" s="144"/>
      <c r="B1056" s="144"/>
      <c r="C1056" s="144"/>
      <c r="D1056" s="144"/>
      <c r="E1056" s="144"/>
      <c r="F1056" s="144"/>
      <c r="G1056" s="144"/>
      <c r="H1056" s="144"/>
      <c r="I1056" s="496"/>
      <c r="J1056" s="496"/>
      <c r="K1056" s="496"/>
      <c r="L1056" s="496"/>
      <c r="M1056" s="144"/>
      <c r="N1056" s="144"/>
      <c r="O1056" s="144"/>
      <c r="P1056" s="144"/>
      <c r="Q1056" s="144"/>
      <c r="R1056" s="144"/>
      <c r="S1056" s="144"/>
      <c r="T1056" s="144"/>
      <c r="U1056" s="144"/>
      <c r="V1056" s="144"/>
      <c r="W1056" s="144"/>
      <c r="X1056" s="144"/>
      <c r="Y1056" s="144"/>
      <c r="Z1056" s="144"/>
      <c r="AA1056" s="144"/>
      <c r="AB1056" s="144"/>
      <c r="AC1056" s="144"/>
      <c r="AD1056" s="144"/>
      <c r="AE1056" s="144"/>
      <c r="AF1056" s="144"/>
    </row>
    <row r="1057" ht="16.5" customHeight="1">
      <c r="A1057" s="144"/>
      <c r="B1057" s="144"/>
      <c r="C1057" s="144"/>
      <c r="D1057" s="144"/>
      <c r="E1057" s="144"/>
      <c r="F1057" s="144"/>
      <c r="G1057" s="144"/>
      <c r="H1057" s="144"/>
      <c r="I1057" s="496"/>
      <c r="J1057" s="496"/>
      <c r="K1057" s="496"/>
      <c r="L1057" s="496"/>
      <c r="M1057" s="144"/>
      <c r="N1057" s="144"/>
      <c r="O1057" s="144"/>
      <c r="P1057" s="144"/>
      <c r="Q1057" s="144"/>
      <c r="R1057" s="144"/>
      <c r="S1057" s="144"/>
      <c r="T1057" s="144"/>
      <c r="U1057" s="144"/>
      <c r="V1057" s="144"/>
      <c r="W1057" s="144"/>
      <c r="X1057" s="144"/>
      <c r="Y1057" s="144"/>
      <c r="Z1057" s="144"/>
      <c r="AA1057" s="144"/>
      <c r="AB1057" s="144"/>
      <c r="AC1057" s="144"/>
      <c r="AD1057" s="144"/>
      <c r="AE1057" s="144"/>
      <c r="AF1057" s="144"/>
    </row>
    <row r="1058" ht="16.5" customHeight="1">
      <c r="A1058" s="144"/>
      <c r="B1058" s="144"/>
      <c r="C1058" s="144"/>
      <c r="D1058" s="144"/>
      <c r="E1058" s="144"/>
      <c r="F1058" s="144"/>
      <c r="G1058" s="144"/>
      <c r="H1058" s="144"/>
      <c r="I1058" s="496"/>
      <c r="J1058" s="496"/>
      <c r="K1058" s="496"/>
      <c r="L1058" s="496"/>
      <c r="M1058" s="144"/>
      <c r="N1058" s="144"/>
      <c r="O1058" s="144"/>
      <c r="P1058" s="144"/>
      <c r="Q1058" s="144"/>
      <c r="R1058" s="144"/>
      <c r="S1058" s="144"/>
      <c r="T1058" s="144"/>
      <c r="U1058" s="144"/>
      <c r="V1058" s="144"/>
      <c r="W1058" s="144"/>
      <c r="X1058" s="144"/>
      <c r="Y1058" s="144"/>
      <c r="Z1058" s="144"/>
      <c r="AA1058" s="144"/>
      <c r="AB1058" s="144"/>
      <c r="AC1058" s="144"/>
      <c r="AD1058" s="144"/>
      <c r="AE1058" s="144"/>
      <c r="AF1058" s="144"/>
    </row>
    <row r="1059" ht="16.5" customHeight="1">
      <c r="A1059" s="144"/>
      <c r="B1059" s="144"/>
      <c r="C1059" s="144"/>
      <c r="D1059" s="144"/>
      <c r="E1059" s="144"/>
      <c r="F1059" s="144"/>
      <c r="G1059" s="144"/>
      <c r="H1059" s="144"/>
      <c r="I1059" s="496"/>
      <c r="J1059" s="496"/>
      <c r="K1059" s="496"/>
      <c r="L1059" s="496"/>
      <c r="M1059" s="144"/>
      <c r="N1059" s="144"/>
      <c r="O1059" s="144"/>
      <c r="P1059" s="144"/>
      <c r="Q1059" s="144"/>
      <c r="R1059" s="144"/>
      <c r="S1059" s="144"/>
      <c r="T1059" s="144"/>
      <c r="U1059" s="144"/>
      <c r="V1059" s="144"/>
      <c r="W1059" s="144"/>
      <c r="X1059" s="144"/>
      <c r="Y1059" s="144"/>
      <c r="Z1059" s="144"/>
      <c r="AA1059" s="144"/>
      <c r="AB1059" s="144"/>
      <c r="AC1059" s="144"/>
      <c r="AD1059" s="144"/>
      <c r="AE1059" s="144"/>
      <c r="AF1059" s="144"/>
    </row>
    <row r="1060" ht="16.5" customHeight="1">
      <c r="A1060" s="144"/>
      <c r="B1060" s="144"/>
      <c r="C1060" s="144"/>
      <c r="D1060" s="144"/>
      <c r="E1060" s="144"/>
      <c r="F1060" s="144"/>
      <c r="G1060" s="144"/>
      <c r="H1060" s="144"/>
      <c r="I1060" s="496"/>
      <c r="J1060" s="496"/>
      <c r="K1060" s="496"/>
      <c r="L1060" s="496"/>
      <c r="M1060" s="144"/>
      <c r="N1060" s="144"/>
      <c r="O1060" s="144"/>
      <c r="P1060" s="144"/>
      <c r="Q1060" s="144"/>
      <c r="R1060" s="144"/>
      <c r="S1060" s="144"/>
      <c r="T1060" s="144"/>
      <c r="U1060" s="144"/>
      <c r="V1060" s="144"/>
      <c r="W1060" s="144"/>
      <c r="X1060" s="144"/>
      <c r="Y1060" s="144"/>
      <c r="Z1060" s="144"/>
      <c r="AA1060" s="144"/>
      <c r="AB1060" s="144"/>
      <c r="AC1060" s="144"/>
      <c r="AD1060" s="144"/>
      <c r="AE1060" s="144"/>
      <c r="AF1060" s="144"/>
    </row>
    <row r="1061" ht="16.5" customHeight="1">
      <c r="A1061" s="144"/>
      <c r="B1061" s="144"/>
      <c r="C1061" s="144"/>
      <c r="D1061" s="144"/>
      <c r="E1061" s="144"/>
      <c r="F1061" s="144"/>
      <c r="G1061" s="144"/>
      <c r="H1061" s="144"/>
      <c r="I1061" s="496"/>
      <c r="J1061" s="496"/>
      <c r="K1061" s="496"/>
      <c r="L1061" s="496"/>
      <c r="M1061" s="144"/>
      <c r="N1061" s="144"/>
      <c r="O1061" s="144"/>
      <c r="P1061" s="144"/>
      <c r="Q1061" s="144"/>
      <c r="R1061" s="144"/>
      <c r="S1061" s="144"/>
      <c r="T1061" s="144"/>
      <c r="U1061" s="144"/>
      <c r="V1061" s="144"/>
      <c r="W1061" s="144"/>
      <c r="X1061" s="144"/>
      <c r="Y1061" s="144"/>
      <c r="Z1061" s="144"/>
      <c r="AA1061" s="144"/>
      <c r="AB1061" s="144"/>
      <c r="AC1061" s="144"/>
      <c r="AD1061" s="144"/>
      <c r="AE1061" s="144"/>
      <c r="AF1061" s="144"/>
    </row>
    <row r="1062" ht="16.5" customHeight="1">
      <c r="A1062" s="144"/>
      <c r="B1062" s="144"/>
      <c r="C1062" s="144"/>
      <c r="D1062" s="144"/>
      <c r="E1062" s="144"/>
      <c r="F1062" s="144"/>
      <c r="G1062" s="144"/>
      <c r="H1062" s="144"/>
      <c r="I1062" s="496"/>
      <c r="J1062" s="496"/>
      <c r="K1062" s="496"/>
      <c r="L1062" s="496"/>
      <c r="M1062" s="144"/>
      <c r="N1062" s="144"/>
      <c r="O1062" s="144"/>
      <c r="P1062" s="144"/>
      <c r="Q1062" s="144"/>
      <c r="R1062" s="144"/>
      <c r="S1062" s="144"/>
      <c r="T1062" s="144"/>
      <c r="U1062" s="144"/>
      <c r="V1062" s="144"/>
      <c r="W1062" s="144"/>
      <c r="X1062" s="144"/>
      <c r="Y1062" s="144"/>
      <c r="Z1062" s="144"/>
      <c r="AA1062" s="144"/>
      <c r="AB1062" s="144"/>
      <c r="AC1062" s="144"/>
      <c r="AD1062" s="144"/>
      <c r="AE1062" s="144"/>
      <c r="AF1062" s="144"/>
    </row>
    <row r="1063" ht="16.5" customHeight="1">
      <c r="A1063" s="144"/>
      <c r="B1063" s="144"/>
      <c r="C1063" s="144"/>
      <c r="D1063" s="144"/>
      <c r="E1063" s="144"/>
      <c r="F1063" s="144"/>
      <c r="G1063" s="144"/>
      <c r="H1063" s="144"/>
      <c r="I1063" s="496"/>
      <c r="J1063" s="496"/>
      <c r="K1063" s="496"/>
      <c r="L1063" s="496"/>
      <c r="M1063" s="144"/>
      <c r="N1063" s="144"/>
      <c r="O1063" s="144"/>
      <c r="P1063" s="144"/>
      <c r="Q1063" s="144"/>
      <c r="R1063" s="144"/>
      <c r="S1063" s="144"/>
      <c r="T1063" s="144"/>
      <c r="U1063" s="144"/>
      <c r="V1063" s="144"/>
      <c r="W1063" s="144"/>
      <c r="X1063" s="144"/>
      <c r="Y1063" s="144"/>
      <c r="Z1063" s="144"/>
      <c r="AA1063" s="144"/>
      <c r="AB1063" s="144"/>
      <c r="AC1063" s="144"/>
      <c r="AD1063" s="144"/>
      <c r="AE1063" s="144"/>
      <c r="AF1063" s="144"/>
    </row>
    <row r="1064" ht="16.5" customHeight="1">
      <c r="A1064" s="144"/>
      <c r="B1064" s="144"/>
      <c r="C1064" s="144"/>
      <c r="D1064" s="144"/>
      <c r="E1064" s="144"/>
      <c r="F1064" s="144"/>
      <c r="G1064" s="144"/>
      <c r="H1064" s="144"/>
      <c r="I1064" s="496"/>
      <c r="J1064" s="496"/>
      <c r="K1064" s="496"/>
      <c r="L1064" s="496"/>
      <c r="M1064" s="144"/>
      <c r="N1064" s="144"/>
      <c r="O1064" s="144"/>
      <c r="P1064" s="144"/>
      <c r="Q1064" s="144"/>
      <c r="R1064" s="144"/>
      <c r="S1064" s="144"/>
      <c r="T1064" s="144"/>
      <c r="U1064" s="144"/>
      <c r="V1064" s="144"/>
      <c r="W1064" s="144"/>
      <c r="X1064" s="144"/>
      <c r="Y1064" s="144"/>
      <c r="Z1064" s="144"/>
      <c r="AA1064" s="144"/>
      <c r="AB1064" s="144"/>
      <c r="AC1064" s="144"/>
      <c r="AD1064" s="144"/>
      <c r="AE1064" s="144"/>
      <c r="AF1064" s="144"/>
    </row>
    <row r="1065" ht="16.5" customHeight="1">
      <c r="A1065" s="144"/>
      <c r="B1065" s="144"/>
      <c r="C1065" s="144"/>
      <c r="D1065" s="144"/>
      <c r="E1065" s="144"/>
      <c r="F1065" s="144"/>
      <c r="G1065" s="144"/>
      <c r="H1065" s="144"/>
      <c r="I1065" s="496"/>
      <c r="J1065" s="496"/>
      <c r="K1065" s="496"/>
      <c r="L1065" s="496"/>
      <c r="M1065" s="144"/>
      <c r="N1065" s="144"/>
      <c r="O1065" s="144"/>
      <c r="P1065" s="144"/>
      <c r="Q1065" s="144"/>
      <c r="R1065" s="144"/>
      <c r="S1065" s="144"/>
      <c r="T1065" s="144"/>
      <c r="U1065" s="144"/>
      <c r="V1065" s="144"/>
      <c r="W1065" s="144"/>
      <c r="X1065" s="144"/>
      <c r="Y1065" s="144"/>
      <c r="Z1065" s="144"/>
      <c r="AA1065" s="144"/>
      <c r="AB1065" s="144"/>
      <c r="AC1065" s="144"/>
      <c r="AD1065" s="144"/>
      <c r="AE1065" s="144"/>
      <c r="AF1065" s="144"/>
    </row>
    <row r="1066" ht="16.5" customHeight="1">
      <c r="A1066" s="144"/>
      <c r="B1066" s="144"/>
      <c r="C1066" s="144"/>
      <c r="D1066" s="144"/>
      <c r="E1066" s="144"/>
      <c r="F1066" s="144"/>
      <c r="G1066" s="144"/>
      <c r="H1066" s="144"/>
      <c r="I1066" s="496"/>
      <c r="J1066" s="496"/>
      <c r="K1066" s="496"/>
      <c r="L1066" s="496"/>
      <c r="M1066" s="144"/>
      <c r="N1066" s="144"/>
      <c r="O1066" s="144"/>
      <c r="P1066" s="144"/>
      <c r="Q1066" s="144"/>
      <c r="R1066" s="144"/>
      <c r="S1066" s="144"/>
      <c r="T1066" s="144"/>
      <c r="U1066" s="144"/>
      <c r="V1066" s="144"/>
      <c r="W1066" s="144"/>
      <c r="X1066" s="144"/>
      <c r="Y1066" s="144"/>
      <c r="Z1066" s="144"/>
      <c r="AA1066" s="144"/>
      <c r="AB1066" s="144"/>
      <c r="AC1066" s="144"/>
      <c r="AD1066" s="144"/>
      <c r="AE1066" s="144"/>
      <c r="AF1066" s="144"/>
    </row>
    <row r="1067" ht="16.5" customHeight="1">
      <c r="A1067" s="144"/>
      <c r="B1067" s="144"/>
      <c r="C1067" s="144"/>
      <c r="D1067" s="144"/>
      <c r="E1067" s="144"/>
      <c r="F1067" s="144"/>
      <c r="G1067" s="144"/>
      <c r="H1067" s="144"/>
      <c r="I1067" s="496"/>
      <c r="J1067" s="496"/>
      <c r="K1067" s="496"/>
      <c r="L1067" s="496"/>
      <c r="M1067" s="144"/>
      <c r="N1067" s="144"/>
      <c r="O1067" s="144"/>
      <c r="P1067" s="144"/>
      <c r="Q1067" s="144"/>
      <c r="R1067" s="144"/>
      <c r="S1067" s="144"/>
      <c r="T1067" s="144"/>
      <c r="U1067" s="144"/>
      <c r="V1067" s="144"/>
      <c r="W1067" s="144"/>
      <c r="X1067" s="144"/>
      <c r="Y1067" s="144"/>
      <c r="Z1067" s="144"/>
      <c r="AA1067" s="144"/>
      <c r="AB1067" s="144"/>
      <c r="AC1067" s="144"/>
      <c r="AD1067" s="144"/>
      <c r="AE1067" s="144"/>
      <c r="AF1067" s="144"/>
    </row>
    <row r="1068" ht="16.5" customHeight="1">
      <c r="A1068" s="144"/>
      <c r="B1068" s="144"/>
      <c r="C1068" s="144"/>
      <c r="D1068" s="144"/>
      <c r="E1068" s="144"/>
      <c r="F1068" s="144"/>
      <c r="G1068" s="144"/>
      <c r="H1068" s="144"/>
      <c r="I1068" s="496"/>
      <c r="J1068" s="496"/>
      <c r="K1068" s="496"/>
      <c r="L1068" s="496"/>
      <c r="M1068" s="144"/>
      <c r="N1068" s="144"/>
      <c r="O1068" s="144"/>
      <c r="P1068" s="144"/>
      <c r="Q1068" s="144"/>
      <c r="R1068" s="144"/>
      <c r="S1068" s="144"/>
      <c r="T1068" s="144"/>
      <c r="U1068" s="144"/>
      <c r="V1068" s="144"/>
      <c r="W1068" s="144"/>
      <c r="X1068" s="144"/>
      <c r="Y1068" s="144"/>
      <c r="Z1068" s="144"/>
      <c r="AA1068" s="144"/>
      <c r="AB1068" s="144"/>
      <c r="AC1068" s="144"/>
      <c r="AD1068" s="144"/>
      <c r="AE1068" s="144"/>
      <c r="AF1068" s="144"/>
    </row>
    <row r="1069" ht="16.5" customHeight="1">
      <c r="A1069" s="144"/>
      <c r="B1069" s="144"/>
      <c r="C1069" s="144"/>
      <c r="D1069" s="144"/>
      <c r="E1069" s="144"/>
      <c r="F1069" s="144"/>
      <c r="G1069" s="144"/>
      <c r="H1069" s="144"/>
      <c r="I1069" s="496"/>
      <c r="J1069" s="496"/>
      <c r="K1069" s="496"/>
      <c r="L1069" s="496"/>
      <c r="M1069" s="144"/>
      <c r="N1069" s="144"/>
      <c r="O1069" s="144"/>
      <c r="P1069" s="144"/>
      <c r="Q1069" s="144"/>
      <c r="R1069" s="144"/>
      <c r="S1069" s="144"/>
      <c r="T1069" s="144"/>
      <c r="U1069" s="144"/>
      <c r="V1069" s="144"/>
      <c r="W1069" s="144"/>
      <c r="X1069" s="144"/>
      <c r="Y1069" s="144"/>
      <c r="Z1069" s="144"/>
      <c r="AA1069" s="144"/>
      <c r="AB1069" s="144"/>
      <c r="AC1069" s="144"/>
      <c r="AD1069" s="144"/>
      <c r="AE1069" s="144"/>
      <c r="AF1069" s="144"/>
    </row>
    <row r="1070" ht="16.5" customHeight="1">
      <c r="A1070" s="144"/>
      <c r="B1070" s="144"/>
      <c r="C1070" s="144"/>
      <c r="D1070" s="144"/>
      <c r="E1070" s="144"/>
      <c r="F1070" s="144"/>
      <c r="G1070" s="144"/>
      <c r="H1070" s="144"/>
      <c r="I1070" s="496"/>
      <c r="J1070" s="496"/>
      <c r="K1070" s="496"/>
      <c r="L1070" s="496"/>
      <c r="M1070" s="144"/>
      <c r="N1070" s="144"/>
      <c r="O1070" s="144"/>
      <c r="P1070" s="144"/>
      <c r="Q1070" s="144"/>
      <c r="R1070" s="144"/>
      <c r="S1070" s="144"/>
      <c r="T1070" s="144"/>
      <c r="U1070" s="144"/>
      <c r="V1070" s="144"/>
      <c r="W1070" s="144"/>
      <c r="X1070" s="144"/>
      <c r="Y1070" s="144"/>
      <c r="Z1070" s="144"/>
      <c r="AA1070" s="144"/>
      <c r="AB1070" s="144"/>
      <c r="AC1070" s="144"/>
      <c r="AD1070" s="144"/>
      <c r="AE1070" s="144"/>
      <c r="AF1070" s="144"/>
    </row>
    <row r="1071" ht="16.5" customHeight="1">
      <c r="A1071" s="144"/>
      <c r="B1071" s="144"/>
      <c r="C1071" s="144"/>
      <c r="D1071" s="144"/>
      <c r="E1071" s="144"/>
      <c r="F1071" s="144"/>
      <c r="G1071" s="144"/>
      <c r="H1071" s="144"/>
      <c r="I1071" s="496"/>
      <c r="J1071" s="496"/>
      <c r="K1071" s="496"/>
      <c r="L1071" s="496"/>
      <c r="M1071" s="144"/>
      <c r="N1071" s="144"/>
      <c r="O1071" s="144"/>
      <c r="P1071" s="144"/>
      <c r="Q1071" s="144"/>
      <c r="R1071" s="144"/>
      <c r="S1071" s="144"/>
      <c r="T1071" s="144"/>
      <c r="U1071" s="144"/>
      <c r="V1071" s="144"/>
      <c r="W1071" s="144"/>
      <c r="X1071" s="144"/>
      <c r="Y1071" s="144"/>
      <c r="Z1071" s="144"/>
      <c r="AA1071" s="144"/>
      <c r="AB1071" s="144"/>
      <c r="AC1071" s="144"/>
      <c r="AD1071" s="144"/>
      <c r="AE1071" s="144"/>
      <c r="AF1071" s="144"/>
    </row>
    <row r="1072" ht="16.5" customHeight="1">
      <c r="A1072" s="144"/>
      <c r="B1072" s="144"/>
      <c r="C1072" s="144"/>
      <c r="D1072" s="144"/>
      <c r="E1072" s="144"/>
      <c r="F1072" s="144"/>
      <c r="G1072" s="144"/>
      <c r="H1072" s="144"/>
      <c r="I1072" s="496"/>
      <c r="J1072" s="496"/>
      <c r="K1072" s="496"/>
      <c r="L1072" s="496"/>
      <c r="M1072" s="144"/>
      <c r="N1072" s="144"/>
      <c r="O1072" s="144"/>
      <c r="P1072" s="144"/>
      <c r="Q1072" s="144"/>
      <c r="R1072" s="144"/>
      <c r="S1072" s="144"/>
      <c r="T1072" s="144"/>
      <c r="U1072" s="144"/>
      <c r="V1072" s="144"/>
      <c r="W1072" s="144"/>
      <c r="X1072" s="144"/>
      <c r="Y1072" s="144"/>
      <c r="Z1072" s="144"/>
      <c r="AA1072" s="144"/>
      <c r="AB1072" s="144"/>
      <c r="AC1072" s="144"/>
      <c r="AD1072" s="144"/>
      <c r="AE1072" s="144"/>
      <c r="AF1072" s="144"/>
    </row>
    <row r="1073" ht="16.5" customHeight="1">
      <c r="A1073" s="144"/>
      <c r="B1073" s="144"/>
      <c r="C1073" s="144"/>
      <c r="D1073" s="144"/>
      <c r="E1073" s="144"/>
      <c r="F1073" s="144"/>
      <c r="G1073" s="144"/>
      <c r="H1073" s="144"/>
      <c r="I1073" s="496"/>
      <c r="J1073" s="496"/>
      <c r="K1073" s="496"/>
      <c r="L1073" s="496"/>
      <c r="M1073" s="144"/>
      <c r="N1073" s="144"/>
      <c r="O1073" s="144"/>
      <c r="P1073" s="144"/>
      <c r="Q1073" s="144"/>
      <c r="R1073" s="144"/>
      <c r="S1073" s="144"/>
      <c r="T1073" s="144"/>
      <c r="U1073" s="144"/>
      <c r="V1073" s="144"/>
      <c r="W1073" s="144"/>
      <c r="X1073" s="144"/>
      <c r="Y1073" s="144"/>
      <c r="Z1073" s="144"/>
      <c r="AA1073" s="144"/>
      <c r="AB1073" s="144"/>
      <c r="AC1073" s="144"/>
      <c r="AD1073" s="144"/>
      <c r="AE1073" s="144"/>
      <c r="AF1073" s="144"/>
    </row>
    <row r="1074" ht="16.5" customHeight="1">
      <c r="A1074" s="144"/>
      <c r="B1074" s="144"/>
      <c r="C1074" s="144"/>
      <c r="D1074" s="144"/>
      <c r="E1074" s="144"/>
      <c r="F1074" s="144"/>
      <c r="G1074" s="144"/>
      <c r="H1074" s="144"/>
      <c r="I1074" s="496"/>
      <c r="J1074" s="496"/>
      <c r="K1074" s="496"/>
      <c r="L1074" s="496"/>
      <c r="M1074" s="144"/>
      <c r="N1074" s="144"/>
      <c r="O1074" s="144"/>
      <c r="P1074" s="144"/>
      <c r="Q1074" s="144"/>
      <c r="R1074" s="144"/>
      <c r="S1074" s="144"/>
      <c r="T1074" s="144"/>
      <c r="U1074" s="144"/>
      <c r="V1074" s="144"/>
      <c r="W1074" s="144"/>
      <c r="X1074" s="144"/>
      <c r="Y1074" s="144"/>
      <c r="Z1074" s="144"/>
      <c r="AA1074" s="144"/>
      <c r="AB1074" s="144"/>
      <c r="AC1074" s="144"/>
      <c r="AD1074" s="144"/>
      <c r="AE1074" s="144"/>
      <c r="AF1074" s="144"/>
    </row>
    <row r="1075" ht="16.5" customHeight="1">
      <c r="A1075" s="144"/>
      <c r="B1075" s="144"/>
      <c r="C1075" s="144"/>
      <c r="D1075" s="144"/>
      <c r="E1075" s="144"/>
      <c r="F1075" s="144"/>
      <c r="G1075" s="144"/>
      <c r="H1075" s="144"/>
      <c r="I1075" s="496"/>
      <c r="J1075" s="496"/>
      <c r="K1075" s="496"/>
      <c r="L1075" s="496"/>
      <c r="M1075" s="144"/>
      <c r="N1075" s="144"/>
      <c r="O1075" s="144"/>
      <c r="P1075" s="144"/>
      <c r="Q1075" s="144"/>
      <c r="R1075" s="144"/>
      <c r="S1075" s="144"/>
      <c r="T1075" s="144"/>
      <c r="U1075" s="144"/>
      <c r="V1075" s="144"/>
      <c r="W1075" s="144"/>
      <c r="X1075" s="144"/>
      <c r="Y1075" s="144"/>
      <c r="Z1075" s="144"/>
      <c r="AA1075" s="144"/>
      <c r="AB1075" s="144"/>
      <c r="AC1075" s="144"/>
      <c r="AD1075" s="144"/>
      <c r="AE1075" s="144"/>
      <c r="AF1075" s="144"/>
    </row>
    <row r="1076" ht="16.5" customHeight="1">
      <c r="A1076" s="144"/>
      <c r="B1076" s="144"/>
      <c r="C1076" s="144"/>
      <c r="D1076" s="144"/>
      <c r="E1076" s="144"/>
      <c r="F1076" s="144"/>
      <c r="G1076" s="144"/>
      <c r="H1076" s="144"/>
      <c r="I1076" s="496"/>
      <c r="J1076" s="496"/>
      <c r="K1076" s="496"/>
      <c r="L1076" s="496"/>
      <c r="M1076" s="144"/>
      <c r="N1076" s="144"/>
      <c r="O1076" s="144"/>
      <c r="P1076" s="144"/>
      <c r="Q1076" s="144"/>
      <c r="R1076" s="144"/>
      <c r="S1076" s="144"/>
      <c r="T1076" s="144"/>
      <c r="U1076" s="144"/>
      <c r="V1076" s="144"/>
      <c r="W1076" s="144"/>
      <c r="X1076" s="144"/>
      <c r="Y1076" s="144"/>
      <c r="Z1076" s="144"/>
      <c r="AA1076" s="144"/>
      <c r="AB1076" s="144"/>
      <c r="AC1076" s="144"/>
      <c r="AD1076" s="144"/>
      <c r="AE1076" s="144"/>
      <c r="AF1076" s="144"/>
    </row>
  </sheetData>
  <mergeCells count="86">
    <mergeCell ref="C3:I3"/>
    <mergeCell ref="B6:B28"/>
    <mergeCell ref="C6:C28"/>
    <mergeCell ref="D6:D28"/>
    <mergeCell ref="B29:B50"/>
    <mergeCell ref="C29:C50"/>
    <mergeCell ref="D29:D50"/>
    <mergeCell ref="C92:C119"/>
    <mergeCell ref="D92:D119"/>
    <mergeCell ref="B51:B71"/>
    <mergeCell ref="C51:C71"/>
    <mergeCell ref="D51:D71"/>
    <mergeCell ref="B72:B91"/>
    <mergeCell ref="C72:C91"/>
    <mergeCell ref="D72:D91"/>
    <mergeCell ref="B92:B119"/>
    <mergeCell ref="C169:C190"/>
    <mergeCell ref="D169:D190"/>
    <mergeCell ref="B120:B145"/>
    <mergeCell ref="C120:C145"/>
    <mergeCell ref="D120:D145"/>
    <mergeCell ref="B146:B168"/>
    <mergeCell ref="C146:C168"/>
    <mergeCell ref="D146:D168"/>
    <mergeCell ref="B169:B190"/>
    <mergeCell ref="C236:C261"/>
    <mergeCell ref="D236:D261"/>
    <mergeCell ref="B191:B213"/>
    <mergeCell ref="C191:C213"/>
    <mergeCell ref="D191:D213"/>
    <mergeCell ref="B214:B235"/>
    <mergeCell ref="C214:C235"/>
    <mergeCell ref="D214:D235"/>
    <mergeCell ref="B236:B261"/>
    <mergeCell ref="C525:C545"/>
    <mergeCell ref="D525:D545"/>
    <mergeCell ref="B483:B503"/>
    <mergeCell ref="C483:C503"/>
    <mergeCell ref="D483:D503"/>
    <mergeCell ref="B504:B524"/>
    <mergeCell ref="C504:C524"/>
    <mergeCell ref="D504:D524"/>
    <mergeCell ref="B525:B545"/>
    <mergeCell ref="C588:C608"/>
    <mergeCell ref="D588:D608"/>
    <mergeCell ref="B546:B566"/>
    <mergeCell ref="C546:C566"/>
    <mergeCell ref="D546:D566"/>
    <mergeCell ref="B567:B587"/>
    <mergeCell ref="C567:C587"/>
    <mergeCell ref="D567:D587"/>
    <mergeCell ref="B588:B608"/>
    <mergeCell ref="C310:C331"/>
    <mergeCell ref="D310:D331"/>
    <mergeCell ref="B262:B285"/>
    <mergeCell ref="C262:C285"/>
    <mergeCell ref="D262:D285"/>
    <mergeCell ref="B286:B309"/>
    <mergeCell ref="C286:C309"/>
    <mergeCell ref="D286:D309"/>
    <mergeCell ref="B310:B331"/>
    <mergeCell ref="C401:C420"/>
    <mergeCell ref="D401:D420"/>
    <mergeCell ref="A403:A407"/>
    <mergeCell ref="B366:B381"/>
    <mergeCell ref="C366:C381"/>
    <mergeCell ref="D366:D381"/>
    <mergeCell ref="B382:B400"/>
    <mergeCell ref="C382:C400"/>
    <mergeCell ref="D382:D400"/>
    <mergeCell ref="B401:B420"/>
    <mergeCell ref="C463:C482"/>
    <mergeCell ref="D463:D482"/>
    <mergeCell ref="B421:B441"/>
    <mergeCell ref="C421:C441"/>
    <mergeCell ref="D421:D441"/>
    <mergeCell ref="B442:B462"/>
    <mergeCell ref="C442:C462"/>
    <mergeCell ref="D442:D462"/>
    <mergeCell ref="B463:B482"/>
    <mergeCell ref="B609:B629"/>
    <mergeCell ref="C609:C629"/>
    <mergeCell ref="D609:D629"/>
    <mergeCell ref="B630:B642"/>
    <mergeCell ref="C630:C642"/>
    <mergeCell ref="D630:D642"/>
  </mergeCells>
  <dataValidations>
    <dataValidation type="list" allowBlank="1" sqref="H482:K482">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VerifyActivity,Copy of Data_conflict1012964466,CheckPortfolioManagement"</formula1>
    </dataValidation>
    <dataValidation type="list" allowBlank="1" sqref="H194:K194">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Copy of Data,SetMFPrefGeneralRule,Copy of Data 1"</formula1>
    </dataValidation>
    <dataValidation type="list" allowBlank="1" sqref="H396:K396 H436:K436 H457:K457">
      <formula1>"CreateDoneAwayOrder,GetDailyCash,UpdateDailyCash,TradePTT,CreateDoneAwayOrderPTT,Unallocate,SelectUnallocatedGroup,EnterAllocatePreference,EnterAccountValuesToAllocate,CheckAllocatedGroups,CheckUnallocatedGroups,PricingInput,GetDataAllocation,GetDataClosi"&amp;"ng"</formula1>
    </dataValidation>
    <dataValidation type="list" allowBlank="1" sqref="H29:K29">
      <formula1>"SetGeneralPreferences,AddCalculatedPreferences,SetAccountValueCalculatedPref,CreateTransaction,CheckAllocatedGroups,GetDataClosing"</formula1>
    </dataValidation>
    <dataValidation type="list" allowBlank="1" sqref="H349:K349">
      <formula1>"CreateDoneAwayOrder,GetDailyCash,UpdateDailyCash,SelectUnallocatedGroup,EnterAllocatePreference,EnterAccountValuesToAllocate,CheckAllocatedGroups,CheckUnallocatedGroups,GetDataAllocation,GetDataClosing,GetActivityData,VerifyActivity,CheckPortfolioManageme"&amp;"nt"</formula1>
    </dataValidation>
    <dataValidation type="list" allowBlank="1" sqref="H413:K413">
      <formula1>"CreateDoneAwayOrder,GetDailyCash,UpdateDailyCash,TradePTT,CreateDoneAwayOrderPTT,SelectUnallocatedGroup,EnterAllocatePreference,EnterAccountValuesToAllocate,CheckAllocatedGroups,CheckUnallocatedGroups,PricingInput,Unallocate,GetDataAllocation"</formula1>
    </dataValidation>
    <dataValidation type="list" allowBlank="1" sqref="H481:K481">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VerifyActivity,Copy of Data_conflict1012964466"</formula1>
    </dataValidation>
    <dataValidation type="list" allowBlank="1" sqref="H63:K63">
      <formula1>"CreateDoneAwayOrder,SetGeneralPreferences,AddCalculatedPreferenceToolbar,SetDefaultRuleCalculatedPref,SetAccountValueCalculatedPref,SetGeneralRuleCalculatedPref,ModifyGRPreferenceValues,Copy of Data,UpdateGRAccountValues,UpdateGRAccountValues1,SetGeneralR"&amp;"uleCalculatedPref1,SetGeneralRuleCalculatedPref2,UpdateGRAccountValues2,SetGeneralRuleCalculatedPref3,UpdateGRAccountValues3,SaveCalculatedPreferences,CloseCalculatedPreferences,SelectUnallocatedGroup,EnterAllocatePreference,Allocate,CheckAllocatedGroups,"&amp;"GetDataAllocation,CheckUnallocatedGroups,GetDataClosing,VerifyLongPositionsGrid,GetActivityData"</formula1>
    </dataValidation>
    <dataValidation type="list" allowBlank="1" sqref="H96:K97">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Data_conflict713781241,Copy "&amp;"of Data 1,Copy of Data 2,Copy of Data 3"</formula1>
    </dataValidation>
    <dataValidation type="list" allowBlank="1" sqref="H523:K523">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Data_conflict331322650,GetActivityData,VerifyActivity"</formula1>
    </dataValidation>
    <dataValidation type="list" allowBlank="1" sqref="H239:K239">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1,Copy of Data 2"</formula1>
    </dataValidation>
    <dataValidation type="list" allowBlank="1" sqref="H123:K123">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Data_conflict399412700,Copy of Data 1,Copy of Data 2"</formula1>
    </dataValidation>
    <dataValidation type="list" allowBlank="1" sqref="H125:K125">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Data_conflict399412700,Copy of Data 1,Copy of Data 2,Copy of Data 3,Copy of Data 4"</formula1>
    </dataValidation>
    <dataValidation type="list" allowBlank="1" sqref="H298:K298">
      <formula1>"CreateDoneAwayOrder,SelectUnallocatedGroup,EnterAllocatePreference,EnterAccountValuesToAllocate,CheckAllocatedGroups,GetDataClosing,Copy of Data_conflict549399490,VerifyLongPositionsGrid,GetActivityData,VerifyShortPositionsGrid,VerifyActivity"</formula1>
    </dataValidation>
    <dataValidation type="list" allowBlank="1" sqref="H7:K7">
      <formula1>"CreateDoneAwayOrder,SetGeneralPreferences,AddMFPreferences,SetMFPreferencesDefaultRule,SetMFPrefFundDistribution,SetMFPrefFundDefaultRule,SetMFPrefAccountValues,SetMFPrefFundDefaultRule2,SetMFPrefAccountValues2,SelectUnallocatedGroup,EnterAllocatePreferen"&amp;"ce,GetDataAllocation,CheckAllocatedGroups,CheckUnallocatedGroups,GetDataClosing,VerifyLongPositionsGrid,VerifyShortPositionsGrid,CheckPortfolioManagement,GetActivityData,VerifyActivity,Copy of Data,Copy of Data_conflict1984473221"</formula1>
    </dataValidation>
    <dataValidation type="list" allowBlank="1" sqref="H248:K248">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formula1>
    </dataValidation>
    <dataValidation type="list" allowBlank="1" sqref="H642:K642">
      <formula1>"CreateDoneAwayOrder,SelectUnallocatedGroup,EnterAllocatePreference,Allocate,GetDataAllocation,CheckAllocatedGroups,CheckUnallocatedGroups,GetDataClosing,VerifyShortPositionsGrid,CheckPortfolioManagement,GetActivityData,VerifyActivity"</formula1>
    </dataValidation>
    <dataValidation type="list" allowBlank="1" sqref="F26 F48 F69 F89 F117 F143 F166 F188 F211 F233 F259 F283 F307 F349 F365 F400 F420 F441 F462 F503 F524 F545 F566 F587 F608 F629 F640">
      <formula1>"CheckDashboardPM,CheckPortfolioManagement,OpenPSTFromPM,ClosePM,FilterPM,GroupRowPM,CheckDashboardWithPM,RemoveFilterPM,CheckSummaryRowsPM,OpenPTTFromPM,,,,,,,,,,,,,,,,,,,,,,,,,,,,,,,,,,,,,,,,,,,,,,,,,,,,,,,,,,,,,,,,,,,,,,,,,,,,,,,,,,,,,,,,,,,,,,,,,,,,,,,"&amp;",,,,,,,,,,,,,,,,,,,,,,,,,,,,,,,,,,,,,,,,,,,,,,,,,,,,,,,,,,,,,,,,,,,,,,,,,,,,,,,,,,,,,,,,,,,,,,,,,,,,,,,,,,,,,,,,,,,,,,,,,,,,,,,,,,,,,,,,,,,,,,,,,,,,,,,,,,,,,,,,,,,,,,,,,,,,,,,,,,,,,,,,,,,,,,,,,,,,,,,,,,,,,,,,,,,,,,,,,,,,,,,,,,,,,,,,,,,,,,,,,,,,,,,,,,,,,,,"&amp;",,,,,,,,,,,,,,,,,,,,,,,,,,,,,,,,,,,,,,,,,,,,,,,,,,,,,,,,,,,,,,,,,,,,,,,,,,,,,,,,,,,,,,,,,,,,,,,,,,,,,,,,,,,,,,,,,,,,,,,,,,,,,,,,,"</formula1>
    </dataValidation>
    <dataValidation type="list" allowBlank="1" sqref="H71:K71">
      <formula1>"CreateDoneAwayOrder,SetGeneralPreferences,AddMFPreferences,SetMFPreferencesDefaultRule,SetMFPrefFundDefaultRule,SetMFPrefAccountValues,SetMFPrefFundDefaultRule1,SetMFPrefAccountValues1,SelectUnallocatedGroup,EnterAllocatePreference,GetDataAllocation,Check"&amp;"AllocatedGroups,GetDataClosing,VerifyLongPositionsGrid,VerifyShortPositionsGrid,CheckPortfolioManagement,GetActivityData,VerifyActivity,Copy of Data 2,Copy of Data 3"</formula1>
    </dataValidation>
    <dataValidation type="list" allowBlank="1" sqref="H564:K564">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Data_conflict71871989,GetActivityData"</formula1>
    </dataValidation>
    <dataValidation type="list" allowBlank="1" sqref="H565:K565">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Data_conflict71871989,GetActivityData,VerifyActivity"</formula1>
    </dataValidation>
    <dataValidation type="list" allowBlank="1" sqref="H52:K54 H58:K59">
      <formula1>"CreateDoneAwayOrder,SetGeneralPreferences,AddMFPreferences,SetMFPreferencesDefaultRule,SetMFPrefFundDefaultRule,SetMFPrefAccountValues,SetMFPrefFundDefaultRule1,SetMFPrefAccountValues1,SelectUnallocatedGroup,EnterAllocatePreference,GetDataAllocation,Check"&amp;"AllocatedGroups,GetDataClosing,VerifyLongPositionsGrid,VerifyShortPositionsGrid,CheckPortfolioManagement,GetActivityData,VerifyActivity,Copy of Data"</formula1>
    </dataValidation>
    <dataValidation type="list" allowBlank="1" sqref="H264:K264">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formula1>
    </dataValidation>
    <dataValidation type="list" allowBlank="1" sqref="H126:K126 H128:K129">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Data_conflict399412700,Copy of Data 1,Copy of Data 2,Copy of Data 3,Copy of Data 4,Copy of Data 5"</formula1>
    </dataValidation>
    <dataValidation type="list" allowBlank="1" sqref="H240:K240">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1,Copy of Data 2,Copy of Data 3"</formula1>
    </dataValidation>
    <dataValidation type="list" allowBlank="1" sqref="H348:K348">
      <formula1>"CreateDoneAwayOrder,GetDailyCash,UpdateDailyCash,SelectUnallocatedGroup,EnterAllocatePreference,EnterAccountValuesToAllocate,CheckAllocatedGroups,CheckUnallocatedGroups,GetDataAllocation,GetDataClosing,GetActivityData,VerifyActivity"</formula1>
    </dataValidation>
    <dataValidation type="list" allowBlank="1" sqref="H122:K122">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Data_conflict399412700,Copy of Data 1"</formula1>
    </dataValidation>
    <dataValidation type="list" allowBlank="1" sqref="H293:K293">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3,Copy of Data 4,Copy of Data 5,Copy of Data 6,Copy of Data 7"</formula1>
    </dataValidation>
    <dataValidation type="list" allowBlank="1" sqref="H8:K15 H17:K18 H20:K28">
      <formula1>"CreateDoneAwayOrder,SetGeneralPreferences,AddMFPreferences,SetMFPreferencesDefaultRule,SetMFPrefFundDistribution,SetMFPrefFundDefaultRule,SetMFPrefAccountValues,SetMFPrefFundDefaultRule2,SetMFPrefAccountValues2,SelectUnallocatedGroup,EnterAllocatePreferen"&amp;"ce,GetDataAllocation,CheckAllocatedGroups,CheckUnallocatedGroups,GetDataClosing,VerifyLongPositionsGrid,VerifyShortPositionsGrid,CheckPortfolioManagement,GetActivityData,VerifyActivity"</formula1>
    </dataValidation>
    <dataValidation type="list" allowBlank="1" sqref="F93">
      <formula1>"UpdateBeta,UpdateDailyCash,UpdateForexConversion,UpdateMarkPrice,CleanUp,GetMarkPriceData,UpdateForwardPoints,GetForwardPoints,UpdateForwardPoints,GetForexConversion,DeleteNAV,GetDailyCash,GetDailyOutstandings,GetDailyVolatility,GetDailyDividendYield,GetD"&amp;"ailyBeta,GetDailyTradingVolume,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H629:K629">
      <formula1>"CreateDoneAwayOrder,GetDailyCash,UpdateDailyCash,TradePTT,CreateDoneAwayOrderPTT,Unallocate,PricingInput,SelectUnallocatedGroup,EnterAllocatePreference,EnterAccountValuesToAllocate,CheckAllocatedGroups,CheckUnallocatedGroups,GetDataAllocation,GetDataClosi"&amp;"ng,VerifyLongPositionsGrid,CheckPortfolioManagement"</formula1>
    </dataValidation>
    <dataValidation type="list" allowBlank="1" sqref="H196:K196">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Copy of Data,SetMFPrefGeneralRule,Copy of Data 1,Copy of Data 2,Copy o"&amp;"f Data 3"</formula1>
    </dataValidation>
    <dataValidation type="list" allowBlank="1" sqref="H99:K99">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Data_conflict713781241,Copy "&amp;"of Data 1,Copy of Data 2,Copy of Data 3,Copy of Data 4,Copy of Data 5"</formula1>
    </dataValidation>
    <dataValidation type="list" allowBlank="1" sqref="H174:K174">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VerifyShortPositionsGrid,CheckPortfolioManagement,GetActivityData,VerifyActivity,SetMFPrefFundDefaultRule1,SetMFPrefAccountValues1,Copy of Data,Copy of Data 1,Copy of Data 2,SetMFPrefGeneralRule,Copy of Data 4"</formula1>
    </dataValidation>
    <dataValidation type="list" allowBlank="1" sqref="H290:K290">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3,Copy of Data 4"</formula1>
    </dataValidation>
    <dataValidation type="list" allowBlank="1" sqref="H638:K638">
      <formula1>"CreateDoneAwayOrder,SelectUnallocatedGroup,EnterAllocatePreference,Allocate,GetDataAllocation,CheckAllocatedGroups,CheckUnallocatedGroups,GetDataClosing"</formula1>
    </dataValidation>
    <dataValidation type="list" allowBlank="1" sqref="H341:K341 H357:K357 H373:K373">
      <formula1>"CreateDoneAwayOrder,GetDailyCash,UpdateDailyCash,SelectUnallocatedGroup,EnterAllocatePreference,EnterAccountValuesToAllocate,CheckAllocatedGroups,CheckUnallocatedGroups,GetDataAllocation"</formula1>
    </dataValidation>
    <dataValidation type="list" allowBlank="1" sqref="H195:K195">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Copy of Data,SetMFPrefGeneralRule,Copy of Data 1,Copy of Data 2"</formula1>
    </dataValidation>
    <dataValidation type="list" allowBlank="1" sqref="H398:K398 H439:K439 H460:K460">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formula1>
    </dataValidation>
    <dataValidation type="list" allowBlank="1" sqref="H121:K121">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formula1>
    </dataValidation>
    <dataValidation type="list" allowBlank="1" sqref="H294:K294 H296:K296 H299:K300 H302:K309">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3,Copy of Data 4,Copy of Data 5,Copy of Data 6,Copy of Data 7,Copy of Data 8"</formula1>
    </dataValidation>
    <dataValidation type="list" allowBlank="1" sqref="H76:K76">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Data_conflict341880868,Copy of Data 1,Copy of Data 2,Copy of Data 3"</formula1>
    </dataValidation>
    <dataValidation type="list" allowBlank="1" sqref="H499:K499">
      <formula1>"CreateDoneAwayOrder,GetDailyCash,UpdateDailyCash,TradePTT,CreateDoneAwayOrderPTT,Unallocate,SelectUnallocatedGroup,EnterAllocatePreference,EnterAccountValuesToAllocate,CheckUnallocatedGroups,CheckAllocatedGroups,PricingInput,GetDataAllocation,VerifyLongPo"&amp;"sitionsGrid,Copy of Data_conflict175871660"</formula1>
    </dataValidation>
    <dataValidation type="list" allowBlank="1" sqref="H519:K519 H540:K540 H561:K561 H582:K582 H603:K603 H624:K624">
      <formula1>"CreateDoneAwayOrder,GetDailyCash,UpdateDailyCash,TradePTT,CreateDoneAwayOrderPTT,Unallocate,PricingInput,SelectUnallocatedGroup,EnterAllocatePreference,EnterAccountValuesToAllocate,CheckAllocatedGroups,CheckUnallocatedGroups,GetDataAllocation,GetDataClosi"&amp;"ng"</formula1>
    </dataValidation>
    <dataValidation type="list" allowBlank="1" sqref="H193:K193">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Copy of Data"</formula1>
    </dataValidation>
    <dataValidation type="list" allowBlank="1" sqref="H314:K314">
      <formula1>"CreateDoneAwayOrder,SetGeneralPreferences,AddMFPreferences,SetMFPreferencesDefaultRule,SetMFPrefFundDefaultRule,SetMFPrefAccountValues,SetMFPrefFundDefaultRule1,SetMFPrefAccountValues1,AddFillsWorkingSubs,CheckUnallocatedGroups,CheckUnallocatedGroups1,Che"&amp;"ckAllocatedGroups,GetDataClosing,VerifyLongPositionsGrid,VerifyShortPositionsGrid,EditAddFillsDetails,EditAddFillsDetails1,EditAddFillsDetails2,Copy of Data,Copy of Data_conflict850769382,Copy of Data 1,Copy of Data 2,Copy of Data 3"</formula1>
    </dataValidation>
    <dataValidation type="list" allowBlank="1" sqref="H332:K332">
      <formula1>"UpdateServerConfig,RestartExpnl,Copy of Data"</formula1>
    </dataValidation>
    <dataValidation type="list" allowBlank="1" sqref="H98:K98">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Data_conflict713781241,Copy "&amp;"of Data 1,Copy of Data 2,Copy of Data 3,Copy of Data 4"</formula1>
    </dataValidation>
    <dataValidation type="list" allowBlank="1" sqref="H480:K480">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GetActivityData"</formula1>
    </dataValidation>
    <dataValidation type="list" allowBlank="1" sqref="H323:K323 H326:K326 H328:K330">
      <formula1>"CreateDoneAwayOrder,SetGeneralPreferences,AddMFPreferences,SetMFPreferencesDefaultRule,SetMFPrefFundDefaultRule,SetMFPrefAccountValues,SetMFPrefFundDefaultRule1,SetMFPrefAccountValues1,AddFillsWorkingSubs,CheckUnallocatedGroups,CheckUnallocatedGroups1,Che"&amp;"ckAllocatedGroups,GetDataClosing,VerifyLongPositionsGrid,VerifyShortPositionsGrid,EditAddFillsDetails,EditAddFillsDetails1,EditAddFillsDetails2"</formula1>
    </dataValidation>
    <dataValidation type="list" allowBlank="1" sqref="H420:K420">
      <formula1>"CreateDoneAwayOrder,GetDailyCash,UpdateDailyCash,TradePTT,CreateDoneAwayOrderPTT,SelectUnallocatedGroup,EnterAllocatePreference,EnterAccountValuesToAllocate,CheckAllocatedGroups,CheckUnallocatedGroups,PricingInput,Unallocate,GetDataAllocation,GetDataClosi"&amp;"ng,VerifyLongPositionsGrid,VerifyShortPositionsGrid,GetActivityData,VerifyActivity,CheckPortfolioManagement"</formula1>
    </dataValidation>
    <dataValidation type="list" allowBlank="1" sqref="H544:K544 H586:K586 H607:K607">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formula1>
    </dataValidation>
    <dataValidation type="list" allowBlank="1" sqref="H42:K42">
      <formula1>"CreateDoneAwayOrder,SetGeneralPreferences,AddCalculatedPreferenceToolbar,SetDefaultRuleCalculatedPref,SetAccountValueCalculatedPref,SetGeneralRuleCalculatedPref,ModifyGRPreferenceValues,Copy of Data,UpdateGRAccountValues"</formula1>
    </dataValidation>
    <dataValidation type="list" allowBlank="1" sqref="H639:K639">
      <formula1>"CreateDoneAwayOrder,SelectUnallocatedGroup,EnterAllocatePreference,Allocate,GetDataAllocation,CheckAllocatedGroups,CheckUnallocatedGroups,GetDataClosing,VerifyShortPositionsGrid"</formula1>
    </dataValidation>
    <dataValidation type="list" allowBlank="1" sqref="H77:K77">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Data_conflict341880868,Copy of Data 1,Copy of Data 2,Copy of Data 3,Copy of Data 4"</formula1>
    </dataValidation>
    <dataValidation type="list" allowBlank="1" sqref="H272:K273 H275:K276 H278:K285">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Data_confli"&amp;"ct833179971,Copy of Data 1,Copy of Data 2,Copy of Data 3,Copy of Data 4,Copy of Data 5,Copy of Data 6,Copy of Data 7"</formula1>
    </dataValidation>
    <dataValidation type="list" allowBlank="1" sqref="H204 H214 F357 F373 F393 F413 F433 F454 F475 F495 F516 F537 F558 F600 F621 F632:F637">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AllocatePerference,EnterStrategyValuesToAllocate,SetGeneralRuleCalculatedPref,CopyCalculatedPreferenceToolbar,EnterAllocatePreference,ExportAllCalculatedPreferences,SaveCalculatedPreferences,CloseCalculatedPreferences,ExportCalcu"&amp;"latedPreference,EditUnallocatedGroupSidePanel,ImportCalculatedPreferences,OpenAuditTrailUnallocatedGroup,DeleteCalculatedPreferencesTool,ImportCalculatedPreferencesTool,ExportAllCalculatedPreferTool,CheckFixedPreference,DeleteFixedPreference,OpenSymbolLoo"&amp;"kupUnallocateGroup,OpenSymbolLookupAllocatedGroup,GetFixedPreference,CheckAllocatedGroups,CheckUnallocatedGroups,SetGeneralPreferences,EditAllocatedGroupSidePanel,OpenAuditTrailAllocatedGroup,GroupTrades,UngroupTrades,DeleteGroup,CloseOrder,Unallocate,Clo"&amp;"seAllocation,GeneralPrefCompanyUserWise,SetGeneralRuleCalPreference,UpdateGRAccountValue,UpdateGRStrategyValue,UpdateGRDefaultRule,UpdateGeneralRulePref,ModifyGRPreferenceValues,AddMFPreferences,AddMFPreferenceToolbar,DeleteMFPreferences,DeleteMFPreferenc"&amp;"eToolbar,RenameMFPreferences,SaveCloseMFPreference,SetMFPrefAccountValues,ModifyMFPrefGeneralRuleValues,SetMFPrefStrategyValues,SetMFPrefFundDistribution,SetMFPreferencesDefaultRule,SetMFPrefGeneralRule,SetMFPrefFundDefaultRule,ClearPrefetchFilters,Expand"&amp;"CollapseAllUnallocated,ExpandCollapseAllAllocated,GenerateCashTransaction,SaveAllocation,UnallocateWithOutSave,,,,,,,,,,,,,,,,,,,,,,,,,,,,,,,,,,,,,,,,,,,,,,,,,,,,,,,,,,,,,,,,,,,,,,,,,,,,,,,,,,,,,,,,,,,,,,,,,,,,,,,,,,,,,,,,,,,,,,,,,,,,,,,,,,,,,,,,,,,,,,,,,"&amp;",,,,,,,,,,,,,,,,,,,,,,,,,,,,,,,,,,,,,,,,,,,,,,,,,,,,,,,,,,,,,,,,,,,,,,,,,,,,,,,,,,,,,,,,,,,,,,,,,,,,,,,,,,,,,,,,,,,,,,,,,,,,,,,,,,,,,,,,,,,,,,,,,,,,,,,,,,,,,,,,,,,,,,,,,,,,,,,,,,,,,,,,,,,,,,,,,,,,,,,,,,,,,,,,,,,,,,,,,,,,,,,,,,,,,,,,,,,,,,,,,,,,,,,,,"</formula1>
    </dataValidation>
    <dataValidation type="list" allowBlank="1" sqref="H147:K147">
      <formula1>"CreateDoneAwayOrder,SetGeneralPreferences,AddMFPreferences,SetMFPreferencesDefaultRule,SetMFPrefFundDistribution,SetMFPrefFundDefaultRule,SetMFPrefAccountValues,SetMFPrefFundDefaultRule1,SetMFPrefAccountValues1,SelectUnallocatedGroup,EnterAllocatePreferen"&amp;"ce,GetDataAllocation,CheckAllocatedGroups,CheckUnallocatedGroups,GetDataClosing,VerifyLongPositionsGrid,VerifyShortPositionsGrid,CheckPortfolioManagement,GetActivityData,VerifyActivity,Copy of Data,Copy of Data_conflict1338962014"</formula1>
    </dataValidation>
    <dataValidation type="list" allowBlank="1" sqref="E6:E1076">
      <formula1>'_Modules'!$A$4:$A1076</formula1>
    </dataValidation>
    <dataValidation type="list" allowBlank="1" sqref="H34:K36 H40:K41 H43:K50">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CheckPortfolioManagement,GetActivityData,VerifyActivity,SetMFPrefFundDefaultRule2,SetMFPrefAccountValues2,VerifyShortPositionsGrid,Copy of Data,Copy of Data 1,Copy of Data 2,Copy of Data 3"</formula1>
    </dataValidation>
    <dataValidation type="list" allowBlank="1" sqref="H218:K218">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Copy of Data,Copy of Data 1,Copy of Data 2,Copy of Data 3"</formula1>
    </dataValidation>
    <dataValidation type="list" allowBlank="1" sqref="H438:K438 H459:K459">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formula1>
    </dataValidation>
    <dataValidation type="list" allowBlank="1" sqref="H268:K268">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Data_confli"&amp;"ct833179971,Copy of Data 1,Copy of Data 2,Copy of Data 3"</formula1>
    </dataValidation>
    <dataValidation type="list" allowBlank="1" sqref="H149:K149">
      <formula1>"CreateDoneAwayOrder,SetGeneralPreferences,AddMFPreferences,SetMFPreferencesDefaultRule,SetMFPrefFundDistribution,SetMFPrefFundDefaultRule,SetMFPrefAccountValues,SetMFPrefFundDefaultRule1,SetMFPrefAccountValues1,SelectUnallocatedGroup,EnterAllocatePreferen"&amp;"ce,GetDataAllocation,CheckAllocatedGroups,CheckUnallocatedGroups,GetDataClosing,VerifyLongPositionsGrid,VerifyShortPositionsGrid,CheckPortfolioManagement,GetActivityData,VerifyActivity,Copy of Data,Copy of Data_conflict1338962014,Copy of Data 1,Copy of Da"&amp;"ta 2"</formula1>
    </dataValidation>
    <dataValidation type="list" allowBlank="1" sqref="H361:K361 H377:K377">
      <formula1>"CreateDoneAwayOrder,GetDailyCash,UpdateDailyCash,SelectUnallocatedGroup,EnterAllocatePreference,EnterAccountValuesToAllocate,CheckAllocatedGroups,CheckUnallocatedGroups,GetDataAllocation,GetDataClosing,VerifyLongPositionsGrid"</formula1>
    </dataValidation>
    <dataValidation type="list" allowBlank="1" sqref="H478:K478">
      <formula1>"CreateDoneAwayOrder,GetDailyCash,UpdateDailyCash,TradePTT,CreateDoneAwayOrderPTT,Unallocate,SelectUnallocatedGroup,EnterAllocatePreference,EnterAccountValuesToAllocate,CheckAllocatedGroups,PricingInput,GetDataAllocation,GetDataClosing,VerifyLongPositionsG"&amp;"rid"</formula1>
    </dataValidation>
    <dataValidation type="list" allowBlank="1" sqref="H37:K38">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CheckPortfolioManagement,GetActivityData,VerifyActivity,SetMFPrefFundDefaultRule2,SetMFPrefAccountValues2,VerifyShortPositionsGrid"</formula1>
    </dataValidation>
    <dataValidation type="list" allowBlank="1" sqref="H641:K641">
      <formula1>"CreateDoneAwayOrder,SelectUnallocatedGroup,EnterAllocatePreference,Allocate,GetDataAllocation,CheckAllocatedGroups,CheckUnallocatedGroups,GetDataClosing,VerifyShortPositionsGrid,CheckPortfolioManagement,GetActivityData"</formula1>
    </dataValidation>
    <dataValidation type="list" allowBlank="1" sqref="G74:G78 G79:J79 G80:G81 G82:J82 G83:G88">
      <formula1>"CreateDoneAwayOrder,Copy of Data_conflict1738096983"</formula1>
    </dataValidation>
    <dataValidation type="list" allowBlank="1" sqref="H416:K416">
      <formula1>"CreateDoneAwayOrder,GetDailyCash,UpdateDailyCash,TradePTT,CreateDoneAwayOrderPTT,SelectUnallocatedGroup,EnterAllocatePreference,EnterAccountValuesToAllocate,CheckAllocatedGroups,CheckUnallocatedGroups,PricingInput,Unallocate,GetDataAllocation,GetDataClosi"&amp;"ng"</formula1>
    </dataValidation>
    <dataValidation type="list" allowBlank="1" sqref="H545:K545 H587:K587 H608:K608">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VerifyActivity,CheckPortfolioManagement"</formula1>
    </dataValidation>
    <dataValidation type="list" allowBlank="1" sqref="H244:K245 H249:K249 H251:K252 H254:K261">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1,Copy of Data 2,Copy of Data 3,Copy of Data 4,Copy of Data 5,ModifyMFPrefGeneralRuleValues,Copy of Data 6"</formula1>
    </dataValidation>
    <dataValidation type="list" allowBlank="1" sqref="H418:K418">
      <formula1>"CreateDoneAwayOrder,GetDailyCash,UpdateDailyCash,TradePTT,CreateDoneAwayOrderPTT,SelectUnallocatedGroup,EnterAllocatePreference,EnterAccountValuesToAllocate,CheckAllocatedGroups,CheckUnallocatedGroups,PricingInput,Unallocate,GetDataAllocation,GetDataClosi"&amp;"ng,VerifyLongPositionsGrid,VerifyShortPositionsGrid,GetActivityData"</formula1>
    </dataValidation>
    <dataValidation type="list" allowBlank="1" sqref="I297">
      <formula1>"CreateDoneAwayOrder,SelectUnallocatedGroup,EnterAllocatePreference,EnterAccountValuesToAllocate,CheckAllocatedGroups,CheckUnallocatedGroups,GetDataAllocation,GetDataClosing,VerifyLongPositionsGrid,CheckPortfolioManagement"</formula1>
    </dataValidation>
    <dataValidation type="list" allowBlank="1" sqref="H364:K364 H380:K380">
      <formula1>"CreateDoneAwayOrder,GetDailyCash,UpdateDailyCash,SelectUnallocatedGroup,EnterAllocatePreference,EnterAccountValuesToAllocate,CheckAllocatedGroups,CheckUnallocatedGroups,GetDataAllocation,GetDataClosing,VerifyLongPositionsGrid,VerifyShortPositionsGrid,GetA"&amp;"ctivityData,VerifyActivity"</formula1>
    </dataValidation>
    <dataValidation type="list" allowBlank="1" sqref="H172:K172">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VerifyShortPositionsGrid,CheckPortfolioManagement,GetActivityData,VerifyActivity,SetMFPrefFundDefaultRule1,SetMFPrefAccountValues1,Copy of Data,Copy of Data 1"</formula1>
    </dataValidation>
    <dataValidation type="list" allowBlank="1" sqref="H542:K542 H584:K584 H605:K605">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formula1>
    </dataValidation>
    <dataValidation type="list" allowBlank="1" sqref="H516:K516 H537:K537 H558:K558 H579:K579 H600:K600 H621:K621">
      <formula1>"CreateDoneAwayOrder,GetDailyCash,UpdateDailyCash,TradePTT,CreateDoneAwayOrderPTT,Unallocate,PricingInput,SelectUnallocatedGroup,EnterAllocatePreference,EnterAccountValuesToAllocate,CheckAllocatedGroups,CheckUnallocatedGroups,GetDataAllocation"</formula1>
    </dataValidation>
    <dataValidation type="list" allowBlank="1" sqref="H33:K33">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CheckPortfolioManagement,GetActivityData,VerifyActivity,SetMFPrefFundDefaultRule2,SetMFPrefAccountValues2,VerifyShortPositionsGrid,Copy of Data,Copy of Data 1"</formula1>
    </dataValidation>
    <dataValidation type="list" allowBlank="1" sqref="H39:K39">
      <formula1>"CreateDoneAwayOrder,SetGeneralPreferences,AddCalculatedPreferenceToolbar,SetDefaultRuleCalculatedPref,SetAccountValueCalculatedPref"</formula1>
    </dataValidation>
    <dataValidation type="list" allowBlank="1" sqref="H242:K243 H246:K246">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1,Copy of Data 2,Copy of Data 3,Copy of Data 4,Copy of Data 5"</formula1>
    </dataValidation>
    <dataValidation type="list" allowBlank="1" sqref="H151:K151">
      <formula1>"CreateDoneAwayOrder,SetGeneralPreferences,AddMFPreferences,SetMFPreferencesDefaultRule,SetMFPrefFundDistribution,SetMFPrefFundDefaultRule,SetMFPrefAccountValues,SetMFPrefFundDefaultRule1,SetMFPrefAccountValues1,SelectUnallocatedGroup,EnterAllocatePreferen"&amp;"ce,GetDataAllocation,CheckAllocatedGroups,CheckUnallocatedGroups,GetDataClosing,VerifyLongPositionsGrid,VerifyShortPositionsGrid,CheckPortfolioManagement,GetActivityData,VerifyActivity,Copy of Data,Copy of Data_conflict1338962014,Copy of Data 1,Copy of Da"&amp;"ta 2,Copy of Data 3,Copy of Data 4"</formula1>
    </dataValidation>
    <dataValidation type="list" allowBlank="1" sqref="H238:K238">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formula1>
    </dataValidation>
    <dataValidation type="list" allowBlank="1" sqref="D6 D29 D51 D72 D92 D120 D146 D169 D191 D214 D236 D262 D286 D310 D332:D366 D382 D401 D421 D442 D463 D483 D504 D525 D546 D567 D588 D609 D630 D643:D1076">
      <formula1>'_Categories'!$A$4:$A1076</formula1>
    </dataValidation>
    <dataValidation type="list" allowBlank="1" sqref="H311:K311">
      <formula1>"CreateDoneAwayOrder,SetGeneralPreferences,AddMFPreferences,SetMFPreferencesDefaultRule,SetMFPrefFundDefaultRule,SetMFPrefAccountValues,SetMFPrefFundDefaultRule1,SetMFPrefAccountValues1,AddFillsWorkingSubs,CheckUnallocatedGroups,CheckUnallocatedGroups1,Che"&amp;"ckAllocatedGroups,GetDataClosing,VerifyLongPositionsGrid,VerifyShortPositionsGrid,EditAddFillsDetails,EditAddFillsDetails1,EditAddFillsDetails2,Copy of Data,Copy of Data_conflict850769382"</formula1>
    </dataValidation>
    <dataValidation type="list" allowBlank="1" sqref="H198:K198 H202:K203 H205:K212">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Copy of Data,SetMFPrefGeneralRule,Copy of Data 1,Copy of Data 2,Copy o"&amp;"f Data 3,Copy of Data 4,Copy of Data 5"</formula1>
    </dataValidation>
    <dataValidation type="list" allowBlank="1" sqref="H60:K60">
      <formula1>"CreateDoneAwayOrder,SetGeneralPreferences,AddCalculatedPreferenceToolbar,SetDefaultRuleCalculatedPref,SetAccountValueCalculatedPref,SetGeneralRuleCalculatedPref,ModifyGRPreferenceValues,Copy of Data,UpdateGRAccountValues,UpdateGRAccountValues1,SetGeneralR"&amp;"uleCalculatedPref1,SetGeneralRuleCalculatedPref2,UpdateGRAccountValues2,SetGeneralRuleCalculatedPref3,UpdateGRAccountValues3,SaveCalculatedPreferences,CloseCalculatedPreferences,SelectUnallocatedGroup,EnterAllocatePreference,Allocate,CheckAllocatedGroups,"&amp;"GetDataAllocation,CheckUnallocatedGroups"</formula1>
    </dataValidation>
    <dataValidation type="list" allowBlank="1" sqref="H419:K419">
      <formula1>"CreateDoneAwayOrder,GetDailyCash,UpdateDailyCash,TradePTT,CreateDoneAwayOrderPTT,SelectUnallocatedGroup,EnterAllocatePreference,EnterAccountValuesToAllocate,CheckAllocatedGroups,CheckUnallocatedGroups,PricingInput,Unallocate,GetDataAllocation,GetDataClosi"&amp;"ng,VerifyLongPositionsGrid,VerifyShortPositionsGrid,GetActivityData,VerifyActivity"</formula1>
    </dataValidation>
    <dataValidation type="list" allowBlank="1" sqref="H201:K201">
      <formula1>"AddCalculatedPreferences,SetDefaultRuleCalculatedPref,SaveCalculatedPreferences,CloseCalculatedPreferences,CreateDoneAwayOrder,SelectUnallocatedGroup,EnterAllocatePreference,Allocate,GetDataAllocation,CheckUnallocatedGroups,CheckAllocatedGroups,GetDataClo"&amp;"sing,VerifyLongPositionsGrid,GetActivityData,VerifyActivity,CheckPortfolioManagement"</formula1>
    </dataValidation>
    <dataValidation type="list" allowBlank="1" sqref="H263:K263">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Data_confli"&amp;"ct837209383"</formula1>
    </dataValidation>
    <dataValidation type="list" allowBlank="1" sqref="H295:K295">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3,Copy of Data 4,Copy of Data 5,Copy of Data 6,Copy of Data 7,Copy of Data 8,Copy of Data 9,Copy of Data 10"</formula1>
    </dataValidation>
    <dataValidation type="list" allowBlank="1" sqref="H475:K475 H477:K477">
      <formula1>"CreateDoneAwayOrder,GetDailyCash,UpdateDailyCash,TradePTT,CreateDoneAwayOrderPTT,Unallocate,SelectUnallocatedGroup,EnterAllocatePreference,EnterAccountValuesToAllocate,CheckAllocatedGroups,PricingInput,GetDataAllocation,GetDataClosing,Copy of Data 1"</formula1>
    </dataValidation>
    <dataValidation type="list" allowBlank="1" sqref="H563:K563">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Data_conflict71871989"</formula1>
    </dataValidation>
    <dataValidation type="list" allowBlank="1" sqref="H197:K197">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Copy of Data,SetMFPrefGeneralRule,Copy of Data 1,Copy of Data 2,Copy o"&amp;"f Data 3,Copy of Data 4"</formula1>
    </dataValidation>
    <dataValidation type="list" allowBlank="1" sqref="H270:K271">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Data_confli"&amp;"ct833179971,Copy of Data 1,Copy of Data 2,Copy of Data 3,Copy of Data 4,Copy of Data 5,Copy of Data 6"</formula1>
    </dataValidation>
    <dataValidation type="list" allowBlank="1" sqref="F311">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55:K55">
      <formula1>"CreateDoneAwayOrder,SetGeneralPreferences,AddMFPreferences,SetMFPreferencesDefaultRule,SetMFPrefFundDefaultRule,SetMFPrefAccountValues,SetMFPrefFundDefaultRule1,SetMFPrefAccountValues1,SelectUnallocatedGroup,EnterAllocatePreference,GetDataAllocation,Check"&amp;"AllocatedGroups,GetDataClosing,VerifyLongPositionsGrid,VerifyShortPositionsGrid,CheckPortfolioManagement,GetActivityData,VerifyActivity,Copy of Data,Copy of Data 1"</formula1>
    </dataValidation>
    <dataValidation type="list" allowBlank="1" sqref="H93:K94">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formula1>
    </dataValidation>
    <dataValidation type="list" allowBlank="1" sqref="F94 F107:F108">
      <formula1>"UpdateBeta,UpdateDailyCash,UpdateForexConversion,CleanUp,GetMarkPriceData,GetForwardPoints,GetForexConversion,AddForexConversion,GetNAV,AddNAV,DeleteNAV,GetDailyCash,AddDailyCash,GetDailyBeta,GetDailyVolatility,GetDailyDividendYield,GetDailyTradingVolume,"&amp;"GetDailyOutstandings,GetDailyDelta,UpdateDailyVolatility,UpdateDividendYield,DataManagement.Click(MouseButtons.Left);,UpdateTradingVolume,UpdateDailyDelta,UpdateDailyOutstandings,AddForexConversion,UpdateBeta,UpdateNAV,UpdateDailyCash,UpdateCreditLimt,Upd"&amp;"ateDailyCreditLimt,AddDailyCreditLimit,RemoveDailyCreditLimt,RemoveDailyCreditLimit,RemoveDailyCash,RemoveNAV,UpdateMarkPrice,UpdateForwardPoints,,,,,,,,,,,,,,,,,,,,,,,,,,,,,,,,,,,,,,,,,,,,,,,,,,,,,,,,,,,,,,,,,,,,,,,,,,,,,,,,,,,,,,,,,,,,,,,,,,,,,,,,,,,,,,"&amp;",,,,,,,,,,,,,,,,,,,,,,,,,,,,,,,,,,,,,,,,,,,,,,,,,,,,,,,,,,,,,,,,,,,,,,,,,,,,,,,,,,,,,,,,,,,,,,,,,,,,,,,,,,,,,,,,,,,,,,,,,,,,,,,,,,,,,,,,,,,,,,,,,,,,,,,,,,,,,,,,,,,,,,,,,,,,,,,,,,,,,,,,,,,,,,,,,,,,,,,,,,,,,,,,,,,,,,,,,,,,,,,,,,,,,,,,,,,,,,,,,,,,,,,,,,,,,,,"&amp;",,,,,,,,,,,,,,,,,,,,,,,,,,,,,,,,,,,,,,,,,,,,,,,,,,,,,,,,,,,,,,,,,,,,,,,,,,,,,,,,,,,,,,,,,,,,,,"</formula1>
    </dataValidation>
    <dataValidation type="list" allowBlank="1" sqref="F332 F643">
      <formula1>"RestartServer,UpdateServerConfig,,,,,,,,,,,,,,,,,,,,,,,,,,,,,,,,,,,,,,,,,,,,,,,,,,,,,,,,,,,,,,,,,,,,,,,,,,,,,,,,,,,,,,,,,,,,,,,,,,,,,,,,,,,,,,,,,,,,,,,,,,,,,,,,,,,,,,,,,,,,,,,,,,,,,,,,,,,,,,,,,,,,,,,,,,,,,,,,,,,,,,,,,,,,,,,,,,,,,,,,,,,,,,,,,,,,,,,,,,,,,,,"&amp;",,,,,,,,,,,,,,,,,,,,,,,,,,,,,,,,,,,,,,,,,,,,,,,,,,,,,,,,,,,,,,,,,,,,,,,,,,,,,,,,,,,,,,,,,,,,,,,,,,,,,,,,,,,,,,,,,,,,,,,,,,,,,,,,,,,,,,,,,,,,,,,,,,,,,,,,,,,,,,,,,,,,,,,,,,,,,,,,,,,,,,,,,,,,,,,,,,,,,,,,,,,,,,,,,,,,,,,,,,,,,,,,,,,,,,,,,,,,,,,,,,,,,,,,,,,,,,,"&amp;",,,,,,,,,,,,,,,,,"</formula1>
    </dataValidation>
    <dataValidation type="list" allowBlank="1" sqref="H69:K70">
      <formula1>"CreateDoneAwayOrder,SetGeneralPreferences,AddMFPreferences,SetMFPreferencesDefaultRule,SetMFPrefFundDefaultRule,SetMFPrefAccountValues,SetMFPrefFundDefaultRule1,SetMFPrefAccountValues1,SelectUnallocatedGroup,EnterAllocatePreference,GetDataAllocation,Check"&amp;"AllocatedGroups,GetDataClosing,VerifyLongPositionsGrid,VerifyShortPositionsGrid,CheckPortfolioManagement,GetActivityData,VerifyActivity,Copy of Data 1,Copy of Data 2,Copy of Data 3"</formula1>
    </dataValidation>
    <dataValidation type="list" allowBlank="1" sqref="H217:K217">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Copy of Data,Copy of Data 1,Copy of Data 2"</formula1>
    </dataValidation>
    <dataValidation type="list" allowBlank="1" sqref="H220:K220 H224:K225 H227:K235">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Copy of Data,Copy of Data 1,Copy of Data 2,Copy of Data 3,Copy of Data 4,Copy of Data 5"</formula1>
    </dataValidation>
    <dataValidation type="list" allowBlank="1" sqref="H292:K292">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3,Copy of Data 4,Copy of Data 5,Copy of Data 6"</formula1>
    </dataValidation>
    <dataValidation type="list" allowBlank="1" sqref="H632:K632">
      <formula1>"CreateDoneAwayOrder,SelectUnallocatedGroup"</formula1>
    </dataValidation>
    <dataValidation type="list" allowBlank="1" sqref="H362:K362 H378:K378">
      <formula1>"CreateDoneAwayOrder,GetDailyCash,UpdateDailyCash,SelectUnallocatedGroup,EnterAllocatePreference,EnterAccountValuesToAllocate,CheckAllocatedGroups,CheckUnallocatedGroups,GetDataAllocation,GetDataClosing,VerifyLongPositionsGrid,VerifyShortPositionsGrid"</formula1>
    </dataValidation>
    <dataValidation type="list" allowBlank="1" sqref="H150:K150">
      <formula1>"CreateDoneAwayOrder,SetGeneralPreferences,AddMFPreferences,SetMFPreferencesDefaultRule,SetMFPrefFundDistribution,SetMFPrefFundDefaultRule,SetMFPrefAccountValues,SetMFPrefFundDefaultRule1,SetMFPrefAccountValues1,SelectUnallocatedGroup,EnterAllocatePreferen"&amp;"ce,GetDataAllocation,CheckAllocatedGroups,CheckUnallocatedGroups,GetDataClosing,VerifyLongPositionsGrid,VerifyShortPositionsGrid,CheckPortfolioManagement,GetActivityData,VerifyActivity,Copy of Data,Copy of Data_conflict1338962014,Copy of Data 1,Copy of Da"&amp;"ta 2,Copy of Data 3"</formula1>
    </dataValidation>
    <dataValidation type="list" allowBlank="1" sqref="H501:K501">
      <formula1>"CreateDoneAwayOrder,GetDailyCash,UpdateDailyCash,TradePTT,CreateDoneAwayOrderPTT,Unallocate,SelectUnallocatedGroup,EnterAllocatePreference,EnterAccountValuesToAllocate,CheckUnallocatedGroups,CheckAllocatedGroups,PricingInput,GetDataAllocation,VerifyLongPo"&amp;"sitionsGrid,Copy of Data_conflict175871660,GetActivityData"</formula1>
    </dataValidation>
    <dataValidation type="list" allowBlank="1" sqref="H57:K57 H61:K62 H64:K68">
      <formula1>"CreateDoneAwayOrder,SetGeneralPreferences,AddMFPreferences,SetMFPreferencesDefaultRule,SetMFPrefFundDefaultRule,SetMFPrefAccountValues,SetMFPrefFundDefaultRule1,SetMFPrefAccountValues1,SelectUnallocatedGroup,EnterAllocatePreference,GetDataAllocation,Check"&amp;"AllocatedGroups,GetDataClosing,VerifyLongPositionsGrid,VerifyShortPositionsGrid,CheckPortfolioManagement,GetActivityData,VerifyActivity,Copy of Data,Copy of Data 1,Copy of Data 2,Copy of Data 3"</formula1>
    </dataValidation>
    <dataValidation type="list" allowBlank="1" sqref="H173:K173 H175:K176 H180:K181 H183:K190">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VerifyShortPositionsGrid,CheckPortfolioManagement,GetActivityData,VerifyActivity,SetMFPrefFundDefaultRule1,SetMFPrefAccountValues1,Copy of Data,Copy of Data 1,Copy of Data 2,SetMFPrefGeneralRule,Copy of Data 4,Copy of Data 5"</formula1>
    </dataValidation>
    <dataValidation type="list" allowBlank="1" sqref="H31:K32">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CheckPortfolioManagement,GetActivityData,VerifyActivity,SetMFPrefFundDefaultRule2,SetMFPrefAccountValues2,VerifyShortPositionsGrid,Copy of Data"</formula1>
    </dataValidation>
    <dataValidation type="list" allowBlank="1" sqref="H95:K95">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Data_conflict713781241,Copy "&amp;"of Data 1,Copy of Data 2"</formula1>
    </dataValidation>
    <dataValidation type="list" allowBlank="1" sqref="H148:K148">
      <formula1>"CreateDoneAwayOrder,SetGeneralPreferences,AddMFPreferences,SetMFPreferencesDefaultRule,SetMFPrefFundDistribution,SetMFPrefFundDefaultRule,SetMFPrefAccountValues,SetMFPrefFundDefaultRule1,SetMFPrefAccountValues1,SelectUnallocatedGroup,EnterAllocatePreferen"&amp;"ce,GetDataAllocation,CheckAllocatedGroups,CheckUnallocatedGroups,GetDataClosing,VerifyLongPositionsGrid,VerifyShortPositionsGrid,CheckPortfolioManagement,GetActivityData,VerifyActivity,Copy of Data,Copy of Data_conflict1338962014,Copy of Data 1"</formula1>
    </dataValidation>
    <dataValidation type="list" allowBlank="1" sqref="H265:K265">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formula1>
    </dataValidation>
    <dataValidation type="list" allowBlank="1" sqref="H333:K333">
      <formula1>"CreateDoneAwayOrder,GetDailyCash,UpdateDailyCash,SelectUnallocatedGroup,EnterAllocatePreference,CheckAllocatedGroups,CheckUnallocatedGroups,GetDataAllocation,GetDataClosing,VerifyLongPositionsGrid,VerifyShortPositionsGrid,GetActivityData,VerifyActivity,Ch"&amp;"eckPortfolioManagement"</formula1>
    </dataValidation>
    <dataValidation type="list" allowBlank="1" sqref="H78:K78">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Data_conflict341880868,Copy of Data 1,Copy of Data 2,Copy of Data 3,Copy of Data 4,Copy of Data 5"</formula1>
    </dataValidation>
    <dataValidation type="list" allowBlank="1" sqref="H179:K179 H182:K182">
      <formula1>"SetGeneralPreferences,AddMFPreferences,SetMFPreferencesDefaultRule,SetMFPrefGeneralRule,Copy of Data_conflict555167635,SetMFPrefAccountValues,UpdateDailyCash,Copy of Data 1_conflict1473217578,CreateDoneAwayOrder,GetDataAllocation,GetDataClosing,CheckAlloc"&amp;"atedGroups,Copy of Data 1_conflict924690934,VerifyLongPositionsGrid,VerifyShortPositionsGrid,CheckPortfolioManagement,GetActivityData,VerifyActivity,RunProrata,CleanUp,SelectUnallocatedGroup,EnterAllocatePreference,Allocate,CheckUnallocatedGroups"</formula1>
    </dataValidation>
    <dataValidation type="list" allowBlank="1" sqref="H30:K30">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CheckPortfolioManagement,GetActivityData,VerifyActivity,SetMFPrefFundDefaultRule2,SetMFPrefAccountValues2,VerifyShortPositionsGrid,Copy of Data,Copy of Data_conflict405346031"</formula1>
    </dataValidation>
    <dataValidation type="list" allowBlank="1" sqref="H108:K108 I109:K109 H110:K110 H112:K119">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Data_conflict713781241,Copy "&amp;"of Data 1,Copy of Data 2,Copy of Data 3,Copy of Data 4,Copy of Data 5,Copy of Data 6,Copy of Data 7,Copy of Data 8,Copy of Data 8_conflict989232273"</formula1>
    </dataValidation>
    <dataValidation type="list" allowBlank="1" sqref="H192:K192 H199:K200">
      <formula1>"CreateDoneAwayOrder,SetGeneralPreferences,AddMFPreferences,SetMFPreferencesDefaultRule,SetMFPrefFundDistribution,SetMFPrefAccountValues,SetMFPrefFundDefaultRule,SetMFPrefAccountValues1,SetMFPrefFundDefaultRule1,SelectUnallocatedGroup,EnterAllocatePreferen"&amp;"ce,GetDataAllocation,CheckAllocatedGroups,GetDataClosing,VerifyLongPositionsGrid,VerifyShortPositionsGrid,CheckPortfolioManagement,GetActivityData,VerifyActivity,CheckUnallocatedGroups"</formula1>
    </dataValidation>
    <dataValidation type="list" allowBlank="1" sqref="H640:K640">
      <formula1>"CreateDoneAwayOrder,SelectUnallocatedGroup,EnterAllocatePreference,Allocate,GetDataAllocation,CheckAllocatedGroups,CheckUnallocatedGroups,GetDataClosing,VerifyShortPositionsGrid,CheckPortfolioManagement"</formula1>
    </dataValidation>
    <dataValidation type="list" allowBlank="1" sqref="H313:K313">
      <formula1>"CreateDoneAwayOrder,SetGeneralPreferences,AddMFPreferences,SetMFPreferencesDefaultRule,SetMFPrefFundDefaultRule,SetMFPrefAccountValues,SetMFPrefFundDefaultRule1,SetMFPrefAccountValues1,AddFillsWorkingSubs,CheckUnallocatedGroups,CheckUnallocatedGroups1,Che"&amp;"ckAllocatedGroups,GetDataClosing,VerifyLongPositionsGrid,VerifyShortPositionsGrid,EditAddFillsDetails,EditAddFillsDetails1,EditAddFillsDetails2,Copy of Data,Copy of Data_conflict850769382,Copy of Data 1,Copy of Data 2"</formula1>
    </dataValidation>
    <dataValidation type="list" allowBlank="1" sqref="F23:F25 F45:F47 F66:F68 F86:F88 F114:F116 F140:F142 F163:F165 F185:F187 F208:F210 F230:F232 F257:F258 F281:F282 F304:F306 F329:F331 H346 F346:F348 F360:F362 F376:F378 F396:F397 F416:F417 F436:F438 F457:F459 F477:F479 F498:F500 H500 F519:F521 F540:F542 F561:F563 F582:F584 F603:F605 F624:F626 F638:F639">
      <formula1>"GetDataClosing,ManualClosing,AutomaticClosing,UnwindClosing,VerifyClosedTrades,VerifyLongPositionsGrid,VerifyShortPositionsGrid,SelectTradeUnexpiredUnsettled,CashSettlementAtCost,CashSettlementAtZeroPrice,PhysicalSettlement,Expire,ExerciseAssignment,Exerc"&amp;"iseAssignmentAtZero,SwapExpireAndRollover,SwapExpire,VerifyExpiredSettledGrid,VerifyUnExpiredUnSettledGrid,UnWindTradeSettlement,CloseOrder,VerifyCloseOrder,UnWindCloseOrder,CashSettlementAtClosingDtSpotPx,ClosingCleanUp,CloseClosingUI,,,,,,,,,,,,,,,,,,,,"&amp;",,,,,,,,,,,,,,,,,,,,,,,,,,,,,,,,,,,,,,,,,,,,,,,,,,,,,,,,,,,,,,,,,,,,,,,,,,,,,,,,,,,,,,,,,,,,,,,,,,,,,,,,,,,,,,,,,,,,,,,,,,,,,,,,,,,,,,,,,,,,,,,,,,,,,,,,,,,,,,,,,,,,,,,,,,,,,,,,,,,,,,,,,,,,,,,,,,,,,,,,,,,,,,,,,,,,,,,,,,,,,,,,,,,,,,,,,,,,,,,,,,,,,,,,,,,,,,,"&amp;",,,,,,,,,,,,,,,,,,,,,,,,,,,,,,,,,,,,,,,,,,,,,,,,,,,,,,,,,,,,,,,,,,,,,,,,,,,,,,,,,,,,,,,,,,,,,,,,,,,,,,,,,,,,,,,,,,,,,,,,,,,,,,,,,,,,,,,,,,,,,,,,,,,,,,,,,,,,,,,,,,,,,,,,,,,,,,,,,,,,,,,,,,,,,,,,,,,,,"</formula1>
    </dataValidation>
    <dataValidation type="list" allowBlank="1" sqref="H56:K56">
      <formula1>"CreateDoneAwayOrder,SetGeneralPreferences,AddMFPreferences,SetMFPreferencesDefaultRule,SetMFPrefFundDefaultRule,SetMFPrefAccountValues,SetMFPrefFundDefaultRule1,SetMFPrefAccountValues1,SelectUnallocatedGroup,EnterAllocatePreference,GetDataAllocation,Check"&amp;"AllocatedGroups,GetDataClosing,VerifyLongPositionsGrid,VerifyShortPositionsGrid,CheckPortfolioManagement,GetActivityData,VerifyActivity,Copy of Data,Copy of Data 1,Copy of Data 2"</formula1>
    </dataValidation>
    <dataValidation type="list" allowBlank="1" sqref="H267:K267">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Data_confli"&amp;"ct833179971,Copy of Data 1,Copy of Data 2"</formula1>
    </dataValidation>
    <dataValidation type="list" allowBlank="1" sqref="H191:K191">
      <formula1>"AddCalculatedPreferences,SetDefaultRuleCalculatedPref,SaveCalculatedPreferences,CloseCalculatedPreferences,CreateDoneAwayOrder,SelectUnallocatedGroup"</formula1>
    </dataValidation>
    <dataValidation type="list" allowBlank="1" sqref="H631:K631">
      <formula1>"CreateDoneAwayOrder"</formula1>
    </dataValidation>
    <dataValidation type="list" allowBlank="1" sqref="H221:K222">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formula1>
    </dataValidation>
    <dataValidation type="list" allowBlank="1" sqref="H502:K502">
      <formula1>"CreateDoneAwayOrder,GetDailyCash,UpdateDailyCash,TradePTT,CreateDoneAwayOrderPTT,Unallocate,SelectUnallocatedGroup,EnterAllocatePreference,EnterAccountValuesToAllocate,CheckUnallocatedGroups,CheckAllocatedGroups,PricingInput,GetDataAllocation,VerifyLongPo"&amp;"sitionsGrid,Copy of Data_conflict175871660,GetActivityData,VerifyActivity"</formula1>
    </dataValidation>
    <dataValidation type="list" allowBlank="1" sqref="H635:K635">
      <formula1>"CreateDoneAwayOrder,SelectUnallocatedGroup,EnterAllocatePreference,Allocate,GetDataAllocation"</formula1>
    </dataValidation>
    <dataValidation type="list" allowBlank="1" sqref="H397:K397 H437:K437 H458:K458">
      <formula1>"CreateDoneAwayOrder,GetDailyCash,UpdateDailyCash,TradePTT,CreateDoneAwayOrderPTT,Unallocate,SelectUnallocatedGroup,EnterAllocatePreference,EnterAccountValuesToAllocate,CheckAllocatedGroups,CheckUnallocatedGroups,PricingInput,GetDataAllocation,GetDataClosi"&amp;"ng,VerifyLongPositionsGrid"</formula1>
    </dataValidation>
    <dataValidation type="list" allowBlank="1" sqref="H152:K155 H157:K158 H160:K168">
      <formula1>"CreateDoneAwayOrder,SetGeneralPreferences,AddMFPreferences,SetMFPreferencesDefaultRule,SetMFPrefFundDistribution,SetMFPrefFundDefaultRule,SetMFPrefAccountValues,SetMFPrefFundDefaultRule1,SetMFPrefAccountValues1,SelectUnallocatedGroup,EnterAllocatePreferen"&amp;"ce,GetDataAllocation,CheckAllocatedGroups,CheckUnallocatedGroups,GetDataClosing,VerifyLongPositionsGrid,VerifyShortPositionsGrid,CheckPortfolioManagement,GetActivityData,VerifyActivity,Copy of Data,Copy of Data_conflict1338962014,Copy of Data 1,Copy of Da"&amp;"ta 2,Copy of Data 3,Copy of Data 4,Copy of Data 5"</formula1>
    </dataValidation>
    <dataValidation type="list" allowBlank="1" sqref="H344:K344 H360:K360 H376:K376">
      <formula1>"CreateDoneAwayOrder,GetDailyCash,UpdateDailyCash,SelectUnallocatedGroup,EnterAllocatePreference,EnterAccountValuesToAllocate,CheckAllocatedGroups,CheckUnallocatedGroups,GetDataAllocation,GetDataClosing"</formula1>
    </dataValidation>
    <dataValidation type="list" allowBlank="1" sqref="H315:K317 H319:K322 H324:K325 H327:K327 H331:K331">
      <formula1>"CreateDoneAwayOrder,SetGeneralPreferences,AddMFPreferences,SetMFPreferencesDefaultRule,SetMFPrefFundDefaultRule,SetMFPrefAccountValues,SetMFPrefFundDefaultRule1,SetMFPrefAccountValues1,AddFillsWorkingSubs,CheckUnallocatedGroups,CheckUnallocatedGroups1,Che"&amp;"ckAllocatedGroups,GetDataClosing,VerifyLongPositionsGrid,VerifyShortPositionsGrid,EditAddFillsDetails,EditAddFillsDetails1,EditAddFillsDetails2,Copy of Data,Copy of Data_conflict850769382,Copy of Data 1,Copy of Data 2,Copy of Data 3,Copy of Data 4"</formula1>
    </dataValidation>
    <dataValidation type="list" allowBlank="1" sqref="H626:K626">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Copy of Data 1_conflict395299621"</formula1>
    </dataValidation>
    <dataValidation type="list" allowBlank="1" sqref="H503:K503">
      <formula1>"CreateDoneAwayOrder,GetDailyCash,UpdateDailyCash,TradePTT,CreateDoneAwayOrderPTT,Unallocate,SelectUnallocatedGroup,EnterAllocatePreference,EnterAccountValuesToAllocate,CheckUnallocatedGroups,CheckAllocatedGroups,PricingInput,GetDataAllocation,VerifyLongPo"&amp;"sitionsGrid,Copy of Data_conflict175871660,GetActivityData,VerifyActivity,CheckPortfolioManagement"</formula1>
    </dataValidation>
    <dataValidation type="list" allowBlank="1" sqref="H170:K171 H177:K178">
      <formula1>"CreateDoneAwayOrder,SetGeneralPreferences,AddMFPreferences,SetMFPreferencesDefaultRule,SetMFPrefFundDistribution,SetMFPrefFundDefaultRule,SetMFPrefAccountValues,SelectUnallocatedGroup,EnterAllocatePreference,GetDataAllocation,CheckAllocatedGroups,GetDataC"&amp;"losing,VerifyLongPositionsGrid,VerifyShortPositionsGrid,CheckPortfolioManagement,GetActivityData,VerifyActivity,SetMFPrefFundDefaultRule1,SetMFPrefAccountValues1,Copy of Data"</formula1>
    </dataValidation>
    <dataValidation type="list" allowBlank="1" sqref="H80:K81 H83:K91">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Data_conflict341880868,Copy of Data 1,Copy of Data 2,Copy of Data 3,Copy of Data 4,Copy of Data 5,Copy of Data 6"</formula1>
    </dataValidation>
    <dataValidation type="list" allowBlank="1" sqref="H72">
      <formula1>"AddCalculatedPreferences_conflict1215712688,AddCalculatedPreferences,SetDefaultRuleCalculatedPref,Copy of Data,SetGeneralRuleCalculatedPref,Copy of Data 1,ModifyGRPreferenceValues,Copy of Data 2_conflict1665726717"</formula1>
    </dataValidation>
    <dataValidation type="list" allowBlank="1" sqref="H495:K495">
      <formula1>"CreateDoneAwayOrder,GetDailyCash,UpdateDailyCash,TradePTT,CreateDoneAwayOrderPTT,Unallocate,SelectUnallocatedGroup,EnterAllocatePreference,EnterAccountValuesToAllocate,CheckUnallocatedGroups,CheckAllocatedGroups,PricingInput,GetDataAllocation"</formula1>
    </dataValidation>
    <dataValidation type="list" allowBlank="1" sqref="H543:K543 H585:K585 H606:K606">
      <formula1>"CreateDoneAwayOrder,GetDailyCash,UpdateDailyCash,TradePTT,CreateDoneAwayOrderPTT,Unallocate,PricingInput,SelectUnallocatedGroup,EnterAllocatePreference,EnterAccountValuesToAllocate,CheckAllocatedGroups,CheckUnallocatedGroups,GetDataAllocation,GetDataClosi"&amp;"ng,VerifyLongPositionsGrid,VerifyShortPositionsGrid,GetActivityData"</formula1>
    </dataValidation>
    <dataValidation type="list" allowBlank="1" sqref="H365:K365 H381:K381">
      <formula1>"CreateDoneAwayOrder,GetDailyCash,UpdateDailyCash,SelectUnallocatedGroup,EnterAllocatePreference,EnterAccountValuesToAllocate,CheckAllocatedGroups,CheckUnallocatedGroups,GetDataAllocation,GetDataClosing,VerifyLongPositionsGrid,VerifyShortPositionsGrid,GetA"&amp;"ctivityData,VerifyActivity,CheckPortfolioManagement"</formula1>
    </dataValidation>
    <dataValidation type="list" allowBlank="1" sqref="F95 F319 F631">
      <formula1>"OpenTTFromPST,EnterDetailsOnTT,ValidateSymbolTT,VerifyDataTT,SetUIPreferencesTT,SetBrokerWisePreferencesTT,TradeNewSub,CreateStageOrder,CreateReplaceOrder,CreateReplaceOrder,SetGeneralPreference,CreateDoneAwayOrder,CreateNewSubOrder,TradeBloomberg,ClickSy"&amp;"mbolLookup,CheckedUncheckedMTT,,,,,,,,,,,,,,,,,,,,,,,,,,,,,,,,,,,,,,,,,,,,,,,,,,,,,,,,,,,,,,,,,,,,,,,,,,,,,,,,,,,,,,,,,,,,,,,,,,,,,,,,,,,,,,,,,,,,,,,,,,,,,,,,,,,,,,,,,,,,,,,,,,,,,,,,,,,,,,,,,,,,,,,,,,,,,,,,,,,,,,,,,,,,,,,,,,,,,,,,,,,,,,,,,,,,,,,,,,,,,,,,,"&amp;",,,,,,,,,,,,,,,,,,,,,,,,,,,,,,,,,,,,,,,,,,,,,,,,,,,,,,,,,,,,,,,,,,,,,,,,,,,,,,,,,,,,,,,,,,,,,,,,,,,,,,,,,,,,,,,,,,,,,,,,,,,,,,,,,,,,,,,,,,,,,,,,,,,,,,,,,,,,,,,,,,,,,,,,,,,,,,,,,,,,,,,,,,,,,,,,,,,,,,,,,,,,,,,,,,,,,,,,,,,,,,,,,,,,,,,,,,,,,,,,,,,,,,,,,,,,,,,"&amp;","</formula1>
    </dataValidation>
    <dataValidation type="list" allowBlank="1" sqref="H566:K566">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Data_conflict71871989,GetActivityData,CheckPortfolioManagement,Copy of Data 1_conflict186148169"</formula1>
    </dataValidation>
    <dataValidation type="list" allowBlank="1" sqref="H289:K289">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formula1>
    </dataValidation>
    <dataValidation type="list" allowBlank="1" sqref="F320:F321 F323:F324 F326:F327">
      <formula1>"ReplaceFillsOnBlotter,CheckBlotter,BlotterFunctionalities,TransferToUserWorkingSubs,CancelWorkingSubs,ReplaceWorkingSubs,ViewAllocationDetailsWorkingSubs,ShowDetailsForAlgoTradeSubOrder,SelectTradeOrderBlotter,AddFillsWorkingSubs,ShowDetailsForAlgoTradeWo"&amp;"rkingSubs,EditAddFillsDetails,SelectTradeOnOrderGrid,ViewAllocationDetailsWorkingSub,VerifyWorkingSubs,TransferToUserOrder,TransferToUserOrder,TransferToUserOrder,SelectTradeSubOrderBlotter,VerifyOrder,VerifySubOrder,RemoveSelectedOrders,CancelAllSelected"&amp;"Subs,MultiTradingTicket,AuditTrailOrderBlotter,TradeNewSubOrder,RemoveStageOrder,SelectTradeSubOrderBlotter,SelectTradeSubOrderBlotter,TransferToUserSubOrder,AddFillsSubOrder,DetailsForAlgoTradeOrder,ViewAllocationDetailsSubOrder,EditAddFillsDetails,ViewA"&amp;"llocationDetailsSubOrder,AddFillsSubOrder,CancelAllSubs,CancelSubOrder,EditStageOrder,ReplaceSubOrder,SelectTradeWorkingSub,SelectTradeWorkingSubsBlotter,VerifyAlgoDetails,VerifyTransferToUserOrder,VerifyTransferToUserSubOdr,VerifyTransferToUserWorkSub,Sa"&amp;"veLayoutOrderGrid,SaveLayoutOrderGrid,ReplaceStageOrder,MultiTradingTicketFromBlotter,,,,,,,,,,,,,,,,,,,,,,,,,,,,,,,,,,,,,,,,,,,,,,,,,,,,,,,,,,,,,,,,,,,,,,,,,,,,,,,,,,,,,,,,,,,,,,,,,,,,,,,,,,,,,,,,,,,,,,,,,,,,,,,,,,,,,,,,,,,,,,,,,,,,,,,,,,,,,,,,,,,,,,,,,,"&amp;",,,,,,,,,,,,,,,,,,,,,,,,,,,,,,,,,,,,,,,,,,,,,,,,,,,,,,,,,,,,,,,,,,,,,,,,,,,,,,,,,,,,,,,,,,,,,,,,,,,,,,,,,,,,,,,,,,,,,,,,,,,,,,,,,,,,,,,,,,,,,,,,,,,,,,,,,,,,,,,,,,,,,,,,,,,,,,,,,,,,,,,,,,,,,,,,,,,,,,,,,,,,,,,,,,,,,,,,,,,,,,,,,,,,,,,,,,,,,,,,,,,,,,,,,,,,,,,"&amp;",,,,,,,,,,,,,,,,,,,,,,"</formula1>
    </dataValidation>
    <dataValidation type="list" allowBlank="1" sqref="H520:K520 H541:K541 H562:K562 H583:K583 H604:K604 H625:K625">
      <formula1>"CreateDoneAwayOrder,GetDailyCash,UpdateDailyCash,TradePTT,CreateDoneAwayOrderPTT,Unallocate,PricingInput,SelectUnallocatedGroup,EnterAllocatePreference,EnterAccountValuesToAllocate,CheckAllocatedGroups,CheckUnallocatedGroups,GetDataAllocation,GetDataClosi"&amp;"ng,VerifyLongPositionsGrid"</formula1>
    </dataValidation>
    <dataValidation type="list" allowBlank="1" sqref="H521:K521">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Data_conflict331322650"</formula1>
    </dataValidation>
    <dataValidation type="list" allowBlank="1" sqref="H75:K75">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Data_conflict341880868,Copy of Data 1,Copy of Data 2"</formula1>
    </dataValidation>
    <dataValidation type="list" allowBlank="1" sqref="H393:K393 H433:K433 H454:K454">
      <formula1>"CreateDoneAwayOrder,GetDailyCash,UpdateDailyCash,TradePTT,CreateDoneAwayOrderPTT,Unallocate,SelectUnallocatedGroup,EnterAllocatePreference,EnterAccountValuesToAllocate,CheckAllocatedGroups,CheckUnallocatedGroups,PricingInput,GetDataAllocation"</formula1>
    </dataValidation>
    <dataValidation type="list" allowBlank="1" sqref="H133:K133">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formula1>
    </dataValidation>
    <dataValidation type="list" allowBlank="1" sqref="H498:K498">
      <formula1>"CreateDoneAwayOrder,GetDailyCash,UpdateDailyCash,TradePTT,CreateDoneAwayOrderPTT,Unallocate,SelectUnallocatedGroup,EnterAllocatePreference,EnterAccountValuesToAllocate,CheckUnallocatedGroups,CheckAllocatedGroups,PricingInput,GetDataAllocation,GetDataClosi"&amp;"ng"</formula1>
    </dataValidation>
    <dataValidation type="list" allowBlank="1" sqref="H73:K73">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formula1>
    </dataValidation>
    <dataValidation type="list" allowBlank="1" sqref="H124:K124">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Data_conflict399412700,Copy of Data 1,Copy of Data 2,Copy of Data 3"</formula1>
    </dataValidation>
    <dataValidation type="list" allowBlank="1" sqref="H287:K288">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formula1>
    </dataValidation>
    <dataValidation type="list" allowBlank="1" sqref="H399:K399 H440:K440 H461:K461">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formula1>
    </dataValidation>
    <dataValidation type="list" allowBlank="1" sqref="H637:K637">
      <formula1>"CreateDoneAwayOrder,SelectUnallocatedGroup,EnterAllocatePreference,Allocate,GetDataAllocation,CheckAllocatedGroups,CheckUnallocatedGroups"</formula1>
    </dataValidation>
    <dataValidation type="list" allowBlank="1" sqref="H274:K274">
      <formula1>"CreateDoneAwayOrder,SelectUnallocatedGroup,EnterAllocatePreference,EnterAccountValuesToAllocate,CheckAllocatedGroups,CheckUnallocatedGroups,GetDataAllocation,GetDataClosing,VerifyLongPositionsGrid,GetActivityData,VerifyShortPositionsGrid,Copy of Data_conf"&amp;"lict315191910,VerifyActivity"</formula1>
    </dataValidation>
    <dataValidation type="list" allowBlank="1" sqref="J297:K297">
      <formula1>"CreateDoneAwayOrder,SelectUnallocatedGroup,EnterAllocatePreference,EnterAccountValuesToAllocate,CheckAllocatedGroups,GetDataClosing,Copy of Data_conflict549399490,VerifyLongPositionsGrid,GetActivityData"</formula1>
    </dataValidation>
    <dataValidation type="list" allowBlank="1" sqref="H247:K247">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1,Copy of Data 2,Copy of Data 3,Copy of Data 4,Copy of Data 5,ModifyMFPrefGeneralRuleValues"</formula1>
    </dataValidation>
    <dataValidation type="list" allowBlank="1" sqref="H120:K120">
      <formula1>"AddCalculatedPreferences,SetAccountValueCalculatedPref,CreateDoneAwayOrder,SetGeneralPreferences,SelectUnallocatedGroup,EnterAccountValuesToAllocate,Allocate,EnterAllocatePreference,CheckAllocatedGroups,GetDataClosing,VerifyLongPositionsGrid,VerifyShortPo"&amp;"sitionsGrid,CheckPortfolioManagement,GetActivityData,VerifyActivity"</formula1>
    </dataValidation>
    <dataValidation type="list" allowBlank="1" sqref="H241:K241">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Da"&amp;"ta,Copy of Data 1,Copy of Data 2,Copy of Data 3,Copy of Data 4"</formula1>
    </dataValidation>
    <dataValidation type="list" allowBlank="1" sqref="H216:K216">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Copy of Data,Copy of Data 1"</formula1>
    </dataValidation>
    <dataValidation type="list" allowBlank="1" sqref="H219:K219">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Copy of Data,Copy of Data 1,Copy of Data 2,Copy of Data 3,Copy of Data 4"</formula1>
    </dataValidation>
    <dataValidation type="list" allowBlank="1" sqref="F6 F8:F22 F29 F31:F44 F51 F53:F65 F72 F74:F85 F92 F96:F106 H109 F109:F110 F112:F113 F120 H127 F122:F139 F146 F148:F162 F169 F171:F184 F191 F193:F207 F214 F216:F229 F236 F238:F256 F262 F264:F280 F286 F288:F303 F310 F312:F318 F322 F325 F328 F333:F345 F366 F382 F401 F421 F442 F463 F483 F504 F525 F546 F567 F588 F609 F630">
      <formula1>"Allocate,Unallocate,GetDataAllocation,SelectTradeAllocation,EditTradesAllocated,EditTradesUnallocated,Reallocate,CleanUp,EditTrades,TradeAttributeBulkChange,CommissionBulkChange,GeneralPreferencesDefaultRule,AttributeRenaming,AutoGroupingRules,MasterFundR"&amp;"atioAllocation,CheckFixedPreferenceScheme,GetFixedScheme,AddCalculatedPreferences,BulkChangeCalculatedPreferences,DeleteCalculatedPreferences,RenameCalculatedPreferences,CopyCalculatedPreferences,RunAutoGroup,SwapControl,RunProrata,SetDefaultRuleForCalcul"&amp;"atedPreference,RenameTradeAttributes,SetAccountValueCalculatedPref,TradeAttributeBulkChange,TradeAttributeBulkChangeGroup,TradeAttributeBulkChangeTaxlots,TradeAttributeBulkChangeGroups,SetMasterFundRatio,AddCalculatedPreferenceToolbar,SetGroupingRules,App"&amp;"lyBulkUpdateOnGroups,SetStrategyValueCalculatedPref,ApplyBulkUpdateOnTaxlots,SetDefaultRuleCalculatedPref,CommissionBulkChangeOnGroups,CommissionBulkChangeOnTaxlots,BookOrUpdateSwap,SelectUnallocatedGroup,SelectAllocatedGroup,EnterAccountValuesToAllocate,"&amp;"ApplyPrefetchFilters,EnterStrategyValuesToAllocate,SetGeneralRuleCalculatedPref,CopyCalculatedPreferenceToolbar,EnterAllocatePreference,ExportAllCalculatedPreferences,SaveCalculatedPreferences,CloseCalculatedPreferences,ExportCalculatedPreference,EditUnal"&amp;"locatedGroupSidePanel,ImportCalculatedPreferences,OpenAuditTrailUnallocatedGroup,DeleteCalculatedPreferencesTool,ImportCalculatedPreferencesTool,ExportAllCalculatedPreferTool,CheckFixedPreference,DeleteFixedPreference,OpenSymbolLookupUnallocateGroup,OpenS"&amp;"ymbolLookupAllocatedGroup,GetFixedPreference,CheckAllocatedGroups,CheckUnallocatedGroups,SetGeneralPreferences,EditAllocatedGroupSidePanel,OpenAuditTrailAllocatedGroup,GroupTrades,UngroupTrades,DeleteGroup,CloseOrder,Unallocate,CloseAllocation,GeneralPref"&amp;"CompanyUserWise,SetGeneralRuleCalPreference,UpdateGRAccountValue,UpdateGRStrategyValue,UpdateGRDefaultRule,UpdateGeneralRulePref,ModifyGRPreferenceValues,AddMFPreferences,AddMFPreferenceToolbar,DeleteMFPreferences,DeleteMFPreferenceToolbar,RenameMFPrefere"&amp;"nces,SaveCloseMFPreference,SetMFPrefAccountValues,ModifyMFPrefGeneralRuleValues,SetMFPrefStrategyValues,SetMFPrefFundDistribution,SetMFPreferencesDefaultRule,SetMFPrefGeneralRule,SetMFPrefFundDefaultRule,ClearPrefetchFilters,ExpandCollapseAllUnallocated,E"&amp;"xpandCollapseAllAllocated,GenerateCashTransaction,SaveAllocation,UnallocateWithOutSave,,,,,,,,,,,,,,,,,,,,,,,,,,,,,,,,,,,,,,,,,,,,,,,,,,,,,,,,,,,,,,,,,,,,,,,,,,,,,,,,,,,,,,,,,,,,,,,,,,,,,,,,,,,,,,,,,,,,,,,,,,,,,,,,,,,,,,,,,,,,,,,,,,,,,,,,,,,,,,,,,,,,,,,,,"&amp;",,,,,,,,,,,,,,,,,,,,,,,,,,,,,,,,,,,,,,,,,,,,,,,,,,,,,,,,,,,,,,,,,,,,,,,,,,,,,,,,,,,,,,,,,,,,,,,,,,,,,,,,,,,,,,,,,,,,,,,,,,,,,,,,,,,,,,,,,,,,,,,,,,,,,,,,,,,,,,,,,,,,,,,,,,,,,,,,,,,,,,,,,,,,,,,,,,,,,,,,,,,,,,,,,,,,,,,,,,,,,,,,,,"</formula1>
    </dataValidation>
    <dataValidation type="list" allowBlank="1" sqref="H269:K269">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Data_confli"&amp;"ct833179971,Copy of Data 1,Copy of Data 2,Copy of Data 3,Copy of Data 4"</formula1>
    </dataValidation>
    <dataValidation type="list" allowBlank="1" sqref="H556:K556 H581:K581">
      <formula1>"CreateDoneAwayOrder,GetDailyCash,UpdateDailyCash,TradePTT,CreateDoneAwayOrderPTT,Unallocate,PricingInput,SelectUnallocatedGroup,EnterAllocatePreference,EnterAccountValuesToAllocate,CheckAllocatedGroups,CheckUnallocatedGroups"</formula1>
    </dataValidation>
    <dataValidation type="list" allowBlank="1" sqref="H291:K291">
      <formula1>"CreateDoneAwayOrder,SetGeneralPreferences,AddMFPreferences,SetMFPreferencesDefaultRule,SetMFPrefFundDistribution,SetMFPrefFundDefaultRule,SetMFPrefAccountValues,SetMFPrefFundDefaultRule1,SetMFPrefAccountValues1,SetMFPrefGeneralRule,UpdateGRAccountValue,Se"&amp;"lectUnallocatedGroup,EnterAllocatePreference,GetDataAllocation,CheckAllocatedGroups,VerifyLongPositionsGrid,GetDataClosing,VerifyShortPositionsGrid,CheckPortfolioManagement,GetActivityData,VerifyActivity,Copy of Data,Copy of Data 1,Copy of Data 2,Copy of "&amp;"Data 3,Copy of Data 4,Copy of Data 5"</formula1>
    </dataValidation>
    <dataValidation type="list" allowBlank="1" sqref="H522:K522">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Data_conflict331322650,GetActivityData"</formula1>
    </dataValidation>
    <dataValidation type="list" allowBlank="1" sqref="H400:K400 H441:K441 H462:K462">
      <formula1>"CreateDoneAwayOrder,GetDailyCash,UpdateDailyCash,TradePTT,CreateDoneAwayOrderPTT,Unallocate,SelectUnallocatedGroup,EnterAllocatePreference,EnterAccountValuesToAllocate,CheckAllocatedGroups,CheckUnallocatedGroups,PricingInput,GetDataAllocation,GetDataClosi"&amp;"ng,VerifyLongPositionsGrid,VerifyShortPositionsGrid,GetActivityData,VerifyActivity,CheckPortfolioManagement"</formula1>
    </dataValidation>
    <dataValidation type="list" allowBlank="1" sqref="H636:K636">
      <formula1>"CreateDoneAwayOrder,SelectUnallocatedGroup,EnterAllocatePreference,Allocate,GetDataAllocation,CheckAllocatedGroups"</formula1>
    </dataValidation>
    <dataValidation type="list" allowBlank="1" sqref="F7 F30 F52 F73 F121 F147 F170 F192 F215 F237 F263 F287">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H266:K266">
      <formula1>"CreateDoneAwayOrder,SetGeneralPreferences,AddMFPreferences,SetMFPreferencesDefaultRule,SetMFPrefFundDistribution,SetMFPrefFundDefaultRule,SetMFPrefAccountValues,SetMFPrefFundDefaultRule1,SetMFPrefAccountValues1,SetMFPrefGeneralRule,UpdateGRAccountValue,Up"&amp;"dateGRDefaultRule,SelectUnallocatedGroup,EnterAllocatePreference,GetDataAllocation,CheckAllocatedGroups,CheckUnallocatedGroups,GetDataClosing,VerifyShortPositionsGrid,CheckPortfolioManagement,GetActivityData,VerifyActivity,Copy of Data,Copy of Data_confli"&amp;"ct833179971,Copy of Data 1"</formula1>
    </dataValidation>
    <dataValidation type="list" allowBlank="1" sqref="H524:K524">
      <formula1>"CreateDoneAwayOrder,GetDailyCash,UpdateDailyCash,TradePTT,CreateDoneAwayOrderPTT,Unallocate,PricingInput,SelectUnallocatedGroup,EnterAllocatePreference,EnterAccountValuesToAllocate,CheckAllocatedGroups,CheckUnallocatedGroups,GetDataAllocation,GetDataClosi"&amp;"ng,VerifyShortPositionsGrid,Copy of Data_conflict331322650,GetActivityData,VerifyActivity,CheckPortfolioManagement"</formula1>
    </dataValidation>
    <dataValidation type="list" allowBlank="1" sqref="H633:K633">
      <formula1>"CreateDoneAwayOrder,SelectUnallocatedGroup,EnterAllocatePreference"</formula1>
    </dataValidation>
    <dataValidation type="list" allowBlank="1" sqref="H310:K310 H318:K318 H643:K643">
      <formula1>"UpdateServerConfig"</formula1>
    </dataValidation>
    <dataValidation type="list" allowBlank="1" sqref="H74:K74">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GetActivityData,VerifyActivity,CheckPortfolioManagement,CheckUnallocatedGroups,Copy of Data,Copy of Data_conflict341880868,Copy of Data 1"</formula1>
    </dataValidation>
    <dataValidation type="list" allowBlank="1" sqref="H479:K479">
      <formula1>"CreateDoneAwayOrder,GetDailyCash,UpdateDailyCash,TradePTT,CreateDoneAwayOrderPTT,Unallocate,SelectUnallocatedGroup,EnterAllocatePreference,EnterAccountValuesToAllocate,CheckAllocatedGroups,PricingInput,GetDataAllocation,GetDataClosing,VerifyLongPositionsG"&amp;"rid,VerifyShortPositionsGrid"</formula1>
    </dataValidation>
    <dataValidation type="list" allowBlank="1" sqref="H312:K312">
      <formula1>"CreateDoneAwayOrder,SetGeneralPreferences,AddMFPreferences,SetMFPreferencesDefaultRule,SetMFPrefFundDefaultRule,SetMFPrefAccountValues,SetMFPrefFundDefaultRule1,SetMFPrefAccountValues1,AddFillsWorkingSubs,CheckUnallocatedGroups,CheckUnallocatedGroups1,Che"&amp;"ckAllocatedGroups,GetDataClosing,VerifyLongPositionsGrid,VerifyShortPositionsGrid,EditAddFillsDetails,EditAddFillsDetails1,EditAddFillsDetails2,Copy of Data,Copy of Data_conflict850769382,Copy of Data 1"</formula1>
    </dataValidation>
    <dataValidation type="list" allowBlank="1" sqref="H237:K237">
      <formula1>"CreateDoneAwayOrder,SetGeneralPreferences,AddMFPreferences,SetMFPreferencesDefaultRule,SetMFPrefFundDistribution,SetMFPrefFundDefaultRule,SetMFPrefAccountValues,SetMFPrefFundDefaultRule1,SetMFPrefAccountValues1,SetMFPrefGeneralRule,SetMFPrefGeneralRule1,S"&amp;"electUnallocatedGroup,EnterAllocatePreference,GetDataAllocation,CheckAllocatedGroups,GetDataClosing,VerifyShortPositionsGrid,CheckPortfolioManagement,GetActivityData,VerifyActivity,UpdateGRDefaultRule,UpdateGRDefaultRule1,CheckUnallocatedGroups,Copy of Da"&amp;"ta"</formula1>
    </dataValidation>
    <dataValidation type="list" allowBlank="1" sqref="H347:K347">
      <formula1>"CreateDoneAwayOrder,GetDailyCash,UpdateDailyCash,SelectUnallocatedGroup,EnterAllocatePreference,EnterAccountValuesToAllocate,CheckAllocatedGroups,CheckUnallocatedGroups,GetDataAllocation,GetDataClosing,GetActivityData"</formula1>
    </dataValidation>
    <dataValidation type="list" allowBlank="1" sqref="H417:K417">
      <formula1>"CreateDoneAwayOrder,GetDailyCash,UpdateDailyCash,TradePTT,CreateDoneAwayOrderPTT,SelectUnallocatedGroup,EnterAllocatePreference,EnterAccountValuesToAllocate,CheckAllocatedGroups,CheckUnallocatedGroups,PricingInput,Unallocate,GetDataAllocation,GetDataClosi"&amp;"ng,VerifyLongPositionsGrid"</formula1>
    </dataValidation>
    <dataValidation type="list" allowBlank="1" sqref="H363:K363 H379:K379">
      <formula1>"CreateDoneAwayOrder,GetDailyCash,UpdateDailyCash,SelectUnallocatedGroup,EnterAllocatePreference,EnterAccountValuesToAllocate,CheckAllocatedGroups,CheckUnallocatedGroups,GetDataAllocation,GetDataClosing,VerifyLongPositionsGrid,VerifyShortPositionsGrid,GetA"&amp;"ctivityData"</formula1>
    </dataValidation>
    <dataValidation type="list" allowBlank="1" sqref="H100:K102 H104:K105 H107:K107">
      <formula1>"GetDailyCash,UpdateDailyCash,CreateDoneAwayOrder,SetGeneralPreferences,SetMFPreferencesDefaultRule,AddMFPreferences,SetMFPrefFundDefaultRule,SetMFPrefFundDefaultRule1,SetMFPrefAccountValues,SetMFPrefAccountValues1,SelectUnallocatedGroup,EnterAllocatePrefe"&amp;"rence,UpdateDailyCash1,GetDataAllocation,CheckAllocatedGroups,GetDataClosing,VerifyLongPositionsGrid,VerifyShortPositionsGrid,CheckPortfolioManagement,GetActivityData,VerifyActivity,SelectUnallocatedGroup1,Copy of Data,Copy of Data_conflict713781241,Copy "&amp;"of Data 1,Copy of Data 2,Copy of Data 3,Copy of Data 4,Copy of Data 5,Copy of Data 6"</formula1>
    </dataValidation>
    <dataValidation type="list" allowBlank="1" sqref="H131:K132">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Copy of"&amp;" Data,Copy of Data_conflict399412700,Copy of Data 1,Copy of Data 2,Copy of Data 3,Copy of Data 4,Copy of Data 5,Copy of Data 6,ModifyMFPrefGeneralRuleValues"</formula1>
    </dataValidation>
    <dataValidation type="list" allowBlank="1" sqref="H215:K215">
      <formula1>"CreateDoneAwayOrder,SetGeneralPreferences,AddMFPreferences,SetMFPreferencesDefaultRule,SetMFPrefFundDefaultRule,SetMFPrefAccountValues,SelectUnallocatedGroup,EnterAllocatePreference,GetDataAllocation,CheckAllocatedGroups,GetDataClosing,VerifyLongPositions"&amp;"Grid,VerifyShortPositionsGrid,CheckPortfolioManagement,GetActivityData,VerifyActivity,SetMFPrefFundDefaultRule1,SetMFPrefAccountValues1,CheckUnallocatedGroups,Copy of Data"</formula1>
    </dataValidation>
    <dataValidation type="list" allowBlank="1" sqref="H345:K345">
      <formula1>"CreateDoneAwayOrder,GetDailyCash,UpdateDailyCash,SelectUnallocatedGroup,EnterAllocatePreference,EnterAccountValuesToAllocate,CheckAllocatedGroups,CheckUnallocatedGroups,GetDataAllocation,GetDataClosing,GetActivityData,VerifyActivity,CheckPortfolioManageme"&amp;"nt,VerifyLongPositionsGrid"</formula1>
    </dataValidation>
    <dataValidation type="list" allowBlank="1" sqref="F27:F28 F49:F50 F70:F71 F90:F91 F118:F119 F144:F145 F167:F168 F189:F190 F212:F213 H213 F234:F235 F260:F261 F284:F285 F308:F309 F350:F351 F363:F364 F398:F399 F418:F419 F439:F440 F460:F461 F480:F481 F501:F502 F522:F523 F543:F544 F564:F565 F585:F586 F606:F607 F627:F628 H627:H628 F641:F642">
      <formula1>"GetDataCash,EnterCashDividends,EnterNonTradingTransaction,VerifyCash,VerifyActivityTabData,VerifyTradingTransactionData,VerifyActivityTabData,VerifyTradingTransactionData,GetTransactionData,GetTradingTransaction,GetActivityData,VerifyTradingTransaction,Ge"&amp;"tRevaluationData,VerifyActivity,GetAccountDetails,GetAccountDetails,GetNonTradingTransactio,GetNonTradingTransaction,GetDividendData,VerifyNonTradingTransaction,VerifyNonTradingTransaction,VerifyRevaluationData,VerifyDividend,GetOpeningBalance,GetOpeningB"&amp;"alanceData,GetAccountBalance,SelectNonTradingTransaction,SelectNonTradingTranItem,DeleteNonTradingTransaction,DeleteNonTradingTranItem,AddNonTradingTransaction,AddNonTradingTranItem,VerifyOpeningBalance,VerifyOpeningBalanceData,SelectOpeningBalanceTransac"&amp;"tion,SelectOpeningBalanceTransaction,SelectOpeningBalanceTransaction,SelectOpeningBalanceTransaction,SelectOpeningBalanceTranItem,EditNonTradingTransaction,EditNonTradingTransaction,EditNonTradingTranItem,DeleteOpeningBalanceTransaction,DeleteOpeningBalan"&amp;"ceTransaction,DeleteOpeningBalanceTranItem,GetDayEndCash,CalculateDayEndCash,VerifyDayEndCash,RunRevaluation,CalculateDayEndCash,GetCashTransaction,SelectCashTransaction,DeleteCashTransaction,EditCashTransaction,AddCashTransaction,AddOpeningBalanceTransac"&amp;"tion,AddOpeningBalanceTranItem,GetDailyCalculationsData,CalculateDailyCalculations,EditNonTradingTransaction,EditOpeningBalanceTranItem,EditOpeningBalanceTransaction,VerifyDailyCalTransactions,CloseGeneralLedger,VerifyAccountDetails,,,,,,,,,,,,,,,,,,,,,,,"&amp;",,,,,,,,,,,,,,,,,,,,,,,,,,,,,,,,,,,,,,,,,,,,,,,,,,,,,,,,,,,,,,,,,,,,,,,,,,,,,,,,,,,,,,,,,,,,,,,,,,,,,,,,,,,,,,,,,,,,,,,,,,,,,,,,,,,,,,,,,,,,,,,,,,,,,,,,,,,,,,,,,,,,,,,,,,,,,,,,,,,,,,,,,,,,,,,,,,,,,,,,,,,,,,,,,,,,,,,,,,,,,,,,,,,,,,,,,,,,,,,,,,,,,,,,,,,,,,,"&amp;",,,,,,,,,,,,,,,,,,,,,,,,,,,,,,,,,,,,,,,,,,,,,,,,,,,,,,,,,,,,,,,,,,,,,,,,,,,,,,,,,,,,,,,,,,,,,,,,,,,,,,,,,,,,,,,,,,,,,,,,,,,,,,,,,,,,,,,,,,,,,,,,,,,,,,,,,,"</formula1>
    </dataValidation>
    <dataValidation type="list" allowBlank="1" sqref="H135:K136 H138:K145">
      <formula1>"CreateDoneAwayOrder,SetGeneralPreferences,AddMFPreferences,SetMFPreferencesDefaultRule,SetMFPrefFundDistribution,SetMFPrefFundDefaultRule,SetMFPrefAccountValues,SetMFPrefFundDefaultRule1,SelectUnallocatedGroup,EnterAllocatePreference,GetDataAllocation,Che"&amp;"ckAllocatedGroups,GetDataClosing,VerifyLongPositionsGrid,VerifyShortPositionsGrid,SetMFPrefAccountValues1,CheckPortfolioManagement,GetActivityData,VerifyActivity,SetMFPrefGeneralRule,SetMFPrefGeneralRule1,UpdateGRAccountValue,UpdateGRAccountValue1,SelectA"&amp;"llocatedGroup_conflict476056774,SelectAllocatedGroup"</formula1>
    </dataValidation>
  </dataValidations>
  <hyperlinks>
    <hyperlink r:id="rId1" location="gid=931977643" ref="G7"/>
    <hyperlink r:id="rId2" location="gid=1221210008" ref="G8"/>
    <hyperlink r:id="rId3" location="gid=1655692123" ref="G9"/>
    <hyperlink r:id="rId4" location="gid=2064782201" ref="G10"/>
    <hyperlink r:id="rId5" location="gid=903172011" ref="G11"/>
    <hyperlink r:id="rId6" location="gid=1400542756" ref="G12"/>
    <hyperlink r:id="rId7" location="gid=1384188354" ref="G13"/>
    <hyperlink r:id="rId8" location="gid=1395068187" ref="G14"/>
    <hyperlink r:id="rId9" location="gid=728976984" ref="G15"/>
    <hyperlink r:id="rId10" location="gid=355413529" ref="G17"/>
    <hyperlink r:id="rId11" location="gid=1200008854" ref="G18"/>
    <hyperlink r:id="rId12" location="gid=895544939" ref="G20"/>
    <hyperlink r:id="rId13" location="gid=804571926" ref="G21"/>
    <hyperlink r:id="rId14" location="gid=2034006066" ref="G22"/>
    <hyperlink r:id="rId15" location="gid=443107934" ref="G23"/>
    <hyperlink r:id="rId16" location="gid=684343174" ref="G24"/>
    <hyperlink r:id="rId17" location="gid=1876947928" ref="G25"/>
    <hyperlink r:id="rId18" location="gid=332915220" ref="G26"/>
    <hyperlink r:id="rId19" location="gid=252694597" ref="G27"/>
    <hyperlink r:id="rId20" location="gid=1914530015" ref="G28"/>
    <hyperlink r:id="rId21" location="gid=83366934" ref="G30"/>
    <hyperlink r:id="rId22" location="gid=1914924556" ref="G31"/>
    <hyperlink r:id="rId23" location="gid=1552960153" ref="G32"/>
    <hyperlink r:id="rId24" location="gid=423991118" ref="G33"/>
    <hyperlink r:id="rId25" location="gid=806632422" ref="G34"/>
    <hyperlink r:id="rId26" location="gid=1609701473" ref="G35"/>
    <hyperlink r:id="rId27" location="gid=1458383983" ref="G36"/>
    <hyperlink r:id="rId28" location="gid=1215472645" ref="G37"/>
    <hyperlink r:id="rId29" location="gid=1926419417" ref="G38"/>
    <hyperlink r:id="rId30" location="gid=586238843" ref="G40"/>
    <hyperlink r:id="rId31" location="gid=661980260" ref="G41"/>
    <hyperlink r:id="rId32" location="gid=1474236184" ref="G43"/>
    <hyperlink r:id="rId33" location="gid=1626785563" ref="G44"/>
    <hyperlink r:id="rId34" location="gid=1518433855" ref="G45"/>
    <hyperlink r:id="rId35" location="gid=1291074660" ref="G46"/>
    <hyperlink r:id="rId36" location="gid=970939433" ref="G47"/>
    <hyperlink r:id="rId37" location="gid=1063086669" ref="G48"/>
    <hyperlink r:id="rId38" location="gid=1357336185" ref="G49"/>
    <hyperlink r:id="rId39" location="gid=1329560481" ref="G50"/>
    <hyperlink r:id="rId40" location="gid=553612915" ref="G52"/>
    <hyperlink r:id="rId41" location="gid=1315460306" ref="G53"/>
    <hyperlink r:id="rId42" location="gid=651299742" ref="G54"/>
    <hyperlink r:id="rId43" location="gid=920238389" ref="G55"/>
    <hyperlink r:id="rId44" location="gid=1182170765" ref="G56"/>
    <hyperlink r:id="rId45" location="gid=1653624287" ref="G57"/>
    <hyperlink r:id="rId46" location="gid=47902097" ref="G58"/>
    <hyperlink r:id="rId47" location="gid=1869400848" ref="G59"/>
    <hyperlink r:id="rId48" location="gid=1308601265" ref="G61"/>
    <hyperlink r:id="rId49" location="gid=52121471" ref="G62"/>
    <hyperlink r:id="rId50" location="gid=646647810" ref="G64"/>
    <hyperlink r:id="rId51" location="gid=1425234241" ref="G65"/>
    <hyperlink r:id="rId52" location="gid=1814812158" ref="G66"/>
    <hyperlink r:id="rId53" location="gid=1282364445" ref="G67"/>
    <hyperlink r:id="rId54" location="gid=1565077116" ref="G68"/>
    <hyperlink r:id="rId55" location="gid=1717075176" ref="G69"/>
    <hyperlink r:id="rId56" location="gid=366814028" ref="G70"/>
    <hyperlink r:id="rId57" location="gid=2114465626" ref="G71"/>
    <hyperlink r:id="rId58" location="gid=1657776117" ref="G73"/>
    <hyperlink r:id="rId59" location="gid=289581479" ref="G74"/>
    <hyperlink r:id="rId60" location="gid=779111416" ref="G75"/>
    <hyperlink r:id="rId61" location="gid=1907873383" ref="G76"/>
    <hyperlink r:id="rId62" location="gid=1226180189" ref="G77"/>
    <hyperlink r:id="rId63" location="gid=1756604409" ref="G78"/>
    <hyperlink r:id="rId64" location="gid=733791229" ref="G80"/>
    <hyperlink r:id="rId65" location="gid=1077914220" ref="G81"/>
    <hyperlink r:id="rId66" location="gid=1765872621" ref="G83"/>
    <hyperlink r:id="rId67" location="gid=1097561638" ref="G84"/>
    <hyperlink r:id="rId68" location="gid=1725634573" ref="G85"/>
    <hyperlink r:id="rId69" location="gid=1535283333" ref="G86"/>
    <hyperlink r:id="rId70" location="gid=1941742842" ref="G87"/>
    <hyperlink r:id="rId71" location="gid=985018470" ref="G88"/>
    <hyperlink r:id="rId72" location="gid=880900787" ref="G89"/>
    <hyperlink r:id="rId73" location="gid=162571853" ref="G90"/>
    <hyperlink r:id="rId74" location="gid=28215975" ref="G91"/>
    <hyperlink r:id="rId75" location="gid=942032080" ref="G93"/>
    <hyperlink r:id="rId76" location="gid=2134868502" ref="G94"/>
    <hyperlink r:id="rId77" location="gid=3213686" ref="G95"/>
    <hyperlink r:id="rId78" location="gid=283491738" ref="G96"/>
    <hyperlink r:id="rId79" location="gid=430316730" ref="G97"/>
    <hyperlink r:id="rId80" location="gid=854908202" ref="G98"/>
    <hyperlink r:id="rId81" location="gid=1710720749" ref="G99"/>
    <hyperlink r:id="rId82" location="gid=1919789122" ref="G100"/>
    <hyperlink r:id="rId83" location="gid=1813796430" ref="G101"/>
    <hyperlink r:id="rId84" location="gid=622345332" ref="G102"/>
    <hyperlink r:id="rId85" location="gid=1383476354" ref="G104"/>
    <hyperlink r:id="rId86" location="gid=502670903" ref="G105"/>
    <hyperlink r:id="rId87" location="gid=942032080" ref="G107"/>
    <hyperlink r:id="rId88" location="gid=9978253" ref="G108"/>
    <hyperlink r:id="rId89" location="gid=1084891922" ref="G109"/>
    <hyperlink r:id="rId90" location="gid=502670903" ref="G110"/>
    <hyperlink r:id="rId91" location="gid=346396529" ref="G112"/>
    <hyperlink r:id="rId92" location="gid=1699930925" ref="G113"/>
    <hyperlink r:id="rId93" location="gid=1584853281" ref="G114"/>
    <hyperlink r:id="rId94" location="gid=1237382197" ref="G115"/>
    <hyperlink r:id="rId95" location="gid=966225552" ref="G116"/>
    <hyperlink r:id="rId96" location="gid=182225908" ref="G117"/>
    <hyperlink r:id="rId97" location="gid=1346335023" ref="G118"/>
    <hyperlink r:id="rId98" location="gid=419050283" ref="G119"/>
    <hyperlink r:id="rId99" location="gid=1108783006" ref="G121"/>
    <hyperlink r:id="rId100" location="gid=32575284" ref="G122"/>
    <hyperlink r:id="rId101" location="gid=2277340" ref="G123"/>
    <hyperlink r:id="rId102" location="gid=971026806" ref="G124"/>
    <hyperlink r:id="rId103" location="gid=1876209295" ref="G125"/>
    <hyperlink r:id="rId104" location="gid=1032527705" ref="G126"/>
    <hyperlink r:id="rId105" location="gid=602076582" ref="G127"/>
    <hyperlink r:id="rId106" location="gid=2043557104" ref="G128"/>
    <hyperlink r:id="rId107" location="gid=184264098" ref="G129"/>
    <hyperlink r:id="rId108" location="gid=1280995877" ref="G130"/>
    <hyperlink r:id="rId109" location="gid=700243386" ref="G131"/>
    <hyperlink r:id="rId110" location="gid=68851133" ref="G132"/>
    <hyperlink r:id="rId111" location="gid=1174546752" ref="G133"/>
    <hyperlink r:id="rId112" location="gid=545941917" ref="G135"/>
    <hyperlink r:id="rId113" location="gid=1535485435" ref="G136"/>
    <hyperlink r:id="rId114" location="gid=1706311222" ref="G138"/>
    <hyperlink r:id="rId115" location="gid=1237106737" ref="G139"/>
    <hyperlink r:id="rId116" location="gid=2040309856" ref="G140"/>
    <hyperlink r:id="rId117" location="gid=1593151894" ref="G141"/>
    <hyperlink r:id="rId118" location="gid=791606359" ref="G142"/>
    <hyperlink r:id="rId119" location="gid=1531711330" ref="G143"/>
    <hyperlink r:id="rId120" location="gid=1832617562" ref="G144"/>
    <hyperlink r:id="rId121" location="gid=648261834" ref="G145"/>
    <hyperlink r:id="rId122" location="gid=1394461961" ref="G147"/>
    <hyperlink r:id="rId123" location="gid=530440404" ref="G148"/>
    <hyperlink r:id="rId124" location="gid=162647481" ref="G149"/>
    <hyperlink r:id="rId125" location="gid=665075395" ref="G150"/>
    <hyperlink r:id="rId126" location="gid=292067206" ref="G151"/>
    <hyperlink r:id="rId127" location="gid=676362111" ref="G152"/>
    <hyperlink r:id="rId128" location="gid=237866754" ref="G153"/>
    <hyperlink r:id="rId129" location="gid=836553269" ref="G154"/>
    <hyperlink r:id="rId130" location="gid=606898054" ref="G155"/>
    <hyperlink r:id="rId131" location="gid=1224650196" ref="G157"/>
    <hyperlink r:id="rId132" location="gid=2002613967" ref="G158"/>
    <hyperlink r:id="rId133" location="gid=574088288" ref="G160"/>
    <hyperlink r:id="rId134" location="gid=309976036" ref="G161"/>
    <hyperlink r:id="rId135" location="gid=59971744" ref="G162"/>
    <hyperlink r:id="rId136" location="gid=1193617199" ref="G163"/>
    <hyperlink r:id="rId137" location="gid=1246686860" ref="G164"/>
    <hyperlink r:id="rId138" location="gid=1018112812" ref="G165"/>
    <hyperlink r:id="rId139" location="gid=894438115" ref="G166"/>
    <hyperlink r:id="rId140" location="gid=1524161599" ref="G167"/>
    <hyperlink r:id="rId141" location="gid=240259503" ref="G168"/>
    <hyperlink r:id="rId142" location="gid=1687023375" ref="G170"/>
    <hyperlink r:id="rId143" location="gid=1808213390" ref="G171"/>
    <hyperlink r:id="rId144" location="gid=1527144882" ref="G172"/>
    <hyperlink r:id="rId145" location="gid=504880367" ref="G173"/>
    <hyperlink r:id="rId146" location="gid=1019706740" ref="G174"/>
    <hyperlink r:id="rId147" location="gid=256643315" ref="G175"/>
    <hyperlink r:id="rId148" location="gid=1509955539" ref="G176"/>
    <hyperlink r:id="rId149" location="gid=1430694164" ref="G177"/>
    <hyperlink r:id="rId150" location="gid=1134163940" ref="G178"/>
    <hyperlink r:id="rId151" location="gid=978897513" ref="G180"/>
    <hyperlink r:id="rId152" location="gid=1936206507" ref="G181"/>
    <hyperlink r:id="rId153" location="gid=829895629" ref="G183"/>
    <hyperlink r:id="rId154" location="gid=925810574" ref="G184"/>
    <hyperlink r:id="rId155" location="gid=358176109" ref="G185"/>
    <hyperlink r:id="rId156" location="gid=420409868" ref="G186"/>
    <hyperlink r:id="rId157" location="gid=1057025906" ref="G187"/>
    <hyperlink r:id="rId158" location="gid=2112279250" ref="G188"/>
    <hyperlink r:id="rId159" location="gid=379393010" ref="G189"/>
    <hyperlink r:id="rId160" location="gid=898033430" ref="G190"/>
    <hyperlink r:id="rId161" location="gid=602498557" ref="G192"/>
    <hyperlink r:id="rId162" location="gid=482432706" ref="G193"/>
    <hyperlink r:id="rId163" location="gid=1730194960" ref="G194"/>
    <hyperlink r:id="rId164" location="gid=453025607" ref="G195"/>
    <hyperlink r:id="rId165" location="gid=349280118" ref="G196"/>
    <hyperlink r:id="rId166" location="gid=496124346" ref="G197"/>
    <hyperlink r:id="rId167" location="gid=1295740922" ref="G198"/>
    <hyperlink r:id="rId168" location="gid=2006243759" ref="G199"/>
    <hyperlink r:id="rId169" location="gid=1122206331" ref="G200"/>
    <hyperlink r:id="rId170" location="gid=545647634" ref="G202"/>
    <hyperlink r:id="rId171" location="gid=149642835" ref="G203"/>
    <hyperlink r:id="rId172" location="gid=1724529759" ref="G205"/>
    <hyperlink r:id="rId173" location="gid=1442633287" ref="G206"/>
    <hyperlink r:id="rId174" location="gid=1711397854" ref="G207"/>
    <hyperlink r:id="rId175" location="gid=366029914" ref="G208"/>
    <hyperlink r:id="rId176" location="gid=121858000" ref="G209"/>
    <hyperlink r:id="rId177" location="gid=890748794" ref="G210"/>
    <hyperlink r:id="rId178" location="gid=854890791" ref="G211"/>
    <hyperlink r:id="rId179" location="gid=208074267" ref="G212"/>
    <hyperlink r:id="rId180" location="gid=1047740291" ref="G213"/>
    <hyperlink r:id="rId181" location="gid=1007367394" ref="G215"/>
    <hyperlink r:id="rId182" location="gid=265219675" ref="G216"/>
    <hyperlink r:id="rId183" location="gid=1824815873" ref="G217"/>
    <hyperlink r:id="rId184" location="gid=1338237397" ref="G218"/>
    <hyperlink r:id="rId185" location="gid=1258877831" ref="G219"/>
    <hyperlink r:id="rId186" location="gid=664661328" ref="G220"/>
    <hyperlink r:id="rId187" location="gid=1990943101" ref="G221"/>
    <hyperlink r:id="rId188" location="gid=1977281217" ref="G222"/>
    <hyperlink r:id="rId189" location="gid=1094619085" ref="G224"/>
    <hyperlink r:id="rId190" location="gid=1519666620" ref="G225"/>
    <hyperlink r:id="rId191" location="gid=1575727605" ref="G227"/>
    <hyperlink r:id="rId192" location="gid=1540992092" ref="G228"/>
    <hyperlink r:id="rId193" location="gid=2069428996" ref="G229"/>
    <hyperlink r:id="rId194" location="gid=1640643891" ref="G230"/>
    <hyperlink r:id="rId195" location="gid=639487422" ref="G231"/>
    <hyperlink r:id="rId196" location="gid=188154867" ref="G232"/>
    <hyperlink r:id="rId197" location="gid=759215709" ref="G233"/>
    <hyperlink r:id="rId198" location="gid=66650429" ref="G234"/>
    <hyperlink r:id="rId199" location="gid=588810958" ref="G235"/>
    <hyperlink r:id="rId200" location="gid=2100562103" ref="G237"/>
    <hyperlink r:id="rId201" location="gid=906898312" ref="G238"/>
    <hyperlink r:id="rId202" location="gid=58428112" ref="G239"/>
    <hyperlink r:id="rId203" location="gid=1900060806" ref="G240"/>
    <hyperlink r:id="rId204" location="gid=372069415" ref="G241"/>
    <hyperlink r:id="rId205" location="gid=405158107" ref="G242"/>
    <hyperlink r:id="rId206" location="gid=1000301875" ref="G243"/>
    <hyperlink r:id="rId207" location="gid=373140517" ref="G244"/>
    <hyperlink r:id="rId208" location="gid=1884738015" ref="G245"/>
    <hyperlink r:id="rId209" location="gid=305972035" ref="G246"/>
    <hyperlink r:id="rId210" location="gid=659717499" ref="G247"/>
    <hyperlink r:id="rId211" location="gid=2037630673" ref="G248"/>
    <hyperlink r:id="rId212" location="gid=1835091816" ref="G249"/>
    <hyperlink r:id="rId213" location="gid=1290629866" ref="G251"/>
    <hyperlink r:id="rId214" location="gid=1695417955" ref="G252"/>
    <hyperlink r:id="rId215" location="gid=313868948" ref="G254"/>
    <hyperlink r:id="rId216" location="gid=1808867098" ref="G255"/>
    <hyperlink r:id="rId217" location="gid=928306092" ref="G256"/>
    <hyperlink r:id="rId218" location="gid=559302570" ref="G257"/>
    <hyperlink r:id="rId219" location="gid=1194595873" ref="G258"/>
    <hyperlink r:id="rId220" location="gid=2074310745" ref="G259"/>
    <hyperlink r:id="rId221" location="gid=274869814" ref="G260"/>
    <hyperlink r:id="rId222" location="gid=1863670737" ref="G261"/>
    <hyperlink r:id="rId223" location="gid=330253209" ref="G263"/>
    <hyperlink r:id="rId224" location="gid=264158421" ref="G264"/>
    <hyperlink r:id="rId225" location="gid=1582414564" ref="G265"/>
    <hyperlink r:id="rId226" location="gid=239188956" ref="G266"/>
    <hyperlink r:id="rId227" location="gid=1698473111" ref="G267"/>
    <hyperlink r:id="rId228" location="gid=524318032" ref="G268"/>
    <hyperlink r:id="rId229" location="gid=475331457" ref="G269"/>
    <hyperlink r:id="rId230" location="gid=439113956" ref="G270"/>
    <hyperlink r:id="rId231" location="gid=1913270629" ref="G271"/>
    <hyperlink r:id="rId232" location="gid=746974912" ref="G272"/>
    <hyperlink r:id="rId233" location="gid=686845260" ref="G273"/>
    <hyperlink r:id="rId234" location="gid=526553783" ref="G275"/>
    <hyperlink r:id="rId235" location="gid=930370993" ref="G276"/>
    <hyperlink r:id="rId236" location="gid=1875871786" ref="G278"/>
    <hyperlink r:id="rId237" location="gid=204735596" ref="G279"/>
    <hyperlink r:id="rId238" location="gid=2040166769" ref="G280"/>
    <hyperlink r:id="rId239" location="gid=1671447072" ref="G281"/>
    <hyperlink r:id="rId240" location="gid=856845073" ref="G282"/>
    <hyperlink r:id="rId241" location="gid=371090625" ref="G283"/>
    <hyperlink r:id="rId242" location="gid=1418629047" ref="G284"/>
    <hyperlink r:id="rId243" location="gid=1469831521" ref="G285"/>
    <hyperlink r:id="rId244" location="gid=1912730111" ref="G287"/>
    <hyperlink r:id="rId245" location="gid=824918230" ref="G288"/>
    <hyperlink r:id="rId246" location="gid=1274655216" ref="G289"/>
    <hyperlink r:id="rId247" location="gid=1623947061" ref="G290"/>
    <hyperlink r:id="rId248" location="gid=383197787" ref="G291"/>
    <hyperlink r:id="rId249" location="gid=218440730" ref="G292"/>
    <hyperlink r:id="rId250" location="gid=1418666991" ref="G293"/>
    <hyperlink r:id="rId251" location="gid=93972249" ref="G294"/>
    <hyperlink r:id="rId252" location="gid=127997073" ref="G295"/>
    <hyperlink r:id="rId253" location="gid=1486275329" ref="G296"/>
    <hyperlink r:id="rId254" location="gid=1802051699" ref="G297"/>
    <hyperlink r:id="rId255" location="gid=1213660992" ref="G299"/>
    <hyperlink r:id="rId256" location="gid=1439346511" ref="G300"/>
    <hyperlink r:id="rId257" location="gid=475314203" ref="G302"/>
    <hyperlink r:id="rId258" location="gid=148291066" ref="G303"/>
    <hyperlink r:id="rId259" location="gid=199026244" ref="G304"/>
    <hyperlink r:id="rId260" location="gid=2027246941" ref="G305"/>
    <hyperlink r:id="rId261" location="gid=366411426" ref="G306"/>
    <hyperlink r:id="rId262" location="gid=1178561114" ref="G307"/>
    <hyperlink r:id="rId263" location="gid=88954847" ref="G308"/>
    <hyperlink r:id="rId264" location="gid=706206622" ref="G309"/>
    <hyperlink r:id="rId265" location="gid=1282781101" ref="G311"/>
    <hyperlink r:id="rId266" location="gid=1412159721" ref="G312"/>
    <hyperlink r:id="rId267" location="gid=735519573" ref="G313"/>
    <hyperlink r:id="rId268" location="gid=736357021" ref="G314"/>
    <hyperlink r:id="rId269" location="gid=2030000827" ref="G315"/>
    <hyperlink r:id="rId270" location="gid=1013261552" ref="G316"/>
    <hyperlink r:id="rId271" location="gid=1974295125" ref="G317"/>
    <hyperlink r:id="rId272" location="gid=646010427" ref="G319"/>
    <hyperlink r:id="rId273" location="gid=1059164522" ref="G320"/>
    <hyperlink r:id="rId274" location="gid=62995509" ref="G321"/>
    <hyperlink r:id="rId275" location="gid=622853619" ref="G322"/>
    <hyperlink r:id="rId276" location="gid=1059164522" ref="G323"/>
    <hyperlink r:id="rId277" location="gid=281956772" ref="G324"/>
    <hyperlink r:id="rId278" location="gid=1579694825" ref="G325"/>
    <hyperlink r:id="rId279" location="gid=1059164522" ref="G326"/>
    <hyperlink r:id="rId280" location="gid=1468073386" ref="G327"/>
    <hyperlink r:id="rId281" location="gid=56811129" ref="G328"/>
    <hyperlink r:id="rId282" location="gid=888676894" ref="G329"/>
    <hyperlink r:id="rId283" location="gid=2053676709" ref="G330"/>
    <hyperlink r:id="rId284" location="gid=2108360540" ref="G331"/>
    <hyperlink r:id="rId285" location="gid=1554891146" ref="G332"/>
  </hyperlinks>
  <drawing r:id="rId28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31.14"/>
    <col customWidth="1" min="4" max="4" width="22.57"/>
    <col customWidth="1" min="5" max="5" width="29.57"/>
    <col customWidth="1" min="6" max="6" width="108.14"/>
    <col customWidth="1" min="7" max="7" width="26.29"/>
    <col customWidth="1" min="8" max="11" width="18.0"/>
    <col customWidth="1" min="12" max="36" width="14.43"/>
  </cols>
  <sheetData>
    <row r="1" ht="1.5" customHeight="1">
      <c r="A1" s="12"/>
      <c r="B1" s="12"/>
      <c r="C1" s="13"/>
      <c r="D1" s="14"/>
      <c r="E1" s="14"/>
      <c r="F1" s="224"/>
      <c r="G1" s="14"/>
      <c r="H1" s="14"/>
      <c r="I1" s="12"/>
      <c r="J1" s="12"/>
      <c r="K1" s="12"/>
      <c r="L1" s="15"/>
      <c r="M1" s="15"/>
      <c r="N1" s="15"/>
      <c r="O1" s="15"/>
      <c r="P1" s="15"/>
      <c r="Q1" s="15"/>
      <c r="R1" s="15"/>
      <c r="S1" s="15"/>
      <c r="T1" s="15"/>
      <c r="U1" s="15"/>
      <c r="V1" s="15"/>
      <c r="W1" s="15"/>
      <c r="X1" s="15"/>
      <c r="Y1" s="15"/>
      <c r="Z1" s="15"/>
      <c r="AA1" s="15"/>
      <c r="AB1" s="15"/>
      <c r="AC1" s="15"/>
      <c r="AD1" s="15"/>
      <c r="AE1" s="15"/>
      <c r="AF1" s="15"/>
      <c r="AG1" s="15"/>
      <c r="AH1" s="15"/>
      <c r="AI1" s="15"/>
      <c r="AJ1" s="15"/>
    </row>
    <row r="2" ht="1.5" customHeight="1">
      <c r="A2" s="12"/>
      <c r="B2" s="12"/>
      <c r="C2" s="13"/>
      <c r="D2" s="14"/>
      <c r="E2" s="14"/>
      <c r="F2" s="224"/>
      <c r="G2" s="14"/>
      <c r="H2" s="14"/>
      <c r="I2" s="12"/>
      <c r="J2" s="12"/>
      <c r="K2" s="12"/>
      <c r="L2" s="15"/>
      <c r="M2" s="15"/>
      <c r="N2" s="15"/>
      <c r="O2" s="15"/>
      <c r="P2" s="15"/>
      <c r="Q2" s="15"/>
      <c r="R2" s="15"/>
      <c r="S2" s="15"/>
      <c r="T2" s="15"/>
      <c r="U2" s="15"/>
      <c r="V2" s="15"/>
      <c r="W2" s="15"/>
      <c r="X2" s="15"/>
      <c r="Y2" s="15"/>
      <c r="Z2" s="15"/>
      <c r="AA2" s="15"/>
      <c r="AB2" s="15"/>
      <c r="AC2" s="15"/>
      <c r="AD2" s="15"/>
      <c r="AE2" s="15"/>
      <c r="AF2" s="15"/>
      <c r="AG2" s="15"/>
      <c r="AH2" s="15"/>
      <c r="AI2" s="15"/>
      <c r="AJ2" s="15"/>
    </row>
    <row r="3" ht="15.75" customHeight="1">
      <c r="A3" s="14" t="s">
        <v>5</v>
      </c>
      <c r="B3" s="14" t="s">
        <v>5</v>
      </c>
      <c r="C3" s="19" t="s">
        <v>6</v>
      </c>
      <c r="D3" s="2"/>
      <c r="E3" s="2"/>
      <c r="F3" s="2"/>
      <c r="G3" s="2"/>
      <c r="H3" s="3"/>
      <c r="I3" s="12"/>
      <c r="J3" s="12"/>
      <c r="K3" s="12"/>
      <c r="L3" s="15"/>
      <c r="M3" s="15"/>
      <c r="N3" s="15"/>
      <c r="O3" s="15"/>
      <c r="P3" s="15"/>
      <c r="Q3" s="15"/>
      <c r="R3" s="15"/>
      <c r="S3" s="15"/>
      <c r="T3" s="15"/>
      <c r="U3" s="15"/>
      <c r="V3" s="15"/>
      <c r="W3" s="15"/>
      <c r="X3" s="15"/>
      <c r="Y3" s="15"/>
      <c r="Z3" s="15"/>
      <c r="AA3" s="15"/>
      <c r="AB3" s="15"/>
      <c r="AC3" s="15"/>
      <c r="AD3" s="15"/>
      <c r="AE3" s="15"/>
      <c r="AF3" s="15"/>
      <c r="AG3" s="15"/>
      <c r="AH3" s="15"/>
      <c r="AI3" s="15"/>
      <c r="AJ3" s="15"/>
    </row>
    <row r="4" ht="15.75" customHeight="1">
      <c r="A4" s="20"/>
      <c r="B4" s="225"/>
      <c r="C4" s="21"/>
      <c r="D4" s="20"/>
      <c r="E4" s="20"/>
      <c r="F4" s="227"/>
      <c r="G4" s="20"/>
      <c r="H4" s="20"/>
      <c r="I4" s="20"/>
      <c r="J4" s="20"/>
      <c r="K4" s="20"/>
      <c r="L4" s="15"/>
      <c r="M4" s="15"/>
      <c r="N4" s="15"/>
      <c r="O4" s="15"/>
      <c r="P4" s="15"/>
      <c r="Q4" s="15"/>
      <c r="R4" s="15"/>
      <c r="S4" s="15"/>
      <c r="T4" s="15"/>
      <c r="U4" s="15"/>
      <c r="V4" s="15"/>
      <c r="W4" s="15"/>
      <c r="X4" s="15"/>
      <c r="Y4" s="15"/>
      <c r="Z4" s="15"/>
      <c r="AA4" s="15"/>
      <c r="AB4" s="15"/>
      <c r="AC4" s="15"/>
      <c r="AD4" s="15"/>
      <c r="AE4" s="15"/>
      <c r="AF4" s="15"/>
      <c r="AG4" s="15"/>
      <c r="AH4" s="15"/>
      <c r="AI4" s="15"/>
      <c r="AJ4" s="15"/>
    </row>
    <row r="5" ht="15.75" customHeight="1">
      <c r="A5" s="22" t="s">
        <v>5</v>
      </c>
      <c r="B5" s="22" t="s">
        <v>7</v>
      </c>
      <c r="C5" s="228" t="s">
        <v>8</v>
      </c>
      <c r="D5" s="22" t="s">
        <v>9</v>
      </c>
      <c r="E5" s="22" t="s">
        <v>11</v>
      </c>
      <c r="F5" s="22" t="s">
        <v>12</v>
      </c>
      <c r="G5" s="229" t="s">
        <v>13</v>
      </c>
      <c r="H5" s="22" t="s">
        <v>14</v>
      </c>
      <c r="I5" s="22" t="s">
        <v>15</v>
      </c>
      <c r="J5" s="22" t="s">
        <v>16</v>
      </c>
      <c r="K5" s="22" t="s">
        <v>17</v>
      </c>
      <c r="L5" s="15"/>
      <c r="M5" s="15"/>
      <c r="N5" s="15"/>
      <c r="O5" s="15"/>
      <c r="P5" s="15"/>
      <c r="Q5" s="15"/>
      <c r="R5" s="15"/>
      <c r="S5" s="15"/>
      <c r="T5" s="15"/>
      <c r="U5" s="15"/>
      <c r="V5" s="15"/>
      <c r="W5" s="15"/>
      <c r="X5" s="15"/>
      <c r="Y5" s="15"/>
      <c r="Z5" s="15"/>
      <c r="AA5" s="15"/>
      <c r="AB5" s="15"/>
      <c r="AC5" s="15"/>
      <c r="AD5" s="15"/>
      <c r="AE5" s="15"/>
      <c r="AF5" s="15"/>
      <c r="AG5" s="15"/>
      <c r="AH5" s="15"/>
      <c r="AI5" s="15"/>
      <c r="AJ5" s="15"/>
    </row>
    <row r="6" ht="15.75" customHeight="1">
      <c r="A6" s="28" t="s">
        <v>5</v>
      </c>
      <c r="B6" s="33" t="s">
        <v>5435</v>
      </c>
      <c r="C6" s="33" t="s">
        <v>5436</v>
      </c>
      <c r="D6" s="28" t="s">
        <v>42</v>
      </c>
      <c r="E6" s="62" t="s">
        <v>51</v>
      </c>
      <c r="F6" s="231" t="s">
        <v>5437</v>
      </c>
      <c r="G6" s="35" t="s">
        <v>51</v>
      </c>
      <c r="K6" s="20"/>
      <c r="L6" s="15"/>
      <c r="M6" s="15"/>
      <c r="N6" s="15"/>
      <c r="O6" s="15"/>
      <c r="P6" s="15"/>
      <c r="Q6" s="15"/>
      <c r="R6" s="15"/>
      <c r="S6" s="15"/>
      <c r="T6" s="15"/>
      <c r="U6" s="15"/>
      <c r="V6" s="15"/>
      <c r="W6" s="15"/>
      <c r="X6" s="15"/>
      <c r="Y6" s="15"/>
      <c r="Z6" s="15"/>
      <c r="AA6" s="15"/>
      <c r="AB6" s="15"/>
      <c r="AC6" s="15"/>
      <c r="AD6" s="15"/>
      <c r="AE6" s="15"/>
      <c r="AF6" s="15"/>
      <c r="AG6" s="15"/>
      <c r="AH6" s="15"/>
      <c r="AI6" s="15"/>
      <c r="AJ6" s="15"/>
    </row>
    <row r="7" ht="15.75" customHeight="1">
      <c r="A7" s="28" t="s">
        <v>5</v>
      </c>
      <c r="B7" s="33" t="s">
        <v>5</v>
      </c>
      <c r="C7" s="33" t="s">
        <v>5</v>
      </c>
      <c r="D7" s="28" t="s">
        <v>5</v>
      </c>
      <c r="E7" s="65" t="s">
        <v>922</v>
      </c>
      <c r="F7" s="154" t="s">
        <v>5438</v>
      </c>
      <c r="G7" s="35" t="s">
        <v>922</v>
      </c>
      <c r="K7" s="20"/>
      <c r="L7" s="15"/>
      <c r="M7" s="15"/>
      <c r="N7" s="15"/>
      <c r="O7" s="15"/>
      <c r="P7" s="15"/>
      <c r="Q7" s="15"/>
      <c r="R7" s="15"/>
      <c r="S7" s="15"/>
      <c r="T7" s="15"/>
      <c r="U7" s="15"/>
      <c r="V7" s="15"/>
      <c r="W7" s="15"/>
      <c r="X7" s="15"/>
      <c r="Y7" s="15"/>
      <c r="Z7" s="15"/>
      <c r="AA7" s="15"/>
      <c r="AB7" s="15"/>
      <c r="AC7" s="15"/>
      <c r="AD7" s="15"/>
      <c r="AE7" s="15"/>
      <c r="AF7" s="15"/>
      <c r="AG7" s="15"/>
      <c r="AH7" s="15"/>
      <c r="AI7" s="15"/>
      <c r="AJ7" s="15"/>
    </row>
    <row r="8" ht="15.75" customHeight="1">
      <c r="A8" s="28" t="s">
        <v>5</v>
      </c>
      <c r="B8" s="33" t="s">
        <v>5</v>
      </c>
      <c r="C8" s="33" t="s">
        <v>5</v>
      </c>
      <c r="D8" s="28" t="s">
        <v>5</v>
      </c>
      <c r="E8" s="65" t="s">
        <v>90</v>
      </c>
      <c r="F8" s="232" t="s">
        <v>5439</v>
      </c>
      <c r="G8" s="65" t="s">
        <v>90</v>
      </c>
      <c r="H8" s="65"/>
      <c r="K8" s="20"/>
      <c r="L8" s="15"/>
      <c r="M8" s="15"/>
      <c r="N8" s="15"/>
      <c r="O8" s="15"/>
      <c r="P8" s="15"/>
      <c r="Q8" s="15"/>
      <c r="R8" s="15"/>
      <c r="S8" s="15"/>
      <c r="T8" s="15"/>
      <c r="U8" s="15"/>
      <c r="V8" s="15"/>
      <c r="W8" s="15"/>
      <c r="X8" s="15"/>
      <c r="Y8" s="15"/>
      <c r="Z8" s="15"/>
      <c r="AA8" s="15"/>
      <c r="AB8" s="15"/>
      <c r="AC8" s="15"/>
      <c r="AD8" s="15"/>
      <c r="AE8" s="15"/>
      <c r="AF8" s="15"/>
      <c r="AG8" s="15"/>
      <c r="AH8" s="15"/>
      <c r="AI8" s="15"/>
      <c r="AJ8" s="15"/>
    </row>
    <row r="9" ht="15.75" customHeight="1">
      <c r="A9" s="28"/>
      <c r="B9" s="33"/>
      <c r="C9" s="33"/>
      <c r="D9" s="28"/>
      <c r="E9" s="65"/>
      <c r="F9" s="265"/>
      <c r="K9" s="20"/>
      <c r="L9" s="15"/>
      <c r="M9" s="15"/>
      <c r="N9" s="15"/>
      <c r="O9" s="15"/>
      <c r="P9" s="15"/>
      <c r="Q9" s="15"/>
      <c r="R9" s="15"/>
      <c r="S9" s="15"/>
      <c r="T9" s="15"/>
      <c r="U9" s="15"/>
      <c r="V9" s="15"/>
      <c r="W9" s="15"/>
      <c r="X9" s="15"/>
      <c r="Y9" s="15"/>
      <c r="Z9" s="15"/>
      <c r="AA9" s="15"/>
      <c r="AB9" s="15"/>
      <c r="AC9" s="15"/>
      <c r="AD9" s="15"/>
      <c r="AE9" s="15"/>
      <c r="AF9" s="15"/>
      <c r="AG9" s="15"/>
      <c r="AH9" s="15"/>
      <c r="AI9" s="15"/>
      <c r="AJ9" s="15"/>
    </row>
    <row r="10" ht="15.75" customHeight="1">
      <c r="A10" s="32" t="s">
        <v>5</v>
      </c>
      <c r="B10" s="233" t="s">
        <v>5440</v>
      </c>
      <c r="C10" s="52" t="s">
        <v>5441</v>
      </c>
      <c r="D10" s="53" t="s">
        <v>20</v>
      </c>
      <c r="E10" s="8" t="s">
        <v>384</v>
      </c>
      <c r="F10" s="34" t="s">
        <v>5442</v>
      </c>
      <c r="G10" s="8" t="s">
        <v>384</v>
      </c>
      <c r="H10" s="31"/>
      <c r="I10" s="9"/>
      <c r="J10" s="11"/>
      <c r="K10" s="11"/>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row>
    <row r="11" ht="15.75" customHeight="1">
      <c r="A11" s="15"/>
      <c r="B11" s="233"/>
      <c r="C11" s="54"/>
      <c r="D11" s="55"/>
      <c r="E11" s="31"/>
      <c r="F11" s="34"/>
      <c r="G11" s="31"/>
      <c r="H11" s="9"/>
      <c r="I11" s="9"/>
      <c r="J11" s="11"/>
      <c r="K11" s="11"/>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row>
    <row r="12" ht="15.75" customHeight="1">
      <c r="A12" s="32" t="s">
        <v>5</v>
      </c>
      <c r="B12" s="233" t="s">
        <v>5443</v>
      </c>
      <c r="C12" s="52" t="s">
        <v>5444</v>
      </c>
      <c r="D12" s="53" t="s">
        <v>42</v>
      </c>
      <c r="E12" s="38" t="s">
        <v>203</v>
      </c>
      <c r="F12" s="34" t="s">
        <v>5445</v>
      </c>
      <c r="G12" s="38" t="s">
        <v>203</v>
      </c>
      <c r="H12" s="31"/>
      <c r="I12" s="9"/>
      <c r="J12" s="11"/>
      <c r="K12" s="11"/>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row>
    <row r="13" ht="17.25" customHeight="1">
      <c r="A13" s="32" t="s">
        <v>5</v>
      </c>
      <c r="B13" s="233" t="s">
        <v>5</v>
      </c>
      <c r="C13" s="52" t="s">
        <v>5</v>
      </c>
      <c r="D13" s="53" t="s">
        <v>5</v>
      </c>
      <c r="E13" s="28" t="s">
        <v>204</v>
      </c>
      <c r="F13" s="34" t="s">
        <v>5446</v>
      </c>
      <c r="G13" s="38" t="s">
        <v>204</v>
      </c>
      <c r="H13" s="9"/>
      <c r="I13" s="9"/>
      <c r="J13" s="11"/>
      <c r="K13" s="11"/>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row>
    <row r="14" ht="15.75" customHeight="1">
      <c r="A14" s="32" t="s">
        <v>5</v>
      </c>
      <c r="B14" s="233" t="s">
        <v>5</v>
      </c>
      <c r="C14" s="52" t="s">
        <v>5</v>
      </c>
      <c r="D14" s="53" t="s">
        <v>5</v>
      </c>
      <c r="E14" s="28" t="s">
        <v>203</v>
      </c>
      <c r="F14" s="34" t="s">
        <v>5447</v>
      </c>
      <c r="G14" s="38" t="s">
        <v>1995</v>
      </c>
      <c r="H14" s="9"/>
      <c r="I14" s="9"/>
      <c r="J14" s="11"/>
      <c r="K14" s="11"/>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row>
    <row r="15" ht="15.75" customHeight="1">
      <c r="A15" s="32" t="s">
        <v>5</v>
      </c>
      <c r="B15" s="233" t="s">
        <v>5</v>
      </c>
      <c r="C15" s="52" t="s">
        <v>5</v>
      </c>
      <c r="D15" s="53" t="s">
        <v>5</v>
      </c>
      <c r="E15" s="28" t="s">
        <v>204</v>
      </c>
      <c r="F15" s="34"/>
      <c r="G15" s="38"/>
      <c r="H15" s="9"/>
      <c r="I15" s="9"/>
      <c r="J15" s="11"/>
      <c r="K15" s="11"/>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row>
    <row r="16" ht="15.75" customHeight="1">
      <c r="A16" s="32" t="s">
        <v>5</v>
      </c>
      <c r="B16" s="233" t="s">
        <v>5</v>
      </c>
      <c r="C16" s="52" t="s">
        <v>5</v>
      </c>
      <c r="D16" s="53" t="s">
        <v>5</v>
      </c>
      <c r="E16" s="28" t="s">
        <v>173</v>
      </c>
      <c r="F16" s="34" t="s">
        <v>5448</v>
      </c>
      <c r="G16" s="38" t="s">
        <v>173</v>
      </c>
      <c r="H16" s="9"/>
      <c r="I16" s="9"/>
      <c r="J16" s="11"/>
      <c r="K16" s="11"/>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row>
    <row r="17" ht="15.75" customHeight="1">
      <c r="A17" s="32" t="s">
        <v>5</v>
      </c>
      <c r="B17" s="233" t="s">
        <v>5</v>
      </c>
      <c r="C17" s="52" t="s">
        <v>5</v>
      </c>
      <c r="D17" s="53" t="s">
        <v>5</v>
      </c>
      <c r="E17" s="8" t="s">
        <v>402</v>
      </c>
      <c r="F17" s="34" t="s">
        <v>5449</v>
      </c>
      <c r="G17" s="8" t="s">
        <v>402</v>
      </c>
      <c r="H17" s="9"/>
      <c r="I17" s="9"/>
      <c r="J17" s="11"/>
      <c r="K17" s="11"/>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row>
    <row r="18" ht="15.75" customHeight="1">
      <c r="A18" s="32" t="s">
        <v>5</v>
      </c>
      <c r="B18" s="233" t="s">
        <v>5</v>
      </c>
      <c r="C18" s="52" t="s">
        <v>5</v>
      </c>
      <c r="D18" s="53" t="s">
        <v>5</v>
      </c>
      <c r="E18" s="8" t="s">
        <v>173</v>
      </c>
      <c r="F18" s="34" t="s">
        <v>5450</v>
      </c>
      <c r="G18" s="8" t="s">
        <v>269</v>
      </c>
      <c r="H18" s="9"/>
      <c r="I18" s="9"/>
      <c r="J18" s="11"/>
      <c r="K18" s="11"/>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row>
    <row r="19" ht="15.75" customHeight="1">
      <c r="A19" s="32" t="s">
        <v>5</v>
      </c>
      <c r="B19" s="233" t="s">
        <v>5</v>
      </c>
      <c r="C19" s="52" t="s">
        <v>5</v>
      </c>
      <c r="D19" s="53" t="s">
        <v>5</v>
      </c>
      <c r="E19" s="8" t="s">
        <v>194</v>
      </c>
      <c r="F19" s="34" t="s">
        <v>5451</v>
      </c>
      <c r="G19" s="8" t="s">
        <v>194</v>
      </c>
      <c r="H19" s="9"/>
      <c r="I19" s="9"/>
      <c r="J19" s="11"/>
      <c r="K19" s="11"/>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row>
    <row r="20" ht="15.75" customHeight="1">
      <c r="A20" s="32" t="s">
        <v>5</v>
      </c>
      <c r="B20" s="233" t="s">
        <v>5</v>
      </c>
      <c r="C20" s="52" t="s">
        <v>5</v>
      </c>
      <c r="D20" s="53" t="s">
        <v>5</v>
      </c>
      <c r="E20" s="62" t="s">
        <v>704</v>
      </c>
      <c r="F20" s="34" t="s">
        <v>5452</v>
      </c>
      <c r="G20" s="62" t="s">
        <v>704</v>
      </c>
      <c r="I20" s="9"/>
      <c r="J20" s="11"/>
      <c r="K20" s="11"/>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row>
    <row r="21" ht="15.75" customHeight="1">
      <c r="A21" s="32" t="s">
        <v>5</v>
      </c>
      <c r="B21" s="233" t="s">
        <v>5</v>
      </c>
      <c r="C21" s="52" t="s">
        <v>5</v>
      </c>
      <c r="D21" s="53" t="s">
        <v>5</v>
      </c>
      <c r="E21" s="8" t="s">
        <v>690</v>
      </c>
      <c r="F21" s="34" t="s">
        <v>5453</v>
      </c>
      <c r="G21" s="8" t="s">
        <v>690</v>
      </c>
      <c r="H21" s="9"/>
      <c r="I21" s="9"/>
      <c r="J21" s="11"/>
      <c r="K21" s="11"/>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row>
    <row r="22" ht="15.75" customHeight="1">
      <c r="A22" s="32" t="s">
        <v>5</v>
      </c>
      <c r="B22" s="233" t="s">
        <v>5</v>
      </c>
      <c r="C22" s="39" t="s">
        <v>5</v>
      </c>
      <c r="D22" s="8" t="s">
        <v>5</v>
      </c>
      <c r="E22" s="8" t="s">
        <v>694</v>
      </c>
      <c r="F22" s="34" t="s">
        <v>5454</v>
      </c>
      <c r="G22" s="8" t="s">
        <v>694</v>
      </c>
      <c r="H22" s="9"/>
      <c r="I22" s="9"/>
      <c r="J22" s="11"/>
      <c r="K22" s="11"/>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row>
    <row r="23" ht="15.75" customHeight="1">
      <c r="A23" s="32" t="s">
        <v>5</v>
      </c>
      <c r="B23" s="233" t="s">
        <v>5</v>
      </c>
      <c r="C23" s="39" t="s">
        <v>5</v>
      </c>
      <c r="D23" s="8" t="s">
        <v>5</v>
      </c>
      <c r="E23" s="8" t="s">
        <v>692</v>
      </c>
      <c r="F23" s="34" t="s">
        <v>5455</v>
      </c>
      <c r="G23" s="8" t="s">
        <v>692</v>
      </c>
      <c r="H23" s="9"/>
      <c r="I23" s="9"/>
      <c r="J23" s="11"/>
      <c r="K23" s="11"/>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row>
    <row r="24" ht="15.75" customHeight="1">
      <c r="A24" s="32" t="s">
        <v>5</v>
      </c>
      <c r="B24" s="233" t="s">
        <v>5</v>
      </c>
      <c r="C24" s="39" t="s">
        <v>5</v>
      </c>
      <c r="D24" s="8" t="s">
        <v>5</v>
      </c>
      <c r="E24" s="8" t="s">
        <v>688</v>
      </c>
      <c r="F24" s="34" t="s">
        <v>5456</v>
      </c>
      <c r="G24" s="8" t="s">
        <v>688</v>
      </c>
      <c r="H24" s="9"/>
      <c r="I24" s="9"/>
      <c r="J24" s="11"/>
      <c r="K24" s="11"/>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row>
    <row r="25" ht="15.75" customHeight="1">
      <c r="A25" s="32" t="s">
        <v>5</v>
      </c>
      <c r="B25" s="233" t="s">
        <v>5</v>
      </c>
      <c r="C25" s="39" t="s">
        <v>5</v>
      </c>
      <c r="D25" s="8" t="s">
        <v>5</v>
      </c>
      <c r="E25" s="8" t="s">
        <v>271</v>
      </c>
      <c r="F25" s="34" t="s">
        <v>5457</v>
      </c>
      <c r="G25" s="8" t="s">
        <v>271</v>
      </c>
      <c r="H25" s="9"/>
      <c r="I25" s="9"/>
      <c r="J25" s="11"/>
      <c r="K25" s="11"/>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row>
    <row r="26" ht="15.75" customHeight="1">
      <c r="A26" s="15"/>
      <c r="B26" s="233"/>
      <c r="C26" s="41"/>
      <c r="D26" s="31"/>
      <c r="E26" s="30"/>
      <c r="F26" s="34"/>
      <c r="G26" s="30"/>
      <c r="H26" s="9"/>
      <c r="I26" s="9"/>
      <c r="J26" s="11"/>
      <c r="K26" s="11"/>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row>
    <row r="27" ht="15.75" customHeight="1">
      <c r="A27" s="32" t="s">
        <v>5</v>
      </c>
      <c r="B27" s="233" t="s">
        <v>5458</v>
      </c>
      <c r="C27" s="39" t="s">
        <v>5459</v>
      </c>
      <c r="D27" s="8" t="s">
        <v>42</v>
      </c>
      <c r="E27" s="28" t="s">
        <v>173</v>
      </c>
      <c r="F27" s="34" t="s">
        <v>5460</v>
      </c>
      <c r="G27" s="38" t="s">
        <v>173</v>
      </c>
      <c r="H27" s="9"/>
      <c r="I27" s="9"/>
      <c r="J27" s="11"/>
      <c r="K27" s="11"/>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row>
    <row r="28" ht="15.75" customHeight="1">
      <c r="A28" s="15"/>
      <c r="B28" s="233"/>
      <c r="C28" s="41"/>
      <c r="D28" s="31"/>
      <c r="E28" s="31"/>
      <c r="F28" s="34"/>
      <c r="G28" s="31"/>
      <c r="H28" s="9"/>
      <c r="I28" s="9"/>
      <c r="J28" s="11"/>
      <c r="K28" s="11"/>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row>
    <row r="29" ht="15.75" customHeight="1">
      <c r="A29" s="32" t="s">
        <v>5</v>
      </c>
      <c r="B29" s="233" t="s">
        <v>5461</v>
      </c>
      <c r="C29" s="39" t="s">
        <v>5462</v>
      </c>
      <c r="D29" s="8" t="s">
        <v>42</v>
      </c>
      <c r="E29" s="62" t="s">
        <v>194</v>
      </c>
      <c r="F29" s="34" t="s">
        <v>5463</v>
      </c>
      <c r="G29" s="62" t="s">
        <v>194</v>
      </c>
      <c r="I29" s="9"/>
      <c r="J29" s="11"/>
      <c r="K29" s="11"/>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row>
    <row r="30" ht="15.75" customHeight="1">
      <c r="A30" s="15"/>
      <c r="B30" s="233"/>
      <c r="C30" s="41"/>
      <c r="D30" s="31"/>
      <c r="E30" s="31"/>
      <c r="F30" s="34"/>
      <c r="G30" s="31"/>
      <c r="H30" s="9"/>
      <c r="I30" s="9"/>
      <c r="J30" s="11"/>
      <c r="K30" s="11"/>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row>
    <row r="31" ht="15.75" customHeight="1">
      <c r="A31" s="32" t="s">
        <v>5</v>
      </c>
      <c r="B31" s="233" t="s">
        <v>5464</v>
      </c>
      <c r="C31" s="39" t="s">
        <v>5465</v>
      </c>
      <c r="D31" s="8" t="s">
        <v>42</v>
      </c>
      <c r="E31" s="8" t="s">
        <v>704</v>
      </c>
      <c r="F31" s="34" t="s">
        <v>5466</v>
      </c>
      <c r="G31" s="35" t="s">
        <v>704</v>
      </c>
      <c r="K31" s="11"/>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row>
    <row r="32" ht="15.75" customHeight="1">
      <c r="A32" s="15"/>
      <c r="B32" s="233"/>
      <c r="C32" s="41"/>
      <c r="D32" s="31"/>
      <c r="E32" s="31"/>
      <c r="F32" s="34"/>
      <c r="G32" s="31"/>
      <c r="H32" s="9"/>
      <c r="I32" s="9"/>
      <c r="J32" s="11"/>
      <c r="K32" s="11"/>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row>
    <row r="33" ht="15.75" customHeight="1">
      <c r="A33" s="32" t="s">
        <v>5</v>
      </c>
      <c r="B33" s="233" t="s">
        <v>5467</v>
      </c>
      <c r="C33" s="39" t="s">
        <v>5468</v>
      </c>
      <c r="D33" s="8" t="s">
        <v>42</v>
      </c>
      <c r="E33" s="8" t="s">
        <v>397</v>
      </c>
      <c r="F33" s="34" t="s">
        <v>5469</v>
      </c>
      <c r="G33" s="8" t="s">
        <v>397</v>
      </c>
      <c r="I33" s="9"/>
      <c r="J33" s="11"/>
      <c r="K33" s="11"/>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row>
    <row r="34" ht="15.75" customHeight="1">
      <c r="A34" s="32" t="s">
        <v>5</v>
      </c>
      <c r="B34" s="233" t="s">
        <v>5</v>
      </c>
      <c r="C34" s="39" t="s">
        <v>5</v>
      </c>
      <c r="D34" s="8" t="s">
        <v>5</v>
      </c>
      <c r="E34" s="8" t="s">
        <v>924</v>
      </c>
      <c r="F34" s="34"/>
      <c r="G34" s="36"/>
      <c r="K34" s="11"/>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row>
    <row r="35" ht="15.75" customHeight="1">
      <c r="A35" s="15"/>
      <c r="B35" s="233"/>
      <c r="C35" s="41"/>
      <c r="D35" s="31"/>
      <c r="E35" s="30"/>
      <c r="F35" s="34"/>
      <c r="G35" s="30"/>
      <c r="H35" s="9"/>
      <c r="I35" s="9"/>
      <c r="J35" s="11"/>
      <c r="K35" s="11"/>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row>
    <row r="36" ht="15.75" customHeight="1">
      <c r="A36" s="32" t="s">
        <v>5</v>
      </c>
      <c r="B36" s="233" t="s">
        <v>5470</v>
      </c>
      <c r="C36" s="39" t="s">
        <v>5471</v>
      </c>
      <c r="D36" s="8" t="s">
        <v>42</v>
      </c>
      <c r="E36" s="28" t="s">
        <v>927</v>
      </c>
      <c r="F36" s="34" t="s">
        <v>5472</v>
      </c>
      <c r="G36" s="38" t="s">
        <v>927</v>
      </c>
      <c r="H36" s="9"/>
      <c r="I36" s="9"/>
      <c r="J36" s="11"/>
      <c r="K36" s="11"/>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row>
    <row r="37" ht="15.75" customHeight="1">
      <c r="A37" s="32" t="s">
        <v>5</v>
      </c>
      <c r="B37" s="233" t="s">
        <v>5</v>
      </c>
      <c r="C37" s="39" t="s">
        <v>5</v>
      </c>
      <c r="D37" s="8" t="s">
        <v>5</v>
      </c>
      <c r="E37" s="8" t="s">
        <v>817</v>
      </c>
      <c r="F37" s="34" t="s">
        <v>5473</v>
      </c>
      <c r="G37" s="8" t="s">
        <v>817</v>
      </c>
      <c r="H37" s="9"/>
      <c r="I37" s="9"/>
      <c r="J37" s="11"/>
      <c r="K37" s="11"/>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row>
    <row r="38" ht="15.75" customHeight="1">
      <c r="A38" s="32" t="s">
        <v>5</v>
      </c>
      <c r="B38" s="233" t="s">
        <v>5</v>
      </c>
      <c r="C38" s="39" t="s">
        <v>5</v>
      </c>
      <c r="D38" s="8" t="s">
        <v>5</v>
      </c>
      <c r="E38" s="8" t="s">
        <v>883</v>
      </c>
      <c r="F38" s="34" t="s">
        <v>5474</v>
      </c>
      <c r="G38" s="8" t="s">
        <v>883</v>
      </c>
      <c r="H38" s="9"/>
      <c r="I38" s="9"/>
      <c r="J38" s="11"/>
      <c r="K38" s="11"/>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row>
    <row r="39" ht="15.75" customHeight="1">
      <c r="A39" s="32" t="s">
        <v>5</v>
      </c>
      <c r="B39" s="233" t="s">
        <v>5</v>
      </c>
      <c r="C39" s="39" t="s">
        <v>5</v>
      </c>
      <c r="D39" s="8" t="s">
        <v>5</v>
      </c>
      <c r="E39" s="62" t="s">
        <v>929</v>
      </c>
      <c r="F39" s="34" t="s">
        <v>5475</v>
      </c>
      <c r="G39" s="62" t="s">
        <v>929</v>
      </c>
      <c r="H39" s="9"/>
      <c r="I39" s="9"/>
      <c r="J39" s="11"/>
      <c r="K39" s="11"/>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row>
    <row r="40" ht="15.75" customHeight="1">
      <c r="A40" s="15"/>
      <c r="B40" s="233"/>
      <c r="C40" s="39"/>
      <c r="D40" s="31"/>
      <c r="E40" s="31"/>
      <c r="F40" s="34"/>
      <c r="G40" s="31"/>
      <c r="H40" s="9"/>
      <c r="I40" s="9"/>
      <c r="J40" s="11"/>
      <c r="K40" s="11"/>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row>
    <row r="41" ht="15.75" customHeight="1">
      <c r="A41" s="32" t="s">
        <v>5</v>
      </c>
      <c r="B41" s="233" t="s">
        <v>5476</v>
      </c>
      <c r="C41" s="39" t="s">
        <v>5477</v>
      </c>
      <c r="D41" s="8" t="s">
        <v>42</v>
      </c>
      <c r="E41" s="8" t="s">
        <v>51</v>
      </c>
      <c r="F41" s="34" t="s">
        <v>5478</v>
      </c>
      <c r="G41" s="35" t="s">
        <v>51</v>
      </c>
      <c r="K41" s="11"/>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row>
    <row r="42" ht="15.75" customHeight="1">
      <c r="A42" s="32" t="s">
        <v>5</v>
      </c>
      <c r="B42" s="233" t="s">
        <v>5</v>
      </c>
      <c r="C42" s="39" t="s">
        <v>5</v>
      </c>
      <c r="D42" s="8" t="s">
        <v>5</v>
      </c>
      <c r="E42" s="8" t="s">
        <v>931</v>
      </c>
      <c r="F42" s="34" t="s">
        <v>5479</v>
      </c>
      <c r="G42" s="8" t="s">
        <v>931</v>
      </c>
      <c r="H42" s="9"/>
      <c r="I42" s="9"/>
      <c r="J42" s="11"/>
      <c r="K42" s="11"/>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row>
    <row r="43" ht="15.75" customHeight="1">
      <c r="A43" s="15"/>
      <c r="B43" s="233"/>
      <c r="C43" s="39"/>
      <c r="D43" s="31"/>
      <c r="E43" s="31"/>
      <c r="F43" s="34"/>
      <c r="G43" s="31"/>
      <c r="I43" s="9"/>
      <c r="J43" s="11"/>
      <c r="K43" s="11"/>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row>
    <row r="44" ht="15.75" customHeight="1">
      <c r="A44" s="32" t="s">
        <v>5</v>
      </c>
      <c r="B44" s="233" t="s">
        <v>5480</v>
      </c>
      <c r="C44" s="549" t="s">
        <v>5481</v>
      </c>
      <c r="D44" s="8" t="s">
        <v>42</v>
      </c>
      <c r="E44" s="8" t="s">
        <v>173</v>
      </c>
      <c r="F44" s="34" t="s">
        <v>5482</v>
      </c>
      <c r="G44" s="35" t="s">
        <v>173</v>
      </c>
      <c r="K44" s="11"/>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row>
    <row r="45" ht="15.75" customHeight="1">
      <c r="A45" s="32" t="s">
        <v>5</v>
      </c>
      <c r="B45" s="233" t="s">
        <v>5</v>
      </c>
      <c r="C45" s="39" t="s">
        <v>5</v>
      </c>
      <c r="D45" s="8" t="s">
        <v>5</v>
      </c>
      <c r="E45" s="38" t="s">
        <v>174</v>
      </c>
      <c r="F45" s="34" t="s">
        <v>5483</v>
      </c>
      <c r="G45" s="38" t="s">
        <v>270</v>
      </c>
      <c r="H45" s="9"/>
      <c r="I45" s="9"/>
      <c r="J45" s="11"/>
      <c r="K45" s="11"/>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row>
    <row r="46" ht="15.75" customHeight="1">
      <c r="A46" s="32" t="s">
        <v>5</v>
      </c>
      <c r="B46" s="233" t="s">
        <v>5</v>
      </c>
      <c r="C46" s="39" t="s">
        <v>5</v>
      </c>
      <c r="D46" s="8" t="s">
        <v>5</v>
      </c>
      <c r="E46" s="38" t="s">
        <v>402</v>
      </c>
      <c r="F46" s="34" t="s">
        <v>5484</v>
      </c>
      <c r="G46" s="38" t="s">
        <v>402</v>
      </c>
      <c r="H46" s="9"/>
      <c r="I46" s="9"/>
      <c r="J46" s="11"/>
      <c r="K46" s="11"/>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row>
    <row r="47" ht="15.75" customHeight="1">
      <c r="A47" s="32" t="s">
        <v>5</v>
      </c>
      <c r="B47" s="233" t="s">
        <v>5</v>
      </c>
      <c r="C47" s="39" t="s">
        <v>5</v>
      </c>
      <c r="D47" s="8" t="s">
        <v>5</v>
      </c>
      <c r="E47" s="38" t="s">
        <v>174</v>
      </c>
      <c r="F47" s="34" t="s">
        <v>5485</v>
      </c>
      <c r="G47" s="38" t="s">
        <v>174</v>
      </c>
      <c r="H47" s="9"/>
      <c r="I47" s="9"/>
      <c r="J47" s="11"/>
      <c r="K47" s="11"/>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row>
    <row r="48" ht="15.75" customHeight="1">
      <c r="A48" s="32" t="s">
        <v>5</v>
      </c>
      <c r="B48" s="233" t="s">
        <v>5</v>
      </c>
      <c r="C48" s="39" t="s">
        <v>5</v>
      </c>
      <c r="D48" s="8" t="s">
        <v>5</v>
      </c>
      <c r="E48" s="28" t="s">
        <v>5486</v>
      </c>
      <c r="F48" s="34" t="s">
        <v>5487</v>
      </c>
      <c r="G48" s="38" t="s">
        <v>5486</v>
      </c>
      <c r="H48" s="9"/>
      <c r="I48" s="9"/>
      <c r="J48" s="11"/>
      <c r="K48" s="11"/>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row>
    <row r="49" ht="15.75" customHeight="1">
      <c r="A49" s="15"/>
      <c r="B49" s="233"/>
      <c r="C49" s="39"/>
      <c r="D49" s="31"/>
      <c r="E49" s="37"/>
      <c r="F49" s="34"/>
      <c r="G49" s="30"/>
      <c r="H49" s="9"/>
      <c r="I49" s="9"/>
      <c r="J49" s="11"/>
      <c r="K49" s="11"/>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row>
    <row r="50" ht="15.75" customHeight="1">
      <c r="A50" s="32" t="s">
        <v>5</v>
      </c>
      <c r="B50" s="233" t="s">
        <v>5488</v>
      </c>
      <c r="C50" s="39" t="s">
        <v>5489</v>
      </c>
      <c r="D50" s="8" t="s">
        <v>42</v>
      </c>
      <c r="E50" s="8" t="s">
        <v>708</v>
      </c>
      <c r="F50" s="34" t="s">
        <v>5490</v>
      </c>
      <c r="G50" s="8" t="s">
        <v>708</v>
      </c>
      <c r="H50" s="9"/>
      <c r="I50" s="11"/>
      <c r="J50" s="11"/>
      <c r="K50" s="11"/>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row>
    <row r="51" ht="15.75" customHeight="1">
      <c r="A51" s="32" t="s">
        <v>5</v>
      </c>
      <c r="B51" s="233" t="s">
        <v>5</v>
      </c>
      <c r="C51" s="39" t="s">
        <v>5</v>
      </c>
      <c r="D51" s="8" t="s">
        <v>5</v>
      </c>
      <c r="E51" s="62" t="s">
        <v>710</v>
      </c>
      <c r="F51" s="34" t="s">
        <v>5491</v>
      </c>
      <c r="G51" s="62" t="s">
        <v>710</v>
      </c>
      <c r="H51" s="9"/>
      <c r="I51" s="11"/>
      <c r="J51" s="11"/>
      <c r="K51" s="11"/>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row>
    <row r="52" ht="15.75" customHeight="1">
      <c r="A52" s="32" t="s">
        <v>5</v>
      </c>
      <c r="B52" s="233" t="s">
        <v>5</v>
      </c>
      <c r="C52" s="39" t="s">
        <v>5</v>
      </c>
      <c r="D52" s="8" t="s">
        <v>5</v>
      </c>
      <c r="E52" s="8" t="s">
        <v>710</v>
      </c>
      <c r="F52" s="34" t="s">
        <v>5492</v>
      </c>
      <c r="G52" s="35" t="s">
        <v>3227</v>
      </c>
      <c r="K52" s="11"/>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row>
    <row r="53" ht="15.75" customHeight="1">
      <c r="A53" s="32" t="s">
        <v>5</v>
      </c>
      <c r="B53" s="233" t="s">
        <v>5</v>
      </c>
      <c r="C53" s="39" t="s">
        <v>5</v>
      </c>
      <c r="D53" s="8" t="s">
        <v>5</v>
      </c>
      <c r="E53" s="8" t="s">
        <v>924</v>
      </c>
      <c r="F53" s="251"/>
      <c r="G53" s="36"/>
      <c r="K53" s="11"/>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row>
    <row r="54" ht="15.75" customHeight="1">
      <c r="A54" s="15"/>
      <c r="B54" s="252"/>
      <c r="C54" s="64"/>
      <c r="F54" s="254"/>
      <c r="H54" s="11"/>
      <c r="I54" s="11"/>
      <c r="J54" s="11"/>
      <c r="K54" s="11"/>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row>
    <row r="55" ht="15.75" customHeight="1">
      <c r="A55" s="32" t="s">
        <v>5</v>
      </c>
      <c r="B55" s="233" t="s">
        <v>5493</v>
      </c>
      <c r="C55" s="63" t="s">
        <v>5477</v>
      </c>
      <c r="D55" s="35" t="s">
        <v>42</v>
      </c>
      <c r="E55" s="35" t="s">
        <v>22</v>
      </c>
      <c r="F55" s="284" t="s">
        <v>5494</v>
      </c>
      <c r="G55" s="35" t="s">
        <v>22</v>
      </c>
      <c r="H55" s="11"/>
      <c r="I55" s="11"/>
      <c r="J55" s="11"/>
      <c r="K55" s="11"/>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row>
    <row r="56" ht="15.75" customHeight="1">
      <c r="A56" s="32" t="s">
        <v>5</v>
      </c>
      <c r="B56" s="252" t="s">
        <v>5</v>
      </c>
      <c r="C56" s="63" t="s">
        <v>5</v>
      </c>
      <c r="D56" s="35" t="s">
        <v>5</v>
      </c>
      <c r="E56" s="35" t="s">
        <v>109</v>
      </c>
      <c r="F56" s="284" t="s">
        <v>5495</v>
      </c>
      <c r="G56" s="35" t="s">
        <v>109</v>
      </c>
      <c r="H56" s="11"/>
      <c r="I56" s="11"/>
      <c r="J56" s="11"/>
      <c r="K56" s="11"/>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row>
    <row r="57" ht="15.75" customHeight="1">
      <c r="A57" s="32" t="s">
        <v>5</v>
      </c>
      <c r="B57" s="233" t="s">
        <v>5</v>
      </c>
      <c r="C57" s="63" t="s">
        <v>5</v>
      </c>
      <c r="D57" s="35" t="s">
        <v>5</v>
      </c>
      <c r="E57" s="35" t="s">
        <v>931</v>
      </c>
      <c r="F57" s="284" t="s">
        <v>5496</v>
      </c>
      <c r="G57" s="35" t="s">
        <v>931</v>
      </c>
      <c r="H57" s="11"/>
      <c r="I57" s="11"/>
      <c r="J57" s="11"/>
      <c r="K57" s="11"/>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row>
    <row r="58" ht="15.75" customHeight="1">
      <c r="A58" s="15"/>
      <c r="B58" s="252"/>
      <c r="C58" s="41"/>
      <c r="D58" s="31"/>
      <c r="E58" s="31"/>
      <c r="F58" s="34"/>
      <c r="G58" s="9"/>
      <c r="H58" s="11"/>
      <c r="I58" s="11"/>
      <c r="J58" s="11"/>
      <c r="K58" s="11"/>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row>
    <row r="59" ht="15.75" customHeight="1">
      <c r="A59" s="32" t="s">
        <v>5</v>
      </c>
      <c r="B59" s="219" t="s">
        <v>5497</v>
      </c>
      <c r="C59" s="53" t="s">
        <v>5498</v>
      </c>
      <c r="D59" s="53" t="s">
        <v>20</v>
      </c>
      <c r="E59" s="8" t="s">
        <v>89</v>
      </c>
      <c r="F59" s="34" t="s">
        <v>5499</v>
      </c>
      <c r="G59" s="8" t="s">
        <v>89</v>
      </c>
      <c r="H59" s="9"/>
      <c r="I59" s="9"/>
      <c r="J59" s="11"/>
      <c r="K59" s="11"/>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ht="15.75" customHeight="1">
      <c r="A60" s="32" t="s">
        <v>5</v>
      </c>
      <c r="E60" s="8" t="s">
        <v>51</v>
      </c>
      <c r="F60" s="34" t="s">
        <v>5500</v>
      </c>
      <c r="G60" s="8" t="s">
        <v>51</v>
      </c>
      <c r="H60" s="9"/>
      <c r="I60" s="9"/>
      <c r="J60" s="11"/>
      <c r="K60" s="11"/>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row>
    <row r="61" ht="15.75" customHeight="1">
      <c r="A61" s="32" t="s">
        <v>5</v>
      </c>
      <c r="E61" s="38" t="s">
        <v>154</v>
      </c>
      <c r="F61" s="34" t="s">
        <v>5501</v>
      </c>
      <c r="G61" s="38" t="s">
        <v>154</v>
      </c>
      <c r="H61" s="9"/>
      <c r="I61" s="9"/>
      <c r="J61" s="11"/>
      <c r="K61" s="11"/>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row>
    <row r="62" ht="15.75" customHeight="1">
      <c r="A62" s="32" t="s">
        <v>5</v>
      </c>
      <c r="E62" s="28" t="s">
        <v>120</v>
      </c>
      <c r="F62" s="34" t="s">
        <v>5502</v>
      </c>
      <c r="G62" s="38" t="s">
        <v>120</v>
      </c>
      <c r="H62" s="9"/>
      <c r="I62" s="9"/>
      <c r="J62" s="11"/>
      <c r="K62" s="11"/>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row>
    <row r="63" ht="15.75" customHeight="1">
      <c r="A63" s="32" t="s">
        <v>5</v>
      </c>
      <c r="E63" s="8" t="s">
        <v>246</v>
      </c>
      <c r="F63" s="34" t="s">
        <v>5503</v>
      </c>
      <c r="G63" s="8" t="s">
        <v>246</v>
      </c>
      <c r="H63" s="31"/>
      <c r="I63" s="9"/>
      <c r="J63" s="11"/>
      <c r="K63" s="11"/>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row>
    <row r="64" ht="15.75" customHeight="1">
      <c r="A64" s="32" t="s">
        <v>5</v>
      </c>
      <c r="E64" s="8" t="s">
        <v>247</v>
      </c>
      <c r="F64" s="29"/>
      <c r="G64" s="36"/>
      <c r="H64" s="36"/>
      <c r="K64" s="11"/>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row>
    <row r="65" ht="15.75" customHeight="1">
      <c r="A65" s="32" t="s">
        <v>5</v>
      </c>
      <c r="E65" s="8" t="s">
        <v>79</v>
      </c>
      <c r="F65" s="34" t="s">
        <v>5504</v>
      </c>
      <c r="G65" s="8" t="s">
        <v>79</v>
      </c>
      <c r="H65" s="36"/>
      <c r="K65" s="11"/>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row>
    <row r="66" ht="15.75" customHeight="1">
      <c r="A66" s="32" t="s">
        <v>5</v>
      </c>
      <c r="E66" s="38" t="s">
        <v>96</v>
      </c>
      <c r="F66" s="34" t="s">
        <v>5505</v>
      </c>
      <c r="G66" s="38" t="s">
        <v>96</v>
      </c>
      <c r="H66" s="9"/>
      <c r="I66" s="9"/>
      <c r="J66" s="11"/>
      <c r="K66" s="11"/>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ht="15.75" customHeight="1">
      <c r="A67" s="32" t="s">
        <v>5</v>
      </c>
      <c r="E67" s="28" t="s">
        <v>122</v>
      </c>
      <c r="F67" s="34" t="s">
        <v>5506</v>
      </c>
      <c r="G67" s="38" t="s">
        <v>122</v>
      </c>
      <c r="H67" s="9"/>
      <c r="I67" s="9"/>
      <c r="J67" s="11"/>
      <c r="K67" s="11"/>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row>
    <row r="68" ht="15.75" customHeight="1">
      <c r="A68" s="32" t="s">
        <v>5</v>
      </c>
      <c r="E68" s="8" t="s">
        <v>91</v>
      </c>
      <c r="F68" s="34" t="s">
        <v>5507</v>
      </c>
      <c r="G68" s="8" t="s">
        <v>91</v>
      </c>
      <c r="H68" s="9"/>
      <c r="I68" s="9"/>
      <c r="J68" s="11"/>
      <c r="K68" s="11"/>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row>
    <row r="69" ht="15.75" customHeight="1">
      <c r="A69" s="32" t="s">
        <v>5</v>
      </c>
      <c r="E69" s="8" t="s">
        <v>250</v>
      </c>
      <c r="F69" s="34" t="s">
        <v>5508</v>
      </c>
      <c r="G69" s="8" t="s">
        <v>250</v>
      </c>
      <c r="H69" s="9"/>
      <c r="I69" s="9"/>
      <c r="J69" s="11"/>
      <c r="K69" s="11"/>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row>
    <row r="70" ht="15.75" customHeight="1">
      <c r="A70" s="32" t="s">
        <v>5</v>
      </c>
      <c r="E70" s="8" t="s">
        <v>209</v>
      </c>
      <c r="F70" s="34" t="s">
        <v>5509</v>
      </c>
      <c r="G70" s="8" t="s">
        <v>209</v>
      </c>
      <c r="H70" s="9"/>
      <c r="I70" s="9"/>
      <c r="J70" s="11"/>
      <c r="K70" s="11"/>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row>
    <row r="71" ht="15.75" customHeight="1">
      <c r="A71" s="32" t="s">
        <v>5</v>
      </c>
      <c r="E71" s="38" t="s">
        <v>210</v>
      </c>
      <c r="F71" s="34" t="s">
        <v>5510</v>
      </c>
      <c r="G71" s="38" t="s">
        <v>210</v>
      </c>
      <c r="H71" s="9"/>
      <c r="I71" s="9"/>
      <c r="J71" s="11"/>
      <c r="K71" s="11"/>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row>
    <row r="72" ht="15.75" customHeight="1">
      <c r="A72" s="32" t="s">
        <v>5</v>
      </c>
      <c r="B72" s="257" t="s">
        <v>5511</v>
      </c>
      <c r="C72" s="550" t="s">
        <v>5512</v>
      </c>
      <c r="D72" s="32" t="s">
        <v>42</v>
      </c>
      <c r="E72" s="32" t="s">
        <v>203</v>
      </c>
      <c r="F72" s="551" t="s">
        <v>5513</v>
      </c>
      <c r="G72" s="35" t="s">
        <v>203</v>
      </c>
      <c r="K72" s="11"/>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row>
    <row r="73" ht="15.75" customHeight="1">
      <c r="A73" s="32" t="s">
        <v>5</v>
      </c>
      <c r="B73" s="257" t="s">
        <v>5</v>
      </c>
      <c r="C73" s="66" t="s">
        <v>5</v>
      </c>
      <c r="D73" s="32" t="s">
        <v>5</v>
      </c>
      <c r="E73" s="32" t="s">
        <v>945</v>
      </c>
      <c r="F73" s="551" t="s">
        <v>5514</v>
      </c>
      <c r="G73" s="35" t="s">
        <v>945</v>
      </c>
      <c r="K73" s="11"/>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row>
    <row r="74" ht="15.75" customHeight="1">
      <c r="A74" s="32" t="s">
        <v>5</v>
      </c>
      <c r="B74" s="552" t="s">
        <v>5515</v>
      </c>
      <c r="C74" s="553" t="s">
        <v>5516</v>
      </c>
      <c r="D74" s="160" t="s">
        <v>20</v>
      </c>
      <c r="E74" s="28" t="s">
        <v>89</v>
      </c>
      <c r="F74" s="34" t="s">
        <v>5517</v>
      </c>
      <c r="G74" s="38" t="s">
        <v>89</v>
      </c>
      <c r="H74" s="9"/>
      <c r="I74" s="9"/>
      <c r="J74" s="11"/>
      <c r="K74" s="11"/>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row>
    <row r="75" ht="15.75" customHeight="1">
      <c r="A75" s="32" t="s">
        <v>5</v>
      </c>
      <c r="E75" s="28" t="s">
        <v>51</v>
      </c>
      <c r="F75" s="34" t="s">
        <v>5518</v>
      </c>
      <c r="G75" s="38" t="s">
        <v>51</v>
      </c>
      <c r="H75" s="9"/>
      <c r="I75" s="9"/>
      <c r="J75" s="11"/>
      <c r="K75" s="11"/>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row>
    <row r="76" ht="15.75" customHeight="1">
      <c r="A76" s="169" t="s">
        <v>5</v>
      </c>
      <c r="E76" s="395" t="s">
        <v>154</v>
      </c>
      <c r="F76" s="554" t="s">
        <v>5519</v>
      </c>
      <c r="G76" s="555" t="s">
        <v>154</v>
      </c>
      <c r="H76" s="556"/>
      <c r="I76" s="556"/>
      <c r="J76" s="399"/>
      <c r="K76" s="399"/>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row>
    <row r="77" ht="15.75" customHeight="1">
      <c r="A77" s="32" t="s">
        <v>5</v>
      </c>
      <c r="E77" s="28" t="s">
        <v>79</v>
      </c>
      <c r="F77" s="34" t="s">
        <v>5520</v>
      </c>
      <c r="G77" s="38" t="s">
        <v>79</v>
      </c>
      <c r="H77" s="9"/>
      <c r="I77" s="9"/>
      <c r="J77" s="11"/>
      <c r="K77" s="11"/>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row>
    <row r="78" ht="15.75" customHeight="1">
      <c r="A78" s="32" t="s">
        <v>5</v>
      </c>
      <c r="E78" s="28" t="s">
        <v>96</v>
      </c>
      <c r="F78" s="34" t="s">
        <v>5521</v>
      </c>
      <c r="G78" s="38" t="s">
        <v>96</v>
      </c>
      <c r="H78" s="9"/>
      <c r="I78" s="9"/>
      <c r="J78" s="11"/>
      <c r="K78" s="11"/>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row>
    <row r="79" ht="15.75" customHeight="1">
      <c r="A79" s="32" t="s">
        <v>5</v>
      </c>
      <c r="E79" s="28" t="s">
        <v>90</v>
      </c>
      <c r="F79" s="34" t="s">
        <v>5522</v>
      </c>
      <c r="G79" s="38" t="s">
        <v>90</v>
      </c>
      <c r="H79" s="9"/>
      <c r="I79" s="9"/>
      <c r="J79" s="11"/>
      <c r="K79" s="11"/>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row>
    <row r="80" ht="15.75" customHeight="1">
      <c r="A80" s="32" t="s">
        <v>5</v>
      </c>
      <c r="E80" s="28" t="s">
        <v>91</v>
      </c>
      <c r="F80" s="34" t="s">
        <v>5523</v>
      </c>
      <c r="G80" s="38" t="s">
        <v>91</v>
      </c>
      <c r="H80" s="9"/>
      <c r="I80" s="9"/>
      <c r="J80" s="11"/>
      <c r="K80" s="11"/>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row>
    <row r="81" ht="15.75" customHeight="1">
      <c r="A81" s="32" t="s">
        <v>5</v>
      </c>
      <c r="E81" s="28" t="s">
        <v>250</v>
      </c>
      <c r="F81" s="34" t="s">
        <v>5524</v>
      </c>
      <c r="G81" s="38" t="s">
        <v>250</v>
      </c>
      <c r="H81" s="9"/>
      <c r="I81" s="9"/>
      <c r="J81" s="11"/>
      <c r="K81" s="11"/>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row>
    <row r="82" ht="15.75" customHeight="1">
      <c r="A82" s="32" t="s">
        <v>5</v>
      </c>
      <c r="E82" s="28" t="s">
        <v>209</v>
      </c>
      <c r="F82" s="34" t="s">
        <v>5525</v>
      </c>
      <c r="G82" s="38" t="s">
        <v>209</v>
      </c>
      <c r="H82" s="9"/>
      <c r="I82" s="9"/>
      <c r="J82" s="11"/>
      <c r="K82" s="11"/>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row>
    <row r="83" ht="15.75" customHeight="1">
      <c r="A83" s="32" t="s">
        <v>5</v>
      </c>
      <c r="E83" s="28" t="s">
        <v>210</v>
      </c>
      <c r="F83" s="34" t="s">
        <v>5526</v>
      </c>
      <c r="G83" s="38" t="s">
        <v>210</v>
      </c>
      <c r="H83" s="9"/>
      <c r="I83" s="9"/>
      <c r="J83" s="11"/>
      <c r="K83" s="11"/>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row>
    <row r="84" ht="15.75" customHeight="1">
      <c r="A84" s="32" t="s">
        <v>5</v>
      </c>
      <c r="B84" s="552" t="s">
        <v>5527</v>
      </c>
      <c r="C84" s="160" t="s">
        <v>5528</v>
      </c>
      <c r="D84" s="160" t="s">
        <v>20</v>
      </c>
      <c r="E84" s="8" t="s">
        <v>933</v>
      </c>
      <c r="F84" s="34" t="s">
        <v>5529</v>
      </c>
      <c r="G84" s="8" t="s">
        <v>933</v>
      </c>
      <c r="H84" s="9"/>
      <c r="I84" s="9"/>
      <c r="J84" s="11"/>
      <c r="K84" s="11"/>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row>
    <row r="85" ht="15.75" customHeight="1">
      <c r="A85" s="32" t="s">
        <v>5</v>
      </c>
      <c r="E85" s="38" t="s">
        <v>940</v>
      </c>
      <c r="F85" s="34" t="s">
        <v>5530</v>
      </c>
      <c r="G85" s="38" t="s">
        <v>940</v>
      </c>
      <c r="H85" s="9"/>
      <c r="I85" s="9"/>
      <c r="J85" s="11"/>
      <c r="K85" s="11"/>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row>
    <row r="86" ht="15.75" customHeight="1">
      <c r="A86" s="32" t="s">
        <v>5</v>
      </c>
      <c r="E86" s="28" t="s">
        <v>935</v>
      </c>
      <c r="F86" s="34" t="s">
        <v>5531</v>
      </c>
      <c r="G86" s="38" t="s">
        <v>935</v>
      </c>
      <c r="H86" s="9"/>
      <c r="I86" s="9"/>
      <c r="J86" s="11"/>
      <c r="K86" s="11"/>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row>
    <row r="87" ht="15.75" customHeight="1">
      <c r="A87" s="32" t="s">
        <v>5</v>
      </c>
      <c r="E87" s="8" t="s">
        <v>942</v>
      </c>
      <c r="F87" s="34" t="s">
        <v>5532</v>
      </c>
      <c r="G87" s="8" t="s">
        <v>942</v>
      </c>
      <c r="H87" s="9"/>
      <c r="I87" s="9"/>
      <c r="J87" s="11"/>
      <c r="K87" s="11"/>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row>
    <row r="88" ht="15.75" customHeight="1">
      <c r="A88" s="32" t="s">
        <v>5</v>
      </c>
      <c r="E88" s="8" t="s">
        <v>933</v>
      </c>
      <c r="F88" s="34" t="s">
        <v>5533</v>
      </c>
      <c r="G88" s="8" t="s">
        <v>5534</v>
      </c>
      <c r="H88" s="9"/>
      <c r="I88" s="9"/>
      <c r="J88" s="11"/>
      <c r="K88" s="11"/>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row>
    <row r="89" ht="15.75" customHeight="1">
      <c r="A89" s="32" t="s">
        <v>5</v>
      </c>
      <c r="E89" s="8" t="s">
        <v>940</v>
      </c>
      <c r="F89" s="34" t="s">
        <v>5535</v>
      </c>
      <c r="G89" s="8" t="s">
        <v>5536</v>
      </c>
      <c r="H89" s="9"/>
      <c r="I89" s="9"/>
      <c r="J89" s="11"/>
      <c r="K89" s="11"/>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row>
    <row r="90" ht="15.75" customHeight="1">
      <c r="A90" s="32" t="s">
        <v>5</v>
      </c>
      <c r="E90" s="8" t="s">
        <v>795</v>
      </c>
      <c r="F90" s="29"/>
      <c r="G90" s="36"/>
      <c r="K90" s="11"/>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row>
    <row r="91" ht="15.75" customHeight="1">
      <c r="A91" s="32" t="s">
        <v>5</v>
      </c>
      <c r="B91" s="66" t="s">
        <v>5537</v>
      </c>
      <c r="C91" s="557" t="s">
        <v>5538</v>
      </c>
      <c r="D91" s="32" t="s">
        <v>20</v>
      </c>
      <c r="E91" s="32" t="s">
        <v>89</v>
      </c>
      <c r="F91" s="171" t="s">
        <v>5539</v>
      </c>
      <c r="G91" s="32" t="s">
        <v>89</v>
      </c>
      <c r="H91" s="11"/>
      <c r="I91" s="11"/>
      <c r="J91" s="11"/>
      <c r="K91" s="11"/>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row>
    <row r="92" ht="15.75" customHeight="1">
      <c r="A92" s="32" t="s">
        <v>5</v>
      </c>
      <c r="C92" s="269"/>
      <c r="E92" s="32" t="s">
        <v>194</v>
      </c>
      <c r="F92" s="171" t="s">
        <v>5540</v>
      </c>
      <c r="G92" s="32" t="s">
        <v>194</v>
      </c>
      <c r="H92" s="11"/>
      <c r="I92" s="11"/>
      <c r="J92" s="11"/>
      <c r="K92" s="11"/>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row>
    <row r="93" ht="15.75" customHeight="1">
      <c r="A93" s="32" t="s">
        <v>5</v>
      </c>
      <c r="C93" s="269"/>
      <c r="E93" s="32" t="s">
        <v>195</v>
      </c>
      <c r="F93" s="171" t="s">
        <v>5541</v>
      </c>
      <c r="G93" s="32" t="s">
        <v>195</v>
      </c>
      <c r="H93" s="11"/>
      <c r="I93" s="11"/>
      <c r="J93" s="11"/>
      <c r="K93" s="11"/>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row>
    <row r="94" ht="15.75" customHeight="1">
      <c r="A94" s="32" t="s">
        <v>5</v>
      </c>
      <c r="C94" s="269"/>
      <c r="E94" s="32" t="s">
        <v>402</v>
      </c>
      <c r="F94" s="171" t="s">
        <v>5542</v>
      </c>
      <c r="G94" s="32" t="s">
        <v>402</v>
      </c>
      <c r="H94" s="11"/>
      <c r="I94" s="11"/>
      <c r="J94" s="11"/>
      <c r="K94" s="11"/>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row>
    <row r="95" ht="15.75" customHeight="1">
      <c r="A95" s="32" t="s">
        <v>5</v>
      </c>
      <c r="C95" s="269"/>
      <c r="E95" s="32" t="s">
        <v>481</v>
      </c>
      <c r="F95" s="171" t="s">
        <v>5543</v>
      </c>
      <c r="G95" s="32" t="s">
        <v>481</v>
      </c>
      <c r="H95" s="11"/>
      <c r="I95" s="11"/>
      <c r="J95" s="11"/>
      <c r="K95" s="11"/>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row>
    <row r="96" ht="15.75" customHeight="1">
      <c r="A96" s="32" t="s">
        <v>5</v>
      </c>
      <c r="C96" s="269"/>
      <c r="E96" s="32" t="s">
        <v>496</v>
      </c>
      <c r="F96" s="171" t="s">
        <v>5544</v>
      </c>
      <c r="G96" s="32" t="s">
        <v>496</v>
      </c>
      <c r="H96" s="11"/>
      <c r="I96" s="11"/>
      <c r="J96" s="11"/>
      <c r="K96" s="11"/>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row>
    <row r="97" ht="15.75" customHeight="1">
      <c r="A97" s="32" t="s">
        <v>5</v>
      </c>
      <c r="C97" s="269"/>
      <c r="E97" s="32" t="s">
        <v>570</v>
      </c>
      <c r="F97" s="387"/>
      <c r="G97" s="36"/>
      <c r="K97" s="11"/>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row>
    <row r="98" ht="15.75" customHeight="1">
      <c r="A98" s="32" t="s">
        <v>5</v>
      </c>
      <c r="C98" s="269"/>
      <c r="E98" s="32" t="s">
        <v>598</v>
      </c>
      <c r="F98" s="387"/>
      <c r="G98" s="36"/>
      <c r="K98" s="11"/>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row>
    <row r="99" ht="15.75" customHeight="1">
      <c r="A99" s="32" t="s">
        <v>5</v>
      </c>
      <c r="C99" s="269"/>
      <c r="E99" s="32" t="s">
        <v>51</v>
      </c>
      <c r="F99" s="171" t="s">
        <v>5545</v>
      </c>
      <c r="G99" s="32" t="s">
        <v>51</v>
      </c>
      <c r="H99" s="11"/>
      <c r="I99" s="11"/>
      <c r="J99" s="11"/>
      <c r="K99" s="11"/>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row>
    <row r="100" ht="15.75" customHeight="1">
      <c r="A100" s="32" t="s">
        <v>5</v>
      </c>
      <c r="C100" s="269"/>
      <c r="E100" s="32" t="s">
        <v>408</v>
      </c>
      <c r="F100" s="171" t="s">
        <v>5546</v>
      </c>
      <c r="G100" s="32" t="s">
        <v>408</v>
      </c>
      <c r="H100" s="11"/>
      <c r="I100" s="11"/>
      <c r="J100" s="11"/>
      <c r="K100" s="11"/>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row>
    <row r="101" ht="15.75" customHeight="1">
      <c r="A101" s="32" t="s">
        <v>5</v>
      </c>
      <c r="C101" s="269"/>
      <c r="E101" s="32" t="s">
        <v>96</v>
      </c>
      <c r="F101" s="171" t="s">
        <v>5547</v>
      </c>
      <c r="G101" s="32" t="s">
        <v>96</v>
      </c>
      <c r="H101" s="11"/>
      <c r="I101" s="11"/>
      <c r="J101" s="11"/>
      <c r="K101" s="11"/>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row>
    <row r="102" ht="15.75" customHeight="1">
      <c r="A102" s="32" t="s">
        <v>5</v>
      </c>
      <c r="C102" s="269"/>
      <c r="E102" s="32" t="s">
        <v>122</v>
      </c>
      <c r="F102" s="171" t="s">
        <v>5548</v>
      </c>
      <c r="G102" s="32" t="s">
        <v>122</v>
      </c>
      <c r="H102" s="11"/>
      <c r="I102" s="11"/>
      <c r="J102" s="11"/>
      <c r="K102" s="11"/>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row>
    <row r="103" ht="15.75" customHeight="1">
      <c r="A103" s="32" t="s">
        <v>5</v>
      </c>
      <c r="C103" s="269"/>
      <c r="E103" s="32" t="s">
        <v>250</v>
      </c>
      <c r="F103" s="171" t="s">
        <v>5549</v>
      </c>
      <c r="G103" s="32" t="s">
        <v>250</v>
      </c>
      <c r="H103" s="11"/>
      <c r="I103" s="11"/>
      <c r="J103" s="11"/>
      <c r="K103" s="11"/>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row>
    <row r="104" ht="15.75" customHeight="1">
      <c r="A104" s="32" t="s">
        <v>5</v>
      </c>
      <c r="C104" s="269"/>
      <c r="E104" s="32" t="s">
        <v>120</v>
      </c>
      <c r="F104" s="171" t="s">
        <v>5550</v>
      </c>
      <c r="G104" s="32" t="s">
        <v>120</v>
      </c>
      <c r="H104" s="11"/>
      <c r="I104" s="11"/>
      <c r="J104" s="11"/>
      <c r="K104" s="11"/>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row>
    <row r="105" ht="15.75" customHeight="1">
      <c r="A105" s="32" t="s">
        <v>5</v>
      </c>
      <c r="C105" s="269"/>
      <c r="E105" s="32" t="s">
        <v>544</v>
      </c>
      <c r="F105" s="171" t="s">
        <v>5551</v>
      </c>
      <c r="G105" s="32" t="s">
        <v>544</v>
      </c>
      <c r="H105" s="11"/>
      <c r="I105" s="11"/>
      <c r="J105" s="11"/>
      <c r="K105" s="11"/>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row>
    <row r="106" ht="15.75" customHeight="1">
      <c r="A106" s="32" t="s">
        <v>5</v>
      </c>
      <c r="C106" s="269"/>
      <c r="E106" s="32" t="s">
        <v>247</v>
      </c>
      <c r="F106" s="387"/>
      <c r="G106" s="36"/>
      <c r="K106" s="11"/>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row>
    <row r="107" ht="15.75" customHeight="1">
      <c r="A107" s="32" t="s">
        <v>5</v>
      </c>
      <c r="C107" s="269"/>
      <c r="E107" s="32" t="s">
        <v>96</v>
      </c>
      <c r="F107" s="171" t="s">
        <v>5552</v>
      </c>
      <c r="G107" s="32" t="s">
        <v>177</v>
      </c>
      <c r="H107" s="11"/>
      <c r="I107" s="11"/>
      <c r="J107" s="11"/>
      <c r="K107" s="11"/>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row>
    <row r="108" ht="15.75" customHeight="1">
      <c r="A108" s="32" t="s">
        <v>5</v>
      </c>
      <c r="C108" s="269"/>
      <c r="E108" s="32" t="s">
        <v>132</v>
      </c>
      <c r="F108" s="171" t="s">
        <v>5553</v>
      </c>
      <c r="G108" s="32" t="s">
        <v>132</v>
      </c>
      <c r="H108" s="11"/>
      <c r="I108" s="11"/>
      <c r="J108" s="11"/>
      <c r="K108" s="11"/>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row>
    <row r="109" ht="15.75" customHeight="1">
      <c r="A109" s="32" t="s">
        <v>5</v>
      </c>
      <c r="C109" s="269"/>
      <c r="E109" s="32" t="s">
        <v>342</v>
      </c>
      <c r="F109" s="171" t="s">
        <v>5554</v>
      </c>
      <c r="G109" s="32" t="s">
        <v>342</v>
      </c>
      <c r="H109" s="11"/>
      <c r="I109" s="11"/>
      <c r="J109" s="11"/>
      <c r="K109" s="11"/>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row>
    <row r="110" ht="15.75" customHeight="1">
      <c r="A110" s="32" t="s">
        <v>5</v>
      </c>
      <c r="C110" s="269"/>
      <c r="E110" s="32" t="s">
        <v>343</v>
      </c>
      <c r="F110" s="171" t="s">
        <v>5555</v>
      </c>
      <c r="G110" s="32" t="s">
        <v>343</v>
      </c>
      <c r="H110" s="11"/>
      <c r="I110" s="11"/>
      <c r="J110" s="11"/>
      <c r="K110" s="11"/>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row>
    <row r="111" ht="15.75" customHeight="1">
      <c r="A111" s="32" t="s">
        <v>5</v>
      </c>
      <c r="C111" s="269"/>
      <c r="E111" s="32" t="s">
        <v>96</v>
      </c>
      <c r="F111" s="171" t="s">
        <v>5556</v>
      </c>
      <c r="G111" s="32" t="s">
        <v>337</v>
      </c>
      <c r="H111" s="11"/>
      <c r="I111" s="11"/>
      <c r="J111" s="11"/>
      <c r="K111" s="11"/>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row>
    <row r="112" ht="15.75" customHeight="1">
      <c r="A112" s="32" t="s">
        <v>5</v>
      </c>
      <c r="C112" s="270"/>
      <c r="E112" s="32" t="s">
        <v>250</v>
      </c>
      <c r="F112" s="171" t="s">
        <v>5557</v>
      </c>
      <c r="G112" s="32" t="s">
        <v>1981</v>
      </c>
      <c r="H112" s="11"/>
      <c r="I112" s="11"/>
      <c r="J112" s="11"/>
      <c r="K112" s="11"/>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row>
    <row r="113" ht="15.75" customHeight="1">
      <c r="A113" s="15"/>
      <c r="B113" s="260"/>
      <c r="C113" s="21"/>
      <c r="D113" s="15"/>
      <c r="E113" s="15"/>
      <c r="F113" s="262"/>
      <c r="G113" s="15"/>
      <c r="H113" s="11"/>
      <c r="I113" s="11"/>
      <c r="J113" s="11"/>
      <c r="K113" s="11"/>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row>
    <row r="114" ht="15.75" customHeight="1">
      <c r="A114" s="32" t="s">
        <v>5</v>
      </c>
      <c r="B114" s="257" t="s">
        <v>5558</v>
      </c>
      <c r="C114" s="66" t="s">
        <v>5559</v>
      </c>
      <c r="D114" s="32" t="s">
        <v>42</v>
      </c>
      <c r="E114" s="32" t="s">
        <v>51</v>
      </c>
      <c r="F114" s="551" t="s">
        <v>5560</v>
      </c>
      <c r="G114" s="32" t="s">
        <v>51</v>
      </c>
      <c r="H114" s="11"/>
      <c r="I114" s="11"/>
      <c r="J114" s="11"/>
      <c r="K114" s="11"/>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row>
    <row r="115" ht="15.75" customHeight="1">
      <c r="A115" s="32" t="s">
        <v>5</v>
      </c>
      <c r="B115" s="257" t="s">
        <v>5</v>
      </c>
      <c r="C115" s="66" t="s">
        <v>5</v>
      </c>
      <c r="D115" s="32" t="s">
        <v>5</v>
      </c>
      <c r="E115" s="32" t="s">
        <v>90</v>
      </c>
      <c r="F115" s="551" t="s">
        <v>5561</v>
      </c>
      <c r="G115" s="32" t="s">
        <v>90</v>
      </c>
      <c r="H115" s="11"/>
      <c r="I115" s="11"/>
      <c r="J115" s="11"/>
      <c r="K115" s="11"/>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row>
    <row r="116" ht="15.75" customHeight="1">
      <c r="A116" s="32" t="s">
        <v>5</v>
      </c>
      <c r="B116" s="257" t="s">
        <v>5</v>
      </c>
      <c r="C116" s="66" t="s">
        <v>5</v>
      </c>
      <c r="D116" s="32" t="s">
        <v>5</v>
      </c>
      <c r="E116" s="32" t="s">
        <v>92</v>
      </c>
      <c r="F116" s="551" t="s">
        <v>5562</v>
      </c>
      <c r="G116" s="35" t="s">
        <v>92</v>
      </c>
      <c r="K116" s="11"/>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row>
    <row r="117" ht="15.75" customHeight="1">
      <c r="A117" s="32" t="s">
        <v>5</v>
      </c>
      <c r="B117" s="257" t="s">
        <v>5</v>
      </c>
      <c r="C117" s="66" t="s">
        <v>5</v>
      </c>
      <c r="D117" s="32" t="s">
        <v>5</v>
      </c>
      <c r="E117" s="32" t="s">
        <v>358</v>
      </c>
      <c r="F117" s="551" t="s">
        <v>5563</v>
      </c>
      <c r="G117" s="32" t="s">
        <v>358</v>
      </c>
      <c r="H117" s="11"/>
      <c r="I117" s="11"/>
      <c r="J117" s="11"/>
      <c r="K117" s="11"/>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row>
    <row r="118" ht="15.75" customHeight="1">
      <c r="A118" s="15"/>
      <c r="B118" s="260"/>
      <c r="C118" s="21"/>
      <c r="D118" s="15"/>
      <c r="E118" s="15"/>
      <c r="F118" s="262"/>
      <c r="G118" s="15"/>
      <c r="H118" s="11"/>
      <c r="I118" s="11"/>
      <c r="J118" s="11"/>
      <c r="K118" s="11"/>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row>
    <row r="119" ht="15.75" customHeight="1">
      <c r="A119" s="32" t="s">
        <v>5</v>
      </c>
      <c r="B119" s="257" t="s">
        <v>5564</v>
      </c>
      <c r="C119" s="66" t="s">
        <v>5565</v>
      </c>
      <c r="D119" s="32" t="s">
        <v>42</v>
      </c>
      <c r="E119" s="32" t="s">
        <v>51</v>
      </c>
      <c r="F119" s="551" t="s">
        <v>5566</v>
      </c>
      <c r="G119" s="32" t="s">
        <v>51</v>
      </c>
      <c r="H119" s="11"/>
      <c r="I119" s="11"/>
      <c r="J119" s="11"/>
      <c r="K119" s="11"/>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row>
    <row r="120" ht="15.75" customHeight="1">
      <c r="A120" s="32" t="s">
        <v>5</v>
      </c>
      <c r="B120" s="257" t="s">
        <v>5</v>
      </c>
      <c r="C120" s="66" t="s">
        <v>5</v>
      </c>
      <c r="D120" s="32" t="s">
        <v>5</v>
      </c>
      <c r="E120" s="32" t="s">
        <v>90</v>
      </c>
      <c r="F120" s="551" t="s">
        <v>5567</v>
      </c>
      <c r="G120" s="32" t="s">
        <v>90</v>
      </c>
      <c r="H120" s="11"/>
      <c r="I120" s="11"/>
      <c r="J120" s="11"/>
      <c r="K120" s="11"/>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row>
    <row r="121" ht="15.75" customHeight="1">
      <c r="A121" s="32" t="s">
        <v>5</v>
      </c>
      <c r="B121" s="257" t="s">
        <v>5</v>
      </c>
      <c r="C121" s="66" t="s">
        <v>5</v>
      </c>
      <c r="D121" s="32" t="s">
        <v>5</v>
      </c>
      <c r="E121" s="32" t="s">
        <v>92</v>
      </c>
      <c r="F121" s="551" t="s">
        <v>5568</v>
      </c>
      <c r="G121" s="32" t="s">
        <v>92</v>
      </c>
      <c r="H121" s="11"/>
      <c r="I121" s="11"/>
      <c r="J121" s="11"/>
      <c r="K121" s="11"/>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row>
    <row r="122" ht="15.75" customHeight="1">
      <c r="A122" s="32" t="s">
        <v>5</v>
      </c>
      <c r="B122" s="257" t="s">
        <v>5</v>
      </c>
      <c r="C122" s="66" t="s">
        <v>5</v>
      </c>
      <c r="D122" s="32" t="s">
        <v>5</v>
      </c>
      <c r="E122" s="32" t="s">
        <v>93</v>
      </c>
      <c r="F122" s="551" t="s">
        <v>5569</v>
      </c>
      <c r="G122" s="32" t="s">
        <v>93</v>
      </c>
      <c r="H122" s="11"/>
      <c r="I122" s="11"/>
      <c r="J122" s="11"/>
      <c r="K122" s="11"/>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row>
    <row r="123" ht="15.75" customHeight="1">
      <c r="A123" s="32" t="s">
        <v>5</v>
      </c>
      <c r="B123" s="257" t="s">
        <v>5570</v>
      </c>
      <c r="C123" s="66" t="s">
        <v>5571</v>
      </c>
      <c r="D123" s="32" t="s">
        <v>20</v>
      </c>
      <c r="E123" s="32" t="s">
        <v>89</v>
      </c>
      <c r="F123" s="262"/>
      <c r="G123" s="36"/>
      <c r="K123" s="11"/>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row>
    <row r="124" ht="15.75" customHeight="1">
      <c r="A124" s="32" t="s">
        <v>5</v>
      </c>
      <c r="B124" s="257" t="s">
        <v>5</v>
      </c>
      <c r="C124" s="66" t="s">
        <v>5</v>
      </c>
      <c r="D124" s="32" t="s">
        <v>5</v>
      </c>
      <c r="E124" s="32" t="s">
        <v>51</v>
      </c>
      <c r="F124" s="551" t="s">
        <v>5572</v>
      </c>
      <c r="G124" s="32" t="s">
        <v>51</v>
      </c>
      <c r="H124" s="11"/>
      <c r="I124" s="11"/>
      <c r="J124" s="11"/>
      <c r="K124" s="11"/>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row>
    <row r="125" ht="15.75" customHeight="1">
      <c r="A125" s="32" t="s">
        <v>5</v>
      </c>
      <c r="B125" s="257" t="s">
        <v>5</v>
      </c>
      <c r="C125" s="66" t="s">
        <v>5</v>
      </c>
      <c r="D125" s="32" t="s">
        <v>5</v>
      </c>
      <c r="E125" s="32" t="s">
        <v>95</v>
      </c>
      <c r="F125" s="551" t="s">
        <v>5573</v>
      </c>
      <c r="G125" s="32" t="s">
        <v>95</v>
      </c>
      <c r="H125" s="11"/>
      <c r="I125" s="11"/>
      <c r="J125" s="11"/>
      <c r="K125" s="11"/>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row>
    <row r="126" ht="15.75" customHeight="1">
      <c r="A126" s="32" t="s">
        <v>5</v>
      </c>
      <c r="B126" s="257" t="s">
        <v>5</v>
      </c>
      <c r="C126" s="66" t="s">
        <v>5</v>
      </c>
      <c r="D126" s="32" t="s">
        <v>5</v>
      </c>
      <c r="E126" s="32" t="s">
        <v>125</v>
      </c>
      <c r="F126" s="551" t="s">
        <v>5574</v>
      </c>
      <c r="G126" s="32" t="s">
        <v>125</v>
      </c>
      <c r="H126" s="11"/>
      <c r="I126" s="11"/>
      <c r="J126" s="11"/>
      <c r="K126" s="11"/>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row>
    <row r="127" ht="15.75" customHeight="1">
      <c r="A127" s="32" t="s">
        <v>5</v>
      </c>
      <c r="B127" s="257" t="s">
        <v>5</v>
      </c>
      <c r="C127" s="66" t="s">
        <v>5</v>
      </c>
      <c r="D127" s="32" t="s">
        <v>5</v>
      </c>
      <c r="E127" s="32" t="s">
        <v>126</v>
      </c>
      <c r="F127" s="551" t="s">
        <v>5575</v>
      </c>
      <c r="G127" s="32" t="s">
        <v>126</v>
      </c>
      <c r="H127" s="11"/>
      <c r="I127" s="11"/>
      <c r="J127" s="11"/>
      <c r="K127" s="11"/>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row>
    <row r="128" ht="15.75" customHeight="1">
      <c r="A128" s="32" t="s">
        <v>5</v>
      </c>
      <c r="B128" s="257" t="s">
        <v>5</v>
      </c>
      <c r="C128" s="66" t="s">
        <v>5</v>
      </c>
      <c r="D128" s="32" t="s">
        <v>5</v>
      </c>
      <c r="E128" s="32" t="s">
        <v>96</v>
      </c>
      <c r="F128" s="551" t="s">
        <v>5576</v>
      </c>
      <c r="G128" s="32" t="s">
        <v>96</v>
      </c>
      <c r="H128" s="11"/>
      <c r="I128" s="11"/>
      <c r="J128" s="11"/>
      <c r="K128" s="11"/>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row>
    <row r="129" ht="15.75" customHeight="1">
      <c r="A129" s="32" t="s">
        <v>5</v>
      </c>
      <c r="B129" s="257" t="s">
        <v>5577</v>
      </c>
      <c r="C129" s="66" t="s">
        <v>5578</v>
      </c>
      <c r="D129" s="32" t="s">
        <v>20</v>
      </c>
      <c r="E129" s="32" t="s">
        <v>51</v>
      </c>
      <c r="F129" s="551" t="s">
        <v>5579</v>
      </c>
      <c r="G129" s="32" t="s">
        <v>51</v>
      </c>
      <c r="H129" s="11"/>
      <c r="I129" s="11"/>
      <c r="J129" s="11"/>
      <c r="K129" s="11"/>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row>
    <row r="130" ht="15.75" customHeight="1">
      <c r="A130" s="32" t="s">
        <v>5</v>
      </c>
      <c r="B130" s="257" t="s">
        <v>5</v>
      </c>
      <c r="C130" s="66" t="s">
        <v>5</v>
      </c>
      <c r="D130" s="32" t="s">
        <v>5</v>
      </c>
      <c r="E130" s="32" t="s">
        <v>89</v>
      </c>
      <c r="F130" s="262"/>
      <c r="G130" s="36"/>
      <c r="K130" s="11"/>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row>
    <row r="131" ht="15.75" customHeight="1">
      <c r="A131" s="32" t="s">
        <v>5</v>
      </c>
      <c r="B131" s="257" t="s">
        <v>5</v>
      </c>
      <c r="C131" s="66" t="s">
        <v>5</v>
      </c>
      <c r="D131" s="32" t="s">
        <v>5</v>
      </c>
      <c r="E131" s="32" t="s">
        <v>544</v>
      </c>
      <c r="F131" s="551" t="s">
        <v>5580</v>
      </c>
      <c r="G131" s="35" t="s">
        <v>544</v>
      </c>
      <c r="K131" s="11"/>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row>
    <row r="132" ht="15.75" customHeight="1">
      <c r="A132" s="15"/>
      <c r="B132" s="260"/>
      <c r="C132" s="21"/>
      <c r="D132" s="15"/>
      <c r="E132" s="32"/>
      <c r="F132" s="262"/>
      <c r="G132" s="36"/>
      <c r="K132" s="11"/>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row>
    <row r="133" ht="15.75" customHeight="1">
      <c r="A133" s="15"/>
      <c r="B133" s="257"/>
      <c r="C133" s="21"/>
      <c r="D133" s="32"/>
      <c r="E133" s="32"/>
      <c r="F133" s="262"/>
      <c r="G133" s="36"/>
      <c r="K133" s="11"/>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row>
    <row r="134" ht="15.75" customHeight="1">
      <c r="A134" s="15"/>
      <c r="B134" s="260"/>
      <c r="C134" s="21"/>
      <c r="D134" s="15"/>
      <c r="E134" s="15"/>
      <c r="F134" s="262"/>
      <c r="G134" s="15"/>
      <c r="H134" s="11"/>
      <c r="I134" s="11"/>
      <c r="J134" s="11"/>
      <c r="K134" s="11"/>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row>
    <row r="135" ht="15.75" customHeight="1">
      <c r="A135" s="32" t="s">
        <v>5</v>
      </c>
      <c r="B135" s="257" t="s">
        <v>5</v>
      </c>
      <c r="C135" s="66" t="s">
        <v>5</v>
      </c>
      <c r="D135" s="32" t="s">
        <v>5</v>
      </c>
      <c r="E135" s="32" t="s">
        <v>381</v>
      </c>
      <c r="F135" s="551" t="s">
        <v>5581</v>
      </c>
      <c r="G135" s="32" t="s">
        <v>381</v>
      </c>
      <c r="H135" s="11"/>
      <c r="I135" s="11"/>
      <c r="J135" s="11"/>
      <c r="K135" s="11"/>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row>
    <row r="136" ht="15.75" customHeight="1">
      <c r="A136" s="15"/>
      <c r="B136" s="260"/>
      <c r="C136" s="21"/>
      <c r="D136" s="15"/>
      <c r="E136" s="15"/>
      <c r="F136" s="262"/>
      <c r="G136" s="15"/>
      <c r="H136" s="11"/>
      <c r="I136" s="11"/>
      <c r="J136" s="11"/>
      <c r="K136" s="11"/>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row>
    <row r="137" ht="15.75" customHeight="1">
      <c r="A137" s="15"/>
      <c r="B137" s="260"/>
      <c r="C137" s="21"/>
      <c r="D137" s="15"/>
      <c r="E137" s="15"/>
      <c r="F137" s="262"/>
      <c r="G137" s="15"/>
      <c r="H137" s="11"/>
      <c r="I137" s="11"/>
      <c r="J137" s="11"/>
      <c r="K137" s="11"/>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row>
    <row r="138" ht="15.75" customHeight="1">
      <c r="A138" s="15"/>
      <c r="B138" s="260"/>
      <c r="C138" s="21"/>
      <c r="D138" s="15"/>
      <c r="E138" s="15"/>
      <c r="F138" s="262"/>
      <c r="G138" s="15"/>
      <c r="H138" s="11"/>
      <c r="I138" s="11"/>
      <c r="J138" s="11"/>
      <c r="K138" s="11"/>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row>
    <row r="139" ht="15.75" customHeight="1">
      <c r="A139" s="15"/>
      <c r="B139" s="260"/>
      <c r="C139" s="21"/>
      <c r="D139" s="15"/>
      <c r="E139" s="15"/>
      <c r="F139" s="262"/>
      <c r="G139" s="15"/>
      <c r="H139" s="11"/>
      <c r="I139" s="11"/>
      <c r="J139" s="11"/>
      <c r="K139" s="11"/>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row>
    <row r="140" ht="15.75" customHeight="1">
      <c r="A140" s="32" t="s">
        <v>5</v>
      </c>
      <c r="B140" s="257" t="s">
        <v>5582</v>
      </c>
      <c r="C140" s="66" t="s">
        <v>5583</v>
      </c>
      <c r="D140" s="32" t="s">
        <v>20</v>
      </c>
      <c r="E140" s="32" t="s">
        <v>51</v>
      </c>
      <c r="F140" s="551" t="s">
        <v>5584</v>
      </c>
      <c r="G140" s="32" t="s">
        <v>51</v>
      </c>
      <c r="H140" s="11"/>
      <c r="I140" s="11"/>
      <c r="J140" s="11"/>
      <c r="K140" s="11"/>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row>
    <row r="141" ht="15.75" customHeight="1">
      <c r="A141" s="32" t="s">
        <v>5</v>
      </c>
      <c r="B141" s="257" t="s">
        <v>5</v>
      </c>
      <c r="C141" s="66" t="s">
        <v>5</v>
      </c>
      <c r="D141" s="32" t="s">
        <v>5</v>
      </c>
      <c r="E141" s="32" t="s">
        <v>247</v>
      </c>
      <c r="F141" s="551" t="s">
        <v>5585</v>
      </c>
      <c r="G141" s="35" t="s">
        <v>247</v>
      </c>
      <c r="K141" s="11"/>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row>
    <row r="142" ht="15.75" customHeight="1">
      <c r="A142" s="32" t="s">
        <v>5</v>
      </c>
      <c r="B142" s="257" t="s">
        <v>5</v>
      </c>
      <c r="C142" s="66" t="s">
        <v>5</v>
      </c>
      <c r="D142" s="32" t="s">
        <v>5</v>
      </c>
      <c r="E142" s="32" t="s">
        <v>795</v>
      </c>
      <c r="F142" s="551" t="s">
        <v>5586</v>
      </c>
      <c r="G142" s="35" t="s">
        <v>795</v>
      </c>
      <c r="K142" s="11"/>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row>
    <row r="143" ht="15.75" customHeight="1">
      <c r="A143" s="15"/>
      <c r="B143" s="260"/>
      <c r="C143" s="21"/>
      <c r="D143" s="15"/>
      <c r="E143" s="15"/>
      <c r="F143" s="262"/>
      <c r="G143" s="15"/>
      <c r="H143" s="11"/>
      <c r="I143" s="11"/>
      <c r="J143" s="11"/>
      <c r="K143" s="11"/>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row>
    <row r="144" ht="15.75" customHeight="1">
      <c r="A144" s="15"/>
      <c r="B144" s="260"/>
      <c r="C144" s="21"/>
      <c r="D144" s="15"/>
      <c r="E144" s="15"/>
      <c r="F144" s="262"/>
      <c r="G144" s="15"/>
      <c r="H144" s="11"/>
      <c r="I144" s="11"/>
      <c r="J144" s="11"/>
      <c r="K144" s="11"/>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row>
    <row r="145" ht="15.75" customHeight="1">
      <c r="A145" s="15"/>
      <c r="B145" s="260"/>
      <c r="C145" s="21"/>
      <c r="D145" s="15"/>
      <c r="E145" s="15"/>
      <c r="F145" s="262"/>
      <c r="G145" s="15"/>
      <c r="H145" s="11"/>
      <c r="I145" s="11"/>
      <c r="J145" s="11"/>
      <c r="K145" s="11"/>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row>
    <row r="146" ht="15.75" customHeight="1">
      <c r="A146" s="15"/>
      <c r="B146" s="260"/>
      <c r="C146" s="21"/>
      <c r="D146" s="15"/>
      <c r="E146" s="15"/>
      <c r="F146" s="262"/>
      <c r="G146" s="15"/>
      <c r="H146" s="11"/>
      <c r="I146" s="11"/>
      <c r="J146" s="11"/>
      <c r="K146" s="11"/>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row>
    <row r="147" ht="15.75" customHeight="1">
      <c r="A147" s="32" t="s">
        <v>5</v>
      </c>
      <c r="B147" s="257" t="s">
        <v>5587</v>
      </c>
      <c r="C147" s="66" t="s">
        <v>5588</v>
      </c>
      <c r="D147" s="32" t="s">
        <v>20</v>
      </c>
      <c r="E147" s="32" t="s">
        <v>89</v>
      </c>
      <c r="F147" s="551" t="s">
        <v>5589</v>
      </c>
      <c r="G147" s="32" t="s">
        <v>89</v>
      </c>
      <c r="H147" s="11"/>
      <c r="I147" s="11"/>
      <c r="J147" s="11"/>
      <c r="K147" s="11"/>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row>
    <row r="148" ht="15.75" customHeight="1">
      <c r="A148" s="32" t="s">
        <v>5</v>
      </c>
      <c r="B148" s="257" t="s">
        <v>5</v>
      </c>
      <c r="C148" s="66" t="s">
        <v>5</v>
      </c>
      <c r="D148" s="32" t="s">
        <v>5</v>
      </c>
      <c r="E148" s="32" t="s">
        <v>51</v>
      </c>
      <c r="F148" s="551" t="s">
        <v>5590</v>
      </c>
      <c r="G148" s="32" t="s">
        <v>51</v>
      </c>
      <c r="H148" s="61" t="s">
        <v>457</v>
      </c>
      <c r="I148" s="61" t="s">
        <v>245</v>
      </c>
      <c r="J148" s="11"/>
      <c r="K148" s="11"/>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ht="15.75" customHeight="1">
      <c r="A149" s="32" t="s">
        <v>5</v>
      </c>
      <c r="B149" s="257" t="s">
        <v>5</v>
      </c>
      <c r="C149" s="66" t="s">
        <v>5</v>
      </c>
      <c r="D149" s="32" t="s">
        <v>5</v>
      </c>
      <c r="E149" s="32" t="s">
        <v>504</v>
      </c>
      <c r="F149" s="551" t="s">
        <v>5591</v>
      </c>
      <c r="G149" s="35" t="s">
        <v>504</v>
      </c>
      <c r="K149" s="11"/>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row>
    <row r="150" ht="15.75" customHeight="1">
      <c r="A150" s="15"/>
      <c r="B150" s="260"/>
      <c r="C150" s="21"/>
      <c r="D150" s="15"/>
      <c r="E150" s="32"/>
      <c r="F150" s="262"/>
      <c r="G150" s="36"/>
      <c r="K150" s="11"/>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ht="15.75" customHeight="1">
      <c r="A151" s="32" t="s">
        <v>5</v>
      </c>
      <c r="B151" s="257" t="s">
        <v>35</v>
      </c>
      <c r="C151" s="66" t="s">
        <v>5592</v>
      </c>
      <c r="D151" s="32" t="s">
        <v>20</v>
      </c>
      <c r="E151" s="32" t="s">
        <v>895</v>
      </c>
      <c r="F151" s="551" t="s">
        <v>5593</v>
      </c>
      <c r="G151" s="35" t="s">
        <v>895</v>
      </c>
      <c r="K151" s="11"/>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row>
    <row r="152" ht="15.75" customHeight="1">
      <c r="A152" s="15"/>
      <c r="B152" s="260"/>
      <c r="C152" s="21"/>
      <c r="D152" s="15"/>
      <c r="E152" s="15"/>
      <c r="F152" s="262"/>
      <c r="G152" s="15"/>
      <c r="H152" s="11"/>
      <c r="I152" s="11"/>
      <c r="J152" s="11"/>
      <c r="K152" s="11"/>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ht="15.75" customHeight="1">
      <c r="A153" s="15"/>
      <c r="B153" s="260"/>
      <c r="C153" s="21"/>
      <c r="D153" s="15"/>
      <c r="E153" s="15"/>
      <c r="F153" s="262"/>
      <c r="G153" s="15"/>
      <c r="H153" s="11"/>
      <c r="I153" s="11"/>
      <c r="J153" s="11"/>
      <c r="K153" s="11"/>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row>
    <row r="154" ht="15.75" customHeight="1">
      <c r="A154" s="32" t="s">
        <v>5</v>
      </c>
      <c r="B154" s="257" t="s">
        <v>5594</v>
      </c>
      <c r="C154" s="66" t="s">
        <v>5588</v>
      </c>
      <c r="D154" s="32" t="s">
        <v>20</v>
      </c>
      <c r="E154" s="32" t="s">
        <v>89</v>
      </c>
      <c r="F154" s="558"/>
      <c r="G154" s="36"/>
      <c r="K154" s="11"/>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ht="15.75" customHeight="1">
      <c r="A155" s="32" t="s">
        <v>5</v>
      </c>
      <c r="B155" s="257" t="s">
        <v>5</v>
      </c>
      <c r="C155" s="66" t="s">
        <v>5</v>
      </c>
      <c r="D155" s="32" t="s">
        <v>5</v>
      </c>
      <c r="E155" s="32" t="s">
        <v>51</v>
      </c>
      <c r="F155" s="551" t="s">
        <v>5595</v>
      </c>
      <c r="G155" s="35" t="s">
        <v>51</v>
      </c>
      <c r="K155" s="11"/>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row>
    <row r="156" ht="15.75" customHeight="1">
      <c r="A156" s="32" t="s">
        <v>5</v>
      </c>
      <c r="B156" s="257" t="s">
        <v>5</v>
      </c>
      <c r="C156" s="66" t="s">
        <v>5</v>
      </c>
      <c r="D156" s="32" t="s">
        <v>5</v>
      </c>
      <c r="E156" s="32" t="s">
        <v>120</v>
      </c>
      <c r="F156" s="551" t="s">
        <v>5596</v>
      </c>
      <c r="G156" s="32" t="s">
        <v>120</v>
      </c>
      <c r="H156" s="11"/>
      <c r="I156" s="11"/>
      <c r="J156" s="11"/>
      <c r="K156" s="11"/>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row>
    <row r="157" ht="15.75" customHeight="1">
      <c r="A157" s="32" t="s">
        <v>5</v>
      </c>
      <c r="B157" s="257" t="s">
        <v>5</v>
      </c>
      <c r="C157" s="66" t="s">
        <v>5</v>
      </c>
      <c r="D157" s="32" t="s">
        <v>5</v>
      </c>
      <c r="E157" s="32" t="s">
        <v>121</v>
      </c>
      <c r="F157" s="551" t="s">
        <v>5597</v>
      </c>
      <c r="G157" s="35" t="s">
        <v>121</v>
      </c>
      <c r="K157" s="11"/>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row>
    <row r="158" ht="15.75" customHeight="1">
      <c r="A158" s="32" t="s">
        <v>5</v>
      </c>
      <c r="B158" s="257" t="s">
        <v>5</v>
      </c>
      <c r="C158" s="66" t="s">
        <v>5</v>
      </c>
      <c r="D158" s="32" t="s">
        <v>5</v>
      </c>
      <c r="E158" s="32" t="s">
        <v>122</v>
      </c>
      <c r="F158" s="551" t="s">
        <v>5598</v>
      </c>
      <c r="G158" s="35" t="s">
        <v>122</v>
      </c>
      <c r="K158" s="11"/>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row>
    <row r="159" ht="15.75" customHeight="1">
      <c r="A159" s="15"/>
      <c r="B159" s="260"/>
      <c r="C159" s="21"/>
      <c r="D159" s="15"/>
      <c r="E159" s="32"/>
      <c r="F159" s="262"/>
      <c r="G159" s="35"/>
      <c r="K159" s="11"/>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ht="15.75" customHeight="1">
      <c r="A160" s="32" t="s">
        <v>5</v>
      </c>
      <c r="B160" s="257" t="s">
        <v>1901</v>
      </c>
      <c r="C160" s="66" t="s">
        <v>5599</v>
      </c>
      <c r="D160" s="32" t="s">
        <v>20</v>
      </c>
      <c r="E160" s="32" t="s">
        <v>89</v>
      </c>
      <c r="F160" s="262"/>
      <c r="G160" s="36"/>
      <c r="K160" s="11"/>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row>
    <row r="161" ht="15.75" customHeight="1">
      <c r="A161" s="32" t="s">
        <v>5</v>
      </c>
      <c r="B161" s="257" t="s">
        <v>5</v>
      </c>
      <c r="C161" s="66" t="s">
        <v>5</v>
      </c>
      <c r="D161" s="32" t="s">
        <v>5</v>
      </c>
      <c r="E161" s="32" t="s">
        <v>51</v>
      </c>
      <c r="F161" s="551" t="s">
        <v>1903</v>
      </c>
      <c r="G161" s="32" t="s">
        <v>51</v>
      </c>
      <c r="H161" s="11"/>
      <c r="I161" s="11"/>
      <c r="J161" s="11"/>
      <c r="K161" s="11"/>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row>
    <row r="162" ht="15.75" customHeight="1">
      <c r="A162" s="32" t="s">
        <v>5</v>
      </c>
      <c r="B162" s="257" t="s">
        <v>5</v>
      </c>
      <c r="C162" s="66" t="s">
        <v>5</v>
      </c>
      <c r="D162" s="32" t="s">
        <v>5</v>
      </c>
      <c r="E162" s="32" t="s">
        <v>125</v>
      </c>
      <c r="F162" s="551" t="s">
        <v>5600</v>
      </c>
      <c r="G162" s="32" t="s">
        <v>125</v>
      </c>
      <c r="H162" s="11"/>
      <c r="I162" s="11"/>
      <c r="J162" s="11"/>
      <c r="K162" s="11"/>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row>
    <row r="163" ht="15.75" customHeight="1">
      <c r="A163" s="32" t="s">
        <v>5</v>
      </c>
      <c r="B163" s="257" t="s">
        <v>5</v>
      </c>
      <c r="C163" s="66" t="s">
        <v>5</v>
      </c>
      <c r="D163" s="32" t="s">
        <v>5</v>
      </c>
      <c r="E163" s="32" t="s">
        <v>126</v>
      </c>
      <c r="F163" s="551" t="s">
        <v>5601</v>
      </c>
      <c r="G163" s="35" t="s">
        <v>126</v>
      </c>
      <c r="K163" s="11"/>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row>
    <row r="164" ht="15.75" customHeight="1">
      <c r="A164" s="32" t="s">
        <v>5</v>
      </c>
      <c r="B164" s="257" t="s">
        <v>5</v>
      </c>
      <c r="C164" s="66" t="s">
        <v>5</v>
      </c>
      <c r="D164" s="32" t="s">
        <v>5</v>
      </c>
      <c r="E164" s="32" t="s">
        <v>96</v>
      </c>
      <c r="F164" s="551" t="s">
        <v>5602</v>
      </c>
      <c r="G164" s="35" t="s">
        <v>96</v>
      </c>
      <c r="K164" s="11"/>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row>
    <row r="165" ht="15.75" customHeight="1">
      <c r="A165" s="15"/>
      <c r="B165" s="260"/>
      <c r="C165" s="21"/>
      <c r="D165" s="15"/>
      <c r="E165" s="15"/>
      <c r="F165" s="262"/>
      <c r="G165" s="15"/>
      <c r="H165" s="11"/>
      <c r="I165" s="11"/>
      <c r="J165" s="11"/>
      <c r="K165" s="11"/>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row>
    <row r="166" ht="15.75" customHeight="1">
      <c r="A166" s="32" t="s">
        <v>5</v>
      </c>
      <c r="B166" s="257" t="s">
        <v>1907</v>
      </c>
      <c r="C166" s="66" t="s">
        <v>5603</v>
      </c>
      <c r="D166" s="32" t="s">
        <v>20</v>
      </c>
      <c r="E166" s="32" t="s">
        <v>89</v>
      </c>
      <c r="F166" s="262"/>
      <c r="G166" s="36"/>
      <c r="K166" s="11"/>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row>
    <row r="167" ht="15.75" customHeight="1">
      <c r="A167" s="32" t="s">
        <v>5</v>
      </c>
      <c r="B167" s="257" t="s">
        <v>5</v>
      </c>
      <c r="C167" s="66" t="s">
        <v>5</v>
      </c>
      <c r="D167" s="32" t="s">
        <v>5</v>
      </c>
      <c r="E167" s="32" t="s">
        <v>51</v>
      </c>
      <c r="F167" s="551" t="s">
        <v>1909</v>
      </c>
      <c r="G167" s="32" t="s">
        <v>51</v>
      </c>
      <c r="H167" s="11"/>
      <c r="I167" s="11"/>
      <c r="J167" s="11"/>
      <c r="K167" s="11"/>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row>
    <row r="168" ht="15.75" customHeight="1">
      <c r="A168" s="32" t="s">
        <v>5</v>
      </c>
      <c r="B168" s="257" t="s">
        <v>5</v>
      </c>
      <c r="C168" s="66" t="s">
        <v>5</v>
      </c>
      <c r="D168" s="32" t="s">
        <v>5</v>
      </c>
      <c r="E168" s="32" t="s">
        <v>125</v>
      </c>
      <c r="F168" s="551" t="s">
        <v>1910</v>
      </c>
      <c r="G168" s="32" t="s">
        <v>125</v>
      </c>
      <c r="H168" s="11"/>
      <c r="I168" s="11"/>
      <c r="J168" s="11"/>
      <c r="K168" s="11"/>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row>
    <row r="169" ht="15.75" customHeight="1">
      <c r="A169" s="32" t="s">
        <v>5</v>
      </c>
      <c r="B169" s="257" t="s">
        <v>5</v>
      </c>
      <c r="C169" s="66" t="s">
        <v>5</v>
      </c>
      <c r="D169" s="32" t="s">
        <v>5</v>
      </c>
      <c r="E169" s="32" t="s">
        <v>126</v>
      </c>
      <c r="F169" s="551" t="s">
        <v>1911</v>
      </c>
      <c r="G169" s="32" t="s">
        <v>126</v>
      </c>
      <c r="H169" s="11"/>
      <c r="I169" s="11"/>
      <c r="J169" s="11"/>
      <c r="K169" s="11"/>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row>
    <row r="170" ht="15.75" customHeight="1">
      <c r="A170" s="15"/>
      <c r="B170" s="260"/>
      <c r="C170" s="21"/>
      <c r="D170" s="15"/>
      <c r="E170" s="32"/>
      <c r="F170" s="262"/>
      <c r="G170" s="36"/>
      <c r="K170" s="11"/>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row>
    <row r="171" ht="15.75" customHeight="1">
      <c r="A171" s="15"/>
      <c r="B171" s="260"/>
      <c r="C171" s="21"/>
      <c r="D171" s="15"/>
      <c r="E171" s="32"/>
      <c r="F171" s="262"/>
      <c r="G171" s="36"/>
      <c r="K171" s="11"/>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row>
    <row r="172" ht="15.75" customHeight="1">
      <c r="A172" s="15"/>
      <c r="B172" s="260"/>
      <c r="C172" s="21"/>
      <c r="D172" s="15"/>
      <c r="E172" s="32"/>
      <c r="F172" s="262"/>
      <c r="G172" s="36"/>
      <c r="K172" s="11"/>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row>
    <row r="173" ht="15.75" customHeight="1">
      <c r="A173" s="15"/>
      <c r="B173" s="260"/>
      <c r="C173" s="21"/>
      <c r="D173" s="15"/>
      <c r="E173" s="32"/>
      <c r="F173" s="262"/>
      <c r="G173" s="36"/>
      <c r="K173" s="11"/>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row>
    <row r="174" ht="15.75" customHeight="1">
      <c r="A174" s="15"/>
      <c r="B174" s="260"/>
      <c r="C174" s="21"/>
      <c r="D174" s="15"/>
      <c r="E174" s="15"/>
      <c r="F174" s="262"/>
      <c r="G174" s="15"/>
      <c r="H174" s="11"/>
      <c r="I174" s="11"/>
      <c r="J174" s="11"/>
      <c r="K174" s="11"/>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row>
    <row r="175" ht="15.75" customHeight="1">
      <c r="A175" s="32" t="s">
        <v>5</v>
      </c>
      <c r="B175" s="257" t="s">
        <v>1912</v>
      </c>
      <c r="C175" s="66" t="s">
        <v>5604</v>
      </c>
      <c r="D175" s="32" t="s">
        <v>20</v>
      </c>
      <c r="E175" s="32" t="s">
        <v>89</v>
      </c>
      <c r="F175" s="262"/>
      <c r="G175" s="36"/>
      <c r="K175" s="11"/>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row>
    <row r="176" ht="15.75" customHeight="1">
      <c r="A176" s="32" t="s">
        <v>5</v>
      </c>
      <c r="B176" s="257" t="s">
        <v>5</v>
      </c>
      <c r="C176" s="66" t="s">
        <v>5</v>
      </c>
      <c r="D176" s="32" t="s">
        <v>5</v>
      </c>
      <c r="E176" s="32" t="s">
        <v>51</v>
      </c>
      <c r="F176" s="551" t="s">
        <v>1914</v>
      </c>
      <c r="G176" s="32" t="s">
        <v>51</v>
      </c>
      <c r="H176" s="11"/>
      <c r="I176" s="11"/>
      <c r="J176" s="11"/>
      <c r="K176" s="11"/>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row>
    <row r="177" ht="15.75" customHeight="1">
      <c r="A177" s="15"/>
      <c r="B177" s="260"/>
      <c r="C177" s="21"/>
      <c r="D177" s="15"/>
      <c r="E177" s="15"/>
      <c r="F177" s="262"/>
      <c r="G177" s="15"/>
      <c r="H177" s="11"/>
      <c r="I177" s="11"/>
      <c r="J177" s="11"/>
      <c r="K177" s="11"/>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row>
    <row r="178" ht="15.75" customHeight="1">
      <c r="A178" s="15"/>
      <c r="B178" s="260"/>
      <c r="C178" s="21"/>
      <c r="D178" s="15"/>
      <c r="E178" s="15"/>
      <c r="F178" s="262"/>
      <c r="G178" s="15"/>
      <c r="H178" s="11"/>
      <c r="I178" s="11"/>
      <c r="J178" s="11"/>
      <c r="K178" s="11"/>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row>
    <row r="179" ht="15.75" customHeight="1">
      <c r="A179" s="32" t="s">
        <v>5</v>
      </c>
      <c r="B179" s="257" t="s">
        <v>5605</v>
      </c>
      <c r="C179" s="66" t="s">
        <v>5606</v>
      </c>
      <c r="D179" s="32" t="s">
        <v>42</v>
      </c>
      <c r="E179" s="32" t="s">
        <v>51</v>
      </c>
      <c r="F179" s="551" t="s">
        <v>5607</v>
      </c>
      <c r="G179" s="32" t="s">
        <v>51</v>
      </c>
      <c r="H179" s="11"/>
      <c r="I179" s="11"/>
      <c r="J179" s="11"/>
      <c r="K179" s="11"/>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row>
    <row r="180" ht="15.75" customHeight="1">
      <c r="A180" s="15"/>
      <c r="B180" s="260"/>
      <c r="C180" s="21"/>
      <c r="D180" s="15"/>
      <c r="E180" s="15"/>
      <c r="F180" s="262"/>
      <c r="G180" s="15"/>
      <c r="H180" s="11"/>
      <c r="I180" s="11"/>
      <c r="J180" s="11"/>
      <c r="K180" s="11"/>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row>
    <row r="181" ht="15.75" customHeight="1">
      <c r="A181" s="32" t="s">
        <v>5</v>
      </c>
      <c r="B181" s="257" t="s">
        <v>35</v>
      </c>
      <c r="C181" s="66" t="s">
        <v>5</v>
      </c>
      <c r="D181" s="32" t="s">
        <v>20</v>
      </c>
      <c r="E181" s="32" t="s">
        <v>22</v>
      </c>
      <c r="F181" s="551" t="s">
        <v>5608</v>
      </c>
      <c r="G181" s="32" t="s">
        <v>22</v>
      </c>
      <c r="H181" s="11"/>
      <c r="I181" s="11"/>
      <c r="J181" s="11"/>
      <c r="K181" s="11"/>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row>
    <row r="182" ht="15.75" customHeight="1">
      <c r="A182" s="15"/>
      <c r="B182" s="260"/>
      <c r="C182" s="21"/>
      <c r="D182" s="15"/>
      <c r="E182" s="15"/>
      <c r="F182" s="262"/>
      <c r="G182" s="15"/>
      <c r="H182" s="11"/>
      <c r="I182" s="11"/>
      <c r="J182" s="11"/>
      <c r="K182" s="11"/>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row>
    <row r="183" ht="15.75" customHeight="1">
      <c r="A183" s="15"/>
      <c r="B183" s="260"/>
      <c r="C183" s="21"/>
      <c r="D183" s="15"/>
      <c r="E183" s="15"/>
      <c r="F183" s="262"/>
      <c r="G183" s="15"/>
      <c r="H183" s="11"/>
      <c r="I183" s="11"/>
      <c r="J183" s="11"/>
      <c r="K183" s="11"/>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row>
    <row r="184" ht="15.75" customHeight="1">
      <c r="A184" s="15"/>
      <c r="B184" s="260"/>
      <c r="C184" s="21"/>
      <c r="D184" s="15"/>
      <c r="E184" s="15"/>
      <c r="F184" s="262"/>
      <c r="G184" s="15"/>
      <c r="H184" s="11"/>
      <c r="I184" s="11"/>
      <c r="J184" s="11"/>
      <c r="K184" s="11"/>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row>
    <row r="185" ht="15.75" customHeight="1">
      <c r="A185" s="15"/>
      <c r="B185" s="260"/>
      <c r="C185" s="21"/>
      <c r="D185" s="15"/>
      <c r="E185" s="15"/>
      <c r="F185" s="262"/>
      <c r="G185" s="15"/>
      <c r="H185" s="11"/>
      <c r="I185" s="11"/>
      <c r="J185" s="11"/>
      <c r="K185" s="11"/>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row>
    <row r="186" ht="15.75" customHeight="1">
      <c r="A186" s="15"/>
      <c r="B186" s="260"/>
      <c r="C186" s="21"/>
      <c r="D186" s="15"/>
      <c r="E186" s="15"/>
      <c r="F186" s="262"/>
      <c r="G186" s="15"/>
      <c r="H186" s="11"/>
      <c r="I186" s="11"/>
      <c r="J186" s="11"/>
      <c r="K186" s="11"/>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row>
    <row r="187" ht="15.75" customHeight="1">
      <c r="A187" s="15"/>
      <c r="B187" s="260"/>
      <c r="C187" s="66"/>
      <c r="D187" s="15"/>
      <c r="E187" s="15"/>
      <c r="F187" s="262"/>
      <c r="G187" s="15"/>
      <c r="H187" s="11"/>
      <c r="I187" s="11"/>
      <c r="J187" s="11"/>
      <c r="K187" s="11"/>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row>
    <row r="188" ht="15.75" customHeight="1">
      <c r="A188" s="32"/>
      <c r="B188" s="257"/>
      <c r="C188" s="66"/>
      <c r="D188" s="32"/>
      <c r="E188" s="32"/>
      <c r="F188" s="262"/>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row>
    <row r="189" ht="15.75" customHeight="1">
      <c r="A189" s="32"/>
      <c r="B189" s="257"/>
      <c r="C189" s="66"/>
      <c r="D189" s="32"/>
      <c r="E189" s="32"/>
      <c r="F189" s="558"/>
      <c r="G189" s="32"/>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row>
    <row r="190" ht="15.75" customHeight="1">
      <c r="A190" s="32"/>
      <c r="B190" s="257"/>
      <c r="C190" s="66"/>
      <c r="D190" s="32"/>
      <c r="E190" s="32"/>
      <c r="F190" s="558"/>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row>
    <row r="191" ht="15.75" customHeight="1">
      <c r="A191" s="32"/>
      <c r="B191" s="257"/>
      <c r="C191" s="66"/>
      <c r="D191" s="32"/>
      <c r="E191" s="32"/>
      <c r="F191" s="558"/>
      <c r="G191" s="32"/>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row>
    <row r="192" ht="15.75" customHeight="1">
      <c r="A192" s="32"/>
      <c r="B192" s="257"/>
      <c r="C192" s="66"/>
      <c r="D192" s="32"/>
      <c r="E192" s="32"/>
      <c r="F192" s="558"/>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row>
    <row r="193" ht="15.75" customHeight="1">
      <c r="A193" s="15"/>
      <c r="B193" s="260"/>
      <c r="C193" s="21"/>
      <c r="D193" s="15"/>
      <c r="E193" s="32"/>
      <c r="F193" s="262"/>
      <c r="G193" s="32"/>
      <c r="H193" s="11"/>
      <c r="I193" s="11"/>
      <c r="J193" s="11"/>
      <c r="K193" s="11"/>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row>
    <row r="194" ht="15.75" customHeight="1">
      <c r="A194" s="15"/>
      <c r="B194" s="260"/>
      <c r="C194" s="21"/>
      <c r="D194" s="15"/>
      <c r="E194" s="32"/>
      <c r="F194" s="262"/>
      <c r="K194" s="11"/>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row>
    <row r="195" ht="15.75" customHeight="1">
      <c r="A195" s="15"/>
      <c r="B195" s="260"/>
      <c r="C195" s="21"/>
      <c r="D195" s="15"/>
      <c r="E195" s="32"/>
      <c r="F195" s="262"/>
      <c r="K195" s="11"/>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row>
    <row r="196" ht="15.75" customHeight="1">
      <c r="A196" s="15"/>
      <c r="B196" s="260"/>
      <c r="C196" s="21"/>
      <c r="D196" s="15"/>
      <c r="E196" s="15"/>
      <c r="F196" s="262"/>
      <c r="G196" s="15"/>
      <c r="H196" s="11"/>
      <c r="I196" s="11"/>
      <c r="J196" s="11"/>
      <c r="K196" s="11"/>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row>
    <row r="197" ht="15.75" customHeight="1">
      <c r="A197" s="15"/>
      <c r="B197" s="260"/>
      <c r="C197" s="21"/>
      <c r="D197" s="15"/>
      <c r="E197" s="15"/>
      <c r="F197" s="262"/>
      <c r="G197" s="15"/>
      <c r="H197" s="11"/>
      <c r="I197" s="11"/>
      <c r="J197" s="11"/>
      <c r="K197" s="11"/>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row>
    <row r="198" ht="15.75" customHeight="1">
      <c r="A198" s="32" t="s">
        <v>5</v>
      </c>
      <c r="B198" s="257" t="s">
        <v>5609</v>
      </c>
      <c r="C198" s="66" t="s">
        <v>5610</v>
      </c>
      <c r="D198" s="32" t="s">
        <v>20</v>
      </c>
      <c r="E198" s="32" t="s">
        <v>89</v>
      </c>
      <c r="F198" s="262"/>
      <c r="G198" s="36"/>
      <c r="K198" s="11"/>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row>
    <row r="199" ht="15.75" customHeight="1">
      <c r="A199" s="32" t="s">
        <v>5</v>
      </c>
      <c r="B199" s="257" t="s">
        <v>5</v>
      </c>
      <c r="C199" s="66" t="s">
        <v>5</v>
      </c>
      <c r="D199" s="32" t="s">
        <v>5</v>
      </c>
      <c r="E199" s="32" t="s">
        <v>51</v>
      </c>
      <c r="F199" s="551" t="s">
        <v>5611</v>
      </c>
      <c r="G199" s="32" t="s">
        <v>51</v>
      </c>
      <c r="H199" s="11"/>
      <c r="I199" s="11"/>
      <c r="J199" s="11"/>
      <c r="K199" s="11"/>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row>
    <row r="200" ht="15.75" customHeight="1">
      <c r="A200" s="32" t="s">
        <v>5</v>
      </c>
      <c r="B200" s="257" t="s">
        <v>5</v>
      </c>
      <c r="C200" s="66" t="s">
        <v>5</v>
      </c>
      <c r="D200" s="32" t="s">
        <v>5</v>
      </c>
      <c r="E200" s="32" t="s">
        <v>125</v>
      </c>
      <c r="F200" s="551" t="s">
        <v>5612</v>
      </c>
      <c r="G200" s="32" t="s">
        <v>125</v>
      </c>
      <c r="H200" s="11"/>
      <c r="I200" s="11"/>
      <c r="J200" s="11"/>
      <c r="K200" s="11"/>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row>
    <row r="201" ht="15.75" customHeight="1">
      <c r="A201" s="15"/>
      <c r="B201" s="260"/>
      <c r="C201" s="21"/>
      <c r="D201" s="15"/>
      <c r="E201" s="15"/>
      <c r="F201" s="262"/>
      <c r="G201" s="15"/>
      <c r="H201" s="11"/>
      <c r="I201" s="11"/>
      <c r="J201" s="11"/>
      <c r="K201" s="11"/>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row>
    <row r="202" ht="15.75" customHeight="1">
      <c r="A202" s="32" t="s">
        <v>5</v>
      </c>
      <c r="B202" s="257" t="s">
        <v>5613</v>
      </c>
      <c r="C202" s="66" t="s">
        <v>5</v>
      </c>
      <c r="D202" s="32" t="s">
        <v>5</v>
      </c>
      <c r="E202" s="32" t="s">
        <v>51</v>
      </c>
      <c r="F202" s="551" t="s">
        <v>5614</v>
      </c>
      <c r="G202" s="35" t="s">
        <v>51</v>
      </c>
      <c r="K202" s="11"/>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row>
    <row r="203" ht="15.75" customHeight="1">
      <c r="A203" s="32" t="s">
        <v>5</v>
      </c>
      <c r="B203" s="257" t="s">
        <v>5</v>
      </c>
      <c r="C203" s="66" t="s">
        <v>5</v>
      </c>
      <c r="D203" s="32" t="s">
        <v>5</v>
      </c>
      <c r="E203" s="32" t="s">
        <v>95</v>
      </c>
      <c r="F203" s="551" t="s">
        <v>5615</v>
      </c>
      <c r="G203" s="32" t="s">
        <v>95</v>
      </c>
      <c r="H203" s="11"/>
      <c r="I203" s="11"/>
      <c r="J203" s="11"/>
      <c r="K203" s="11"/>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row>
    <row r="204" ht="15.75" customHeight="1">
      <c r="A204" s="32" t="s">
        <v>5</v>
      </c>
      <c r="B204" s="257" t="s">
        <v>5</v>
      </c>
      <c r="C204" s="66" t="s">
        <v>5</v>
      </c>
      <c r="D204" s="32" t="s">
        <v>5</v>
      </c>
      <c r="E204" s="32" t="s">
        <v>96</v>
      </c>
      <c r="F204" s="551" t="s">
        <v>5616</v>
      </c>
      <c r="G204" s="32" t="s">
        <v>96</v>
      </c>
      <c r="H204" s="11"/>
      <c r="I204" s="11"/>
      <c r="J204" s="11"/>
      <c r="K204" s="11"/>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row>
    <row r="205" ht="15.75" customHeight="1">
      <c r="A205" s="32" t="s">
        <v>5</v>
      </c>
      <c r="B205" s="257" t="s">
        <v>5</v>
      </c>
      <c r="C205" s="66" t="s">
        <v>5</v>
      </c>
      <c r="D205" s="32" t="s">
        <v>5</v>
      </c>
      <c r="E205" s="32" t="s">
        <v>209</v>
      </c>
      <c r="F205" s="551" t="s">
        <v>5617</v>
      </c>
      <c r="G205" s="32" t="s">
        <v>209</v>
      </c>
      <c r="H205" s="11"/>
      <c r="I205" s="11"/>
      <c r="J205" s="11"/>
      <c r="K205" s="11"/>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row>
    <row r="206" ht="15.75" customHeight="1">
      <c r="A206" s="32" t="s">
        <v>5</v>
      </c>
      <c r="B206" s="257" t="s">
        <v>5</v>
      </c>
      <c r="C206" s="66" t="s">
        <v>5</v>
      </c>
      <c r="D206" s="32" t="s">
        <v>5</v>
      </c>
      <c r="E206" s="32" t="s">
        <v>210</v>
      </c>
      <c r="F206" s="551" t="s">
        <v>5618</v>
      </c>
      <c r="G206" s="32" t="s">
        <v>210</v>
      </c>
      <c r="H206" s="11"/>
      <c r="I206" s="11"/>
      <c r="J206" s="11"/>
      <c r="K206" s="11"/>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row>
    <row r="207" ht="15.75" customHeight="1">
      <c r="A207" s="32" t="s">
        <v>5</v>
      </c>
      <c r="B207" s="257" t="s">
        <v>5</v>
      </c>
      <c r="C207" s="66" t="s">
        <v>5</v>
      </c>
      <c r="D207" s="32" t="s">
        <v>5</v>
      </c>
      <c r="E207" s="32" t="s">
        <v>179</v>
      </c>
      <c r="F207" s="551" t="s">
        <v>5619</v>
      </c>
      <c r="G207" s="32" t="s">
        <v>179</v>
      </c>
      <c r="H207" s="11"/>
      <c r="I207" s="11"/>
      <c r="J207" s="11"/>
      <c r="K207" s="11"/>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row>
    <row r="208" ht="15.75" customHeight="1">
      <c r="A208" s="32" t="s">
        <v>5</v>
      </c>
      <c r="B208" s="257" t="s">
        <v>5</v>
      </c>
      <c r="C208" s="66" t="s">
        <v>5</v>
      </c>
      <c r="D208" s="32" t="s">
        <v>5</v>
      </c>
      <c r="E208" s="32" t="s">
        <v>180</v>
      </c>
      <c r="F208" s="551" t="s">
        <v>5620</v>
      </c>
      <c r="G208" s="32" t="s">
        <v>180</v>
      </c>
      <c r="H208" s="11"/>
      <c r="I208" s="11"/>
      <c r="J208" s="11"/>
      <c r="K208" s="11"/>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row>
    <row r="209" ht="15.75" customHeight="1">
      <c r="A209" s="32" t="s">
        <v>5</v>
      </c>
      <c r="B209" s="257" t="s">
        <v>5</v>
      </c>
      <c r="C209" s="66" t="s">
        <v>5</v>
      </c>
      <c r="D209" s="32" t="s">
        <v>5</v>
      </c>
      <c r="E209" s="32" t="s">
        <v>90</v>
      </c>
      <c r="F209" s="551" t="s">
        <v>5621</v>
      </c>
      <c r="G209" s="32" t="s">
        <v>90</v>
      </c>
      <c r="H209" s="11"/>
      <c r="I209" s="11"/>
      <c r="J209" s="11"/>
      <c r="K209" s="11"/>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row>
    <row r="210" ht="15.75" customHeight="1">
      <c r="A210" s="32" t="s">
        <v>5</v>
      </c>
      <c r="B210" s="257" t="s">
        <v>5</v>
      </c>
      <c r="C210" s="66" t="s">
        <v>5</v>
      </c>
      <c r="D210" s="32" t="s">
        <v>5</v>
      </c>
      <c r="E210" s="32" t="s">
        <v>92</v>
      </c>
      <c r="F210" s="551" t="s">
        <v>5622</v>
      </c>
      <c r="G210" s="32" t="s">
        <v>92</v>
      </c>
      <c r="H210" s="11"/>
      <c r="I210" s="11"/>
      <c r="J210" s="11"/>
      <c r="K210" s="11"/>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row>
    <row r="211" ht="15.75" customHeight="1">
      <c r="A211" s="32" t="s">
        <v>5</v>
      </c>
      <c r="B211" s="257" t="s">
        <v>5</v>
      </c>
      <c r="C211" s="66" t="s">
        <v>5</v>
      </c>
      <c r="D211" s="32" t="s">
        <v>5</v>
      </c>
      <c r="E211" s="32" t="s">
        <v>175</v>
      </c>
      <c r="F211" s="551" t="s">
        <v>5623</v>
      </c>
      <c r="G211" s="32" t="s">
        <v>175</v>
      </c>
      <c r="H211" s="11"/>
      <c r="I211" s="11"/>
      <c r="J211" s="11"/>
      <c r="K211" s="11"/>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row>
    <row r="212" ht="15.75" customHeight="1">
      <c r="A212" s="32" t="s">
        <v>5</v>
      </c>
      <c r="B212" s="257" t="s">
        <v>5</v>
      </c>
      <c r="C212" s="66" t="s">
        <v>5</v>
      </c>
      <c r="D212" s="32" t="s">
        <v>5</v>
      </c>
      <c r="E212" s="32" t="s">
        <v>207</v>
      </c>
      <c r="F212" s="551" t="s">
        <v>5624</v>
      </c>
      <c r="G212" s="32" t="s">
        <v>207</v>
      </c>
      <c r="H212" s="11"/>
      <c r="I212" s="11"/>
      <c r="J212" s="11"/>
      <c r="K212" s="11"/>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row>
    <row r="213" ht="15.75" customHeight="1">
      <c r="A213" s="32" t="s">
        <v>5</v>
      </c>
      <c r="B213" s="257" t="s">
        <v>5</v>
      </c>
      <c r="C213" s="66" t="s">
        <v>5</v>
      </c>
      <c r="D213" s="32" t="s">
        <v>5</v>
      </c>
      <c r="E213" s="32" t="s">
        <v>209</v>
      </c>
      <c r="F213" s="551" t="s">
        <v>5617</v>
      </c>
      <c r="G213" s="32" t="s">
        <v>209</v>
      </c>
      <c r="H213" s="11"/>
      <c r="I213" s="11"/>
      <c r="J213" s="11"/>
      <c r="K213" s="11"/>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row>
    <row r="214" ht="15.75" customHeight="1">
      <c r="A214" s="32" t="s">
        <v>5</v>
      </c>
      <c r="B214" s="257" t="s">
        <v>5</v>
      </c>
      <c r="C214" s="66" t="s">
        <v>5</v>
      </c>
      <c r="D214" s="32" t="s">
        <v>5</v>
      </c>
      <c r="E214" s="32" t="s">
        <v>210</v>
      </c>
      <c r="F214" s="551" t="s">
        <v>5625</v>
      </c>
      <c r="G214" s="32" t="s">
        <v>1987</v>
      </c>
      <c r="H214" s="11"/>
      <c r="I214" s="11"/>
      <c r="J214" s="11"/>
      <c r="K214" s="11"/>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row>
    <row r="215" ht="15.75" customHeight="1">
      <c r="A215" s="32" t="s">
        <v>5</v>
      </c>
      <c r="B215" s="257" t="s">
        <v>5</v>
      </c>
      <c r="C215" s="66" t="s">
        <v>5</v>
      </c>
      <c r="D215" s="32" t="s">
        <v>5</v>
      </c>
      <c r="E215" s="32" t="s">
        <v>179</v>
      </c>
      <c r="F215" s="551" t="s">
        <v>5619</v>
      </c>
      <c r="G215" s="32" t="s">
        <v>179</v>
      </c>
      <c r="H215" s="11"/>
      <c r="I215" s="11"/>
      <c r="J215" s="11"/>
      <c r="K215" s="11"/>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row>
    <row r="216" ht="15.75" customHeight="1">
      <c r="A216" s="32" t="s">
        <v>5</v>
      </c>
      <c r="B216" s="257" t="s">
        <v>5</v>
      </c>
      <c r="C216" s="66" t="s">
        <v>5</v>
      </c>
      <c r="D216" s="32" t="s">
        <v>5</v>
      </c>
      <c r="E216" s="32" t="s">
        <v>180</v>
      </c>
      <c r="F216" s="551" t="s">
        <v>5626</v>
      </c>
      <c r="G216" s="32" t="s">
        <v>2009</v>
      </c>
      <c r="H216" s="11"/>
      <c r="I216" s="11"/>
      <c r="J216" s="11"/>
      <c r="K216" s="11"/>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row>
    <row r="217" ht="15.75" customHeight="1">
      <c r="A217" s="32" t="s">
        <v>5</v>
      </c>
      <c r="B217" s="257" t="s">
        <v>5</v>
      </c>
      <c r="C217" s="66" t="s">
        <v>5</v>
      </c>
      <c r="D217" s="32" t="s">
        <v>5</v>
      </c>
      <c r="E217" s="32" t="s">
        <v>208</v>
      </c>
      <c r="F217" s="551" t="s">
        <v>5627</v>
      </c>
      <c r="G217" s="32" t="s">
        <v>208</v>
      </c>
      <c r="H217" s="11"/>
      <c r="I217" s="11"/>
      <c r="J217" s="11"/>
      <c r="K217" s="11"/>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row>
    <row r="218" ht="15.75" customHeight="1">
      <c r="A218" s="32" t="s">
        <v>5</v>
      </c>
      <c r="B218" s="257" t="s">
        <v>5</v>
      </c>
      <c r="C218" s="66" t="s">
        <v>5</v>
      </c>
      <c r="D218" s="32" t="s">
        <v>5</v>
      </c>
      <c r="E218" s="32" t="s">
        <v>182</v>
      </c>
      <c r="F218" s="551" t="s">
        <v>5628</v>
      </c>
      <c r="G218" s="32" t="s">
        <v>182</v>
      </c>
      <c r="H218" s="11"/>
      <c r="I218" s="11"/>
      <c r="J218" s="11"/>
      <c r="K218" s="11"/>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row>
    <row r="219" ht="15.75" customHeight="1">
      <c r="A219" s="15"/>
      <c r="B219" s="260"/>
      <c r="C219" s="21"/>
      <c r="D219" s="15"/>
      <c r="E219" s="15"/>
      <c r="F219" s="262"/>
      <c r="G219" s="15"/>
      <c r="H219" s="11"/>
      <c r="I219" s="11"/>
      <c r="J219" s="11"/>
      <c r="K219" s="11"/>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row>
    <row r="220" ht="15.75" customHeight="1">
      <c r="A220" s="32" t="s">
        <v>5</v>
      </c>
      <c r="B220" s="257" t="s">
        <v>2392</v>
      </c>
      <c r="C220" s="66" t="s">
        <v>5629</v>
      </c>
      <c r="D220" s="32" t="s">
        <v>20</v>
      </c>
      <c r="E220" s="32" t="s">
        <v>51</v>
      </c>
      <c r="F220" s="551" t="s">
        <v>5630</v>
      </c>
      <c r="G220" s="32" t="s">
        <v>51</v>
      </c>
      <c r="H220" s="11"/>
      <c r="I220" s="11"/>
      <c r="J220" s="11"/>
      <c r="K220" s="11"/>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row>
    <row r="221" ht="15.75" customHeight="1">
      <c r="A221" s="32" t="s">
        <v>5</v>
      </c>
      <c r="B221" s="257" t="s">
        <v>5</v>
      </c>
      <c r="C221" s="66" t="s">
        <v>5</v>
      </c>
      <c r="D221" s="32" t="s">
        <v>5</v>
      </c>
      <c r="E221" s="32" t="s">
        <v>53</v>
      </c>
      <c r="F221" s="551" t="s">
        <v>5631</v>
      </c>
      <c r="G221" s="32" t="s">
        <v>53</v>
      </c>
      <c r="H221" s="11"/>
      <c r="I221" s="11"/>
      <c r="J221" s="11"/>
      <c r="K221" s="11"/>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row>
    <row r="222" ht="15.75" customHeight="1">
      <c r="A222" s="32" t="s">
        <v>5</v>
      </c>
      <c r="B222" s="257" t="s">
        <v>5</v>
      </c>
      <c r="C222" s="66" t="s">
        <v>5</v>
      </c>
      <c r="D222" s="32" t="s">
        <v>5</v>
      </c>
      <c r="E222" s="32" t="s">
        <v>132</v>
      </c>
      <c r="F222" s="551" t="s">
        <v>5632</v>
      </c>
      <c r="G222" s="32" t="s">
        <v>132</v>
      </c>
      <c r="H222" s="11"/>
      <c r="I222" s="11"/>
      <c r="J222" s="11"/>
      <c r="K222" s="11"/>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row>
    <row r="223" ht="15.75" customHeight="1">
      <c r="A223" s="32" t="s">
        <v>5</v>
      </c>
      <c r="B223" s="257" t="s">
        <v>5</v>
      </c>
      <c r="C223" s="66" t="s">
        <v>5</v>
      </c>
      <c r="D223" s="32" t="s">
        <v>5</v>
      </c>
      <c r="E223" s="32" t="s">
        <v>77</v>
      </c>
      <c r="F223" s="551" t="s">
        <v>5633</v>
      </c>
      <c r="G223" s="32" t="s">
        <v>77</v>
      </c>
      <c r="H223" s="11"/>
      <c r="I223" s="11"/>
      <c r="J223" s="11"/>
      <c r="K223" s="11"/>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row>
    <row r="224" ht="15.75" customHeight="1">
      <c r="A224" s="15"/>
      <c r="B224" s="260"/>
      <c r="C224" s="21"/>
      <c r="D224" s="15"/>
      <c r="E224" s="15"/>
      <c r="F224" s="262"/>
      <c r="G224" s="15"/>
      <c r="H224" s="11"/>
      <c r="I224" s="11"/>
      <c r="J224" s="11"/>
      <c r="K224" s="11"/>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row>
    <row r="225" ht="15.75" customHeight="1">
      <c r="A225" s="32" t="s">
        <v>5</v>
      </c>
      <c r="B225" s="257" t="s">
        <v>2394</v>
      </c>
      <c r="C225" s="66" t="s">
        <v>5634</v>
      </c>
      <c r="D225" s="32" t="s">
        <v>20</v>
      </c>
      <c r="E225" s="32" t="s">
        <v>22</v>
      </c>
      <c r="F225" s="551" t="s">
        <v>5635</v>
      </c>
      <c r="G225" s="32" t="s">
        <v>22</v>
      </c>
      <c r="H225" s="11"/>
      <c r="I225" s="11"/>
      <c r="J225" s="11"/>
      <c r="K225" s="11"/>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row>
    <row r="226" ht="15.75" customHeight="1">
      <c r="A226" s="15"/>
      <c r="B226" s="260"/>
      <c r="C226" s="21"/>
      <c r="D226" s="32"/>
      <c r="E226" s="32" t="s">
        <v>22</v>
      </c>
      <c r="F226" s="262"/>
      <c r="G226" s="15"/>
      <c r="H226" s="11"/>
      <c r="I226" s="11"/>
      <c r="J226" s="11"/>
      <c r="K226" s="11"/>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row>
    <row r="227" ht="15.75" customHeight="1">
      <c r="A227" s="32" t="s">
        <v>5</v>
      </c>
      <c r="B227" s="257" t="s">
        <v>5636</v>
      </c>
      <c r="C227" s="66" t="s">
        <v>5637</v>
      </c>
      <c r="D227" s="32" t="s">
        <v>20</v>
      </c>
      <c r="E227" s="32" t="s">
        <v>22</v>
      </c>
      <c r="F227" s="262"/>
      <c r="G227" s="15"/>
      <c r="H227" s="11"/>
      <c r="I227" s="11"/>
      <c r="J227" s="11"/>
      <c r="K227" s="11"/>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row>
    <row r="228" ht="15.75" customHeight="1">
      <c r="A228" s="32" t="s">
        <v>5</v>
      </c>
      <c r="B228" s="257" t="s">
        <v>5</v>
      </c>
      <c r="C228" s="66" t="s">
        <v>5</v>
      </c>
      <c r="D228" s="32" t="s">
        <v>20</v>
      </c>
      <c r="E228" s="32" t="s">
        <v>22</v>
      </c>
      <c r="F228" s="262"/>
      <c r="G228" s="15"/>
      <c r="H228" s="11"/>
      <c r="I228" s="11"/>
      <c r="J228" s="11"/>
      <c r="K228" s="11"/>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row>
    <row r="229" ht="15.75" customHeight="1">
      <c r="A229" s="15"/>
      <c r="B229" s="257" t="s">
        <v>5638</v>
      </c>
      <c r="C229" s="66" t="s">
        <v>5639</v>
      </c>
      <c r="D229" s="32" t="s">
        <v>20</v>
      </c>
      <c r="E229" s="32" t="s">
        <v>22</v>
      </c>
      <c r="F229" s="262"/>
      <c r="G229" s="15"/>
      <c r="H229" s="11"/>
      <c r="I229" s="11"/>
      <c r="J229" s="11"/>
      <c r="K229" s="11"/>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ht="15.75" customHeight="1">
      <c r="A230" s="15"/>
      <c r="B230" s="260"/>
      <c r="C230" s="21"/>
      <c r="D230" s="15"/>
      <c r="E230" s="15"/>
      <c r="F230" s="262"/>
      <c r="G230" s="15"/>
      <c r="H230" s="11"/>
      <c r="I230" s="11"/>
      <c r="J230" s="11"/>
      <c r="K230" s="11"/>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row>
    <row r="231" ht="15.75" customHeight="1">
      <c r="A231" s="15"/>
      <c r="B231" s="257"/>
      <c r="C231" s="66"/>
      <c r="D231" s="32"/>
      <c r="E231" s="15"/>
      <c r="F231" s="262"/>
      <c r="G231" s="15"/>
      <c r="H231" s="11"/>
      <c r="I231" s="11"/>
      <c r="J231" s="11"/>
      <c r="K231" s="11"/>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row>
    <row r="232" ht="15.75" customHeight="1">
      <c r="A232" s="15"/>
      <c r="B232" s="257" t="s">
        <v>142</v>
      </c>
      <c r="C232" s="66" t="s">
        <v>5640</v>
      </c>
      <c r="D232" s="32" t="s">
        <v>20</v>
      </c>
      <c r="E232" s="15"/>
      <c r="F232" s="262"/>
      <c r="G232" s="15"/>
      <c r="H232" s="11"/>
      <c r="I232" s="11"/>
      <c r="J232" s="11"/>
      <c r="K232" s="11"/>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row>
    <row r="233" ht="15.75" customHeight="1">
      <c r="A233" s="15"/>
      <c r="B233" s="260"/>
      <c r="C233" s="21"/>
      <c r="D233" s="32"/>
      <c r="E233" s="15"/>
      <c r="F233" s="262"/>
      <c r="G233" s="15"/>
      <c r="H233" s="11"/>
      <c r="I233" s="11"/>
      <c r="J233" s="11"/>
      <c r="K233" s="11"/>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row>
    <row r="234" ht="15.75" customHeight="1">
      <c r="A234" s="15"/>
      <c r="B234" s="260"/>
      <c r="C234" s="21"/>
      <c r="D234" s="15"/>
      <c r="E234" s="15"/>
      <c r="F234" s="262"/>
      <c r="G234" s="15"/>
      <c r="H234" s="11"/>
      <c r="I234" s="11"/>
      <c r="J234" s="11"/>
      <c r="K234" s="11"/>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row>
    <row r="235" ht="15.75" customHeight="1">
      <c r="A235" s="15"/>
      <c r="B235" s="260"/>
      <c r="C235" s="21"/>
      <c r="D235" s="15"/>
      <c r="E235" s="15"/>
      <c r="F235" s="262"/>
      <c r="G235" s="15"/>
      <c r="H235" s="11"/>
      <c r="I235" s="11"/>
      <c r="J235" s="11"/>
      <c r="K235" s="11"/>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row>
    <row r="236" ht="15.75" customHeight="1">
      <c r="A236" s="15"/>
      <c r="B236" s="260"/>
      <c r="C236" s="21"/>
      <c r="D236" s="32"/>
      <c r="E236" s="15"/>
      <c r="F236" s="262"/>
      <c r="G236" s="15"/>
      <c r="H236" s="11"/>
      <c r="I236" s="11"/>
      <c r="J236" s="11"/>
      <c r="K236" s="11"/>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row>
    <row r="237" ht="15.75" customHeight="1">
      <c r="A237" s="15"/>
      <c r="B237" s="257"/>
      <c r="C237" s="21"/>
      <c r="D237" s="32"/>
      <c r="E237" s="15"/>
      <c r="F237" s="262"/>
      <c r="G237" s="15"/>
      <c r="H237" s="11"/>
      <c r="I237" s="11"/>
      <c r="J237" s="11"/>
      <c r="K237" s="11"/>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row>
    <row r="238" ht="15.75" customHeight="1">
      <c r="A238" s="15"/>
      <c r="B238" s="260"/>
      <c r="C238" s="21"/>
      <c r="D238" s="15"/>
      <c r="E238" s="15"/>
      <c r="F238" s="262"/>
      <c r="G238" s="15"/>
      <c r="H238" s="11"/>
      <c r="I238" s="11"/>
      <c r="J238" s="11"/>
      <c r="K238" s="11"/>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row>
    <row r="239" ht="15.75" customHeight="1">
      <c r="A239" s="15"/>
      <c r="B239" s="260"/>
      <c r="C239" s="21"/>
      <c r="D239" s="15"/>
      <c r="E239" s="15"/>
      <c r="F239" s="262"/>
      <c r="G239" s="15"/>
      <c r="H239" s="11"/>
      <c r="I239" s="11"/>
      <c r="J239" s="11"/>
      <c r="K239" s="11"/>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row>
    <row r="240" ht="15.75" customHeight="1">
      <c r="A240" s="15"/>
      <c r="B240" s="260"/>
      <c r="C240" s="21"/>
      <c r="D240" s="15"/>
      <c r="E240" s="15"/>
      <c r="F240" s="262"/>
      <c r="G240" s="15"/>
      <c r="H240" s="11"/>
      <c r="I240" s="11"/>
      <c r="J240" s="11"/>
      <c r="K240" s="11"/>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row>
    <row r="241" ht="15.75" customHeight="1">
      <c r="A241" s="15"/>
      <c r="B241" s="260"/>
      <c r="C241" s="21"/>
      <c r="D241" s="15"/>
      <c r="E241" s="15"/>
      <c r="F241" s="262"/>
      <c r="G241" s="15"/>
      <c r="H241" s="11"/>
      <c r="I241" s="11"/>
      <c r="J241" s="11"/>
      <c r="K241" s="11"/>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row>
    <row r="242" ht="15.75" customHeight="1">
      <c r="A242" s="15"/>
      <c r="B242" s="260"/>
      <c r="C242" s="21"/>
      <c r="D242" s="15"/>
      <c r="E242" s="15"/>
      <c r="F242" s="262"/>
      <c r="G242" s="15"/>
      <c r="H242" s="11"/>
      <c r="I242" s="11"/>
      <c r="J242" s="11"/>
      <c r="K242" s="11"/>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row>
    <row r="243" ht="15.75" customHeight="1">
      <c r="A243" s="15"/>
      <c r="B243" s="260"/>
      <c r="C243" s="21"/>
      <c r="D243" s="15"/>
      <c r="E243" s="15"/>
      <c r="F243" s="262"/>
      <c r="G243" s="15"/>
      <c r="H243" s="11"/>
      <c r="I243" s="11"/>
      <c r="J243" s="11"/>
      <c r="K243" s="11"/>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row>
    <row r="244" ht="15.75" customHeight="1">
      <c r="A244" s="15"/>
      <c r="B244" s="260"/>
      <c r="C244" s="21"/>
      <c r="D244" s="15"/>
      <c r="E244" s="15"/>
      <c r="F244" s="262"/>
      <c r="G244" s="15"/>
      <c r="H244" s="11"/>
      <c r="I244" s="11"/>
      <c r="J244" s="11"/>
      <c r="K244" s="11"/>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row>
    <row r="245" ht="15.75" customHeight="1">
      <c r="A245" s="15"/>
      <c r="B245" s="260"/>
      <c r="C245" s="21"/>
      <c r="D245" s="15"/>
      <c r="E245" s="15"/>
      <c r="F245" s="262"/>
      <c r="G245" s="15"/>
      <c r="H245" s="11"/>
      <c r="I245" s="11"/>
      <c r="J245" s="11"/>
      <c r="K245" s="11"/>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row>
    <row r="246" ht="15.75" customHeight="1">
      <c r="A246" s="15"/>
      <c r="B246" s="260"/>
      <c r="C246" s="21"/>
      <c r="D246" s="15"/>
      <c r="E246" s="15"/>
      <c r="F246" s="262"/>
      <c r="G246" s="15"/>
      <c r="H246" s="11"/>
      <c r="I246" s="11"/>
      <c r="J246" s="11"/>
      <c r="K246" s="11"/>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row>
    <row r="247" ht="15.75" customHeight="1">
      <c r="A247" s="15"/>
      <c r="B247" s="260"/>
      <c r="C247" s="21"/>
      <c r="D247" s="15"/>
      <c r="E247" s="15"/>
      <c r="F247" s="262"/>
      <c r="G247" s="15"/>
      <c r="H247" s="11"/>
      <c r="I247" s="11"/>
      <c r="J247" s="11"/>
      <c r="K247" s="11"/>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row>
    <row r="248" ht="15.75" customHeight="1">
      <c r="A248" s="15"/>
      <c r="B248" s="260"/>
      <c r="C248" s="21"/>
      <c r="D248" s="15"/>
      <c r="E248" s="15"/>
      <c r="F248" s="262"/>
      <c r="G248" s="15"/>
      <c r="H248" s="11"/>
      <c r="I248" s="11"/>
      <c r="J248" s="11"/>
      <c r="K248" s="11"/>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row>
    <row r="249" ht="15.75" customHeight="1">
      <c r="A249" s="15"/>
      <c r="B249" s="260"/>
      <c r="C249" s="21"/>
      <c r="D249" s="15"/>
      <c r="E249" s="15"/>
      <c r="F249" s="262"/>
      <c r="G249" s="15"/>
      <c r="H249" s="11"/>
      <c r="I249" s="11"/>
      <c r="J249" s="11"/>
      <c r="K249" s="11"/>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row>
    <row r="250" ht="15.75" customHeight="1">
      <c r="A250" s="15"/>
      <c r="B250" s="260"/>
      <c r="C250" s="21"/>
      <c r="D250" s="15"/>
      <c r="E250" s="15"/>
      <c r="F250" s="262"/>
      <c r="G250" s="15"/>
      <c r="H250" s="11"/>
      <c r="I250" s="11"/>
      <c r="J250" s="11"/>
      <c r="K250" s="11"/>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row>
    <row r="251" ht="15.75" customHeight="1">
      <c r="A251" s="15"/>
      <c r="B251" s="260"/>
      <c r="C251" s="21"/>
      <c r="D251" s="15"/>
      <c r="E251" s="15"/>
      <c r="F251" s="262"/>
      <c r="G251" s="15"/>
      <c r="H251" s="11"/>
      <c r="I251" s="11"/>
      <c r="J251" s="11"/>
      <c r="K251" s="11"/>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row>
    <row r="252" ht="15.75" customHeight="1">
      <c r="A252" s="15"/>
      <c r="B252" s="260"/>
      <c r="C252" s="21"/>
      <c r="D252" s="15"/>
      <c r="E252" s="15"/>
      <c r="F252" s="262"/>
      <c r="G252" s="15"/>
      <c r="H252" s="11"/>
      <c r="I252" s="11"/>
      <c r="J252" s="11"/>
      <c r="K252" s="11"/>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row>
    <row r="253" ht="15.75" customHeight="1">
      <c r="A253" s="15"/>
      <c r="B253" s="260"/>
      <c r="C253" s="21"/>
      <c r="D253" s="15"/>
      <c r="E253" s="15"/>
      <c r="F253" s="262"/>
      <c r="G253" s="15"/>
      <c r="H253" s="11"/>
      <c r="I253" s="11"/>
      <c r="J253" s="11"/>
      <c r="K253" s="11"/>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row>
    <row r="254" ht="15.75" customHeight="1">
      <c r="A254" s="15"/>
      <c r="B254" s="260"/>
      <c r="C254" s="21"/>
      <c r="D254" s="15"/>
      <c r="E254" s="15"/>
      <c r="F254" s="262"/>
      <c r="G254" s="15"/>
      <c r="H254" s="11"/>
      <c r="I254" s="11"/>
      <c r="J254" s="11"/>
      <c r="K254" s="11"/>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row>
    <row r="255" ht="15.75" customHeight="1">
      <c r="A255" s="15"/>
      <c r="B255" s="260"/>
      <c r="C255" s="21"/>
      <c r="D255" s="15"/>
      <c r="E255" s="15"/>
      <c r="F255" s="262"/>
      <c r="G255" s="15"/>
      <c r="H255" s="11"/>
      <c r="I255" s="11"/>
      <c r="J255" s="11"/>
      <c r="K255" s="11"/>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row>
    <row r="256" ht="15.75" customHeight="1">
      <c r="A256" s="15"/>
      <c r="B256" s="260"/>
      <c r="C256" s="21"/>
      <c r="D256" s="15"/>
      <c r="E256" s="15"/>
      <c r="F256" s="262"/>
      <c r="G256" s="15"/>
      <c r="H256" s="11"/>
      <c r="I256" s="11"/>
      <c r="J256" s="11"/>
      <c r="K256" s="11"/>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row>
    <row r="257" ht="15.75" customHeight="1">
      <c r="A257" s="15"/>
      <c r="B257" s="260"/>
      <c r="C257" s="21"/>
      <c r="D257" s="15"/>
      <c r="E257" s="15"/>
      <c r="F257" s="262"/>
      <c r="G257" s="15"/>
      <c r="H257" s="11"/>
      <c r="I257" s="11"/>
      <c r="J257" s="11"/>
      <c r="K257" s="11"/>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row>
    <row r="258" ht="15.75" customHeight="1">
      <c r="A258" s="15"/>
      <c r="B258" s="260"/>
      <c r="C258" s="21"/>
      <c r="D258" s="15"/>
      <c r="E258" s="15"/>
      <c r="F258" s="262"/>
      <c r="G258" s="15"/>
      <c r="H258" s="11"/>
      <c r="I258" s="11"/>
      <c r="J258" s="11"/>
      <c r="K258" s="11"/>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row>
    <row r="259" ht="15.75" customHeight="1">
      <c r="A259" s="15"/>
      <c r="B259" s="260"/>
      <c r="C259" s="21"/>
      <c r="D259" s="15"/>
      <c r="E259" s="15"/>
      <c r="F259" s="262"/>
      <c r="G259" s="15"/>
      <c r="H259" s="11"/>
      <c r="I259" s="11"/>
      <c r="J259" s="11"/>
      <c r="K259" s="11"/>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row>
    <row r="260" ht="15.75" customHeight="1">
      <c r="A260" s="15"/>
      <c r="B260" s="260"/>
      <c r="C260" s="21"/>
      <c r="D260" s="15"/>
      <c r="E260" s="15"/>
      <c r="F260" s="262"/>
      <c r="G260" s="15"/>
      <c r="H260" s="11"/>
      <c r="I260" s="11"/>
      <c r="J260" s="11"/>
      <c r="K260" s="11"/>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row>
    <row r="261" ht="15.75" customHeight="1">
      <c r="A261" s="15"/>
      <c r="B261" s="260"/>
      <c r="C261" s="21"/>
      <c r="D261" s="15"/>
      <c r="E261" s="15"/>
      <c r="F261" s="262"/>
      <c r="G261" s="15"/>
      <c r="H261" s="11"/>
      <c r="I261" s="11"/>
      <c r="J261" s="11"/>
      <c r="K261" s="11"/>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row>
    <row r="262" ht="15.75" customHeight="1">
      <c r="A262" s="15"/>
      <c r="B262" s="260"/>
      <c r="C262" s="21"/>
      <c r="D262" s="15"/>
      <c r="E262" s="15"/>
      <c r="F262" s="262"/>
      <c r="G262" s="15"/>
      <c r="H262" s="11"/>
      <c r="I262" s="11"/>
      <c r="J262" s="11"/>
      <c r="K262" s="11"/>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row>
    <row r="263" ht="15.75" customHeight="1">
      <c r="A263" s="15"/>
      <c r="B263" s="260"/>
      <c r="C263" s="21"/>
      <c r="D263" s="15"/>
      <c r="E263" s="15"/>
      <c r="F263" s="262"/>
      <c r="G263" s="15"/>
      <c r="H263" s="11"/>
      <c r="I263" s="11"/>
      <c r="J263" s="11"/>
      <c r="K263" s="11"/>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row>
    <row r="264" ht="15.75" customHeight="1">
      <c r="A264" s="15"/>
      <c r="B264" s="260"/>
      <c r="C264" s="21"/>
      <c r="D264" s="15"/>
      <c r="E264" s="15"/>
      <c r="F264" s="262"/>
      <c r="G264" s="15"/>
      <c r="H264" s="11"/>
      <c r="I264" s="11"/>
      <c r="J264" s="11"/>
      <c r="K264" s="11"/>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row>
    <row r="265" ht="15.75" customHeight="1">
      <c r="A265" s="15"/>
      <c r="B265" s="260"/>
      <c r="C265" s="21"/>
      <c r="D265" s="15"/>
      <c r="E265" s="15"/>
      <c r="F265" s="262"/>
      <c r="G265" s="15"/>
      <c r="H265" s="11"/>
      <c r="I265" s="11"/>
      <c r="J265" s="11"/>
      <c r="K265" s="11"/>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row>
    <row r="266" ht="15.75" customHeight="1">
      <c r="A266" s="15"/>
      <c r="B266" s="260"/>
      <c r="C266" s="21"/>
      <c r="D266" s="15"/>
      <c r="E266" s="15"/>
      <c r="F266" s="262"/>
      <c r="G266" s="15"/>
      <c r="H266" s="11"/>
      <c r="I266" s="11"/>
      <c r="J266" s="11"/>
      <c r="K266" s="11"/>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row>
    <row r="267" ht="15.75" customHeight="1">
      <c r="A267" s="15"/>
      <c r="B267" s="260"/>
      <c r="C267" s="21"/>
      <c r="D267" s="15"/>
      <c r="E267" s="15"/>
      <c r="F267" s="262"/>
      <c r="G267" s="15"/>
      <c r="H267" s="11"/>
      <c r="I267" s="11"/>
      <c r="J267" s="11"/>
      <c r="K267" s="11"/>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row>
    <row r="268" ht="15.75" customHeight="1">
      <c r="A268" s="15"/>
      <c r="B268" s="260"/>
      <c r="C268" s="21"/>
      <c r="D268" s="15"/>
      <c r="E268" s="15"/>
      <c r="F268" s="262"/>
      <c r="G268" s="15"/>
      <c r="H268" s="11"/>
      <c r="I268" s="11"/>
      <c r="J268" s="11"/>
      <c r="K268" s="11"/>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row>
    <row r="269" ht="15.75" customHeight="1">
      <c r="A269" s="15"/>
      <c r="B269" s="260"/>
      <c r="C269" s="21"/>
      <c r="D269" s="15"/>
      <c r="E269" s="15"/>
      <c r="F269" s="262"/>
      <c r="G269" s="15"/>
      <c r="H269" s="11"/>
      <c r="I269" s="11"/>
      <c r="J269" s="11"/>
      <c r="K269" s="11"/>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row>
    <row r="270" ht="15.75" customHeight="1">
      <c r="A270" s="15"/>
      <c r="B270" s="260"/>
      <c r="C270" s="21"/>
      <c r="D270" s="15"/>
      <c r="E270" s="15"/>
      <c r="F270" s="262"/>
      <c r="G270" s="15"/>
      <c r="H270" s="11"/>
      <c r="I270" s="11"/>
      <c r="J270" s="11"/>
      <c r="K270" s="11"/>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row>
    <row r="271" ht="15.75" customHeight="1">
      <c r="A271" s="15"/>
      <c r="B271" s="260"/>
      <c r="C271" s="21"/>
      <c r="D271" s="15"/>
      <c r="E271" s="15"/>
      <c r="F271" s="262"/>
      <c r="G271" s="15"/>
      <c r="H271" s="11"/>
      <c r="I271" s="11"/>
      <c r="J271" s="11"/>
      <c r="K271" s="11"/>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row>
    <row r="272" ht="15.75" customHeight="1">
      <c r="A272" s="15"/>
      <c r="B272" s="260"/>
      <c r="C272" s="21"/>
      <c r="D272" s="15"/>
      <c r="E272" s="15"/>
      <c r="F272" s="262"/>
      <c r="G272" s="15"/>
      <c r="H272" s="11"/>
      <c r="I272" s="11"/>
      <c r="J272" s="11"/>
      <c r="K272" s="11"/>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row>
    <row r="273" ht="15.75" customHeight="1">
      <c r="A273" s="15"/>
      <c r="B273" s="260"/>
      <c r="C273" s="21"/>
      <c r="D273" s="15"/>
      <c r="E273" s="15"/>
      <c r="F273" s="262"/>
      <c r="G273" s="15"/>
      <c r="H273" s="11"/>
      <c r="I273" s="11"/>
      <c r="J273" s="11"/>
      <c r="K273" s="11"/>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row>
    <row r="274" ht="15.75" customHeight="1">
      <c r="A274" s="15"/>
      <c r="B274" s="260"/>
      <c r="C274" s="21"/>
      <c r="D274" s="15"/>
      <c r="E274" s="15"/>
      <c r="F274" s="262"/>
      <c r="G274" s="15"/>
      <c r="H274" s="11"/>
      <c r="I274" s="11"/>
      <c r="J274" s="11"/>
      <c r="K274" s="11"/>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row>
    <row r="275" ht="15.75" customHeight="1">
      <c r="A275" s="15"/>
      <c r="B275" s="260"/>
      <c r="C275" s="21"/>
      <c r="D275" s="15"/>
      <c r="E275" s="15"/>
      <c r="F275" s="262"/>
      <c r="G275" s="15"/>
      <c r="H275" s="11"/>
      <c r="I275" s="11"/>
      <c r="J275" s="11"/>
      <c r="K275" s="11"/>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row>
    <row r="276" ht="15.75" customHeight="1">
      <c r="A276" s="15"/>
      <c r="B276" s="260"/>
      <c r="C276" s="21"/>
      <c r="D276" s="15"/>
      <c r="E276" s="15"/>
      <c r="F276" s="262"/>
      <c r="G276" s="15"/>
      <c r="H276" s="11"/>
      <c r="I276" s="11"/>
      <c r="J276" s="11"/>
      <c r="K276" s="11"/>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row>
    <row r="277" ht="15.75" customHeight="1">
      <c r="A277" s="15"/>
      <c r="B277" s="260"/>
      <c r="C277" s="21"/>
      <c r="D277" s="15"/>
      <c r="E277" s="15"/>
      <c r="F277" s="262"/>
      <c r="G277" s="15"/>
      <c r="H277" s="11"/>
      <c r="I277" s="11"/>
      <c r="J277" s="11"/>
      <c r="K277" s="11"/>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row>
    <row r="278" ht="15.75" customHeight="1">
      <c r="A278" s="15"/>
      <c r="B278" s="260"/>
      <c r="C278" s="21"/>
      <c r="D278" s="15"/>
      <c r="E278" s="15"/>
      <c r="F278" s="262"/>
      <c r="G278" s="15"/>
      <c r="H278" s="11"/>
      <c r="I278" s="11"/>
      <c r="J278" s="11"/>
      <c r="K278" s="11"/>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row>
    <row r="279" ht="15.75" customHeight="1">
      <c r="A279" s="15"/>
      <c r="B279" s="260"/>
      <c r="C279" s="21"/>
      <c r="D279" s="15"/>
      <c r="E279" s="15"/>
      <c r="F279" s="262"/>
      <c r="G279" s="15"/>
      <c r="H279" s="11"/>
      <c r="I279" s="11"/>
      <c r="J279" s="11"/>
      <c r="K279" s="11"/>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row>
    <row r="280" ht="15.75" customHeight="1">
      <c r="A280" s="15"/>
      <c r="B280" s="260"/>
      <c r="C280" s="21"/>
      <c r="D280" s="15"/>
      <c r="E280" s="15"/>
      <c r="F280" s="262"/>
      <c r="G280" s="15"/>
      <c r="H280" s="11"/>
      <c r="I280" s="11"/>
      <c r="J280" s="11"/>
      <c r="K280" s="11"/>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row>
    <row r="281" ht="15.75" customHeight="1">
      <c r="A281" s="15"/>
      <c r="B281" s="260"/>
      <c r="C281" s="21"/>
      <c r="D281" s="15"/>
      <c r="E281" s="15"/>
      <c r="F281" s="262"/>
      <c r="G281" s="15"/>
      <c r="H281" s="11"/>
      <c r="I281" s="11"/>
      <c r="J281" s="11"/>
      <c r="K281" s="11"/>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row>
    <row r="282" ht="15.75" customHeight="1">
      <c r="A282" s="15"/>
      <c r="B282" s="260"/>
      <c r="C282" s="21"/>
      <c r="D282" s="15"/>
      <c r="E282" s="15"/>
      <c r="F282" s="262"/>
      <c r="G282" s="15"/>
      <c r="H282" s="11"/>
      <c r="I282" s="11"/>
      <c r="J282" s="11"/>
      <c r="K282" s="11"/>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row>
    <row r="283" ht="15.75" customHeight="1">
      <c r="A283" s="15"/>
      <c r="B283" s="260"/>
      <c r="C283" s="21"/>
      <c r="D283" s="15"/>
      <c r="E283" s="15"/>
      <c r="F283" s="262"/>
      <c r="G283" s="15"/>
      <c r="H283" s="11"/>
      <c r="I283" s="11"/>
      <c r="J283" s="11"/>
      <c r="K283" s="11"/>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row>
    <row r="284" ht="15.75" customHeight="1">
      <c r="A284" s="15"/>
      <c r="B284" s="260"/>
      <c r="C284" s="21"/>
      <c r="D284" s="15"/>
      <c r="E284" s="15"/>
      <c r="F284" s="262"/>
      <c r="G284" s="15"/>
      <c r="H284" s="11"/>
      <c r="I284" s="11"/>
      <c r="J284" s="11"/>
      <c r="K284" s="11"/>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row>
    <row r="285" ht="15.75" customHeight="1">
      <c r="A285" s="15"/>
      <c r="B285" s="260"/>
      <c r="C285" s="21"/>
      <c r="D285" s="15"/>
      <c r="E285" s="15"/>
      <c r="F285" s="262"/>
      <c r="G285" s="15"/>
      <c r="H285" s="11"/>
      <c r="I285" s="11"/>
      <c r="J285" s="11"/>
      <c r="K285" s="11"/>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row>
    <row r="286" ht="15.75" customHeight="1">
      <c r="A286" s="15"/>
      <c r="B286" s="260"/>
      <c r="C286" s="21"/>
      <c r="D286" s="15"/>
      <c r="E286" s="15"/>
      <c r="F286" s="262"/>
      <c r="G286" s="15"/>
      <c r="H286" s="11"/>
      <c r="I286" s="11"/>
      <c r="J286" s="11"/>
      <c r="K286" s="11"/>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row>
    <row r="287" ht="15.75" customHeight="1">
      <c r="A287" s="15"/>
      <c r="B287" s="260"/>
      <c r="C287" s="21"/>
      <c r="D287" s="15"/>
      <c r="E287" s="15"/>
      <c r="F287" s="262"/>
      <c r="G287" s="15"/>
      <c r="H287" s="11"/>
      <c r="I287" s="11"/>
      <c r="J287" s="11"/>
      <c r="K287" s="11"/>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row>
    <row r="288" ht="15.75" customHeight="1">
      <c r="A288" s="15"/>
      <c r="B288" s="260"/>
      <c r="C288" s="21"/>
      <c r="D288" s="15"/>
      <c r="E288" s="15"/>
      <c r="F288" s="262"/>
      <c r="G288" s="15"/>
      <c r="H288" s="11"/>
      <c r="I288" s="11"/>
      <c r="J288" s="11"/>
      <c r="K288" s="11"/>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row>
    <row r="289" ht="15.75" customHeight="1">
      <c r="A289" s="15"/>
      <c r="B289" s="260"/>
      <c r="C289" s="21"/>
      <c r="D289" s="15"/>
      <c r="E289" s="15"/>
      <c r="F289" s="262"/>
      <c r="G289" s="15"/>
      <c r="H289" s="11"/>
      <c r="I289" s="11"/>
      <c r="J289" s="11"/>
      <c r="K289" s="11"/>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row>
    <row r="290" ht="15.75" customHeight="1">
      <c r="A290" s="15"/>
      <c r="B290" s="260"/>
      <c r="C290" s="21"/>
      <c r="D290" s="15"/>
      <c r="E290" s="15"/>
      <c r="F290" s="262"/>
      <c r="G290" s="15"/>
      <c r="H290" s="11"/>
      <c r="I290" s="11"/>
      <c r="J290" s="11"/>
      <c r="K290" s="11"/>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row>
    <row r="291" ht="15.75" customHeight="1">
      <c r="A291" s="15"/>
      <c r="B291" s="260"/>
      <c r="C291" s="21"/>
      <c r="D291" s="15"/>
      <c r="E291" s="15"/>
      <c r="F291" s="262"/>
      <c r="G291" s="15"/>
      <c r="H291" s="11"/>
      <c r="I291" s="11"/>
      <c r="J291" s="11"/>
      <c r="K291" s="11"/>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row>
    <row r="292" ht="15.75" customHeight="1">
      <c r="A292" s="15"/>
      <c r="B292" s="260"/>
      <c r="C292" s="21"/>
      <c r="D292" s="15"/>
      <c r="E292" s="15"/>
      <c r="F292" s="262"/>
      <c r="G292" s="15"/>
      <c r="H292" s="11"/>
      <c r="I292" s="11"/>
      <c r="J292" s="11"/>
      <c r="K292" s="11"/>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row>
    <row r="293" ht="15.75" customHeight="1">
      <c r="A293" s="15"/>
      <c r="B293" s="260"/>
      <c r="C293" s="21"/>
      <c r="D293" s="15"/>
      <c r="E293" s="15"/>
      <c r="F293" s="262"/>
      <c r="G293" s="15"/>
      <c r="H293" s="11"/>
      <c r="I293" s="11"/>
      <c r="J293" s="11"/>
      <c r="K293" s="11"/>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row>
    <row r="294" ht="15.75" customHeight="1">
      <c r="A294" s="15"/>
      <c r="B294" s="260"/>
      <c r="C294" s="21"/>
      <c r="D294" s="15"/>
      <c r="E294" s="15"/>
      <c r="F294" s="262"/>
      <c r="G294" s="15"/>
      <c r="H294" s="11"/>
      <c r="I294" s="11"/>
      <c r="J294" s="11"/>
      <c r="K294" s="11"/>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row>
    <row r="295" ht="15.75" customHeight="1">
      <c r="A295" s="15"/>
      <c r="B295" s="260"/>
      <c r="C295" s="21"/>
      <c r="D295" s="15"/>
      <c r="E295" s="15"/>
      <c r="F295" s="262"/>
      <c r="G295" s="15"/>
      <c r="H295" s="11"/>
      <c r="I295" s="11"/>
      <c r="J295" s="11"/>
      <c r="K295" s="11"/>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row>
    <row r="296" ht="15.75" customHeight="1">
      <c r="A296" s="15"/>
      <c r="B296" s="260"/>
      <c r="C296" s="21"/>
      <c r="D296" s="15"/>
      <c r="E296" s="15"/>
      <c r="F296" s="262"/>
      <c r="G296" s="15"/>
      <c r="H296" s="11"/>
      <c r="I296" s="11"/>
      <c r="J296" s="11"/>
      <c r="K296" s="11"/>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row>
    <row r="297" ht="15.75" customHeight="1">
      <c r="A297" s="15"/>
      <c r="B297" s="260"/>
      <c r="C297" s="21"/>
      <c r="D297" s="15"/>
      <c r="E297" s="15"/>
      <c r="F297" s="262"/>
      <c r="G297" s="15"/>
      <c r="H297" s="11"/>
      <c r="I297" s="11"/>
      <c r="J297" s="11"/>
      <c r="K297" s="11"/>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row>
    <row r="298" ht="15.75" customHeight="1">
      <c r="A298" s="15"/>
      <c r="B298" s="260"/>
      <c r="C298" s="21"/>
      <c r="D298" s="15"/>
      <c r="E298" s="15"/>
      <c r="F298" s="262"/>
      <c r="G298" s="15"/>
      <c r="H298" s="11"/>
      <c r="I298" s="11"/>
      <c r="J298" s="11"/>
      <c r="K298" s="11"/>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row>
    <row r="299" ht="15.75" customHeight="1">
      <c r="A299" s="15"/>
      <c r="B299" s="260"/>
      <c r="C299" s="21"/>
      <c r="D299" s="15"/>
      <c r="E299" s="15"/>
      <c r="F299" s="262"/>
      <c r="G299" s="15"/>
      <c r="H299" s="11"/>
      <c r="I299" s="11"/>
      <c r="J299" s="11"/>
      <c r="K299" s="11"/>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row>
    <row r="300" ht="15.75" customHeight="1">
      <c r="A300" s="15"/>
      <c r="B300" s="260"/>
      <c r="C300" s="21"/>
      <c r="D300" s="15"/>
      <c r="E300" s="15"/>
      <c r="F300" s="262"/>
      <c r="G300" s="15"/>
      <c r="H300" s="11"/>
      <c r="I300" s="11"/>
      <c r="J300" s="11"/>
      <c r="K300" s="11"/>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row>
    <row r="301" ht="15.75" customHeight="1">
      <c r="A301" s="15"/>
      <c r="B301" s="260"/>
      <c r="C301" s="21"/>
      <c r="D301" s="15"/>
      <c r="E301" s="15"/>
      <c r="F301" s="262"/>
      <c r="G301" s="15"/>
      <c r="H301" s="11"/>
      <c r="I301" s="11"/>
      <c r="J301" s="11"/>
      <c r="K301" s="11"/>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row>
    <row r="302" ht="15.75" customHeight="1">
      <c r="A302" s="15"/>
      <c r="B302" s="260"/>
      <c r="C302" s="21"/>
      <c r="D302" s="15"/>
      <c r="E302" s="15"/>
      <c r="F302" s="262"/>
      <c r="G302" s="15"/>
      <c r="H302" s="11"/>
      <c r="I302" s="11"/>
      <c r="J302" s="11"/>
      <c r="K302" s="11"/>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row>
    <row r="303" ht="15.75" customHeight="1">
      <c r="A303" s="15"/>
      <c r="B303" s="260"/>
      <c r="C303" s="21"/>
      <c r="D303" s="15"/>
      <c r="E303" s="15"/>
      <c r="F303" s="262"/>
      <c r="G303" s="15"/>
      <c r="H303" s="11"/>
      <c r="I303" s="11"/>
      <c r="J303" s="11"/>
      <c r="K303" s="11"/>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row>
    <row r="304" ht="15.75" customHeight="1">
      <c r="A304" s="15"/>
      <c r="B304" s="260"/>
      <c r="C304" s="21"/>
      <c r="D304" s="15"/>
      <c r="E304" s="15"/>
      <c r="F304" s="262"/>
      <c r="G304" s="15"/>
      <c r="H304" s="11"/>
      <c r="I304" s="11"/>
      <c r="J304" s="11"/>
      <c r="K304" s="11"/>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row>
    <row r="305" ht="15.75" customHeight="1">
      <c r="A305" s="15"/>
      <c r="B305" s="260"/>
      <c r="C305" s="21"/>
      <c r="D305" s="15"/>
      <c r="E305" s="15"/>
      <c r="F305" s="262"/>
      <c r="G305" s="15"/>
      <c r="H305" s="11"/>
      <c r="I305" s="11"/>
      <c r="J305" s="11"/>
      <c r="K305" s="11"/>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row>
    <row r="306" ht="15.75" customHeight="1">
      <c r="A306" s="15"/>
      <c r="B306" s="260"/>
      <c r="C306" s="21"/>
      <c r="D306" s="15"/>
      <c r="E306" s="15"/>
      <c r="F306" s="262"/>
      <c r="G306" s="15"/>
      <c r="H306" s="11"/>
      <c r="I306" s="11"/>
      <c r="J306" s="11"/>
      <c r="K306" s="11"/>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row>
    <row r="307" ht="15.75" customHeight="1">
      <c r="A307" s="15"/>
      <c r="B307" s="260"/>
      <c r="C307" s="21"/>
      <c r="D307" s="15"/>
      <c r="E307" s="15"/>
      <c r="F307" s="262"/>
      <c r="G307" s="15"/>
      <c r="H307" s="11"/>
      <c r="I307" s="11"/>
      <c r="J307" s="11"/>
      <c r="K307" s="11"/>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row>
    <row r="308" ht="15.75" customHeight="1">
      <c r="A308" s="15"/>
      <c r="B308" s="260"/>
      <c r="C308" s="21"/>
      <c r="D308" s="15"/>
      <c r="E308" s="15"/>
      <c r="F308" s="262"/>
      <c r="G308" s="15"/>
      <c r="H308" s="11"/>
      <c r="I308" s="11"/>
      <c r="J308" s="11"/>
      <c r="K308" s="11"/>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row>
    <row r="309" ht="15.75" customHeight="1">
      <c r="A309" s="15"/>
      <c r="B309" s="260"/>
      <c r="C309" s="21"/>
      <c r="D309" s="15"/>
      <c r="E309" s="15"/>
      <c r="F309" s="262"/>
      <c r="G309" s="15"/>
      <c r="H309" s="11"/>
      <c r="I309" s="11"/>
      <c r="J309" s="11"/>
      <c r="K309" s="11"/>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row>
    <row r="310" ht="15.75" customHeight="1">
      <c r="A310" s="15"/>
      <c r="B310" s="260"/>
      <c r="C310" s="21"/>
      <c r="D310" s="15"/>
      <c r="E310" s="15"/>
      <c r="F310" s="262"/>
      <c r="G310" s="15"/>
      <c r="H310" s="11"/>
      <c r="I310" s="11"/>
      <c r="J310" s="11"/>
      <c r="K310" s="11"/>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row>
    <row r="311" ht="15.75" customHeight="1">
      <c r="A311" s="15"/>
      <c r="B311" s="260"/>
      <c r="C311" s="21"/>
      <c r="D311" s="15"/>
      <c r="E311" s="15"/>
      <c r="F311" s="262"/>
      <c r="G311" s="15"/>
      <c r="H311" s="11"/>
      <c r="I311" s="11"/>
      <c r="J311" s="11"/>
      <c r="K311" s="11"/>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row>
    <row r="312" ht="15.75" customHeight="1">
      <c r="A312" s="15"/>
      <c r="B312" s="260"/>
      <c r="C312" s="21"/>
      <c r="D312" s="15"/>
      <c r="E312" s="15"/>
      <c r="F312" s="262"/>
      <c r="G312" s="15"/>
      <c r="H312" s="11"/>
      <c r="I312" s="11"/>
      <c r="J312" s="11"/>
      <c r="K312" s="11"/>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row>
    <row r="313" ht="15.75" customHeight="1">
      <c r="A313" s="15"/>
      <c r="B313" s="260"/>
      <c r="C313" s="21"/>
      <c r="D313" s="15"/>
      <c r="E313" s="15"/>
      <c r="F313" s="262"/>
      <c r="G313" s="15"/>
      <c r="H313" s="11"/>
      <c r="I313" s="11"/>
      <c r="J313" s="11"/>
      <c r="K313" s="11"/>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row>
    <row r="314" ht="15.75" customHeight="1">
      <c r="A314" s="15"/>
      <c r="B314" s="260"/>
      <c r="C314" s="21"/>
      <c r="D314" s="15"/>
      <c r="E314" s="15"/>
      <c r="F314" s="262"/>
      <c r="G314" s="15"/>
      <c r="H314" s="11"/>
      <c r="I314" s="11"/>
      <c r="J314" s="11"/>
      <c r="K314" s="11"/>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row>
    <row r="315" ht="15.75" customHeight="1">
      <c r="A315" s="15"/>
      <c r="B315" s="260"/>
      <c r="C315" s="21"/>
      <c r="D315" s="15"/>
      <c r="E315" s="15"/>
      <c r="F315" s="262"/>
      <c r="G315" s="15"/>
      <c r="H315" s="11"/>
      <c r="I315" s="11"/>
      <c r="J315" s="11"/>
      <c r="K315" s="11"/>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row>
    <row r="316" ht="15.75" customHeight="1">
      <c r="A316" s="15"/>
      <c r="B316" s="260"/>
      <c r="C316" s="21"/>
      <c r="D316" s="15"/>
      <c r="E316" s="15"/>
      <c r="F316" s="262"/>
      <c r="G316" s="15"/>
      <c r="H316" s="11"/>
      <c r="I316" s="11"/>
      <c r="J316" s="11"/>
      <c r="K316" s="11"/>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row>
    <row r="317" ht="15.75" customHeight="1">
      <c r="A317" s="15"/>
      <c r="B317" s="260"/>
      <c r="C317" s="21"/>
      <c r="D317" s="15"/>
      <c r="E317" s="15"/>
      <c r="F317" s="262"/>
      <c r="G317" s="15"/>
      <c r="H317" s="11"/>
      <c r="I317" s="11"/>
      <c r="J317" s="11"/>
      <c r="K317" s="11"/>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row>
    <row r="318" ht="15.75" customHeight="1">
      <c r="A318" s="15"/>
      <c r="B318" s="260"/>
      <c r="C318" s="21"/>
      <c r="D318" s="15"/>
      <c r="E318" s="15"/>
      <c r="F318" s="262"/>
      <c r="G318" s="15"/>
      <c r="H318" s="11"/>
      <c r="I318" s="11"/>
      <c r="J318" s="11"/>
      <c r="K318" s="11"/>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row>
    <row r="319" ht="15.75" customHeight="1">
      <c r="A319" s="15"/>
      <c r="B319" s="260"/>
      <c r="C319" s="21"/>
      <c r="D319" s="15"/>
      <c r="E319" s="15"/>
      <c r="F319" s="262"/>
      <c r="G319" s="15"/>
      <c r="H319" s="11"/>
      <c r="I319" s="11"/>
      <c r="J319" s="11"/>
      <c r="K319" s="11"/>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row>
    <row r="320" ht="15.75" customHeight="1">
      <c r="A320" s="15"/>
      <c r="B320" s="260"/>
      <c r="C320" s="21"/>
      <c r="D320" s="15"/>
      <c r="E320" s="15"/>
      <c r="F320" s="262"/>
      <c r="G320" s="15"/>
      <c r="H320" s="11"/>
      <c r="I320" s="11"/>
      <c r="J320" s="11"/>
      <c r="K320" s="11"/>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row>
    <row r="321" ht="15.75" customHeight="1">
      <c r="A321" s="15"/>
      <c r="B321" s="260"/>
      <c r="C321" s="21"/>
      <c r="D321" s="15"/>
      <c r="E321" s="15"/>
      <c r="F321" s="262"/>
      <c r="G321" s="15"/>
      <c r="H321" s="11"/>
      <c r="I321" s="11"/>
      <c r="J321" s="11"/>
      <c r="K321" s="11"/>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row>
    <row r="322" ht="15.75" customHeight="1">
      <c r="A322" s="15"/>
      <c r="B322" s="260"/>
      <c r="C322" s="21"/>
      <c r="D322" s="15"/>
      <c r="E322" s="15"/>
      <c r="F322" s="262"/>
      <c r="G322" s="15"/>
      <c r="H322" s="11"/>
      <c r="I322" s="11"/>
      <c r="J322" s="11"/>
      <c r="K322" s="11"/>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row>
    <row r="323" ht="15.75" customHeight="1">
      <c r="A323" s="15"/>
      <c r="B323" s="260"/>
      <c r="C323" s="21"/>
      <c r="D323" s="15"/>
      <c r="E323" s="15"/>
      <c r="F323" s="262"/>
      <c r="G323" s="15"/>
      <c r="H323" s="11"/>
      <c r="I323" s="11"/>
      <c r="J323" s="11"/>
      <c r="K323" s="11"/>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row>
    <row r="324" ht="15.75" customHeight="1">
      <c r="A324" s="15"/>
      <c r="B324" s="260"/>
      <c r="C324" s="21"/>
      <c r="D324" s="15"/>
      <c r="E324" s="15"/>
      <c r="F324" s="262"/>
      <c r="G324" s="15"/>
      <c r="H324" s="11"/>
      <c r="I324" s="11"/>
      <c r="J324" s="11"/>
      <c r="K324" s="11"/>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row>
    <row r="325" ht="15.75" customHeight="1">
      <c r="A325" s="15"/>
      <c r="B325" s="260"/>
      <c r="C325" s="21"/>
      <c r="D325" s="15"/>
      <c r="E325" s="15"/>
      <c r="F325" s="262"/>
      <c r="G325" s="15"/>
      <c r="H325" s="11"/>
      <c r="I325" s="11"/>
      <c r="J325" s="11"/>
      <c r="K325" s="11"/>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row>
    <row r="326" ht="15.75" customHeight="1">
      <c r="A326" s="15"/>
      <c r="B326" s="260"/>
      <c r="C326" s="21"/>
      <c r="D326" s="15"/>
      <c r="E326" s="15"/>
      <c r="F326" s="262"/>
      <c r="G326" s="15"/>
      <c r="H326" s="11"/>
      <c r="I326" s="11"/>
      <c r="J326" s="11"/>
      <c r="K326" s="11"/>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row>
    <row r="327" ht="15.75" customHeight="1">
      <c r="A327" s="15"/>
      <c r="B327" s="260"/>
      <c r="C327" s="21"/>
      <c r="D327" s="15"/>
      <c r="E327" s="15"/>
      <c r="F327" s="262"/>
      <c r="G327" s="15"/>
      <c r="H327" s="11"/>
      <c r="I327" s="11"/>
      <c r="J327" s="11"/>
      <c r="K327" s="11"/>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row>
    <row r="328" ht="15.75" customHeight="1">
      <c r="A328" s="15"/>
      <c r="B328" s="260"/>
      <c r="C328" s="21"/>
      <c r="D328" s="15"/>
      <c r="E328" s="15"/>
      <c r="F328" s="262"/>
      <c r="G328" s="15"/>
      <c r="H328" s="11"/>
      <c r="I328" s="11"/>
      <c r="J328" s="11"/>
      <c r="K328" s="11"/>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row>
    <row r="329" ht="15.75" customHeight="1">
      <c r="A329" s="15"/>
      <c r="B329" s="260"/>
      <c r="C329" s="21"/>
      <c r="D329" s="15"/>
      <c r="E329" s="15"/>
      <c r="F329" s="262"/>
      <c r="G329" s="15"/>
      <c r="H329" s="11"/>
      <c r="I329" s="11"/>
      <c r="J329" s="11"/>
      <c r="K329" s="11"/>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row>
    <row r="330" ht="15.75" customHeight="1">
      <c r="A330" s="15"/>
      <c r="B330" s="260"/>
      <c r="C330" s="21"/>
      <c r="D330" s="15"/>
      <c r="E330" s="15"/>
      <c r="F330" s="262"/>
      <c r="G330" s="15"/>
      <c r="H330" s="11"/>
      <c r="I330" s="11"/>
      <c r="J330" s="11"/>
      <c r="K330" s="11"/>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row>
    <row r="331" ht="15.75" customHeight="1">
      <c r="A331" s="15"/>
      <c r="B331" s="260"/>
      <c r="C331" s="21"/>
      <c r="D331" s="15"/>
      <c r="E331" s="15"/>
      <c r="F331" s="262"/>
      <c r="G331" s="15"/>
      <c r="H331" s="11"/>
      <c r="I331" s="11"/>
      <c r="J331" s="11"/>
      <c r="K331" s="11"/>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row>
    <row r="332" ht="15.75" customHeight="1">
      <c r="A332" s="15"/>
      <c r="B332" s="260"/>
      <c r="C332" s="21"/>
      <c r="D332" s="15"/>
      <c r="E332" s="15"/>
      <c r="F332" s="262"/>
      <c r="G332" s="15"/>
      <c r="H332" s="11"/>
      <c r="I332" s="11"/>
      <c r="J332" s="11"/>
      <c r="K332" s="11"/>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row>
    <row r="333" ht="15.75" customHeight="1">
      <c r="A333" s="15"/>
      <c r="B333" s="260"/>
      <c r="C333" s="21"/>
      <c r="D333" s="15"/>
      <c r="E333" s="15"/>
      <c r="F333" s="262"/>
      <c r="G333" s="15"/>
      <c r="H333" s="11"/>
      <c r="I333" s="11"/>
      <c r="J333" s="11"/>
      <c r="K333" s="11"/>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row>
    <row r="334" ht="15.75" customHeight="1">
      <c r="A334" s="15"/>
      <c r="B334" s="260"/>
      <c r="C334" s="21"/>
      <c r="D334" s="15"/>
      <c r="E334" s="15"/>
      <c r="F334" s="262"/>
      <c r="G334" s="15"/>
      <c r="H334" s="11"/>
      <c r="I334" s="11"/>
      <c r="J334" s="11"/>
      <c r="K334" s="11"/>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row>
    <row r="335" ht="15.75" customHeight="1">
      <c r="A335" s="15"/>
      <c r="B335" s="260"/>
      <c r="C335" s="21"/>
      <c r="D335" s="15"/>
      <c r="E335" s="15"/>
      <c r="F335" s="262"/>
      <c r="G335" s="15"/>
      <c r="H335" s="11"/>
      <c r="I335" s="11"/>
      <c r="J335" s="11"/>
      <c r="K335" s="11"/>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row>
    <row r="336" ht="15.75" customHeight="1">
      <c r="A336" s="15"/>
      <c r="B336" s="260"/>
      <c r="C336" s="21"/>
      <c r="D336" s="15"/>
      <c r="E336" s="15"/>
      <c r="F336" s="262"/>
      <c r="G336" s="15"/>
      <c r="H336" s="11"/>
      <c r="I336" s="11"/>
      <c r="J336" s="11"/>
      <c r="K336" s="11"/>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row>
    <row r="337" ht="15.75" customHeight="1">
      <c r="A337" s="15"/>
      <c r="B337" s="260"/>
      <c r="C337" s="21"/>
      <c r="D337" s="15"/>
      <c r="E337" s="15"/>
      <c r="F337" s="262"/>
      <c r="G337" s="15"/>
      <c r="H337" s="11"/>
      <c r="I337" s="11"/>
      <c r="J337" s="11"/>
      <c r="K337" s="11"/>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row>
    <row r="338" ht="15.75" customHeight="1">
      <c r="A338" s="15"/>
      <c r="B338" s="260"/>
      <c r="C338" s="21"/>
      <c r="D338" s="15"/>
      <c r="E338" s="15"/>
      <c r="F338" s="262"/>
      <c r="G338" s="15"/>
      <c r="H338" s="11"/>
      <c r="I338" s="11"/>
      <c r="J338" s="11"/>
      <c r="K338" s="11"/>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row>
    <row r="339" ht="15.75" customHeight="1">
      <c r="A339" s="15"/>
      <c r="B339" s="260"/>
      <c r="C339" s="21"/>
      <c r="D339" s="15"/>
      <c r="E339" s="15"/>
      <c r="F339" s="262"/>
      <c r="G339" s="15"/>
      <c r="H339" s="11"/>
      <c r="I339" s="11"/>
      <c r="J339" s="11"/>
      <c r="K339" s="11"/>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row>
    <row r="340" ht="15.75" customHeight="1">
      <c r="A340" s="15"/>
      <c r="B340" s="260"/>
      <c r="C340" s="21"/>
      <c r="D340" s="15"/>
      <c r="E340" s="15"/>
      <c r="F340" s="262"/>
      <c r="G340" s="15"/>
      <c r="H340" s="11"/>
      <c r="I340" s="11"/>
      <c r="J340" s="11"/>
      <c r="K340" s="11"/>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row>
    <row r="341" ht="15.75" customHeight="1">
      <c r="A341" s="15"/>
      <c r="B341" s="260"/>
      <c r="C341" s="21"/>
      <c r="D341" s="15"/>
      <c r="E341" s="15"/>
      <c r="F341" s="262"/>
      <c r="G341" s="15"/>
      <c r="H341" s="11"/>
      <c r="I341" s="11"/>
      <c r="J341" s="11"/>
      <c r="K341" s="11"/>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row>
    <row r="342" ht="15.75" customHeight="1">
      <c r="A342" s="15"/>
      <c r="B342" s="260"/>
      <c r="C342" s="21"/>
      <c r="D342" s="15"/>
      <c r="E342" s="15"/>
      <c r="F342" s="262"/>
      <c r="G342" s="15"/>
      <c r="H342" s="11"/>
      <c r="I342" s="11"/>
      <c r="J342" s="11"/>
      <c r="K342" s="11"/>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row>
    <row r="343" ht="15.75" customHeight="1">
      <c r="A343" s="15"/>
      <c r="B343" s="260"/>
      <c r="C343" s="21"/>
      <c r="D343" s="15"/>
      <c r="E343" s="15"/>
      <c r="F343" s="262"/>
      <c r="G343" s="15"/>
      <c r="H343" s="11"/>
      <c r="I343" s="11"/>
      <c r="J343" s="11"/>
      <c r="K343" s="11"/>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row>
    <row r="344" ht="15.75" customHeight="1">
      <c r="A344" s="15"/>
      <c r="B344" s="260"/>
      <c r="C344" s="21"/>
      <c r="D344" s="15"/>
      <c r="E344" s="15"/>
      <c r="F344" s="262"/>
      <c r="G344" s="15"/>
      <c r="H344" s="11"/>
      <c r="I344" s="11"/>
      <c r="J344" s="11"/>
      <c r="K344" s="11"/>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row>
    <row r="345" ht="15.75" customHeight="1">
      <c r="A345" s="15"/>
      <c r="B345" s="260"/>
      <c r="C345" s="21"/>
      <c r="D345" s="15"/>
      <c r="E345" s="15"/>
      <c r="F345" s="262"/>
      <c r="G345" s="15"/>
      <c r="H345" s="11"/>
      <c r="I345" s="11"/>
      <c r="J345" s="11"/>
      <c r="K345" s="11"/>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row>
    <row r="346" ht="15.75" customHeight="1">
      <c r="A346" s="15"/>
      <c r="B346" s="260"/>
      <c r="C346" s="21"/>
      <c r="D346" s="15"/>
      <c r="E346" s="15"/>
      <c r="F346" s="262"/>
      <c r="G346" s="15"/>
      <c r="H346" s="11"/>
      <c r="I346" s="11"/>
      <c r="J346" s="11"/>
      <c r="K346" s="11"/>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row>
    <row r="347" ht="15.75" customHeight="1">
      <c r="A347" s="15"/>
      <c r="B347" s="260"/>
      <c r="C347" s="21"/>
      <c r="D347" s="15"/>
      <c r="E347" s="15"/>
      <c r="F347" s="262"/>
      <c r="G347" s="15"/>
      <c r="H347" s="11"/>
      <c r="I347" s="11"/>
      <c r="J347" s="11"/>
      <c r="K347" s="11"/>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row>
    <row r="348" ht="15.75" customHeight="1">
      <c r="A348" s="15"/>
      <c r="B348" s="260"/>
      <c r="C348" s="21"/>
      <c r="D348" s="15"/>
      <c r="E348" s="15"/>
      <c r="F348" s="262"/>
      <c r="G348" s="15"/>
      <c r="H348" s="11"/>
      <c r="I348" s="11"/>
      <c r="J348" s="11"/>
      <c r="K348" s="11"/>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row>
    <row r="349" ht="15.75" customHeight="1">
      <c r="A349" s="15"/>
      <c r="B349" s="260"/>
      <c r="C349" s="21"/>
      <c r="D349" s="15"/>
      <c r="E349" s="15"/>
      <c r="F349" s="262"/>
      <c r="G349" s="15"/>
      <c r="H349" s="11"/>
      <c r="I349" s="11"/>
      <c r="J349" s="11"/>
      <c r="K349" s="11"/>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row>
    <row r="350" ht="15.75" customHeight="1">
      <c r="A350" s="15"/>
      <c r="B350" s="260"/>
      <c r="C350" s="21"/>
      <c r="D350" s="15"/>
      <c r="E350" s="15"/>
      <c r="F350" s="262"/>
      <c r="G350" s="15"/>
      <c r="H350" s="11"/>
      <c r="I350" s="11"/>
      <c r="J350" s="11"/>
      <c r="K350" s="11"/>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row>
    <row r="351" ht="15.75" customHeight="1">
      <c r="A351" s="15"/>
      <c r="B351" s="260"/>
      <c r="C351" s="21"/>
      <c r="D351" s="15"/>
      <c r="E351" s="15"/>
      <c r="F351" s="262"/>
      <c r="G351" s="15"/>
      <c r="H351" s="11"/>
      <c r="I351" s="11"/>
      <c r="J351" s="11"/>
      <c r="K351" s="11"/>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row>
    <row r="352" ht="15.75" customHeight="1">
      <c r="A352" s="15"/>
      <c r="B352" s="260"/>
      <c r="C352" s="21"/>
      <c r="D352" s="15"/>
      <c r="E352" s="15"/>
      <c r="F352" s="262"/>
      <c r="G352" s="15"/>
      <c r="H352" s="11"/>
      <c r="I352" s="11"/>
      <c r="J352" s="11"/>
      <c r="K352" s="11"/>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row>
    <row r="353" ht="15.75" customHeight="1">
      <c r="A353" s="15"/>
      <c r="B353" s="260"/>
      <c r="C353" s="21"/>
      <c r="D353" s="15"/>
      <c r="E353" s="15"/>
      <c r="F353" s="262"/>
      <c r="G353" s="15"/>
      <c r="H353" s="11"/>
      <c r="I353" s="11"/>
      <c r="J353" s="11"/>
      <c r="K353" s="11"/>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row>
    <row r="354" ht="15.75" customHeight="1">
      <c r="A354" s="15"/>
      <c r="B354" s="260"/>
      <c r="C354" s="21"/>
      <c r="D354" s="15"/>
      <c r="E354" s="15"/>
      <c r="F354" s="262"/>
      <c r="G354" s="15"/>
      <c r="H354" s="11"/>
      <c r="I354" s="11"/>
      <c r="J354" s="11"/>
      <c r="K354" s="11"/>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row>
    <row r="355" ht="15.75" customHeight="1">
      <c r="A355" s="15"/>
      <c r="B355" s="260"/>
      <c r="C355" s="21"/>
      <c r="D355" s="15"/>
      <c r="E355" s="15"/>
      <c r="F355" s="262"/>
      <c r="G355" s="15"/>
      <c r="H355" s="11"/>
      <c r="I355" s="11"/>
      <c r="J355" s="11"/>
      <c r="K355" s="11"/>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row>
    <row r="356" ht="15.75" customHeight="1">
      <c r="A356" s="15"/>
      <c r="B356" s="260"/>
      <c r="C356" s="21"/>
      <c r="D356" s="15"/>
      <c r="E356" s="15"/>
      <c r="F356" s="262"/>
      <c r="G356" s="15"/>
      <c r="H356" s="11"/>
      <c r="I356" s="11"/>
      <c r="J356" s="11"/>
      <c r="K356" s="11"/>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row>
    <row r="357" ht="15.75" customHeight="1">
      <c r="A357" s="15"/>
      <c r="B357" s="260"/>
      <c r="C357" s="21"/>
      <c r="D357" s="15"/>
      <c r="E357" s="15"/>
      <c r="F357" s="262"/>
      <c r="G357" s="15"/>
      <c r="H357" s="11"/>
      <c r="I357" s="11"/>
      <c r="J357" s="11"/>
      <c r="K357" s="11"/>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row>
    <row r="358" ht="15.75" customHeight="1">
      <c r="A358" s="15"/>
      <c r="B358" s="260"/>
      <c r="C358" s="21"/>
      <c r="D358" s="15"/>
      <c r="E358" s="15"/>
      <c r="F358" s="262"/>
      <c r="G358" s="15"/>
      <c r="H358" s="11"/>
      <c r="I358" s="11"/>
      <c r="J358" s="11"/>
      <c r="K358" s="11"/>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row>
    <row r="359" ht="15.75" customHeight="1">
      <c r="A359" s="15"/>
      <c r="B359" s="260"/>
      <c r="C359" s="21"/>
      <c r="D359" s="15"/>
      <c r="E359" s="15"/>
      <c r="F359" s="262"/>
      <c r="G359" s="15"/>
      <c r="H359" s="11"/>
      <c r="I359" s="11"/>
      <c r="J359" s="11"/>
      <c r="K359" s="11"/>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row>
    <row r="360" ht="15.75" customHeight="1">
      <c r="A360" s="15"/>
      <c r="B360" s="260"/>
      <c r="C360" s="21"/>
      <c r="D360" s="15"/>
      <c r="E360" s="15"/>
      <c r="F360" s="262"/>
      <c r="G360" s="15"/>
      <c r="H360" s="11"/>
      <c r="I360" s="11"/>
      <c r="J360" s="11"/>
      <c r="K360" s="11"/>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row>
    <row r="361" ht="15.75" customHeight="1">
      <c r="A361" s="15"/>
      <c r="B361" s="260"/>
      <c r="C361" s="21"/>
      <c r="D361" s="15"/>
      <c r="E361" s="15"/>
      <c r="F361" s="262"/>
      <c r="G361" s="15"/>
      <c r="H361" s="11"/>
      <c r="I361" s="11"/>
      <c r="J361" s="11"/>
      <c r="K361" s="11"/>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row>
    <row r="362" ht="15.75" customHeight="1">
      <c r="A362" s="15"/>
      <c r="B362" s="260"/>
      <c r="C362" s="21"/>
      <c r="D362" s="15"/>
      <c r="E362" s="15"/>
      <c r="F362" s="262"/>
      <c r="G362" s="15"/>
      <c r="H362" s="11"/>
      <c r="I362" s="11"/>
      <c r="J362" s="11"/>
      <c r="K362" s="11"/>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row>
    <row r="363" ht="15.75" customHeight="1">
      <c r="A363" s="15"/>
      <c r="B363" s="260"/>
      <c r="C363" s="21"/>
      <c r="D363" s="15"/>
      <c r="E363" s="15"/>
      <c r="F363" s="262"/>
      <c r="G363" s="15"/>
      <c r="H363" s="11"/>
      <c r="I363" s="11"/>
      <c r="J363" s="11"/>
      <c r="K363" s="11"/>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row>
    <row r="364" ht="15.75" customHeight="1">
      <c r="A364" s="15"/>
      <c r="B364" s="260"/>
      <c r="C364" s="21"/>
      <c r="D364" s="15"/>
      <c r="E364" s="15"/>
      <c r="F364" s="262"/>
      <c r="G364" s="15"/>
      <c r="H364" s="11"/>
      <c r="I364" s="11"/>
      <c r="J364" s="11"/>
      <c r="K364" s="11"/>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row>
    <row r="365" ht="15.75" customHeight="1">
      <c r="A365" s="15"/>
      <c r="B365" s="260"/>
      <c r="C365" s="21"/>
      <c r="D365" s="15"/>
      <c r="E365" s="15"/>
      <c r="F365" s="262"/>
      <c r="G365" s="15"/>
      <c r="H365" s="11"/>
      <c r="I365" s="11"/>
      <c r="J365" s="11"/>
      <c r="K365" s="11"/>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row>
    <row r="366" ht="15.75" customHeight="1">
      <c r="A366" s="15"/>
      <c r="B366" s="260"/>
      <c r="C366" s="21"/>
      <c r="D366" s="15"/>
      <c r="E366" s="15"/>
      <c r="F366" s="262"/>
      <c r="G366" s="15"/>
      <c r="H366" s="11"/>
      <c r="I366" s="11"/>
      <c r="J366" s="11"/>
      <c r="K366" s="11"/>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row>
    <row r="367" ht="15.75" customHeight="1">
      <c r="A367" s="15"/>
      <c r="B367" s="260"/>
      <c r="C367" s="21"/>
      <c r="D367" s="15"/>
      <c r="E367" s="15"/>
      <c r="F367" s="262"/>
      <c r="G367" s="15"/>
      <c r="H367" s="11"/>
      <c r="I367" s="11"/>
      <c r="J367" s="11"/>
      <c r="K367" s="11"/>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row>
    <row r="368" ht="15.75" customHeight="1">
      <c r="A368" s="15"/>
      <c r="B368" s="260"/>
      <c r="C368" s="21"/>
      <c r="D368" s="15"/>
      <c r="E368" s="15"/>
      <c r="F368" s="262"/>
      <c r="G368" s="15"/>
      <c r="H368" s="11"/>
      <c r="I368" s="11"/>
      <c r="J368" s="11"/>
      <c r="K368" s="11"/>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row>
    <row r="369" ht="15.75" customHeight="1">
      <c r="A369" s="15"/>
      <c r="B369" s="260"/>
      <c r="C369" s="21"/>
      <c r="D369" s="15"/>
      <c r="E369" s="15"/>
      <c r="F369" s="262"/>
      <c r="G369" s="15"/>
      <c r="H369" s="11"/>
      <c r="I369" s="11"/>
      <c r="J369" s="11"/>
      <c r="K369" s="11"/>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row>
    <row r="370" ht="15.75" customHeight="1">
      <c r="A370" s="15"/>
      <c r="B370" s="260"/>
      <c r="C370" s="21"/>
      <c r="D370" s="15"/>
      <c r="E370" s="15"/>
      <c r="F370" s="262"/>
      <c r="G370" s="15"/>
      <c r="H370" s="11"/>
      <c r="I370" s="11"/>
      <c r="J370" s="11"/>
      <c r="K370" s="11"/>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row>
    <row r="371" ht="15.75" customHeight="1">
      <c r="A371" s="15"/>
      <c r="B371" s="260"/>
      <c r="C371" s="21"/>
      <c r="D371" s="15"/>
      <c r="E371" s="15"/>
      <c r="F371" s="262"/>
      <c r="G371" s="15"/>
      <c r="H371" s="11"/>
      <c r="I371" s="11"/>
      <c r="J371" s="11"/>
      <c r="K371" s="11"/>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row>
    <row r="372" ht="15.75" customHeight="1">
      <c r="A372" s="15"/>
      <c r="B372" s="260"/>
      <c r="C372" s="21"/>
      <c r="D372" s="15"/>
      <c r="E372" s="15"/>
      <c r="F372" s="262"/>
      <c r="G372" s="15"/>
      <c r="H372" s="11"/>
      <c r="I372" s="11"/>
      <c r="J372" s="11"/>
      <c r="K372" s="11"/>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row>
    <row r="373" ht="15.75" customHeight="1">
      <c r="A373" s="15"/>
      <c r="B373" s="260"/>
      <c r="C373" s="21"/>
      <c r="D373" s="15"/>
      <c r="E373" s="15"/>
      <c r="F373" s="262"/>
      <c r="G373" s="15"/>
      <c r="H373" s="11"/>
      <c r="I373" s="11"/>
      <c r="J373" s="11"/>
      <c r="K373" s="11"/>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row>
    <row r="374" ht="15.75" customHeight="1">
      <c r="A374" s="15"/>
      <c r="B374" s="260"/>
      <c r="C374" s="21"/>
      <c r="D374" s="15"/>
      <c r="E374" s="15"/>
      <c r="F374" s="262"/>
      <c r="G374" s="15"/>
      <c r="H374" s="11"/>
      <c r="I374" s="11"/>
      <c r="J374" s="11"/>
      <c r="K374" s="11"/>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row>
    <row r="375" ht="15.75" customHeight="1">
      <c r="A375" s="15"/>
      <c r="B375" s="260"/>
      <c r="C375" s="21"/>
      <c r="D375" s="15"/>
      <c r="E375" s="15"/>
      <c r="F375" s="262"/>
      <c r="G375" s="15"/>
      <c r="H375" s="11"/>
      <c r="I375" s="11"/>
      <c r="J375" s="11"/>
      <c r="K375" s="11"/>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row>
    <row r="376" ht="15.75" customHeight="1">
      <c r="A376" s="15"/>
      <c r="B376" s="260"/>
      <c r="C376" s="21"/>
      <c r="D376" s="15"/>
      <c r="E376" s="15"/>
      <c r="F376" s="262"/>
      <c r="G376" s="15"/>
      <c r="H376" s="11"/>
      <c r="I376" s="11"/>
      <c r="J376" s="11"/>
      <c r="K376" s="11"/>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row>
    <row r="377" ht="15.75" customHeight="1">
      <c r="A377" s="15"/>
      <c r="B377" s="260"/>
      <c r="C377" s="21"/>
      <c r="D377" s="15"/>
      <c r="E377" s="15"/>
      <c r="F377" s="262"/>
      <c r="G377" s="15"/>
      <c r="H377" s="11"/>
      <c r="I377" s="11"/>
      <c r="J377" s="11"/>
      <c r="K377" s="11"/>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row>
    <row r="378" ht="15.75" customHeight="1">
      <c r="A378" s="15"/>
      <c r="B378" s="260"/>
      <c r="C378" s="21"/>
      <c r="D378" s="15"/>
      <c r="E378" s="15"/>
      <c r="F378" s="262"/>
      <c r="G378" s="15"/>
      <c r="H378" s="11"/>
      <c r="I378" s="11"/>
      <c r="J378" s="11"/>
      <c r="K378" s="11"/>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row>
    <row r="379" ht="15.75" customHeight="1">
      <c r="A379" s="15"/>
      <c r="B379" s="260"/>
      <c r="C379" s="21"/>
      <c r="D379" s="15"/>
      <c r="E379" s="15"/>
      <c r="F379" s="262"/>
      <c r="G379" s="15"/>
      <c r="H379" s="11"/>
      <c r="I379" s="11"/>
      <c r="J379" s="11"/>
      <c r="K379" s="11"/>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row>
    <row r="380" ht="15.75" customHeight="1">
      <c r="A380" s="15"/>
      <c r="B380" s="260"/>
      <c r="C380" s="21"/>
      <c r="D380" s="15"/>
      <c r="E380" s="15"/>
      <c r="F380" s="262"/>
      <c r="G380" s="15"/>
      <c r="H380" s="11"/>
      <c r="I380" s="11"/>
      <c r="J380" s="11"/>
      <c r="K380" s="11"/>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row>
    <row r="381" ht="15.75" customHeight="1">
      <c r="A381" s="15"/>
      <c r="B381" s="260"/>
      <c r="C381" s="21"/>
      <c r="D381" s="15"/>
      <c r="E381" s="15"/>
      <c r="F381" s="262"/>
      <c r="G381" s="15"/>
      <c r="H381" s="11"/>
      <c r="I381" s="11"/>
      <c r="J381" s="11"/>
      <c r="K381" s="11"/>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row>
    <row r="382" ht="15.75" customHeight="1">
      <c r="A382" s="15"/>
      <c r="B382" s="260"/>
      <c r="C382" s="21"/>
      <c r="D382" s="15"/>
      <c r="E382" s="15"/>
      <c r="F382" s="262"/>
      <c r="G382" s="15"/>
      <c r="H382" s="11"/>
      <c r="I382" s="11"/>
      <c r="J382" s="11"/>
      <c r="K382" s="11"/>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row>
    <row r="383" ht="15.75" customHeight="1">
      <c r="A383" s="15"/>
      <c r="B383" s="260"/>
      <c r="C383" s="21"/>
      <c r="D383" s="15"/>
      <c r="E383" s="15"/>
      <c r="F383" s="262"/>
      <c r="G383" s="15"/>
      <c r="H383" s="11"/>
      <c r="I383" s="11"/>
      <c r="J383" s="11"/>
      <c r="K383" s="11"/>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row>
    <row r="384" ht="15.75" customHeight="1">
      <c r="A384" s="15"/>
      <c r="B384" s="260"/>
      <c r="C384" s="21"/>
      <c r="D384" s="15"/>
      <c r="E384" s="15"/>
      <c r="F384" s="262"/>
      <c r="G384" s="15"/>
      <c r="H384" s="11"/>
      <c r="I384" s="11"/>
      <c r="J384" s="11"/>
      <c r="K384" s="11"/>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row>
    <row r="385" ht="15.75" customHeight="1">
      <c r="A385" s="15"/>
      <c r="B385" s="260"/>
      <c r="C385" s="21"/>
      <c r="D385" s="15"/>
      <c r="E385" s="15"/>
      <c r="F385" s="262"/>
      <c r="G385" s="15"/>
      <c r="H385" s="11"/>
      <c r="I385" s="11"/>
      <c r="J385" s="11"/>
      <c r="K385" s="11"/>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row>
    <row r="386" ht="15.75" customHeight="1">
      <c r="A386" s="15"/>
      <c r="B386" s="260"/>
      <c r="C386" s="21"/>
      <c r="D386" s="15"/>
      <c r="E386" s="15"/>
      <c r="F386" s="262"/>
      <c r="G386" s="15"/>
      <c r="H386" s="11"/>
      <c r="I386" s="11"/>
      <c r="J386" s="11"/>
      <c r="K386" s="11"/>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row>
    <row r="387" ht="15.75" customHeight="1">
      <c r="A387" s="15"/>
      <c r="B387" s="260"/>
      <c r="C387" s="21"/>
      <c r="D387" s="15"/>
      <c r="E387" s="15"/>
      <c r="F387" s="262"/>
      <c r="G387" s="15"/>
      <c r="H387" s="11"/>
      <c r="I387" s="11"/>
      <c r="J387" s="11"/>
      <c r="K387" s="11"/>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row>
    <row r="388" ht="15.75" customHeight="1">
      <c r="A388" s="15"/>
      <c r="B388" s="260"/>
      <c r="C388" s="21"/>
      <c r="D388" s="15"/>
      <c r="E388" s="15"/>
      <c r="F388" s="262"/>
      <c r="G388" s="15"/>
      <c r="H388" s="11"/>
      <c r="I388" s="11"/>
      <c r="J388" s="11"/>
      <c r="K388" s="11"/>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row>
    <row r="389" ht="15.75" customHeight="1">
      <c r="A389" s="15"/>
      <c r="B389" s="260"/>
      <c r="C389" s="21"/>
      <c r="D389" s="15"/>
      <c r="E389" s="15"/>
      <c r="F389" s="262"/>
      <c r="G389" s="15"/>
      <c r="H389" s="11"/>
      <c r="I389" s="11"/>
      <c r="J389" s="11"/>
      <c r="K389" s="11"/>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row>
    <row r="390" ht="15.75" customHeight="1">
      <c r="A390" s="15"/>
      <c r="B390" s="260"/>
      <c r="C390" s="21"/>
      <c r="D390" s="15"/>
      <c r="E390" s="15"/>
      <c r="F390" s="262"/>
      <c r="G390" s="15"/>
      <c r="H390" s="11"/>
      <c r="I390" s="11"/>
      <c r="J390" s="11"/>
      <c r="K390" s="11"/>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row>
    <row r="391" ht="15.75" customHeight="1">
      <c r="A391" s="15"/>
      <c r="B391" s="260"/>
      <c r="C391" s="21"/>
      <c r="D391" s="15"/>
      <c r="E391" s="15"/>
      <c r="F391" s="262"/>
      <c r="G391" s="15"/>
      <c r="H391" s="11"/>
      <c r="I391" s="11"/>
      <c r="J391" s="11"/>
      <c r="K391" s="11"/>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row>
    <row r="392" ht="15.75" customHeight="1">
      <c r="A392" s="15"/>
      <c r="B392" s="260"/>
      <c r="C392" s="21"/>
      <c r="D392" s="15"/>
      <c r="E392" s="15"/>
      <c r="F392" s="262"/>
      <c r="G392" s="15"/>
      <c r="H392" s="11"/>
      <c r="I392" s="11"/>
      <c r="J392" s="11"/>
      <c r="K392" s="11"/>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row>
    <row r="393" ht="15.75" customHeight="1">
      <c r="A393" s="15"/>
      <c r="B393" s="260"/>
      <c r="C393" s="21"/>
      <c r="D393" s="15"/>
      <c r="E393" s="15"/>
      <c r="F393" s="262"/>
      <c r="G393" s="15"/>
      <c r="H393" s="11"/>
      <c r="I393" s="11"/>
      <c r="J393" s="11"/>
      <c r="K393" s="11"/>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row>
    <row r="394" ht="15.75" customHeight="1">
      <c r="A394" s="15"/>
      <c r="B394" s="260"/>
      <c r="C394" s="21"/>
      <c r="D394" s="15"/>
      <c r="E394" s="15"/>
      <c r="F394" s="262"/>
      <c r="G394" s="15"/>
      <c r="H394" s="11"/>
      <c r="I394" s="11"/>
      <c r="J394" s="11"/>
      <c r="K394" s="11"/>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row>
    <row r="395" ht="15.75" customHeight="1">
      <c r="A395" s="15"/>
      <c r="B395" s="260"/>
      <c r="C395" s="21"/>
      <c r="D395" s="15"/>
      <c r="E395" s="15"/>
      <c r="F395" s="262"/>
      <c r="G395" s="15"/>
      <c r="H395" s="11"/>
      <c r="I395" s="11"/>
      <c r="J395" s="11"/>
      <c r="K395" s="11"/>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row>
    <row r="396" ht="15.75" customHeight="1">
      <c r="A396" s="15"/>
      <c r="B396" s="260"/>
      <c r="C396" s="21"/>
      <c r="D396" s="15"/>
      <c r="E396" s="15"/>
      <c r="F396" s="262"/>
      <c r="G396" s="15"/>
      <c r="H396" s="11"/>
      <c r="I396" s="11"/>
      <c r="J396" s="11"/>
      <c r="K396" s="11"/>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row>
    <row r="397" ht="15.75" customHeight="1">
      <c r="A397" s="15"/>
      <c r="B397" s="260"/>
      <c r="C397" s="21"/>
      <c r="D397" s="15"/>
      <c r="E397" s="15"/>
      <c r="F397" s="262"/>
      <c r="G397" s="15"/>
      <c r="H397" s="11"/>
      <c r="I397" s="11"/>
      <c r="J397" s="11"/>
      <c r="K397" s="11"/>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row>
    <row r="398" ht="15.75" customHeight="1">
      <c r="A398" s="15"/>
      <c r="B398" s="260"/>
      <c r="C398" s="21"/>
      <c r="D398" s="15"/>
      <c r="E398" s="15"/>
      <c r="F398" s="262"/>
      <c r="G398" s="15"/>
      <c r="H398" s="11"/>
      <c r="I398" s="11"/>
      <c r="J398" s="11"/>
      <c r="K398" s="11"/>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row>
    <row r="399" ht="15.75" customHeight="1">
      <c r="A399" s="15"/>
      <c r="B399" s="260"/>
      <c r="C399" s="21"/>
      <c r="D399" s="15"/>
      <c r="E399" s="15"/>
      <c r="F399" s="262"/>
      <c r="G399" s="15"/>
      <c r="H399" s="11"/>
      <c r="I399" s="11"/>
      <c r="J399" s="11"/>
      <c r="K399" s="11"/>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row>
    <row r="400" ht="15.75" customHeight="1">
      <c r="A400" s="15"/>
      <c r="B400" s="260"/>
      <c r="C400" s="21"/>
      <c r="D400" s="15"/>
      <c r="E400" s="15"/>
      <c r="F400" s="262"/>
      <c r="G400" s="15"/>
      <c r="H400" s="11"/>
      <c r="I400" s="11"/>
      <c r="J400" s="11"/>
      <c r="K400" s="11"/>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row>
    <row r="401" ht="15.75" customHeight="1">
      <c r="A401" s="15"/>
      <c r="B401" s="260"/>
      <c r="C401" s="21"/>
      <c r="D401" s="15"/>
      <c r="E401" s="15"/>
      <c r="F401" s="262"/>
      <c r="G401" s="15"/>
      <c r="H401" s="11"/>
      <c r="I401" s="11"/>
      <c r="J401" s="11"/>
      <c r="K401" s="11"/>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row>
    <row r="402" ht="15.75" customHeight="1">
      <c r="A402" s="15"/>
      <c r="B402" s="260"/>
      <c r="C402" s="21"/>
      <c r="D402" s="15"/>
      <c r="E402" s="15"/>
      <c r="F402" s="262"/>
      <c r="G402" s="15"/>
      <c r="H402" s="11"/>
      <c r="I402" s="11"/>
      <c r="J402" s="11"/>
      <c r="K402" s="11"/>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row>
    <row r="403" ht="15.75" customHeight="1">
      <c r="A403" s="15"/>
      <c r="B403" s="260"/>
      <c r="C403" s="21"/>
      <c r="D403" s="15"/>
      <c r="E403" s="15"/>
      <c r="F403" s="262"/>
      <c r="G403" s="15"/>
      <c r="H403" s="11"/>
      <c r="I403" s="11"/>
      <c r="J403" s="11"/>
      <c r="K403" s="11"/>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row>
    <row r="404" ht="15.75" customHeight="1">
      <c r="A404" s="15"/>
      <c r="B404" s="260"/>
      <c r="C404" s="21"/>
      <c r="D404" s="15"/>
      <c r="E404" s="15"/>
      <c r="F404" s="262"/>
      <c r="G404" s="15"/>
      <c r="H404" s="11"/>
      <c r="I404" s="11"/>
      <c r="J404" s="11"/>
      <c r="K404" s="11"/>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row>
    <row r="405" ht="15.75" customHeight="1">
      <c r="A405" s="15"/>
      <c r="B405" s="260"/>
      <c r="C405" s="21"/>
      <c r="D405" s="15"/>
      <c r="E405" s="15"/>
      <c r="F405" s="262"/>
      <c r="G405" s="15"/>
      <c r="H405" s="11"/>
      <c r="I405" s="11"/>
      <c r="J405" s="11"/>
      <c r="K405" s="11"/>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row>
    <row r="406" ht="15.75" customHeight="1">
      <c r="A406" s="15"/>
      <c r="B406" s="260"/>
      <c r="C406" s="21"/>
      <c r="D406" s="15"/>
      <c r="E406" s="15"/>
      <c r="F406" s="262"/>
      <c r="G406" s="15"/>
      <c r="H406" s="11"/>
      <c r="I406" s="11"/>
      <c r="J406" s="11"/>
      <c r="K406" s="11"/>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row>
    <row r="407" ht="15.75" customHeight="1">
      <c r="A407" s="15"/>
      <c r="B407" s="260"/>
      <c r="C407" s="21"/>
      <c r="D407" s="15"/>
      <c r="E407" s="15"/>
      <c r="F407" s="262"/>
      <c r="G407" s="15"/>
      <c r="H407" s="11"/>
      <c r="I407" s="11"/>
      <c r="J407" s="11"/>
      <c r="K407" s="11"/>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row>
    <row r="408" ht="15.75" customHeight="1">
      <c r="A408" s="15"/>
      <c r="B408" s="260"/>
      <c r="C408" s="21"/>
      <c r="D408" s="15"/>
      <c r="E408" s="15"/>
      <c r="F408" s="262"/>
      <c r="G408" s="15"/>
      <c r="H408" s="11"/>
      <c r="I408" s="11"/>
      <c r="J408" s="11"/>
      <c r="K408" s="11"/>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row>
    <row r="409" ht="15.75" customHeight="1">
      <c r="A409" s="15"/>
      <c r="B409" s="260"/>
      <c r="C409" s="21"/>
      <c r="D409" s="15"/>
      <c r="E409" s="15"/>
      <c r="F409" s="262"/>
      <c r="G409" s="15"/>
      <c r="H409" s="11"/>
      <c r="I409" s="11"/>
      <c r="J409" s="11"/>
      <c r="K409" s="11"/>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row>
    <row r="410" ht="15.75" customHeight="1">
      <c r="A410" s="15"/>
      <c r="B410" s="260"/>
      <c r="C410" s="21"/>
      <c r="D410" s="15"/>
      <c r="E410" s="15"/>
      <c r="F410" s="262"/>
      <c r="G410" s="15"/>
      <c r="H410" s="11"/>
      <c r="I410" s="11"/>
      <c r="J410" s="11"/>
      <c r="K410" s="11"/>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row>
    <row r="411" ht="15.75" customHeight="1">
      <c r="A411" s="15"/>
      <c r="B411" s="260"/>
      <c r="C411" s="21"/>
      <c r="D411" s="15"/>
      <c r="E411" s="15"/>
      <c r="F411" s="262"/>
      <c r="G411" s="15"/>
      <c r="H411" s="11"/>
      <c r="I411" s="11"/>
      <c r="J411" s="11"/>
      <c r="K411" s="11"/>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row>
    <row r="412" ht="15.75" customHeight="1">
      <c r="A412" s="15"/>
      <c r="B412" s="260"/>
      <c r="C412" s="21"/>
      <c r="D412" s="15"/>
      <c r="E412" s="15"/>
      <c r="F412" s="262"/>
      <c r="G412" s="15"/>
      <c r="H412" s="11"/>
      <c r="I412" s="11"/>
      <c r="J412" s="11"/>
      <c r="K412" s="11"/>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row>
    <row r="413" ht="15.75" customHeight="1">
      <c r="A413" s="15"/>
      <c r="B413" s="260"/>
      <c r="C413" s="21"/>
      <c r="D413" s="15"/>
      <c r="E413" s="15"/>
      <c r="F413" s="262"/>
      <c r="G413" s="15"/>
      <c r="H413" s="11"/>
      <c r="I413" s="11"/>
      <c r="J413" s="11"/>
      <c r="K413" s="11"/>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row>
    <row r="414" ht="15.75" customHeight="1">
      <c r="A414" s="15"/>
      <c r="B414" s="260"/>
      <c r="C414" s="21"/>
      <c r="D414" s="15"/>
      <c r="E414" s="15"/>
      <c r="F414" s="262"/>
      <c r="G414" s="15"/>
      <c r="H414" s="11"/>
      <c r="I414" s="11"/>
      <c r="J414" s="11"/>
      <c r="K414" s="11"/>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row>
    <row r="415" ht="15.75" customHeight="1">
      <c r="A415" s="15"/>
      <c r="B415" s="260"/>
      <c r="C415" s="21"/>
      <c r="D415" s="15"/>
      <c r="E415" s="15"/>
      <c r="F415" s="262"/>
      <c r="G415" s="15"/>
      <c r="H415" s="11"/>
      <c r="I415" s="11"/>
      <c r="J415" s="11"/>
      <c r="K415" s="11"/>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row>
    <row r="416" ht="15.75" customHeight="1">
      <c r="A416" s="15"/>
      <c r="B416" s="260"/>
      <c r="C416" s="21"/>
      <c r="D416" s="15"/>
      <c r="E416" s="15"/>
      <c r="F416" s="262"/>
      <c r="G416" s="15"/>
      <c r="H416" s="11"/>
      <c r="I416" s="11"/>
      <c r="J416" s="11"/>
      <c r="K416" s="11"/>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row>
    <row r="417" ht="15.75" customHeight="1">
      <c r="A417" s="15"/>
      <c r="B417" s="260"/>
      <c r="C417" s="21"/>
      <c r="D417" s="15"/>
      <c r="E417" s="15"/>
      <c r="F417" s="262"/>
      <c r="G417" s="15"/>
      <c r="H417" s="11"/>
      <c r="I417" s="11"/>
      <c r="J417" s="11"/>
      <c r="K417" s="11"/>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row>
    <row r="418" ht="15.75" customHeight="1">
      <c r="A418" s="15"/>
      <c r="B418" s="260"/>
      <c r="C418" s="21"/>
      <c r="D418" s="15"/>
      <c r="E418" s="15"/>
      <c r="F418" s="262"/>
      <c r="G418" s="15"/>
      <c r="H418" s="11"/>
      <c r="I418" s="11"/>
      <c r="J418" s="11"/>
      <c r="K418" s="11"/>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row>
    <row r="419" ht="15.75" customHeight="1">
      <c r="A419" s="15"/>
      <c r="B419" s="260"/>
      <c r="C419" s="21"/>
      <c r="D419" s="15"/>
      <c r="E419" s="15"/>
      <c r="F419" s="262"/>
      <c r="G419" s="15"/>
      <c r="H419" s="11"/>
      <c r="I419" s="11"/>
      <c r="J419" s="11"/>
      <c r="K419" s="11"/>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row>
    <row r="420" ht="15.75" customHeight="1">
      <c r="A420" s="15"/>
      <c r="B420" s="260"/>
      <c r="C420" s="21"/>
      <c r="D420" s="15"/>
      <c r="E420" s="15"/>
      <c r="F420" s="262"/>
      <c r="G420" s="15"/>
      <c r="H420" s="11"/>
      <c r="I420" s="11"/>
      <c r="J420" s="11"/>
      <c r="K420" s="11"/>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row>
    <row r="421" ht="15.75" customHeight="1">
      <c r="A421" s="15"/>
      <c r="B421" s="260"/>
      <c r="C421" s="21"/>
      <c r="D421" s="15"/>
      <c r="E421" s="15"/>
      <c r="F421" s="262"/>
      <c r="G421" s="15"/>
      <c r="H421" s="11"/>
      <c r="I421" s="11"/>
      <c r="J421" s="11"/>
      <c r="K421" s="11"/>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row>
    <row r="422" ht="15.75" customHeight="1">
      <c r="A422" s="15"/>
      <c r="B422" s="260"/>
      <c r="C422" s="21"/>
      <c r="D422" s="15"/>
      <c r="E422" s="15"/>
      <c r="F422" s="262"/>
      <c r="G422" s="15"/>
      <c r="H422" s="11"/>
      <c r="I422" s="11"/>
      <c r="J422" s="11"/>
      <c r="K422" s="11"/>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row>
    <row r="423" ht="15.75" customHeight="1">
      <c r="A423" s="15"/>
      <c r="B423" s="260"/>
      <c r="C423" s="21"/>
      <c r="D423" s="15"/>
      <c r="E423" s="15"/>
      <c r="F423" s="262"/>
      <c r="G423" s="15"/>
      <c r="H423" s="11"/>
      <c r="I423" s="11"/>
      <c r="J423" s="11"/>
      <c r="K423" s="11"/>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row>
    <row r="424" ht="15.75" customHeight="1">
      <c r="A424" s="15"/>
      <c r="B424" s="260"/>
      <c r="C424" s="21"/>
      <c r="D424" s="15"/>
      <c r="E424" s="15"/>
      <c r="F424" s="262"/>
      <c r="G424" s="15"/>
      <c r="H424" s="11"/>
      <c r="I424" s="11"/>
      <c r="J424" s="11"/>
      <c r="K424" s="11"/>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row>
    <row r="425" ht="15.75" customHeight="1">
      <c r="A425" s="15"/>
      <c r="B425" s="260"/>
      <c r="C425" s="21"/>
      <c r="D425" s="15"/>
      <c r="E425" s="15"/>
      <c r="F425" s="262"/>
      <c r="G425" s="15"/>
      <c r="H425" s="11"/>
      <c r="I425" s="11"/>
      <c r="J425" s="11"/>
      <c r="K425" s="11"/>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row>
    <row r="426" ht="15.75" customHeight="1">
      <c r="A426" s="15"/>
      <c r="B426" s="260"/>
      <c r="C426" s="21"/>
      <c r="D426" s="15"/>
      <c r="E426" s="15"/>
      <c r="F426" s="262"/>
      <c r="G426" s="15"/>
      <c r="H426" s="11"/>
      <c r="I426" s="11"/>
      <c r="J426" s="11"/>
      <c r="K426" s="11"/>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row>
    <row r="427" ht="15.75" customHeight="1">
      <c r="A427" s="15"/>
      <c r="B427" s="260"/>
      <c r="C427" s="21"/>
      <c r="D427" s="15"/>
      <c r="E427" s="15"/>
      <c r="F427" s="262"/>
      <c r="G427" s="15"/>
      <c r="H427" s="11"/>
      <c r="I427" s="11"/>
      <c r="J427" s="11"/>
      <c r="K427" s="11"/>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row>
    <row r="428" ht="15.75" customHeight="1">
      <c r="A428" s="15"/>
      <c r="B428" s="260"/>
      <c r="C428" s="21"/>
      <c r="D428" s="15"/>
      <c r="E428" s="15"/>
      <c r="F428" s="262"/>
      <c r="G428" s="15"/>
      <c r="H428" s="11"/>
      <c r="I428" s="11"/>
      <c r="J428" s="11"/>
      <c r="K428" s="11"/>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row>
    <row r="429" ht="15.75" customHeight="1">
      <c r="A429" s="15"/>
      <c r="B429" s="260"/>
      <c r="C429" s="21"/>
      <c r="D429" s="15"/>
      <c r="E429" s="15"/>
      <c r="F429" s="262"/>
      <c r="G429" s="15"/>
      <c r="H429" s="11"/>
      <c r="I429" s="11"/>
      <c r="J429" s="11"/>
      <c r="K429" s="11"/>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row>
    <row r="430" ht="15.75" customHeight="1">
      <c r="A430" s="15"/>
      <c r="B430" s="260"/>
      <c r="C430" s="21"/>
      <c r="D430" s="15"/>
      <c r="E430" s="15"/>
      <c r="F430" s="262"/>
      <c r="G430" s="15"/>
      <c r="H430" s="11"/>
      <c r="I430" s="11"/>
      <c r="J430" s="11"/>
      <c r="K430" s="11"/>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row>
    <row r="431" ht="15.75" customHeight="1">
      <c r="A431" s="15"/>
      <c r="B431" s="260"/>
      <c r="C431" s="21"/>
      <c r="D431" s="15"/>
      <c r="E431" s="15"/>
      <c r="F431" s="262"/>
      <c r="G431" s="15"/>
      <c r="H431" s="11"/>
      <c r="I431" s="11"/>
      <c r="J431" s="11"/>
      <c r="K431" s="11"/>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row>
    <row r="432" ht="15.75" customHeight="1">
      <c r="A432" s="15"/>
      <c r="B432" s="260"/>
      <c r="C432" s="21"/>
      <c r="D432" s="15"/>
      <c r="E432" s="15"/>
      <c r="F432" s="262"/>
      <c r="G432" s="15"/>
      <c r="H432" s="11"/>
      <c r="I432" s="11"/>
      <c r="J432" s="11"/>
      <c r="K432" s="11"/>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row>
    <row r="433" ht="15.75" customHeight="1">
      <c r="A433" s="15"/>
      <c r="B433" s="260"/>
      <c r="C433" s="21"/>
      <c r="D433" s="15"/>
      <c r="E433" s="15"/>
      <c r="F433" s="262"/>
      <c r="G433" s="15"/>
      <c r="H433" s="11"/>
      <c r="I433" s="11"/>
      <c r="J433" s="11"/>
      <c r="K433" s="11"/>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row>
    <row r="434" ht="15.75" customHeight="1">
      <c r="A434" s="15"/>
      <c r="B434" s="260"/>
      <c r="C434" s="21"/>
      <c r="D434" s="15"/>
      <c r="E434" s="15"/>
      <c r="F434" s="262"/>
      <c r="G434" s="15"/>
      <c r="H434" s="11"/>
      <c r="I434" s="11"/>
      <c r="J434" s="11"/>
      <c r="K434" s="11"/>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row>
    <row r="435" ht="15.75" customHeight="1">
      <c r="A435" s="15"/>
      <c r="B435" s="260"/>
      <c r="C435" s="21"/>
      <c r="D435" s="15"/>
      <c r="E435" s="15"/>
      <c r="F435" s="262"/>
      <c r="G435" s="15"/>
      <c r="H435" s="11"/>
      <c r="I435" s="11"/>
      <c r="J435" s="11"/>
      <c r="K435" s="11"/>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row>
    <row r="436" ht="15.75" customHeight="1">
      <c r="A436" s="15"/>
      <c r="B436" s="260"/>
      <c r="C436" s="21"/>
      <c r="D436" s="15"/>
      <c r="E436" s="15"/>
      <c r="F436" s="262"/>
      <c r="G436" s="15"/>
      <c r="H436" s="11"/>
      <c r="I436" s="11"/>
      <c r="J436" s="11"/>
      <c r="K436" s="11"/>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row>
    <row r="437" ht="15.75" customHeight="1">
      <c r="A437" s="15"/>
      <c r="B437" s="260"/>
      <c r="C437" s="21"/>
      <c r="D437" s="15"/>
      <c r="E437" s="15"/>
      <c r="F437" s="262"/>
      <c r="G437" s="15"/>
      <c r="H437" s="11"/>
      <c r="I437" s="11"/>
      <c r="J437" s="11"/>
      <c r="K437" s="11"/>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row>
    <row r="438" ht="15.75" customHeight="1">
      <c r="A438" s="15"/>
      <c r="B438" s="260"/>
      <c r="C438" s="21"/>
      <c r="D438" s="15"/>
      <c r="E438" s="15"/>
      <c r="F438" s="262"/>
      <c r="G438" s="15"/>
      <c r="H438" s="11"/>
      <c r="I438" s="11"/>
      <c r="J438" s="11"/>
      <c r="K438" s="11"/>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row>
    <row r="439" ht="15.75" customHeight="1">
      <c r="A439" s="15"/>
      <c r="B439" s="260"/>
      <c r="C439" s="21"/>
      <c r="D439" s="15"/>
      <c r="E439" s="15"/>
      <c r="F439" s="262"/>
      <c r="G439" s="15"/>
      <c r="H439" s="11"/>
      <c r="I439" s="11"/>
      <c r="J439" s="11"/>
      <c r="K439" s="11"/>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row>
    <row r="440" ht="15.75" customHeight="1">
      <c r="A440" s="15"/>
      <c r="B440" s="260"/>
      <c r="C440" s="21"/>
      <c r="D440" s="15"/>
      <c r="E440" s="15"/>
      <c r="F440" s="262"/>
      <c r="G440" s="15"/>
      <c r="H440" s="11"/>
      <c r="I440" s="11"/>
      <c r="J440" s="11"/>
      <c r="K440" s="11"/>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row>
    <row r="441" ht="15.75" customHeight="1">
      <c r="A441" s="15"/>
      <c r="B441" s="260"/>
      <c r="C441" s="21"/>
      <c r="D441" s="15"/>
      <c r="E441" s="15"/>
      <c r="F441" s="262"/>
      <c r="G441" s="15"/>
      <c r="H441" s="11"/>
      <c r="I441" s="11"/>
      <c r="J441" s="11"/>
      <c r="K441" s="11"/>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row>
    <row r="442" ht="15.75" customHeight="1">
      <c r="A442" s="15"/>
      <c r="B442" s="260"/>
      <c r="C442" s="21"/>
      <c r="D442" s="15"/>
      <c r="E442" s="15"/>
      <c r="F442" s="262"/>
      <c r="G442" s="15"/>
      <c r="H442" s="11"/>
      <c r="I442" s="11"/>
      <c r="J442" s="11"/>
      <c r="K442" s="11"/>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row>
    <row r="443" ht="15.75" customHeight="1">
      <c r="A443" s="15"/>
      <c r="B443" s="260"/>
      <c r="C443" s="21"/>
      <c r="D443" s="15"/>
      <c r="E443" s="15"/>
      <c r="F443" s="262"/>
      <c r="G443" s="15"/>
      <c r="H443" s="11"/>
      <c r="I443" s="11"/>
      <c r="J443" s="11"/>
      <c r="K443" s="11"/>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row>
    <row r="444" ht="15.75" customHeight="1">
      <c r="A444" s="15"/>
      <c r="B444" s="260"/>
      <c r="C444" s="21"/>
      <c r="D444" s="15"/>
      <c r="E444" s="15"/>
      <c r="F444" s="262"/>
      <c r="G444" s="15"/>
      <c r="H444" s="11"/>
      <c r="I444" s="11"/>
      <c r="J444" s="11"/>
      <c r="K444" s="11"/>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row>
    <row r="445" ht="15.75" customHeight="1">
      <c r="A445" s="15"/>
      <c r="B445" s="260"/>
      <c r="C445" s="21"/>
      <c r="D445" s="15"/>
      <c r="E445" s="15"/>
      <c r="F445" s="262"/>
      <c r="G445" s="15"/>
      <c r="H445" s="11"/>
      <c r="I445" s="11"/>
      <c r="J445" s="11"/>
      <c r="K445" s="11"/>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row>
    <row r="446" ht="15.75" customHeight="1">
      <c r="A446" s="15"/>
      <c r="B446" s="260"/>
      <c r="C446" s="21"/>
      <c r="D446" s="15"/>
      <c r="E446" s="15"/>
      <c r="F446" s="262"/>
      <c r="G446" s="15"/>
      <c r="H446" s="11"/>
      <c r="I446" s="11"/>
      <c r="J446" s="11"/>
      <c r="K446" s="11"/>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row>
    <row r="447" ht="15.75" customHeight="1">
      <c r="A447" s="15"/>
      <c r="B447" s="260"/>
      <c r="C447" s="21"/>
      <c r="D447" s="15"/>
      <c r="E447" s="15"/>
      <c r="F447" s="262"/>
      <c r="G447" s="15"/>
      <c r="H447" s="11"/>
      <c r="I447" s="11"/>
      <c r="J447" s="11"/>
      <c r="K447" s="11"/>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row>
    <row r="448" ht="15.75" customHeight="1">
      <c r="A448" s="15"/>
      <c r="B448" s="260"/>
      <c r="C448" s="21"/>
      <c r="D448" s="15"/>
      <c r="E448" s="15"/>
      <c r="F448" s="262"/>
      <c r="G448" s="15"/>
      <c r="H448" s="11"/>
      <c r="I448" s="11"/>
      <c r="J448" s="11"/>
      <c r="K448" s="11"/>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row>
    <row r="449" ht="15.75" customHeight="1">
      <c r="A449" s="15"/>
      <c r="B449" s="260"/>
      <c r="C449" s="21"/>
      <c r="D449" s="15"/>
      <c r="E449" s="15"/>
      <c r="F449" s="262"/>
      <c r="G449" s="15"/>
      <c r="H449" s="11"/>
      <c r="I449" s="11"/>
      <c r="J449" s="11"/>
      <c r="K449" s="11"/>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row>
    <row r="450" ht="15.75" customHeight="1">
      <c r="A450" s="15"/>
      <c r="B450" s="260"/>
      <c r="C450" s="21"/>
      <c r="D450" s="15"/>
      <c r="E450" s="15"/>
      <c r="F450" s="262"/>
      <c r="G450" s="15"/>
      <c r="H450" s="11"/>
      <c r="I450" s="11"/>
      <c r="J450" s="11"/>
      <c r="K450" s="11"/>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row>
    <row r="451" ht="15.75" customHeight="1">
      <c r="A451" s="15"/>
      <c r="B451" s="260"/>
      <c r="C451" s="21"/>
      <c r="D451" s="15"/>
      <c r="E451" s="15"/>
      <c r="F451" s="262"/>
      <c r="G451" s="15"/>
      <c r="H451" s="11"/>
      <c r="I451" s="11"/>
      <c r="J451" s="11"/>
      <c r="K451" s="11"/>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row>
    <row r="452" ht="15.75" customHeight="1">
      <c r="A452" s="15"/>
      <c r="B452" s="260"/>
      <c r="C452" s="21"/>
      <c r="D452" s="15"/>
      <c r="E452" s="15"/>
      <c r="F452" s="262"/>
      <c r="G452" s="15"/>
      <c r="H452" s="11"/>
      <c r="I452" s="11"/>
      <c r="J452" s="11"/>
      <c r="K452" s="11"/>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row>
    <row r="453" ht="15.75" customHeight="1">
      <c r="A453" s="15"/>
      <c r="B453" s="260"/>
      <c r="C453" s="21"/>
      <c r="D453" s="15"/>
      <c r="E453" s="15"/>
      <c r="F453" s="262"/>
      <c r="G453" s="15"/>
      <c r="H453" s="11"/>
      <c r="I453" s="11"/>
      <c r="J453" s="11"/>
      <c r="K453" s="11"/>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row>
    <row r="454" ht="15.75" customHeight="1">
      <c r="A454" s="15"/>
      <c r="B454" s="260"/>
      <c r="C454" s="21"/>
      <c r="D454" s="15"/>
      <c r="E454" s="15"/>
      <c r="F454" s="262"/>
      <c r="G454" s="15"/>
      <c r="H454" s="11"/>
      <c r="I454" s="11"/>
      <c r="J454" s="11"/>
      <c r="K454" s="11"/>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row>
    <row r="455" ht="15.75" customHeight="1">
      <c r="A455" s="15"/>
      <c r="B455" s="260"/>
      <c r="C455" s="21"/>
      <c r="D455" s="15"/>
      <c r="E455" s="15"/>
      <c r="F455" s="262"/>
      <c r="G455" s="15"/>
      <c r="H455" s="11"/>
      <c r="I455" s="11"/>
      <c r="J455" s="11"/>
      <c r="K455" s="11"/>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row>
    <row r="456" ht="15.75" customHeight="1">
      <c r="A456" s="15"/>
      <c r="B456" s="260"/>
      <c r="C456" s="21"/>
      <c r="D456" s="15"/>
      <c r="E456" s="15"/>
      <c r="F456" s="262"/>
      <c r="G456" s="15"/>
      <c r="H456" s="11"/>
      <c r="I456" s="11"/>
      <c r="J456" s="11"/>
      <c r="K456" s="11"/>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row>
    <row r="457" ht="15.75" customHeight="1">
      <c r="A457" s="15"/>
      <c r="B457" s="260"/>
      <c r="C457" s="21"/>
      <c r="D457" s="15"/>
      <c r="E457" s="15"/>
      <c r="F457" s="262"/>
      <c r="G457" s="15"/>
      <c r="H457" s="11"/>
      <c r="I457" s="11"/>
      <c r="J457" s="11"/>
      <c r="K457" s="11"/>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row>
    <row r="458" ht="15.75" customHeight="1">
      <c r="A458" s="15"/>
      <c r="B458" s="260"/>
      <c r="C458" s="21"/>
      <c r="D458" s="15"/>
      <c r="E458" s="15"/>
      <c r="F458" s="262"/>
      <c r="G458" s="15"/>
      <c r="H458" s="11"/>
      <c r="I458" s="11"/>
      <c r="J458" s="11"/>
      <c r="K458" s="11"/>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row>
    <row r="459" ht="15.75" customHeight="1">
      <c r="A459" s="15"/>
      <c r="B459" s="260"/>
      <c r="C459" s="21"/>
      <c r="D459" s="15"/>
      <c r="E459" s="15"/>
      <c r="F459" s="262"/>
      <c r="G459" s="15"/>
      <c r="H459" s="11"/>
      <c r="I459" s="11"/>
      <c r="J459" s="11"/>
      <c r="K459" s="11"/>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row>
    <row r="460" ht="15.75" customHeight="1">
      <c r="A460" s="15"/>
      <c r="B460" s="260"/>
      <c r="C460" s="21"/>
      <c r="D460" s="15"/>
      <c r="E460" s="15"/>
      <c r="F460" s="262"/>
      <c r="G460" s="15"/>
      <c r="H460" s="11"/>
      <c r="I460" s="11"/>
      <c r="J460" s="11"/>
      <c r="K460" s="11"/>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row>
    <row r="461" ht="15.75" customHeight="1">
      <c r="A461" s="15"/>
      <c r="B461" s="260"/>
      <c r="C461" s="21"/>
      <c r="D461" s="15"/>
      <c r="E461" s="15"/>
      <c r="F461" s="262"/>
      <c r="G461" s="15"/>
      <c r="H461" s="11"/>
      <c r="I461" s="11"/>
      <c r="J461" s="11"/>
      <c r="K461" s="11"/>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row>
    <row r="462" ht="15.75" customHeight="1">
      <c r="A462" s="15"/>
      <c r="B462" s="260"/>
      <c r="C462" s="21"/>
      <c r="D462" s="15"/>
      <c r="E462" s="15"/>
      <c r="F462" s="262"/>
      <c r="G462" s="15"/>
      <c r="H462" s="11"/>
      <c r="I462" s="11"/>
      <c r="J462" s="11"/>
      <c r="K462" s="11"/>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row>
    <row r="463" ht="15.75" customHeight="1">
      <c r="A463" s="15"/>
      <c r="B463" s="260"/>
      <c r="C463" s="21"/>
      <c r="D463" s="15"/>
      <c r="E463" s="15"/>
      <c r="F463" s="262"/>
      <c r="G463" s="15"/>
      <c r="H463" s="11"/>
      <c r="I463" s="11"/>
      <c r="J463" s="11"/>
      <c r="K463" s="11"/>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row>
    <row r="464" ht="15.75" customHeight="1">
      <c r="A464" s="15"/>
      <c r="B464" s="260"/>
      <c r="C464" s="21"/>
      <c r="D464" s="15"/>
      <c r="E464" s="15"/>
      <c r="F464" s="262"/>
      <c r="G464" s="15"/>
      <c r="H464" s="11"/>
      <c r="I464" s="11"/>
      <c r="J464" s="11"/>
      <c r="K464" s="11"/>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row>
    <row r="465" ht="15.75" customHeight="1">
      <c r="A465" s="15"/>
      <c r="B465" s="260"/>
      <c r="C465" s="21"/>
      <c r="D465" s="15"/>
      <c r="E465" s="15"/>
      <c r="F465" s="262"/>
      <c r="G465" s="15"/>
      <c r="H465" s="11"/>
      <c r="I465" s="11"/>
      <c r="J465" s="11"/>
      <c r="K465" s="11"/>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row>
    <row r="466" ht="15.75" customHeight="1">
      <c r="A466" s="15"/>
      <c r="B466" s="260"/>
      <c r="C466" s="21"/>
      <c r="D466" s="15"/>
      <c r="E466" s="15"/>
      <c r="F466" s="262"/>
      <c r="G466" s="15"/>
      <c r="H466" s="11"/>
      <c r="I466" s="11"/>
      <c r="J466" s="11"/>
      <c r="K466" s="11"/>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row>
    <row r="467" ht="15.75" customHeight="1">
      <c r="A467" s="15"/>
      <c r="B467" s="260"/>
      <c r="C467" s="21"/>
      <c r="D467" s="15"/>
      <c r="E467" s="15"/>
      <c r="F467" s="262"/>
      <c r="G467" s="15"/>
      <c r="H467" s="11"/>
      <c r="I467" s="11"/>
      <c r="J467" s="11"/>
      <c r="K467" s="11"/>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row>
    <row r="468" ht="15.75" customHeight="1">
      <c r="A468" s="15"/>
      <c r="B468" s="260"/>
      <c r="C468" s="21"/>
      <c r="D468" s="15"/>
      <c r="E468" s="15"/>
      <c r="F468" s="262"/>
      <c r="G468" s="15"/>
      <c r="H468" s="11"/>
      <c r="I468" s="11"/>
      <c r="J468" s="11"/>
      <c r="K468" s="11"/>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row>
    <row r="469" ht="15.75" customHeight="1">
      <c r="A469" s="15"/>
      <c r="B469" s="260"/>
      <c r="C469" s="21"/>
      <c r="D469" s="15"/>
      <c r="E469" s="15"/>
      <c r="F469" s="262"/>
      <c r="G469" s="15"/>
      <c r="H469" s="11"/>
      <c r="I469" s="11"/>
      <c r="J469" s="11"/>
      <c r="K469" s="11"/>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row>
    <row r="470" ht="15.75" customHeight="1">
      <c r="A470" s="15"/>
      <c r="B470" s="260"/>
      <c r="C470" s="21"/>
      <c r="D470" s="15"/>
      <c r="E470" s="15"/>
      <c r="F470" s="262"/>
      <c r="G470" s="15"/>
      <c r="H470" s="11"/>
      <c r="I470" s="11"/>
      <c r="J470" s="11"/>
      <c r="K470" s="11"/>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row>
    <row r="471" ht="15.75" customHeight="1">
      <c r="A471" s="15"/>
      <c r="B471" s="260"/>
      <c r="C471" s="21"/>
      <c r="D471" s="15"/>
      <c r="E471" s="15"/>
      <c r="F471" s="262"/>
      <c r="G471" s="15"/>
      <c r="H471" s="11"/>
      <c r="I471" s="11"/>
      <c r="J471" s="11"/>
      <c r="K471" s="11"/>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row>
    <row r="472" ht="15.75" customHeight="1">
      <c r="A472" s="15"/>
      <c r="B472" s="260"/>
      <c r="C472" s="21"/>
      <c r="D472" s="15"/>
      <c r="E472" s="15"/>
      <c r="F472" s="262"/>
      <c r="G472" s="15"/>
      <c r="H472" s="11"/>
      <c r="I472" s="11"/>
      <c r="J472" s="11"/>
      <c r="K472" s="11"/>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row>
    <row r="473" ht="15.75" customHeight="1">
      <c r="A473" s="15"/>
      <c r="B473" s="260"/>
      <c r="C473" s="21"/>
      <c r="D473" s="15"/>
      <c r="E473" s="15"/>
      <c r="F473" s="262"/>
      <c r="G473" s="15"/>
      <c r="H473" s="11"/>
      <c r="I473" s="11"/>
      <c r="J473" s="11"/>
      <c r="K473" s="11"/>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row>
    <row r="474" ht="15.75" customHeight="1">
      <c r="A474" s="15"/>
      <c r="B474" s="260"/>
      <c r="C474" s="21"/>
      <c r="D474" s="15"/>
      <c r="E474" s="15"/>
      <c r="F474" s="262"/>
      <c r="G474" s="15"/>
      <c r="H474" s="11"/>
      <c r="I474" s="11"/>
      <c r="J474" s="11"/>
      <c r="K474" s="11"/>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row>
    <row r="475" ht="15.75" customHeight="1">
      <c r="A475" s="15"/>
      <c r="B475" s="260"/>
      <c r="C475" s="21"/>
      <c r="D475" s="15"/>
      <c r="E475" s="15"/>
      <c r="F475" s="262"/>
      <c r="G475" s="15"/>
      <c r="H475" s="11"/>
      <c r="I475" s="11"/>
      <c r="J475" s="11"/>
      <c r="K475" s="11"/>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row>
    <row r="476" ht="15.75" customHeight="1">
      <c r="A476" s="15"/>
      <c r="B476" s="260"/>
      <c r="C476" s="21"/>
      <c r="D476" s="15"/>
      <c r="E476" s="15"/>
      <c r="F476" s="262"/>
      <c r="G476" s="15"/>
      <c r="H476" s="11"/>
      <c r="I476" s="11"/>
      <c r="J476" s="11"/>
      <c r="K476" s="11"/>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row>
    <row r="477" ht="15.75" customHeight="1">
      <c r="A477" s="15"/>
      <c r="B477" s="260"/>
      <c r="C477" s="21"/>
      <c r="D477" s="15"/>
      <c r="E477" s="15"/>
      <c r="F477" s="262"/>
      <c r="G477" s="15"/>
      <c r="H477" s="11"/>
      <c r="I477" s="11"/>
      <c r="J477" s="11"/>
      <c r="K477" s="11"/>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row>
    <row r="478" ht="15.75" customHeight="1">
      <c r="A478" s="15"/>
      <c r="B478" s="260"/>
      <c r="C478" s="21"/>
      <c r="D478" s="15"/>
      <c r="E478" s="15"/>
      <c r="F478" s="262"/>
      <c r="G478" s="15"/>
      <c r="H478" s="11"/>
      <c r="I478" s="11"/>
      <c r="J478" s="11"/>
      <c r="K478" s="11"/>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row>
    <row r="479" ht="15.75" customHeight="1">
      <c r="A479" s="15"/>
      <c r="B479" s="260"/>
      <c r="C479" s="21"/>
      <c r="D479" s="15"/>
      <c r="E479" s="15"/>
      <c r="F479" s="262"/>
      <c r="G479" s="15"/>
      <c r="H479" s="11"/>
      <c r="I479" s="11"/>
      <c r="J479" s="11"/>
      <c r="K479" s="11"/>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row>
    <row r="480" ht="15.75" customHeight="1">
      <c r="A480" s="15"/>
      <c r="B480" s="260"/>
      <c r="C480" s="21"/>
      <c r="D480" s="15"/>
      <c r="E480" s="15"/>
      <c r="F480" s="262"/>
      <c r="G480" s="15"/>
      <c r="H480" s="11"/>
      <c r="I480" s="11"/>
      <c r="J480" s="11"/>
      <c r="K480" s="11"/>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row>
    <row r="481" ht="15.75" customHeight="1">
      <c r="A481" s="15"/>
      <c r="B481" s="260"/>
      <c r="C481" s="21"/>
      <c r="D481" s="15"/>
      <c r="E481" s="15"/>
      <c r="F481" s="262"/>
      <c r="G481" s="15"/>
      <c r="H481" s="11"/>
      <c r="I481" s="11"/>
      <c r="J481" s="11"/>
      <c r="K481" s="11"/>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row>
    <row r="482" ht="15.75" customHeight="1">
      <c r="A482" s="15"/>
      <c r="B482" s="260"/>
      <c r="C482" s="21"/>
      <c r="D482" s="15"/>
      <c r="E482" s="15"/>
      <c r="F482" s="262"/>
      <c r="G482" s="15"/>
      <c r="H482" s="11"/>
      <c r="I482" s="11"/>
      <c r="J482" s="11"/>
      <c r="K482" s="11"/>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row>
    <row r="483" ht="15.75" customHeight="1">
      <c r="A483" s="15"/>
      <c r="B483" s="260"/>
      <c r="C483" s="21"/>
      <c r="D483" s="15"/>
      <c r="E483" s="15"/>
      <c r="F483" s="262"/>
      <c r="G483" s="15"/>
      <c r="H483" s="11"/>
      <c r="I483" s="11"/>
      <c r="J483" s="11"/>
      <c r="K483" s="11"/>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row>
    <row r="484" ht="15.75" customHeight="1">
      <c r="A484" s="15"/>
      <c r="B484" s="260"/>
      <c r="C484" s="21"/>
      <c r="D484" s="15"/>
      <c r="E484" s="15"/>
      <c r="F484" s="262"/>
      <c r="G484" s="15"/>
      <c r="H484" s="11"/>
      <c r="I484" s="11"/>
      <c r="J484" s="11"/>
      <c r="K484" s="11"/>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row>
    <row r="485" ht="15.75" customHeight="1">
      <c r="A485" s="15"/>
      <c r="B485" s="260"/>
      <c r="C485" s="21"/>
      <c r="D485" s="15"/>
      <c r="E485" s="15"/>
      <c r="F485" s="262"/>
      <c r="G485" s="15"/>
      <c r="H485" s="11"/>
      <c r="I485" s="11"/>
      <c r="J485" s="11"/>
      <c r="K485" s="11"/>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row>
    <row r="486" ht="15.75" customHeight="1">
      <c r="A486" s="15"/>
      <c r="B486" s="260"/>
      <c r="C486" s="21"/>
      <c r="D486" s="15"/>
      <c r="E486" s="15"/>
      <c r="F486" s="262"/>
      <c r="G486" s="15"/>
      <c r="H486" s="11"/>
      <c r="I486" s="11"/>
      <c r="J486" s="11"/>
      <c r="K486" s="11"/>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row>
    <row r="487" ht="15.75" customHeight="1">
      <c r="A487" s="15"/>
      <c r="B487" s="260"/>
      <c r="C487" s="21"/>
      <c r="D487" s="15"/>
      <c r="E487" s="15"/>
      <c r="F487" s="262"/>
      <c r="G487" s="15"/>
      <c r="H487" s="11"/>
      <c r="I487" s="11"/>
      <c r="J487" s="11"/>
      <c r="K487" s="11"/>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row>
    <row r="488" ht="15.75" customHeight="1">
      <c r="A488" s="15"/>
      <c r="B488" s="260"/>
      <c r="C488" s="21"/>
      <c r="D488" s="15"/>
      <c r="E488" s="15"/>
      <c r="F488" s="262"/>
      <c r="G488" s="15"/>
      <c r="H488" s="11"/>
      <c r="I488" s="11"/>
      <c r="J488" s="11"/>
      <c r="K488" s="11"/>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row>
    <row r="489" ht="15.75" customHeight="1">
      <c r="A489" s="15"/>
      <c r="B489" s="260"/>
      <c r="C489" s="21"/>
      <c r="D489" s="15"/>
      <c r="E489" s="15"/>
      <c r="F489" s="262"/>
      <c r="G489" s="15"/>
      <c r="H489" s="11"/>
      <c r="I489" s="11"/>
      <c r="J489" s="11"/>
      <c r="K489" s="11"/>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row>
    <row r="490" ht="15.75" customHeight="1">
      <c r="A490" s="15"/>
      <c r="B490" s="260"/>
      <c r="C490" s="21"/>
      <c r="D490" s="15"/>
      <c r="E490" s="15"/>
      <c r="F490" s="262"/>
      <c r="G490" s="15"/>
      <c r="H490" s="11"/>
      <c r="I490" s="11"/>
      <c r="J490" s="11"/>
      <c r="K490" s="11"/>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row>
    <row r="491" ht="15.75" customHeight="1">
      <c r="A491" s="15"/>
      <c r="B491" s="260"/>
      <c r="C491" s="21"/>
      <c r="D491" s="15"/>
      <c r="E491" s="15"/>
      <c r="F491" s="262"/>
      <c r="G491" s="15"/>
      <c r="H491" s="11"/>
      <c r="I491" s="11"/>
      <c r="J491" s="11"/>
      <c r="K491" s="11"/>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row>
    <row r="492" ht="15.75" customHeight="1">
      <c r="A492" s="15"/>
      <c r="B492" s="260"/>
      <c r="C492" s="21"/>
      <c r="D492" s="15"/>
      <c r="E492" s="15"/>
      <c r="F492" s="262"/>
      <c r="G492" s="15"/>
      <c r="H492" s="11"/>
      <c r="I492" s="11"/>
      <c r="J492" s="11"/>
      <c r="K492" s="11"/>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row>
    <row r="493" ht="15.75" customHeight="1">
      <c r="A493" s="15"/>
      <c r="B493" s="260"/>
      <c r="C493" s="21"/>
      <c r="D493" s="15"/>
      <c r="E493" s="15"/>
      <c r="F493" s="262"/>
      <c r="G493" s="15"/>
      <c r="H493" s="11"/>
      <c r="I493" s="11"/>
      <c r="J493" s="11"/>
      <c r="K493" s="11"/>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row>
    <row r="494" ht="15.75" customHeight="1">
      <c r="A494" s="15"/>
      <c r="B494" s="260"/>
      <c r="C494" s="21"/>
      <c r="D494" s="15"/>
      <c r="E494" s="15"/>
      <c r="F494" s="262"/>
      <c r="G494" s="15"/>
      <c r="H494" s="11"/>
      <c r="I494" s="11"/>
      <c r="J494" s="11"/>
      <c r="K494" s="11"/>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row>
    <row r="495" ht="15.75" customHeight="1">
      <c r="A495" s="15"/>
      <c r="B495" s="260"/>
      <c r="C495" s="21"/>
      <c r="D495" s="15"/>
      <c r="E495" s="15"/>
      <c r="F495" s="262"/>
      <c r="G495" s="15"/>
      <c r="H495" s="11"/>
      <c r="I495" s="11"/>
      <c r="J495" s="11"/>
      <c r="K495" s="11"/>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row>
    <row r="496" ht="15.75" customHeight="1">
      <c r="A496" s="15"/>
      <c r="B496" s="260"/>
      <c r="C496" s="21"/>
      <c r="D496" s="15"/>
      <c r="E496" s="15"/>
      <c r="F496" s="262"/>
      <c r="G496" s="15"/>
      <c r="H496" s="11"/>
      <c r="I496" s="11"/>
      <c r="J496" s="11"/>
      <c r="K496" s="11"/>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row>
    <row r="497" ht="15.75" customHeight="1">
      <c r="A497" s="15"/>
      <c r="B497" s="260"/>
      <c r="C497" s="21"/>
      <c r="D497" s="15"/>
      <c r="E497" s="15"/>
      <c r="F497" s="262"/>
      <c r="G497" s="15"/>
      <c r="H497" s="11"/>
      <c r="I497" s="11"/>
      <c r="J497" s="11"/>
      <c r="K497" s="11"/>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row>
    <row r="498" ht="15.75" customHeight="1">
      <c r="A498" s="15"/>
      <c r="B498" s="260"/>
      <c r="C498" s="21"/>
      <c r="D498" s="15"/>
      <c r="E498" s="15"/>
      <c r="F498" s="262"/>
      <c r="G498" s="15"/>
      <c r="H498" s="11"/>
      <c r="I498" s="11"/>
      <c r="J498" s="11"/>
      <c r="K498" s="11"/>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row>
    <row r="499" ht="15.75" customHeight="1">
      <c r="A499" s="15"/>
      <c r="B499" s="260"/>
      <c r="C499" s="21"/>
      <c r="D499" s="15"/>
      <c r="E499" s="15"/>
      <c r="F499" s="262"/>
      <c r="G499" s="15"/>
      <c r="H499" s="11"/>
      <c r="I499" s="11"/>
      <c r="J499" s="11"/>
      <c r="K499" s="11"/>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row>
    <row r="500" ht="15.75" customHeight="1">
      <c r="A500" s="15"/>
      <c r="B500" s="260"/>
      <c r="C500" s="21"/>
      <c r="D500" s="15"/>
      <c r="E500" s="15"/>
      <c r="F500" s="262"/>
      <c r="G500" s="15"/>
      <c r="H500" s="11"/>
      <c r="I500" s="11"/>
      <c r="J500" s="11"/>
      <c r="K500" s="11"/>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row>
    <row r="501" ht="15.75" customHeight="1">
      <c r="A501" s="15"/>
      <c r="B501" s="260"/>
      <c r="C501" s="21"/>
      <c r="D501" s="15"/>
      <c r="E501" s="15"/>
      <c r="F501" s="262"/>
      <c r="G501" s="15"/>
      <c r="H501" s="11"/>
      <c r="I501" s="11"/>
      <c r="J501" s="11"/>
      <c r="K501" s="11"/>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row>
    <row r="502" ht="15.75" customHeight="1">
      <c r="A502" s="15"/>
      <c r="B502" s="260"/>
      <c r="C502" s="21"/>
      <c r="D502" s="15"/>
      <c r="E502" s="15"/>
      <c r="F502" s="262"/>
      <c r="G502" s="15"/>
      <c r="H502" s="11"/>
      <c r="I502" s="11"/>
      <c r="J502" s="11"/>
      <c r="K502" s="11"/>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row>
    <row r="503" ht="15.75" customHeight="1">
      <c r="A503" s="15"/>
      <c r="B503" s="260"/>
      <c r="C503" s="21"/>
      <c r="D503" s="15"/>
      <c r="E503" s="15"/>
      <c r="F503" s="262"/>
      <c r="G503" s="15"/>
      <c r="H503" s="11"/>
      <c r="I503" s="11"/>
      <c r="J503" s="11"/>
      <c r="K503" s="11"/>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row>
    <row r="504" ht="15.75" customHeight="1">
      <c r="A504" s="15"/>
      <c r="B504" s="260"/>
      <c r="C504" s="21"/>
      <c r="D504" s="15"/>
      <c r="E504" s="15"/>
      <c r="F504" s="262"/>
      <c r="G504" s="15"/>
      <c r="H504" s="11"/>
      <c r="I504" s="11"/>
      <c r="J504" s="11"/>
      <c r="K504" s="11"/>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row>
    <row r="505" ht="15.75" customHeight="1">
      <c r="A505" s="15"/>
      <c r="B505" s="260"/>
      <c r="C505" s="21"/>
      <c r="D505" s="15"/>
      <c r="E505" s="15"/>
      <c r="F505" s="262"/>
      <c r="G505" s="15"/>
      <c r="H505" s="11"/>
      <c r="I505" s="11"/>
      <c r="J505" s="11"/>
      <c r="K505" s="11"/>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row>
    <row r="506" ht="15.75" customHeight="1">
      <c r="A506" s="15"/>
      <c r="B506" s="260"/>
      <c r="C506" s="21"/>
      <c r="D506" s="15"/>
      <c r="E506" s="15"/>
      <c r="F506" s="262"/>
      <c r="G506" s="15"/>
      <c r="H506" s="11"/>
      <c r="I506" s="11"/>
      <c r="J506" s="11"/>
      <c r="K506" s="11"/>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row>
    <row r="507" ht="15.75" customHeight="1">
      <c r="A507" s="15"/>
      <c r="B507" s="260"/>
      <c r="C507" s="21"/>
      <c r="D507" s="15"/>
      <c r="E507" s="15"/>
      <c r="F507" s="262"/>
      <c r="G507" s="15"/>
      <c r="H507" s="11"/>
      <c r="I507" s="11"/>
      <c r="J507" s="11"/>
      <c r="K507" s="11"/>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row>
    <row r="508" ht="15.75" customHeight="1">
      <c r="A508" s="15"/>
      <c r="B508" s="260"/>
      <c r="C508" s="21"/>
      <c r="D508" s="15"/>
      <c r="E508" s="15"/>
      <c r="F508" s="262"/>
      <c r="G508" s="15"/>
      <c r="H508" s="11"/>
      <c r="I508" s="11"/>
      <c r="J508" s="11"/>
      <c r="K508" s="11"/>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row>
    <row r="509" ht="15.75" customHeight="1">
      <c r="A509" s="15"/>
      <c r="B509" s="260"/>
      <c r="C509" s="21"/>
      <c r="D509" s="15"/>
      <c r="E509" s="15"/>
      <c r="F509" s="262"/>
      <c r="G509" s="15"/>
      <c r="H509" s="11"/>
      <c r="I509" s="11"/>
      <c r="J509" s="11"/>
      <c r="K509" s="11"/>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row>
    <row r="510" ht="15.75" customHeight="1">
      <c r="A510" s="15"/>
      <c r="B510" s="260"/>
      <c r="C510" s="21"/>
      <c r="D510" s="15"/>
      <c r="E510" s="15"/>
      <c r="F510" s="262"/>
      <c r="G510" s="15"/>
      <c r="H510" s="11"/>
      <c r="I510" s="11"/>
      <c r="J510" s="11"/>
      <c r="K510" s="11"/>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row>
    <row r="511" ht="15.75" customHeight="1">
      <c r="A511" s="15"/>
      <c r="B511" s="260"/>
      <c r="C511" s="21"/>
      <c r="D511" s="15"/>
      <c r="E511" s="15"/>
      <c r="F511" s="262"/>
      <c r="G511" s="15"/>
      <c r="H511" s="11"/>
      <c r="I511" s="11"/>
      <c r="J511" s="11"/>
      <c r="K511" s="11"/>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row>
    <row r="512" ht="15.75" customHeight="1">
      <c r="A512" s="15"/>
      <c r="B512" s="260"/>
      <c r="C512" s="21"/>
      <c r="D512" s="15"/>
      <c r="E512" s="15"/>
      <c r="F512" s="262"/>
      <c r="G512" s="15"/>
      <c r="H512" s="11"/>
      <c r="I512" s="11"/>
      <c r="J512" s="11"/>
      <c r="K512" s="11"/>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row>
    <row r="513" ht="15.75" customHeight="1">
      <c r="A513" s="15"/>
      <c r="B513" s="260"/>
      <c r="C513" s="21"/>
      <c r="D513" s="15"/>
      <c r="E513" s="15"/>
      <c r="F513" s="262"/>
      <c r="G513" s="15"/>
      <c r="H513" s="11"/>
      <c r="I513" s="11"/>
      <c r="J513" s="11"/>
      <c r="K513" s="11"/>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row>
    <row r="514" ht="15.75" customHeight="1">
      <c r="A514" s="15"/>
      <c r="B514" s="260"/>
      <c r="C514" s="21"/>
      <c r="D514" s="15"/>
      <c r="E514" s="15"/>
      <c r="F514" s="262"/>
      <c r="G514" s="15"/>
      <c r="H514" s="11"/>
      <c r="I514" s="11"/>
      <c r="J514" s="11"/>
      <c r="K514" s="11"/>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row>
    <row r="515" ht="15.75" customHeight="1">
      <c r="A515" s="15"/>
      <c r="B515" s="260"/>
      <c r="C515" s="21"/>
      <c r="D515" s="15"/>
      <c r="E515" s="15"/>
      <c r="F515" s="262"/>
      <c r="G515" s="15"/>
      <c r="H515" s="11"/>
      <c r="I515" s="11"/>
      <c r="J515" s="11"/>
      <c r="K515" s="11"/>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row>
    <row r="516" ht="15.75" customHeight="1">
      <c r="A516" s="15"/>
      <c r="B516" s="260"/>
      <c r="C516" s="21"/>
      <c r="D516" s="15"/>
      <c r="E516" s="15"/>
      <c r="F516" s="262"/>
      <c r="G516" s="15"/>
      <c r="H516" s="11"/>
      <c r="I516" s="11"/>
      <c r="J516" s="11"/>
      <c r="K516" s="11"/>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row>
    <row r="517" ht="15.75" customHeight="1">
      <c r="A517" s="15"/>
      <c r="B517" s="260"/>
      <c r="C517" s="21"/>
      <c r="D517" s="15"/>
      <c r="E517" s="15"/>
      <c r="F517" s="262"/>
      <c r="G517" s="15"/>
      <c r="H517" s="11"/>
      <c r="I517" s="11"/>
      <c r="J517" s="11"/>
      <c r="K517" s="11"/>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row>
    <row r="518" ht="15.75" customHeight="1">
      <c r="A518" s="15"/>
      <c r="B518" s="260"/>
      <c r="C518" s="21"/>
      <c r="D518" s="15"/>
      <c r="E518" s="15"/>
      <c r="F518" s="262"/>
      <c r="G518" s="15"/>
      <c r="H518" s="11"/>
      <c r="I518" s="11"/>
      <c r="J518" s="11"/>
      <c r="K518" s="11"/>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row>
    <row r="519" ht="15.75" customHeight="1">
      <c r="A519" s="15"/>
      <c r="B519" s="260"/>
      <c r="C519" s="21"/>
      <c r="D519" s="15"/>
      <c r="E519" s="15"/>
      <c r="F519" s="262"/>
      <c r="G519" s="15"/>
      <c r="H519" s="11"/>
      <c r="I519" s="11"/>
      <c r="J519" s="11"/>
      <c r="K519" s="11"/>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row>
    <row r="520" ht="15.75" customHeight="1">
      <c r="A520" s="15"/>
      <c r="B520" s="260"/>
      <c r="C520" s="21"/>
      <c r="D520" s="15"/>
      <c r="E520" s="15"/>
      <c r="F520" s="262"/>
      <c r="G520" s="15"/>
      <c r="H520" s="11"/>
      <c r="I520" s="11"/>
      <c r="J520" s="11"/>
      <c r="K520" s="11"/>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row>
    <row r="521" ht="15.75" customHeight="1">
      <c r="A521" s="15"/>
      <c r="B521" s="260"/>
      <c r="C521" s="21"/>
      <c r="D521" s="15"/>
      <c r="E521" s="15"/>
      <c r="F521" s="262"/>
      <c r="G521" s="15"/>
      <c r="H521" s="11"/>
      <c r="I521" s="11"/>
      <c r="J521" s="11"/>
      <c r="K521" s="11"/>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row>
    <row r="522" ht="15.75" customHeight="1">
      <c r="A522" s="15"/>
      <c r="B522" s="260"/>
      <c r="C522" s="21"/>
      <c r="D522" s="15"/>
      <c r="E522" s="15"/>
      <c r="F522" s="262"/>
      <c r="G522" s="15"/>
      <c r="H522" s="11"/>
      <c r="I522" s="11"/>
      <c r="J522" s="11"/>
      <c r="K522" s="11"/>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row>
    <row r="523" ht="15.75" customHeight="1">
      <c r="A523" s="15"/>
      <c r="B523" s="260"/>
      <c r="C523" s="21"/>
      <c r="D523" s="15"/>
      <c r="E523" s="15"/>
      <c r="F523" s="262"/>
      <c r="G523" s="15"/>
      <c r="H523" s="11"/>
      <c r="I523" s="11"/>
      <c r="J523" s="11"/>
      <c r="K523" s="11"/>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row>
    <row r="524" ht="15.75" customHeight="1">
      <c r="A524" s="15"/>
      <c r="B524" s="260"/>
      <c r="C524" s="21"/>
      <c r="D524" s="15"/>
      <c r="E524" s="15"/>
      <c r="F524" s="262"/>
      <c r="G524" s="15"/>
      <c r="H524" s="11"/>
      <c r="I524" s="11"/>
      <c r="J524" s="11"/>
      <c r="K524" s="11"/>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row>
    <row r="525" ht="15.75" customHeight="1">
      <c r="A525" s="15"/>
      <c r="B525" s="260"/>
      <c r="C525" s="21"/>
      <c r="D525" s="15"/>
      <c r="E525" s="15"/>
      <c r="F525" s="262"/>
      <c r="G525" s="15"/>
      <c r="H525" s="11"/>
      <c r="I525" s="11"/>
      <c r="J525" s="11"/>
      <c r="K525" s="11"/>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row>
    <row r="526" ht="15.75" customHeight="1">
      <c r="A526" s="15"/>
      <c r="B526" s="260"/>
      <c r="C526" s="21"/>
      <c r="D526" s="15"/>
      <c r="E526" s="15"/>
      <c r="F526" s="262"/>
      <c r="G526" s="15"/>
      <c r="H526" s="11"/>
      <c r="I526" s="11"/>
      <c r="J526" s="11"/>
      <c r="K526" s="11"/>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row>
    <row r="527" ht="15.75" customHeight="1">
      <c r="A527" s="15"/>
      <c r="B527" s="260"/>
      <c r="C527" s="21"/>
      <c r="D527" s="15"/>
      <c r="E527" s="15"/>
      <c r="F527" s="262"/>
      <c r="G527" s="15"/>
      <c r="H527" s="11"/>
      <c r="I527" s="11"/>
      <c r="J527" s="11"/>
      <c r="K527" s="11"/>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row>
    <row r="528" ht="15.75" customHeight="1">
      <c r="A528" s="15"/>
      <c r="B528" s="260"/>
      <c r="C528" s="21"/>
      <c r="D528" s="15"/>
      <c r="E528" s="15"/>
      <c r="F528" s="262"/>
      <c r="G528" s="15"/>
      <c r="H528" s="11"/>
      <c r="I528" s="11"/>
      <c r="J528" s="11"/>
      <c r="K528" s="11"/>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row>
    <row r="529" ht="15.75" customHeight="1">
      <c r="A529" s="15"/>
      <c r="B529" s="260"/>
      <c r="C529" s="21"/>
      <c r="D529" s="15"/>
      <c r="E529" s="15"/>
      <c r="F529" s="262"/>
      <c r="G529" s="15"/>
      <c r="H529" s="11"/>
      <c r="I529" s="11"/>
      <c r="J529" s="11"/>
      <c r="K529" s="11"/>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row>
    <row r="530" ht="15.75" customHeight="1">
      <c r="A530" s="15"/>
      <c r="B530" s="260"/>
      <c r="C530" s="21"/>
      <c r="D530" s="15"/>
      <c r="E530" s="15"/>
      <c r="F530" s="262"/>
      <c r="G530" s="15"/>
      <c r="H530" s="11"/>
      <c r="I530" s="11"/>
      <c r="J530" s="11"/>
      <c r="K530" s="11"/>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row>
    <row r="531" ht="15.75" customHeight="1">
      <c r="A531" s="15"/>
      <c r="B531" s="260"/>
      <c r="C531" s="21"/>
      <c r="D531" s="15"/>
      <c r="E531" s="15"/>
      <c r="F531" s="262"/>
      <c r="G531" s="15"/>
      <c r="H531" s="11"/>
      <c r="I531" s="11"/>
      <c r="J531" s="11"/>
      <c r="K531" s="11"/>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row>
    <row r="532" ht="15.75" customHeight="1">
      <c r="A532" s="15"/>
      <c r="B532" s="260"/>
      <c r="C532" s="21"/>
      <c r="D532" s="15"/>
      <c r="E532" s="15"/>
      <c r="F532" s="262"/>
      <c r="G532" s="15"/>
      <c r="H532" s="11"/>
      <c r="I532" s="11"/>
      <c r="J532" s="11"/>
      <c r="K532" s="11"/>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row>
    <row r="533" ht="15.75" customHeight="1">
      <c r="A533" s="15"/>
      <c r="B533" s="260"/>
      <c r="C533" s="21"/>
      <c r="D533" s="15"/>
      <c r="E533" s="15"/>
      <c r="F533" s="262"/>
      <c r="G533" s="15"/>
      <c r="H533" s="11"/>
      <c r="I533" s="11"/>
      <c r="J533" s="11"/>
      <c r="K533" s="11"/>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row>
    <row r="534" ht="15.75" customHeight="1">
      <c r="A534" s="15"/>
      <c r="B534" s="260"/>
      <c r="C534" s="21"/>
      <c r="D534" s="15"/>
      <c r="E534" s="15"/>
      <c r="F534" s="262"/>
      <c r="G534" s="15"/>
      <c r="H534" s="11"/>
      <c r="I534" s="11"/>
      <c r="J534" s="11"/>
      <c r="K534" s="11"/>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row>
    <row r="535" ht="15.75" customHeight="1">
      <c r="A535" s="15"/>
      <c r="B535" s="260"/>
      <c r="C535" s="21"/>
      <c r="D535" s="15"/>
      <c r="E535" s="15"/>
      <c r="F535" s="262"/>
      <c r="G535" s="15"/>
      <c r="H535" s="11"/>
      <c r="I535" s="11"/>
      <c r="J535" s="11"/>
      <c r="K535" s="11"/>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row>
    <row r="536" ht="15.75" customHeight="1">
      <c r="A536" s="15"/>
      <c r="B536" s="260"/>
      <c r="C536" s="21"/>
      <c r="D536" s="15"/>
      <c r="E536" s="15"/>
      <c r="F536" s="262"/>
      <c r="G536" s="15"/>
      <c r="H536" s="11"/>
      <c r="I536" s="11"/>
      <c r="J536" s="11"/>
      <c r="K536" s="11"/>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row>
    <row r="537" ht="15.75" customHeight="1">
      <c r="A537" s="15"/>
      <c r="B537" s="260"/>
      <c r="C537" s="21"/>
      <c r="D537" s="15"/>
      <c r="E537" s="15"/>
      <c r="F537" s="262"/>
      <c r="G537" s="15"/>
      <c r="H537" s="11"/>
      <c r="I537" s="11"/>
      <c r="J537" s="11"/>
      <c r="K537" s="11"/>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row>
    <row r="538" ht="15.75" customHeight="1">
      <c r="A538" s="15"/>
      <c r="B538" s="260"/>
      <c r="C538" s="21"/>
      <c r="D538" s="15"/>
      <c r="E538" s="15"/>
      <c r="F538" s="262"/>
      <c r="G538" s="15"/>
      <c r="H538" s="11"/>
      <c r="I538" s="11"/>
      <c r="J538" s="11"/>
      <c r="K538" s="11"/>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row>
    <row r="539" ht="15.75" customHeight="1">
      <c r="A539" s="15"/>
      <c r="B539" s="260"/>
      <c r="C539" s="21"/>
      <c r="D539" s="15"/>
      <c r="E539" s="15"/>
      <c r="F539" s="262"/>
      <c r="G539" s="15"/>
      <c r="H539" s="11"/>
      <c r="I539" s="11"/>
      <c r="J539" s="11"/>
      <c r="K539" s="11"/>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row>
    <row r="540" ht="15.75" customHeight="1">
      <c r="A540" s="15"/>
      <c r="B540" s="260"/>
      <c r="C540" s="21"/>
      <c r="D540" s="15"/>
      <c r="E540" s="15"/>
      <c r="F540" s="262"/>
      <c r="G540" s="15"/>
      <c r="H540" s="11"/>
      <c r="I540" s="11"/>
      <c r="J540" s="11"/>
      <c r="K540" s="11"/>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row>
    <row r="541" ht="15.75" customHeight="1">
      <c r="A541" s="15"/>
      <c r="B541" s="260"/>
      <c r="C541" s="21"/>
      <c r="D541" s="15"/>
      <c r="E541" s="15"/>
      <c r="F541" s="262"/>
      <c r="G541" s="15"/>
      <c r="H541" s="11"/>
      <c r="I541" s="11"/>
      <c r="J541" s="11"/>
      <c r="K541" s="11"/>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row>
    <row r="542" ht="15.75" customHeight="1">
      <c r="A542" s="15"/>
      <c r="B542" s="260"/>
      <c r="C542" s="21"/>
      <c r="D542" s="15"/>
      <c r="E542" s="15"/>
      <c r="F542" s="262"/>
      <c r="G542" s="15"/>
      <c r="H542" s="11"/>
      <c r="I542" s="11"/>
      <c r="J542" s="11"/>
      <c r="K542" s="11"/>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row>
    <row r="543" ht="15.75" customHeight="1">
      <c r="A543" s="15"/>
      <c r="B543" s="260"/>
      <c r="C543" s="21"/>
      <c r="D543" s="15"/>
      <c r="E543" s="15"/>
      <c r="F543" s="262"/>
      <c r="G543" s="15"/>
      <c r="H543" s="11"/>
      <c r="I543" s="11"/>
      <c r="J543" s="11"/>
      <c r="K543" s="11"/>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row>
    <row r="544" ht="15.75" customHeight="1">
      <c r="A544" s="15"/>
      <c r="B544" s="260"/>
      <c r="C544" s="21"/>
      <c r="D544" s="15"/>
      <c r="E544" s="15"/>
      <c r="F544" s="262"/>
      <c r="G544" s="15"/>
      <c r="H544" s="11"/>
      <c r="I544" s="11"/>
      <c r="J544" s="11"/>
      <c r="K544" s="11"/>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row>
    <row r="545" ht="15.75" customHeight="1">
      <c r="A545" s="15"/>
      <c r="B545" s="260"/>
      <c r="C545" s="21"/>
      <c r="D545" s="15"/>
      <c r="E545" s="15"/>
      <c r="F545" s="262"/>
      <c r="G545" s="15"/>
      <c r="H545" s="11"/>
      <c r="I545" s="11"/>
      <c r="J545" s="11"/>
      <c r="K545" s="11"/>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row>
    <row r="546" ht="15.75" customHeight="1">
      <c r="A546" s="15"/>
      <c r="B546" s="260"/>
      <c r="C546" s="21"/>
      <c r="D546" s="15"/>
      <c r="E546" s="15"/>
      <c r="F546" s="262"/>
      <c r="G546" s="15"/>
      <c r="H546" s="11"/>
      <c r="I546" s="11"/>
      <c r="J546" s="11"/>
      <c r="K546" s="11"/>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row>
    <row r="547" ht="15.75" customHeight="1">
      <c r="A547" s="15"/>
      <c r="B547" s="260"/>
      <c r="C547" s="21"/>
      <c r="D547" s="15"/>
      <c r="E547" s="15"/>
      <c r="F547" s="262"/>
      <c r="G547" s="15"/>
      <c r="H547" s="11"/>
      <c r="I547" s="11"/>
      <c r="J547" s="11"/>
      <c r="K547" s="11"/>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row>
    <row r="548" ht="15.75" customHeight="1">
      <c r="A548" s="15"/>
      <c r="B548" s="260"/>
      <c r="C548" s="21"/>
      <c r="D548" s="15"/>
      <c r="E548" s="15"/>
      <c r="F548" s="262"/>
      <c r="G548" s="15"/>
      <c r="H548" s="11"/>
      <c r="I548" s="11"/>
      <c r="J548" s="11"/>
      <c r="K548" s="11"/>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row>
    <row r="549" ht="15.75" customHeight="1">
      <c r="A549" s="15"/>
      <c r="B549" s="260"/>
      <c r="C549" s="21"/>
      <c r="D549" s="15"/>
      <c r="E549" s="15"/>
      <c r="F549" s="262"/>
      <c r="G549" s="15"/>
      <c r="H549" s="11"/>
      <c r="I549" s="11"/>
      <c r="J549" s="11"/>
      <c r="K549" s="11"/>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row>
    <row r="550" ht="15.75" customHeight="1">
      <c r="A550" s="15"/>
      <c r="B550" s="260"/>
      <c r="C550" s="21"/>
      <c r="D550" s="15"/>
      <c r="E550" s="15"/>
      <c r="F550" s="262"/>
      <c r="G550" s="15"/>
      <c r="H550" s="11"/>
      <c r="I550" s="11"/>
      <c r="J550" s="11"/>
      <c r="K550" s="11"/>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row>
    <row r="551" ht="15.75" customHeight="1">
      <c r="A551" s="15"/>
      <c r="B551" s="260"/>
      <c r="C551" s="21"/>
      <c r="D551" s="15"/>
      <c r="E551" s="15"/>
      <c r="F551" s="262"/>
      <c r="G551" s="15"/>
      <c r="H551" s="11"/>
      <c r="I551" s="11"/>
      <c r="J551" s="11"/>
      <c r="K551" s="11"/>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row>
    <row r="552" ht="15.75" customHeight="1">
      <c r="A552" s="15"/>
      <c r="B552" s="260"/>
      <c r="C552" s="21"/>
      <c r="D552" s="15"/>
      <c r="E552" s="15"/>
      <c r="F552" s="262"/>
      <c r="G552" s="15"/>
      <c r="H552" s="11"/>
      <c r="I552" s="11"/>
      <c r="J552" s="11"/>
      <c r="K552" s="11"/>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row>
    <row r="553" ht="15.75" customHeight="1">
      <c r="A553" s="15"/>
      <c r="B553" s="260"/>
      <c r="C553" s="21"/>
      <c r="D553" s="15"/>
      <c r="E553" s="15"/>
      <c r="F553" s="262"/>
      <c r="G553" s="15"/>
      <c r="H553" s="11"/>
      <c r="I553" s="11"/>
      <c r="J553" s="11"/>
      <c r="K553" s="11"/>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row>
    <row r="554" ht="15.75" customHeight="1">
      <c r="A554" s="15"/>
      <c r="B554" s="260"/>
      <c r="C554" s="21"/>
      <c r="D554" s="15"/>
      <c r="E554" s="15"/>
      <c r="F554" s="262"/>
      <c r="G554" s="15"/>
      <c r="H554" s="11"/>
      <c r="I554" s="11"/>
      <c r="J554" s="11"/>
      <c r="K554" s="11"/>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row>
    <row r="555" ht="15.75" customHeight="1">
      <c r="A555" s="15"/>
      <c r="B555" s="260"/>
      <c r="C555" s="21"/>
      <c r="D555" s="15"/>
      <c r="E555" s="15"/>
      <c r="F555" s="262"/>
      <c r="G555" s="15"/>
      <c r="H555" s="11"/>
      <c r="I555" s="11"/>
      <c r="J555" s="11"/>
      <c r="K555" s="11"/>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row>
    <row r="556" ht="15.75" customHeight="1">
      <c r="A556" s="15"/>
      <c r="B556" s="260"/>
      <c r="C556" s="21"/>
      <c r="D556" s="15"/>
      <c r="E556" s="15"/>
      <c r="F556" s="262"/>
      <c r="G556" s="15"/>
      <c r="H556" s="11"/>
      <c r="I556" s="11"/>
      <c r="J556" s="11"/>
      <c r="K556" s="11"/>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row>
  </sheetData>
  <mergeCells count="13">
    <mergeCell ref="B84:B90"/>
    <mergeCell ref="C84:C90"/>
    <mergeCell ref="D84:D90"/>
    <mergeCell ref="B91:B112"/>
    <mergeCell ref="C91:C112"/>
    <mergeCell ref="D91:D112"/>
    <mergeCell ref="C3:H3"/>
    <mergeCell ref="B59:B71"/>
    <mergeCell ref="C59:C71"/>
    <mergeCell ref="D59:D71"/>
    <mergeCell ref="B74:B83"/>
    <mergeCell ref="C74:C83"/>
    <mergeCell ref="D74:D83"/>
  </mergeCells>
  <dataValidations>
    <dataValidation type="list" allowBlank="1" sqref="G9:J9">
      <formula1>"VerifyWorkingSubs,CreateDoneAwayOrder,CheckUnallocatedGroups,CheckAllocatedGroups,CheckPortfolioManagement,GetDataClosing,VerifyLongPositionsGrid,VerifyShortPositionsGrid,SaveLayoutOrderGrid,VerifyActivity,GetActivityData,VerifySubOrder,VerifyOrder,GetDat"&amp;"aAllocation"</formula1>
    </dataValidation>
    <dataValidation type="list" allowBlank="1" sqref="G206:J206">
      <formula1>"CreateDoneAwayOrder,GetDataAllocation,CheckAllocatedGroups,GetActivityData,VerifyActivity"</formula1>
    </dataValidation>
    <dataValidation type="list" allowBlank="1" sqref="G223:J223">
      <formula1>"CreateDoneAwayOrder,VerifyWorkingSubs,SelectTradeOnOrderGrid,VerifySubOrder"</formula1>
    </dataValidation>
    <dataValidation type="list" allowBlank="1" sqref="G209:J209">
      <formula1>"CreateDoneAwayOrder,GetDataAllocation,CheckAllocatedGroups,GetActivityData,VerifyActivity,GetTradingTransaction,VerifyTradingTransaction,GetDataClosing"</formula1>
    </dataValidation>
    <dataValidation type="list" allowBlank="1" sqref="G142:J142">
      <formula1>"EnterDetailsOnTT,Allocate,SaveAllocation,EnterAllocatePreference,CleanUp,CreateDoneAwayOrder,CleanUps,CloseAllocation"</formula1>
    </dataValidation>
    <dataValidation type="list" allowBlank="1" sqref="H65:J65">
      <formula1>"CleanUp,CreateDoneAwayOrder,GeneralPreferencesDefaultRule,SelectUnallocatedGroup,EnterAccountValuesToAllocate,CheckAllocatedGroups,CheckUnallocatedGroups,VerifyOrder"</formula1>
    </dataValidation>
    <dataValidation type="list" allowBlank="1" sqref="G163:J163">
      <formula1>"CleanUp,CreateDoneAwayOrder,SelectAllocatedGroup,Copy of Data,CheckBlotter,CheckAllocatedGroups,EditAllocatedGrid"</formula1>
    </dataValidation>
    <dataValidation type="list" allowBlank="1" sqref="G79:J79">
      <formula1>"CleanUp,CreateDoneAwayOrder,SetGeneralPreferences,VerifyOrder,CheckAllocatedGroups,ResetGeneralPreferences,VerifyLongPositionsGrid,GetDataClosing"</formula1>
    </dataValidation>
    <dataValidation type="list" allowBlank="1" sqref="G202:J202">
      <formula1>"VerifyDataTT,Copy of Data,CreateDoneAwayOrder"</formula1>
    </dataValidation>
    <dataValidation type="list" allowBlank="1" sqref="G23:J23">
      <formula1>"GetMarkPriceData,GetForexConversion,GetDailyCash,GetDailyDelta,GetDailyDividendYield,GetDailyOutstandings,GetDailyTradingVolume"</formula1>
    </dataValidation>
    <dataValidation type="list" allowBlank="1" sqref="G110:J112">
      <formula1>"CleanUp,GetDailyCash,UpdateDailyCash,UpdateForexConversion,AddCalculatedPreferences,SetDefaultRuleCalculatedPref,CreateDoneAwayOrder,PricingInput,CheckAllocatedGroups,CheckUnallocatedGroups,CheckPortfolioManagement,SelectUnallocatedGroup,EnterAllocatePref"&amp;"erence,AddFillsSubOrder,SelectTradeOnOrderGrid,EditAddFillsDetails"</formula1>
    </dataValidation>
    <dataValidation type="list" allowBlank="1" sqref="G126:J126">
      <formula1>"CreateDoneAwayOrder,GetDataAllocation,CheckUnallocatedGroups,SelectUnallocatedGroup,CheckUnallocatedGroups1,EditUnallocatedGrid,SelectAllocatedGroup"</formula1>
    </dataValidation>
    <dataValidation type="list" allowBlank="1" sqref="G192">
      <formula1>"CleanUp,CreateDoneAwayOrder,EditUnallocatedGrid,VerifyLayoutUnallocatedGrid,CheckUnallocatedGroups,Copy of Data,Copy of Data 1"</formula1>
    </dataValidation>
    <dataValidation type="list" allowBlank="1" sqref="G75:J75 G124:J124 G155:J155 G167:J167 G176:J176 G189 G199:J199">
      <formula1>"CleanUp,CreateDoneAwayOrder"</formula1>
    </dataValidation>
    <dataValidation type="list" allowBlank="1" sqref="G181:J181">
      <formula1>"UpdateServerConfig,CreateStageOrder"</formula1>
    </dataValidation>
    <dataValidation type="list" allowBlank="1" sqref="G205:J205">
      <formula1>"CreateDoneAwayOrder,GetDataAllocation,CheckAllocatedGroups,GetActivityData"</formula1>
    </dataValidation>
    <dataValidation type="list" allowBlank="1" sqref="G101:J101">
      <formula1>"CleanUp,GetDailyCash,UpdateDailyCash,AddCalculatedPreferences,SetDefaultRuleCalculatedPref,CreateDoneAwayOrder,PricingInput,CheckAllocatedGroups,Copy of Data_conflict271610572"</formula1>
    </dataValidation>
    <dataValidation type="list" allowBlank="1" sqref="G127:J127">
      <formula1>"CreateDoneAwayOrder,GetDataAllocation,CheckUnallocatedGroups,SelectUnallocatedGroup,CheckUnallocatedGroups1,EditUnallocatedGrid,SelectAllocatedGroup,EditAllocatedGrid"</formula1>
    </dataValidation>
    <dataValidation type="list" allowBlank="1" sqref="F198">
      <formula1>"DeleteClientData,,,,,,,,,,,,,,,,,,,,,,,,,,,,,,,,,,,,,,,,,,,,,,,,,,,,,,,,,,,,,,,,,,,,,,,,,,,,,,,,,,,,,,,,,,,,,,,,,,,,,,,,,,,,,,,,,,,,,,,,,,,,,,,,,,,,,,,,,,,,,,,,,,,,,,,,,,,,,,,,,,,,,,,,,,,,,,,,,,,,,,,,,,,,,,,,,,,,,,,,,,,,,,,,,,,,,,,,,,,,,,,,,,,,,,,,,,,,,,,"&amp;",,,,,,,,,,,,,,,,,,,,,,,,,,,,,,,,,,,,,,,,,,,,,,,,,,,,,,,,,,,,,,,,,,,,,,,,,,,,,,,,,,,,,,,,,,,,,,,,,,,,,,,,,,,,,,,,,,,,,,,,,,,,,,,,,,,,,,,,,,,,,,,,,,,,,,,,,,,,,,,,,,,,,,,,,,,,,,,,,,,,,,,,,,,,,,,,,,,,,,,,,,,,,,,,,,,,,,,,,,,,,,,,,,,,,,,,,,,,,,,,,,,,,,,,,,,,,,,"&amp;",,"</formula1>
    </dataValidation>
    <dataValidation type="list" allowBlank="1" sqref="G222:J222">
      <formula1>"CreateDoneAwayOrder,VerifyWorkingSubs,SelectTradeOnOrderGrid"</formula1>
    </dataValidation>
    <dataValidation type="list" allowBlank="1" sqref="G211:J211">
      <formula1>"CreateDoneAwayOrder,GetDataAllocation,CheckAllocatedGroups,GetActivityData,VerifyActivity,GetTradingTransaction,VerifyTradingTransaction,GetDataClosing,SelectTradeUnexpiredUnsettled,CashSettlementAtClosingDtSpotPx"</formula1>
    </dataValidation>
    <dataValidation type="list" allowBlank="1" sqref="E69 E81 E103 E112">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G147:J147">
      <formula1>"DeleteClientData,Copy of Data,CleanUp"</formula1>
    </dataValidation>
    <dataValidation type="list" allowBlank="1" sqref="E91 E95:E98 E101:E102 E104:E107 E111">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amp;",,,,,,,,,,,,,,,,,,,,,,,,,,,,,,,,,,,,,,,,,,,,,,,,,,,,,,,,,,,,,,,,,,,,,,,,,,,,,,,,,,,,,,,,,,,,,,,,,,,,,,,,,,,,,,,,,,,,,,,,,,,,,,,,,,,,,,,,,,,,,,,,,,,,,,,,,,,,,,"</formula1>
    </dataValidation>
    <dataValidation type="list" allowBlank="1" sqref="G73:J73">
      <formula1>"GetMarkPriceData,UpdateMarkPriceMonthly"</formula1>
    </dataValidation>
    <dataValidation type="list" allowBlank="1" sqref="G195:J195">
      <formula1>"CleanUp,CreateDoneAwayOrder,SelectUnallocatedGroup,EditUnallocatedGrid,EditAllocatedGrid,SelectUnallocatedGroup1,EditUnallocatedGrid1,SelectUnallocatedGroup2,EditUnallocatedGrid2,Copy of Data,Copy of Data 1,SelectUnallocatedGroup3"</formula1>
    </dataValidation>
    <dataValidation type="list" allowBlank="1" sqref="G22:J22">
      <formula1>"GetMarkPriceData,GetForexConversion,GetDailyCash,GetDailyDelta,GetDailyDividendYield,GetDailyOutstandings"</formula1>
    </dataValidation>
    <dataValidation type="list" allowBlank="1" sqref="G29:J29">
      <formula1>"GetDailyCash"</formula1>
    </dataValidation>
    <dataValidation type="list" allowBlank="1" sqref="G190">
      <formula1>"CleanUp,CreateDoneAwayOrder,EditUnallocatedGrid,VerifyLayoutUnallocatedGrid,CheckUnallocatedGroups,Copy of Data,Copy of Data 1,Copy of Data 2,SelectUnallocatedGroup"</formula1>
    </dataValidation>
    <dataValidation type="list" allowBlank="1" sqref="E33:E34">
      <formula1>"CreateTransaction,AddNewTransaction,SaveTransaction,,,,,,,,,,,,,,,,,,,,,,,,,,,,,,,,,,,,,,,,,,,,,,,,,,,,,,,,,,,,,,,,,,,,,,,,,,,,,,,,,,,,,,,,,,,,,,,,,,,,,,,,,,,,,,,,,,,,,,,,,,,,,,,,,,,,,,,,,,,,,,,,,,,,,,,,,,,,,,,,,,,,,,,,,,,,,,,,,,,,,,,,,,,,,,,,,,,,,,,,,,,,"&amp;",,,,,,,,,,,,,,,,,,,,,,,,,,,,,,,,,,,,,,,,,,,,,,,,,,,,,,,,,,,,,,,,,,,,,,,,,,,,,,,,,,,,,,,,,,,,,,,,,,,,,,,,,,,,,,,,,,,,,,,,,,,,,,,,,,,,,,,,,,,,,,,,,,,,,,,,,,,,,,,,,,,,,,,,,,,,,,,,,,,,,,,,,,,,,,,,,,,,,,,,,,,,,,,,,,,,,,,,,,,,,,,,,,,,,,,,,,,,,,,,,,,,,,,,,,,,,,,"&amp;",,,,,,,,,,,,,,,,,,,,,,,,,,,,,,,,,,,"</formula1>
    </dataValidation>
    <dataValidation type="list" allowBlank="1" sqref="G8:J8">
      <formula1>"CreateDoneAwayOrder,SetClosingPreference,GetDataClosing"</formula1>
    </dataValidation>
    <dataValidation type="list" allowBlank="1" sqref="G76:J76">
      <formula1>"CleanUp,CreateDoneAwayOrder,SetGeneralPreferences"</formula1>
    </dataValidation>
    <dataValidation type="list" allowBlank="1" sqref="G84:J84">
      <formula1>"SaveLayoutAllocatedGrid"</formula1>
    </dataValidation>
    <dataValidation type="list" allowBlank="1" sqref="G19:J19">
      <formula1>"GetMarkPriceData,GetForexConversion,GetDailyCash"</formula1>
    </dataValidation>
    <dataValidation type="list" allowBlank="1" sqref="G74:J74 G91:J91">
      <formula1>"CleanUp"</formula1>
    </dataValidation>
    <dataValidation type="list" allowBlank="1" sqref="G24:J24">
      <formula1>"GetMarkPriceData,GetForexConversion,GetDailyCash,GetDailyDelta,GetDailyDividendYield,GetDailyOutstandings,GetDailyTradingVolume,GetDailyVolatility"</formula1>
    </dataValidation>
    <dataValidation type="list" allowBlank="1" sqref="G161:J162">
      <formula1>"CleanUp,EditTradesAllocated,CreateDoneAwayOrder,SelectAllocatedGroup"</formula1>
    </dataValidation>
    <dataValidation type="list" allowBlank="1" sqref="G47:J47">
      <formula1>"GetForexConversion,UpdateForexConversionMonthly"</formula1>
    </dataValidation>
    <dataValidation type="list" allowBlank="1" sqref="G194:J194">
      <formula1>"CleanUp,CreateDoneAwayOrder,SelectUnallocatedGroup,EditUnallocatedGrid,EditAllocatedGrid,SelectUnallocatedGroup1,EditUnallocatedGrid1,SelectUnallocatedGroup2,EditUnallocatedGrid2,Copy of Data,Copy of Data 1"</formula1>
    </dataValidation>
    <dataValidation type="list" allowBlank="1" sqref="G86:J86">
      <formula1>"SaveLayoutAllocatedGrid,VerifyLayoutAllocatedGrid,SaveLayoutUnallocatedGrid"</formula1>
    </dataValidation>
    <dataValidation type="list" allowBlank="1" sqref="G92:J92">
      <formula1>"CleanUp,GetDailyCash"</formula1>
    </dataValidation>
    <dataValidation type="list" allowBlank="1" sqref="G156:J157">
      <formula1>"CleanUp,CreateDoneAwayOrder,EditUnallocatedGrid,SelectUnallocatedGroup,CheckUnallocatedGroups,E,GetDataAllocation,Copy of Data,CheckBlotter"</formula1>
    </dataValidation>
    <dataValidation type="list" allowBlank="1" sqref="G63:J63">
      <formula1>"CleanUp,CreateDoneAwayOrder,GeneralPreferencesDefaultRule,SelectUnallocatedGroup,EnterAllocatePreference,EnterAccountValuesToAllocate"</formula1>
    </dataValidation>
    <dataValidation type="list" allowBlank="1" sqref="E36 E38">
      <formula1>"CalculatePTT,TradeUsingPTT,StageOrderUsingPTT,CreateOrderPTT,TradePTT,VerifyPTT,OpenMultiTTFromPTT,SelectMultiTT,EditMultiTT,SetAccountFactor,SetPTTPreference,,,,,,,,,,,,,,,,,,,,,,,,,,,,,,,,,,,,,,,,,,,,,,,,,,,,,,,,,,,,,,,,,,,,,,,,,,,,,,,,,,,,,,,,,,,,,,,,,"&amp;",,,,,,,,,,,,,,,,,,,,,,,,,,,,,,,,,,,,,,,,,,,,,,,,,,,,,,,,,,,,,,,,,,,,,,,,,,,,,,,,,,,,,,,,,,,,,,,,,,,,,,,,,,,,,,,,,,,,,,,,,,,,,,,,,,,,,,,,,,,,,,,,,,,,,,,,,,,,,,,,,,,,,,,,,,,,,,,,,,,,,,,,,,,,,,,,,,,,,,,,,,,,,,,,,,,,,,,,,,,,,,,,,,,,,,,,,,,,,,,,,,,,,,,,,,,,,,,"&amp;",,,,,,,,,,,,,,,,,,,,,,,,,,,,,,,,,,,,,,,,,,,,,,,,,,,,,,,,,,,,,,,,,,,,,,,,,,,,,,,,,,,,,,,,,,,,,,,,,,,,,,,,,,,,,,,,,,,,,,,,,,,,,,,,,,,,,,"</formula1>
    </dataValidation>
    <dataValidation type="list" allowBlank="1" sqref="E100">
      <formula1>"PricingInput,UpdateSharesOutstanding,EODTPreferences,LiveData,,,,,,,,,,,,,,,,,,,,,,,,,,,,,,,,,,,,,,,,,,,,,,,,,,,,,,,,,,,,,,,,,,,,,,,,,,,,,,,,,,,,,,,,,,,,,,,,,,,,,,,,,,,,,,,,,,,,,,,,,,,,,,,,,,,,,,,,,,,,,,,,,,,,,,,,,,,,,,,,,,,,,,,,,,,,,,,,,,,,,,,,,,,,,,,,,,"&amp;",,,,,,,,,,,,,,,,,,,,,,,,,,,,,,,,,,,,,,,,,,,,,,,,,,,,,,,,,,,,,,,,,,,,,,,,,,,,,,,,,,,,,,,,,,,,,,,,,,,,,,,,,,,,,,,,,,,,,,,,,,,,,,,,,,,,,,,,,,,,,,,,,,,,,,,,,,,,,,,,,,,,,,,,,,,,,,,,,,,,,,,,,,,,,,,,,,,,,,,,,,,,,,,,,,,,,,,,,,,,,,,,,,,,,,,,,,,,,,,,,,,,,,,,,,,,,,,"&amp;",,,,,,,,,,,,,,,,,,,,,,,,,,,,,,,,,,,,,,,,,,,,"</formula1>
    </dataValidation>
    <dataValidation type="list" allowBlank="1" sqref="G208:J208">
      <formula1>"CreateDoneAwayOrder,GetDataAllocation,CheckAllocatedGroups,GetActivityData,VerifyActivity,GetTradingTransaction,VerifyTradingTransaction"</formula1>
    </dataValidation>
    <dataValidation type="list" allowBlank="1" sqref="G122:J122">
      <formula1>"CreateDoneAwayOrder,GetDataClosing,SelectTradeUnexpiredUnsettled,Expire"</formula1>
    </dataValidation>
    <dataValidation type="list" allowBlank="1" sqref="G20:J20">
      <formula1>"GetMarkPriceData,GetForexConversion,GetDailyCash,GetDailyDelta"</formula1>
    </dataValidation>
    <dataValidation type="list" allowBlank="1" sqref="G221:J221">
      <formula1>"CreateDoneAwayOrder,VerifyWorkingSubs"</formula1>
    </dataValidation>
    <dataValidation type="list" allowBlank="1" sqref="G68:J68">
      <formula1>"CleanUp,CreateDoneAwayOrder,GeneralPreferencesDefaultRule,SelectUnallocatedGroup,EnterAccountValuesToAllocate,CheckAllocatedGroups,CheckUnallocatedGroups,VerifyOrder,Copy of Data,GetDataClosing,VerifyLongPositionsGrid"</formula1>
    </dataValidation>
    <dataValidation type="list" allowBlank="1" sqref="G62:J62">
      <formula1>"CleanUp,CreateDoneAwayOrder,GeneralPreferencesDefaultRule,SelectUnallocatedGroup"</formula1>
    </dataValidation>
    <dataValidation type="list" allowBlank="1" sqref="G207:J207">
      <formula1>"CreateDoneAwayOrder,GetDataAllocation,CheckAllocatedGroups,GetActivityData,VerifyActivity,GetTradingTransaction"</formula1>
    </dataValidation>
    <dataValidation type="list" allowBlank="1" sqref="G191 G193:J193">
      <formula1>"CleanUp,CreateDoneAwayOrder,SelectUnallocatedGroup,EditUnallocatedGrid,EditAllocatedGrid"</formula1>
    </dataValidation>
    <dataValidation type="list" allowBlank="1" sqref="G215:J216 G218:J218">
      <formula1>"CreateDoneAwayOrder,GetDataAllocation,CheckAllocatedGroups,GetActivityData,VerifyActivity,GetTradingTransaction,VerifyTradingTransaction,GetDataClosing,SelectTradeUnexpiredUnsettled,CashSettlementAtClosingDtSpotPx,GetAccountBalance,GetRevaluationData,Veri"&amp;"fyRevaluationData"</formula1>
    </dataValidation>
    <dataValidation type="list" allowBlank="1" sqref="G57:J57">
      <formula1>"CreateStageOrder,TradeNewSubOrder,VerifyTT"</formula1>
    </dataValidation>
    <dataValidation type="list" allowBlank="1" sqref="G82:J82">
      <formula1>"CleanUp,CreateDoneAwayOrder,SetGeneralPreferences,VerifyOrder,CheckAllocatedGroups,ResetGeneralPreferences,VerifyLongPositionsGrid,GetDataClosing,c,CheckPortfolioManagement,GetActivityData"</formula1>
    </dataValidation>
    <dataValidation type="list" allowBlank="1" sqref="G94:J94">
      <formula1>"CleanUp,GetDailyCash,UpdateDailyCash,AddCalculatedPreferences,SetDefaultRuleCalculatedPref,CreateDoneAwayOrder,PricingInput,CheckAllocatedGroups,CheckUnallocatedGroups,CheckPortfolioManagement,SelectUnallocatedGroup,EnterAllocatePreference,UpdateForexConv"&amp;"ersion"</formula1>
    </dataValidation>
    <dataValidation type="list" allowBlank="1" sqref="G10:J10">
      <formula1>"CheckBlotter"</formula1>
    </dataValidation>
    <dataValidation type="list" allowBlank="1" sqref="G25:J25">
      <formula1>"GetMarkPriceData,GetForexConversion,GetDailyCash,GetDailyDelta,GetDailyDividendYield,GetDailyOutstandings,GetDailyTradingVolume,GetDailyVolatility,GetForwardPoints"</formula1>
    </dataValidation>
    <dataValidation type="list" allowBlank="1" sqref="G164:J164">
      <formula1>"CleanUp,CreateDoneAwayOrder,SelectAllocatedGroup,EditAllocatedGrid,CheckAllocatedGroups"</formula1>
    </dataValidation>
    <dataValidation type="list" allowBlank="1" sqref="G128:J128">
      <formula1>"CreateDoneAwayOrder,GetDataAllocation,CheckUnallocatedGroups,SelectUnallocatedGroup,CheckUnallocatedGroups1,EditUnallocatedGrid,SelectAllocatedGroup,EditAllocatedGrid,CheckAllocatedGroups"</formula1>
    </dataValidation>
    <dataValidation type="list" allowBlank="1" sqref="E44 E46:E47">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amp;",,,,,,,,,,,,,,,,,,,,,,,,,,,,,,,,,,,,,,,,,,,,,,,,,,,,,,,,,,,,,,,,,,,,,,,,,,,,,,,,,,,,,,,,,,,,,,,,,,,,,,,,,,,,,,,,,,,,,,,,,,,,,,,,,,,,,,,,,,,,,,,,,,,,,,,,,,,,,,,,,,,,,,,,,,,,,,,,,,,,,,,,,,,,,,,,,,,,,,,,,,,,,,,,,,,,,,,,,,,,,"</formula1>
    </dataValidation>
    <dataValidation type="list" allowBlank="1" sqref="G45:J45 G48:J48">
      <formula1>"GetForexConversion,UpdateForexConversion,UpdateForexConversionMonthly,UpdateMarkPriceMonthly."</formula1>
    </dataValidation>
    <dataValidation type="list" allowBlank="1" sqref="G52:J52">
      <formula1>"AddOpeningBalanceTransaction,AddOpeningBalanceTranItem,SaveTransaction,Copy of Data"</formula1>
    </dataValidation>
    <dataValidation type="list" allowBlank="1" sqref="G87:J89">
      <formula1>"SaveLayoutAllocatedGrid,VerifyLayoutAllocatedGrid,SaveLayoutUnallocatedGrid,VerifyLayoutUnallocatedGrid"</formula1>
    </dataValidation>
    <dataValidation type="list" allowBlank="1" sqref="E37 E39">
      <formula1>"CalculatePTT,TradeUsingPTT,StageOrderUsingPTT,CreateOrderPTT,TradePTT,VerifyPTT,OpenMultiTTFromPTT,SelectMultiTT,EditMultiTT,SetAccountFactor,SetPTTPreference,SetLongShortPTTPreference,,,,,,,,,,,,,,,,,,,,,,,,,,,,,,,,,,,,,,,,,,,,,,,,,,,,,,,,,,,,,,,,,,,,,,,"&amp;",,,,,,,,,,,,,,,,,,,,,,,,,,,,,,,,,,,,,,,,,,,,,,,,,,,,,,,,,,,,,,,,,,,,,,,,,,,,,,,,,,,,,,,,,,,,,,,,,,,,,,,,,,,,,,,,,,,,,,,,,,,,,,,,,,,,,,,,,,,,,,,,,,,,,,,,,,,,,,,,,,,,,,,,,,,,,,,,,,,,,,,,,,,,,,,,,,,,,,,,,,,,,,,,,,,,,,,,,,,,,,,,,,,,,,,,,,,,,,,,,,,,,,,,,,,,,,,"&amp;",,,,,,,,,,,,,,,,,,,,,,,,,,,,,,,,,,,,,,,,,,,,,,,,,,,,,,,,,,,,,,,,,,,,,,,,,,,,,,,,,,,,,,,,,,,,,,,,,,,,,,,,,,,,,,,,,,,,,,,,,,,,,,,,,,,,,,,,,,,,,,,,,,,,,,,,,,,,,,,"</formula1>
    </dataValidation>
    <dataValidation type="list" allowBlank="1" sqref="G71:J71">
      <formula1>"CleanUp,CreateDoneAwayOrder,GeneralPreferencesDefaultRule,SelectUnallocatedGroup,EnterAccountValuesToAllocate,CheckAllocatedGroups,CheckUnallocatedGroups,VerifyOrder,Copy of Data,GetDataClosing,VerifyLongPositionsGrid,VerifyShortPositionsGrid,CheckPortfol"&amp;"ioManagement,GetActivityData,VerifyActivity"</formula1>
    </dataValidation>
    <dataValidation type="list" allowBlank="1" sqref="E123 E125:E128 E130:E132 E135 E141:E142 E147 E150 E154 E156:E160 E162:E164 E166 E168:E173 E175 E188 E190:E195 E198 E200 E203:E204">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G107:J107">
      <formula1>"CleanUp,GetDailyCash,UpdateDailyCash,UpdateForexConversion,AddCalculatedPreferences,SetDefaultRuleCalculatedPref,CreateDoneAwayOrder,PricingInput,CheckAllocatedGroups,CheckUnallocatedGroups,CheckPortfolioManagement,SelectUnallocatedGroup,EnterAllocatePref"&amp;"erence"</formula1>
    </dataValidation>
    <dataValidation type="list" allowBlank="1" sqref="G51:J51">
      <formula1>"AddOpeningBalanceTransaction,AddOpeningBalanceTranItem"</formula1>
    </dataValidation>
    <dataValidation type="list" allowBlank="1" sqref="D6:D59 D72:D74 D84 D91 D113:D556">
      <formula1>'_Categories'!$A$4:$A556</formula1>
    </dataValidation>
    <dataValidation type="list" allowBlank="1" sqref="G38:J38">
      <formula1>"SetPTTPreference,SetAccountFactor"</formula1>
    </dataValidation>
    <dataValidation type="list" allowBlank="1" sqref="G158:J158">
      <formula1>"CleanUp,CreateDoneAwayOrder,EditUnallocatedGrid,SelectUnallocatedGroup,CheckUnallocatedGroups"</formula1>
    </dataValidation>
    <dataValidation type="list" allowBlank="1" sqref="G39:J39">
      <formula1>"SetPTTPreference,SetAccountFactor,SetLongShortPTTPreference"</formula1>
    </dataValidation>
    <dataValidation type="list" allowBlank="1" sqref="G33:J33">
      <formula1>"CreateTransaction"</formula1>
    </dataValidation>
    <dataValidation type="list" allowBlank="1" sqref="G7:J7">
      <formula1>"CreateDoneAwayOrder,SetClosingPreference"</formula1>
    </dataValidation>
    <dataValidation type="list" allowBlank="1" sqref="G31:J31">
      <formula1>"GetDailyBeta,Copy of Data,Copy of Data_conflict954578734,GetDailyDelta"</formula1>
    </dataValidation>
    <dataValidation type="list" allowBlank="1" sqref="G117:J117">
      <formula1>"CreateDoneAwayOrder,GetDataClosing,SelectTradeUnexpiredUnsettled,ExerciseAssignment"</formula1>
    </dataValidation>
    <dataValidation type="list" allowBlank="1" sqref="E59 E61:E64 E66:E67 E74 E76 E78 E84:E90">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SaveCalculatedPreferences,CloseCalculatedPreferences,ExportCalculatedPreference,ImportCalculatedPreferences,OpenAuditTrailUnallocatedGroup,DeleteCalculatedPreferencesTool,ImportCalculatedPreferencesTool,Expo"&amp;"rtAllCalculatedPreferTool,OpenAuditTrailAllocatedGroup,OpenSymbolLookupUnallocateGroup,OpenSymbolLookupAllocatedGroup,DeleteFixedPreference,EditAllocatedGroupSidePanel,CheckUnallocatedGroups,SetGeneralPreferences,UngroupTrades,GroupTrades,DeleteGroup,Clos"&amp;"eOrder,Unallocate,CloseAllocation,UpdateGRAccountValue,UpdateGRStrategyValue,UpdateGRDefaultRule,UpdateGeneralRulePref,ModifyGRPreferenceValues,AddMFPreferences,AddMFPreferenceToolbar,DeleteMFPreferences,DeleteMFPreferenceToolbar,RenameMFPreferences,SaveC"&amp;"loseMFPreference,SetMFPrefAccountValues,ModifyMFPrefGeneralRuleValues,SetMFPrefStrategyValues,SetMFPrefGeneralRule,SetMFPrefFundDistribution,SetMFPreferencesDefaultRule,SetMFPrefFundDefaultRule,ClearPrefetchFilters,ExpandCollapseAllUnallocated,ExpandColla"&amp;"pseAllAllocated,GenerateCashTransaction,SaveAllocation,SaveAllocation,UnallocateWithOutSave,EditUnallocatedGrid,EditAllocatedGrid,SaveLayoutAllocatedGrid,SaveLayoutUnallocatedGrid,SaveLayoutAllocationUI,ClearFiltersAllocatedGrid,ClearFiltersUnallocatedGri"&amp;"d,VerifyLayoutAllocatedGrid,VerifyLayoutUnallocatedGrid,,,,,,,,,,,,,,,,,,,,,,,,,,,,,,,,,,,,,,,,,,,,,,,,,,,,,,,,,,,,,,,,,,,,,,,,,,,,,,,,,,,,,,,,,,,,,,,,,,,,,,,,,,,,,,,,,,,,,,,,,,,,,,,,,,,,,,,,,,,,,,,,,,,,,,,,,,,,,,,,,,,,,,,,,,,,,,,,,,,,,,,,,,,,,,,,,,,,,,,,"&amp;",,,,,,,,,,,,,,,,,,,,,,,,,,,,,,,,,,,,,,,,,,,,,,,,,,,,,,,,,,,,,,,,,,,,,,,,,,,,,,,,,,,,,,,,,,,,,,,,,,,,,,,,,,,,,,,,,,,,,,,,,,,,,,,,,,,,,,,,,,,,,,,,,,,,,,,,,,,,,,,,,,,,,,,,,,,,,,,,,,,,,,,,,,,,,,,,,,,,,"</formula1>
    </dataValidation>
    <dataValidation type="list" allowBlank="1" sqref="G17:J18">
      <formula1>"GetMarkPriceData,GetForexConversion,GetDailyCash,GetDailyDelta,GetDailyDividendYield,GetDailyOutstandings,GetDailyTradingVolume,GetDailyVolatility,GetForwardPoints,UpdateMarkPrice,UpdateForexConversion"</formula1>
    </dataValidation>
    <dataValidation type="list" allowBlank="1" sqref="G104:J104">
      <formula1>"CleanUp,GetDailyCash,UpdateDailyCash,AddCalculatedPreferences,SetDefaultRuleCalculatedPref,CreateDoneAwayOrder,PricingInput,CheckAllocatedGroups,CheckUnallocatedGroups,CheckPortfolioManagement,SelectUnallocatedGroup"</formula1>
    </dataValidation>
    <dataValidation type="list" allowBlank="1" sqref="G72:J72">
      <formula1>"UpdateForexConversionMonthly,UpdateMarkPriceMonthly.,GetMarkPriceData"</formula1>
    </dataValidation>
    <dataValidation type="list" allowBlank="1" sqref="G56:J56">
      <formula1>"CreateStageOrder,TradeNewSubOrder"</formula1>
    </dataValidation>
    <dataValidation type="list" allowBlank="1" sqref="G83:J83">
      <formula1>"CleanUp,CreateDoneAwayOrder,SetGeneralPreferences,VerifyOrder,CheckAllocatedGroups,ResetGeneralPreferences,VerifyLongPositionsGrid,GetDataClosing,c,CheckPortfolioManagement,GetActivityData,VerifyActivity"</formula1>
    </dataValidation>
    <dataValidation type="list" allowBlank="1" sqref="G12:J12">
      <formula1>"GetMarkPriceData"</formula1>
    </dataValidation>
    <dataValidation type="list" allowBlank="1" sqref="G42:J42">
      <formula1>"CreateDoneAwayOrder,VerifyTT"</formula1>
    </dataValidation>
    <dataValidation type="list" allowBlank="1" sqref="E9">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G217:J217">
      <formula1>"CreateDoneAwayOrder,GetDataAllocation,CheckAllocatedGroups,GetActivityData,VerifyActivity,GetTradingTransaction,VerifyTradingTransaction,GetDataClosing,SelectTradeUnexpiredUnsettled,CashSettlementAtClosingDtSpotPx,GetAccountBalance,GetRevaluationData"</formula1>
    </dataValidation>
    <dataValidation type="list" allowBlank="1" sqref="E41:E42 E55 E57 E60 E75 E99 E114 E119 E124 E129 E133 E140 E148:E149 E155 E161 E167 E176 E179 E181 E189 E199 E202 E220 E225:E229">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E151">
      <formula1>"RestartServer,UpdateServerConfig,,,,,,,,,,,,,,,,,,,,,,,,,,,,,,,,,,,,,,,,,,,,,,,,,,,,,,,,,,,,,,,,,,,,,,,,,,,,,,,,,,,,,,,,,,,,,,,,,,,,,,,,,,,,,,,,,,,,,,,,,,,,,,,,,,,,,,,,,,,,,,,,,,,,,,,,,,,,,,,,,,,,,,,,,,,,,,,,,,,,,,,,,,,,,,,,,,,,,,,,,,,,,,,,,,,,,,,,,,,,,,,"&amp;",,,,,,,,,,,,,,,,,,,,,,,,,,,,,,,,,,,,,,,,,,,,,,,,,,,,,,,,,,,,,,,,,,,,,,,,,,,,,,,,,,,,,,,,,,,,,,,,,,,,,,,,,,,,,,,,,,,,,,,,,,,,,,,,,,,,,,,,,,,,,,,,,,,,,,,,,,,,,,,,,,,,,,,,,,,,,,,,,,,,,,,,,,,,,,,,,,,,,,,,,,,,,,,,,,,,,,,,,,,,,,,,,,,,,,,,,,,,,,,,,,,,,,,,,,,,,,,"&amp;",,,,,,,,,,,,,,,,,"</formula1>
    </dataValidation>
    <dataValidation type="list" allowBlank="1" sqref="G140:J140">
      <formula1>"EnterDetailsOnTT,Allocate,SaveAllocation,EnterAllocatePreference,CleanUp,CreateDoneAwayOrder"</formula1>
    </dataValidation>
    <dataValidation type="list" allowBlank="1" sqref="G103:J103">
      <formula1>"CleanUp,GetDailyCash,UpdateDailyCash,AddCalculatedPreferences,SetDefaultRuleCalculatedPref,CreateDoneAwayOrder,PricingInput,CheckAllocatedGroups,CheckUnallocatedGroups,CheckPortfolioManagement"</formula1>
    </dataValidation>
    <dataValidation type="list" allowBlank="1" sqref="G13:J14">
      <formula1>"GetMarkPriceData,GetForexConversion,GetDailyCash,GetDailyDelta,GetDailyDividendYield,GetDailyOutstandings,GetDailyTradingVolume,GetDailyVolatility,GetForwardPoints,UpdateMarkPrice"</formula1>
    </dataValidation>
    <dataValidation type="list" allowBlank="1" sqref="G80:J80">
      <formula1>"CleanUp,CreateDoneAwayOrder,SetGeneralPreferences,VerifyOrder,CheckAllocatedGroups,ResetGeneralPreferences,VerifyLongPositionsGrid"</formula1>
    </dataValidation>
    <dataValidation type="list" allowBlank="1" sqref="G96:J96">
      <formula1>"CleanUp,GetDailyCash,UpdateDailyCash,AddCalculatedPreferences,CreateDoneAwayOrder,SetDefaultRuleCalculatedPref"</formula1>
    </dataValidation>
    <dataValidation type="list" allowBlank="1" sqref="G116:J116 G121:J121">
      <formula1>"CreateDoneAwayOrder,GetDataClosing,SelectTradeUnexpiredUnsettled"</formula1>
    </dataValidation>
    <dataValidation type="list" allowBlank="1" sqref="E152">
      <formula1>"RestartClient,UpdateClientConfig,,,,,,,,,,,,,,,,,,,,,,,,,,,,,,,,,,,,,,,,,,,,,,,,,,,,,,,,,,,,,,,,,,,,,,,,,,,,,,,,,,,,,,,,,,,,,,,,,,,,,,,,,,,,,,,,,,,,,,,,,,,,,,,,,,,,,,,,,,,,,,,,,,,,,,,,,,,,,,,,,,,,,,,,,,,,,,,,,,,,,,,,,,,,,,,,,,,,,,,,,,,,,,,,,,,,,,,,,,,,,,,"&amp;",,,,,,,,,,,,,,,,,,,,,,,,,,,,,,,,,,,,,,,,,,,,,,,,,,,,,,,,,,,,,,,,,,,,,,,,,,,,,,,,,,,,,,,,,,,,,,,,,,,,,,,,,,,,,,,,,,,,,,,,,,,,,,,,,,,,,,,,,,,,,,,,,,,,,,,,,,,,,,,,,,,,,,,,,,,,,,,,,,,,,,,,,,,,,,,,,,,,,,,,,,,,,,,,,,,,,,,,,,,,,,,,,,,,,,,,,,,,,,,,,,,,,,,,,,,,,,,"&amp;",,,,,,,,,,,,,,,,,"</formula1>
    </dataValidation>
    <dataValidation type="list" allowBlank="1" sqref="G36:J36">
      <formula1>"SetPTTPreference"</formula1>
    </dataValidation>
    <dataValidation type="list" allowBlank="1" sqref="G168:J168 G200:J200">
      <formula1>"CleanUp,CreateDoneAwayOrder,SelectAllocatedGroup"</formula1>
    </dataValidation>
    <dataValidation type="list" allowBlank="1" sqref="G141:J141">
      <formula1>"EnterDetailsOnTT,Allocate,SaveAllocation,EnterAllocatePreference,CleanUp,CreateDoneAwayOrder,CleanUps"</formula1>
    </dataValidation>
    <dataValidation type="list" allowBlank="1" sqref="E12:E25 E27 E29 E31">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G81:J81">
      <formula1>"CleanUp,CreateDoneAwayOrder,SetGeneralPreferences,VerifyOrder,CheckAllocatedGroups,ResetGeneralPreferences,VerifyLongPositionsGrid,GetDataClosing,c,CheckPortfolioManagement"</formula1>
    </dataValidation>
    <dataValidation type="list" allowBlank="1" sqref="G93:J93">
      <formula1>"CleanUp,GetDailyCash,UpdateDailyCash"</formula1>
    </dataValidation>
    <dataValidation type="list" allowBlank="1" sqref="G203:J203">
      <formula1>"VerifyDataTT,Copy of Data,CreateDoneAwayOrder,GetDataAllocation"</formula1>
    </dataValidation>
    <dataValidation type="list" allowBlank="1" sqref="G115:J115 G120:J120">
      <formula1>"CreateDoneAwayOrder,GetDataClosing"</formula1>
    </dataValidation>
    <dataValidation type="list" allowBlank="1" sqref="G135:J135">
      <formula1>"CreateDoneAwayOrder,EnterAllocatePreference,Copy of Data,Copy of Data 1,Reallocate"</formula1>
    </dataValidation>
    <dataValidation type="list" allowBlank="1" sqref="G69:J69">
      <formula1>"CleanUp,CreateDoneAwayOrder,GeneralPreferencesDefaultRule,SelectUnallocatedGroup,EnterAccountValuesToAllocate,CheckAllocatedGroups,CheckUnallocatedGroups,VerifyOrder,Copy of Data,GetDataClosing,VerifyLongPositionsGrid,VerifyShortPositionsGrid,CheckPortfol"&amp;"ioManagement"</formula1>
    </dataValidation>
    <dataValidation type="list" allowBlank="1" sqref="G44:J44">
      <formula1>"UpdateForexConversionMonthly,Copy of Data,GetForexConversion"</formula1>
    </dataValidation>
    <dataValidation type="list" allowBlank="1" sqref="G37:J37">
      <formula1>"SetPTTPreference,SetAccountFactor,SetLongShortPTTPreference,CalculatePTT"</formula1>
    </dataValidation>
    <dataValidation type="list" allowBlank="1" sqref="E45 E48 E72">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G85:J85">
      <formula1>"SaveLayoutAllocatedGrid,VerifyLayoutAllocatedGrid"</formula1>
    </dataValidation>
    <dataValidation type="list" allowBlank="1" sqref="G59:J60">
      <formula1>"CreateDoneAwayOrder,Copy of Data,CleanUp"</formula1>
    </dataValidation>
    <dataValidation type="list" allowBlank="1" sqref="G6:J6 G114:J114 G119:J119 G129:J129 G179:J179 G220:J220">
      <formula1>"CreateDoneAwayOrder"</formula1>
    </dataValidation>
    <dataValidation type="list" allowBlank="1" sqref="G131:J131">
      <formula1>"CreateDoneAwayOrder,CleanUp,SaveAllocation,EnterAllocatePreference"</formula1>
    </dataValidation>
    <dataValidation type="list" allowBlank="1" sqref="E51:E53 E70:E71 E82:E83 E205:E208 E212:E218">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amp;",,,,,,,,,,,,,,,,,,,,,,,,,,,,,,,,,,,,,,,,,,,,,,,,,,,,,,,,,,,,,,,,,,,,,,,,,,,,,,,,,,,,,,,,,,,,,,,,,,,,,,,,,,,,,,,,,,,,,,,,,,,,,,,,,,,,,,,,,,,,,,,,,,,,,,,,,,,,,,,,,,,,,,,,,,,,,,,,,,,,,,,,,,,,,,,,,,,,,,,,,,,,,,,,,,,,,,,,,,,,,,,,,,,,,,,,,,,,,,,,,,,,,,,,,,,,,,,"&amp;",,,,,,,,,,,"</formula1>
    </dataValidation>
    <dataValidation type="list" allowBlank="1" sqref="E92:E94">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G50:J50">
      <formula1>"AddOpeningBalanceTransaction"</formula1>
    </dataValidation>
    <dataValidation type="list" allowBlank="1" sqref="E7:E8 E26 E68 E79:E80 E115:E117 E120:E122">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amp;",,,,,,,,,,,,,,,,,,,,,,,,,,,,,,,,,,,,,,,,,,,,,,,,,,,,,,,,,,,,,,,,,,,,,,,,,,,,,,,,,,,,,,,,,,,,,,,,,,,,,,,,,,,,,,,,,,,,,,,,,,,,,,,,,,,,,,,,,,,,,,,,,,,,,,,,,,,,,,,,,,,,,,,,,,,,,,,,,,,,,,,,,,,,,,,,,,,,,,,,,,,,,,,,,,,,,,,,,,,,,,,,,,,"</formula1>
    </dataValidation>
    <dataValidation type="list" allowBlank="1" sqref="G109:J109">
      <formula1>"CleanUp,GetDailyCash,UpdateDailyCash,UpdateForexConversion,AddCalculatedPreferences,SetDefaultRuleCalculatedPref,CreateDoneAwayOrder,PricingInput,CheckAllocatedGroups,CheckUnallocatedGroups,CheckPortfolioManagement,SelectUnallocatedGroup,EnterAllocatePref"&amp;"erence,AddFillsSubOrder"</formula1>
    </dataValidation>
    <dataValidation type="list" allowBlank="1" sqref="G41:J41">
      <formula1>"VerifyTT,Copy of Data,Copy of Data_conflict399252838,CreateDoneAwayOrder"</formula1>
    </dataValidation>
    <dataValidation type="list" allowBlank="1" sqref="G125:J125">
      <formula1>"CleanUp,CreateDoneAwayOrder,GetDataAllocation"</formula1>
    </dataValidation>
    <dataValidation type="list" allowBlank="1" sqref="G169:J169">
      <formula1>"CleanUp,CreateDoneAwayOrder,SelectAllocatedGroup,EditAllocatedGrid"</formula1>
    </dataValidation>
    <dataValidation type="list" allowBlank="1" sqref="E6">
      <formula1>"OpenTTFromPST,EnterDetailsOnTT,ValidateSymbolTT,VerifyDataTT,SetUIPreferencesTT,SetBrokerWisePreferencesTT,TradeNewSub,CreateStageOrder,CreateReplaceOrder,SetGeneralPreference,CreateDoneAwayOrder,CreateNewSubOrder,TradeBloomberg,ClickSymbolLookup,,,,,,,,,"&amp;",,,,,,,,,,,,,,,,,,,,,,,,,,,,,,,,,,,,,,,,,,,,,,,,,,,,,,,,,,,,,,,,,,,,,,,,,,,,,,,,,,,,,,,,,,,,,,,,,,,,,,,,,,,,,,,,,,,,,,,,,,,,,,,,,,,,,,,,,,,,,,,,,,,,,,,,,,,,,,,,,,,,,,,,,,,,,,,,,,,,,,,,,,,,,,,,,,,,,,,,,,,,,,,,,,,,,,,,,,,,,,,,,,,,,,,,,,,,,,,,,,,,,,,,,,,,,,,"&amp;",,,,,,,,,,,,,,,,,,,,,,,,,,,,,,,,,,,,,,,,,,,,,,,,,,,,,,,,,,,,,,,,,,,,,,,,,,,,,,,,,,,,,,,,,,,,,,,,,,,,,,,,,,,,,,,,,,,,,,,,,,,,,,,,,,,,,,,,,,,,,,,,,,,,,,,,,,,,,,,,,,,,,,,,,,,,,,,,,,,,,,,,,,,,,,,,,,,,,,,,,,,,,,,,,,,,,,,,,,,"</formula1>
    </dataValidation>
    <dataValidation type="list" allowBlank="1" sqref="G149:J149">
      <formula1>"DeleteClientData,Copy of Data,CleanUp,EnterDetailsOnTT,Unallocate,EditTradesUnallocated,SaveLayoutAllocationUI,ValidateSymbolTT,Copy of Data 1,Copy of Data 2,Copy of Data 3,CreateDoneAwayOrder,VerifyDataTT"</formula1>
    </dataValidation>
    <dataValidation type="list" allowBlank="1" sqref="E10 E56 E65 G65 E77 E108:E110 E134 E221:E223">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G66:J66">
      <formula1>"CleanUp,CreateDoneAwayOrder,GeneralPreferencesDefaultRule,SelectUnallocatedGroup,EnterAccountValuesToAllocate,ExpandCollapseAllAllocated,CheckAllocatedGroups"</formula1>
    </dataValidation>
    <dataValidation type="list" allowBlank="1" sqref="G102:J102">
      <formula1>"CleanUp,GetDailyCash,UpdateDailyCash,AddCalculatedPreferences,SetDefaultRuleCalculatedPref,CreateDoneAwayOrder,PricingInput,CheckAllocatedGroups,CheckUnallocatedGroups"</formula1>
    </dataValidation>
    <dataValidation type="list" allowBlank="1" sqref="E209:E211">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G108:J108">
      <formula1>"CleanUp,GetDailyCash,UpdateDailyCash,UpdateForexConversion,AddCalculatedPreferences,SetDefaultRuleCalculatedPref,CreateDoneAwayOrder,PricingInput,CheckAllocatedGroups,CheckUnallocatedGroups,CheckPortfolioManagement,SelectUnallocatedGroup,EnterAllocatePref"&amp;"erence,AddFillsSubOrder,SelectTradeOnOrderGrid"</formula1>
    </dataValidation>
    <dataValidation type="list" allowBlank="1" sqref="E73">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UpdateMarkPriceMonthly,,,,,,,,,,,,,,,,,,,,,,,,,,,,,,,,,,,,,,,,,,,,,,,,,,,,,,,,,,,,,,,,,,,,,,,,,,,,,,,,,,,,,,,,,,,,,,,,,,,,,,,,,,,,,,,,,,,,,,,,,,,,,,,,,,,,,,,,,,,,,,,,,,,,,,,,,,,,,,,,,,,,,,,,,,,,,,,,,,,,,,,,,,,,,,,,,,,,,,,"&amp;",,,,,,,,,,,,,,,,,,,,,,,,,,,,,,,,,,,,,,,,,,,,,,,,,,,,,,,,,,,,,,,,,,,,,,,,,,,,,,,,,,,,,,,,,,,,,,,,,,,,,,,,,,,,,,,,,,,,,,,,,,,,,,,,,,,,,,,,,,,,,,,,,,,,,,,,,,,,,,,,,,,,,,,,,,,,,,,,,,,,,,,,,,,,,,,,,,,,,,,,,,,,,,,,,,,,,,,,,,,,,,,,,,,,,,,,,,,,,,,,,,,,,,,,,,,,,,,"&amp;",,,,,,,,,,,"</formula1>
    </dataValidation>
    <dataValidation type="list" allowBlank="1" sqref="G148:J148">
      <formula1>"DeleteClientData,Copy of Data,CleanUp,EnterDetailsOnTT,Unallocate,EditTradesUnallocated,SaveLayoutAllocationUI,ValidateSymbolTT,Copy of Data 1,Copy of Data 2,Copy of Data 3,CreateDoneAwayOrder"</formula1>
    </dataValidation>
    <dataValidation type="list" allowBlank="1" sqref="G61:J61">
      <formula1>"CleanUp,CreateDoneAwayOrder,GeneralPreferencesDefaultRule,SelectUnallocatedGroup,EnterAccountValuesToAllocate,VerifyOrder,CheckAllocatedGroups,CheckUnallocatedGroups,GetDataClosing,VerifyLongPositionsGrid,VerifyShortPositionsGrid,CheckPortfolioManagement,"&amp;"GetActivityData,VerifyActivity,SetGeneralPreferences"</formula1>
    </dataValidation>
    <dataValidation type="list" allowBlank="1" sqref="G70:J70">
      <formula1>"CleanUp,CreateDoneAwayOrder,SetGeneralPreferences,SelectUnallocatedGroup,EnterAccountValuesToAllocate,VerifyOrder,CheckAllocatedGroups,CheckUnallocatedGroups,VerifyLongPositionsGrid,CheckPortfolioManagement,GetActivityData,VerifyActivity"</formula1>
    </dataValidation>
    <dataValidation type="list" allowBlank="1" sqref="G159:J159">
      <formula1>"CleanUp,CreateDoneAwayOrder,EditTradesUnallocated,EditUnallocatedGrid,Copy of Data,Copy of Data 1,SelectUnallocatedGroup"</formula1>
    </dataValidation>
    <dataValidation type="list" allowBlank="1" sqref="G67:J67">
      <formula1>"CleanUp,CreateDoneAwayOrder,GeneralPreferencesDefaultRule,SelectUnallocatedGroup,EnterAccountValuesToAllocate,CheckAllocatedGroups,CheckUnallocatedGroups"</formula1>
    </dataValidation>
    <dataValidation type="list" allowBlank="1" sqref="G78:J78">
      <formula1>"CleanUp,CreateDoneAwayOrder,SetGeneralPreferences,VerifyOrder,CheckAllocatedGroups,ResetGeneralPreferences"</formula1>
    </dataValidation>
    <dataValidation type="list" allowBlank="1" sqref="G105:J105">
      <formula1>"CleanUp,GetDailyCash,UpdateDailyCash,AddCalculatedPreferences,SetDefaultRuleCalculatedPref,CreateDoneAwayOrder,PricingInput,CheckAllocatedGroups,CheckUnallocatedGroups,CheckPortfolioManagement,SelectUnallocatedGroup,EnterAllocatePreference"</formula1>
    </dataValidation>
    <dataValidation type="list" allowBlank="1" sqref="G77:J77">
      <formula1>"CleanUp,CreateDoneAwayOrder,SetGeneralPreferences,VerifyOrder"</formula1>
    </dataValidation>
    <dataValidation type="list" allowBlank="1" sqref="G204:J204">
      <formula1>"VerifyDataTT,Copy of Data,CreateDoneAwayOrder,GetDataAllocation,CheckAllocatedGroups"</formula1>
    </dataValidation>
    <dataValidation type="list" allowBlank="1" sqref="G55:J55 G225:J225">
      <formula1>"CreateStageOrder"</formula1>
    </dataValidation>
    <dataValidation type="list" allowBlank="1" sqref="G151:J151">
      <formula1>"UpdateServerConfig"</formula1>
    </dataValidation>
    <dataValidation type="list" allowBlank="1" sqref="G213:J214">
      <formula1>"CreateDoneAwayOrder,GetDataAllocation,CheckAllocatedGroups,GetActivityData,VerifyActivity,GetTradingTransaction,VerifyTradingTransaction,GetDataClosing,SelectTradeUnexpiredUnsettled,CashSettlementAtClosingDtSpotPx,GetAccountBalance,VerifyTradingTransactio"&amp;"n1,GetRevaluationData,VerifyRevaluationData"</formula1>
    </dataValidation>
    <dataValidation type="list" allowBlank="1" sqref="G21:J21">
      <formula1>"GetMarkPriceData,GetForexConversion,GetDailyCash,GetDailyDelta,GetDailyDividendYield"</formula1>
    </dataValidation>
    <dataValidation type="list" allowBlank="1" sqref="G210:J210">
      <formula1>"CreateDoneAwayOrder,GetDataAllocation,CheckAllocatedGroups,GetActivityData,VerifyActivity,GetTradingTransaction,VerifyTradingTransaction,GetDataClosing,SelectTradeUnexpiredUnsettled"</formula1>
    </dataValidation>
    <dataValidation type="list" allowBlank="1" sqref="G212:J212">
      <formula1>"CreateDoneAwayOrder,GetDataAllocation,CheckAllocatedGroups,GetActivityData,VerifyActivity,GetTradingTransaction,VerifyTradingTransaction,GetDataClosing,SelectTradeUnexpiredUnsettled,CashSettlementAtClosingDtSpotPx,GetAccountBalance"</formula1>
    </dataValidation>
    <dataValidation type="list" allowBlank="1" sqref="E50">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amp;",,,,,,,,,,,,,,,,,,,,,,,,,,,,,,,,,,,,,,,,,,,,,,,,,,,,,,,,,,,,,,,,,,,,,,,,,,,,,,,,,,,,,,,,,,,,,,,,,,,,,,,,,,,,,,,,,,,,,,,,,,,,,,,,,,,,,,,,,,,,,,,,,,,,,,,,,,,,,,,,,,,,,,,,,,,,,,,,,,,,,,,,,,,,,,,,,,,,,,,,,,,,,,,,,,,,,,,,,,,,,,,,,,,,,,,,,,,,,,,,,,,,,,,,,,,"</formula1>
    </dataValidation>
    <dataValidation type="list" allowBlank="1" sqref="G15:J16">
      <formula1>"GetMarkPriceData,GetForexConversion"</formula1>
    </dataValidation>
    <dataValidation type="list" allowBlank="1" sqref="G100:J100">
      <formula1>"CleanUp,GetDailyCash,UpdateDailyCash,AddCalculatedPreferences,SetDefaultRuleCalculatedPref,CreateDoneAwayOrder,PricingInput"</formula1>
    </dataValidation>
    <dataValidation type="list" allowBlank="1" sqref="G46:J46">
      <formula1>"GetForexConversion,UpdateForexConversionMonthly,UpdateForexConversion"</formula1>
    </dataValidation>
    <dataValidation type="list" allowBlank="1" sqref="G27:J27">
      <formula1>"GetForexConversion"</formula1>
    </dataValidation>
    <dataValidation type="list" allowBlank="1" sqref="G95:J95">
      <formula1>"CleanUp,GetDailyCash,UpdateDailyCash,SetGeneralRuleCalculatedPref,CreateDoneAwayOrder,AddCalculatedPreferences"</formula1>
    </dataValidation>
    <dataValidation type="list" allowBlank="1" sqref="G99:J99">
      <formula1>"CleanUp,GetDailyCash,UpdateDailyCash,CreateDoneAwayOrder"</formula1>
    </dataValidation>
  </dataValidations>
  <hyperlinks>
    <hyperlink r:id="rId1" location="gid=1357048602" ref="F6"/>
    <hyperlink r:id="rId2" location="gid=2074057418" ref="F7"/>
    <hyperlink r:id="rId3" location="gid=1037902305" ref="F8"/>
    <hyperlink r:id="rId4" location="gid=671213003" ref="F10"/>
    <hyperlink r:id="rId5" location="gid=1896074876" ref="F12"/>
    <hyperlink r:id="rId6" location="gid=993898530" ref="F13"/>
    <hyperlink r:id="rId7" location="gid=1833948498" ref="F14"/>
    <hyperlink r:id="rId8" location="gid=795483298" ref="F16"/>
    <hyperlink r:id="rId9" location="gid=405044817" ref="F17"/>
    <hyperlink r:id="rId10" location="gid=325396261" ref="F18"/>
    <hyperlink r:id="rId11" location="gid=731147285" ref="F19"/>
    <hyperlink r:id="rId12" location="gid=1866635874" ref="F20"/>
    <hyperlink r:id="rId13" location="gid=1377609329" ref="F21"/>
    <hyperlink r:id="rId14" location="gid=678991904" ref="F22"/>
    <hyperlink r:id="rId15" location="gid=1979010966" ref="F23"/>
    <hyperlink r:id="rId16" location="gid=102508156" ref="F24"/>
    <hyperlink r:id="rId17" location="gid=784888424" ref="F25"/>
    <hyperlink r:id="rId18" location="gid=1768078756" ref="F27"/>
    <hyperlink r:id="rId19" location="gid=1074034365" ref="F29"/>
    <hyperlink r:id="rId20" location="gid=1243926156" ref="F31"/>
    <hyperlink r:id="rId21" location="gid=850377877" ref="F33"/>
    <hyperlink r:id="rId22" location="gid=1366252902" ref="F36"/>
    <hyperlink r:id="rId23" location="gid=925095107" ref="F37"/>
    <hyperlink r:id="rId24" location="gid=697904733" ref="F38"/>
    <hyperlink r:id="rId25" location="gid=767215740" ref="F39"/>
    <hyperlink r:id="rId26" location="gid=782851589" ref="F41"/>
    <hyperlink r:id="rId27" location="gid=418077486" ref="F42"/>
    <hyperlink r:id="rId28" location="gid=318334556" ref="F44"/>
    <hyperlink r:id="rId29" location="gid=594559656" ref="F45"/>
    <hyperlink r:id="rId30" location="gid=1202419943" ref="F46"/>
    <hyperlink r:id="rId31" location="gid=90930307" ref="F47"/>
    <hyperlink r:id="rId32" location="gid=1281773423" ref="F48"/>
    <hyperlink r:id="rId33" location="gid=1897404129" ref="F50"/>
    <hyperlink r:id="rId34" location="gid=1042698416" ref="F51"/>
    <hyperlink r:id="rId35" location="gid=332923193" ref="F52"/>
    <hyperlink r:id="rId36" location="gid=1805078594" ref="F55"/>
    <hyperlink r:id="rId37" location="gid=1645974382" ref="F56"/>
    <hyperlink r:id="rId38" location="gid=769651241" ref="F57"/>
    <hyperlink r:id="rId39" location="gid=607609305" ref="F59"/>
    <hyperlink r:id="rId40" location="gid=1911203463" ref="F60"/>
    <hyperlink r:id="rId41" location="gid=1291034843" ref="F61"/>
    <hyperlink r:id="rId42" location="gid=171353722" ref="F62"/>
    <hyperlink r:id="rId43" location="gid=1530535261" ref="F63"/>
    <hyperlink r:id="rId44" location="gid=1281077717" ref="F65"/>
    <hyperlink r:id="rId45" location="gid=650549286" ref="F66"/>
    <hyperlink r:id="rId46" location="gid=2041354805" ref="F67"/>
    <hyperlink r:id="rId47" location="gid=1983313283" ref="F68"/>
    <hyperlink r:id="rId48" location="gid=786876117" ref="F69"/>
    <hyperlink r:id="rId49" location="gid=2057787405" ref="F70"/>
    <hyperlink r:id="rId50" location="gid=547656314" ref="F71"/>
    <hyperlink r:id="rId51" location="gid=1286553383" ref="F72"/>
    <hyperlink r:id="rId52" location="gid=1197969382" ref="F73"/>
    <hyperlink r:id="rId53" location="gid=697147772" ref="F74"/>
    <hyperlink r:id="rId54" location="gid=570046344" ref="F75"/>
    <hyperlink r:id="rId55" location="gid=801389046" ref="F76"/>
    <hyperlink r:id="rId56" location="gid=1174514257" ref="F77"/>
    <hyperlink r:id="rId57" location="gid=1395693884" ref="F78"/>
    <hyperlink r:id="rId58" location="gid=846705712" ref="F79"/>
    <hyperlink r:id="rId59" location="gid=1431949285" ref="F80"/>
    <hyperlink r:id="rId60" location="gid=171318056" ref="F81"/>
    <hyperlink r:id="rId61" location="gid=1748972586" ref="F82"/>
    <hyperlink r:id="rId62" location="gid=2100472622" ref="F83"/>
    <hyperlink r:id="rId63" location="gid=739568164" ref="F84"/>
    <hyperlink r:id="rId64" location="gid=1005975822" ref="F85"/>
    <hyperlink r:id="rId65" location="gid=1593746503" ref="F86"/>
    <hyperlink r:id="rId66" location="gid=1905670909" ref="F87"/>
    <hyperlink r:id="rId67" location="gid=1884204587" ref="F88"/>
    <hyperlink r:id="rId68" location="gid=740253771" ref="F89"/>
    <hyperlink r:id="rId69" location="gid=539109920" ref="F91"/>
    <hyperlink r:id="rId70" location="gid=1930540836" ref="F92"/>
    <hyperlink r:id="rId71" location="gid=1099796962" ref="F93"/>
    <hyperlink r:id="rId72" location="gid=939328428" ref="F94"/>
    <hyperlink r:id="rId73" location="gid=667893217" ref="F95"/>
    <hyperlink r:id="rId74" location="gid=1926667541" ref="F96"/>
    <hyperlink r:id="rId75" location="gid=1725040068" ref="F99"/>
    <hyperlink r:id="rId76" location="gid=917704496" ref="F100"/>
    <hyperlink r:id="rId77" location="gid=237175580" ref="F101"/>
    <hyperlink r:id="rId78" location="gid=838016969" ref="F102"/>
    <hyperlink r:id="rId79" location="gid=811432689" ref="F103"/>
    <hyperlink r:id="rId80" location="gid=2050089272" ref="F104"/>
    <hyperlink r:id="rId81" location="gid=1648381537" ref="F105"/>
    <hyperlink r:id="rId82" location="gid=1630976412" ref="F107"/>
    <hyperlink r:id="rId83" location="gid=940055339" ref="F108"/>
    <hyperlink r:id="rId84" location="gid=364500819" ref="F109"/>
    <hyperlink r:id="rId85" location="gid=389499277" ref="F110"/>
    <hyperlink r:id="rId86" location="gid=1331017649" ref="F111"/>
    <hyperlink r:id="rId87" location="gid=590998833" ref="F112"/>
    <hyperlink r:id="rId88" location="gid=1558599237" ref="F114"/>
    <hyperlink r:id="rId89" location="gid=58475562" ref="F115"/>
    <hyperlink r:id="rId90" location="gid=541990810" ref="F116"/>
    <hyperlink r:id="rId91" location="gid=123945021" ref="F117"/>
    <hyperlink r:id="rId92" location="gid=1730498329" ref="F119"/>
    <hyperlink r:id="rId93" location="gid=1269471444" ref="F120"/>
    <hyperlink r:id="rId94" location="gid=1335486616" ref="F121"/>
    <hyperlink r:id="rId95" location="gid=458497962" ref="F122"/>
    <hyperlink r:id="rId96" location="gid=2099367111" ref="F124"/>
    <hyperlink r:id="rId97" location="gid=1766080265" ref="F125"/>
    <hyperlink r:id="rId98" location="gid=829583158" ref="F126"/>
    <hyperlink r:id="rId99" location="gid=209281587" ref="F127"/>
    <hyperlink r:id="rId100" location="gid=2120397236" ref="F128"/>
    <hyperlink r:id="rId101" location="gid=581602826" ref="F129"/>
    <hyperlink r:id="rId102" location="gid=697274356" ref="F131"/>
    <hyperlink r:id="rId103" location="gid=2028962578" ref="F135"/>
    <hyperlink r:id="rId104" location="gid=919813175" ref="F140"/>
    <hyperlink r:id="rId105" location="gid=1405059016" ref="F141"/>
    <hyperlink r:id="rId106" location="gid=736297328" ref="F142"/>
    <hyperlink r:id="rId107" location="gid=249325735" ref="F147"/>
    <hyperlink r:id="rId108" location="gid=717052723" ref="F148"/>
    <hyperlink r:id="rId109" location="gid=682749502" ref="F149"/>
    <hyperlink r:id="rId110" location="gid=1536582114" ref="F151"/>
    <hyperlink r:id="rId111" location="gid=278218781" ref="F155"/>
    <hyperlink r:id="rId112" location="gid=865085536" ref="F156"/>
    <hyperlink r:id="rId113" location="gid=608195766" ref="F157"/>
    <hyperlink r:id="rId114" location="gid=1626068068" ref="F158"/>
    <hyperlink r:id="rId115" location="gid=2114731885" ref="F161"/>
    <hyperlink r:id="rId116" location="gid=1017911324" ref="F162"/>
    <hyperlink r:id="rId117" location="gid=109170073" ref="F163"/>
    <hyperlink r:id="rId118" location="gid=1639080294" ref="F164"/>
    <hyperlink r:id="rId119" location="gid=1160460756" ref="F167"/>
    <hyperlink r:id="rId120" location="gid=569968217" ref="F168"/>
    <hyperlink r:id="rId121" location="gid=857232768" ref="F169"/>
    <hyperlink r:id="rId122" location="gid=466845878" ref="F176"/>
    <hyperlink r:id="rId123" location="gid=717055245" ref="F179"/>
    <hyperlink r:id="rId124" location="gid=318956890" ref="F181"/>
    <hyperlink r:id="rId125" location="gid=1760567407" ref="F199"/>
    <hyperlink r:id="rId126" location="gid=1165345104" ref="F200"/>
    <hyperlink r:id="rId127" location="gid=443140374" ref="F202"/>
    <hyperlink r:id="rId128" location="gid=14895873" ref="F203"/>
    <hyperlink r:id="rId129" location="gid=243200390" ref="F204"/>
    <hyperlink r:id="rId130" location="gid=991379584" ref="F205"/>
    <hyperlink r:id="rId131" location="gid=1857464297" ref="F206"/>
    <hyperlink r:id="rId132" location="gid=1112213311" ref="F207"/>
    <hyperlink r:id="rId133" location="gid=1959627373" ref="F208"/>
    <hyperlink r:id="rId134" location="gid=210034875" ref="F209"/>
    <hyperlink r:id="rId135" location="gid=1146172201" ref="F210"/>
    <hyperlink r:id="rId136" location="gid=1225993368" ref="F211"/>
    <hyperlink r:id="rId137" location="gid=817307966" ref="F212"/>
    <hyperlink r:id="rId138" location="gid=991379584" ref="F213"/>
    <hyperlink r:id="rId139" location="gid=648285557" ref="F214"/>
    <hyperlink r:id="rId140" location="gid=1112213311" ref="F215"/>
    <hyperlink r:id="rId141" location="gid=1743377203" ref="F216"/>
    <hyperlink r:id="rId142" location="gid=523913392" ref="F217"/>
    <hyperlink r:id="rId143" location="gid=180553021" ref="F218"/>
    <hyperlink r:id="rId144" location="gid=1741345592" ref="F220"/>
    <hyperlink r:id="rId145" location="gid=309809775" ref="F221"/>
    <hyperlink r:id="rId146" location="gid=1305796608" ref="F222"/>
    <hyperlink r:id="rId147" location="gid=857594076" ref="F223"/>
    <hyperlink r:id="rId148" location="gid=1801771210" ref="F225"/>
  </hyperlinks>
  <drawing r:id="rId149"/>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6.43"/>
    <col customWidth="1" min="3" max="3" width="31.14"/>
    <col customWidth="1" min="4" max="4" width="22.57"/>
    <col customWidth="1" min="5" max="5" width="29.57"/>
    <col customWidth="1" min="6" max="6" width="108.14"/>
    <col customWidth="1" min="7" max="7" width="26.29"/>
    <col customWidth="1" min="8" max="11" width="18.0"/>
    <col customWidth="1" min="12" max="36" width="14.43"/>
  </cols>
  <sheetData>
    <row r="1" ht="1.5" customHeight="1">
      <c r="A1" s="12"/>
      <c r="B1" s="12"/>
      <c r="C1" s="13"/>
      <c r="D1" s="14"/>
      <c r="E1" s="14"/>
      <c r="F1" s="224"/>
      <c r="G1" s="14"/>
      <c r="H1" s="14"/>
      <c r="I1" s="12"/>
      <c r="J1" s="12"/>
      <c r="K1" s="12"/>
      <c r="L1" s="15"/>
      <c r="M1" s="15"/>
      <c r="N1" s="15"/>
      <c r="O1" s="15"/>
      <c r="P1" s="15"/>
      <c r="Q1" s="15"/>
      <c r="R1" s="15"/>
      <c r="S1" s="15"/>
      <c r="T1" s="15"/>
      <c r="U1" s="15"/>
      <c r="V1" s="15"/>
      <c r="W1" s="15"/>
      <c r="X1" s="15"/>
      <c r="Y1" s="15"/>
      <c r="Z1" s="15"/>
      <c r="AA1" s="15"/>
      <c r="AB1" s="15"/>
      <c r="AC1" s="15"/>
      <c r="AD1" s="15"/>
      <c r="AE1" s="15"/>
      <c r="AF1" s="15"/>
      <c r="AG1" s="15"/>
      <c r="AH1" s="15"/>
      <c r="AI1" s="15"/>
      <c r="AJ1" s="15"/>
    </row>
    <row r="2" ht="1.5" customHeight="1">
      <c r="A2" s="12"/>
      <c r="B2" s="12"/>
      <c r="C2" s="13"/>
      <c r="D2" s="14"/>
      <c r="E2" s="14"/>
      <c r="F2" s="224"/>
      <c r="G2" s="14"/>
      <c r="H2" s="14"/>
      <c r="I2" s="12"/>
      <c r="J2" s="12"/>
      <c r="K2" s="12"/>
      <c r="L2" s="15"/>
      <c r="M2" s="15"/>
      <c r="N2" s="15"/>
      <c r="O2" s="15"/>
      <c r="P2" s="15"/>
      <c r="Q2" s="15"/>
      <c r="R2" s="15"/>
      <c r="S2" s="15"/>
      <c r="T2" s="15"/>
      <c r="U2" s="15"/>
      <c r="V2" s="15"/>
      <c r="W2" s="15"/>
      <c r="X2" s="15"/>
      <c r="Y2" s="15"/>
      <c r="Z2" s="15"/>
      <c r="AA2" s="15"/>
      <c r="AB2" s="15"/>
      <c r="AC2" s="15"/>
      <c r="AD2" s="15"/>
      <c r="AE2" s="15"/>
      <c r="AF2" s="15"/>
      <c r="AG2" s="15"/>
      <c r="AH2" s="15"/>
      <c r="AI2" s="15"/>
      <c r="AJ2" s="15"/>
    </row>
    <row r="3" ht="15.75" customHeight="1">
      <c r="A3" s="14" t="s">
        <v>5</v>
      </c>
      <c r="B3" s="14" t="s">
        <v>5</v>
      </c>
      <c r="C3" s="19" t="s">
        <v>6</v>
      </c>
      <c r="D3" s="2"/>
      <c r="E3" s="2"/>
      <c r="F3" s="2"/>
      <c r="G3" s="2"/>
      <c r="H3" s="3"/>
      <c r="I3" s="12"/>
      <c r="J3" s="12"/>
      <c r="K3" s="12"/>
      <c r="L3" s="15"/>
      <c r="M3" s="15"/>
      <c r="N3" s="15"/>
      <c r="O3" s="15"/>
      <c r="P3" s="15"/>
      <c r="Q3" s="15"/>
      <c r="R3" s="15"/>
      <c r="S3" s="15"/>
      <c r="T3" s="15"/>
      <c r="U3" s="15"/>
      <c r="V3" s="15"/>
      <c r="W3" s="15"/>
      <c r="X3" s="15"/>
      <c r="Y3" s="15"/>
      <c r="Z3" s="15"/>
      <c r="AA3" s="15"/>
      <c r="AB3" s="15"/>
      <c r="AC3" s="15"/>
      <c r="AD3" s="15"/>
      <c r="AE3" s="15"/>
      <c r="AF3" s="15"/>
      <c r="AG3" s="15"/>
      <c r="AH3" s="15"/>
      <c r="AI3" s="15"/>
      <c r="AJ3" s="15"/>
    </row>
    <row r="4" ht="15.75" customHeight="1">
      <c r="A4" s="20"/>
      <c r="B4" s="225"/>
      <c r="C4" s="21"/>
      <c r="D4" s="20"/>
      <c r="E4" s="20"/>
      <c r="F4" s="227"/>
      <c r="G4" s="20"/>
      <c r="H4" s="20"/>
      <c r="I4" s="20"/>
      <c r="J4" s="20"/>
      <c r="K4" s="20"/>
      <c r="L4" s="15"/>
      <c r="M4" s="15"/>
      <c r="N4" s="15"/>
      <c r="O4" s="15"/>
      <c r="P4" s="15"/>
      <c r="Q4" s="15"/>
      <c r="R4" s="15"/>
      <c r="S4" s="15"/>
      <c r="T4" s="15"/>
      <c r="U4" s="15"/>
      <c r="V4" s="15"/>
      <c r="W4" s="15"/>
      <c r="X4" s="15"/>
      <c r="Y4" s="15"/>
      <c r="Z4" s="15"/>
      <c r="AA4" s="15"/>
      <c r="AB4" s="15"/>
      <c r="AC4" s="15"/>
      <c r="AD4" s="15"/>
      <c r="AE4" s="15"/>
      <c r="AF4" s="15"/>
      <c r="AG4" s="15"/>
      <c r="AH4" s="15"/>
      <c r="AI4" s="15"/>
      <c r="AJ4" s="15"/>
    </row>
    <row r="5" ht="15.75" customHeight="1">
      <c r="A5" s="22" t="s">
        <v>5</v>
      </c>
      <c r="B5" s="22" t="s">
        <v>7</v>
      </c>
      <c r="C5" s="228" t="s">
        <v>8</v>
      </c>
      <c r="D5" s="22" t="s">
        <v>9</v>
      </c>
      <c r="E5" s="22" t="s">
        <v>11</v>
      </c>
      <c r="F5" s="22" t="s">
        <v>12</v>
      </c>
      <c r="G5" s="229" t="s">
        <v>13</v>
      </c>
      <c r="H5" s="22" t="s">
        <v>14</v>
      </c>
      <c r="I5" s="22" t="s">
        <v>15</v>
      </c>
      <c r="J5" s="22" t="s">
        <v>16</v>
      </c>
      <c r="K5" s="22" t="s">
        <v>17</v>
      </c>
      <c r="L5" s="15"/>
      <c r="M5" s="15"/>
      <c r="N5" s="15"/>
      <c r="O5" s="15"/>
      <c r="P5" s="15"/>
      <c r="Q5" s="15"/>
      <c r="R5" s="15"/>
      <c r="S5" s="15"/>
      <c r="T5" s="15"/>
      <c r="U5" s="15"/>
      <c r="V5" s="15"/>
      <c r="W5" s="15"/>
      <c r="X5" s="15"/>
      <c r="Y5" s="15"/>
      <c r="Z5" s="15"/>
      <c r="AA5" s="15"/>
      <c r="AB5" s="15"/>
      <c r="AC5" s="15"/>
      <c r="AD5" s="15"/>
      <c r="AE5" s="15"/>
      <c r="AF5" s="15"/>
      <c r="AG5" s="15"/>
      <c r="AH5" s="15"/>
      <c r="AI5" s="15"/>
      <c r="AJ5" s="15"/>
    </row>
    <row r="6" ht="15.75" customHeight="1">
      <c r="A6" s="28"/>
      <c r="B6" s="33"/>
      <c r="C6" s="33"/>
      <c r="D6" s="28"/>
      <c r="E6" s="62"/>
      <c r="F6" s="286"/>
      <c r="K6" s="20"/>
      <c r="L6" s="15"/>
      <c r="M6" s="15"/>
      <c r="N6" s="15"/>
      <c r="O6" s="15"/>
      <c r="P6" s="15"/>
      <c r="Q6" s="15"/>
      <c r="R6" s="15"/>
      <c r="S6" s="15"/>
      <c r="T6" s="15"/>
      <c r="U6" s="15"/>
      <c r="V6" s="15"/>
      <c r="W6" s="15"/>
      <c r="X6" s="15"/>
      <c r="Y6" s="15"/>
      <c r="Z6" s="15"/>
      <c r="AA6" s="15"/>
      <c r="AB6" s="15"/>
      <c r="AC6" s="15"/>
      <c r="AD6" s="15"/>
      <c r="AE6" s="15"/>
      <c r="AF6" s="15"/>
      <c r="AG6" s="15"/>
      <c r="AH6" s="15"/>
      <c r="AI6" s="15"/>
      <c r="AJ6" s="15"/>
    </row>
    <row r="7" ht="15.75" customHeight="1">
      <c r="A7" s="28"/>
      <c r="B7" s="33"/>
      <c r="C7" s="33"/>
      <c r="D7" s="28"/>
      <c r="E7" s="65"/>
      <c r="F7" s="287"/>
      <c r="K7" s="20"/>
      <c r="L7" s="15"/>
      <c r="M7" s="15"/>
      <c r="N7" s="15"/>
      <c r="O7" s="15"/>
      <c r="P7" s="15"/>
      <c r="Q7" s="15"/>
      <c r="R7" s="15"/>
      <c r="S7" s="15"/>
      <c r="T7" s="15"/>
      <c r="U7" s="15"/>
      <c r="V7" s="15"/>
      <c r="W7" s="15"/>
      <c r="X7" s="15"/>
      <c r="Y7" s="15"/>
      <c r="Z7" s="15"/>
      <c r="AA7" s="15"/>
      <c r="AB7" s="15"/>
      <c r="AC7" s="15"/>
      <c r="AD7" s="15"/>
      <c r="AE7" s="15"/>
      <c r="AF7" s="15"/>
      <c r="AG7" s="15"/>
      <c r="AH7" s="15"/>
      <c r="AI7" s="15"/>
      <c r="AJ7" s="15"/>
    </row>
    <row r="8" ht="15.75" customHeight="1">
      <c r="A8" s="28"/>
      <c r="B8" s="33"/>
      <c r="C8" s="33"/>
      <c r="D8" s="28"/>
      <c r="E8" s="65"/>
      <c r="F8" s="265"/>
      <c r="G8" s="65"/>
      <c r="H8" s="65"/>
      <c r="K8" s="20"/>
      <c r="L8" s="15"/>
      <c r="M8" s="15"/>
      <c r="N8" s="15"/>
      <c r="O8" s="15"/>
      <c r="P8" s="15"/>
      <c r="Q8" s="15"/>
      <c r="R8" s="15"/>
      <c r="S8" s="15"/>
      <c r="T8" s="15"/>
      <c r="U8" s="15"/>
      <c r="V8" s="15"/>
      <c r="W8" s="15"/>
      <c r="X8" s="15"/>
      <c r="Y8" s="15"/>
      <c r="Z8" s="15"/>
      <c r="AA8" s="15"/>
      <c r="AB8" s="15"/>
      <c r="AC8" s="15"/>
      <c r="AD8" s="15"/>
      <c r="AE8" s="15"/>
      <c r="AF8" s="15"/>
      <c r="AG8" s="15"/>
      <c r="AH8" s="15"/>
      <c r="AI8" s="15"/>
      <c r="AJ8" s="15"/>
    </row>
    <row r="9" ht="15.75" customHeight="1">
      <c r="A9" s="28"/>
      <c r="B9" s="33"/>
      <c r="C9" s="33"/>
      <c r="D9" s="28"/>
      <c r="E9" s="65"/>
      <c r="F9" s="265"/>
      <c r="K9" s="20"/>
      <c r="L9" s="15"/>
      <c r="M9" s="15"/>
      <c r="N9" s="15"/>
      <c r="O9" s="15"/>
      <c r="P9" s="15"/>
      <c r="Q9" s="15"/>
      <c r="R9" s="15"/>
      <c r="S9" s="15"/>
      <c r="T9" s="15"/>
      <c r="U9" s="15"/>
      <c r="V9" s="15"/>
      <c r="W9" s="15"/>
      <c r="X9" s="15"/>
      <c r="Y9" s="15"/>
      <c r="Z9" s="15"/>
      <c r="AA9" s="15"/>
      <c r="AB9" s="15"/>
      <c r="AC9" s="15"/>
      <c r="AD9" s="15"/>
      <c r="AE9" s="15"/>
      <c r="AF9" s="15"/>
      <c r="AG9" s="15"/>
      <c r="AH9" s="15"/>
      <c r="AI9" s="15"/>
      <c r="AJ9" s="15"/>
    </row>
    <row r="10" ht="15.75" customHeight="1">
      <c r="A10" s="32"/>
      <c r="B10" s="233"/>
      <c r="C10" s="52"/>
      <c r="D10" s="53"/>
      <c r="E10" s="8"/>
      <c r="F10" s="34"/>
      <c r="G10" s="8"/>
      <c r="H10" s="31"/>
      <c r="I10" s="9"/>
      <c r="J10" s="11"/>
      <c r="K10" s="11"/>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row>
    <row r="11" ht="15.75" customHeight="1">
      <c r="A11" s="32"/>
      <c r="B11" s="233"/>
      <c r="C11" s="52"/>
      <c r="D11" s="53"/>
      <c r="E11" s="38"/>
      <c r="F11" s="34"/>
      <c r="G11" s="38"/>
      <c r="H11" s="31"/>
      <c r="I11" s="9"/>
      <c r="J11" s="11"/>
      <c r="K11" s="11"/>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row>
    <row r="12" ht="17.25" customHeight="1">
      <c r="A12" s="32"/>
      <c r="B12" s="233"/>
      <c r="C12" s="52"/>
      <c r="D12" s="53"/>
      <c r="E12" s="28"/>
      <c r="F12" s="34"/>
      <c r="G12" s="38"/>
      <c r="H12" s="9"/>
      <c r="I12" s="9"/>
      <c r="J12" s="11"/>
      <c r="K12" s="11"/>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row>
    <row r="13" ht="15.75" customHeight="1">
      <c r="A13" s="32"/>
      <c r="B13" s="233"/>
      <c r="C13" s="52"/>
      <c r="D13" s="53"/>
      <c r="E13" s="28"/>
      <c r="F13" s="34"/>
      <c r="G13" s="38"/>
      <c r="H13" s="9"/>
      <c r="I13" s="9"/>
      <c r="J13" s="11"/>
      <c r="K13" s="11"/>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row>
    <row r="14" ht="15.75" customHeight="1">
      <c r="A14" s="32"/>
      <c r="B14" s="233"/>
      <c r="C14" s="52"/>
      <c r="D14" s="53"/>
      <c r="E14" s="28"/>
      <c r="F14" s="34"/>
      <c r="G14" s="38"/>
      <c r="H14" s="9"/>
      <c r="I14" s="9"/>
      <c r="J14" s="11"/>
      <c r="K14" s="11"/>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row>
    <row r="15" ht="15.75" customHeight="1">
      <c r="A15" s="32"/>
      <c r="B15" s="233"/>
      <c r="C15" s="52"/>
      <c r="D15" s="53"/>
      <c r="E15" s="28"/>
      <c r="F15" s="34"/>
      <c r="G15" s="38"/>
      <c r="H15" s="9"/>
      <c r="I15" s="9"/>
      <c r="J15" s="11"/>
      <c r="K15" s="11"/>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row>
    <row r="16" ht="15.75" customHeight="1">
      <c r="A16" s="32"/>
      <c r="B16" s="233"/>
      <c r="C16" s="52"/>
      <c r="D16" s="53"/>
      <c r="E16" s="8"/>
      <c r="F16" s="34"/>
      <c r="G16" s="8"/>
      <c r="H16" s="9"/>
      <c r="I16" s="9"/>
      <c r="J16" s="11"/>
      <c r="K16" s="11"/>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row>
    <row r="17" ht="15.75" customHeight="1">
      <c r="A17" s="32"/>
      <c r="B17" s="233"/>
      <c r="C17" s="52"/>
      <c r="D17" s="53"/>
      <c r="E17" s="8"/>
      <c r="F17" s="34"/>
      <c r="G17" s="8"/>
      <c r="H17" s="9"/>
      <c r="I17" s="9"/>
      <c r="J17" s="11"/>
      <c r="K17" s="11"/>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row>
    <row r="18" ht="15.75" customHeight="1">
      <c r="A18" s="32"/>
      <c r="B18" s="233"/>
      <c r="C18" s="52"/>
      <c r="D18" s="53"/>
      <c r="E18" s="8"/>
      <c r="F18" s="34"/>
      <c r="G18" s="8"/>
      <c r="H18" s="9"/>
      <c r="I18" s="9"/>
      <c r="J18" s="11"/>
      <c r="K18" s="11"/>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row>
    <row r="19" ht="15.75" customHeight="1">
      <c r="A19" s="32"/>
      <c r="B19" s="233"/>
      <c r="C19" s="52"/>
      <c r="D19" s="53"/>
      <c r="E19" s="62"/>
      <c r="F19" s="34"/>
      <c r="G19" s="62"/>
      <c r="I19" s="9"/>
      <c r="J19" s="11"/>
      <c r="K19" s="11"/>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row>
    <row r="20" ht="15.75" customHeight="1">
      <c r="A20" s="32"/>
      <c r="B20" s="233"/>
      <c r="C20" s="52"/>
      <c r="D20" s="53"/>
      <c r="E20" s="8"/>
      <c r="F20" s="34"/>
      <c r="G20" s="8"/>
      <c r="H20" s="9"/>
      <c r="I20" s="9"/>
      <c r="J20" s="11"/>
      <c r="K20" s="11"/>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row>
    <row r="21" ht="15.75" customHeight="1">
      <c r="A21" s="32"/>
      <c r="B21" s="233"/>
      <c r="C21" s="39"/>
      <c r="D21" s="8"/>
      <c r="E21" s="8"/>
      <c r="F21" s="34"/>
      <c r="G21" s="8"/>
      <c r="H21" s="9"/>
      <c r="I21" s="9"/>
      <c r="J21" s="11"/>
      <c r="K21" s="11"/>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row>
    <row r="22" ht="15.75" customHeight="1">
      <c r="A22" s="32"/>
      <c r="B22" s="233"/>
      <c r="C22" s="39"/>
      <c r="D22" s="8"/>
      <c r="E22" s="8"/>
      <c r="F22" s="34"/>
      <c r="G22" s="8"/>
      <c r="H22" s="9"/>
      <c r="I22" s="9"/>
      <c r="J22" s="11"/>
      <c r="K22" s="11"/>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row>
    <row r="23" ht="15.75" customHeight="1">
      <c r="A23" s="32"/>
      <c r="B23" s="233"/>
      <c r="C23" s="39"/>
      <c r="D23" s="8"/>
      <c r="E23" s="8"/>
      <c r="F23" s="34"/>
      <c r="G23" s="8"/>
      <c r="H23" s="9"/>
      <c r="I23" s="9"/>
      <c r="J23" s="11"/>
      <c r="K23" s="11"/>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row>
    <row r="24" ht="15.75" customHeight="1">
      <c r="A24" s="32"/>
      <c r="B24" s="233"/>
      <c r="C24" s="39"/>
      <c r="D24" s="8"/>
      <c r="E24" s="8"/>
      <c r="F24" s="34"/>
      <c r="G24" s="8"/>
      <c r="H24" s="9"/>
      <c r="I24" s="9"/>
      <c r="J24" s="11"/>
      <c r="K24" s="11"/>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row>
    <row r="25" ht="15.75" customHeight="1">
      <c r="A25" s="15"/>
      <c r="B25" s="233"/>
      <c r="C25" s="41"/>
      <c r="D25" s="31"/>
      <c r="E25" s="30"/>
      <c r="F25" s="34"/>
      <c r="G25" s="30"/>
      <c r="H25" s="9"/>
      <c r="I25" s="9"/>
      <c r="J25" s="11"/>
      <c r="K25" s="11"/>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row>
    <row r="26" ht="15.75" customHeight="1">
      <c r="A26" s="32"/>
      <c r="B26" s="233"/>
      <c r="C26" s="39"/>
      <c r="D26" s="8"/>
      <c r="E26" s="28"/>
      <c r="F26" s="34"/>
      <c r="G26" s="38"/>
      <c r="H26" s="9"/>
      <c r="I26" s="9"/>
      <c r="J26" s="11"/>
      <c r="K26" s="11"/>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row>
    <row r="27" ht="15.75" customHeight="1">
      <c r="A27" s="15"/>
      <c r="B27" s="233"/>
      <c r="C27" s="41"/>
      <c r="D27" s="31"/>
      <c r="E27" s="31"/>
      <c r="F27" s="34"/>
      <c r="G27" s="31"/>
      <c r="H27" s="9"/>
      <c r="I27" s="9"/>
      <c r="J27" s="11"/>
      <c r="K27" s="11"/>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row>
    <row r="28" ht="15.75" customHeight="1">
      <c r="A28" s="32"/>
      <c r="B28" s="233"/>
      <c r="C28" s="39"/>
      <c r="D28" s="8"/>
      <c r="E28" s="62"/>
      <c r="F28" s="34"/>
      <c r="G28" s="62"/>
      <c r="I28" s="9"/>
      <c r="J28" s="11"/>
      <c r="K28" s="11"/>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row>
    <row r="29" ht="15.75" customHeight="1">
      <c r="A29" s="15"/>
      <c r="B29" s="233"/>
      <c r="C29" s="41"/>
      <c r="D29" s="31"/>
      <c r="E29" s="31"/>
      <c r="F29" s="34"/>
      <c r="G29" s="31"/>
      <c r="H29" s="9"/>
      <c r="I29" s="9"/>
      <c r="J29" s="11"/>
      <c r="K29" s="11"/>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row>
    <row r="30" ht="15.75" customHeight="1">
      <c r="A30" s="32"/>
      <c r="B30" s="233"/>
      <c r="C30" s="39"/>
      <c r="D30" s="8"/>
      <c r="E30" s="8"/>
      <c r="F30" s="34"/>
      <c r="K30" s="11"/>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row>
    <row r="31" ht="15.75" customHeight="1">
      <c r="A31" s="15"/>
      <c r="B31" s="233"/>
      <c r="C31" s="41"/>
      <c r="D31" s="31"/>
      <c r="E31" s="31"/>
      <c r="F31" s="34"/>
      <c r="G31" s="31"/>
      <c r="H31" s="9"/>
      <c r="I31" s="9"/>
      <c r="J31" s="11"/>
      <c r="K31" s="11"/>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row>
    <row r="32" ht="15.75" customHeight="1">
      <c r="A32" s="32"/>
      <c r="B32" s="233"/>
      <c r="C32" s="39"/>
      <c r="D32" s="8"/>
      <c r="E32" s="8"/>
      <c r="F32" s="34"/>
      <c r="G32" s="8"/>
      <c r="I32" s="9"/>
      <c r="J32" s="11"/>
      <c r="K32" s="11"/>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row>
    <row r="33" ht="15.75" customHeight="1">
      <c r="A33" s="32"/>
      <c r="B33" s="233"/>
      <c r="C33" s="39"/>
      <c r="D33" s="8"/>
      <c r="E33" s="8"/>
      <c r="F33" s="34"/>
      <c r="K33" s="11"/>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row>
    <row r="34" ht="15.75" customHeight="1">
      <c r="A34" s="15"/>
      <c r="B34" s="233"/>
      <c r="C34" s="41"/>
      <c r="D34" s="31"/>
      <c r="E34" s="30"/>
      <c r="F34" s="34"/>
      <c r="G34" s="30"/>
      <c r="H34" s="9"/>
      <c r="I34" s="9"/>
      <c r="J34" s="11"/>
      <c r="K34" s="11"/>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row>
    <row r="35" ht="15.75" customHeight="1">
      <c r="A35" s="32"/>
      <c r="B35" s="233"/>
      <c r="C35" s="39"/>
      <c r="D35" s="8"/>
      <c r="E35" s="28"/>
      <c r="F35" s="34"/>
      <c r="G35" s="38"/>
      <c r="H35" s="9"/>
      <c r="I35" s="9"/>
      <c r="J35" s="11"/>
      <c r="K35" s="11"/>
      <c r="L35" s="15"/>
      <c r="M35" s="15"/>
      <c r="N35" s="15"/>
      <c r="O35" s="15"/>
      <c r="P35" s="15"/>
      <c r="Q35" s="15"/>
      <c r="R35" s="15"/>
      <c r="S35" s="15"/>
      <c r="T35" s="15"/>
      <c r="U35" s="15"/>
      <c r="V35" s="15"/>
      <c r="W35" s="15"/>
      <c r="X35" s="15"/>
      <c r="Y35" s="15"/>
      <c r="Z35" s="15"/>
      <c r="AA35" s="15"/>
      <c r="AB35" s="15"/>
      <c r="AC35" s="15"/>
      <c r="AD35" s="15"/>
      <c r="AE35" s="15"/>
      <c r="AF35" s="15"/>
      <c r="AG35" s="15"/>
      <c r="AH35" s="15"/>
      <c r="AI35" s="15"/>
      <c r="AJ35" s="15"/>
    </row>
    <row r="36" ht="15.75" customHeight="1">
      <c r="A36" s="32"/>
      <c r="B36" s="233"/>
      <c r="C36" s="39"/>
      <c r="D36" s="8"/>
      <c r="E36" s="8"/>
      <c r="F36" s="34"/>
      <c r="G36" s="8"/>
      <c r="H36" s="9"/>
      <c r="I36" s="9"/>
      <c r="J36" s="11"/>
      <c r="K36" s="11"/>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row>
    <row r="37" ht="15.75" customHeight="1">
      <c r="A37" s="32"/>
      <c r="B37" s="233"/>
      <c r="C37" s="39"/>
      <c r="D37" s="8"/>
      <c r="E37" s="8"/>
      <c r="F37" s="34"/>
      <c r="G37" s="8"/>
      <c r="H37" s="9"/>
      <c r="I37" s="9"/>
      <c r="J37" s="11"/>
      <c r="K37" s="11"/>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row>
    <row r="38" ht="15.75" customHeight="1">
      <c r="A38" s="32"/>
      <c r="B38" s="233"/>
      <c r="C38" s="39"/>
      <c r="D38" s="8"/>
      <c r="E38" s="62"/>
      <c r="F38" s="34"/>
      <c r="G38" s="62"/>
      <c r="H38" s="9"/>
      <c r="I38" s="9"/>
      <c r="J38" s="11"/>
      <c r="K38" s="11"/>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row>
    <row r="39" ht="15.75" customHeight="1">
      <c r="A39" s="15"/>
      <c r="B39" s="233"/>
      <c r="C39" s="39"/>
      <c r="D39" s="31"/>
      <c r="E39" s="31"/>
      <c r="F39" s="34"/>
      <c r="G39" s="31"/>
      <c r="H39" s="9"/>
      <c r="I39" s="9"/>
      <c r="J39" s="11"/>
      <c r="K39" s="11"/>
      <c r="L39" s="15"/>
      <c r="M39" s="15"/>
      <c r="N39" s="15"/>
      <c r="O39" s="15"/>
      <c r="P39" s="15"/>
      <c r="Q39" s="15"/>
      <c r="R39" s="15"/>
      <c r="S39" s="15"/>
      <c r="T39" s="15"/>
      <c r="U39" s="15"/>
      <c r="V39" s="15"/>
      <c r="W39" s="15"/>
      <c r="X39" s="15"/>
      <c r="Y39" s="15"/>
      <c r="Z39" s="15"/>
      <c r="AA39" s="15"/>
      <c r="AB39" s="15"/>
      <c r="AC39" s="15"/>
      <c r="AD39" s="15"/>
      <c r="AE39" s="15"/>
      <c r="AF39" s="15"/>
      <c r="AG39" s="15"/>
      <c r="AH39" s="15"/>
      <c r="AI39" s="15"/>
      <c r="AJ39" s="15"/>
    </row>
    <row r="40" ht="15.75" customHeight="1">
      <c r="A40" s="32"/>
      <c r="B40" s="233"/>
      <c r="C40" s="39"/>
      <c r="D40" s="8"/>
      <c r="E40" s="8"/>
      <c r="F40" s="34"/>
      <c r="K40" s="11"/>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row>
    <row r="41" ht="15.75" customHeight="1">
      <c r="A41" s="32"/>
      <c r="B41" s="233"/>
      <c r="C41" s="39"/>
      <c r="D41" s="8"/>
      <c r="E41" s="8"/>
      <c r="F41" s="34"/>
      <c r="G41" s="8"/>
      <c r="H41" s="9"/>
      <c r="I41" s="9"/>
      <c r="J41" s="11"/>
      <c r="K41" s="11"/>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row>
    <row r="42" ht="15.75" customHeight="1">
      <c r="A42" s="15"/>
      <c r="B42" s="233"/>
      <c r="C42" s="39"/>
      <c r="D42" s="31"/>
      <c r="E42" s="31"/>
      <c r="F42" s="34"/>
      <c r="G42" s="31"/>
      <c r="I42" s="9"/>
      <c r="J42" s="11"/>
      <c r="K42" s="11"/>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row>
    <row r="43" ht="15.75" customHeight="1">
      <c r="A43" s="32"/>
      <c r="B43" s="233"/>
      <c r="C43" s="549"/>
      <c r="D43" s="8"/>
      <c r="E43" s="8"/>
      <c r="F43" s="34"/>
      <c r="K43" s="11"/>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row>
    <row r="44" ht="15.75" customHeight="1">
      <c r="A44" s="32"/>
      <c r="B44" s="233"/>
      <c r="C44" s="39"/>
      <c r="D44" s="8"/>
      <c r="E44" s="38"/>
      <c r="F44" s="34"/>
      <c r="G44" s="38"/>
      <c r="H44" s="9"/>
      <c r="I44" s="9"/>
      <c r="J44" s="11"/>
      <c r="K44" s="11"/>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row>
    <row r="45" ht="15.75" customHeight="1">
      <c r="A45" s="32"/>
      <c r="B45" s="233"/>
      <c r="C45" s="39"/>
      <c r="D45" s="8"/>
      <c r="E45" s="38"/>
      <c r="F45" s="34"/>
      <c r="G45" s="38"/>
      <c r="H45" s="9"/>
      <c r="I45" s="9"/>
      <c r="J45" s="11"/>
      <c r="K45" s="11"/>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row>
    <row r="46" ht="15.75" customHeight="1">
      <c r="A46" s="32"/>
      <c r="B46" s="233"/>
      <c r="C46" s="39"/>
      <c r="D46" s="8"/>
      <c r="E46" s="38"/>
      <c r="F46" s="34"/>
      <c r="G46" s="38"/>
      <c r="H46" s="9"/>
      <c r="I46" s="9"/>
      <c r="J46" s="11"/>
      <c r="K46" s="11"/>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row>
    <row r="47" ht="15.75" customHeight="1">
      <c r="A47" s="32"/>
      <c r="B47" s="233"/>
      <c r="C47" s="39"/>
      <c r="D47" s="8"/>
      <c r="E47" s="28"/>
      <c r="F47" s="34"/>
      <c r="G47" s="38"/>
      <c r="H47" s="9"/>
      <c r="I47" s="9"/>
      <c r="J47" s="11"/>
      <c r="K47" s="11"/>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row>
    <row r="48" ht="15.75" customHeight="1">
      <c r="A48" s="15"/>
      <c r="B48" s="233"/>
      <c r="C48" s="39"/>
      <c r="D48" s="31"/>
      <c r="E48" s="37"/>
      <c r="F48" s="34"/>
      <c r="G48" s="30"/>
      <c r="H48" s="9"/>
      <c r="I48" s="9"/>
      <c r="J48" s="11"/>
      <c r="K48" s="11"/>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row>
    <row r="49" ht="15.75" customHeight="1">
      <c r="A49" s="32"/>
      <c r="B49" s="233"/>
      <c r="C49" s="39"/>
      <c r="D49" s="8"/>
      <c r="E49" s="8"/>
      <c r="F49" s="34"/>
      <c r="G49" s="8"/>
      <c r="H49" s="9"/>
      <c r="I49" s="11"/>
      <c r="J49" s="11"/>
      <c r="K49" s="11"/>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row>
    <row r="50" ht="15.75" customHeight="1">
      <c r="A50" s="32"/>
      <c r="B50" s="233"/>
      <c r="C50" s="39"/>
      <c r="D50" s="8"/>
      <c r="E50" s="62"/>
      <c r="F50" s="34"/>
      <c r="G50" s="62"/>
      <c r="H50" s="9"/>
      <c r="I50" s="11"/>
      <c r="J50" s="11"/>
      <c r="K50" s="11"/>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row>
    <row r="51" ht="15.75" customHeight="1">
      <c r="A51" s="32"/>
      <c r="B51" s="233"/>
      <c r="C51" s="39"/>
      <c r="D51" s="8"/>
      <c r="E51" s="8"/>
      <c r="F51" s="288"/>
      <c r="K51" s="11"/>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row>
    <row r="52" ht="15.75" customHeight="1">
      <c r="A52" s="32"/>
      <c r="B52" s="233"/>
      <c r="C52" s="39"/>
      <c r="D52" s="8"/>
      <c r="E52" s="8"/>
      <c r="F52" s="251"/>
      <c r="K52" s="11"/>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row>
    <row r="53" ht="15.75" customHeight="1">
      <c r="A53" s="15"/>
      <c r="B53" s="252"/>
      <c r="C53" s="64"/>
      <c r="F53" s="254"/>
      <c r="H53" s="11"/>
      <c r="I53" s="11"/>
      <c r="J53" s="11"/>
      <c r="K53" s="11"/>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row>
    <row r="54" ht="15.75" customHeight="1">
      <c r="A54" s="32"/>
      <c r="B54" s="233"/>
      <c r="C54" s="63"/>
      <c r="F54" s="258"/>
      <c r="H54" s="11"/>
      <c r="I54" s="11"/>
      <c r="J54" s="11"/>
      <c r="K54" s="11"/>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row>
    <row r="55" ht="15.75" customHeight="1">
      <c r="A55" s="32"/>
      <c r="B55" s="252"/>
      <c r="C55" s="63"/>
      <c r="F55" s="258"/>
      <c r="H55" s="11"/>
      <c r="I55" s="11"/>
      <c r="J55" s="11"/>
      <c r="K55" s="11"/>
      <c r="L55" s="15"/>
      <c r="M55" s="15"/>
      <c r="N55" s="15"/>
      <c r="O55" s="15"/>
      <c r="P55" s="15"/>
      <c r="Q55" s="15"/>
      <c r="R55" s="15"/>
      <c r="S55" s="15"/>
      <c r="T55" s="15"/>
      <c r="U55" s="15"/>
      <c r="V55" s="15"/>
      <c r="W55" s="15"/>
      <c r="X55" s="15"/>
      <c r="Y55" s="15"/>
      <c r="Z55" s="15"/>
      <c r="AA55" s="15"/>
      <c r="AB55" s="15"/>
      <c r="AC55" s="15"/>
      <c r="AD55" s="15"/>
      <c r="AE55" s="15"/>
      <c r="AF55" s="15"/>
      <c r="AG55" s="15"/>
      <c r="AH55" s="15"/>
      <c r="AI55" s="15"/>
      <c r="AJ55" s="15"/>
    </row>
    <row r="56" ht="15.75" customHeight="1">
      <c r="A56" s="32"/>
      <c r="B56" s="233"/>
      <c r="C56" s="63"/>
      <c r="F56" s="258"/>
      <c r="H56" s="11"/>
      <c r="I56" s="11"/>
      <c r="J56" s="11"/>
      <c r="K56" s="11"/>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row>
    <row r="57" ht="15.75" customHeight="1">
      <c r="A57" s="15"/>
      <c r="B57" s="252"/>
      <c r="C57" s="41"/>
      <c r="D57" s="31"/>
      <c r="E57" s="31"/>
      <c r="F57" s="34"/>
      <c r="G57" s="9"/>
      <c r="H57" s="11"/>
      <c r="I57" s="11"/>
      <c r="J57" s="11"/>
      <c r="K57" s="11"/>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row>
    <row r="58" ht="15.75" customHeight="1">
      <c r="A58" s="32"/>
      <c r="B58" s="219"/>
      <c r="C58" s="53"/>
      <c r="D58" s="53"/>
      <c r="E58" s="8"/>
      <c r="F58" s="34"/>
      <c r="G58" s="8"/>
      <c r="H58" s="9"/>
      <c r="I58" s="9"/>
      <c r="J58" s="11"/>
      <c r="K58" s="11"/>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row>
    <row r="59" ht="15.75" customHeight="1">
      <c r="A59" s="32"/>
      <c r="E59" s="8"/>
      <c r="F59" s="34"/>
      <c r="G59" s="8"/>
      <c r="H59" s="9"/>
      <c r="I59" s="9"/>
      <c r="J59" s="11"/>
      <c r="K59" s="11"/>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15"/>
    </row>
    <row r="60" ht="15.75" customHeight="1">
      <c r="A60" s="32"/>
      <c r="E60" s="38"/>
      <c r="F60" s="34"/>
      <c r="G60" s="38"/>
      <c r="H60" s="9"/>
      <c r="I60" s="9"/>
      <c r="J60" s="11"/>
      <c r="K60" s="11"/>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row>
    <row r="61" ht="15.75" customHeight="1">
      <c r="A61" s="32"/>
      <c r="E61" s="28"/>
      <c r="F61" s="34"/>
      <c r="G61" s="38"/>
      <c r="H61" s="9"/>
      <c r="I61" s="9"/>
      <c r="J61" s="11"/>
      <c r="K61" s="11"/>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row>
    <row r="62" ht="15.75" customHeight="1">
      <c r="A62" s="32"/>
      <c r="E62" s="8"/>
      <c r="F62" s="34"/>
      <c r="G62" s="8"/>
      <c r="H62" s="31"/>
      <c r="I62" s="9"/>
      <c r="J62" s="11"/>
      <c r="K62" s="11"/>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row>
    <row r="63" ht="15.75" customHeight="1">
      <c r="A63" s="32"/>
      <c r="E63" s="8"/>
      <c r="F63" s="29"/>
      <c r="K63" s="11"/>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row>
    <row r="64" ht="15.75" customHeight="1">
      <c r="A64" s="32"/>
      <c r="E64" s="8"/>
      <c r="F64" s="34"/>
      <c r="G64" s="8"/>
      <c r="K64" s="11"/>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row>
    <row r="65" ht="15.75" customHeight="1">
      <c r="A65" s="32"/>
      <c r="E65" s="38"/>
      <c r="F65" s="34"/>
      <c r="G65" s="38"/>
      <c r="H65" s="9"/>
      <c r="I65" s="9"/>
      <c r="J65" s="11"/>
      <c r="K65" s="11"/>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row>
    <row r="66" ht="15.75" customHeight="1">
      <c r="A66" s="32"/>
      <c r="E66" s="28"/>
      <c r="F66" s="34"/>
      <c r="G66" s="38"/>
      <c r="H66" s="9"/>
      <c r="I66" s="9"/>
      <c r="J66" s="11"/>
      <c r="K66" s="11"/>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ht="15.75" customHeight="1">
      <c r="A67" s="32"/>
      <c r="E67" s="8"/>
      <c r="F67" s="34"/>
      <c r="G67" s="8"/>
      <c r="H67" s="9"/>
      <c r="I67" s="9"/>
      <c r="J67" s="11"/>
      <c r="K67" s="11"/>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row>
    <row r="68" ht="15.75" customHeight="1">
      <c r="A68" s="32"/>
      <c r="E68" s="8"/>
      <c r="F68" s="34"/>
      <c r="G68" s="8"/>
      <c r="H68" s="9"/>
      <c r="I68" s="9"/>
      <c r="J68" s="11"/>
      <c r="K68" s="11"/>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row>
    <row r="69" ht="15.75" customHeight="1">
      <c r="A69" s="32"/>
      <c r="E69" s="8"/>
      <c r="F69" s="34"/>
      <c r="G69" s="8"/>
      <c r="H69" s="9"/>
      <c r="I69" s="9"/>
      <c r="J69" s="11"/>
      <c r="K69" s="11"/>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row>
    <row r="70" ht="15.75" customHeight="1">
      <c r="A70" s="32"/>
      <c r="E70" s="38"/>
      <c r="F70" s="34"/>
      <c r="G70" s="38"/>
      <c r="H70" s="9"/>
      <c r="I70" s="9"/>
      <c r="J70" s="11"/>
      <c r="K70" s="11"/>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row>
    <row r="71" ht="15.75" customHeight="1">
      <c r="A71" s="32"/>
      <c r="B71" s="257"/>
      <c r="C71" s="550"/>
      <c r="D71" s="32"/>
      <c r="E71" s="32"/>
      <c r="F71" s="558"/>
      <c r="K71" s="11"/>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row>
    <row r="72" ht="15.75" customHeight="1">
      <c r="A72" s="32"/>
      <c r="B72" s="257"/>
      <c r="C72" s="66"/>
      <c r="D72" s="32"/>
      <c r="E72" s="32"/>
      <c r="F72" s="558"/>
      <c r="K72" s="11"/>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row>
    <row r="73" ht="15.75" customHeight="1">
      <c r="A73" s="32"/>
      <c r="B73" s="552"/>
      <c r="C73" s="553"/>
      <c r="D73" s="160"/>
      <c r="E73" s="28"/>
      <c r="F73" s="34"/>
      <c r="G73" s="38"/>
      <c r="H73" s="9"/>
      <c r="I73" s="9"/>
      <c r="J73" s="11"/>
      <c r="K73" s="11"/>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row>
    <row r="74" ht="15.75" customHeight="1">
      <c r="A74" s="32"/>
      <c r="E74" s="28"/>
      <c r="F74" s="34"/>
      <c r="G74" s="38"/>
      <c r="H74" s="9"/>
      <c r="I74" s="9"/>
      <c r="J74" s="11"/>
      <c r="K74" s="11"/>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row>
    <row r="75" ht="15.75" customHeight="1">
      <c r="A75" s="169"/>
      <c r="E75" s="395"/>
      <c r="F75" s="554"/>
      <c r="G75" s="555"/>
      <c r="H75" s="556"/>
      <c r="I75" s="556"/>
      <c r="J75" s="399"/>
      <c r="K75" s="399"/>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row>
    <row r="76" ht="15.75" customHeight="1">
      <c r="A76" s="32"/>
      <c r="E76" s="28"/>
      <c r="F76" s="34"/>
      <c r="G76" s="38"/>
      <c r="H76" s="9"/>
      <c r="I76" s="9"/>
      <c r="J76" s="11"/>
      <c r="K76" s="11"/>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row>
    <row r="77" ht="15.75" customHeight="1">
      <c r="A77" s="32"/>
      <c r="E77" s="28"/>
      <c r="F77" s="34"/>
      <c r="G77" s="38"/>
      <c r="H77" s="9"/>
      <c r="I77" s="9"/>
      <c r="J77" s="11"/>
      <c r="K77" s="11"/>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row>
    <row r="78" ht="15.75" customHeight="1">
      <c r="A78" s="32"/>
      <c r="E78" s="28"/>
      <c r="F78" s="34"/>
      <c r="G78" s="38"/>
      <c r="H78" s="9"/>
      <c r="I78" s="9"/>
      <c r="J78" s="11"/>
      <c r="K78" s="11"/>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row>
    <row r="79" ht="15.75" customHeight="1">
      <c r="A79" s="32"/>
      <c r="E79" s="28"/>
      <c r="F79" s="34"/>
      <c r="G79" s="38"/>
      <c r="H79" s="9"/>
      <c r="I79" s="9"/>
      <c r="J79" s="11"/>
      <c r="K79" s="11"/>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row>
    <row r="80" ht="15.75" customHeight="1">
      <c r="A80" s="32"/>
      <c r="E80" s="28"/>
      <c r="F80" s="34"/>
      <c r="G80" s="38"/>
      <c r="H80" s="9"/>
      <c r="I80" s="9"/>
      <c r="J80" s="11"/>
      <c r="K80" s="11"/>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row>
    <row r="81" ht="15.75" customHeight="1">
      <c r="A81" s="32"/>
      <c r="E81" s="28"/>
      <c r="F81" s="34"/>
      <c r="G81" s="38"/>
      <c r="H81" s="9"/>
      <c r="I81" s="9"/>
      <c r="J81" s="11"/>
      <c r="K81" s="11"/>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row>
    <row r="82" ht="15.75" customHeight="1">
      <c r="A82" s="32"/>
      <c r="E82" s="28"/>
      <c r="F82" s="34"/>
      <c r="G82" s="38"/>
      <c r="H82" s="9"/>
      <c r="I82" s="9"/>
      <c r="J82" s="11"/>
      <c r="K82" s="11"/>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row>
    <row r="83" ht="15.75" customHeight="1">
      <c r="A83" s="32"/>
      <c r="B83" s="552"/>
      <c r="C83" s="160"/>
      <c r="D83" s="160"/>
      <c r="E83" s="8"/>
      <c r="F83" s="34"/>
      <c r="G83" s="8"/>
      <c r="H83" s="9"/>
      <c r="I83" s="9"/>
      <c r="J83" s="11"/>
      <c r="K83" s="11"/>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row>
    <row r="84" ht="15.75" customHeight="1">
      <c r="A84" s="32"/>
      <c r="E84" s="38"/>
      <c r="F84" s="34"/>
      <c r="G84" s="38"/>
      <c r="H84" s="9"/>
      <c r="I84" s="9"/>
      <c r="J84" s="11"/>
      <c r="K84" s="11"/>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row>
    <row r="85" ht="15.75" customHeight="1">
      <c r="A85" s="32"/>
      <c r="E85" s="28"/>
      <c r="F85" s="34"/>
      <c r="G85" s="38"/>
      <c r="H85" s="9"/>
      <c r="I85" s="9"/>
      <c r="J85" s="11"/>
      <c r="K85" s="11"/>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row>
    <row r="86" ht="15.75" customHeight="1">
      <c r="A86" s="32"/>
      <c r="E86" s="8"/>
      <c r="F86" s="34"/>
      <c r="G86" s="8"/>
      <c r="H86" s="9"/>
      <c r="I86" s="9"/>
      <c r="J86" s="11"/>
      <c r="K86" s="11"/>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row>
    <row r="87" ht="15.75" customHeight="1">
      <c r="A87" s="32"/>
      <c r="E87" s="8"/>
      <c r="F87" s="34"/>
      <c r="G87" s="8"/>
      <c r="H87" s="9"/>
      <c r="I87" s="9"/>
      <c r="J87" s="11"/>
      <c r="K87" s="11"/>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row>
    <row r="88" ht="15.75" customHeight="1">
      <c r="A88" s="32"/>
      <c r="E88" s="8"/>
      <c r="F88" s="34"/>
      <c r="G88" s="8"/>
      <c r="H88" s="9"/>
      <c r="I88" s="9"/>
      <c r="J88" s="11"/>
      <c r="K88" s="11"/>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row>
    <row r="89" ht="15.75" customHeight="1">
      <c r="A89" s="32"/>
      <c r="E89" s="8"/>
      <c r="F89" s="29"/>
      <c r="K89" s="11"/>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row>
    <row r="90" ht="15.75" customHeight="1">
      <c r="A90" s="32"/>
      <c r="B90" s="66"/>
      <c r="C90" s="557"/>
      <c r="D90" s="32"/>
      <c r="E90" s="32"/>
      <c r="F90" s="172"/>
      <c r="G90" s="32"/>
      <c r="H90" s="11"/>
      <c r="I90" s="11"/>
      <c r="J90" s="11"/>
      <c r="K90" s="11"/>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row>
    <row r="91" ht="15.75" customHeight="1">
      <c r="A91" s="32"/>
      <c r="C91" s="269"/>
      <c r="E91" s="32"/>
      <c r="F91" s="172"/>
      <c r="G91" s="32"/>
      <c r="H91" s="11"/>
      <c r="I91" s="11"/>
      <c r="J91" s="11"/>
      <c r="K91" s="11"/>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row>
    <row r="92" ht="15.75" customHeight="1">
      <c r="A92" s="32"/>
      <c r="C92" s="269"/>
      <c r="E92" s="32"/>
      <c r="F92" s="172"/>
      <c r="G92" s="32"/>
      <c r="H92" s="11"/>
      <c r="I92" s="11"/>
      <c r="J92" s="11"/>
      <c r="K92" s="11"/>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row>
    <row r="93" ht="15.75" customHeight="1">
      <c r="A93" s="32"/>
      <c r="C93" s="269"/>
      <c r="E93" s="32"/>
      <c r="F93" s="172"/>
      <c r="G93" s="32"/>
      <c r="H93" s="11"/>
      <c r="I93" s="11"/>
      <c r="J93" s="11"/>
      <c r="K93" s="11"/>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row>
    <row r="94" ht="15.75" customHeight="1">
      <c r="A94" s="32"/>
      <c r="C94" s="269"/>
      <c r="E94" s="32"/>
      <c r="F94" s="172"/>
      <c r="G94" s="32"/>
      <c r="H94" s="11"/>
      <c r="I94" s="11"/>
      <c r="J94" s="11"/>
      <c r="K94" s="11"/>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row>
    <row r="95" ht="15.75" customHeight="1">
      <c r="A95" s="32"/>
      <c r="C95" s="269"/>
      <c r="E95" s="32"/>
      <c r="F95" s="172"/>
      <c r="G95" s="32"/>
      <c r="H95" s="11"/>
      <c r="I95" s="11"/>
      <c r="J95" s="11"/>
      <c r="K95" s="11"/>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row>
    <row r="96" ht="15.75" customHeight="1">
      <c r="A96" s="32"/>
      <c r="C96" s="269"/>
      <c r="E96" s="32"/>
      <c r="F96" s="387"/>
      <c r="K96" s="11"/>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row>
    <row r="97" ht="15.75" customHeight="1">
      <c r="A97" s="32"/>
      <c r="C97" s="269"/>
      <c r="E97" s="32"/>
      <c r="F97" s="387"/>
      <c r="K97" s="11"/>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row>
    <row r="98" ht="15.75" customHeight="1">
      <c r="A98" s="32"/>
      <c r="C98" s="269"/>
      <c r="E98" s="32"/>
      <c r="F98" s="172"/>
      <c r="G98" s="32"/>
      <c r="H98" s="11"/>
      <c r="I98" s="11"/>
      <c r="J98" s="11"/>
      <c r="K98" s="11"/>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row>
    <row r="99" ht="15.75" customHeight="1">
      <c r="A99" s="32"/>
      <c r="C99" s="269"/>
      <c r="E99" s="32"/>
      <c r="F99" s="172"/>
      <c r="G99" s="32"/>
      <c r="H99" s="11"/>
      <c r="I99" s="11"/>
      <c r="J99" s="11"/>
      <c r="K99" s="11"/>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row>
    <row r="100" ht="15.75" customHeight="1">
      <c r="A100" s="32"/>
      <c r="C100" s="269"/>
      <c r="E100" s="32"/>
      <c r="F100" s="172"/>
      <c r="G100" s="32"/>
      <c r="H100" s="11"/>
      <c r="I100" s="11"/>
      <c r="J100" s="11"/>
      <c r="K100" s="11"/>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row>
    <row r="101" ht="15.75" customHeight="1">
      <c r="A101" s="32"/>
      <c r="C101" s="269"/>
      <c r="E101" s="32"/>
      <c r="F101" s="172"/>
      <c r="G101" s="32"/>
      <c r="H101" s="11"/>
      <c r="I101" s="11"/>
      <c r="J101" s="11"/>
      <c r="K101" s="11"/>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row>
    <row r="102" ht="15.75" customHeight="1">
      <c r="A102" s="32"/>
      <c r="C102" s="269"/>
      <c r="E102" s="32"/>
      <c r="F102" s="172"/>
      <c r="G102" s="32"/>
      <c r="H102" s="11"/>
      <c r="I102" s="11"/>
      <c r="J102" s="11"/>
      <c r="K102" s="11"/>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row>
    <row r="103" ht="15.75" customHeight="1">
      <c r="A103" s="32"/>
      <c r="C103" s="269"/>
      <c r="E103" s="32"/>
      <c r="F103" s="172"/>
      <c r="G103" s="32"/>
      <c r="H103" s="11"/>
      <c r="I103" s="11"/>
      <c r="J103" s="11"/>
      <c r="K103" s="11"/>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row>
    <row r="104" ht="15.75" customHeight="1">
      <c r="A104" s="32"/>
      <c r="C104" s="269"/>
      <c r="E104" s="32"/>
      <c r="F104" s="172"/>
      <c r="G104" s="32"/>
      <c r="H104" s="11"/>
      <c r="I104" s="11"/>
      <c r="J104" s="11"/>
      <c r="K104" s="11"/>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row>
    <row r="105" ht="15.75" customHeight="1">
      <c r="A105" s="32"/>
      <c r="C105" s="269"/>
      <c r="E105" s="32"/>
      <c r="F105" s="387"/>
      <c r="K105" s="11"/>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row>
    <row r="106" ht="15.75" customHeight="1">
      <c r="A106" s="32"/>
      <c r="C106" s="269"/>
      <c r="E106" s="32"/>
      <c r="F106" s="172"/>
      <c r="G106" s="32"/>
      <c r="H106" s="11"/>
      <c r="I106" s="11"/>
      <c r="J106" s="11"/>
      <c r="K106" s="11"/>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row>
    <row r="107" ht="15.75" customHeight="1">
      <c r="A107" s="32"/>
      <c r="C107" s="269"/>
      <c r="E107" s="32"/>
      <c r="F107" s="172"/>
      <c r="G107" s="32"/>
      <c r="H107" s="11"/>
      <c r="I107" s="11"/>
      <c r="J107" s="11"/>
      <c r="K107" s="11"/>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row>
    <row r="108" ht="15.75" customHeight="1">
      <c r="A108" s="32"/>
      <c r="C108" s="269"/>
      <c r="E108" s="32"/>
      <c r="F108" s="172"/>
      <c r="G108" s="32"/>
      <c r="H108" s="11"/>
      <c r="I108" s="11"/>
      <c r="J108" s="11"/>
      <c r="K108" s="11"/>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row>
    <row r="109" ht="15.75" customHeight="1">
      <c r="A109" s="32"/>
      <c r="C109" s="269"/>
      <c r="E109" s="32"/>
      <c r="F109" s="172"/>
      <c r="G109" s="32"/>
      <c r="H109" s="11"/>
      <c r="I109" s="11"/>
      <c r="J109" s="11"/>
      <c r="K109" s="11"/>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row>
    <row r="110" ht="15.75" customHeight="1">
      <c r="A110" s="32"/>
      <c r="C110" s="269"/>
      <c r="E110" s="32"/>
      <c r="F110" s="172"/>
      <c r="G110" s="32"/>
      <c r="H110" s="11"/>
      <c r="I110" s="11"/>
      <c r="J110" s="11"/>
      <c r="K110" s="11"/>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row>
    <row r="111" ht="15.75" customHeight="1">
      <c r="A111" s="32"/>
      <c r="C111" s="270"/>
      <c r="E111" s="32"/>
      <c r="F111" s="172"/>
      <c r="G111" s="32"/>
      <c r="H111" s="11"/>
      <c r="I111" s="11"/>
      <c r="J111" s="11"/>
      <c r="K111" s="11"/>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row>
    <row r="112" ht="15.75" customHeight="1">
      <c r="A112" s="15"/>
      <c r="B112" s="260"/>
      <c r="C112" s="21"/>
      <c r="D112" s="15"/>
      <c r="E112" s="15"/>
      <c r="F112" s="262"/>
      <c r="G112" s="15"/>
      <c r="H112" s="11"/>
      <c r="I112" s="11"/>
      <c r="J112" s="11"/>
      <c r="K112" s="11"/>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row>
    <row r="113" ht="15.75" customHeight="1">
      <c r="A113" s="32"/>
      <c r="B113" s="257"/>
      <c r="C113" s="66"/>
      <c r="D113" s="32"/>
      <c r="E113" s="32"/>
      <c r="F113" s="558"/>
      <c r="G113" s="32"/>
      <c r="H113" s="11"/>
      <c r="I113" s="11"/>
      <c r="J113" s="11"/>
      <c r="K113" s="11"/>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row>
    <row r="114" ht="15.75" customHeight="1">
      <c r="A114" s="32"/>
      <c r="B114" s="257"/>
      <c r="C114" s="66"/>
      <c r="D114" s="32"/>
      <c r="E114" s="32"/>
      <c r="F114" s="558"/>
      <c r="G114" s="32"/>
      <c r="H114" s="11"/>
      <c r="I114" s="11"/>
      <c r="J114" s="11"/>
      <c r="K114" s="11"/>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row>
    <row r="115" ht="15.75" customHeight="1">
      <c r="A115" s="32"/>
      <c r="B115" s="257"/>
      <c r="C115" s="66"/>
      <c r="D115" s="32"/>
      <c r="E115" s="32"/>
      <c r="F115" s="558"/>
      <c r="K115" s="11"/>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row>
    <row r="116" ht="15.75" customHeight="1">
      <c r="A116" s="32"/>
      <c r="B116" s="257"/>
      <c r="C116" s="66"/>
      <c r="D116" s="32"/>
      <c r="E116" s="32"/>
      <c r="F116" s="558"/>
      <c r="G116" s="32"/>
      <c r="H116" s="11"/>
      <c r="I116" s="11"/>
      <c r="J116" s="11"/>
      <c r="K116" s="11"/>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row>
    <row r="117" ht="15.75" customHeight="1">
      <c r="A117" s="15"/>
      <c r="B117" s="260"/>
      <c r="C117" s="21"/>
      <c r="D117" s="15"/>
      <c r="E117" s="15"/>
      <c r="F117" s="262"/>
      <c r="G117" s="15"/>
      <c r="H117" s="11"/>
      <c r="I117" s="11"/>
      <c r="J117" s="11"/>
      <c r="K117" s="11"/>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row>
    <row r="118" ht="15.75" customHeight="1">
      <c r="A118" s="32"/>
      <c r="B118" s="257"/>
      <c r="C118" s="66"/>
      <c r="D118" s="32"/>
      <c r="E118" s="32"/>
      <c r="F118" s="558"/>
      <c r="G118" s="32"/>
      <c r="H118" s="11"/>
      <c r="I118" s="11"/>
      <c r="J118" s="11"/>
      <c r="K118" s="11"/>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row>
    <row r="119" ht="15.75" customHeight="1">
      <c r="A119" s="32"/>
      <c r="B119" s="257"/>
      <c r="C119" s="66"/>
      <c r="D119" s="32"/>
      <c r="E119" s="32"/>
      <c r="F119" s="558"/>
      <c r="G119" s="32"/>
      <c r="H119" s="11"/>
      <c r="I119" s="11"/>
      <c r="J119" s="11"/>
      <c r="K119" s="11"/>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row>
    <row r="120" ht="15.75" customHeight="1">
      <c r="A120" s="32"/>
      <c r="B120" s="257"/>
      <c r="C120" s="66"/>
      <c r="D120" s="32"/>
      <c r="E120" s="32"/>
      <c r="F120" s="558"/>
      <c r="G120" s="32"/>
      <c r="H120" s="11"/>
      <c r="I120" s="11"/>
      <c r="J120" s="11"/>
      <c r="K120" s="11"/>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row>
    <row r="121" ht="15.75" customHeight="1">
      <c r="A121" s="32"/>
      <c r="B121" s="257"/>
      <c r="C121" s="66"/>
      <c r="D121" s="32"/>
      <c r="E121" s="32"/>
      <c r="F121" s="558"/>
      <c r="G121" s="32"/>
      <c r="H121" s="11"/>
      <c r="I121" s="11"/>
      <c r="J121" s="11"/>
      <c r="K121" s="11"/>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row>
    <row r="122" ht="15.75" customHeight="1">
      <c r="A122" s="32"/>
      <c r="B122" s="257"/>
      <c r="C122" s="66"/>
      <c r="D122" s="32"/>
      <c r="E122" s="32"/>
      <c r="F122" s="262"/>
      <c r="K122" s="11"/>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row>
    <row r="123" ht="15.75" customHeight="1">
      <c r="A123" s="32"/>
      <c r="B123" s="257"/>
      <c r="C123" s="66"/>
      <c r="D123" s="32"/>
      <c r="E123" s="32"/>
      <c r="F123" s="558"/>
      <c r="G123" s="32"/>
      <c r="H123" s="11"/>
      <c r="I123" s="11"/>
      <c r="J123" s="11"/>
      <c r="K123" s="11"/>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row>
    <row r="124" ht="15.75" customHeight="1">
      <c r="A124" s="32"/>
      <c r="B124" s="257"/>
      <c r="C124" s="66"/>
      <c r="D124" s="32"/>
      <c r="E124" s="32"/>
      <c r="F124" s="558"/>
      <c r="G124" s="32"/>
      <c r="H124" s="11"/>
      <c r="I124" s="11"/>
      <c r="J124" s="11"/>
      <c r="K124" s="11"/>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row>
    <row r="125" ht="15.75" customHeight="1">
      <c r="A125" s="32"/>
      <c r="B125" s="257"/>
      <c r="C125" s="66"/>
      <c r="D125" s="32"/>
      <c r="E125" s="32"/>
      <c r="F125" s="558"/>
      <c r="G125" s="32"/>
      <c r="H125" s="11"/>
      <c r="I125" s="11"/>
      <c r="J125" s="11"/>
      <c r="K125" s="11"/>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row>
    <row r="126" ht="15.75" customHeight="1">
      <c r="A126" s="32"/>
      <c r="B126" s="257"/>
      <c r="C126" s="66"/>
      <c r="D126" s="32"/>
      <c r="E126" s="32"/>
      <c r="F126" s="558"/>
      <c r="G126" s="32"/>
      <c r="H126" s="11"/>
      <c r="I126" s="11"/>
      <c r="J126" s="11"/>
      <c r="K126" s="11"/>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row>
    <row r="127" ht="15.75" customHeight="1">
      <c r="A127" s="32"/>
      <c r="B127" s="257"/>
      <c r="C127" s="66"/>
      <c r="D127" s="32"/>
      <c r="E127" s="32"/>
      <c r="F127" s="558"/>
      <c r="G127" s="32"/>
      <c r="H127" s="11"/>
      <c r="I127" s="11"/>
      <c r="J127" s="11"/>
      <c r="K127" s="11"/>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row>
    <row r="128" ht="15.75" customHeight="1">
      <c r="A128" s="32"/>
      <c r="B128" s="257"/>
      <c r="C128" s="66"/>
      <c r="D128" s="32"/>
      <c r="E128" s="32"/>
      <c r="F128" s="558"/>
      <c r="G128" s="32"/>
      <c r="H128" s="11"/>
      <c r="I128" s="11"/>
      <c r="J128" s="11"/>
      <c r="K128" s="11"/>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row>
    <row r="129" ht="15.75" customHeight="1">
      <c r="A129" s="32"/>
      <c r="B129" s="257"/>
      <c r="C129" s="66"/>
      <c r="D129" s="32"/>
      <c r="E129" s="32"/>
      <c r="F129" s="262"/>
      <c r="K129" s="11"/>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row>
    <row r="130" ht="15.75" customHeight="1">
      <c r="A130" s="32"/>
      <c r="B130" s="257"/>
      <c r="C130" s="66"/>
      <c r="D130" s="32"/>
      <c r="E130" s="32"/>
      <c r="F130" s="558"/>
      <c r="K130" s="11"/>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row>
    <row r="131" ht="15.75" customHeight="1">
      <c r="A131" s="15"/>
      <c r="B131" s="260"/>
      <c r="C131" s="21"/>
      <c r="D131" s="15"/>
      <c r="E131" s="32"/>
      <c r="F131" s="262"/>
      <c r="K131" s="11"/>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row>
    <row r="132" ht="15.75" customHeight="1">
      <c r="A132" s="15"/>
      <c r="B132" s="257"/>
      <c r="C132" s="21"/>
      <c r="D132" s="32"/>
      <c r="E132" s="32"/>
      <c r="F132" s="262"/>
      <c r="K132" s="11"/>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row>
    <row r="133" ht="15.75" customHeight="1">
      <c r="A133" s="15"/>
      <c r="B133" s="260"/>
      <c r="C133" s="21"/>
      <c r="D133" s="15"/>
      <c r="E133" s="15"/>
      <c r="F133" s="262"/>
      <c r="G133" s="15"/>
      <c r="H133" s="11"/>
      <c r="I133" s="11"/>
      <c r="J133" s="11"/>
      <c r="K133" s="11"/>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row>
    <row r="134" ht="15.75" customHeight="1">
      <c r="A134" s="32"/>
      <c r="B134" s="257"/>
      <c r="C134" s="66"/>
      <c r="D134" s="32"/>
      <c r="E134" s="32"/>
      <c r="F134" s="558"/>
      <c r="G134" s="32"/>
      <c r="H134" s="11"/>
      <c r="I134" s="11"/>
      <c r="J134" s="11"/>
      <c r="K134" s="11"/>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row>
    <row r="135" ht="15.75" customHeight="1">
      <c r="A135" s="15"/>
      <c r="B135" s="260"/>
      <c r="C135" s="21"/>
      <c r="D135" s="15"/>
      <c r="E135" s="15"/>
      <c r="F135" s="262"/>
      <c r="G135" s="15"/>
      <c r="H135" s="11"/>
      <c r="I135" s="11"/>
      <c r="J135" s="11"/>
      <c r="K135" s="11"/>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row>
    <row r="136" ht="15.75" customHeight="1">
      <c r="A136" s="15"/>
      <c r="B136" s="260"/>
      <c r="C136" s="21"/>
      <c r="D136" s="15"/>
      <c r="E136" s="15"/>
      <c r="F136" s="262"/>
      <c r="G136" s="15"/>
      <c r="H136" s="11"/>
      <c r="I136" s="11"/>
      <c r="J136" s="11"/>
      <c r="K136" s="11"/>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row>
    <row r="137" ht="15.75" customHeight="1">
      <c r="A137" s="15"/>
      <c r="B137" s="260"/>
      <c r="C137" s="21"/>
      <c r="D137" s="15"/>
      <c r="E137" s="15"/>
      <c r="F137" s="262"/>
      <c r="G137" s="15"/>
      <c r="H137" s="11"/>
      <c r="I137" s="11"/>
      <c r="J137" s="11"/>
      <c r="K137" s="11"/>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row>
    <row r="138" ht="15.75" customHeight="1">
      <c r="A138" s="15"/>
      <c r="B138" s="260"/>
      <c r="C138" s="21"/>
      <c r="D138" s="15"/>
      <c r="E138" s="15"/>
      <c r="F138" s="262"/>
      <c r="G138" s="15"/>
      <c r="H138" s="11"/>
      <c r="I138" s="11"/>
      <c r="J138" s="11"/>
      <c r="K138" s="11"/>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row>
    <row r="139" ht="15.75" customHeight="1">
      <c r="A139" s="32"/>
      <c r="B139" s="257"/>
      <c r="C139" s="66"/>
      <c r="D139" s="32"/>
      <c r="E139" s="32"/>
      <c r="F139" s="558"/>
      <c r="G139" s="32"/>
      <c r="H139" s="11"/>
      <c r="I139" s="11"/>
      <c r="J139" s="11"/>
      <c r="K139" s="11"/>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row>
    <row r="140" ht="15.75" customHeight="1">
      <c r="A140" s="32"/>
      <c r="B140" s="257"/>
      <c r="C140" s="66"/>
      <c r="D140" s="32"/>
      <c r="E140" s="32"/>
      <c r="F140" s="558"/>
      <c r="K140" s="11"/>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row>
    <row r="141" ht="15.75" customHeight="1">
      <c r="A141" s="32"/>
      <c r="B141" s="257"/>
      <c r="C141" s="66"/>
      <c r="D141" s="32"/>
      <c r="E141" s="32"/>
      <c r="F141" s="558"/>
      <c r="K141" s="11"/>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row>
    <row r="142" ht="15.75" customHeight="1">
      <c r="A142" s="15"/>
      <c r="B142" s="260"/>
      <c r="C142" s="21"/>
      <c r="D142" s="15"/>
      <c r="E142" s="15"/>
      <c r="F142" s="262"/>
      <c r="G142" s="15"/>
      <c r="H142" s="11"/>
      <c r="I142" s="11"/>
      <c r="J142" s="11"/>
      <c r="K142" s="11"/>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row>
    <row r="143" ht="15.75" customHeight="1">
      <c r="A143" s="15"/>
      <c r="B143" s="260"/>
      <c r="C143" s="21"/>
      <c r="D143" s="15"/>
      <c r="E143" s="15"/>
      <c r="F143" s="262"/>
      <c r="G143" s="15"/>
      <c r="H143" s="11"/>
      <c r="I143" s="11"/>
      <c r="J143" s="11"/>
      <c r="K143" s="11"/>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row>
    <row r="144" ht="15.75" customHeight="1">
      <c r="A144" s="15"/>
      <c r="B144" s="260"/>
      <c r="C144" s="21"/>
      <c r="D144" s="15"/>
      <c r="E144" s="15"/>
      <c r="F144" s="262"/>
      <c r="G144" s="15"/>
      <c r="H144" s="11"/>
      <c r="I144" s="11"/>
      <c r="J144" s="11"/>
      <c r="K144" s="11"/>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row>
    <row r="145" ht="15.75" customHeight="1">
      <c r="A145" s="15"/>
      <c r="B145" s="260"/>
      <c r="C145" s="21"/>
      <c r="D145" s="15"/>
      <c r="E145" s="15"/>
      <c r="F145" s="262"/>
      <c r="G145" s="15"/>
      <c r="H145" s="11"/>
      <c r="I145" s="11"/>
      <c r="J145" s="11"/>
      <c r="K145" s="11"/>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row>
    <row r="146" ht="15.75" customHeight="1">
      <c r="A146" s="32"/>
      <c r="B146" s="257"/>
      <c r="C146" s="66"/>
      <c r="D146" s="32"/>
      <c r="E146" s="32"/>
      <c r="F146" s="558"/>
      <c r="G146" s="32"/>
      <c r="H146" s="11"/>
      <c r="I146" s="11"/>
      <c r="J146" s="11"/>
      <c r="K146" s="11"/>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row>
    <row r="147" ht="15.75" customHeight="1">
      <c r="A147" s="32"/>
      <c r="B147" s="257"/>
      <c r="C147" s="66"/>
      <c r="D147" s="32"/>
      <c r="E147" s="32"/>
      <c r="F147" s="558"/>
      <c r="G147" s="32"/>
      <c r="H147" s="61"/>
      <c r="I147" s="61"/>
      <c r="J147" s="11"/>
      <c r="K147" s="11"/>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row>
    <row r="148" ht="15.75" customHeight="1">
      <c r="A148" s="32"/>
      <c r="B148" s="257"/>
      <c r="C148" s="66"/>
      <c r="D148" s="32"/>
      <c r="E148" s="32"/>
      <c r="F148" s="558"/>
      <c r="K148" s="11"/>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ht="15.75" customHeight="1">
      <c r="A149" s="15"/>
      <c r="B149" s="260"/>
      <c r="C149" s="21"/>
      <c r="D149" s="15"/>
      <c r="E149" s="32"/>
      <c r="F149" s="262"/>
      <c r="K149" s="11"/>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row>
    <row r="150" ht="15.75" customHeight="1">
      <c r="A150" s="32"/>
      <c r="B150" s="257"/>
      <c r="C150" s="66"/>
      <c r="D150" s="32"/>
      <c r="E150" s="32"/>
      <c r="F150" s="558"/>
      <c r="K150" s="11"/>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ht="15.75" customHeight="1">
      <c r="A151" s="15"/>
      <c r="B151" s="260"/>
      <c r="C151" s="21"/>
      <c r="D151" s="15"/>
      <c r="E151" s="15"/>
      <c r="F151" s="262"/>
      <c r="G151" s="15"/>
      <c r="H151" s="11"/>
      <c r="I151" s="11"/>
      <c r="J151" s="11"/>
      <c r="K151" s="11"/>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row>
    <row r="152" ht="15.75" customHeight="1">
      <c r="A152" s="15"/>
      <c r="B152" s="260"/>
      <c r="C152" s="21"/>
      <c r="D152" s="15"/>
      <c r="E152" s="15"/>
      <c r="F152" s="262"/>
      <c r="G152" s="15"/>
      <c r="H152" s="11"/>
      <c r="I152" s="11"/>
      <c r="J152" s="11"/>
      <c r="K152" s="11"/>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ht="15.75" customHeight="1">
      <c r="A153" s="32"/>
      <c r="B153" s="257"/>
      <c r="C153" s="66"/>
      <c r="D153" s="32"/>
      <c r="E153" s="32"/>
      <c r="F153" s="558"/>
      <c r="K153" s="11"/>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row>
    <row r="154" ht="15.75" customHeight="1">
      <c r="A154" s="32"/>
      <c r="B154" s="257"/>
      <c r="C154" s="66"/>
      <c r="D154" s="32"/>
      <c r="E154" s="32"/>
      <c r="F154" s="558"/>
      <c r="K154" s="11"/>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ht="15.75" customHeight="1">
      <c r="A155" s="32"/>
      <c r="B155" s="257"/>
      <c r="C155" s="66"/>
      <c r="D155" s="32"/>
      <c r="E155" s="32"/>
      <c r="F155" s="558"/>
      <c r="G155" s="32"/>
      <c r="H155" s="11"/>
      <c r="I155" s="11"/>
      <c r="J155" s="11"/>
      <c r="K155" s="11"/>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row>
    <row r="156" ht="15.75" customHeight="1">
      <c r="A156" s="32"/>
      <c r="B156" s="257"/>
      <c r="C156" s="66"/>
      <c r="D156" s="32"/>
      <c r="E156" s="32"/>
      <c r="F156" s="558"/>
      <c r="K156" s="11"/>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row>
    <row r="157" ht="15.75" customHeight="1">
      <c r="A157" s="32"/>
      <c r="B157" s="257"/>
      <c r="C157" s="66"/>
      <c r="D157" s="32"/>
      <c r="E157" s="32"/>
      <c r="F157" s="558"/>
      <c r="K157" s="11"/>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row>
    <row r="158" ht="15.75" customHeight="1">
      <c r="A158" s="15"/>
      <c r="B158" s="260"/>
      <c r="C158" s="21"/>
      <c r="D158" s="15"/>
      <c r="E158" s="32"/>
      <c r="F158" s="262"/>
      <c r="K158" s="11"/>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row>
    <row r="159" ht="15.75" customHeight="1">
      <c r="A159" s="32"/>
      <c r="B159" s="257"/>
      <c r="C159" s="66"/>
      <c r="D159" s="32"/>
      <c r="E159" s="32"/>
      <c r="F159" s="262"/>
      <c r="K159" s="11"/>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ht="15.75" customHeight="1">
      <c r="A160" s="32"/>
      <c r="B160" s="257"/>
      <c r="C160" s="66"/>
      <c r="D160" s="32"/>
      <c r="E160" s="32"/>
      <c r="F160" s="558"/>
      <c r="G160" s="32"/>
      <c r="H160" s="11"/>
      <c r="I160" s="11"/>
      <c r="J160" s="11"/>
      <c r="K160" s="11"/>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row>
    <row r="161" ht="15.75" customHeight="1">
      <c r="A161" s="32"/>
      <c r="B161" s="257"/>
      <c r="C161" s="66"/>
      <c r="D161" s="32"/>
      <c r="E161" s="32"/>
      <c r="F161" s="558"/>
      <c r="G161" s="32"/>
      <c r="H161" s="11"/>
      <c r="I161" s="11"/>
      <c r="J161" s="11"/>
      <c r="K161" s="11"/>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row>
    <row r="162" ht="15.75" customHeight="1">
      <c r="A162" s="32"/>
      <c r="B162" s="257"/>
      <c r="C162" s="66"/>
      <c r="D162" s="32"/>
      <c r="E162" s="32"/>
      <c r="F162" s="558"/>
      <c r="K162" s="11"/>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row>
    <row r="163" ht="15.75" customHeight="1">
      <c r="A163" s="32"/>
      <c r="B163" s="257"/>
      <c r="C163" s="66"/>
      <c r="D163" s="32"/>
      <c r="E163" s="32"/>
      <c r="F163" s="558"/>
      <c r="K163" s="11"/>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row>
    <row r="164" ht="15.75" customHeight="1">
      <c r="A164" s="15"/>
      <c r="B164" s="260"/>
      <c r="C164" s="21"/>
      <c r="D164" s="15"/>
      <c r="E164" s="15"/>
      <c r="F164" s="262"/>
      <c r="G164" s="15"/>
      <c r="H164" s="11"/>
      <c r="I164" s="11"/>
      <c r="J164" s="11"/>
      <c r="K164" s="11"/>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row>
    <row r="165" ht="15.75" customHeight="1">
      <c r="A165" s="32"/>
      <c r="B165" s="257"/>
      <c r="C165" s="66"/>
      <c r="D165" s="32"/>
      <c r="E165" s="32"/>
      <c r="F165" s="262"/>
      <c r="K165" s="11"/>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row>
    <row r="166" ht="15.75" customHeight="1">
      <c r="A166" s="32"/>
      <c r="B166" s="257"/>
      <c r="C166" s="66"/>
      <c r="D166" s="32"/>
      <c r="E166" s="32"/>
      <c r="F166" s="558"/>
      <c r="G166" s="32"/>
      <c r="H166" s="11"/>
      <c r="I166" s="11"/>
      <c r="J166" s="11"/>
      <c r="K166" s="11"/>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row>
    <row r="167" ht="15.75" customHeight="1">
      <c r="A167" s="32"/>
      <c r="B167" s="257"/>
      <c r="C167" s="66"/>
      <c r="D167" s="32"/>
      <c r="E167" s="32"/>
      <c r="F167" s="558"/>
      <c r="G167" s="32"/>
      <c r="H167" s="11"/>
      <c r="I167" s="11"/>
      <c r="J167" s="11"/>
      <c r="K167" s="11"/>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row>
    <row r="168" ht="15.75" customHeight="1">
      <c r="A168" s="32"/>
      <c r="B168" s="257"/>
      <c r="C168" s="66"/>
      <c r="D168" s="32"/>
      <c r="E168" s="32"/>
      <c r="F168" s="558"/>
      <c r="G168" s="32"/>
      <c r="H168" s="11"/>
      <c r="I168" s="11"/>
      <c r="J168" s="11"/>
      <c r="K168" s="11"/>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row>
    <row r="169" ht="15.75" customHeight="1">
      <c r="A169" s="15"/>
      <c r="B169" s="260"/>
      <c r="C169" s="21"/>
      <c r="D169" s="15"/>
      <c r="E169" s="32"/>
      <c r="F169" s="262"/>
      <c r="K169" s="11"/>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row>
    <row r="170" ht="15.75" customHeight="1">
      <c r="A170" s="15"/>
      <c r="B170" s="260"/>
      <c r="C170" s="21"/>
      <c r="D170" s="15"/>
      <c r="E170" s="32"/>
      <c r="F170" s="262"/>
      <c r="K170" s="11"/>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row>
    <row r="171" ht="15.75" customHeight="1">
      <c r="A171" s="15"/>
      <c r="B171" s="260"/>
      <c r="C171" s="21"/>
      <c r="D171" s="15"/>
      <c r="E171" s="32"/>
      <c r="F171" s="262"/>
      <c r="K171" s="11"/>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row>
    <row r="172" ht="15.75" customHeight="1">
      <c r="A172" s="15"/>
      <c r="B172" s="260"/>
      <c r="C172" s="21"/>
      <c r="D172" s="15"/>
      <c r="E172" s="32"/>
      <c r="F172" s="262"/>
      <c r="K172" s="11"/>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row>
    <row r="173" ht="15.75" customHeight="1">
      <c r="A173" s="15"/>
      <c r="B173" s="260"/>
      <c r="C173" s="21"/>
      <c r="D173" s="15"/>
      <c r="E173" s="15"/>
      <c r="F173" s="262"/>
      <c r="G173" s="15"/>
      <c r="H173" s="11"/>
      <c r="I173" s="11"/>
      <c r="J173" s="11"/>
      <c r="K173" s="11"/>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row>
    <row r="174" ht="15.75" customHeight="1">
      <c r="A174" s="32"/>
      <c r="B174" s="257"/>
      <c r="C174" s="66"/>
      <c r="D174" s="32"/>
      <c r="E174" s="32"/>
      <c r="F174" s="262"/>
      <c r="K174" s="11"/>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row>
    <row r="175" ht="15.75" customHeight="1">
      <c r="A175" s="32"/>
      <c r="B175" s="257"/>
      <c r="C175" s="66"/>
      <c r="D175" s="32"/>
      <c r="E175" s="32"/>
      <c r="F175" s="558"/>
      <c r="G175" s="32"/>
      <c r="H175" s="11"/>
      <c r="I175" s="11"/>
      <c r="J175" s="11"/>
      <c r="K175" s="11"/>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row>
    <row r="176" ht="15.75" customHeight="1">
      <c r="A176" s="15"/>
      <c r="B176" s="260"/>
      <c r="C176" s="21"/>
      <c r="D176" s="15"/>
      <c r="E176" s="15"/>
      <c r="F176" s="262"/>
      <c r="G176" s="15"/>
      <c r="H176" s="11"/>
      <c r="I176" s="11"/>
      <c r="J176" s="11"/>
      <c r="K176" s="11"/>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row>
    <row r="177" ht="15.75" customHeight="1">
      <c r="A177" s="15"/>
      <c r="B177" s="260"/>
      <c r="C177" s="21"/>
      <c r="D177" s="15"/>
      <c r="E177" s="15"/>
      <c r="F177" s="262"/>
      <c r="G177" s="15"/>
      <c r="H177" s="11"/>
      <c r="I177" s="11"/>
      <c r="J177" s="11"/>
      <c r="K177" s="11"/>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row>
    <row r="178" ht="15.75" customHeight="1">
      <c r="A178" s="32"/>
      <c r="B178" s="257"/>
      <c r="C178" s="66"/>
      <c r="D178" s="32"/>
      <c r="E178" s="32"/>
      <c r="F178" s="558"/>
      <c r="G178" s="32"/>
      <c r="H178" s="11"/>
      <c r="I178" s="11"/>
      <c r="J178" s="11"/>
      <c r="K178" s="11"/>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row>
    <row r="179" ht="15.75" customHeight="1">
      <c r="A179" s="15"/>
      <c r="B179" s="260"/>
      <c r="C179" s="21"/>
      <c r="D179" s="15"/>
      <c r="E179" s="15"/>
      <c r="F179" s="262"/>
      <c r="G179" s="15"/>
      <c r="H179" s="11"/>
      <c r="I179" s="11"/>
      <c r="J179" s="11"/>
      <c r="K179" s="11"/>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row>
    <row r="180" ht="15.75" customHeight="1">
      <c r="A180" s="32"/>
      <c r="B180" s="257"/>
      <c r="C180" s="66"/>
      <c r="D180" s="32"/>
      <c r="E180" s="32"/>
      <c r="F180" s="558"/>
      <c r="G180" s="32"/>
      <c r="H180" s="11"/>
      <c r="I180" s="11"/>
      <c r="J180" s="11"/>
      <c r="K180" s="11"/>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row>
    <row r="181" ht="15.75" customHeight="1">
      <c r="A181" s="15"/>
      <c r="B181" s="260"/>
      <c r="C181" s="21"/>
      <c r="D181" s="15"/>
      <c r="E181" s="15"/>
      <c r="F181" s="262"/>
      <c r="G181" s="15"/>
      <c r="H181" s="11"/>
      <c r="I181" s="11"/>
      <c r="J181" s="11"/>
      <c r="K181" s="11"/>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row>
    <row r="182" ht="15.75" customHeight="1">
      <c r="A182" s="15"/>
      <c r="B182" s="260"/>
      <c r="C182" s="21"/>
      <c r="D182" s="15"/>
      <c r="E182" s="15"/>
      <c r="F182" s="262"/>
      <c r="G182" s="15"/>
      <c r="H182" s="11"/>
      <c r="I182" s="11"/>
      <c r="J182" s="11"/>
      <c r="K182" s="11"/>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row>
    <row r="183" ht="15.75" customHeight="1">
      <c r="A183" s="15"/>
      <c r="B183" s="260"/>
      <c r="C183" s="21"/>
      <c r="D183" s="15"/>
      <c r="E183" s="15"/>
      <c r="F183" s="262"/>
      <c r="G183" s="15"/>
      <c r="H183" s="11"/>
      <c r="I183" s="11"/>
      <c r="J183" s="11"/>
      <c r="K183" s="11"/>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row>
    <row r="184" ht="15.75" customHeight="1">
      <c r="A184" s="15"/>
      <c r="B184" s="260"/>
      <c r="C184" s="21"/>
      <c r="D184" s="15"/>
      <c r="E184" s="15"/>
      <c r="F184" s="262"/>
      <c r="G184" s="15"/>
      <c r="H184" s="11"/>
      <c r="I184" s="11"/>
      <c r="J184" s="11"/>
      <c r="K184" s="11"/>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row>
    <row r="185" ht="15.75" customHeight="1">
      <c r="A185" s="15"/>
      <c r="B185" s="260"/>
      <c r="C185" s="21"/>
      <c r="D185" s="15"/>
      <c r="E185" s="15"/>
      <c r="F185" s="262"/>
      <c r="G185" s="15"/>
      <c r="H185" s="11"/>
      <c r="I185" s="11"/>
      <c r="J185" s="11"/>
      <c r="K185" s="11"/>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row>
    <row r="186" ht="15.75" customHeight="1">
      <c r="A186" s="15"/>
      <c r="B186" s="260"/>
      <c r="C186" s="66"/>
      <c r="D186" s="15"/>
      <c r="E186" s="15"/>
      <c r="F186" s="262"/>
      <c r="G186" s="15"/>
      <c r="H186" s="11"/>
      <c r="I186" s="11"/>
      <c r="J186" s="11"/>
      <c r="K186" s="11"/>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row>
    <row r="187" ht="15.75" customHeight="1">
      <c r="A187" s="32"/>
      <c r="B187" s="257"/>
      <c r="C187" s="66"/>
      <c r="D187" s="32"/>
      <c r="E187" s="32"/>
      <c r="F187" s="262"/>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row>
    <row r="188" ht="15.75" customHeight="1">
      <c r="A188" s="32"/>
      <c r="B188" s="257"/>
      <c r="C188" s="66"/>
      <c r="D188" s="32"/>
      <c r="E188" s="32"/>
      <c r="F188" s="558"/>
      <c r="G188" s="32"/>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row>
    <row r="189" ht="15.75" customHeight="1">
      <c r="A189" s="32"/>
      <c r="B189" s="257"/>
      <c r="C189" s="66"/>
      <c r="D189" s="32"/>
      <c r="E189" s="32"/>
      <c r="F189" s="558"/>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row>
    <row r="190" ht="15.75" customHeight="1">
      <c r="A190" s="32"/>
      <c r="B190" s="257"/>
      <c r="C190" s="66"/>
      <c r="D190" s="32"/>
      <c r="E190" s="32"/>
      <c r="F190" s="558"/>
      <c r="G190" s="32"/>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row>
    <row r="191" ht="15.75" customHeight="1">
      <c r="A191" s="32"/>
      <c r="B191" s="257"/>
      <c r="C191" s="66"/>
      <c r="D191" s="32"/>
      <c r="E191" s="32"/>
      <c r="F191" s="558"/>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row>
    <row r="192" ht="15.75" customHeight="1">
      <c r="A192" s="15"/>
      <c r="B192" s="260"/>
      <c r="C192" s="21"/>
      <c r="D192" s="15"/>
      <c r="E192" s="32"/>
      <c r="F192" s="262"/>
      <c r="G192" s="32"/>
      <c r="H192" s="11"/>
      <c r="I192" s="11"/>
      <c r="J192" s="11"/>
      <c r="K192" s="11"/>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row>
    <row r="193" ht="15.75" customHeight="1">
      <c r="A193" s="15"/>
      <c r="B193" s="260"/>
      <c r="C193" s="21"/>
      <c r="D193" s="15"/>
      <c r="E193" s="32"/>
      <c r="F193" s="262"/>
      <c r="K193" s="11"/>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row>
    <row r="194" ht="15.75" customHeight="1">
      <c r="A194" s="15"/>
      <c r="B194" s="260"/>
      <c r="C194" s="21"/>
      <c r="D194" s="15"/>
      <c r="E194" s="32"/>
      <c r="F194" s="262"/>
      <c r="K194" s="11"/>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row>
    <row r="195" ht="15.75" customHeight="1">
      <c r="A195" s="15"/>
      <c r="B195" s="260"/>
      <c r="C195" s="21"/>
      <c r="D195" s="15"/>
      <c r="E195" s="15"/>
      <c r="F195" s="262"/>
      <c r="G195" s="15"/>
      <c r="H195" s="11"/>
      <c r="I195" s="11"/>
      <c r="J195" s="11"/>
      <c r="K195" s="11"/>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row>
    <row r="196" ht="15.75" customHeight="1">
      <c r="A196" s="15"/>
      <c r="B196" s="260"/>
      <c r="C196" s="21"/>
      <c r="D196" s="15"/>
      <c r="E196" s="15"/>
      <c r="F196" s="262"/>
      <c r="G196" s="15"/>
      <c r="H196" s="11"/>
      <c r="I196" s="11"/>
      <c r="J196" s="11"/>
      <c r="K196" s="11"/>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row>
    <row r="197" ht="15.75" customHeight="1">
      <c r="A197" s="32"/>
      <c r="B197" s="257"/>
      <c r="C197" s="66"/>
      <c r="D197" s="32"/>
      <c r="E197" s="32"/>
      <c r="F197" s="262"/>
      <c r="K197" s="11"/>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row>
    <row r="198" ht="15.75" customHeight="1">
      <c r="A198" s="32"/>
      <c r="B198" s="257"/>
      <c r="C198" s="66"/>
      <c r="D198" s="32"/>
      <c r="E198" s="32"/>
      <c r="F198" s="558"/>
      <c r="G198" s="32"/>
      <c r="H198" s="11"/>
      <c r="I198" s="11"/>
      <c r="J198" s="11"/>
      <c r="K198" s="11"/>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row>
    <row r="199" ht="15.75" customHeight="1">
      <c r="A199" s="32"/>
      <c r="B199" s="257"/>
      <c r="C199" s="66"/>
      <c r="D199" s="32"/>
      <c r="E199" s="32"/>
      <c r="F199" s="558"/>
      <c r="G199" s="32"/>
      <c r="H199" s="11"/>
      <c r="I199" s="11"/>
      <c r="J199" s="11"/>
      <c r="K199" s="11"/>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row>
    <row r="200" ht="15.75" customHeight="1">
      <c r="A200" s="15"/>
      <c r="B200" s="260"/>
      <c r="C200" s="21"/>
      <c r="D200" s="15"/>
      <c r="E200" s="15"/>
      <c r="F200" s="262"/>
      <c r="G200" s="15"/>
      <c r="H200" s="11"/>
      <c r="I200" s="11"/>
      <c r="J200" s="11"/>
      <c r="K200" s="11"/>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row>
    <row r="201" ht="15.75" customHeight="1">
      <c r="A201" s="32"/>
      <c r="B201" s="257"/>
      <c r="C201" s="66"/>
      <c r="D201" s="32"/>
      <c r="E201" s="32"/>
      <c r="F201" s="558"/>
      <c r="K201" s="11"/>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row>
    <row r="202" ht="15.75" customHeight="1">
      <c r="A202" s="32"/>
      <c r="B202" s="257"/>
      <c r="C202" s="66"/>
      <c r="D202" s="32"/>
      <c r="E202" s="32"/>
      <c r="F202" s="558"/>
      <c r="G202" s="32"/>
      <c r="H202" s="11"/>
      <c r="I202" s="11"/>
      <c r="J202" s="11"/>
      <c r="K202" s="11"/>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row>
    <row r="203" ht="15.75" customHeight="1">
      <c r="A203" s="32"/>
      <c r="B203" s="257"/>
      <c r="C203" s="66"/>
      <c r="D203" s="32"/>
      <c r="E203" s="32"/>
      <c r="F203" s="558"/>
      <c r="G203" s="32"/>
      <c r="H203" s="11"/>
      <c r="I203" s="11"/>
      <c r="J203" s="11"/>
      <c r="K203" s="11"/>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row>
    <row r="204" ht="15.75" customHeight="1">
      <c r="A204" s="32"/>
      <c r="B204" s="257"/>
      <c r="C204" s="66"/>
      <c r="D204" s="32"/>
      <c r="E204" s="32"/>
      <c r="F204" s="558"/>
      <c r="G204" s="32"/>
      <c r="H204" s="11"/>
      <c r="I204" s="11"/>
      <c r="J204" s="11"/>
      <c r="K204" s="11"/>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row>
    <row r="205" ht="15.75" customHeight="1">
      <c r="A205" s="32"/>
      <c r="B205" s="257"/>
      <c r="C205" s="66"/>
      <c r="D205" s="32"/>
      <c r="E205" s="32"/>
      <c r="F205" s="558"/>
      <c r="G205" s="32"/>
      <c r="H205" s="11"/>
      <c r="I205" s="11"/>
      <c r="J205" s="11"/>
      <c r="K205" s="11"/>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row>
    <row r="206" ht="15.75" customHeight="1">
      <c r="A206" s="32"/>
      <c r="B206" s="257"/>
      <c r="C206" s="66"/>
      <c r="D206" s="32"/>
      <c r="E206" s="32"/>
      <c r="F206" s="558"/>
      <c r="G206" s="32"/>
      <c r="H206" s="11"/>
      <c r="I206" s="11"/>
      <c r="J206" s="11"/>
      <c r="K206" s="11"/>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row>
    <row r="207" ht="15.75" customHeight="1">
      <c r="A207" s="32"/>
      <c r="B207" s="257"/>
      <c r="C207" s="66"/>
      <c r="D207" s="32"/>
      <c r="E207" s="32"/>
      <c r="F207" s="558"/>
      <c r="G207" s="32"/>
      <c r="H207" s="11"/>
      <c r="I207" s="11"/>
      <c r="J207" s="11"/>
      <c r="K207" s="11"/>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row>
    <row r="208" ht="15.75" customHeight="1">
      <c r="A208" s="32"/>
      <c r="B208" s="257"/>
      <c r="C208" s="66"/>
      <c r="D208" s="32"/>
      <c r="E208" s="32"/>
      <c r="F208" s="558"/>
      <c r="G208" s="32"/>
      <c r="H208" s="11"/>
      <c r="I208" s="11"/>
      <c r="J208" s="11"/>
      <c r="K208" s="11"/>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row>
    <row r="209" ht="15.75" customHeight="1">
      <c r="A209" s="32"/>
      <c r="B209" s="257"/>
      <c r="C209" s="66"/>
      <c r="D209" s="32"/>
      <c r="E209" s="32"/>
      <c r="F209" s="558"/>
      <c r="G209" s="32"/>
      <c r="H209" s="11"/>
      <c r="I209" s="11"/>
      <c r="J209" s="11"/>
      <c r="K209" s="11"/>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row>
    <row r="210" ht="15.75" customHeight="1">
      <c r="A210" s="32"/>
      <c r="B210" s="257"/>
      <c r="C210" s="66"/>
      <c r="D210" s="32"/>
      <c r="E210" s="32"/>
      <c r="F210" s="558"/>
      <c r="G210" s="32"/>
      <c r="H210" s="11"/>
      <c r="I210" s="11"/>
      <c r="J210" s="11"/>
      <c r="K210" s="11"/>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row>
    <row r="211" ht="15.75" customHeight="1">
      <c r="A211" s="32"/>
      <c r="B211" s="257"/>
      <c r="C211" s="66"/>
      <c r="D211" s="32"/>
      <c r="E211" s="32"/>
      <c r="F211" s="558"/>
      <c r="G211" s="32"/>
      <c r="H211" s="11"/>
      <c r="I211" s="11"/>
      <c r="J211" s="11"/>
      <c r="K211" s="11"/>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row>
    <row r="212" ht="15.75" customHeight="1">
      <c r="A212" s="32"/>
      <c r="B212" s="257"/>
      <c r="C212" s="66"/>
      <c r="D212" s="32"/>
      <c r="E212" s="32"/>
      <c r="F212" s="558"/>
      <c r="G212" s="32"/>
      <c r="H212" s="11"/>
      <c r="I212" s="11"/>
      <c r="J212" s="11"/>
      <c r="K212" s="11"/>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row>
    <row r="213" ht="15.75" customHeight="1">
      <c r="A213" s="32"/>
      <c r="B213" s="257"/>
      <c r="C213" s="66"/>
      <c r="D213" s="32"/>
      <c r="E213" s="32"/>
      <c r="F213" s="558"/>
      <c r="G213" s="32"/>
      <c r="H213" s="11"/>
      <c r="I213" s="11"/>
      <c r="J213" s="11"/>
      <c r="K213" s="11"/>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row>
    <row r="214" ht="15.75" customHeight="1">
      <c r="A214" s="32"/>
      <c r="B214" s="257"/>
      <c r="C214" s="66"/>
      <c r="D214" s="32"/>
      <c r="E214" s="32"/>
      <c r="F214" s="558"/>
      <c r="G214" s="32"/>
      <c r="H214" s="11"/>
      <c r="I214" s="11"/>
      <c r="J214" s="11"/>
      <c r="K214" s="11"/>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row>
    <row r="215" ht="15.75" customHeight="1">
      <c r="A215" s="32"/>
      <c r="B215" s="257"/>
      <c r="C215" s="66"/>
      <c r="D215" s="32"/>
      <c r="E215" s="32"/>
      <c r="F215" s="558"/>
      <c r="G215" s="32"/>
      <c r="H215" s="11"/>
      <c r="I215" s="11"/>
      <c r="J215" s="11"/>
      <c r="K215" s="11"/>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row>
    <row r="216" ht="15.75" customHeight="1">
      <c r="A216" s="32"/>
      <c r="B216" s="257"/>
      <c r="C216" s="66"/>
      <c r="D216" s="32"/>
      <c r="E216" s="32"/>
      <c r="F216" s="558"/>
      <c r="G216" s="32"/>
      <c r="H216" s="11"/>
      <c r="I216" s="11"/>
      <c r="J216" s="11"/>
      <c r="K216" s="11"/>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row>
    <row r="217" ht="15.75" customHeight="1">
      <c r="A217" s="32"/>
      <c r="B217" s="257"/>
      <c r="C217" s="66"/>
      <c r="D217" s="32"/>
      <c r="E217" s="32"/>
      <c r="F217" s="558"/>
      <c r="G217" s="32"/>
      <c r="H217" s="11"/>
      <c r="I217" s="11"/>
      <c r="J217" s="11"/>
      <c r="K217" s="11"/>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row>
    <row r="218" ht="15.75" customHeight="1">
      <c r="A218" s="15"/>
      <c r="B218" s="260"/>
      <c r="C218" s="21"/>
      <c r="D218" s="15"/>
      <c r="E218" s="15"/>
      <c r="F218" s="262"/>
      <c r="G218" s="15"/>
      <c r="H218" s="11"/>
      <c r="I218" s="11"/>
      <c r="J218" s="11"/>
      <c r="K218" s="11"/>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row>
    <row r="219" ht="15.75" customHeight="1">
      <c r="A219" s="32"/>
      <c r="B219" s="257"/>
      <c r="C219" s="66"/>
      <c r="D219" s="32"/>
      <c r="E219" s="32"/>
      <c r="F219" s="558"/>
      <c r="G219" s="32"/>
      <c r="H219" s="11"/>
      <c r="I219" s="11"/>
      <c r="J219" s="11"/>
      <c r="K219" s="11"/>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row>
    <row r="220" ht="15.75" customHeight="1">
      <c r="A220" s="32"/>
      <c r="B220" s="257"/>
      <c r="C220" s="66"/>
      <c r="D220" s="32"/>
      <c r="E220" s="32"/>
      <c r="F220" s="558"/>
      <c r="G220" s="32"/>
      <c r="H220" s="11"/>
      <c r="I220" s="11"/>
      <c r="J220" s="11"/>
      <c r="K220" s="11"/>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row>
    <row r="221" ht="15.75" customHeight="1">
      <c r="A221" s="32"/>
      <c r="B221" s="257"/>
      <c r="C221" s="66"/>
      <c r="D221" s="32"/>
      <c r="E221" s="32"/>
      <c r="F221" s="558"/>
      <c r="G221" s="32"/>
      <c r="H221" s="11"/>
      <c r="I221" s="11"/>
      <c r="J221" s="11"/>
      <c r="K221" s="11"/>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row>
    <row r="222" ht="15.75" customHeight="1">
      <c r="A222" s="32"/>
      <c r="B222" s="257"/>
      <c r="C222" s="66"/>
      <c r="D222" s="32"/>
      <c r="E222" s="32"/>
      <c r="F222" s="558"/>
      <c r="G222" s="32"/>
      <c r="H222" s="11"/>
      <c r="I222" s="11"/>
      <c r="J222" s="11"/>
      <c r="K222" s="11"/>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row>
    <row r="223" ht="15.75" customHeight="1">
      <c r="A223" s="15"/>
      <c r="B223" s="260"/>
      <c r="C223" s="21"/>
      <c r="D223" s="15"/>
      <c r="E223" s="15"/>
      <c r="F223" s="262"/>
      <c r="G223" s="15"/>
      <c r="H223" s="11"/>
      <c r="I223" s="11"/>
      <c r="J223" s="11"/>
      <c r="K223" s="11"/>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row>
    <row r="224" ht="15.75" customHeight="1">
      <c r="A224" s="32"/>
      <c r="B224" s="257"/>
      <c r="C224" s="66"/>
      <c r="D224" s="32"/>
      <c r="E224" s="32"/>
      <c r="F224" s="558"/>
      <c r="G224" s="32"/>
      <c r="H224" s="11"/>
      <c r="I224" s="11"/>
      <c r="J224" s="11"/>
      <c r="K224" s="11"/>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row>
    <row r="225" ht="15.75" customHeight="1">
      <c r="A225" s="15"/>
      <c r="B225" s="260"/>
      <c r="C225" s="21"/>
      <c r="D225" s="32"/>
      <c r="E225" s="32"/>
      <c r="F225" s="262"/>
      <c r="G225" s="15"/>
      <c r="H225" s="11"/>
      <c r="I225" s="11"/>
      <c r="J225" s="11"/>
      <c r="K225" s="11"/>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row>
    <row r="226" ht="15.75" customHeight="1">
      <c r="A226" s="32"/>
      <c r="B226" s="257"/>
      <c r="C226" s="66"/>
      <c r="D226" s="32"/>
      <c r="E226" s="32"/>
      <c r="F226" s="262"/>
      <c r="G226" s="15"/>
      <c r="H226" s="11"/>
      <c r="I226" s="11"/>
      <c r="J226" s="11"/>
      <c r="K226" s="11"/>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row>
    <row r="227" ht="15.75" customHeight="1">
      <c r="A227" s="32"/>
      <c r="B227" s="257"/>
      <c r="C227" s="66"/>
      <c r="D227" s="32"/>
      <c r="E227" s="32"/>
      <c r="F227" s="262"/>
      <c r="G227" s="15"/>
      <c r="H227" s="11"/>
      <c r="I227" s="11"/>
      <c r="J227" s="11"/>
      <c r="K227" s="11"/>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row>
    <row r="228" ht="15.75" customHeight="1">
      <c r="A228" s="15"/>
      <c r="B228" s="257"/>
      <c r="C228" s="66"/>
      <c r="D228" s="32"/>
      <c r="E228" s="32"/>
      <c r="F228" s="262"/>
      <c r="G228" s="15"/>
      <c r="H228" s="11"/>
      <c r="I228" s="11"/>
      <c r="J228" s="11"/>
      <c r="K228" s="11"/>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row>
    <row r="229" ht="15.75" customHeight="1">
      <c r="A229" s="15"/>
      <c r="B229" s="260"/>
      <c r="C229" s="21"/>
      <c r="D229" s="15"/>
      <c r="E229" s="15"/>
      <c r="F229" s="262"/>
      <c r="G229" s="15"/>
      <c r="H229" s="11"/>
      <c r="I229" s="11"/>
      <c r="J229" s="11"/>
      <c r="K229" s="11"/>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ht="15.75" customHeight="1">
      <c r="A230" s="15"/>
      <c r="B230" s="257"/>
      <c r="C230" s="66"/>
      <c r="D230" s="32"/>
      <c r="E230" s="15"/>
      <c r="F230" s="262"/>
      <c r="G230" s="15"/>
      <c r="H230" s="11"/>
      <c r="I230" s="11"/>
      <c r="J230" s="11"/>
      <c r="K230" s="11"/>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row>
    <row r="231" ht="15.75" customHeight="1">
      <c r="A231" s="15"/>
      <c r="B231" s="257"/>
      <c r="C231" s="66"/>
      <c r="D231" s="32"/>
      <c r="E231" s="15"/>
      <c r="F231" s="262"/>
      <c r="G231" s="15"/>
      <c r="H231" s="11"/>
      <c r="I231" s="11"/>
      <c r="J231" s="11"/>
      <c r="K231" s="11"/>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row>
    <row r="232" ht="15.75" customHeight="1">
      <c r="A232" s="15"/>
      <c r="B232" s="260"/>
      <c r="C232" s="21"/>
      <c r="D232" s="32"/>
      <c r="E232" s="15"/>
      <c r="F232" s="262"/>
      <c r="G232" s="15"/>
      <c r="H232" s="11"/>
      <c r="I232" s="11"/>
      <c r="J232" s="11"/>
      <c r="K232" s="11"/>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row>
    <row r="233" ht="15.75" customHeight="1">
      <c r="A233" s="15"/>
      <c r="B233" s="260"/>
      <c r="C233" s="21"/>
      <c r="D233" s="15"/>
      <c r="E233" s="15"/>
      <c r="F233" s="262"/>
      <c r="G233" s="15"/>
      <c r="H233" s="11"/>
      <c r="I233" s="11"/>
      <c r="J233" s="11"/>
      <c r="K233" s="11"/>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row>
    <row r="234" ht="15.75" customHeight="1">
      <c r="A234" s="15"/>
      <c r="B234" s="260"/>
      <c r="C234" s="21"/>
      <c r="D234" s="15"/>
      <c r="E234" s="15"/>
      <c r="F234" s="262"/>
      <c r="G234" s="15"/>
      <c r="H234" s="11"/>
      <c r="I234" s="11"/>
      <c r="J234" s="11"/>
      <c r="K234" s="11"/>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row>
    <row r="235" ht="15.75" customHeight="1">
      <c r="A235" s="15"/>
      <c r="B235" s="260"/>
      <c r="C235" s="21"/>
      <c r="D235" s="32"/>
      <c r="E235" s="15"/>
      <c r="F235" s="262"/>
      <c r="G235" s="15"/>
      <c r="H235" s="11"/>
      <c r="I235" s="11"/>
      <c r="J235" s="11"/>
      <c r="K235" s="11"/>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row>
    <row r="236" ht="15.75" customHeight="1">
      <c r="A236" s="15"/>
      <c r="B236" s="257"/>
      <c r="C236" s="21"/>
      <c r="D236" s="32"/>
      <c r="E236" s="15"/>
      <c r="F236" s="262"/>
      <c r="G236" s="15"/>
      <c r="H236" s="11"/>
      <c r="I236" s="11"/>
      <c r="J236" s="11"/>
      <c r="K236" s="11"/>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row>
    <row r="237" ht="15.75" customHeight="1">
      <c r="A237" s="15"/>
      <c r="B237" s="260"/>
      <c r="C237" s="21"/>
      <c r="D237" s="15"/>
      <c r="E237" s="15"/>
      <c r="F237" s="262"/>
      <c r="G237" s="15"/>
      <c r="H237" s="11"/>
      <c r="I237" s="11"/>
      <c r="J237" s="11"/>
      <c r="K237" s="11"/>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row>
    <row r="238" ht="15.75" customHeight="1">
      <c r="A238" s="15"/>
      <c r="B238" s="260"/>
      <c r="C238" s="21"/>
      <c r="D238" s="15"/>
      <c r="E238" s="15"/>
      <c r="F238" s="262"/>
      <c r="G238" s="15"/>
      <c r="H238" s="11"/>
      <c r="I238" s="11"/>
      <c r="J238" s="11"/>
      <c r="K238" s="11"/>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row>
    <row r="239" ht="15.75" customHeight="1">
      <c r="A239" s="15"/>
      <c r="B239" s="260"/>
      <c r="C239" s="21"/>
      <c r="D239" s="15"/>
      <c r="E239" s="15"/>
      <c r="F239" s="262"/>
      <c r="G239" s="15"/>
      <c r="H239" s="11"/>
      <c r="I239" s="11"/>
      <c r="J239" s="11"/>
      <c r="K239" s="11"/>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row>
    <row r="240" ht="15.75" customHeight="1">
      <c r="A240" s="15"/>
      <c r="B240" s="260"/>
      <c r="C240" s="21"/>
      <c r="D240" s="15"/>
      <c r="E240" s="15"/>
      <c r="F240" s="262"/>
      <c r="G240" s="15"/>
      <c r="H240" s="11"/>
      <c r="I240" s="11"/>
      <c r="J240" s="11"/>
      <c r="K240" s="11"/>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row>
    <row r="241" ht="15.75" customHeight="1">
      <c r="A241" s="15"/>
      <c r="B241" s="260"/>
      <c r="C241" s="21"/>
      <c r="D241" s="15"/>
      <c r="E241" s="15"/>
      <c r="F241" s="262"/>
      <c r="G241" s="15"/>
      <c r="H241" s="11"/>
      <c r="I241" s="11"/>
      <c r="J241" s="11"/>
      <c r="K241" s="11"/>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row>
    <row r="242" ht="15.75" customHeight="1">
      <c r="A242" s="15"/>
      <c r="B242" s="260"/>
      <c r="C242" s="21"/>
      <c r="D242" s="15"/>
      <c r="E242" s="15"/>
      <c r="F242" s="262"/>
      <c r="G242" s="15"/>
      <c r="H242" s="11"/>
      <c r="I242" s="11"/>
      <c r="J242" s="11"/>
      <c r="K242" s="11"/>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row>
    <row r="243" ht="15.75" customHeight="1">
      <c r="A243" s="15"/>
      <c r="B243" s="260"/>
      <c r="C243" s="21"/>
      <c r="D243" s="15"/>
      <c r="E243" s="15"/>
      <c r="F243" s="262"/>
      <c r="G243" s="15"/>
      <c r="H243" s="11"/>
      <c r="I243" s="11"/>
      <c r="J243" s="11"/>
      <c r="K243" s="11"/>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row>
    <row r="244" ht="15.75" customHeight="1">
      <c r="A244" s="15"/>
      <c r="B244" s="260"/>
      <c r="C244" s="21"/>
      <c r="D244" s="15"/>
      <c r="E244" s="15"/>
      <c r="F244" s="262"/>
      <c r="G244" s="15"/>
      <c r="H244" s="11"/>
      <c r="I244" s="11"/>
      <c r="J244" s="11"/>
      <c r="K244" s="11"/>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row>
    <row r="245" ht="15.75" customHeight="1">
      <c r="A245" s="15"/>
      <c r="B245" s="260"/>
      <c r="C245" s="21"/>
      <c r="D245" s="15"/>
      <c r="E245" s="15"/>
      <c r="F245" s="262"/>
      <c r="G245" s="15"/>
      <c r="H245" s="11"/>
      <c r="I245" s="11"/>
      <c r="J245" s="11"/>
      <c r="K245" s="11"/>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row>
    <row r="246" ht="15.75" customHeight="1">
      <c r="A246" s="15"/>
      <c r="B246" s="260"/>
      <c r="C246" s="21"/>
      <c r="D246" s="15"/>
      <c r="E246" s="15"/>
      <c r="F246" s="262"/>
      <c r="G246" s="15"/>
      <c r="H246" s="11"/>
      <c r="I246" s="11"/>
      <c r="J246" s="11"/>
      <c r="K246" s="11"/>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row>
    <row r="247" ht="15.75" customHeight="1">
      <c r="A247" s="15"/>
      <c r="B247" s="260"/>
      <c r="C247" s="21"/>
      <c r="D247" s="15"/>
      <c r="E247" s="15"/>
      <c r="F247" s="262"/>
      <c r="G247" s="15"/>
      <c r="H247" s="11"/>
      <c r="I247" s="11"/>
      <c r="J247" s="11"/>
      <c r="K247" s="11"/>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row>
    <row r="248" ht="15.75" customHeight="1">
      <c r="A248" s="15"/>
      <c r="B248" s="260"/>
      <c r="C248" s="21"/>
      <c r="D248" s="15"/>
      <c r="E248" s="15"/>
      <c r="F248" s="262"/>
      <c r="G248" s="15"/>
      <c r="H248" s="11"/>
      <c r="I248" s="11"/>
      <c r="J248" s="11"/>
      <c r="K248" s="11"/>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row>
    <row r="249" ht="15.75" customHeight="1">
      <c r="A249" s="15"/>
      <c r="B249" s="260"/>
      <c r="C249" s="21"/>
      <c r="D249" s="15"/>
      <c r="E249" s="15"/>
      <c r="F249" s="262"/>
      <c r="G249" s="15"/>
      <c r="H249" s="11"/>
      <c r="I249" s="11"/>
      <c r="J249" s="11"/>
      <c r="K249" s="11"/>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row>
    <row r="250" ht="15.75" customHeight="1">
      <c r="A250" s="15"/>
      <c r="B250" s="260"/>
      <c r="C250" s="21"/>
      <c r="D250" s="15"/>
      <c r="E250" s="15"/>
      <c r="F250" s="262"/>
      <c r="G250" s="15"/>
      <c r="H250" s="11"/>
      <c r="I250" s="11"/>
      <c r="J250" s="11"/>
      <c r="K250" s="11"/>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row>
    <row r="251" ht="15.75" customHeight="1">
      <c r="A251" s="15"/>
      <c r="B251" s="260"/>
      <c r="C251" s="21"/>
      <c r="D251" s="15"/>
      <c r="E251" s="15"/>
      <c r="F251" s="262"/>
      <c r="G251" s="15"/>
      <c r="H251" s="11"/>
      <c r="I251" s="11"/>
      <c r="J251" s="11"/>
      <c r="K251" s="11"/>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row>
    <row r="252" ht="15.75" customHeight="1">
      <c r="A252" s="15"/>
      <c r="B252" s="260"/>
      <c r="C252" s="21"/>
      <c r="D252" s="15"/>
      <c r="E252" s="15"/>
      <c r="F252" s="262"/>
      <c r="G252" s="15"/>
      <c r="H252" s="11"/>
      <c r="I252" s="11"/>
      <c r="J252" s="11"/>
      <c r="K252" s="11"/>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row>
    <row r="253" ht="15.75" customHeight="1">
      <c r="A253" s="15"/>
      <c r="B253" s="260"/>
      <c r="C253" s="21"/>
      <c r="D253" s="15"/>
      <c r="E253" s="15"/>
      <c r="F253" s="262"/>
      <c r="G253" s="15"/>
      <c r="H253" s="11"/>
      <c r="I253" s="11"/>
      <c r="J253" s="11"/>
      <c r="K253" s="11"/>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row>
    <row r="254" ht="15.75" customHeight="1">
      <c r="A254" s="15"/>
      <c r="B254" s="260"/>
      <c r="C254" s="21"/>
      <c r="D254" s="15"/>
      <c r="E254" s="15"/>
      <c r="F254" s="262"/>
      <c r="G254" s="15"/>
      <c r="H254" s="11"/>
      <c r="I254" s="11"/>
      <c r="J254" s="11"/>
      <c r="K254" s="11"/>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row>
    <row r="255" ht="15.75" customHeight="1">
      <c r="A255" s="15"/>
      <c r="B255" s="260"/>
      <c r="C255" s="21"/>
      <c r="D255" s="15"/>
      <c r="E255" s="15"/>
      <c r="F255" s="262"/>
      <c r="G255" s="15"/>
      <c r="H255" s="11"/>
      <c r="I255" s="11"/>
      <c r="J255" s="11"/>
      <c r="K255" s="11"/>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row>
    <row r="256" ht="15.75" customHeight="1">
      <c r="A256" s="15"/>
      <c r="B256" s="260"/>
      <c r="C256" s="21"/>
      <c r="D256" s="15"/>
      <c r="E256" s="15"/>
      <c r="F256" s="262"/>
      <c r="G256" s="15"/>
      <c r="H256" s="11"/>
      <c r="I256" s="11"/>
      <c r="J256" s="11"/>
      <c r="K256" s="11"/>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row>
    <row r="257" ht="15.75" customHeight="1">
      <c r="A257" s="15"/>
      <c r="B257" s="260"/>
      <c r="C257" s="21"/>
      <c r="D257" s="15"/>
      <c r="E257" s="15"/>
      <c r="F257" s="262"/>
      <c r="G257" s="15"/>
      <c r="H257" s="11"/>
      <c r="I257" s="11"/>
      <c r="J257" s="11"/>
      <c r="K257" s="11"/>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row>
    <row r="258" ht="15.75" customHeight="1">
      <c r="A258" s="15"/>
      <c r="B258" s="260"/>
      <c r="C258" s="21"/>
      <c r="D258" s="15"/>
      <c r="E258" s="15"/>
      <c r="F258" s="262"/>
      <c r="G258" s="15"/>
      <c r="H258" s="11"/>
      <c r="I258" s="11"/>
      <c r="J258" s="11"/>
      <c r="K258" s="11"/>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row>
    <row r="259" ht="15.75" customHeight="1">
      <c r="A259" s="15"/>
      <c r="B259" s="260"/>
      <c r="C259" s="21"/>
      <c r="D259" s="15"/>
      <c r="E259" s="15"/>
      <c r="F259" s="262"/>
      <c r="G259" s="15"/>
      <c r="H259" s="11"/>
      <c r="I259" s="11"/>
      <c r="J259" s="11"/>
      <c r="K259" s="11"/>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row>
    <row r="260" ht="15.75" customHeight="1">
      <c r="A260" s="15"/>
      <c r="B260" s="260"/>
      <c r="C260" s="21"/>
      <c r="D260" s="15"/>
      <c r="E260" s="15"/>
      <c r="F260" s="262"/>
      <c r="G260" s="15"/>
      <c r="H260" s="11"/>
      <c r="I260" s="11"/>
      <c r="J260" s="11"/>
      <c r="K260" s="11"/>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row>
    <row r="261" ht="15.75" customHeight="1">
      <c r="A261" s="15"/>
      <c r="B261" s="260"/>
      <c r="C261" s="21"/>
      <c r="D261" s="15"/>
      <c r="E261" s="15"/>
      <c r="F261" s="262"/>
      <c r="G261" s="15"/>
      <c r="H261" s="11"/>
      <c r="I261" s="11"/>
      <c r="J261" s="11"/>
      <c r="K261" s="11"/>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row>
    <row r="262" ht="15.75" customHeight="1">
      <c r="A262" s="15"/>
      <c r="B262" s="260"/>
      <c r="C262" s="21"/>
      <c r="D262" s="15"/>
      <c r="E262" s="15"/>
      <c r="F262" s="262"/>
      <c r="G262" s="15"/>
      <c r="H262" s="11"/>
      <c r="I262" s="11"/>
      <c r="J262" s="11"/>
      <c r="K262" s="11"/>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row>
    <row r="263" ht="15.75" customHeight="1">
      <c r="A263" s="15"/>
      <c r="B263" s="260"/>
      <c r="C263" s="21"/>
      <c r="D263" s="15"/>
      <c r="E263" s="15"/>
      <c r="F263" s="262"/>
      <c r="G263" s="15"/>
      <c r="H263" s="11"/>
      <c r="I263" s="11"/>
      <c r="J263" s="11"/>
      <c r="K263" s="11"/>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row>
    <row r="264" ht="15.75" customHeight="1">
      <c r="A264" s="15"/>
      <c r="B264" s="260"/>
      <c r="C264" s="21"/>
      <c r="D264" s="15"/>
      <c r="E264" s="15"/>
      <c r="F264" s="262"/>
      <c r="G264" s="15"/>
      <c r="H264" s="11"/>
      <c r="I264" s="11"/>
      <c r="J264" s="11"/>
      <c r="K264" s="11"/>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row>
    <row r="265" ht="15.75" customHeight="1">
      <c r="A265" s="15"/>
      <c r="B265" s="260"/>
      <c r="C265" s="21"/>
      <c r="D265" s="15"/>
      <c r="E265" s="15"/>
      <c r="F265" s="262"/>
      <c r="G265" s="15"/>
      <c r="H265" s="11"/>
      <c r="I265" s="11"/>
      <c r="J265" s="11"/>
      <c r="K265" s="11"/>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row>
    <row r="266" ht="15.75" customHeight="1">
      <c r="A266" s="15"/>
      <c r="B266" s="260"/>
      <c r="C266" s="21"/>
      <c r="D266" s="15"/>
      <c r="E266" s="15"/>
      <c r="F266" s="262"/>
      <c r="G266" s="15"/>
      <c r="H266" s="11"/>
      <c r="I266" s="11"/>
      <c r="J266" s="11"/>
      <c r="K266" s="11"/>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row>
    <row r="267" ht="15.75" customHeight="1">
      <c r="A267" s="15"/>
      <c r="B267" s="260"/>
      <c r="C267" s="21"/>
      <c r="D267" s="15"/>
      <c r="E267" s="15"/>
      <c r="F267" s="262"/>
      <c r="G267" s="15"/>
      <c r="H267" s="11"/>
      <c r="I267" s="11"/>
      <c r="J267" s="11"/>
      <c r="K267" s="11"/>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row>
    <row r="268" ht="15.75" customHeight="1">
      <c r="A268" s="15"/>
      <c r="B268" s="260"/>
      <c r="C268" s="21"/>
      <c r="D268" s="15"/>
      <c r="E268" s="15"/>
      <c r="F268" s="262"/>
      <c r="G268" s="15"/>
      <c r="H268" s="11"/>
      <c r="I268" s="11"/>
      <c r="J268" s="11"/>
      <c r="K268" s="11"/>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row>
    <row r="269" ht="15.75" customHeight="1">
      <c r="A269" s="15"/>
      <c r="B269" s="260"/>
      <c r="C269" s="21"/>
      <c r="D269" s="15"/>
      <c r="E269" s="15"/>
      <c r="F269" s="262"/>
      <c r="G269" s="15"/>
      <c r="H269" s="11"/>
      <c r="I269" s="11"/>
      <c r="J269" s="11"/>
      <c r="K269" s="11"/>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row>
    <row r="270" ht="15.75" customHeight="1">
      <c r="A270" s="15"/>
      <c r="B270" s="260"/>
      <c r="C270" s="21"/>
      <c r="D270" s="15"/>
      <c r="E270" s="15"/>
      <c r="F270" s="262"/>
      <c r="G270" s="15"/>
      <c r="H270" s="11"/>
      <c r="I270" s="11"/>
      <c r="J270" s="11"/>
      <c r="K270" s="11"/>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row>
    <row r="271" ht="15.75" customHeight="1">
      <c r="A271" s="15"/>
      <c r="B271" s="260"/>
      <c r="C271" s="21"/>
      <c r="D271" s="15"/>
      <c r="E271" s="15"/>
      <c r="F271" s="262"/>
      <c r="G271" s="15"/>
      <c r="H271" s="11"/>
      <c r="I271" s="11"/>
      <c r="J271" s="11"/>
      <c r="K271" s="11"/>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row>
    <row r="272" ht="15.75" customHeight="1">
      <c r="A272" s="15"/>
      <c r="B272" s="260"/>
      <c r="C272" s="21"/>
      <c r="D272" s="15"/>
      <c r="E272" s="15"/>
      <c r="F272" s="262"/>
      <c r="G272" s="15"/>
      <c r="H272" s="11"/>
      <c r="I272" s="11"/>
      <c r="J272" s="11"/>
      <c r="K272" s="11"/>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row>
    <row r="273" ht="15.75" customHeight="1">
      <c r="A273" s="15"/>
      <c r="B273" s="260"/>
      <c r="C273" s="21"/>
      <c r="D273" s="15"/>
      <c r="E273" s="15"/>
      <c r="F273" s="262"/>
      <c r="G273" s="15"/>
      <c r="H273" s="11"/>
      <c r="I273" s="11"/>
      <c r="J273" s="11"/>
      <c r="K273" s="11"/>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row>
    <row r="274" ht="15.75" customHeight="1">
      <c r="A274" s="15"/>
      <c r="B274" s="260"/>
      <c r="C274" s="21"/>
      <c r="D274" s="15"/>
      <c r="E274" s="15"/>
      <c r="F274" s="262"/>
      <c r="G274" s="15"/>
      <c r="H274" s="11"/>
      <c r="I274" s="11"/>
      <c r="J274" s="11"/>
      <c r="K274" s="11"/>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row>
    <row r="275" ht="15.75" customHeight="1">
      <c r="A275" s="15"/>
      <c r="B275" s="260"/>
      <c r="C275" s="21"/>
      <c r="D275" s="15"/>
      <c r="E275" s="15"/>
      <c r="F275" s="262"/>
      <c r="G275" s="15"/>
      <c r="H275" s="11"/>
      <c r="I275" s="11"/>
      <c r="J275" s="11"/>
      <c r="K275" s="11"/>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row>
    <row r="276" ht="15.75" customHeight="1">
      <c r="A276" s="15"/>
      <c r="B276" s="260"/>
      <c r="C276" s="21"/>
      <c r="D276" s="15"/>
      <c r="E276" s="15"/>
      <c r="F276" s="262"/>
      <c r="G276" s="15"/>
      <c r="H276" s="11"/>
      <c r="I276" s="11"/>
      <c r="J276" s="11"/>
      <c r="K276" s="11"/>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row>
    <row r="277" ht="15.75" customHeight="1">
      <c r="A277" s="15"/>
      <c r="B277" s="260"/>
      <c r="C277" s="21"/>
      <c r="D277" s="15"/>
      <c r="E277" s="15"/>
      <c r="F277" s="262"/>
      <c r="G277" s="15"/>
      <c r="H277" s="11"/>
      <c r="I277" s="11"/>
      <c r="J277" s="11"/>
      <c r="K277" s="11"/>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row>
    <row r="278" ht="15.75" customHeight="1">
      <c r="A278" s="15"/>
      <c r="B278" s="260"/>
      <c r="C278" s="21"/>
      <c r="D278" s="15"/>
      <c r="E278" s="15"/>
      <c r="F278" s="262"/>
      <c r="G278" s="15"/>
      <c r="H278" s="11"/>
      <c r="I278" s="11"/>
      <c r="J278" s="11"/>
      <c r="K278" s="11"/>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row>
    <row r="279" ht="15.75" customHeight="1">
      <c r="A279" s="15"/>
      <c r="B279" s="260"/>
      <c r="C279" s="21"/>
      <c r="D279" s="15"/>
      <c r="E279" s="15"/>
      <c r="F279" s="262"/>
      <c r="G279" s="15"/>
      <c r="H279" s="11"/>
      <c r="I279" s="11"/>
      <c r="J279" s="11"/>
      <c r="K279" s="11"/>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row>
    <row r="280" ht="15.75" customHeight="1">
      <c r="A280" s="15"/>
      <c r="B280" s="260"/>
      <c r="C280" s="21"/>
      <c r="D280" s="15"/>
      <c r="E280" s="15"/>
      <c r="F280" s="262"/>
      <c r="G280" s="15"/>
      <c r="H280" s="11"/>
      <c r="I280" s="11"/>
      <c r="J280" s="11"/>
      <c r="K280" s="11"/>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row>
    <row r="281" ht="15.75" customHeight="1">
      <c r="A281" s="15"/>
      <c r="B281" s="260"/>
      <c r="C281" s="21"/>
      <c r="D281" s="15"/>
      <c r="E281" s="15"/>
      <c r="F281" s="262"/>
      <c r="G281" s="15"/>
      <c r="H281" s="11"/>
      <c r="I281" s="11"/>
      <c r="J281" s="11"/>
      <c r="K281" s="11"/>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row>
    <row r="282" ht="15.75" customHeight="1">
      <c r="A282" s="15"/>
      <c r="B282" s="260"/>
      <c r="C282" s="21"/>
      <c r="D282" s="15"/>
      <c r="E282" s="15"/>
      <c r="F282" s="262"/>
      <c r="G282" s="15"/>
      <c r="H282" s="11"/>
      <c r="I282" s="11"/>
      <c r="J282" s="11"/>
      <c r="K282" s="11"/>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row>
    <row r="283" ht="15.75" customHeight="1">
      <c r="A283" s="15"/>
      <c r="B283" s="260"/>
      <c r="C283" s="21"/>
      <c r="D283" s="15"/>
      <c r="E283" s="15"/>
      <c r="F283" s="262"/>
      <c r="G283" s="15"/>
      <c r="H283" s="11"/>
      <c r="I283" s="11"/>
      <c r="J283" s="11"/>
      <c r="K283" s="11"/>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row>
    <row r="284" ht="15.75" customHeight="1">
      <c r="A284" s="15"/>
      <c r="B284" s="260"/>
      <c r="C284" s="21"/>
      <c r="D284" s="15"/>
      <c r="E284" s="15"/>
      <c r="F284" s="262"/>
      <c r="G284" s="15"/>
      <c r="H284" s="11"/>
      <c r="I284" s="11"/>
      <c r="J284" s="11"/>
      <c r="K284" s="11"/>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row>
    <row r="285" ht="15.75" customHeight="1">
      <c r="A285" s="15"/>
      <c r="B285" s="260"/>
      <c r="C285" s="21"/>
      <c r="D285" s="15"/>
      <c r="E285" s="15"/>
      <c r="F285" s="262"/>
      <c r="G285" s="15"/>
      <c r="H285" s="11"/>
      <c r="I285" s="11"/>
      <c r="J285" s="11"/>
      <c r="K285" s="11"/>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row>
    <row r="286" ht="15.75" customHeight="1">
      <c r="A286" s="15"/>
      <c r="B286" s="260"/>
      <c r="C286" s="21"/>
      <c r="D286" s="15"/>
      <c r="E286" s="15"/>
      <c r="F286" s="262"/>
      <c r="G286" s="15"/>
      <c r="H286" s="11"/>
      <c r="I286" s="11"/>
      <c r="J286" s="11"/>
      <c r="K286" s="11"/>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row>
    <row r="287" ht="15.75" customHeight="1">
      <c r="A287" s="15"/>
      <c r="B287" s="260"/>
      <c r="C287" s="21"/>
      <c r="D287" s="15"/>
      <c r="E287" s="15"/>
      <c r="F287" s="262"/>
      <c r="G287" s="15"/>
      <c r="H287" s="11"/>
      <c r="I287" s="11"/>
      <c r="J287" s="11"/>
      <c r="K287" s="11"/>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row>
    <row r="288" ht="15.75" customHeight="1">
      <c r="A288" s="15"/>
      <c r="B288" s="260"/>
      <c r="C288" s="21"/>
      <c r="D288" s="15"/>
      <c r="E288" s="15"/>
      <c r="F288" s="262"/>
      <c r="G288" s="15"/>
      <c r="H288" s="11"/>
      <c r="I288" s="11"/>
      <c r="J288" s="11"/>
      <c r="K288" s="11"/>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row>
    <row r="289" ht="15.75" customHeight="1">
      <c r="A289" s="15"/>
      <c r="B289" s="260"/>
      <c r="C289" s="21"/>
      <c r="D289" s="15"/>
      <c r="E289" s="15"/>
      <c r="F289" s="262"/>
      <c r="G289" s="15"/>
      <c r="H289" s="11"/>
      <c r="I289" s="11"/>
      <c r="J289" s="11"/>
      <c r="K289" s="11"/>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row>
    <row r="290" ht="15.75" customHeight="1">
      <c r="A290" s="15"/>
      <c r="B290" s="260"/>
      <c r="C290" s="21"/>
      <c r="D290" s="15"/>
      <c r="E290" s="15"/>
      <c r="F290" s="262"/>
      <c r="G290" s="15"/>
      <c r="H290" s="11"/>
      <c r="I290" s="11"/>
      <c r="J290" s="11"/>
      <c r="K290" s="11"/>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row>
    <row r="291" ht="15.75" customHeight="1">
      <c r="A291" s="15"/>
      <c r="B291" s="260"/>
      <c r="C291" s="21"/>
      <c r="D291" s="15"/>
      <c r="E291" s="15"/>
      <c r="F291" s="262"/>
      <c r="G291" s="15"/>
      <c r="H291" s="11"/>
      <c r="I291" s="11"/>
      <c r="J291" s="11"/>
      <c r="K291" s="11"/>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row>
    <row r="292" ht="15.75" customHeight="1">
      <c r="A292" s="15"/>
      <c r="B292" s="260"/>
      <c r="C292" s="21"/>
      <c r="D292" s="15"/>
      <c r="E292" s="15"/>
      <c r="F292" s="262"/>
      <c r="G292" s="15"/>
      <c r="H292" s="11"/>
      <c r="I292" s="11"/>
      <c r="J292" s="11"/>
      <c r="K292" s="11"/>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row>
    <row r="293" ht="15.75" customHeight="1">
      <c r="A293" s="15"/>
      <c r="B293" s="260"/>
      <c r="C293" s="21"/>
      <c r="D293" s="15"/>
      <c r="E293" s="15"/>
      <c r="F293" s="262"/>
      <c r="G293" s="15"/>
      <c r="H293" s="11"/>
      <c r="I293" s="11"/>
      <c r="J293" s="11"/>
      <c r="K293" s="11"/>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row>
    <row r="294" ht="15.75" customHeight="1">
      <c r="A294" s="15"/>
      <c r="B294" s="260"/>
      <c r="C294" s="21"/>
      <c r="D294" s="15"/>
      <c r="E294" s="15"/>
      <c r="F294" s="262"/>
      <c r="G294" s="15"/>
      <c r="H294" s="11"/>
      <c r="I294" s="11"/>
      <c r="J294" s="11"/>
      <c r="K294" s="11"/>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row>
    <row r="295" ht="15.75" customHeight="1">
      <c r="A295" s="15"/>
      <c r="B295" s="260"/>
      <c r="C295" s="21"/>
      <c r="D295" s="15"/>
      <c r="E295" s="15"/>
      <c r="F295" s="262"/>
      <c r="G295" s="15"/>
      <c r="H295" s="11"/>
      <c r="I295" s="11"/>
      <c r="J295" s="11"/>
      <c r="K295" s="11"/>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row>
    <row r="296" ht="15.75" customHeight="1">
      <c r="A296" s="15"/>
      <c r="B296" s="260"/>
      <c r="C296" s="21"/>
      <c r="D296" s="15"/>
      <c r="E296" s="15"/>
      <c r="F296" s="262"/>
      <c r="G296" s="15"/>
      <c r="H296" s="11"/>
      <c r="I296" s="11"/>
      <c r="J296" s="11"/>
      <c r="K296" s="11"/>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row>
    <row r="297" ht="15.75" customHeight="1">
      <c r="A297" s="15"/>
      <c r="B297" s="260"/>
      <c r="C297" s="21"/>
      <c r="D297" s="15"/>
      <c r="E297" s="15"/>
      <c r="F297" s="262"/>
      <c r="G297" s="15"/>
      <c r="H297" s="11"/>
      <c r="I297" s="11"/>
      <c r="J297" s="11"/>
      <c r="K297" s="11"/>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row>
    <row r="298" ht="15.75" customHeight="1">
      <c r="A298" s="15"/>
      <c r="B298" s="260"/>
      <c r="C298" s="21"/>
      <c r="D298" s="15"/>
      <c r="E298" s="15"/>
      <c r="F298" s="262"/>
      <c r="G298" s="15"/>
      <c r="H298" s="11"/>
      <c r="I298" s="11"/>
      <c r="J298" s="11"/>
      <c r="K298" s="11"/>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row>
    <row r="299" ht="15.75" customHeight="1">
      <c r="A299" s="15"/>
      <c r="B299" s="260"/>
      <c r="C299" s="21"/>
      <c r="D299" s="15"/>
      <c r="E299" s="15"/>
      <c r="F299" s="262"/>
      <c r="G299" s="15"/>
      <c r="H299" s="11"/>
      <c r="I299" s="11"/>
      <c r="J299" s="11"/>
      <c r="K299" s="11"/>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row>
    <row r="300" ht="15.75" customHeight="1">
      <c r="A300" s="15"/>
      <c r="B300" s="260"/>
      <c r="C300" s="21"/>
      <c r="D300" s="15"/>
      <c r="E300" s="15"/>
      <c r="F300" s="262"/>
      <c r="G300" s="15"/>
      <c r="H300" s="11"/>
      <c r="I300" s="11"/>
      <c r="J300" s="11"/>
      <c r="K300" s="11"/>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row>
    <row r="301" ht="15.75" customHeight="1">
      <c r="A301" s="15"/>
      <c r="B301" s="260"/>
      <c r="C301" s="21"/>
      <c r="D301" s="15"/>
      <c r="E301" s="15"/>
      <c r="F301" s="262"/>
      <c r="G301" s="15"/>
      <c r="H301" s="11"/>
      <c r="I301" s="11"/>
      <c r="J301" s="11"/>
      <c r="K301" s="11"/>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row>
    <row r="302" ht="15.75" customHeight="1">
      <c r="A302" s="15"/>
      <c r="B302" s="260"/>
      <c r="C302" s="21"/>
      <c r="D302" s="15"/>
      <c r="E302" s="15"/>
      <c r="F302" s="262"/>
      <c r="G302" s="15"/>
      <c r="H302" s="11"/>
      <c r="I302" s="11"/>
      <c r="J302" s="11"/>
      <c r="K302" s="11"/>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row>
    <row r="303" ht="15.75" customHeight="1">
      <c r="A303" s="15"/>
      <c r="B303" s="260"/>
      <c r="C303" s="21"/>
      <c r="D303" s="15"/>
      <c r="E303" s="15"/>
      <c r="F303" s="262"/>
      <c r="G303" s="15"/>
      <c r="H303" s="11"/>
      <c r="I303" s="11"/>
      <c r="J303" s="11"/>
      <c r="K303" s="11"/>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row>
    <row r="304" ht="15.75" customHeight="1">
      <c r="A304" s="15"/>
      <c r="B304" s="260"/>
      <c r="C304" s="21"/>
      <c r="D304" s="15"/>
      <c r="E304" s="15"/>
      <c r="F304" s="262"/>
      <c r="G304" s="15"/>
      <c r="H304" s="11"/>
      <c r="I304" s="11"/>
      <c r="J304" s="11"/>
      <c r="K304" s="11"/>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row>
    <row r="305" ht="15.75" customHeight="1">
      <c r="A305" s="15"/>
      <c r="B305" s="260"/>
      <c r="C305" s="21"/>
      <c r="D305" s="15"/>
      <c r="E305" s="15"/>
      <c r="F305" s="262"/>
      <c r="G305" s="15"/>
      <c r="H305" s="11"/>
      <c r="I305" s="11"/>
      <c r="J305" s="11"/>
      <c r="K305" s="11"/>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row>
    <row r="306" ht="15.75" customHeight="1">
      <c r="A306" s="15"/>
      <c r="B306" s="260"/>
      <c r="C306" s="21"/>
      <c r="D306" s="15"/>
      <c r="E306" s="15"/>
      <c r="F306" s="262"/>
      <c r="G306" s="15"/>
      <c r="H306" s="11"/>
      <c r="I306" s="11"/>
      <c r="J306" s="11"/>
      <c r="K306" s="11"/>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row>
    <row r="307" ht="15.75" customHeight="1">
      <c r="A307" s="15"/>
      <c r="B307" s="260"/>
      <c r="C307" s="21"/>
      <c r="D307" s="15"/>
      <c r="E307" s="15"/>
      <c r="F307" s="262"/>
      <c r="G307" s="15"/>
      <c r="H307" s="11"/>
      <c r="I307" s="11"/>
      <c r="J307" s="11"/>
      <c r="K307" s="11"/>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row>
    <row r="308" ht="15.75" customHeight="1">
      <c r="A308" s="15"/>
      <c r="B308" s="260"/>
      <c r="C308" s="21"/>
      <c r="D308" s="15"/>
      <c r="E308" s="15"/>
      <c r="F308" s="262"/>
      <c r="G308" s="15"/>
      <c r="H308" s="11"/>
      <c r="I308" s="11"/>
      <c r="J308" s="11"/>
      <c r="K308" s="11"/>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row>
    <row r="309" ht="15.75" customHeight="1">
      <c r="A309" s="15"/>
      <c r="B309" s="260"/>
      <c r="C309" s="21"/>
      <c r="D309" s="15"/>
      <c r="E309" s="15"/>
      <c r="F309" s="262"/>
      <c r="G309" s="15"/>
      <c r="H309" s="11"/>
      <c r="I309" s="11"/>
      <c r="J309" s="11"/>
      <c r="K309" s="11"/>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row>
    <row r="310" ht="15.75" customHeight="1">
      <c r="A310" s="15"/>
      <c r="B310" s="260"/>
      <c r="C310" s="21"/>
      <c r="D310" s="15"/>
      <c r="E310" s="15"/>
      <c r="F310" s="262"/>
      <c r="G310" s="15"/>
      <c r="H310" s="11"/>
      <c r="I310" s="11"/>
      <c r="J310" s="11"/>
      <c r="K310" s="11"/>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row>
    <row r="311" ht="15.75" customHeight="1">
      <c r="A311" s="15"/>
      <c r="B311" s="260"/>
      <c r="C311" s="21"/>
      <c r="D311" s="15"/>
      <c r="E311" s="15"/>
      <c r="F311" s="262"/>
      <c r="G311" s="15"/>
      <c r="H311" s="11"/>
      <c r="I311" s="11"/>
      <c r="J311" s="11"/>
      <c r="K311" s="11"/>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row>
    <row r="312" ht="15.75" customHeight="1">
      <c r="A312" s="15"/>
      <c r="B312" s="260"/>
      <c r="C312" s="21"/>
      <c r="D312" s="15"/>
      <c r="E312" s="15"/>
      <c r="F312" s="262"/>
      <c r="G312" s="15"/>
      <c r="H312" s="11"/>
      <c r="I312" s="11"/>
      <c r="J312" s="11"/>
      <c r="K312" s="11"/>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row>
    <row r="313" ht="15.75" customHeight="1">
      <c r="A313" s="15"/>
      <c r="B313" s="260"/>
      <c r="C313" s="21"/>
      <c r="D313" s="15"/>
      <c r="E313" s="15"/>
      <c r="F313" s="262"/>
      <c r="G313" s="15"/>
      <c r="H313" s="11"/>
      <c r="I313" s="11"/>
      <c r="J313" s="11"/>
      <c r="K313" s="11"/>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row>
    <row r="314" ht="15.75" customHeight="1">
      <c r="A314" s="15"/>
      <c r="B314" s="260"/>
      <c r="C314" s="21"/>
      <c r="D314" s="15"/>
      <c r="E314" s="15"/>
      <c r="F314" s="262"/>
      <c r="G314" s="15"/>
      <c r="H314" s="11"/>
      <c r="I314" s="11"/>
      <c r="J314" s="11"/>
      <c r="K314" s="11"/>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row>
    <row r="315" ht="15.75" customHeight="1">
      <c r="A315" s="15"/>
      <c r="B315" s="260"/>
      <c r="C315" s="21"/>
      <c r="D315" s="15"/>
      <c r="E315" s="15"/>
      <c r="F315" s="262"/>
      <c r="G315" s="15"/>
      <c r="H315" s="11"/>
      <c r="I315" s="11"/>
      <c r="J315" s="11"/>
      <c r="K315" s="11"/>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row>
    <row r="316" ht="15.75" customHeight="1">
      <c r="A316" s="15"/>
      <c r="B316" s="260"/>
      <c r="C316" s="21"/>
      <c r="D316" s="15"/>
      <c r="E316" s="15"/>
      <c r="F316" s="262"/>
      <c r="G316" s="15"/>
      <c r="H316" s="11"/>
      <c r="I316" s="11"/>
      <c r="J316" s="11"/>
      <c r="K316" s="11"/>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row>
    <row r="317" ht="15.75" customHeight="1">
      <c r="A317" s="15"/>
      <c r="B317" s="260"/>
      <c r="C317" s="21"/>
      <c r="D317" s="15"/>
      <c r="E317" s="15"/>
      <c r="F317" s="262"/>
      <c r="G317" s="15"/>
      <c r="H317" s="11"/>
      <c r="I317" s="11"/>
      <c r="J317" s="11"/>
      <c r="K317" s="11"/>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row>
    <row r="318" ht="15.75" customHeight="1">
      <c r="A318" s="15"/>
      <c r="B318" s="260"/>
      <c r="C318" s="21"/>
      <c r="D318" s="15"/>
      <c r="E318" s="15"/>
      <c r="F318" s="262"/>
      <c r="G318" s="15"/>
      <c r="H318" s="11"/>
      <c r="I318" s="11"/>
      <c r="J318" s="11"/>
      <c r="K318" s="11"/>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row>
    <row r="319" ht="15.75" customHeight="1">
      <c r="A319" s="15"/>
      <c r="B319" s="260"/>
      <c r="C319" s="21"/>
      <c r="D319" s="15"/>
      <c r="E319" s="15"/>
      <c r="F319" s="262"/>
      <c r="G319" s="15"/>
      <c r="H319" s="11"/>
      <c r="I319" s="11"/>
      <c r="J319" s="11"/>
      <c r="K319" s="11"/>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row>
    <row r="320" ht="15.75" customHeight="1">
      <c r="A320" s="15"/>
      <c r="B320" s="260"/>
      <c r="C320" s="21"/>
      <c r="D320" s="15"/>
      <c r="E320" s="15"/>
      <c r="F320" s="262"/>
      <c r="G320" s="15"/>
      <c r="H320" s="11"/>
      <c r="I320" s="11"/>
      <c r="J320" s="11"/>
      <c r="K320" s="11"/>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row>
    <row r="321" ht="15.75" customHeight="1">
      <c r="A321" s="15"/>
      <c r="B321" s="260"/>
      <c r="C321" s="21"/>
      <c r="D321" s="15"/>
      <c r="E321" s="15"/>
      <c r="F321" s="262"/>
      <c r="G321" s="15"/>
      <c r="H321" s="11"/>
      <c r="I321" s="11"/>
      <c r="J321" s="11"/>
      <c r="K321" s="11"/>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row>
    <row r="322" ht="15.75" customHeight="1">
      <c r="A322" s="15"/>
      <c r="B322" s="260"/>
      <c r="C322" s="21"/>
      <c r="D322" s="15"/>
      <c r="E322" s="15"/>
      <c r="F322" s="262"/>
      <c r="G322" s="15"/>
      <c r="H322" s="11"/>
      <c r="I322" s="11"/>
      <c r="J322" s="11"/>
      <c r="K322" s="11"/>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row>
    <row r="323" ht="15.75" customHeight="1">
      <c r="A323" s="15"/>
      <c r="B323" s="260"/>
      <c r="C323" s="21"/>
      <c r="D323" s="15"/>
      <c r="E323" s="15"/>
      <c r="F323" s="262"/>
      <c r="G323" s="15"/>
      <c r="H323" s="11"/>
      <c r="I323" s="11"/>
      <c r="J323" s="11"/>
      <c r="K323" s="11"/>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row>
    <row r="324" ht="15.75" customHeight="1">
      <c r="A324" s="15"/>
      <c r="B324" s="260"/>
      <c r="C324" s="21"/>
      <c r="D324" s="15"/>
      <c r="E324" s="15"/>
      <c r="F324" s="262"/>
      <c r="G324" s="15"/>
      <c r="H324" s="11"/>
      <c r="I324" s="11"/>
      <c r="J324" s="11"/>
      <c r="K324" s="11"/>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row>
    <row r="325" ht="15.75" customHeight="1">
      <c r="A325" s="15"/>
      <c r="B325" s="260"/>
      <c r="C325" s="21"/>
      <c r="D325" s="15"/>
      <c r="E325" s="15"/>
      <c r="F325" s="262"/>
      <c r="G325" s="15"/>
      <c r="H325" s="11"/>
      <c r="I325" s="11"/>
      <c r="J325" s="11"/>
      <c r="K325" s="11"/>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row>
    <row r="326" ht="15.75" customHeight="1">
      <c r="A326" s="15"/>
      <c r="B326" s="260"/>
      <c r="C326" s="21"/>
      <c r="D326" s="15"/>
      <c r="E326" s="15"/>
      <c r="F326" s="262"/>
      <c r="G326" s="15"/>
      <c r="H326" s="11"/>
      <c r="I326" s="11"/>
      <c r="J326" s="11"/>
      <c r="K326" s="11"/>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row>
    <row r="327" ht="15.75" customHeight="1">
      <c r="A327" s="15"/>
      <c r="B327" s="260"/>
      <c r="C327" s="21"/>
      <c r="D327" s="15"/>
      <c r="E327" s="15"/>
      <c r="F327" s="262"/>
      <c r="G327" s="15"/>
      <c r="H327" s="11"/>
      <c r="I327" s="11"/>
      <c r="J327" s="11"/>
      <c r="K327" s="11"/>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row>
    <row r="328" ht="15.75" customHeight="1">
      <c r="A328" s="15"/>
      <c r="B328" s="260"/>
      <c r="C328" s="21"/>
      <c r="D328" s="15"/>
      <c r="E328" s="15"/>
      <c r="F328" s="262"/>
      <c r="G328" s="15"/>
      <c r="H328" s="11"/>
      <c r="I328" s="11"/>
      <c r="J328" s="11"/>
      <c r="K328" s="11"/>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row>
    <row r="329" ht="15.75" customHeight="1">
      <c r="A329" s="15"/>
      <c r="B329" s="260"/>
      <c r="C329" s="21"/>
      <c r="D329" s="15"/>
      <c r="E329" s="15"/>
      <c r="F329" s="262"/>
      <c r="G329" s="15"/>
      <c r="H329" s="11"/>
      <c r="I329" s="11"/>
      <c r="J329" s="11"/>
      <c r="K329" s="11"/>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row>
    <row r="330" ht="15.75" customHeight="1">
      <c r="A330" s="15"/>
      <c r="B330" s="260"/>
      <c r="C330" s="21"/>
      <c r="D330" s="15"/>
      <c r="E330" s="15"/>
      <c r="F330" s="262"/>
      <c r="G330" s="15"/>
      <c r="H330" s="11"/>
      <c r="I330" s="11"/>
      <c r="J330" s="11"/>
      <c r="K330" s="11"/>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row>
    <row r="331" ht="15.75" customHeight="1">
      <c r="A331" s="15"/>
      <c r="B331" s="260"/>
      <c r="C331" s="21"/>
      <c r="D331" s="15"/>
      <c r="E331" s="15"/>
      <c r="F331" s="262"/>
      <c r="G331" s="15"/>
      <c r="H331" s="11"/>
      <c r="I331" s="11"/>
      <c r="J331" s="11"/>
      <c r="K331" s="11"/>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row>
    <row r="332" ht="15.75" customHeight="1">
      <c r="A332" s="15"/>
      <c r="B332" s="260"/>
      <c r="C332" s="21"/>
      <c r="D332" s="15"/>
      <c r="E332" s="15"/>
      <c r="F332" s="262"/>
      <c r="G332" s="15"/>
      <c r="H332" s="11"/>
      <c r="I332" s="11"/>
      <c r="J332" s="11"/>
      <c r="K332" s="11"/>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row>
    <row r="333" ht="15.75" customHeight="1">
      <c r="A333" s="15"/>
      <c r="B333" s="260"/>
      <c r="C333" s="21"/>
      <c r="D333" s="15"/>
      <c r="E333" s="15"/>
      <c r="F333" s="262"/>
      <c r="G333" s="15"/>
      <c r="H333" s="11"/>
      <c r="I333" s="11"/>
      <c r="J333" s="11"/>
      <c r="K333" s="11"/>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row>
    <row r="334" ht="15.75" customHeight="1">
      <c r="A334" s="15"/>
      <c r="B334" s="260"/>
      <c r="C334" s="21"/>
      <c r="D334" s="15"/>
      <c r="E334" s="15"/>
      <c r="F334" s="262"/>
      <c r="G334" s="15"/>
      <c r="H334" s="11"/>
      <c r="I334" s="11"/>
      <c r="J334" s="11"/>
      <c r="K334" s="11"/>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row>
    <row r="335" ht="15.75" customHeight="1">
      <c r="A335" s="15"/>
      <c r="B335" s="260"/>
      <c r="C335" s="21"/>
      <c r="D335" s="15"/>
      <c r="E335" s="15"/>
      <c r="F335" s="262"/>
      <c r="G335" s="15"/>
      <c r="H335" s="11"/>
      <c r="I335" s="11"/>
      <c r="J335" s="11"/>
      <c r="K335" s="11"/>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row>
    <row r="336" ht="15.75" customHeight="1">
      <c r="A336" s="15"/>
      <c r="B336" s="260"/>
      <c r="C336" s="21"/>
      <c r="D336" s="15"/>
      <c r="E336" s="15"/>
      <c r="F336" s="262"/>
      <c r="G336" s="15"/>
      <c r="H336" s="11"/>
      <c r="I336" s="11"/>
      <c r="J336" s="11"/>
      <c r="K336" s="11"/>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row>
    <row r="337" ht="15.75" customHeight="1">
      <c r="A337" s="15"/>
      <c r="B337" s="260"/>
      <c r="C337" s="21"/>
      <c r="D337" s="15"/>
      <c r="E337" s="15"/>
      <c r="F337" s="262"/>
      <c r="G337" s="15"/>
      <c r="H337" s="11"/>
      <c r="I337" s="11"/>
      <c r="J337" s="11"/>
      <c r="K337" s="11"/>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row>
    <row r="338" ht="15.75" customHeight="1">
      <c r="A338" s="15"/>
      <c r="B338" s="260"/>
      <c r="C338" s="21"/>
      <c r="D338" s="15"/>
      <c r="E338" s="15"/>
      <c r="F338" s="262"/>
      <c r="G338" s="15"/>
      <c r="H338" s="11"/>
      <c r="I338" s="11"/>
      <c r="J338" s="11"/>
      <c r="K338" s="11"/>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row>
    <row r="339" ht="15.75" customHeight="1">
      <c r="A339" s="15"/>
      <c r="B339" s="260"/>
      <c r="C339" s="21"/>
      <c r="D339" s="15"/>
      <c r="E339" s="15"/>
      <c r="F339" s="262"/>
      <c r="G339" s="15"/>
      <c r="H339" s="11"/>
      <c r="I339" s="11"/>
      <c r="J339" s="11"/>
      <c r="K339" s="11"/>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row>
    <row r="340" ht="15.75" customHeight="1">
      <c r="A340" s="15"/>
      <c r="B340" s="260"/>
      <c r="C340" s="21"/>
      <c r="D340" s="15"/>
      <c r="E340" s="15"/>
      <c r="F340" s="262"/>
      <c r="G340" s="15"/>
      <c r="H340" s="11"/>
      <c r="I340" s="11"/>
      <c r="J340" s="11"/>
      <c r="K340" s="11"/>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row>
    <row r="341" ht="15.75" customHeight="1">
      <c r="A341" s="15"/>
      <c r="B341" s="260"/>
      <c r="C341" s="21"/>
      <c r="D341" s="15"/>
      <c r="E341" s="15"/>
      <c r="F341" s="262"/>
      <c r="G341" s="15"/>
      <c r="H341" s="11"/>
      <c r="I341" s="11"/>
      <c r="J341" s="11"/>
      <c r="K341" s="11"/>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row>
    <row r="342" ht="15.75" customHeight="1">
      <c r="A342" s="15"/>
      <c r="B342" s="260"/>
      <c r="C342" s="21"/>
      <c r="D342" s="15"/>
      <c r="E342" s="15"/>
      <c r="F342" s="262"/>
      <c r="G342" s="15"/>
      <c r="H342" s="11"/>
      <c r="I342" s="11"/>
      <c r="J342" s="11"/>
      <c r="K342" s="11"/>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row>
    <row r="343" ht="15.75" customHeight="1">
      <c r="A343" s="15"/>
      <c r="B343" s="260"/>
      <c r="C343" s="21"/>
      <c r="D343" s="15"/>
      <c r="E343" s="15"/>
      <c r="F343" s="262"/>
      <c r="G343" s="15"/>
      <c r="H343" s="11"/>
      <c r="I343" s="11"/>
      <c r="J343" s="11"/>
      <c r="K343" s="11"/>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row>
    <row r="344" ht="15.75" customHeight="1">
      <c r="A344" s="15"/>
      <c r="B344" s="260"/>
      <c r="C344" s="21"/>
      <c r="D344" s="15"/>
      <c r="E344" s="15"/>
      <c r="F344" s="262"/>
      <c r="G344" s="15"/>
      <c r="H344" s="11"/>
      <c r="I344" s="11"/>
      <c r="J344" s="11"/>
      <c r="K344" s="11"/>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row>
    <row r="345" ht="15.75" customHeight="1">
      <c r="A345" s="15"/>
      <c r="B345" s="260"/>
      <c r="C345" s="21"/>
      <c r="D345" s="15"/>
      <c r="E345" s="15"/>
      <c r="F345" s="262"/>
      <c r="G345" s="15"/>
      <c r="H345" s="11"/>
      <c r="I345" s="11"/>
      <c r="J345" s="11"/>
      <c r="K345" s="11"/>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row>
    <row r="346" ht="15.75" customHeight="1">
      <c r="A346" s="15"/>
      <c r="B346" s="260"/>
      <c r="C346" s="21"/>
      <c r="D346" s="15"/>
      <c r="E346" s="15"/>
      <c r="F346" s="262"/>
      <c r="G346" s="15"/>
      <c r="H346" s="11"/>
      <c r="I346" s="11"/>
      <c r="J346" s="11"/>
      <c r="K346" s="11"/>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row>
    <row r="347" ht="15.75" customHeight="1">
      <c r="A347" s="15"/>
      <c r="B347" s="260"/>
      <c r="C347" s="21"/>
      <c r="D347" s="15"/>
      <c r="E347" s="15"/>
      <c r="F347" s="262"/>
      <c r="G347" s="15"/>
      <c r="H347" s="11"/>
      <c r="I347" s="11"/>
      <c r="J347" s="11"/>
      <c r="K347" s="11"/>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row>
    <row r="348" ht="15.75" customHeight="1">
      <c r="A348" s="15"/>
      <c r="B348" s="260"/>
      <c r="C348" s="21"/>
      <c r="D348" s="15"/>
      <c r="E348" s="15"/>
      <c r="F348" s="262"/>
      <c r="G348" s="15"/>
      <c r="H348" s="11"/>
      <c r="I348" s="11"/>
      <c r="J348" s="11"/>
      <c r="K348" s="11"/>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row>
    <row r="349" ht="15.75" customHeight="1">
      <c r="A349" s="15"/>
      <c r="B349" s="260"/>
      <c r="C349" s="21"/>
      <c r="D349" s="15"/>
      <c r="E349" s="15"/>
      <c r="F349" s="262"/>
      <c r="G349" s="15"/>
      <c r="H349" s="11"/>
      <c r="I349" s="11"/>
      <c r="J349" s="11"/>
      <c r="K349" s="11"/>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row>
    <row r="350" ht="15.75" customHeight="1">
      <c r="A350" s="15"/>
      <c r="B350" s="260"/>
      <c r="C350" s="21"/>
      <c r="D350" s="15"/>
      <c r="E350" s="15"/>
      <c r="F350" s="262"/>
      <c r="G350" s="15"/>
      <c r="H350" s="11"/>
      <c r="I350" s="11"/>
      <c r="J350" s="11"/>
      <c r="K350" s="11"/>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row>
    <row r="351" ht="15.75" customHeight="1">
      <c r="A351" s="15"/>
      <c r="B351" s="260"/>
      <c r="C351" s="21"/>
      <c r="D351" s="15"/>
      <c r="E351" s="15"/>
      <c r="F351" s="262"/>
      <c r="G351" s="15"/>
      <c r="H351" s="11"/>
      <c r="I351" s="11"/>
      <c r="J351" s="11"/>
      <c r="K351" s="11"/>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row>
    <row r="352" ht="15.75" customHeight="1">
      <c r="A352" s="15"/>
      <c r="B352" s="260"/>
      <c r="C352" s="21"/>
      <c r="D352" s="15"/>
      <c r="E352" s="15"/>
      <c r="F352" s="262"/>
      <c r="G352" s="15"/>
      <c r="H352" s="11"/>
      <c r="I352" s="11"/>
      <c r="J352" s="11"/>
      <c r="K352" s="11"/>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row>
    <row r="353" ht="15.75" customHeight="1">
      <c r="A353" s="15"/>
      <c r="B353" s="260"/>
      <c r="C353" s="21"/>
      <c r="D353" s="15"/>
      <c r="E353" s="15"/>
      <c r="F353" s="262"/>
      <c r="G353" s="15"/>
      <c r="H353" s="11"/>
      <c r="I353" s="11"/>
      <c r="J353" s="11"/>
      <c r="K353" s="11"/>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row>
    <row r="354" ht="15.75" customHeight="1">
      <c r="A354" s="15"/>
      <c r="B354" s="260"/>
      <c r="C354" s="21"/>
      <c r="D354" s="15"/>
      <c r="E354" s="15"/>
      <c r="F354" s="262"/>
      <c r="G354" s="15"/>
      <c r="H354" s="11"/>
      <c r="I354" s="11"/>
      <c r="J354" s="11"/>
      <c r="K354" s="11"/>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row>
    <row r="355" ht="15.75" customHeight="1">
      <c r="A355" s="15"/>
      <c r="B355" s="260"/>
      <c r="C355" s="21"/>
      <c r="D355" s="15"/>
      <c r="E355" s="15"/>
      <c r="F355" s="262"/>
      <c r="G355" s="15"/>
      <c r="H355" s="11"/>
      <c r="I355" s="11"/>
      <c r="J355" s="11"/>
      <c r="K355" s="11"/>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row>
    <row r="356" ht="15.75" customHeight="1">
      <c r="A356" s="15"/>
      <c r="B356" s="260"/>
      <c r="C356" s="21"/>
      <c r="D356" s="15"/>
      <c r="E356" s="15"/>
      <c r="F356" s="262"/>
      <c r="G356" s="15"/>
      <c r="H356" s="11"/>
      <c r="I356" s="11"/>
      <c r="J356" s="11"/>
      <c r="K356" s="11"/>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row>
    <row r="357" ht="15.75" customHeight="1">
      <c r="A357" s="15"/>
      <c r="B357" s="260"/>
      <c r="C357" s="21"/>
      <c r="D357" s="15"/>
      <c r="E357" s="15"/>
      <c r="F357" s="262"/>
      <c r="G357" s="15"/>
      <c r="H357" s="11"/>
      <c r="I357" s="11"/>
      <c r="J357" s="11"/>
      <c r="K357" s="11"/>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row>
    <row r="358" ht="15.75" customHeight="1">
      <c r="A358" s="15"/>
      <c r="B358" s="260"/>
      <c r="C358" s="21"/>
      <c r="D358" s="15"/>
      <c r="E358" s="15"/>
      <c r="F358" s="262"/>
      <c r="G358" s="15"/>
      <c r="H358" s="11"/>
      <c r="I358" s="11"/>
      <c r="J358" s="11"/>
      <c r="K358" s="11"/>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row>
    <row r="359" ht="15.75" customHeight="1">
      <c r="A359" s="15"/>
      <c r="B359" s="260"/>
      <c r="C359" s="21"/>
      <c r="D359" s="15"/>
      <c r="E359" s="15"/>
      <c r="F359" s="262"/>
      <c r="G359" s="15"/>
      <c r="H359" s="11"/>
      <c r="I359" s="11"/>
      <c r="J359" s="11"/>
      <c r="K359" s="11"/>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row>
    <row r="360" ht="15.75" customHeight="1">
      <c r="A360" s="15"/>
      <c r="B360" s="260"/>
      <c r="C360" s="21"/>
      <c r="D360" s="15"/>
      <c r="E360" s="15"/>
      <c r="F360" s="262"/>
      <c r="G360" s="15"/>
      <c r="H360" s="11"/>
      <c r="I360" s="11"/>
      <c r="J360" s="11"/>
      <c r="K360" s="11"/>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row>
    <row r="361" ht="15.75" customHeight="1">
      <c r="A361" s="15"/>
      <c r="B361" s="260"/>
      <c r="C361" s="21"/>
      <c r="D361" s="15"/>
      <c r="E361" s="15"/>
      <c r="F361" s="262"/>
      <c r="G361" s="15"/>
      <c r="H361" s="11"/>
      <c r="I361" s="11"/>
      <c r="J361" s="11"/>
      <c r="K361" s="11"/>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row>
    <row r="362" ht="15.75" customHeight="1">
      <c r="A362" s="15"/>
      <c r="B362" s="260"/>
      <c r="C362" s="21"/>
      <c r="D362" s="15"/>
      <c r="E362" s="15"/>
      <c r="F362" s="262"/>
      <c r="G362" s="15"/>
      <c r="H362" s="11"/>
      <c r="I362" s="11"/>
      <c r="J362" s="11"/>
      <c r="K362" s="11"/>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row>
    <row r="363" ht="15.75" customHeight="1">
      <c r="A363" s="15"/>
      <c r="B363" s="260"/>
      <c r="C363" s="21"/>
      <c r="D363" s="15"/>
      <c r="E363" s="15"/>
      <c r="F363" s="262"/>
      <c r="G363" s="15"/>
      <c r="H363" s="11"/>
      <c r="I363" s="11"/>
      <c r="J363" s="11"/>
      <c r="K363" s="11"/>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row>
    <row r="364" ht="15.75" customHeight="1">
      <c r="A364" s="15"/>
      <c r="B364" s="260"/>
      <c r="C364" s="21"/>
      <c r="D364" s="15"/>
      <c r="E364" s="15"/>
      <c r="F364" s="262"/>
      <c r="G364" s="15"/>
      <c r="H364" s="11"/>
      <c r="I364" s="11"/>
      <c r="J364" s="11"/>
      <c r="K364" s="11"/>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row>
    <row r="365" ht="15.75" customHeight="1">
      <c r="A365" s="15"/>
      <c r="B365" s="260"/>
      <c r="C365" s="21"/>
      <c r="D365" s="15"/>
      <c r="E365" s="15"/>
      <c r="F365" s="262"/>
      <c r="G365" s="15"/>
      <c r="H365" s="11"/>
      <c r="I365" s="11"/>
      <c r="J365" s="11"/>
      <c r="K365" s="11"/>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row>
    <row r="366" ht="15.75" customHeight="1">
      <c r="A366" s="15"/>
      <c r="B366" s="260"/>
      <c r="C366" s="21"/>
      <c r="D366" s="15"/>
      <c r="E366" s="15"/>
      <c r="F366" s="262"/>
      <c r="G366" s="15"/>
      <c r="H366" s="11"/>
      <c r="I366" s="11"/>
      <c r="J366" s="11"/>
      <c r="K366" s="11"/>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row>
    <row r="367" ht="15.75" customHeight="1">
      <c r="A367" s="15"/>
      <c r="B367" s="260"/>
      <c r="C367" s="21"/>
      <c r="D367" s="15"/>
      <c r="E367" s="15"/>
      <c r="F367" s="262"/>
      <c r="G367" s="15"/>
      <c r="H367" s="11"/>
      <c r="I367" s="11"/>
      <c r="J367" s="11"/>
      <c r="K367" s="11"/>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row>
    <row r="368" ht="15.75" customHeight="1">
      <c r="A368" s="15"/>
      <c r="B368" s="260"/>
      <c r="C368" s="21"/>
      <c r="D368" s="15"/>
      <c r="E368" s="15"/>
      <c r="F368" s="262"/>
      <c r="G368" s="15"/>
      <c r="H368" s="11"/>
      <c r="I368" s="11"/>
      <c r="J368" s="11"/>
      <c r="K368" s="11"/>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row>
    <row r="369" ht="15.75" customHeight="1">
      <c r="A369" s="15"/>
      <c r="B369" s="260"/>
      <c r="C369" s="21"/>
      <c r="D369" s="15"/>
      <c r="E369" s="15"/>
      <c r="F369" s="262"/>
      <c r="G369" s="15"/>
      <c r="H369" s="11"/>
      <c r="I369" s="11"/>
      <c r="J369" s="11"/>
      <c r="K369" s="11"/>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row>
    <row r="370" ht="15.75" customHeight="1">
      <c r="A370" s="15"/>
      <c r="B370" s="260"/>
      <c r="C370" s="21"/>
      <c r="D370" s="15"/>
      <c r="E370" s="15"/>
      <c r="F370" s="262"/>
      <c r="G370" s="15"/>
      <c r="H370" s="11"/>
      <c r="I370" s="11"/>
      <c r="J370" s="11"/>
      <c r="K370" s="11"/>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row>
    <row r="371" ht="15.75" customHeight="1">
      <c r="A371" s="15"/>
      <c r="B371" s="260"/>
      <c r="C371" s="21"/>
      <c r="D371" s="15"/>
      <c r="E371" s="15"/>
      <c r="F371" s="262"/>
      <c r="G371" s="15"/>
      <c r="H371" s="11"/>
      <c r="I371" s="11"/>
      <c r="J371" s="11"/>
      <c r="K371" s="11"/>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row>
    <row r="372" ht="15.75" customHeight="1">
      <c r="A372" s="15"/>
      <c r="B372" s="260"/>
      <c r="C372" s="21"/>
      <c r="D372" s="15"/>
      <c r="E372" s="15"/>
      <c r="F372" s="262"/>
      <c r="G372" s="15"/>
      <c r="H372" s="11"/>
      <c r="I372" s="11"/>
      <c r="J372" s="11"/>
      <c r="K372" s="11"/>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row>
    <row r="373" ht="15.75" customHeight="1">
      <c r="A373" s="15"/>
      <c r="B373" s="260"/>
      <c r="C373" s="21"/>
      <c r="D373" s="15"/>
      <c r="E373" s="15"/>
      <c r="F373" s="262"/>
      <c r="G373" s="15"/>
      <c r="H373" s="11"/>
      <c r="I373" s="11"/>
      <c r="J373" s="11"/>
      <c r="K373" s="11"/>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row>
    <row r="374" ht="15.75" customHeight="1">
      <c r="A374" s="15"/>
      <c r="B374" s="260"/>
      <c r="C374" s="21"/>
      <c r="D374" s="15"/>
      <c r="E374" s="15"/>
      <c r="F374" s="262"/>
      <c r="G374" s="15"/>
      <c r="H374" s="11"/>
      <c r="I374" s="11"/>
      <c r="J374" s="11"/>
      <c r="K374" s="11"/>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row>
    <row r="375" ht="15.75" customHeight="1">
      <c r="A375" s="15"/>
      <c r="B375" s="260"/>
      <c r="C375" s="21"/>
      <c r="D375" s="15"/>
      <c r="E375" s="15"/>
      <c r="F375" s="262"/>
      <c r="G375" s="15"/>
      <c r="H375" s="11"/>
      <c r="I375" s="11"/>
      <c r="J375" s="11"/>
      <c r="K375" s="11"/>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row>
    <row r="376" ht="15.75" customHeight="1">
      <c r="A376" s="15"/>
      <c r="B376" s="260"/>
      <c r="C376" s="21"/>
      <c r="D376" s="15"/>
      <c r="E376" s="15"/>
      <c r="F376" s="262"/>
      <c r="G376" s="15"/>
      <c r="H376" s="11"/>
      <c r="I376" s="11"/>
      <c r="J376" s="11"/>
      <c r="K376" s="11"/>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row>
    <row r="377" ht="15.75" customHeight="1">
      <c r="A377" s="15"/>
      <c r="B377" s="260"/>
      <c r="C377" s="21"/>
      <c r="D377" s="15"/>
      <c r="E377" s="15"/>
      <c r="F377" s="262"/>
      <c r="G377" s="15"/>
      <c r="H377" s="11"/>
      <c r="I377" s="11"/>
      <c r="J377" s="11"/>
      <c r="K377" s="11"/>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row>
    <row r="378" ht="15.75" customHeight="1">
      <c r="A378" s="15"/>
      <c r="B378" s="260"/>
      <c r="C378" s="21"/>
      <c r="D378" s="15"/>
      <c r="E378" s="15"/>
      <c r="F378" s="262"/>
      <c r="G378" s="15"/>
      <c r="H378" s="11"/>
      <c r="I378" s="11"/>
      <c r="J378" s="11"/>
      <c r="K378" s="11"/>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row>
    <row r="379" ht="15.75" customHeight="1">
      <c r="A379" s="15"/>
      <c r="B379" s="260"/>
      <c r="C379" s="21"/>
      <c r="D379" s="15"/>
      <c r="E379" s="15"/>
      <c r="F379" s="262"/>
      <c r="G379" s="15"/>
      <c r="H379" s="11"/>
      <c r="I379" s="11"/>
      <c r="J379" s="11"/>
      <c r="K379" s="11"/>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row>
    <row r="380" ht="15.75" customHeight="1">
      <c r="A380" s="15"/>
      <c r="B380" s="260"/>
      <c r="C380" s="21"/>
      <c r="D380" s="15"/>
      <c r="E380" s="15"/>
      <c r="F380" s="262"/>
      <c r="G380" s="15"/>
      <c r="H380" s="11"/>
      <c r="I380" s="11"/>
      <c r="J380" s="11"/>
      <c r="K380" s="11"/>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row>
    <row r="381" ht="15.75" customHeight="1">
      <c r="A381" s="15"/>
      <c r="B381" s="260"/>
      <c r="C381" s="21"/>
      <c r="D381" s="15"/>
      <c r="E381" s="15"/>
      <c r="F381" s="262"/>
      <c r="G381" s="15"/>
      <c r="H381" s="11"/>
      <c r="I381" s="11"/>
      <c r="J381" s="11"/>
      <c r="K381" s="11"/>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row>
    <row r="382" ht="15.75" customHeight="1">
      <c r="A382" s="15"/>
      <c r="B382" s="260"/>
      <c r="C382" s="21"/>
      <c r="D382" s="15"/>
      <c r="E382" s="15"/>
      <c r="F382" s="262"/>
      <c r="G382" s="15"/>
      <c r="H382" s="11"/>
      <c r="I382" s="11"/>
      <c r="J382" s="11"/>
      <c r="K382" s="11"/>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row>
    <row r="383" ht="15.75" customHeight="1">
      <c r="A383" s="15"/>
      <c r="B383" s="260"/>
      <c r="C383" s="21"/>
      <c r="D383" s="15"/>
      <c r="E383" s="15"/>
      <c r="F383" s="262"/>
      <c r="G383" s="15"/>
      <c r="H383" s="11"/>
      <c r="I383" s="11"/>
      <c r="J383" s="11"/>
      <c r="K383" s="11"/>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row>
    <row r="384" ht="15.75" customHeight="1">
      <c r="A384" s="15"/>
      <c r="B384" s="260"/>
      <c r="C384" s="21"/>
      <c r="D384" s="15"/>
      <c r="E384" s="15"/>
      <c r="F384" s="262"/>
      <c r="G384" s="15"/>
      <c r="H384" s="11"/>
      <c r="I384" s="11"/>
      <c r="J384" s="11"/>
      <c r="K384" s="11"/>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row>
    <row r="385" ht="15.75" customHeight="1">
      <c r="A385" s="15"/>
      <c r="B385" s="260"/>
      <c r="C385" s="21"/>
      <c r="D385" s="15"/>
      <c r="E385" s="15"/>
      <c r="F385" s="262"/>
      <c r="G385" s="15"/>
      <c r="H385" s="11"/>
      <c r="I385" s="11"/>
      <c r="J385" s="11"/>
      <c r="K385" s="11"/>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row>
    <row r="386" ht="15.75" customHeight="1">
      <c r="A386" s="15"/>
      <c r="B386" s="260"/>
      <c r="C386" s="21"/>
      <c r="D386" s="15"/>
      <c r="E386" s="15"/>
      <c r="F386" s="262"/>
      <c r="G386" s="15"/>
      <c r="H386" s="11"/>
      <c r="I386" s="11"/>
      <c r="J386" s="11"/>
      <c r="K386" s="11"/>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row>
    <row r="387" ht="15.75" customHeight="1">
      <c r="A387" s="15"/>
      <c r="B387" s="260"/>
      <c r="C387" s="21"/>
      <c r="D387" s="15"/>
      <c r="E387" s="15"/>
      <c r="F387" s="262"/>
      <c r="G387" s="15"/>
      <c r="H387" s="11"/>
      <c r="I387" s="11"/>
      <c r="J387" s="11"/>
      <c r="K387" s="11"/>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row>
    <row r="388" ht="15.75" customHeight="1">
      <c r="A388" s="15"/>
      <c r="B388" s="260"/>
      <c r="C388" s="21"/>
      <c r="D388" s="15"/>
      <c r="E388" s="15"/>
      <c r="F388" s="262"/>
      <c r="G388" s="15"/>
      <c r="H388" s="11"/>
      <c r="I388" s="11"/>
      <c r="J388" s="11"/>
      <c r="K388" s="11"/>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row>
    <row r="389" ht="15.75" customHeight="1">
      <c r="A389" s="15"/>
      <c r="B389" s="260"/>
      <c r="C389" s="21"/>
      <c r="D389" s="15"/>
      <c r="E389" s="15"/>
      <c r="F389" s="262"/>
      <c r="G389" s="15"/>
      <c r="H389" s="11"/>
      <c r="I389" s="11"/>
      <c r="J389" s="11"/>
      <c r="K389" s="11"/>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row>
    <row r="390" ht="15.75" customHeight="1">
      <c r="A390" s="15"/>
      <c r="B390" s="260"/>
      <c r="C390" s="21"/>
      <c r="D390" s="15"/>
      <c r="E390" s="15"/>
      <c r="F390" s="262"/>
      <c r="G390" s="15"/>
      <c r="H390" s="11"/>
      <c r="I390" s="11"/>
      <c r="J390" s="11"/>
      <c r="K390" s="11"/>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row>
    <row r="391" ht="15.75" customHeight="1">
      <c r="A391" s="15"/>
      <c r="B391" s="260"/>
      <c r="C391" s="21"/>
      <c r="D391" s="15"/>
      <c r="E391" s="15"/>
      <c r="F391" s="262"/>
      <c r="G391" s="15"/>
      <c r="H391" s="11"/>
      <c r="I391" s="11"/>
      <c r="J391" s="11"/>
      <c r="K391" s="11"/>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row>
    <row r="392" ht="15.75" customHeight="1">
      <c r="A392" s="15"/>
      <c r="B392" s="260"/>
      <c r="C392" s="21"/>
      <c r="D392" s="15"/>
      <c r="E392" s="15"/>
      <c r="F392" s="262"/>
      <c r="G392" s="15"/>
      <c r="H392" s="11"/>
      <c r="I392" s="11"/>
      <c r="J392" s="11"/>
      <c r="K392" s="11"/>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row>
    <row r="393" ht="15.75" customHeight="1">
      <c r="A393" s="15"/>
      <c r="B393" s="260"/>
      <c r="C393" s="21"/>
      <c r="D393" s="15"/>
      <c r="E393" s="15"/>
      <c r="F393" s="262"/>
      <c r="G393" s="15"/>
      <c r="H393" s="11"/>
      <c r="I393" s="11"/>
      <c r="J393" s="11"/>
      <c r="K393" s="11"/>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row>
    <row r="394" ht="15.75" customHeight="1">
      <c r="A394" s="15"/>
      <c r="B394" s="260"/>
      <c r="C394" s="21"/>
      <c r="D394" s="15"/>
      <c r="E394" s="15"/>
      <c r="F394" s="262"/>
      <c r="G394" s="15"/>
      <c r="H394" s="11"/>
      <c r="I394" s="11"/>
      <c r="J394" s="11"/>
      <c r="K394" s="11"/>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row>
    <row r="395" ht="15.75" customHeight="1">
      <c r="A395" s="15"/>
      <c r="B395" s="260"/>
      <c r="C395" s="21"/>
      <c r="D395" s="15"/>
      <c r="E395" s="15"/>
      <c r="F395" s="262"/>
      <c r="G395" s="15"/>
      <c r="H395" s="11"/>
      <c r="I395" s="11"/>
      <c r="J395" s="11"/>
      <c r="K395" s="11"/>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row>
    <row r="396" ht="15.75" customHeight="1">
      <c r="A396" s="15"/>
      <c r="B396" s="260"/>
      <c r="C396" s="21"/>
      <c r="D396" s="15"/>
      <c r="E396" s="15"/>
      <c r="F396" s="262"/>
      <c r="G396" s="15"/>
      <c r="H396" s="11"/>
      <c r="I396" s="11"/>
      <c r="J396" s="11"/>
      <c r="K396" s="11"/>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row>
    <row r="397" ht="15.75" customHeight="1">
      <c r="A397" s="15"/>
      <c r="B397" s="260"/>
      <c r="C397" s="21"/>
      <c r="D397" s="15"/>
      <c r="E397" s="15"/>
      <c r="F397" s="262"/>
      <c r="G397" s="15"/>
      <c r="H397" s="11"/>
      <c r="I397" s="11"/>
      <c r="J397" s="11"/>
      <c r="K397" s="11"/>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row>
    <row r="398" ht="15.75" customHeight="1">
      <c r="A398" s="15"/>
      <c r="B398" s="260"/>
      <c r="C398" s="21"/>
      <c r="D398" s="15"/>
      <c r="E398" s="15"/>
      <c r="F398" s="262"/>
      <c r="G398" s="15"/>
      <c r="H398" s="11"/>
      <c r="I398" s="11"/>
      <c r="J398" s="11"/>
      <c r="K398" s="11"/>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row>
    <row r="399" ht="15.75" customHeight="1">
      <c r="A399" s="15"/>
      <c r="B399" s="260"/>
      <c r="C399" s="21"/>
      <c r="D399" s="15"/>
      <c r="E399" s="15"/>
      <c r="F399" s="262"/>
      <c r="G399" s="15"/>
      <c r="H399" s="11"/>
      <c r="I399" s="11"/>
      <c r="J399" s="11"/>
      <c r="K399" s="11"/>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row>
    <row r="400" ht="15.75" customHeight="1">
      <c r="A400" s="15"/>
      <c r="B400" s="260"/>
      <c r="C400" s="21"/>
      <c r="D400" s="15"/>
      <c r="E400" s="15"/>
      <c r="F400" s="262"/>
      <c r="G400" s="15"/>
      <c r="H400" s="11"/>
      <c r="I400" s="11"/>
      <c r="J400" s="11"/>
      <c r="K400" s="11"/>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row>
    <row r="401" ht="15.75" customHeight="1">
      <c r="A401" s="15"/>
      <c r="B401" s="260"/>
      <c r="C401" s="21"/>
      <c r="D401" s="15"/>
      <c r="E401" s="15"/>
      <c r="F401" s="262"/>
      <c r="G401" s="15"/>
      <c r="H401" s="11"/>
      <c r="I401" s="11"/>
      <c r="J401" s="11"/>
      <c r="K401" s="11"/>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row>
    <row r="402" ht="15.75" customHeight="1">
      <c r="A402" s="15"/>
      <c r="B402" s="260"/>
      <c r="C402" s="21"/>
      <c r="D402" s="15"/>
      <c r="E402" s="15"/>
      <c r="F402" s="262"/>
      <c r="G402" s="15"/>
      <c r="H402" s="11"/>
      <c r="I402" s="11"/>
      <c r="J402" s="11"/>
      <c r="K402" s="11"/>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row>
    <row r="403" ht="15.75" customHeight="1">
      <c r="A403" s="15"/>
      <c r="B403" s="260"/>
      <c r="C403" s="21"/>
      <c r="D403" s="15"/>
      <c r="E403" s="15"/>
      <c r="F403" s="262"/>
      <c r="G403" s="15"/>
      <c r="H403" s="11"/>
      <c r="I403" s="11"/>
      <c r="J403" s="11"/>
      <c r="K403" s="11"/>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row>
    <row r="404" ht="15.75" customHeight="1">
      <c r="A404" s="15"/>
      <c r="B404" s="260"/>
      <c r="C404" s="21"/>
      <c r="D404" s="15"/>
      <c r="E404" s="15"/>
      <c r="F404" s="262"/>
      <c r="G404" s="15"/>
      <c r="H404" s="11"/>
      <c r="I404" s="11"/>
      <c r="J404" s="11"/>
      <c r="K404" s="11"/>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row>
    <row r="405" ht="15.75" customHeight="1">
      <c r="A405" s="15"/>
      <c r="B405" s="260"/>
      <c r="C405" s="21"/>
      <c r="D405" s="15"/>
      <c r="E405" s="15"/>
      <c r="F405" s="262"/>
      <c r="G405" s="15"/>
      <c r="H405" s="11"/>
      <c r="I405" s="11"/>
      <c r="J405" s="11"/>
      <c r="K405" s="11"/>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row>
    <row r="406" ht="15.75" customHeight="1">
      <c r="A406" s="15"/>
      <c r="B406" s="260"/>
      <c r="C406" s="21"/>
      <c r="D406" s="15"/>
      <c r="E406" s="15"/>
      <c r="F406" s="262"/>
      <c r="G406" s="15"/>
      <c r="H406" s="11"/>
      <c r="I406" s="11"/>
      <c r="J406" s="11"/>
      <c r="K406" s="11"/>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row>
    <row r="407" ht="15.75" customHeight="1">
      <c r="A407" s="15"/>
      <c r="B407" s="260"/>
      <c r="C407" s="21"/>
      <c r="D407" s="15"/>
      <c r="E407" s="15"/>
      <c r="F407" s="262"/>
      <c r="G407" s="15"/>
      <c r="H407" s="11"/>
      <c r="I407" s="11"/>
      <c r="J407" s="11"/>
      <c r="K407" s="11"/>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row>
    <row r="408" ht="15.75" customHeight="1">
      <c r="A408" s="15"/>
      <c r="B408" s="260"/>
      <c r="C408" s="21"/>
      <c r="D408" s="15"/>
      <c r="E408" s="15"/>
      <c r="F408" s="262"/>
      <c r="G408" s="15"/>
      <c r="H408" s="11"/>
      <c r="I408" s="11"/>
      <c r="J408" s="11"/>
      <c r="K408" s="11"/>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row>
    <row r="409" ht="15.75" customHeight="1">
      <c r="A409" s="15"/>
      <c r="B409" s="260"/>
      <c r="C409" s="21"/>
      <c r="D409" s="15"/>
      <c r="E409" s="15"/>
      <c r="F409" s="262"/>
      <c r="G409" s="15"/>
      <c r="H409" s="11"/>
      <c r="I409" s="11"/>
      <c r="J409" s="11"/>
      <c r="K409" s="11"/>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row>
    <row r="410" ht="15.75" customHeight="1">
      <c r="A410" s="15"/>
      <c r="B410" s="260"/>
      <c r="C410" s="21"/>
      <c r="D410" s="15"/>
      <c r="E410" s="15"/>
      <c r="F410" s="262"/>
      <c r="G410" s="15"/>
      <c r="H410" s="11"/>
      <c r="I410" s="11"/>
      <c r="J410" s="11"/>
      <c r="K410" s="11"/>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row>
    <row r="411" ht="15.75" customHeight="1">
      <c r="A411" s="15"/>
      <c r="B411" s="260"/>
      <c r="C411" s="21"/>
      <c r="D411" s="15"/>
      <c r="E411" s="15"/>
      <c r="F411" s="262"/>
      <c r="G411" s="15"/>
      <c r="H411" s="11"/>
      <c r="I411" s="11"/>
      <c r="J411" s="11"/>
      <c r="K411" s="11"/>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row>
    <row r="412" ht="15.75" customHeight="1">
      <c r="A412" s="15"/>
      <c r="B412" s="260"/>
      <c r="C412" s="21"/>
      <c r="D412" s="15"/>
      <c r="E412" s="15"/>
      <c r="F412" s="262"/>
      <c r="G412" s="15"/>
      <c r="H412" s="11"/>
      <c r="I412" s="11"/>
      <c r="J412" s="11"/>
      <c r="K412" s="11"/>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row>
    <row r="413" ht="15.75" customHeight="1">
      <c r="A413" s="15"/>
      <c r="B413" s="260"/>
      <c r="C413" s="21"/>
      <c r="D413" s="15"/>
      <c r="E413" s="15"/>
      <c r="F413" s="262"/>
      <c r="G413" s="15"/>
      <c r="H413" s="11"/>
      <c r="I413" s="11"/>
      <c r="J413" s="11"/>
      <c r="K413" s="11"/>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row>
    <row r="414" ht="15.75" customHeight="1">
      <c r="A414" s="15"/>
      <c r="B414" s="260"/>
      <c r="C414" s="21"/>
      <c r="D414" s="15"/>
      <c r="E414" s="15"/>
      <c r="F414" s="262"/>
      <c r="G414" s="15"/>
      <c r="H414" s="11"/>
      <c r="I414" s="11"/>
      <c r="J414" s="11"/>
      <c r="K414" s="11"/>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row>
    <row r="415" ht="15.75" customHeight="1">
      <c r="A415" s="15"/>
      <c r="B415" s="260"/>
      <c r="C415" s="21"/>
      <c r="D415" s="15"/>
      <c r="E415" s="15"/>
      <c r="F415" s="262"/>
      <c r="G415" s="15"/>
      <c r="H415" s="11"/>
      <c r="I415" s="11"/>
      <c r="J415" s="11"/>
      <c r="K415" s="11"/>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row>
    <row r="416" ht="15.75" customHeight="1">
      <c r="A416" s="15"/>
      <c r="B416" s="260"/>
      <c r="C416" s="21"/>
      <c r="D416" s="15"/>
      <c r="E416" s="15"/>
      <c r="F416" s="262"/>
      <c r="G416" s="15"/>
      <c r="H416" s="11"/>
      <c r="I416" s="11"/>
      <c r="J416" s="11"/>
      <c r="K416" s="11"/>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row>
    <row r="417" ht="15.75" customHeight="1">
      <c r="A417" s="15"/>
      <c r="B417" s="260"/>
      <c r="C417" s="21"/>
      <c r="D417" s="15"/>
      <c r="E417" s="15"/>
      <c r="F417" s="262"/>
      <c r="G417" s="15"/>
      <c r="H417" s="11"/>
      <c r="I417" s="11"/>
      <c r="J417" s="11"/>
      <c r="K417" s="11"/>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row>
    <row r="418" ht="15.75" customHeight="1">
      <c r="A418" s="15"/>
      <c r="B418" s="260"/>
      <c r="C418" s="21"/>
      <c r="D418" s="15"/>
      <c r="E418" s="15"/>
      <c r="F418" s="262"/>
      <c r="G418" s="15"/>
      <c r="H418" s="11"/>
      <c r="I418" s="11"/>
      <c r="J418" s="11"/>
      <c r="K418" s="11"/>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row>
    <row r="419" ht="15.75" customHeight="1">
      <c r="A419" s="15"/>
      <c r="B419" s="260"/>
      <c r="C419" s="21"/>
      <c r="D419" s="15"/>
      <c r="E419" s="15"/>
      <c r="F419" s="262"/>
      <c r="G419" s="15"/>
      <c r="H419" s="11"/>
      <c r="I419" s="11"/>
      <c r="J419" s="11"/>
      <c r="K419" s="11"/>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row>
    <row r="420" ht="15.75" customHeight="1">
      <c r="A420" s="15"/>
      <c r="B420" s="260"/>
      <c r="C420" s="21"/>
      <c r="D420" s="15"/>
      <c r="E420" s="15"/>
      <c r="F420" s="262"/>
      <c r="G420" s="15"/>
      <c r="H420" s="11"/>
      <c r="I420" s="11"/>
      <c r="J420" s="11"/>
      <c r="K420" s="11"/>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row>
    <row r="421" ht="15.75" customHeight="1">
      <c r="A421" s="15"/>
      <c r="B421" s="260"/>
      <c r="C421" s="21"/>
      <c r="D421" s="15"/>
      <c r="E421" s="15"/>
      <c r="F421" s="262"/>
      <c r="G421" s="15"/>
      <c r="H421" s="11"/>
      <c r="I421" s="11"/>
      <c r="J421" s="11"/>
      <c r="K421" s="11"/>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row>
    <row r="422" ht="15.75" customHeight="1">
      <c r="A422" s="15"/>
      <c r="B422" s="260"/>
      <c r="C422" s="21"/>
      <c r="D422" s="15"/>
      <c r="E422" s="15"/>
      <c r="F422" s="262"/>
      <c r="G422" s="15"/>
      <c r="H422" s="11"/>
      <c r="I422" s="11"/>
      <c r="J422" s="11"/>
      <c r="K422" s="11"/>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row>
    <row r="423" ht="15.75" customHeight="1">
      <c r="A423" s="15"/>
      <c r="B423" s="260"/>
      <c r="C423" s="21"/>
      <c r="D423" s="15"/>
      <c r="E423" s="15"/>
      <c r="F423" s="262"/>
      <c r="G423" s="15"/>
      <c r="H423" s="11"/>
      <c r="I423" s="11"/>
      <c r="J423" s="11"/>
      <c r="K423" s="11"/>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row>
    <row r="424" ht="15.75" customHeight="1">
      <c r="A424" s="15"/>
      <c r="B424" s="260"/>
      <c r="C424" s="21"/>
      <c r="D424" s="15"/>
      <c r="E424" s="15"/>
      <c r="F424" s="262"/>
      <c r="G424" s="15"/>
      <c r="H424" s="11"/>
      <c r="I424" s="11"/>
      <c r="J424" s="11"/>
      <c r="K424" s="11"/>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row>
    <row r="425" ht="15.75" customHeight="1">
      <c r="A425" s="15"/>
      <c r="B425" s="260"/>
      <c r="C425" s="21"/>
      <c r="D425" s="15"/>
      <c r="E425" s="15"/>
      <c r="F425" s="262"/>
      <c r="G425" s="15"/>
      <c r="H425" s="11"/>
      <c r="I425" s="11"/>
      <c r="J425" s="11"/>
      <c r="K425" s="11"/>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row>
    <row r="426" ht="15.75" customHeight="1">
      <c r="A426" s="15"/>
      <c r="B426" s="260"/>
      <c r="C426" s="21"/>
      <c r="D426" s="15"/>
      <c r="E426" s="15"/>
      <c r="F426" s="262"/>
      <c r="G426" s="15"/>
      <c r="H426" s="11"/>
      <c r="I426" s="11"/>
      <c r="J426" s="11"/>
      <c r="K426" s="11"/>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row>
    <row r="427" ht="15.75" customHeight="1">
      <c r="A427" s="15"/>
      <c r="B427" s="260"/>
      <c r="C427" s="21"/>
      <c r="D427" s="15"/>
      <c r="E427" s="15"/>
      <c r="F427" s="262"/>
      <c r="G427" s="15"/>
      <c r="H427" s="11"/>
      <c r="I427" s="11"/>
      <c r="J427" s="11"/>
      <c r="K427" s="11"/>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row>
    <row r="428" ht="15.75" customHeight="1">
      <c r="A428" s="15"/>
      <c r="B428" s="260"/>
      <c r="C428" s="21"/>
      <c r="D428" s="15"/>
      <c r="E428" s="15"/>
      <c r="F428" s="262"/>
      <c r="G428" s="15"/>
      <c r="H428" s="11"/>
      <c r="I428" s="11"/>
      <c r="J428" s="11"/>
      <c r="K428" s="11"/>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row>
    <row r="429" ht="15.75" customHeight="1">
      <c r="A429" s="15"/>
      <c r="B429" s="260"/>
      <c r="C429" s="21"/>
      <c r="D429" s="15"/>
      <c r="E429" s="15"/>
      <c r="F429" s="262"/>
      <c r="G429" s="15"/>
      <c r="H429" s="11"/>
      <c r="I429" s="11"/>
      <c r="J429" s="11"/>
      <c r="K429" s="11"/>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row>
    <row r="430" ht="15.75" customHeight="1">
      <c r="A430" s="15"/>
      <c r="B430" s="260"/>
      <c r="C430" s="21"/>
      <c r="D430" s="15"/>
      <c r="E430" s="15"/>
      <c r="F430" s="262"/>
      <c r="G430" s="15"/>
      <c r="H430" s="11"/>
      <c r="I430" s="11"/>
      <c r="J430" s="11"/>
      <c r="K430" s="11"/>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row>
    <row r="431" ht="15.75" customHeight="1">
      <c r="A431" s="15"/>
      <c r="B431" s="260"/>
      <c r="C431" s="21"/>
      <c r="D431" s="15"/>
      <c r="E431" s="15"/>
      <c r="F431" s="262"/>
      <c r="G431" s="15"/>
      <c r="H431" s="11"/>
      <c r="I431" s="11"/>
      <c r="J431" s="11"/>
      <c r="K431" s="11"/>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row>
    <row r="432" ht="15.75" customHeight="1">
      <c r="A432" s="15"/>
      <c r="B432" s="260"/>
      <c r="C432" s="21"/>
      <c r="D432" s="15"/>
      <c r="E432" s="15"/>
      <c r="F432" s="262"/>
      <c r="G432" s="15"/>
      <c r="H432" s="11"/>
      <c r="I432" s="11"/>
      <c r="J432" s="11"/>
      <c r="K432" s="11"/>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row>
    <row r="433" ht="15.75" customHeight="1">
      <c r="A433" s="15"/>
      <c r="B433" s="260"/>
      <c r="C433" s="21"/>
      <c r="D433" s="15"/>
      <c r="E433" s="15"/>
      <c r="F433" s="262"/>
      <c r="G433" s="15"/>
      <c r="H433" s="11"/>
      <c r="I433" s="11"/>
      <c r="J433" s="11"/>
      <c r="K433" s="11"/>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row>
    <row r="434" ht="15.75" customHeight="1">
      <c r="A434" s="15"/>
      <c r="B434" s="260"/>
      <c r="C434" s="21"/>
      <c r="D434" s="15"/>
      <c r="E434" s="15"/>
      <c r="F434" s="262"/>
      <c r="G434" s="15"/>
      <c r="H434" s="11"/>
      <c r="I434" s="11"/>
      <c r="J434" s="11"/>
      <c r="K434" s="11"/>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row>
    <row r="435" ht="15.75" customHeight="1">
      <c r="A435" s="15"/>
      <c r="B435" s="260"/>
      <c r="C435" s="21"/>
      <c r="D435" s="15"/>
      <c r="E435" s="15"/>
      <c r="F435" s="262"/>
      <c r="G435" s="15"/>
      <c r="H435" s="11"/>
      <c r="I435" s="11"/>
      <c r="J435" s="11"/>
      <c r="K435" s="11"/>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row>
    <row r="436" ht="15.75" customHeight="1">
      <c r="A436" s="15"/>
      <c r="B436" s="260"/>
      <c r="C436" s="21"/>
      <c r="D436" s="15"/>
      <c r="E436" s="15"/>
      <c r="F436" s="262"/>
      <c r="G436" s="15"/>
      <c r="H436" s="11"/>
      <c r="I436" s="11"/>
      <c r="J436" s="11"/>
      <c r="K436" s="11"/>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row>
    <row r="437" ht="15.75" customHeight="1">
      <c r="A437" s="15"/>
      <c r="B437" s="260"/>
      <c r="C437" s="21"/>
      <c r="D437" s="15"/>
      <c r="E437" s="15"/>
      <c r="F437" s="262"/>
      <c r="G437" s="15"/>
      <c r="H437" s="11"/>
      <c r="I437" s="11"/>
      <c r="J437" s="11"/>
      <c r="K437" s="11"/>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row>
    <row r="438" ht="15.75" customHeight="1">
      <c r="A438" s="15"/>
      <c r="B438" s="260"/>
      <c r="C438" s="21"/>
      <c r="D438" s="15"/>
      <c r="E438" s="15"/>
      <c r="F438" s="262"/>
      <c r="G438" s="15"/>
      <c r="H438" s="11"/>
      <c r="I438" s="11"/>
      <c r="J438" s="11"/>
      <c r="K438" s="11"/>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row>
    <row r="439" ht="15.75" customHeight="1">
      <c r="A439" s="15"/>
      <c r="B439" s="260"/>
      <c r="C439" s="21"/>
      <c r="D439" s="15"/>
      <c r="E439" s="15"/>
      <c r="F439" s="262"/>
      <c r="G439" s="15"/>
      <c r="H439" s="11"/>
      <c r="I439" s="11"/>
      <c r="J439" s="11"/>
      <c r="K439" s="11"/>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row>
    <row r="440" ht="15.75" customHeight="1">
      <c r="A440" s="15"/>
      <c r="B440" s="260"/>
      <c r="C440" s="21"/>
      <c r="D440" s="15"/>
      <c r="E440" s="15"/>
      <c r="F440" s="262"/>
      <c r="G440" s="15"/>
      <c r="H440" s="11"/>
      <c r="I440" s="11"/>
      <c r="J440" s="11"/>
      <c r="K440" s="11"/>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row>
    <row r="441" ht="15.75" customHeight="1">
      <c r="A441" s="15"/>
      <c r="B441" s="260"/>
      <c r="C441" s="21"/>
      <c r="D441" s="15"/>
      <c r="E441" s="15"/>
      <c r="F441" s="262"/>
      <c r="G441" s="15"/>
      <c r="H441" s="11"/>
      <c r="I441" s="11"/>
      <c r="J441" s="11"/>
      <c r="K441" s="11"/>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row>
    <row r="442" ht="15.75" customHeight="1">
      <c r="A442" s="15"/>
      <c r="B442" s="260"/>
      <c r="C442" s="21"/>
      <c r="D442" s="15"/>
      <c r="E442" s="15"/>
      <c r="F442" s="262"/>
      <c r="G442" s="15"/>
      <c r="H442" s="11"/>
      <c r="I442" s="11"/>
      <c r="J442" s="11"/>
      <c r="K442" s="11"/>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row>
    <row r="443" ht="15.75" customHeight="1">
      <c r="A443" s="15"/>
      <c r="B443" s="260"/>
      <c r="C443" s="21"/>
      <c r="D443" s="15"/>
      <c r="E443" s="15"/>
      <c r="F443" s="262"/>
      <c r="G443" s="15"/>
      <c r="H443" s="11"/>
      <c r="I443" s="11"/>
      <c r="J443" s="11"/>
      <c r="K443" s="11"/>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row>
    <row r="444" ht="15.75" customHeight="1">
      <c r="A444" s="15"/>
      <c r="B444" s="260"/>
      <c r="C444" s="21"/>
      <c r="D444" s="15"/>
      <c r="E444" s="15"/>
      <c r="F444" s="262"/>
      <c r="G444" s="15"/>
      <c r="H444" s="11"/>
      <c r="I444" s="11"/>
      <c r="J444" s="11"/>
      <c r="K444" s="11"/>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row>
    <row r="445" ht="15.75" customHeight="1">
      <c r="A445" s="15"/>
      <c r="B445" s="260"/>
      <c r="C445" s="21"/>
      <c r="D445" s="15"/>
      <c r="E445" s="15"/>
      <c r="F445" s="262"/>
      <c r="G445" s="15"/>
      <c r="H445" s="11"/>
      <c r="I445" s="11"/>
      <c r="J445" s="11"/>
      <c r="K445" s="11"/>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row>
    <row r="446" ht="15.75" customHeight="1">
      <c r="A446" s="15"/>
      <c r="B446" s="260"/>
      <c r="C446" s="21"/>
      <c r="D446" s="15"/>
      <c r="E446" s="15"/>
      <c r="F446" s="262"/>
      <c r="G446" s="15"/>
      <c r="H446" s="11"/>
      <c r="I446" s="11"/>
      <c r="J446" s="11"/>
      <c r="K446" s="11"/>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row>
    <row r="447" ht="15.75" customHeight="1">
      <c r="A447" s="15"/>
      <c r="B447" s="260"/>
      <c r="C447" s="21"/>
      <c r="D447" s="15"/>
      <c r="E447" s="15"/>
      <c r="F447" s="262"/>
      <c r="G447" s="15"/>
      <c r="H447" s="11"/>
      <c r="I447" s="11"/>
      <c r="J447" s="11"/>
      <c r="K447" s="11"/>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row>
    <row r="448" ht="15.75" customHeight="1">
      <c r="A448" s="15"/>
      <c r="B448" s="260"/>
      <c r="C448" s="21"/>
      <c r="D448" s="15"/>
      <c r="E448" s="15"/>
      <c r="F448" s="262"/>
      <c r="G448" s="15"/>
      <c r="H448" s="11"/>
      <c r="I448" s="11"/>
      <c r="J448" s="11"/>
      <c r="K448" s="11"/>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row>
    <row r="449" ht="15.75" customHeight="1">
      <c r="A449" s="15"/>
      <c r="B449" s="260"/>
      <c r="C449" s="21"/>
      <c r="D449" s="15"/>
      <c r="E449" s="15"/>
      <c r="F449" s="262"/>
      <c r="G449" s="15"/>
      <c r="H449" s="11"/>
      <c r="I449" s="11"/>
      <c r="J449" s="11"/>
      <c r="K449" s="11"/>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row>
    <row r="450" ht="15.75" customHeight="1">
      <c r="A450" s="15"/>
      <c r="B450" s="260"/>
      <c r="C450" s="21"/>
      <c r="D450" s="15"/>
      <c r="E450" s="15"/>
      <c r="F450" s="262"/>
      <c r="G450" s="15"/>
      <c r="H450" s="11"/>
      <c r="I450" s="11"/>
      <c r="J450" s="11"/>
      <c r="K450" s="11"/>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row>
    <row r="451" ht="15.75" customHeight="1">
      <c r="A451" s="15"/>
      <c r="B451" s="260"/>
      <c r="C451" s="21"/>
      <c r="D451" s="15"/>
      <c r="E451" s="15"/>
      <c r="F451" s="262"/>
      <c r="G451" s="15"/>
      <c r="H451" s="11"/>
      <c r="I451" s="11"/>
      <c r="J451" s="11"/>
      <c r="K451" s="11"/>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row>
    <row r="452" ht="15.75" customHeight="1">
      <c r="A452" s="15"/>
      <c r="B452" s="260"/>
      <c r="C452" s="21"/>
      <c r="D452" s="15"/>
      <c r="E452" s="15"/>
      <c r="F452" s="262"/>
      <c r="G452" s="15"/>
      <c r="H452" s="11"/>
      <c r="I452" s="11"/>
      <c r="J452" s="11"/>
      <c r="K452" s="11"/>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row>
    <row r="453" ht="15.75" customHeight="1">
      <c r="A453" s="15"/>
      <c r="B453" s="260"/>
      <c r="C453" s="21"/>
      <c r="D453" s="15"/>
      <c r="E453" s="15"/>
      <c r="F453" s="262"/>
      <c r="G453" s="15"/>
      <c r="H453" s="11"/>
      <c r="I453" s="11"/>
      <c r="J453" s="11"/>
      <c r="K453" s="11"/>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row>
    <row r="454" ht="15.75" customHeight="1">
      <c r="A454" s="15"/>
      <c r="B454" s="260"/>
      <c r="C454" s="21"/>
      <c r="D454" s="15"/>
      <c r="E454" s="15"/>
      <c r="F454" s="262"/>
      <c r="G454" s="15"/>
      <c r="H454" s="11"/>
      <c r="I454" s="11"/>
      <c r="J454" s="11"/>
      <c r="K454" s="11"/>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row>
    <row r="455" ht="15.75" customHeight="1">
      <c r="A455" s="15"/>
      <c r="B455" s="260"/>
      <c r="C455" s="21"/>
      <c r="D455" s="15"/>
      <c r="E455" s="15"/>
      <c r="F455" s="262"/>
      <c r="G455" s="15"/>
      <c r="H455" s="11"/>
      <c r="I455" s="11"/>
      <c r="J455" s="11"/>
      <c r="K455" s="11"/>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row>
    <row r="456" ht="15.75" customHeight="1">
      <c r="A456" s="15"/>
      <c r="B456" s="260"/>
      <c r="C456" s="21"/>
      <c r="D456" s="15"/>
      <c r="E456" s="15"/>
      <c r="F456" s="262"/>
      <c r="G456" s="15"/>
      <c r="H456" s="11"/>
      <c r="I456" s="11"/>
      <c r="J456" s="11"/>
      <c r="K456" s="11"/>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row>
    <row r="457" ht="15.75" customHeight="1">
      <c r="A457" s="15"/>
      <c r="B457" s="260"/>
      <c r="C457" s="21"/>
      <c r="D457" s="15"/>
      <c r="E457" s="15"/>
      <c r="F457" s="262"/>
      <c r="G457" s="15"/>
      <c r="H457" s="11"/>
      <c r="I457" s="11"/>
      <c r="J457" s="11"/>
      <c r="K457" s="11"/>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row>
    <row r="458" ht="15.75" customHeight="1">
      <c r="A458" s="15"/>
      <c r="B458" s="260"/>
      <c r="C458" s="21"/>
      <c r="D458" s="15"/>
      <c r="E458" s="15"/>
      <c r="F458" s="262"/>
      <c r="G458" s="15"/>
      <c r="H458" s="11"/>
      <c r="I458" s="11"/>
      <c r="J458" s="11"/>
      <c r="K458" s="11"/>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row>
    <row r="459" ht="15.75" customHeight="1">
      <c r="A459" s="15"/>
      <c r="B459" s="260"/>
      <c r="C459" s="21"/>
      <c r="D459" s="15"/>
      <c r="E459" s="15"/>
      <c r="F459" s="262"/>
      <c r="G459" s="15"/>
      <c r="H459" s="11"/>
      <c r="I459" s="11"/>
      <c r="J459" s="11"/>
      <c r="K459" s="11"/>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row>
    <row r="460" ht="15.75" customHeight="1">
      <c r="A460" s="15"/>
      <c r="B460" s="260"/>
      <c r="C460" s="21"/>
      <c r="D460" s="15"/>
      <c r="E460" s="15"/>
      <c r="F460" s="262"/>
      <c r="G460" s="15"/>
      <c r="H460" s="11"/>
      <c r="I460" s="11"/>
      <c r="J460" s="11"/>
      <c r="K460" s="11"/>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row>
    <row r="461" ht="15.75" customHeight="1">
      <c r="A461" s="15"/>
      <c r="B461" s="260"/>
      <c r="C461" s="21"/>
      <c r="D461" s="15"/>
      <c r="E461" s="15"/>
      <c r="F461" s="262"/>
      <c r="G461" s="15"/>
      <c r="H461" s="11"/>
      <c r="I461" s="11"/>
      <c r="J461" s="11"/>
      <c r="K461" s="11"/>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row>
    <row r="462" ht="15.75" customHeight="1">
      <c r="A462" s="15"/>
      <c r="B462" s="260"/>
      <c r="C462" s="21"/>
      <c r="D462" s="15"/>
      <c r="E462" s="15"/>
      <c r="F462" s="262"/>
      <c r="G462" s="15"/>
      <c r="H462" s="11"/>
      <c r="I462" s="11"/>
      <c r="J462" s="11"/>
      <c r="K462" s="11"/>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row>
    <row r="463" ht="15.75" customHeight="1">
      <c r="A463" s="15"/>
      <c r="B463" s="260"/>
      <c r="C463" s="21"/>
      <c r="D463" s="15"/>
      <c r="E463" s="15"/>
      <c r="F463" s="262"/>
      <c r="G463" s="15"/>
      <c r="H463" s="11"/>
      <c r="I463" s="11"/>
      <c r="J463" s="11"/>
      <c r="K463" s="11"/>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row>
    <row r="464" ht="15.75" customHeight="1">
      <c r="A464" s="15"/>
      <c r="B464" s="260"/>
      <c r="C464" s="21"/>
      <c r="D464" s="15"/>
      <c r="E464" s="15"/>
      <c r="F464" s="262"/>
      <c r="G464" s="15"/>
      <c r="H464" s="11"/>
      <c r="I464" s="11"/>
      <c r="J464" s="11"/>
      <c r="K464" s="11"/>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row>
    <row r="465" ht="15.75" customHeight="1">
      <c r="A465" s="15"/>
      <c r="B465" s="260"/>
      <c r="C465" s="21"/>
      <c r="D465" s="15"/>
      <c r="E465" s="15"/>
      <c r="F465" s="262"/>
      <c r="G465" s="15"/>
      <c r="H465" s="11"/>
      <c r="I465" s="11"/>
      <c r="J465" s="11"/>
      <c r="K465" s="11"/>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row>
    <row r="466" ht="15.75" customHeight="1">
      <c r="A466" s="15"/>
      <c r="B466" s="260"/>
      <c r="C466" s="21"/>
      <c r="D466" s="15"/>
      <c r="E466" s="15"/>
      <c r="F466" s="262"/>
      <c r="G466" s="15"/>
      <c r="H466" s="11"/>
      <c r="I466" s="11"/>
      <c r="J466" s="11"/>
      <c r="K466" s="11"/>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row>
    <row r="467" ht="15.75" customHeight="1">
      <c r="A467" s="15"/>
      <c r="B467" s="260"/>
      <c r="C467" s="21"/>
      <c r="D467" s="15"/>
      <c r="E467" s="15"/>
      <c r="F467" s="262"/>
      <c r="G467" s="15"/>
      <c r="H467" s="11"/>
      <c r="I467" s="11"/>
      <c r="J467" s="11"/>
      <c r="K467" s="11"/>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row>
    <row r="468" ht="15.75" customHeight="1">
      <c r="A468" s="15"/>
      <c r="B468" s="260"/>
      <c r="C468" s="21"/>
      <c r="D468" s="15"/>
      <c r="E468" s="15"/>
      <c r="F468" s="262"/>
      <c r="G468" s="15"/>
      <c r="H468" s="11"/>
      <c r="I468" s="11"/>
      <c r="J468" s="11"/>
      <c r="K468" s="11"/>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row>
    <row r="469" ht="15.75" customHeight="1">
      <c r="A469" s="15"/>
      <c r="B469" s="260"/>
      <c r="C469" s="21"/>
      <c r="D469" s="15"/>
      <c r="E469" s="15"/>
      <c r="F469" s="262"/>
      <c r="G469" s="15"/>
      <c r="H469" s="11"/>
      <c r="I469" s="11"/>
      <c r="J469" s="11"/>
      <c r="K469" s="11"/>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row>
    <row r="470" ht="15.75" customHeight="1">
      <c r="A470" s="15"/>
      <c r="B470" s="260"/>
      <c r="C470" s="21"/>
      <c r="D470" s="15"/>
      <c r="E470" s="15"/>
      <c r="F470" s="262"/>
      <c r="G470" s="15"/>
      <c r="H470" s="11"/>
      <c r="I470" s="11"/>
      <c r="J470" s="11"/>
      <c r="K470" s="11"/>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row>
    <row r="471" ht="15.75" customHeight="1">
      <c r="A471" s="15"/>
      <c r="B471" s="260"/>
      <c r="C471" s="21"/>
      <c r="D471" s="15"/>
      <c r="E471" s="15"/>
      <c r="F471" s="262"/>
      <c r="G471" s="15"/>
      <c r="H471" s="11"/>
      <c r="I471" s="11"/>
      <c r="J471" s="11"/>
      <c r="K471" s="11"/>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row>
    <row r="472" ht="15.75" customHeight="1">
      <c r="A472" s="15"/>
      <c r="B472" s="260"/>
      <c r="C472" s="21"/>
      <c r="D472" s="15"/>
      <c r="E472" s="15"/>
      <c r="F472" s="262"/>
      <c r="G472" s="15"/>
      <c r="H472" s="11"/>
      <c r="I472" s="11"/>
      <c r="J472" s="11"/>
      <c r="K472" s="11"/>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row>
    <row r="473" ht="15.75" customHeight="1">
      <c r="A473" s="15"/>
      <c r="B473" s="260"/>
      <c r="C473" s="21"/>
      <c r="D473" s="15"/>
      <c r="E473" s="15"/>
      <c r="F473" s="262"/>
      <c r="G473" s="15"/>
      <c r="H473" s="11"/>
      <c r="I473" s="11"/>
      <c r="J473" s="11"/>
      <c r="K473" s="11"/>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row>
    <row r="474" ht="15.75" customHeight="1">
      <c r="A474" s="15"/>
      <c r="B474" s="260"/>
      <c r="C474" s="21"/>
      <c r="D474" s="15"/>
      <c r="E474" s="15"/>
      <c r="F474" s="262"/>
      <c r="G474" s="15"/>
      <c r="H474" s="11"/>
      <c r="I474" s="11"/>
      <c r="J474" s="11"/>
      <c r="K474" s="11"/>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row>
    <row r="475" ht="15.75" customHeight="1">
      <c r="A475" s="15"/>
      <c r="B475" s="260"/>
      <c r="C475" s="21"/>
      <c r="D475" s="15"/>
      <c r="E475" s="15"/>
      <c r="F475" s="262"/>
      <c r="G475" s="15"/>
      <c r="H475" s="11"/>
      <c r="I475" s="11"/>
      <c r="J475" s="11"/>
      <c r="K475" s="11"/>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row>
    <row r="476" ht="15.75" customHeight="1">
      <c r="A476" s="15"/>
      <c r="B476" s="260"/>
      <c r="C476" s="21"/>
      <c r="D476" s="15"/>
      <c r="E476" s="15"/>
      <c r="F476" s="262"/>
      <c r="G476" s="15"/>
      <c r="H476" s="11"/>
      <c r="I476" s="11"/>
      <c r="J476" s="11"/>
      <c r="K476" s="11"/>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row>
    <row r="477" ht="15.75" customHeight="1">
      <c r="A477" s="15"/>
      <c r="B477" s="260"/>
      <c r="C477" s="21"/>
      <c r="D477" s="15"/>
      <c r="E477" s="15"/>
      <c r="F477" s="262"/>
      <c r="G477" s="15"/>
      <c r="H477" s="11"/>
      <c r="I477" s="11"/>
      <c r="J477" s="11"/>
      <c r="K477" s="11"/>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row>
    <row r="478" ht="15.75" customHeight="1">
      <c r="A478" s="15"/>
      <c r="B478" s="260"/>
      <c r="C478" s="21"/>
      <c r="D478" s="15"/>
      <c r="E478" s="15"/>
      <c r="F478" s="262"/>
      <c r="G478" s="15"/>
      <c r="H478" s="11"/>
      <c r="I478" s="11"/>
      <c r="J478" s="11"/>
      <c r="K478" s="11"/>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row>
    <row r="479" ht="15.75" customHeight="1">
      <c r="A479" s="15"/>
      <c r="B479" s="260"/>
      <c r="C479" s="21"/>
      <c r="D479" s="15"/>
      <c r="E479" s="15"/>
      <c r="F479" s="262"/>
      <c r="G479" s="15"/>
      <c r="H479" s="11"/>
      <c r="I479" s="11"/>
      <c r="J479" s="11"/>
      <c r="K479" s="11"/>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row>
    <row r="480" ht="15.75" customHeight="1">
      <c r="A480" s="15"/>
      <c r="B480" s="260"/>
      <c r="C480" s="21"/>
      <c r="D480" s="15"/>
      <c r="E480" s="15"/>
      <c r="F480" s="262"/>
      <c r="G480" s="15"/>
      <c r="H480" s="11"/>
      <c r="I480" s="11"/>
      <c r="J480" s="11"/>
      <c r="K480" s="11"/>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row>
    <row r="481" ht="15.75" customHeight="1">
      <c r="A481" s="15"/>
      <c r="B481" s="260"/>
      <c r="C481" s="21"/>
      <c r="D481" s="15"/>
      <c r="E481" s="15"/>
      <c r="F481" s="262"/>
      <c r="G481" s="15"/>
      <c r="H481" s="11"/>
      <c r="I481" s="11"/>
      <c r="J481" s="11"/>
      <c r="K481" s="11"/>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row>
    <row r="482" ht="15.75" customHeight="1">
      <c r="A482" s="15"/>
      <c r="B482" s="260"/>
      <c r="C482" s="21"/>
      <c r="D482" s="15"/>
      <c r="E482" s="15"/>
      <c r="F482" s="262"/>
      <c r="G482" s="15"/>
      <c r="H482" s="11"/>
      <c r="I482" s="11"/>
      <c r="J482" s="11"/>
      <c r="K482" s="11"/>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row>
    <row r="483" ht="15.75" customHeight="1">
      <c r="A483" s="15"/>
      <c r="B483" s="260"/>
      <c r="C483" s="21"/>
      <c r="D483" s="15"/>
      <c r="E483" s="15"/>
      <c r="F483" s="262"/>
      <c r="G483" s="15"/>
      <c r="H483" s="11"/>
      <c r="I483" s="11"/>
      <c r="J483" s="11"/>
      <c r="K483" s="11"/>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row>
    <row r="484" ht="15.75" customHeight="1">
      <c r="A484" s="15"/>
      <c r="B484" s="260"/>
      <c r="C484" s="21"/>
      <c r="D484" s="15"/>
      <c r="E484" s="15"/>
      <c r="F484" s="262"/>
      <c r="G484" s="15"/>
      <c r="H484" s="11"/>
      <c r="I484" s="11"/>
      <c r="J484" s="11"/>
      <c r="K484" s="11"/>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row>
    <row r="485" ht="15.75" customHeight="1">
      <c r="A485" s="15"/>
      <c r="B485" s="260"/>
      <c r="C485" s="21"/>
      <c r="D485" s="15"/>
      <c r="E485" s="15"/>
      <c r="F485" s="262"/>
      <c r="G485" s="15"/>
      <c r="H485" s="11"/>
      <c r="I485" s="11"/>
      <c r="J485" s="11"/>
      <c r="K485" s="11"/>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row>
    <row r="486" ht="15.75" customHeight="1">
      <c r="A486" s="15"/>
      <c r="B486" s="260"/>
      <c r="C486" s="21"/>
      <c r="D486" s="15"/>
      <c r="E486" s="15"/>
      <c r="F486" s="262"/>
      <c r="G486" s="15"/>
      <c r="H486" s="11"/>
      <c r="I486" s="11"/>
      <c r="J486" s="11"/>
      <c r="K486" s="11"/>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row>
    <row r="487" ht="15.75" customHeight="1">
      <c r="A487" s="15"/>
      <c r="B487" s="260"/>
      <c r="C487" s="21"/>
      <c r="D487" s="15"/>
      <c r="E487" s="15"/>
      <c r="F487" s="262"/>
      <c r="G487" s="15"/>
      <c r="H487" s="11"/>
      <c r="I487" s="11"/>
      <c r="J487" s="11"/>
      <c r="K487" s="11"/>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row>
    <row r="488" ht="15.75" customHeight="1">
      <c r="A488" s="15"/>
      <c r="B488" s="260"/>
      <c r="C488" s="21"/>
      <c r="D488" s="15"/>
      <c r="E488" s="15"/>
      <c r="F488" s="262"/>
      <c r="G488" s="15"/>
      <c r="H488" s="11"/>
      <c r="I488" s="11"/>
      <c r="J488" s="11"/>
      <c r="K488" s="11"/>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row>
    <row r="489" ht="15.75" customHeight="1">
      <c r="A489" s="15"/>
      <c r="B489" s="260"/>
      <c r="C489" s="21"/>
      <c r="D489" s="15"/>
      <c r="E489" s="15"/>
      <c r="F489" s="262"/>
      <c r="G489" s="15"/>
      <c r="H489" s="11"/>
      <c r="I489" s="11"/>
      <c r="J489" s="11"/>
      <c r="K489" s="11"/>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row>
    <row r="490" ht="15.75" customHeight="1">
      <c r="A490" s="15"/>
      <c r="B490" s="260"/>
      <c r="C490" s="21"/>
      <c r="D490" s="15"/>
      <c r="E490" s="15"/>
      <c r="F490" s="262"/>
      <c r="G490" s="15"/>
      <c r="H490" s="11"/>
      <c r="I490" s="11"/>
      <c r="J490" s="11"/>
      <c r="K490" s="11"/>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row>
    <row r="491" ht="15.75" customHeight="1">
      <c r="A491" s="15"/>
      <c r="B491" s="260"/>
      <c r="C491" s="21"/>
      <c r="D491" s="15"/>
      <c r="E491" s="15"/>
      <c r="F491" s="262"/>
      <c r="G491" s="15"/>
      <c r="H491" s="11"/>
      <c r="I491" s="11"/>
      <c r="J491" s="11"/>
      <c r="K491" s="11"/>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row>
    <row r="492" ht="15.75" customHeight="1">
      <c r="A492" s="15"/>
      <c r="B492" s="260"/>
      <c r="C492" s="21"/>
      <c r="D492" s="15"/>
      <c r="E492" s="15"/>
      <c r="F492" s="262"/>
      <c r="G492" s="15"/>
      <c r="H492" s="11"/>
      <c r="I492" s="11"/>
      <c r="J492" s="11"/>
      <c r="K492" s="11"/>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row>
    <row r="493" ht="15.75" customHeight="1">
      <c r="A493" s="15"/>
      <c r="B493" s="260"/>
      <c r="C493" s="21"/>
      <c r="D493" s="15"/>
      <c r="E493" s="15"/>
      <c r="F493" s="262"/>
      <c r="G493" s="15"/>
      <c r="H493" s="11"/>
      <c r="I493" s="11"/>
      <c r="J493" s="11"/>
      <c r="K493" s="11"/>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row>
    <row r="494" ht="15.75" customHeight="1">
      <c r="A494" s="15"/>
      <c r="B494" s="260"/>
      <c r="C494" s="21"/>
      <c r="D494" s="15"/>
      <c r="E494" s="15"/>
      <c r="F494" s="262"/>
      <c r="G494" s="15"/>
      <c r="H494" s="11"/>
      <c r="I494" s="11"/>
      <c r="J494" s="11"/>
      <c r="K494" s="11"/>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row>
    <row r="495" ht="15.75" customHeight="1">
      <c r="A495" s="15"/>
      <c r="B495" s="260"/>
      <c r="C495" s="21"/>
      <c r="D495" s="15"/>
      <c r="E495" s="15"/>
      <c r="F495" s="262"/>
      <c r="G495" s="15"/>
      <c r="H495" s="11"/>
      <c r="I495" s="11"/>
      <c r="J495" s="11"/>
      <c r="K495" s="11"/>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row>
    <row r="496" ht="15.75" customHeight="1">
      <c r="A496" s="15"/>
      <c r="B496" s="260"/>
      <c r="C496" s="21"/>
      <c r="D496" s="15"/>
      <c r="E496" s="15"/>
      <c r="F496" s="262"/>
      <c r="G496" s="15"/>
      <c r="H496" s="11"/>
      <c r="I496" s="11"/>
      <c r="J496" s="11"/>
      <c r="K496" s="11"/>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row>
    <row r="497" ht="15.75" customHeight="1">
      <c r="A497" s="15"/>
      <c r="B497" s="260"/>
      <c r="C497" s="21"/>
      <c r="D497" s="15"/>
      <c r="E497" s="15"/>
      <c r="F497" s="262"/>
      <c r="G497" s="15"/>
      <c r="H497" s="11"/>
      <c r="I497" s="11"/>
      <c r="J497" s="11"/>
      <c r="K497" s="11"/>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row>
    <row r="498" ht="15.75" customHeight="1">
      <c r="A498" s="15"/>
      <c r="B498" s="260"/>
      <c r="C498" s="21"/>
      <c r="D498" s="15"/>
      <c r="E498" s="15"/>
      <c r="F498" s="262"/>
      <c r="G498" s="15"/>
      <c r="H498" s="11"/>
      <c r="I498" s="11"/>
      <c r="J498" s="11"/>
      <c r="K498" s="11"/>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row>
    <row r="499" ht="15.75" customHeight="1">
      <c r="A499" s="15"/>
      <c r="B499" s="260"/>
      <c r="C499" s="21"/>
      <c r="D499" s="15"/>
      <c r="E499" s="15"/>
      <c r="F499" s="262"/>
      <c r="G499" s="15"/>
      <c r="H499" s="11"/>
      <c r="I499" s="11"/>
      <c r="J499" s="11"/>
      <c r="K499" s="11"/>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row>
    <row r="500" ht="15.75" customHeight="1">
      <c r="A500" s="15"/>
      <c r="B500" s="260"/>
      <c r="C500" s="21"/>
      <c r="D500" s="15"/>
      <c r="E500" s="15"/>
      <c r="F500" s="262"/>
      <c r="G500" s="15"/>
      <c r="H500" s="11"/>
      <c r="I500" s="11"/>
      <c r="J500" s="11"/>
      <c r="K500" s="11"/>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row>
    <row r="501" ht="15.75" customHeight="1">
      <c r="A501" s="15"/>
      <c r="B501" s="260"/>
      <c r="C501" s="21"/>
      <c r="D501" s="15"/>
      <c r="E501" s="15"/>
      <c r="F501" s="262"/>
      <c r="G501" s="15"/>
      <c r="H501" s="11"/>
      <c r="I501" s="11"/>
      <c r="J501" s="11"/>
      <c r="K501" s="11"/>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row>
    <row r="502" ht="15.75" customHeight="1">
      <c r="A502" s="15"/>
      <c r="B502" s="260"/>
      <c r="C502" s="21"/>
      <c r="D502" s="15"/>
      <c r="E502" s="15"/>
      <c r="F502" s="262"/>
      <c r="G502" s="15"/>
      <c r="H502" s="11"/>
      <c r="I502" s="11"/>
      <c r="J502" s="11"/>
      <c r="K502" s="11"/>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row>
    <row r="503" ht="15.75" customHeight="1">
      <c r="A503" s="15"/>
      <c r="B503" s="260"/>
      <c r="C503" s="21"/>
      <c r="D503" s="15"/>
      <c r="E503" s="15"/>
      <c r="F503" s="262"/>
      <c r="G503" s="15"/>
      <c r="H503" s="11"/>
      <c r="I503" s="11"/>
      <c r="J503" s="11"/>
      <c r="K503" s="11"/>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row>
    <row r="504" ht="15.75" customHeight="1">
      <c r="A504" s="15"/>
      <c r="B504" s="260"/>
      <c r="C504" s="21"/>
      <c r="D504" s="15"/>
      <c r="E504" s="15"/>
      <c r="F504" s="262"/>
      <c r="G504" s="15"/>
      <c r="H504" s="11"/>
      <c r="I504" s="11"/>
      <c r="J504" s="11"/>
      <c r="K504" s="11"/>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row>
    <row r="505" ht="15.75" customHeight="1">
      <c r="A505" s="15"/>
      <c r="B505" s="260"/>
      <c r="C505" s="21"/>
      <c r="D505" s="15"/>
      <c r="E505" s="15"/>
      <c r="F505" s="262"/>
      <c r="G505" s="15"/>
      <c r="H505" s="11"/>
      <c r="I505" s="11"/>
      <c r="J505" s="11"/>
      <c r="K505" s="11"/>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row>
    <row r="506" ht="15.75" customHeight="1">
      <c r="A506" s="15"/>
      <c r="B506" s="260"/>
      <c r="C506" s="21"/>
      <c r="D506" s="15"/>
      <c r="E506" s="15"/>
      <c r="F506" s="262"/>
      <c r="G506" s="15"/>
      <c r="H506" s="11"/>
      <c r="I506" s="11"/>
      <c r="J506" s="11"/>
      <c r="K506" s="11"/>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row>
    <row r="507" ht="15.75" customHeight="1">
      <c r="A507" s="15"/>
      <c r="B507" s="260"/>
      <c r="C507" s="21"/>
      <c r="D507" s="15"/>
      <c r="E507" s="15"/>
      <c r="F507" s="262"/>
      <c r="G507" s="15"/>
      <c r="H507" s="11"/>
      <c r="I507" s="11"/>
      <c r="J507" s="11"/>
      <c r="K507" s="11"/>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row>
    <row r="508" ht="15.75" customHeight="1">
      <c r="A508" s="15"/>
      <c r="B508" s="260"/>
      <c r="C508" s="21"/>
      <c r="D508" s="15"/>
      <c r="E508" s="15"/>
      <c r="F508" s="262"/>
      <c r="G508" s="15"/>
      <c r="H508" s="11"/>
      <c r="I508" s="11"/>
      <c r="J508" s="11"/>
      <c r="K508" s="11"/>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row>
    <row r="509" ht="15.75" customHeight="1">
      <c r="A509" s="15"/>
      <c r="B509" s="260"/>
      <c r="C509" s="21"/>
      <c r="D509" s="15"/>
      <c r="E509" s="15"/>
      <c r="F509" s="262"/>
      <c r="G509" s="15"/>
      <c r="H509" s="11"/>
      <c r="I509" s="11"/>
      <c r="J509" s="11"/>
      <c r="K509" s="11"/>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row>
    <row r="510" ht="15.75" customHeight="1">
      <c r="A510" s="15"/>
      <c r="B510" s="260"/>
      <c r="C510" s="21"/>
      <c r="D510" s="15"/>
      <c r="E510" s="15"/>
      <c r="F510" s="262"/>
      <c r="G510" s="15"/>
      <c r="H510" s="11"/>
      <c r="I510" s="11"/>
      <c r="J510" s="11"/>
      <c r="K510" s="11"/>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row>
    <row r="511" ht="15.75" customHeight="1">
      <c r="A511" s="15"/>
      <c r="B511" s="260"/>
      <c r="C511" s="21"/>
      <c r="D511" s="15"/>
      <c r="E511" s="15"/>
      <c r="F511" s="262"/>
      <c r="G511" s="15"/>
      <c r="H511" s="11"/>
      <c r="I511" s="11"/>
      <c r="J511" s="11"/>
      <c r="K511" s="11"/>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row>
    <row r="512" ht="15.75" customHeight="1">
      <c r="A512" s="15"/>
      <c r="B512" s="260"/>
      <c r="C512" s="21"/>
      <c r="D512" s="15"/>
      <c r="E512" s="15"/>
      <c r="F512" s="262"/>
      <c r="G512" s="15"/>
      <c r="H512" s="11"/>
      <c r="I512" s="11"/>
      <c r="J512" s="11"/>
      <c r="K512" s="11"/>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row>
    <row r="513" ht="15.75" customHeight="1">
      <c r="A513" s="15"/>
      <c r="B513" s="260"/>
      <c r="C513" s="21"/>
      <c r="D513" s="15"/>
      <c r="E513" s="15"/>
      <c r="F513" s="262"/>
      <c r="G513" s="15"/>
      <c r="H513" s="11"/>
      <c r="I513" s="11"/>
      <c r="J513" s="11"/>
      <c r="K513" s="11"/>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row>
    <row r="514" ht="15.75" customHeight="1">
      <c r="A514" s="15"/>
      <c r="B514" s="260"/>
      <c r="C514" s="21"/>
      <c r="D514" s="15"/>
      <c r="E514" s="15"/>
      <c r="F514" s="262"/>
      <c r="G514" s="15"/>
      <c r="H514" s="11"/>
      <c r="I514" s="11"/>
      <c r="J514" s="11"/>
      <c r="K514" s="11"/>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row>
    <row r="515" ht="15.75" customHeight="1">
      <c r="A515" s="15"/>
      <c r="B515" s="260"/>
      <c r="C515" s="21"/>
      <c r="D515" s="15"/>
      <c r="E515" s="15"/>
      <c r="F515" s="262"/>
      <c r="G515" s="15"/>
      <c r="H515" s="11"/>
      <c r="I515" s="11"/>
      <c r="J515" s="11"/>
      <c r="K515" s="11"/>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row>
    <row r="516" ht="15.75" customHeight="1">
      <c r="A516" s="15"/>
      <c r="B516" s="260"/>
      <c r="C516" s="21"/>
      <c r="D516" s="15"/>
      <c r="E516" s="15"/>
      <c r="F516" s="262"/>
      <c r="G516" s="15"/>
      <c r="H516" s="11"/>
      <c r="I516" s="11"/>
      <c r="J516" s="11"/>
      <c r="K516" s="11"/>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row>
    <row r="517" ht="15.75" customHeight="1">
      <c r="A517" s="15"/>
      <c r="B517" s="260"/>
      <c r="C517" s="21"/>
      <c r="D517" s="15"/>
      <c r="E517" s="15"/>
      <c r="F517" s="262"/>
      <c r="G517" s="15"/>
      <c r="H517" s="11"/>
      <c r="I517" s="11"/>
      <c r="J517" s="11"/>
      <c r="K517" s="11"/>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row>
    <row r="518" ht="15.75" customHeight="1">
      <c r="A518" s="15"/>
      <c r="B518" s="260"/>
      <c r="C518" s="21"/>
      <c r="D518" s="15"/>
      <c r="E518" s="15"/>
      <c r="F518" s="262"/>
      <c r="G518" s="15"/>
      <c r="H518" s="11"/>
      <c r="I518" s="11"/>
      <c r="J518" s="11"/>
      <c r="K518" s="11"/>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row>
    <row r="519" ht="15.75" customHeight="1">
      <c r="A519" s="15"/>
      <c r="B519" s="260"/>
      <c r="C519" s="21"/>
      <c r="D519" s="15"/>
      <c r="E519" s="15"/>
      <c r="F519" s="262"/>
      <c r="G519" s="15"/>
      <c r="H519" s="11"/>
      <c r="I519" s="11"/>
      <c r="J519" s="11"/>
      <c r="K519" s="11"/>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row>
    <row r="520" ht="15.75" customHeight="1">
      <c r="A520" s="15"/>
      <c r="B520" s="260"/>
      <c r="C520" s="21"/>
      <c r="D520" s="15"/>
      <c r="E520" s="15"/>
      <c r="F520" s="262"/>
      <c r="G520" s="15"/>
      <c r="H520" s="11"/>
      <c r="I520" s="11"/>
      <c r="J520" s="11"/>
      <c r="K520" s="11"/>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row>
    <row r="521" ht="15.75" customHeight="1">
      <c r="A521" s="15"/>
      <c r="B521" s="260"/>
      <c r="C521" s="21"/>
      <c r="D521" s="15"/>
      <c r="E521" s="15"/>
      <c r="F521" s="262"/>
      <c r="G521" s="15"/>
      <c r="H521" s="11"/>
      <c r="I521" s="11"/>
      <c r="J521" s="11"/>
      <c r="K521" s="11"/>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row>
    <row r="522" ht="15.75" customHeight="1">
      <c r="A522" s="15"/>
      <c r="B522" s="260"/>
      <c r="C522" s="21"/>
      <c r="D522" s="15"/>
      <c r="E522" s="15"/>
      <c r="F522" s="262"/>
      <c r="G522" s="15"/>
      <c r="H522" s="11"/>
      <c r="I522" s="11"/>
      <c r="J522" s="11"/>
      <c r="K522" s="11"/>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row>
    <row r="523" ht="15.75" customHeight="1">
      <c r="A523" s="15"/>
      <c r="B523" s="260"/>
      <c r="C523" s="21"/>
      <c r="D523" s="15"/>
      <c r="E523" s="15"/>
      <c r="F523" s="262"/>
      <c r="G523" s="15"/>
      <c r="H523" s="11"/>
      <c r="I523" s="11"/>
      <c r="J523" s="11"/>
      <c r="K523" s="11"/>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row>
    <row r="524" ht="15.75" customHeight="1">
      <c r="A524" s="15"/>
      <c r="B524" s="260"/>
      <c r="C524" s="21"/>
      <c r="D524" s="15"/>
      <c r="E524" s="15"/>
      <c r="F524" s="262"/>
      <c r="G524" s="15"/>
      <c r="H524" s="11"/>
      <c r="I524" s="11"/>
      <c r="J524" s="11"/>
      <c r="K524" s="11"/>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row>
    <row r="525" ht="15.75" customHeight="1">
      <c r="A525" s="15"/>
      <c r="B525" s="260"/>
      <c r="C525" s="21"/>
      <c r="D525" s="15"/>
      <c r="E525" s="15"/>
      <c r="F525" s="262"/>
      <c r="G525" s="15"/>
      <c r="H525" s="11"/>
      <c r="I525" s="11"/>
      <c r="J525" s="11"/>
      <c r="K525" s="11"/>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row>
    <row r="526" ht="15.75" customHeight="1">
      <c r="A526" s="15"/>
      <c r="B526" s="260"/>
      <c r="C526" s="21"/>
      <c r="D526" s="15"/>
      <c r="E526" s="15"/>
      <c r="F526" s="262"/>
      <c r="G526" s="15"/>
      <c r="H526" s="11"/>
      <c r="I526" s="11"/>
      <c r="J526" s="11"/>
      <c r="K526" s="11"/>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row>
    <row r="527" ht="15.75" customHeight="1">
      <c r="A527" s="15"/>
      <c r="B527" s="260"/>
      <c r="C527" s="21"/>
      <c r="D527" s="15"/>
      <c r="E527" s="15"/>
      <c r="F527" s="262"/>
      <c r="G527" s="15"/>
      <c r="H527" s="11"/>
      <c r="I527" s="11"/>
      <c r="J527" s="11"/>
      <c r="K527" s="11"/>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row>
    <row r="528" ht="15.75" customHeight="1">
      <c r="A528" s="15"/>
      <c r="B528" s="260"/>
      <c r="C528" s="21"/>
      <c r="D528" s="15"/>
      <c r="E528" s="15"/>
      <c r="F528" s="262"/>
      <c r="G528" s="15"/>
      <c r="H528" s="11"/>
      <c r="I528" s="11"/>
      <c r="J528" s="11"/>
      <c r="K528" s="11"/>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row>
    <row r="529" ht="15.75" customHeight="1">
      <c r="A529" s="15"/>
      <c r="B529" s="260"/>
      <c r="C529" s="21"/>
      <c r="D529" s="15"/>
      <c r="E529" s="15"/>
      <c r="F529" s="262"/>
      <c r="G529" s="15"/>
      <c r="H529" s="11"/>
      <c r="I529" s="11"/>
      <c r="J529" s="11"/>
      <c r="K529" s="11"/>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row>
    <row r="530" ht="15.75" customHeight="1">
      <c r="A530" s="15"/>
      <c r="B530" s="260"/>
      <c r="C530" s="21"/>
      <c r="D530" s="15"/>
      <c r="E530" s="15"/>
      <c r="F530" s="262"/>
      <c r="G530" s="15"/>
      <c r="H530" s="11"/>
      <c r="I530" s="11"/>
      <c r="J530" s="11"/>
      <c r="K530" s="11"/>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row>
    <row r="531" ht="15.75" customHeight="1">
      <c r="A531" s="15"/>
      <c r="B531" s="260"/>
      <c r="C531" s="21"/>
      <c r="D531" s="15"/>
      <c r="E531" s="15"/>
      <c r="F531" s="262"/>
      <c r="G531" s="15"/>
      <c r="H531" s="11"/>
      <c r="I531" s="11"/>
      <c r="J531" s="11"/>
      <c r="K531" s="11"/>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row>
    <row r="532" ht="15.75" customHeight="1">
      <c r="A532" s="15"/>
      <c r="B532" s="260"/>
      <c r="C532" s="21"/>
      <c r="D532" s="15"/>
      <c r="E532" s="15"/>
      <c r="F532" s="262"/>
      <c r="G532" s="15"/>
      <c r="H532" s="11"/>
      <c r="I532" s="11"/>
      <c r="J532" s="11"/>
      <c r="K532" s="11"/>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row>
    <row r="533" ht="15.75" customHeight="1">
      <c r="A533" s="15"/>
      <c r="B533" s="260"/>
      <c r="C533" s="21"/>
      <c r="D533" s="15"/>
      <c r="E533" s="15"/>
      <c r="F533" s="262"/>
      <c r="G533" s="15"/>
      <c r="H533" s="11"/>
      <c r="I533" s="11"/>
      <c r="J533" s="11"/>
      <c r="K533" s="11"/>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row>
    <row r="534" ht="15.75" customHeight="1">
      <c r="A534" s="15"/>
      <c r="B534" s="260"/>
      <c r="C534" s="21"/>
      <c r="D534" s="15"/>
      <c r="E534" s="15"/>
      <c r="F534" s="262"/>
      <c r="G534" s="15"/>
      <c r="H534" s="11"/>
      <c r="I534" s="11"/>
      <c r="J534" s="11"/>
      <c r="K534" s="11"/>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row>
    <row r="535" ht="15.75" customHeight="1">
      <c r="A535" s="15"/>
      <c r="B535" s="260"/>
      <c r="C535" s="21"/>
      <c r="D535" s="15"/>
      <c r="E535" s="15"/>
      <c r="F535" s="262"/>
      <c r="G535" s="15"/>
      <c r="H535" s="11"/>
      <c r="I535" s="11"/>
      <c r="J535" s="11"/>
      <c r="K535" s="11"/>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row>
    <row r="536" ht="15.75" customHeight="1">
      <c r="A536" s="15"/>
      <c r="B536" s="260"/>
      <c r="C536" s="21"/>
      <c r="D536" s="15"/>
      <c r="E536" s="15"/>
      <c r="F536" s="262"/>
      <c r="G536" s="15"/>
      <c r="H536" s="11"/>
      <c r="I536" s="11"/>
      <c r="J536" s="11"/>
      <c r="K536" s="11"/>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row>
    <row r="537" ht="15.75" customHeight="1">
      <c r="A537" s="15"/>
      <c r="B537" s="260"/>
      <c r="C537" s="21"/>
      <c r="D537" s="15"/>
      <c r="E537" s="15"/>
      <c r="F537" s="262"/>
      <c r="G537" s="15"/>
      <c r="H537" s="11"/>
      <c r="I537" s="11"/>
      <c r="J537" s="11"/>
      <c r="K537" s="11"/>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row>
    <row r="538" ht="15.75" customHeight="1">
      <c r="A538" s="15"/>
      <c r="B538" s="260"/>
      <c r="C538" s="21"/>
      <c r="D538" s="15"/>
      <c r="E538" s="15"/>
      <c r="F538" s="262"/>
      <c r="G538" s="15"/>
      <c r="H538" s="11"/>
      <c r="I538" s="11"/>
      <c r="J538" s="11"/>
      <c r="K538" s="11"/>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row>
    <row r="539" ht="15.75" customHeight="1">
      <c r="A539" s="15"/>
      <c r="B539" s="260"/>
      <c r="C539" s="21"/>
      <c r="D539" s="15"/>
      <c r="E539" s="15"/>
      <c r="F539" s="262"/>
      <c r="G539" s="15"/>
      <c r="H539" s="11"/>
      <c r="I539" s="11"/>
      <c r="J539" s="11"/>
      <c r="K539" s="11"/>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row>
    <row r="540" ht="15.75" customHeight="1">
      <c r="A540" s="15"/>
      <c r="B540" s="260"/>
      <c r="C540" s="21"/>
      <c r="D540" s="15"/>
      <c r="E540" s="15"/>
      <c r="F540" s="262"/>
      <c r="G540" s="15"/>
      <c r="H540" s="11"/>
      <c r="I540" s="11"/>
      <c r="J540" s="11"/>
      <c r="K540" s="11"/>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row>
    <row r="541" ht="15.75" customHeight="1">
      <c r="A541" s="15"/>
      <c r="B541" s="260"/>
      <c r="C541" s="21"/>
      <c r="D541" s="15"/>
      <c r="E541" s="15"/>
      <c r="F541" s="262"/>
      <c r="G541" s="15"/>
      <c r="H541" s="11"/>
      <c r="I541" s="11"/>
      <c r="J541" s="11"/>
      <c r="K541" s="11"/>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row>
    <row r="542" ht="15.75" customHeight="1">
      <c r="A542" s="15"/>
      <c r="B542" s="260"/>
      <c r="C542" s="21"/>
      <c r="D542" s="15"/>
      <c r="E542" s="15"/>
      <c r="F542" s="262"/>
      <c r="G542" s="15"/>
      <c r="H542" s="11"/>
      <c r="I542" s="11"/>
      <c r="J542" s="11"/>
      <c r="K542" s="11"/>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row>
    <row r="543" ht="15.75" customHeight="1">
      <c r="A543" s="15"/>
      <c r="B543" s="260"/>
      <c r="C543" s="21"/>
      <c r="D543" s="15"/>
      <c r="E543" s="15"/>
      <c r="F543" s="262"/>
      <c r="G543" s="15"/>
      <c r="H543" s="11"/>
      <c r="I543" s="11"/>
      <c r="J543" s="11"/>
      <c r="K543" s="11"/>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row>
    <row r="544" ht="15.75" customHeight="1">
      <c r="A544" s="15"/>
      <c r="B544" s="260"/>
      <c r="C544" s="21"/>
      <c r="D544" s="15"/>
      <c r="E544" s="15"/>
      <c r="F544" s="262"/>
      <c r="G544" s="15"/>
      <c r="H544" s="11"/>
      <c r="I544" s="11"/>
      <c r="J544" s="11"/>
      <c r="K544" s="11"/>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row>
    <row r="545" ht="15.75" customHeight="1">
      <c r="A545" s="15"/>
      <c r="B545" s="260"/>
      <c r="C545" s="21"/>
      <c r="D545" s="15"/>
      <c r="E545" s="15"/>
      <c r="F545" s="262"/>
      <c r="G545" s="15"/>
      <c r="H545" s="11"/>
      <c r="I545" s="11"/>
      <c r="J545" s="11"/>
      <c r="K545" s="11"/>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row>
    <row r="546" ht="15.75" customHeight="1">
      <c r="A546" s="15"/>
      <c r="B546" s="260"/>
      <c r="C546" s="21"/>
      <c r="D546" s="15"/>
      <c r="E546" s="15"/>
      <c r="F546" s="262"/>
      <c r="G546" s="15"/>
      <c r="H546" s="11"/>
      <c r="I546" s="11"/>
      <c r="J546" s="11"/>
      <c r="K546" s="11"/>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row>
    <row r="547" ht="15.75" customHeight="1">
      <c r="A547" s="15"/>
      <c r="B547" s="260"/>
      <c r="C547" s="21"/>
      <c r="D547" s="15"/>
      <c r="E547" s="15"/>
      <c r="F547" s="262"/>
      <c r="G547" s="15"/>
      <c r="H547" s="11"/>
      <c r="I547" s="11"/>
      <c r="J547" s="11"/>
      <c r="K547" s="11"/>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row>
    <row r="548" ht="15.75" customHeight="1">
      <c r="A548" s="15"/>
      <c r="B548" s="260"/>
      <c r="C548" s="21"/>
      <c r="D548" s="15"/>
      <c r="E548" s="15"/>
      <c r="F548" s="262"/>
      <c r="G548" s="15"/>
      <c r="H548" s="11"/>
      <c r="I548" s="11"/>
      <c r="J548" s="11"/>
      <c r="K548" s="11"/>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row>
    <row r="549" ht="15.75" customHeight="1">
      <c r="A549" s="15"/>
      <c r="B549" s="260"/>
      <c r="C549" s="21"/>
      <c r="D549" s="15"/>
      <c r="E549" s="15"/>
      <c r="F549" s="262"/>
      <c r="G549" s="15"/>
      <c r="H549" s="11"/>
      <c r="I549" s="11"/>
      <c r="J549" s="11"/>
      <c r="K549" s="11"/>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row>
    <row r="550" ht="15.75" customHeight="1">
      <c r="A550" s="15"/>
      <c r="B550" s="260"/>
      <c r="C550" s="21"/>
      <c r="D550" s="15"/>
      <c r="E550" s="15"/>
      <c r="F550" s="262"/>
      <c r="G550" s="15"/>
      <c r="H550" s="11"/>
      <c r="I550" s="11"/>
      <c r="J550" s="11"/>
      <c r="K550" s="11"/>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row>
    <row r="551" ht="15.75" customHeight="1">
      <c r="A551" s="15"/>
      <c r="B551" s="260"/>
      <c r="C551" s="21"/>
      <c r="D551" s="15"/>
      <c r="E551" s="15"/>
      <c r="F551" s="262"/>
      <c r="G551" s="15"/>
      <c r="H551" s="11"/>
      <c r="I551" s="11"/>
      <c r="J551" s="11"/>
      <c r="K551" s="11"/>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row>
    <row r="552" ht="15.75" customHeight="1">
      <c r="A552" s="15"/>
      <c r="B552" s="260"/>
      <c r="C552" s="21"/>
      <c r="D552" s="15"/>
      <c r="E552" s="15"/>
      <c r="F552" s="262"/>
      <c r="G552" s="15"/>
      <c r="H552" s="11"/>
      <c r="I552" s="11"/>
      <c r="J552" s="11"/>
      <c r="K552" s="11"/>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row>
    <row r="553" ht="15.75" customHeight="1">
      <c r="A553" s="15"/>
      <c r="B553" s="260"/>
      <c r="C553" s="21"/>
      <c r="D553" s="15"/>
      <c r="E553" s="15"/>
      <c r="F553" s="262"/>
      <c r="G553" s="15"/>
      <c r="H553" s="11"/>
      <c r="I553" s="11"/>
      <c r="J553" s="11"/>
      <c r="K553" s="11"/>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row>
    <row r="554" ht="15.75" customHeight="1">
      <c r="A554" s="15"/>
      <c r="B554" s="260"/>
      <c r="C554" s="21"/>
      <c r="D554" s="15"/>
      <c r="E554" s="15"/>
      <c r="F554" s="262"/>
      <c r="G554" s="15"/>
      <c r="H554" s="11"/>
      <c r="I554" s="11"/>
      <c r="J554" s="11"/>
      <c r="K554" s="11"/>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row>
    <row r="555" ht="15.75" customHeight="1">
      <c r="A555" s="15"/>
      <c r="B555" s="260"/>
      <c r="C555" s="21"/>
      <c r="D555" s="15"/>
      <c r="E555" s="15"/>
      <c r="F555" s="262"/>
      <c r="G555" s="15"/>
      <c r="H555" s="11"/>
      <c r="I555" s="11"/>
      <c r="J555" s="11"/>
      <c r="K555" s="11"/>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row>
  </sheetData>
  <mergeCells count="13">
    <mergeCell ref="B83:B89"/>
    <mergeCell ref="C83:C89"/>
    <mergeCell ref="D83:D89"/>
    <mergeCell ref="B90:B111"/>
    <mergeCell ref="C90:C111"/>
    <mergeCell ref="D90:D111"/>
    <mergeCell ref="C3:H3"/>
    <mergeCell ref="B58:B70"/>
    <mergeCell ref="C58:C70"/>
    <mergeCell ref="D58:D70"/>
    <mergeCell ref="B73:B82"/>
    <mergeCell ref="C73:C82"/>
    <mergeCell ref="D73:D82"/>
  </mergeCells>
  <dataValidations>
    <dataValidation type="list" allowBlank="1" sqref="G9:J9">
      <formula1>"VerifyWorkingSubs,CreateDoneAwayOrder,CheckUnallocatedGroups,CheckAllocatedGroups,CheckPortfolioManagement,GetDataClosing,VerifyLongPositionsGrid,VerifyShortPositionsGrid,SaveLayoutOrderGrid,VerifyActivity,GetActivityData,VerifySubOrder,VerifyOrder,GetDat"&amp;"aAllocation"</formula1>
    </dataValidation>
    <dataValidation type="list" allowBlank="1" sqref="G205:J205">
      <formula1>"CreateDoneAwayOrder,GetDataAllocation,CheckAllocatedGroups,GetActivityData,VerifyActivity"</formula1>
    </dataValidation>
    <dataValidation type="list" allowBlank="1" sqref="G222:J222">
      <formula1>"CreateDoneAwayOrder,VerifyWorkingSubs,SelectTradeOnOrderGrid,VerifySubOrder"</formula1>
    </dataValidation>
    <dataValidation type="list" allowBlank="1" sqref="G208:J208">
      <formula1>"CreateDoneAwayOrder,GetDataAllocation,CheckAllocatedGroups,GetActivityData,VerifyActivity,GetTradingTransaction,VerifyTradingTransaction,GetDataClosing"</formula1>
    </dataValidation>
    <dataValidation type="list" allowBlank="1" sqref="G141:J141">
      <formula1>"EnterDetailsOnTT,Allocate,SaveAllocation,EnterAllocatePreference,CleanUp,CreateDoneAwayOrder,CleanUps,CloseAllocation"</formula1>
    </dataValidation>
    <dataValidation type="list" allowBlank="1" sqref="H64:J64">
      <formula1>"CleanUp,CreateDoneAwayOrder,GeneralPreferencesDefaultRule,SelectUnallocatedGroup,EnterAccountValuesToAllocate,CheckAllocatedGroups,CheckUnallocatedGroups,VerifyOrder"</formula1>
    </dataValidation>
    <dataValidation type="list" allowBlank="1" sqref="G162:J162">
      <formula1>"CleanUp,CreateDoneAwayOrder,SelectAllocatedGroup,Copy of Data,CheckBlotter,CheckAllocatedGroups,EditAllocatedGrid"</formula1>
    </dataValidation>
    <dataValidation type="list" allowBlank="1" sqref="G78:J78">
      <formula1>"CleanUp,CreateDoneAwayOrder,SetGeneralPreferences,VerifyOrder,CheckAllocatedGroups,ResetGeneralPreferences,VerifyLongPositionsGrid,GetDataClosing"</formula1>
    </dataValidation>
    <dataValidation type="list" allowBlank="1" sqref="G201:J201">
      <formula1>"VerifyDataTT,Copy of Data,CreateDoneAwayOrder"</formula1>
    </dataValidation>
    <dataValidation type="list" allowBlank="1" sqref="G22:J22">
      <formula1>"GetMarkPriceData,GetForexConversion,GetDailyCash,GetDailyDelta,GetDailyDividendYield,GetDailyOutstandings,GetDailyTradingVolume"</formula1>
    </dataValidation>
    <dataValidation type="list" allowBlank="1" sqref="G109:J111">
      <formula1>"CleanUp,GetDailyCash,UpdateDailyCash,UpdateForexConversion,AddCalculatedPreferences,SetDefaultRuleCalculatedPref,CreateDoneAwayOrder,PricingInput,CheckAllocatedGroups,CheckUnallocatedGroups,CheckPortfolioManagement,SelectUnallocatedGroup,EnterAllocatePref"&amp;"erence,AddFillsSubOrder,SelectTradeOnOrderGrid,EditAddFillsDetails"</formula1>
    </dataValidation>
    <dataValidation type="list" allowBlank="1" sqref="G125:J125">
      <formula1>"CreateDoneAwayOrder,GetDataAllocation,CheckUnallocatedGroups,SelectUnallocatedGroup,CheckUnallocatedGroups1,EditUnallocatedGrid,SelectAllocatedGroup"</formula1>
    </dataValidation>
    <dataValidation type="list" allowBlank="1" sqref="G191">
      <formula1>"CleanUp,CreateDoneAwayOrder,EditUnallocatedGrid,VerifyLayoutUnallocatedGrid,CheckUnallocatedGroups,Copy of Data,Copy of Data 1"</formula1>
    </dataValidation>
    <dataValidation type="list" allowBlank="1" sqref="G74:J74 G123:J123 G154:J154 G166:J166 G175:J175 G188 G198:J198">
      <formula1>"CleanUp,CreateDoneAwayOrder"</formula1>
    </dataValidation>
    <dataValidation type="list" allowBlank="1" sqref="G180:J180">
      <formula1>"UpdateServerConfig,CreateStageOrder"</formula1>
    </dataValidation>
    <dataValidation type="list" allowBlank="1" sqref="G204:J204">
      <formula1>"CreateDoneAwayOrder,GetDataAllocation,CheckAllocatedGroups,GetActivityData"</formula1>
    </dataValidation>
    <dataValidation type="list" allowBlank="1" sqref="G100:J100">
      <formula1>"CleanUp,GetDailyCash,UpdateDailyCash,AddCalculatedPreferences,SetDefaultRuleCalculatedPref,CreateDoneAwayOrder,PricingInput,CheckAllocatedGroups,Copy of Data_conflict271610572"</formula1>
    </dataValidation>
    <dataValidation type="list" allowBlank="1" sqref="G126:J126">
      <formula1>"CreateDoneAwayOrder,GetDataAllocation,CheckUnallocatedGroups,SelectUnallocatedGroup,CheckUnallocatedGroups1,EditUnallocatedGrid,SelectAllocatedGroup,EditAllocatedGrid"</formula1>
    </dataValidation>
    <dataValidation type="list" allowBlank="1" sqref="F197">
      <formula1>"DeleteClientData,,,,,,,,,,,,,,,,,,,,,,,,,,,,,,,,,,,,,,,,,,,,,,,,,,,,,,,,,,,,,,,,,,,,,,,,,,,,,,,,,,,,,,,,,,,,,,,,,,,,,,,,,,,,,,,,,,,,,,,,,,,,,,,,,,,,,,,,,,,,,,,,,,,,,,,,,,,,,,,,,,,,,,,,,,,,,,,,,,,,,,,,,,,,,,,,,,,,,,,,,,,,,,,,,,,,,,,,,,,,,,,,,,,,,,,,,,,,,,,"&amp;",,,,,,,,,,,,,,,,,,,,,,,,,,,,,,,,,,,,,,,,,,,,,,,,,,,,,,,,,,,,,,,,,,,,,,,,,,,,,,,,,,,,,,,,,,,,,,,,,,,,,,,,,,,,,,,,,,,,,,,,,,,,,,,,,,,,,,,,,,,,,,,,,,,,,,,,,,,,,,,,,,,,,,,,,,,,,,,,,,,,,,,,,,,,,,,,,,,,,,,,,,,,,,,,,,,,,,,,,,,,,,,,,,,,,,,,,,,,,,,,,,,,,,,,,,,,,,,"&amp;",,"</formula1>
    </dataValidation>
    <dataValidation type="list" allowBlank="1" sqref="G221:J221">
      <formula1>"CreateDoneAwayOrder,VerifyWorkingSubs,SelectTradeOnOrderGrid"</formula1>
    </dataValidation>
    <dataValidation type="list" allowBlank="1" sqref="G210:J210">
      <formula1>"CreateDoneAwayOrder,GetDataAllocation,CheckAllocatedGroups,GetActivityData,VerifyActivity,GetTradingTransaction,VerifyTradingTransaction,GetDataClosing,SelectTradeUnexpiredUnsettled,CashSettlementAtClosingDtSpotPx"</formula1>
    </dataValidation>
    <dataValidation type="list" allowBlank="1" sqref="E68 E80 E102 E111">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G146:J146">
      <formula1>"DeleteClientData,Copy of Data,CleanUp"</formula1>
    </dataValidation>
    <dataValidation type="list" allowBlank="1" sqref="E90 E94:E97 E100:E101 E103:E106 E110">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amp;",,,,,,,,,,,,,,,,,,,,,,,,,,,,,,,,,,,,,,,,,,,,,,,,,,,,,,,,,,,,,,,,,,,,,,,,,,,,,,,,,,,,,,,,,,,,,,,,,,,,,,,,,,,,,,,,,,,,,,,,,,,,,,,,,,,,,,,,,,,,,,,,,,,,,,,,,,,,,,"</formula1>
    </dataValidation>
    <dataValidation type="list" allowBlank="1" sqref="G72:J72">
      <formula1>"GetMarkPriceData,UpdateMarkPriceMonthly"</formula1>
    </dataValidation>
    <dataValidation type="list" allowBlank="1" sqref="G194:J194">
      <formula1>"CleanUp,CreateDoneAwayOrder,SelectUnallocatedGroup,EditUnallocatedGrid,EditAllocatedGrid,SelectUnallocatedGroup1,EditUnallocatedGrid1,SelectUnallocatedGroup2,EditUnallocatedGrid2,Copy of Data,Copy of Data 1,SelectUnallocatedGroup3"</formula1>
    </dataValidation>
    <dataValidation type="list" allowBlank="1" sqref="G21:J21">
      <formula1>"GetMarkPriceData,GetForexConversion,GetDailyCash,GetDailyDelta,GetDailyDividendYield,GetDailyOutstandings"</formula1>
    </dataValidation>
    <dataValidation type="list" allowBlank="1" sqref="G28:J28">
      <formula1>"GetDailyCash"</formula1>
    </dataValidation>
    <dataValidation type="list" allowBlank="1" sqref="G189">
      <formula1>"CleanUp,CreateDoneAwayOrder,EditUnallocatedGrid,VerifyLayoutUnallocatedGrid,CheckUnallocatedGroups,Copy of Data,Copy of Data 1,Copy of Data 2,SelectUnallocatedGroup"</formula1>
    </dataValidation>
    <dataValidation type="list" allowBlank="1" sqref="E32:E33">
      <formula1>"CreateTransaction,AddNewTransaction,SaveTransaction,,,,,,,,,,,,,,,,,,,,,,,,,,,,,,,,,,,,,,,,,,,,,,,,,,,,,,,,,,,,,,,,,,,,,,,,,,,,,,,,,,,,,,,,,,,,,,,,,,,,,,,,,,,,,,,,,,,,,,,,,,,,,,,,,,,,,,,,,,,,,,,,,,,,,,,,,,,,,,,,,,,,,,,,,,,,,,,,,,,,,,,,,,,,,,,,,,,,,,,,,,,,"&amp;",,,,,,,,,,,,,,,,,,,,,,,,,,,,,,,,,,,,,,,,,,,,,,,,,,,,,,,,,,,,,,,,,,,,,,,,,,,,,,,,,,,,,,,,,,,,,,,,,,,,,,,,,,,,,,,,,,,,,,,,,,,,,,,,,,,,,,,,,,,,,,,,,,,,,,,,,,,,,,,,,,,,,,,,,,,,,,,,,,,,,,,,,,,,,,,,,,,,,,,,,,,,,,,,,,,,,,,,,,,,,,,,,,,,,,,,,,,,,,,,,,,,,,,,,,,,,,,"&amp;",,,,,,,,,,,,,,,,,,,,,,,,,,,,,,,,,,,"</formula1>
    </dataValidation>
    <dataValidation type="list" allowBlank="1" sqref="G8:J8">
      <formula1>"CreateDoneAwayOrder,SetClosingPreference,GetDataClosing"</formula1>
    </dataValidation>
    <dataValidation type="list" allowBlank="1" sqref="G75:J75">
      <formula1>"CleanUp,CreateDoneAwayOrder,SetGeneralPreferences"</formula1>
    </dataValidation>
    <dataValidation type="list" allowBlank="1" sqref="G83:J83">
      <formula1>"SaveLayoutAllocatedGrid"</formula1>
    </dataValidation>
    <dataValidation type="list" allowBlank="1" sqref="G18:J18">
      <formula1>"GetMarkPriceData,GetForexConversion,GetDailyCash"</formula1>
    </dataValidation>
    <dataValidation type="list" allowBlank="1" sqref="G73:J73 G90:J90">
      <formula1>"CleanUp"</formula1>
    </dataValidation>
    <dataValidation type="list" allowBlank="1" sqref="G23:J23">
      <formula1>"GetMarkPriceData,GetForexConversion,GetDailyCash,GetDailyDelta,GetDailyDividendYield,GetDailyOutstandings,GetDailyTradingVolume,GetDailyVolatility"</formula1>
    </dataValidation>
    <dataValidation type="list" allowBlank="1" sqref="G160:J161">
      <formula1>"CleanUp,EditTradesAllocated,CreateDoneAwayOrder,SelectAllocatedGroup"</formula1>
    </dataValidation>
    <dataValidation type="list" allowBlank="1" sqref="G46:J46">
      <formula1>"GetForexConversion,UpdateForexConversionMonthly"</formula1>
    </dataValidation>
    <dataValidation type="list" allowBlank="1" sqref="G193:J193">
      <formula1>"CleanUp,CreateDoneAwayOrder,SelectUnallocatedGroup,EditUnallocatedGrid,EditAllocatedGrid,SelectUnallocatedGroup1,EditUnallocatedGrid1,SelectUnallocatedGroup2,EditUnallocatedGrid2,Copy of Data,Copy of Data 1"</formula1>
    </dataValidation>
    <dataValidation type="list" allowBlank="1" sqref="G85:J85">
      <formula1>"SaveLayoutAllocatedGrid,VerifyLayoutAllocatedGrid,SaveLayoutUnallocatedGrid"</formula1>
    </dataValidation>
    <dataValidation type="list" allowBlank="1" sqref="G91:J91">
      <formula1>"CleanUp,GetDailyCash"</formula1>
    </dataValidation>
    <dataValidation type="list" allowBlank="1" sqref="G155:J156">
      <formula1>"CleanUp,CreateDoneAwayOrder,EditUnallocatedGrid,SelectUnallocatedGroup,CheckUnallocatedGroups,E,GetDataAllocation,Copy of Data,CheckBlotter"</formula1>
    </dataValidation>
    <dataValidation type="list" allowBlank="1" sqref="G62:J62">
      <formula1>"CleanUp,CreateDoneAwayOrder,GeneralPreferencesDefaultRule,SelectUnallocatedGroup,EnterAllocatePreference,EnterAccountValuesToAllocate"</formula1>
    </dataValidation>
    <dataValidation type="list" allowBlank="1" sqref="E35 E37">
      <formula1>"CalculatePTT,TradeUsingPTT,StageOrderUsingPTT,CreateOrderPTT,TradePTT,VerifyPTT,OpenMultiTTFromPTT,SelectMultiTT,EditMultiTT,SetAccountFactor,SetPTTPreference,,,,,,,,,,,,,,,,,,,,,,,,,,,,,,,,,,,,,,,,,,,,,,,,,,,,,,,,,,,,,,,,,,,,,,,,,,,,,,,,,,,,,,,,,,,,,,,,,"&amp;",,,,,,,,,,,,,,,,,,,,,,,,,,,,,,,,,,,,,,,,,,,,,,,,,,,,,,,,,,,,,,,,,,,,,,,,,,,,,,,,,,,,,,,,,,,,,,,,,,,,,,,,,,,,,,,,,,,,,,,,,,,,,,,,,,,,,,,,,,,,,,,,,,,,,,,,,,,,,,,,,,,,,,,,,,,,,,,,,,,,,,,,,,,,,,,,,,,,,,,,,,,,,,,,,,,,,,,,,,,,,,,,,,,,,,,,,,,,,,,,,,,,,,,,,,,,,,,"&amp;",,,,,,,,,,,,,,,,,,,,,,,,,,,,,,,,,,,,,,,,,,,,,,,,,,,,,,,,,,,,,,,,,,,,,,,,,,,,,,,,,,,,,,,,,,,,,,,,,,,,,,,,,,,,,,,,,,,,,,,,,,,,,,,,,,,,,,"</formula1>
    </dataValidation>
    <dataValidation type="list" allowBlank="1" sqref="E99">
      <formula1>"PricingInput,UpdateSharesOutstanding,EODTPreferences,LiveData,,,,,,,,,,,,,,,,,,,,,,,,,,,,,,,,,,,,,,,,,,,,,,,,,,,,,,,,,,,,,,,,,,,,,,,,,,,,,,,,,,,,,,,,,,,,,,,,,,,,,,,,,,,,,,,,,,,,,,,,,,,,,,,,,,,,,,,,,,,,,,,,,,,,,,,,,,,,,,,,,,,,,,,,,,,,,,,,,,,,,,,,,,,,,,,,,,"&amp;",,,,,,,,,,,,,,,,,,,,,,,,,,,,,,,,,,,,,,,,,,,,,,,,,,,,,,,,,,,,,,,,,,,,,,,,,,,,,,,,,,,,,,,,,,,,,,,,,,,,,,,,,,,,,,,,,,,,,,,,,,,,,,,,,,,,,,,,,,,,,,,,,,,,,,,,,,,,,,,,,,,,,,,,,,,,,,,,,,,,,,,,,,,,,,,,,,,,,,,,,,,,,,,,,,,,,,,,,,,,,,,,,,,,,,,,,,,,,,,,,,,,,,,,,,,,,,,"&amp;",,,,,,,,,,,,,,,,,,,,,,,,,,,,,,,,,,,,,,,,,,,,"</formula1>
    </dataValidation>
    <dataValidation type="list" allowBlank="1" sqref="G207:J207">
      <formula1>"CreateDoneAwayOrder,GetDataAllocation,CheckAllocatedGroups,GetActivityData,VerifyActivity,GetTradingTransaction,VerifyTradingTransaction"</formula1>
    </dataValidation>
    <dataValidation type="list" allowBlank="1" sqref="G121:J121">
      <formula1>"CreateDoneAwayOrder,GetDataClosing,SelectTradeUnexpiredUnsettled,Expire"</formula1>
    </dataValidation>
    <dataValidation type="list" allowBlank="1" sqref="G19:J19">
      <formula1>"GetMarkPriceData,GetForexConversion,GetDailyCash,GetDailyDelta"</formula1>
    </dataValidation>
    <dataValidation type="list" allowBlank="1" sqref="G220:J220">
      <formula1>"CreateDoneAwayOrder,VerifyWorkingSubs"</formula1>
    </dataValidation>
    <dataValidation type="list" allowBlank="1" sqref="G67:J67">
      <formula1>"CleanUp,CreateDoneAwayOrder,GeneralPreferencesDefaultRule,SelectUnallocatedGroup,EnterAccountValuesToAllocate,CheckAllocatedGroups,CheckUnallocatedGroups,VerifyOrder,Copy of Data,GetDataClosing,VerifyLongPositionsGrid"</formula1>
    </dataValidation>
    <dataValidation type="list" allowBlank="1" sqref="G61:J61">
      <formula1>"CleanUp,CreateDoneAwayOrder,GeneralPreferencesDefaultRule,SelectUnallocatedGroup"</formula1>
    </dataValidation>
    <dataValidation type="list" allowBlank="1" sqref="G206:J206">
      <formula1>"CreateDoneAwayOrder,GetDataAllocation,CheckAllocatedGroups,GetActivityData,VerifyActivity,GetTradingTransaction"</formula1>
    </dataValidation>
    <dataValidation type="list" allowBlank="1" sqref="G190 G192:J192">
      <formula1>"CleanUp,CreateDoneAwayOrder,SelectUnallocatedGroup,EditUnallocatedGrid,EditAllocatedGrid"</formula1>
    </dataValidation>
    <dataValidation type="list" allowBlank="1" sqref="G214:J215 G217:J217">
      <formula1>"CreateDoneAwayOrder,GetDataAllocation,CheckAllocatedGroups,GetActivityData,VerifyActivity,GetTradingTransaction,VerifyTradingTransaction,GetDataClosing,SelectTradeUnexpiredUnsettled,CashSettlementAtClosingDtSpotPx,GetAccountBalance,GetRevaluationData,Veri"&amp;"fyRevaluationData"</formula1>
    </dataValidation>
    <dataValidation type="list" allowBlank="1" sqref="G56:J56">
      <formula1>"CreateStageOrder,TradeNewSubOrder,VerifyTT"</formula1>
    </dataValidation>
    <dataValidation type="list" allowBlank="1" sqref="G81:J81">
      <formula1>"CleanUp,CreateDoneAwayOrder,SetGeneralPreferences,VerifyOrder,CheckAllocatedGroups,ResetGeneralPreferences,VerifyLongPositionsGrid,GetDataClosing,c,CheckPortfolioManagement,GetActivityData"</formula1>
    </dataValidation>
    <dataValidation type="list" allowBlank="1" sqref="G93:J93">
      <formula1>"CleanUp,GetDailyCash,UpdateDailyCash,AddCalculatedPreferences,SetDefaultRuleCalculatedPref,CreateDoneAwayOrder,PricingInput,CheckAllocatedGroups,CheckUnallocatedGroups,CheckPortfolioManagement,SelectUnallocatedGroup,EnterAllocatePreference,UpdateForexConv"&amp;"ersion"</formula1>
    </dataValidation>
    <dataValidation type="list" allowBlank="1" sqref="G10:J10">
      <formula1>"CheckBlotter"</formula1>
    </dataValidation>
    <dataValidation type="list" allowBlank="1" sqref="G24:J24">
      <formula1>"GetMarkPriceData,GetForexConversion,GetDailyCash,GetDailyDelta,GetDailyDividendYield,GetDailyOutstandings,GetDailyTradingVolume,GetDailyVolatility,GetForwardPoints"</formula1>
    </dataValidation>
    <dataValidation type="list" allowBlank="1" sqref="G163:J163">
      <formula1>"CleanUp,CreateDoneAwayOrder,SelectAllocatedGroup,EditAllocatedGrid,CheckAllocatedGroups"</formula1>
    </dataValidation>
    <dataValidation type="list" allowBlank="1" sqref="G127:J127">
      <formula1>"CreateDoneAwayOrder,GetDataAllocation,CheckUnallocatedGroups,SelectUnallocatedGroup,CheckUnallocatedGroups1,EditUnallocatedGrid,SelectAllocatedGroup,EditAllocatedGrid,CheckAllocatedGroups"</formula1>
    </dataValidation>
    <dataValidation type="list" allowBlank="1" sqref="E43 E45:E46">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amp;",,,,,,,,,,,,,,,,,,,,,,,,,,,,,,,,,,,,,,,,,,,,,,,,,,,,,,,,,,,,,,,,,,,,,,,,,,,,,,,,,,,,,,,,,,,,,,,,,,,,,,,,,,,,,,,,,,,,,,,,,,,,,,,,,,,,,,,,,,,,,,,,,,,,,,,,,,,,,,,,,,,,,,,,,,,,,,,,,,,,,,,,,,,,,,,,,,,,,,,,,,,,,,,,,,,,,,,,,,,,,"</formula1>
    </dataValidation>
    <dataValidation type="list" allowBlank="1" sqref="G44:J44 G47:J47">
      <formula1>"GetForexConversion,UpdateForexConversion,UpdateForexConversionMonthly,UpdateMarkPriceMonthly."</formula1>
    </dataValidation>
    <dataValidation type="list" allowBlank="1" sqref="G51:J51">
      <formula1>"AddOpeningBalanceTransaction,AddOpeningBalanceTranItem,SaveTransaction,Copy of Data"</formula1>
    </dataValidation>
    <dataValidation type="list" allowBlank="1" sqref="G86:J88">
      <formula1>"SaveLayoutAllocatedGrid,VerifyLayoutAllocatedGrid,SaveLayoutUnallocatedGrid,VerifyLayoutUnallocatedGrid"</formula1>
    </dataValidation>
    <dataValidation type="list" allowBlank="1" sqref="E36 E38">
      <formula1>"CalculatePTT,TradeUsingPTT,StageOrderUsingPTT,CreateOrderPTT,TradePTT,VerifyPTT,OpenMultiTTFromPTT,SelectMultiTT,EditMultiTT,SetAccountFactor,SetPTTPreference,SetLongShortPTTPreference,,,,,,,,,,,,,,,,,,,,,,,,,,,,,,,,,,,,,,,,,,,,,,,,,,,,,,,,,,,,,,,,,,,,,,,"&amp;",,,,,,,,,,,,,,,,,,,,,,,,,,,,,,,,,,,,,,,,,,,,,,,,,,,,,,,,,,,,,,,,,,,,,,,,,,,,,,,,,,,,,,,,,,,,,,,,,,,,,,,,,,,,,,,,,,,,,,,,,,,,,,,,,,,,,,,,,,,,,,,,,,,,,,,,,,,,,,,,,,,,,,,,,,,,,,,,,,,,,,,,,,,,,,,,,,,,,,,,,,,,,,,,,,,,,,,,,,,,,,,,,,,,,,,,,,,,,,,,,,,,,,,,,,,,,,,"&amp;",,,,,,,,,,,,,,,,,,,,,,,,,,,,,,,,,,,,,,,,,,,,,,,,,,,,,,,,,,,,,,,,,,,,,,,,,,,,,,,,,,,,,,,,,,,,,,,,,,,,,,,,,,,,,,,,,,,,,,,,,,,,,,,,,,,,,,,,,,,,,,,,,,,,,,,,,,,,,,,"</formula1>
    </dataValidation>
    <dataValidation type="list" allowBlank="1" sqref="G70:J70">
      <formula1>"CleanUp,CreateDoneAwayOrder,GeneralPreferencesDefaultRule,SelectUnallocatedGroup,EnterAccountValuesToAllocate,CheckAllocatedGroups,CheckUnallocatedGroups,VerifyOrder,Copy of Data,GetDataClosing,VerifyLongPositionsGrid,VerifyShortPositionsGrid,CheckPortfol"&amp;"ioManagement,GetActivityData,VerifyActivity"</formula1>
    </dataValidation>
    <dataValidation type="list" allowBlank="1" sqref="E122 E124:E127 E129:E131 E134 E140:E141 E146 E149 E153 E155:E159 E161:E163 E165 E167:E172 E174 E187 E189:E194 E197 E199 E202:E203">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CheckAllocatedTaxlots,,,,,,,,,,,,,,,,,,,,,,,,,,,,,,,,,,,,,,,,,,,,,,,,,,,,,,,,,,,,,,,,,,,,,,,,,,,,,,,,,,,,,,,,,,,,,,,,,,,,,,,,,,,,,,,,,,,,,,,,,,,,,,,,,,,,,,,,,,,,,,,,,,,,,,,,,,,,,,,,,,,,,,,,,,,,,,,,,,,,,,,,,,,,,,,,,,,,,,,,,,,,,,,,,,,,,,,,,,,"&amp;",,,,,,,,,,,,,,,,,,,,,,,,,,,,,,,,,,,,,,,,,,,,,,,,,,,,,,,,,,,,,,,,,,,,,,,,,,,,,,,,,,,,,,,,,,,,,,,,,,,,,,,,,,,,,,,,,,,,,,,,,,,,,,,,,,,,,,,,,,,,,,,,,,,,,,,,,,,,,,,,,,,,,,,,,,,,,,,,,,,"</formula1>
    </dataValidation>
    <dataValidation type="list" allowBlank="1" sqref="G106:J106">
      <formula1>"CleanUp,GetDailyCash,UpdateDailyCash,UpdateForexConversion,AddCalculatedPreferences,SetDefaultRuleCalculatedPref,CreateDoneAwayOrder,PricingInput,CheckAllocatedGroups,CheckUnallocatedGroups,CheckPortfolioManagement,SelectUnallocatedGroup,EnterAllocatePref"&amp;"erence"</formula1>
    </dataValidation>
    <dataValidation type="list" allowBlank="1" sqref="G50:J50">
      <formula1>"AddOpeningBalanceTransaction,AddOpeningBalanceTranItem"</formula1>
    </dataValidation>
    <dataValidation type="list" allowBlank="1" sqref="D6:D58 D71:D73 D83 D90 D112:D555">
      <formula1>'_Categories'!$A$4:$A555</formula1>
    </dataValidation>
    <dataValidation type="list" allowBlank="1" sqref="G37:J37">
      <formula1>"SetPTTPreference,SetAccountFactor"</formula1>
    </dataValidation>
    <dataValidation type="list" allowBlank="1" sqref="G157:J157">
      <formula1>"CleanUp,CreateDoneAwayOrder,EditUnallocatedGrid,SelectUnallocatedGroup,CheckUnallocatedGroups"</formula1>
    </dataValidation>
    <dataValidation type="list" allowBlank="1" sqref="G38:J38">
      <formula1>"SetPTTPreference,SetAccountFactor,SetLongShortPTTPreference"</formula1>
    </dataValidation>
    <dataValidation type="list" allowBlank="1" sqref="G32:J32">
      <formula1>"CreateTransaction"</formula1>
    </dataValidation>
    <dataValidation type="list" allowBlank="1" sqref="G7:J7">
      <formula1>"CreateDoneAwayOrder,SetClosingPreference"</formula1>
    </dataValidation>
    <dataValidation type="list" allowBlank="1" sqref="G30:J30">
      <formula1>"GetDailyBeta,Copy of Data,Copy of Data_conflict954578734,GetDailyDelta"</formula1>
    </dataValidation>
    <dataValidation type="list" allowBlank="1" sqref="G116:J116">
      <formula1>"CreateDoneAwayOrder,GetDataClosing,SelectTradeUnexpiredUnsettled,ExerciseAssignment"</formula1>
    </dataValidation>
    <dataValidation type="list" allowBlank="1" sqref="E58 E60:E63 E65:E66 E73 E75 E77 E83:E89">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SaveCalculatedPreferences,CloseCalculatedPreferences,ExportCalculatedPreference,ImportCalculatedPreferences,OpenAuditTrailUnallocatedGroup,DeleteCalculatedPreferencesTool,ImportCalculatedPreferencesTool,Expo"&amp;"rtAllCalculatedPreferTool,OpenAuditTrailAllocatedGroup,OpenSymbolLookupUnallocateGroup,OpenSymbolLookupAllocatedGroup,DeleteFixedPreference,EditAllocatedGroupSidePanel,CheckUnallocatedGroups,SetGeneralPreferences,UngroupTrades,GroupTrades,DeleteGroup,Clos"&amp;"eOrder,Unallocate,CloseAllocation,UpdateGRAccountValue,UpdateGRStrategyValue,UpdateGRDefaultRule,UpdateGeneralRulePref,ModifyGRPreferenceValues,AddMFPreferences,AddMFPreferenceToolbar,DeleteMFPreferences,DeleteMFPreferenceToolbar,RenameMFPreferences,SaveC"&amp;"loseMFPreference,SetMFPrefAccountValues,ModifyMFPrefGeneralRuleValues,SetMFPrefStrategyValues,SetMFPrefGeneralRule,SetMFPrefFundDistribution,SetMFPreferencesDefaultRule,SetMFPrefFundDefaultRule,ClearPrefetchFilters,ExpandCollapseAllUnallocated,ExpandColla"&amp;"pseAllAllocated,GenerateCashTransaction,SaveAllocation,SaveAllocation,UnallocateWithOutSave,EditUnallocatedGrid,EditAllocatedGrid,SaveLayoutAllocatedGrid,SaveLayoutUnallocatedGrid,SaveLayoutAllocationUI,ClearFiltersAllocatedGrid,ClearFiltersUnallocatedGri"&amp;"d,VerifyLayoutAllocatedGrid,VerifyLayoutUnallocatedGrid,,,,,,,,,,,,,,,,,,,,,,,,,,,,,,,,,,,,,,,,,,,,,,,,,,,,,,,,,,,,,,,,,,,,,,,,,,,,,,,,,,,,,,,,,,,,,,,,,,,,,,,,,,,,,,,,,,,,,,,,,,,,,,,,,,,,,,,,,,,,,,,,,,,,,,,,,,,,,,,,,,,,,,,,,,,,,,,,,,,,,,,,,,,,,,,,,,,,,,,,"&amp;",,,,,,,,,,,,,,,,,,,,,,,,,,,,,,,,,,,,,,,,,,,,,,,,,,,,,,,,,,,,,,,,,,,,,,,,,,,,,,,,,,,,,,,,,,,,,,,,,,,,,,,,,,,,,,,,,,,,,,,,,,,,,,,,,,,,,,,,,,,,,,,,,,,,,,,,,,,,,,,,,,,,,,,,,,,,,,,,,,,,,,,,,,,,,,,,,,,,,"</formula1>
    </dataValidation>
    <dataValidation type="list" allowBlank="1" sqref="G16:J17">
      <formula1>"GetMarkPriceData,GetForexConversion,GetDailyCash,GetDailyDelta,GetDailyDividendYield,GetDailyOutstandings,GetDailyTradingVolume,GetDailyVolatility,GetForwardPoints,UpdateMarkPrice,UpdateForexConversion"</formula1>
    </dataValidation>
    <dataValidation type="list" allowBlank="1" sqref="G103:J103">
      <formula1>"CleanUp,GetDailyCash,UpdateDailyCash,AddCalculatedPreferences,SetDefaultRuleCalculatedPref,CreateDoneAwayOrder,PricingInput,CheckAllocatedGroups,CheckUnallocatedGroups,CheckPortfolioManagement,SelectUnallocatedGroup"</formula1>
    </dataValidation>
    <dataValidation type="list" allowBlank="1" sqref="G71:J71">
      <formula1>"UpdateForexConversionMonthly,UpdateMarkPriceMonthly.,GetMarkPriceData"</formula1>
    </dataValidation>
    <dataValidation type="list" allowBlank="1" sqref="G55:J55">
      <formula1>"CreateStageOrder,TradeNewSubOrder"</formula1>
    </dataValidation>
    <dataValidation type="list" allowBlank="1" sqref="G82:J82">
      <formula1>"CleanUp,CreateDoneAwayOrder,SetGeneralPreferences,VerifyOrder,CheckAllocatedGroups,ResetGeneralPreferences,VerifyLongPositionsGrid,GetDataClosing,c,CheckPortfolioManagement,GetActivityData,VerifyActivity"</formula1>
    </dataValidation>
    <dataValidation type="list" allowBlank="1" sqref="G11:J11">
      <formula1>"GetMarkPriceData"</formula1>
    </dataValidation>
    <dataValidation type="list" allowBlank="1" sqref="G41:J41">
      <formula1>"CreateDoneAwayOrder,VerifyTT"</formula1>
    </dataValidation>
    <dataValidation type="list" allowBlank="1" sqref="E9">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G216:J216">
      <formula1>"CreateDoneAwayOrder,GetDataAllocation,CheckAllocatedGroups,GetActivityData,VerifyActivity,GetTradingTransaction,VerifyTradingTransaction,GetDataClosing,SelectTradeUnexpiredUnsettled,CashSettlementAtClosingDtSpotPx,GetAccountBalance,GetRevaluationData"</formula1>
    </dataValidation>
    <dataValidation type="list" allowBlank="1" sqref="E40:E41 E54 E56 E59 E74 E98 E113 E118 E123 E128 E132 E139 E147:E148 E154 E160 E166 E175 E178 E180 E188 E198 E201 E219 E224:E228">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E150">
      <formula1>"RestartServer,UpdateServerConfig,,,,,,,,,,,,,,,,,,,,,,,,,,,,,,,,,,,,,,,,,,,,,,,,,,,,,,,,,,,,,,,,,,,,,,,,,,,,,,,,,,,,,,,,,,,,,,,,,,,,,,,,,,,,,,,,,,,,,,,,,,,,,,,,,,,,,,,,,,,,,,,,,,,,,,,,,,,,,,,,,,,,,,,,,,,,,,,,,,,,,,,,,,,,,,,,,,,,,,,,,,,,,,,,,,,,,,,,,,,,,,,"&amp;",,,,,,,,,,,,,,,,,,,,,,,,,,,,,,,,,,,,,,,,,,,,,,,,,,,,,,,,,,,,,,,,,,,,,,,,,,,,,,,,,,,,,,,,,,,,,,,,,,,,,,,,,,,,,,,,,,,,,,,,,,,,,,,,,,,,,,,,,,,,,,,,,,,,,,,,,,,,,,,,,,,,,,,,,,,,,,,,,,,,,,,,,,,,,,,,,,,,,,,,,,,,,,,,,,,,,,,,,,,,,,,,,,,,,,,,,,,,,,,,,,,,,,,,,,,,,,,"&amp;",,,,,,,,,,,,,,,,,"</formula1>
    </dataValidation>
    <dataValidation type="list" allowBlank="1" sqref="G139:J139">
      <formula1>"EnterDetailsOnTT,Allocate,SaveAllocation,EnterAllocatePreference,CleanUp,CreateDoneAwayOrder"</formula1>
    </dataValidation>
    <dataValidation type="list" allowBlank="1" sqref="G102:J102">
      <formula1>"CleanUp,GetDailyCash,UpdateDailyCash,AddCalculatedPreferences,SetDefaultRuleCalculatedPref,CreateDoneAwayOrder,PricingInput,CheckAllocatedGroups,CheckUnallocatedGroups,CheckPortfolioManagement"</formula1>
    </dataValidation>
    <dataValidation type="list" allowBlank="1" sqref="G12:J13">
      <formula1>"GetMarkPriceData,GetForexConversion,GetDailyCash,GetDailyDelta,GetDailyDividendYield,GetDailyOutstandings,GetDailyTradingVolume,GetDailyVolatility,GetForwardPoints,UpdateMarkPrice"</formula1>
    </dataValidation>
    <dataValidation type="list" allowBlank="1" sqref="G79:J79">
      <formula1>"CleanUp,CreateDoneAwayOrder,SetGeneralPreferences,VerifyOrder,CheckAllocatedGroups,ResetGeneralPreferences,VerifyLongPositionsGrid"</formula1>
    </dataValidation>
    <dataValidation type="list" allowBlank="1" sqref="G95:J95">
      <formula1>"CleanUp,GetDailyCash,UpdateDailyCash,AddCalculatedPreferences,CreateDoneAwayOrder,SetDefaultRuleCalculatedPref"</formula1>
    </dataValidation>
    <dataValidation type="list" allowBlank="1" sqref="G115:J115 G120:J120">
      <formula1>"CreateDoneAwayOrder,GetDataClosing,SelectTradeUnexpiredUnsettled"</formula1>
    </dataValidation>
    <dataValidation type="list" allowBlank="1" sqref="E151">
      <formula1>"RestartClient,UpdateClientConfig,,,,,,,,,,,,,,,,,,,,,,,,,,,,,,,,,,,,,,,,,,,,,,,,,,,,,,,,,,,,,,,,,,,,,,,,,,,,,,,,,,,,,,,,,,,,,,,,,,,,,,,,,,,,,,,,,,,,,,,,,,,,,,,,,,,,,,,,,,,,,,,,,,,,,,,,,,,,,,,,,,,,,,,,,,,,,,,,,,,,,,,,,,,,,,,,,,,,,,,,,,,,,,,,,,,,,,,,,,,,,,,"&amp;",,,,,,,,,,,,,,,,,,,,,,,,,,,,,,,,,,,,,,,,,,,,,,,,,,,,,,,,,,,,,,,,,,,,,,,,,,,,,,,,,,,,,,,,,,,,,,,,,,,,,,,,,,,,,,,,,,,,,,,,,,,,,,,,,,,,,,,,,,,,,,,,,,,,,,,,,,,,,,,,,,,,,,,,,,,,,,,,,,,,,,,,,,,,,,,,,,,,,,,,,,,,,,,,,,,,,,,,,,,,,,,,,,,,,,,,,,,,,,,,,,,,,,,,,,,,,,,"&amp;",,,,,,,,,,,,,,,,,"</formula1>
    </dataValidation>
    <dataValidation type="list" allowBlank="1" sqref="G35:J35">
      <formula1>"SetPTTPreference"</formula1>
    </dataValidation>
    <dataValidation type="list" allowBlank="1" sqref="G167:J167 G199:J199">
      <formula1>"CleanUp,CreateDoneAwayOrder,SelectAllocatedGroup"</formula1>
    </dataValidation>
    <dataValidation type="list" allowBlank="1" sqref="G140:J140">
      <formula1>"EnterDetailsOnTT,Allocate,SaveAllocation,EnterAllocatePreference,CleanUp,CreateDoneAwayOrder,CleanUps"</formula1>
    </dataValidation>
    <dataValidation type="list" allowBlank="1" sqref="E11:E24 E26 E28 E30">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amp;",,,,,,,,,,,,,,,,,,,,,,,,,,,,,,,,,,,,,,,,,,,,,,,,,,,,,,,,,,,,,,,,,,,,,,,,,,,,,,,,,,,,,,,,,,,,,,,,,,,,,,,,,,,,,,,,,,,,,,,,,,,,,,,,,,,,,,,,,,,,,,,,,,,,,,,,,,,,,,,,,,,,,,,,,,,,,,,,,,,,,,,,,,,,,,,,,,,,,,,,,,,,,,,,,,,,,,,,,,,,,,,,,,,,,,,,,,,,,,,,,,,,,,,,,,,,,,,"&amp;",,,,,,,,,,,,,,,,,,,,,,,,,,,,,,,,,,,,,,,,,,,,,,,,,,,,,,,,,,,,,,,,,,,,,,,,,,,,,,,,,,,,,,,,,,,,,,,,,,,,,,,,,,,,,,,,,,,,,,,,,,,,,,,,,,,,,,,,,,,,,,,,,,,,,,,,,,,,,,,,,,,,,,,,,,,,,,,,,,,,,,,,,,,,,,,,,"</formula1>
    </dataValidation>
    <dataValidation type="list" allowBlank="1" sqref="G80:J80">
      <formula1>"CleanUp,CreateDoneAwayOrder,SetGeneralPreferences,VerifyOrder,CheckAllocatedGroups,ResetGeneralPreferences,VerifyLongPositionsGrid,GetDataClosing,c,CheckPortfolioManagement"</formula1>
    </dataValidation>
    <dataValidation type="list" allowBlank="1" sqref="G92:J92">
      <formula1>"CleanUp,GetDailyCash,UpdateDailyCash"</formula1>
    </dataValidation>
    <dataValidation type="list" allowBlank="1" sqref="G202:J202">
      <formula1>"VerifyDataTT,Copy of Data,CreateDoneAwayOrder,GetDataAllocation"</formula1>
    </dataValidation>
    <dataValidation type="list" allowBlank="1" sqref="G114:J114 G119:J119">
      <formula1>"CreateDoneAwayOrder,GetDataClosing"</formula1>
    </dataValidation>
    <dataValidation type="list" allowBlank="1" sqref="G134:J134">
      <formula1>"CreateDoneAwayOrder,EnterAllocatePreference,Copy of Data,Copy of Data 1,Reallocate"</formula1>
    </dataValidation>
    <dataValidation type="list" allowBlank="1" sqref="G68:J68">
      <formula1>"CleanUp,CreateDoneAwayOrder,GeneralPreferencesDefaultRule,SelectUnallocatedGroup,EnterAccountValuesToAllocate,CheckAllocatedGroups,CheckUnallocatedGroups,VerifyOrder,Copy of Data,GetDataClosing,VerifyLongPositionsGrid,VerifyShortPositionsGrid,CheckPortfol"&amp;"ioManagement"</formula1>
    </dataValidation>
    <dataValidation type="list" allowBlank="1" sqref="G43:J43">
      <formula1>"UpdateForexConversionMonthly,Copy of Data,GetForexConversion"</formula1>
    </dataValidation>
    <dataValidation type="list" allowBlank="1" sqref="G36:J36">
      <formula1>"SetPTTPreference,SetAccountFactor,SetLongShortPTTPreference,CalculatePTT"</formula1>
    </dataValidation>
    <dataValidation type="list" allowBlank="1" sqref="E44 E47 E71">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G84:J84">
      <formula1>"SaveLayoutAllocatedGrid,VerifyLayoutAllocatedGrid"</formula1>
    </dataValidation>
    <dataValidation type="list" allowBlank="1" sqref="G58:J59">
      <formula1>"CreateDoneAwayOrder,Copy of Data,CleanUp"</formula1>
    </dataValidation>
    <dataValidation type="list" allowBlank="1" sqref="G6:J6 G113:J113 G118:J118 G128:J128 G178:J178 G219:J219">
      <formula1>"CreateDoneAwayOrder"</formula1>
    </dataValidation>
    <dataValidation type="list" allowBlank="1" sqref="G130:J130">
      <formula1>"CreateDoneAwayOrder,CleanUp,SaveAllocation,EnterAllocatePreference"</formula1>
    </dataValidation>
    <dataValidation type="list" allowBlank="1" sqref="E50:E52 E69:E70 E81:E82 E204:E207 E211:E217">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amp;",,,,,,,,,,,,,,,,,,,,,,,,,,,,,,,,,,,,,,,,,,,,,,,,,,,,,,,,,,,,,,,,,,,,,,,,,,,,,,,,,,,,,,,,,,,,,,,,,,,,,,,,,,,,,,,,,,,,,,,,,,,,,,,,,,,,,,,,,,,,,,,,,,,,,,,,,,,,,,,,,,,,,,,,,,,,,,,,,,,,,,,,,,,,,,,,,,,,,,,,,,,,,,,,,,,,,,,,,,,,,,,,,,,,,,,,,,,,,,,,,,,,,,,,,,,,,,,"&amp;",,,,,,,,,,,"</formula1>
    </dataValidation>
    <dataValidation type="list" allowBlank="1" sqref="E91:E93">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G49:J49">
      <formula1>"AddOpeningBalanceTransaction"</formula1>
    </dataValidation>
    <dataValidation type="list" allowBlank="1" sqref="E7:E8 E25 E67 E78:E79 E114:E116 E119:E121">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amp;",,,,,,,,,,,,,,,,,,,,,,,,,,,,,,,,,,,,,,,,,,,,,,,,,,,,,,,,,,,,,,,,,,,,,,,,,,,,,,,,,,,,,,,,,,,,,,,,,,,,,,,,,,,,,,,,,,,,,,,,,,,,,,,,,,,,,,,,,,,,,,,,,,,,,,,,,,,,,,,,,,,,,,,,,,,,,,,,,,,,,,,,,,,,,,,,,,,,,,,,,,,,,,,,,,,,,,,,,,,,,,,,,,,"</formula1>
    </dataValidation>
    <dataValidation type="list" allowBlank="1" sqref="G108:J108">
      <formula1>"CleanUp,GetDailyCash,UpdateDailyCash,UpdateForexConversion,AddCalculatedPreferences,SetDefaultRuleCalculatedPref,CreateDoneAwayOrder,PricingInput,CheckAllocatedGroups,CheckUnallocatedGroups,CheckPortfolioManagement,SelectUnallocatedGroup,EnterAllocatePref"&amp;"erence,AddFillsSubOrder"</formula1>
    </dataValidation>
    <dataValidation type="list" allowBlank="1" sqref="G40:J40">
      <formula1>"VerifyTT,Copy of Data,Copy of Data_conflict399252838,CreateDoneAwayOrder"</formula1>
    </dataValidation>
    <dataValidation type="list" allowBlank="1" sqref="G124:J124">
      <formula1>"CleanUp,CreateDoneAwayOrder,GetDataAllocation"</formula1>
    </dataValidation>
    <dataValidation type="list" allowBlank="1" sqref="G168:J168">
      <formula1>"CleanUp,CreateDoneAwayOrder,SelectAllocatedGroup,EditAllocatedGrid"</formula1>
    </dataValidation>
    <dataValidation type="list" allowBlank="1" sqref="E6">
      <formula1>"OpenTTFromPST,EnterDetailsOnTT,ValidateSymbolTT,VerifyDataTT,SetUIPreferencesTT,SetBrokerWisePreferencesTT,TradeNewSub,CreateStageOrder,CreateReplaceOrder,SetGeneralPreference,CreateDoneAwayOrder,CreateNewSubOrder,TradeBloomberg,ClickSymbolLookup,,,,,,,,,"&amp;",,,,,,,,,,,,,,,,,,,,,,,,,,,,,,,,,,,,,,,,,,,,,,,,,,,,,,,,,,,,,,,,,,,,,,,,,,,,,,,,,,,,,,,,,,,,,,,,,,,,,,,,,,,,,,,,,,,,,,,,,,,,,,,,,,,,,,,,,,,,,,,,,,,,,,,,,,,,,,,,,,,,,,,,,,,,,,,,,,,,,,,,,,,,,,,,,,,,,,,,,,,,,,,,,,,,,,,,,,,,,,,,,,,,,,,,,,,,,,,,,,,,,,,,,,,,,,,"&amp;",,,,,,,,,,,,,,,,,,,,,,,,,,,,,,,,,,,,,,,,,,,,,,,,,,,,,,,,,,,,,,,,,,,,,,,,,,,,,,,,,,,,,,,,,,,,,,,,,,,,,,,,,,,,,,,,,,,,,,,,,,,,,,,,,,,,,,,,,,,,,,,,,,,,,,,,,,,,,,,,,,,,,,,,,,,,,,,,,,,,,,,,,,,,,,,,,,,,,,,,,,,,,,,,,,,,,,,,,,,"</formula1>
    </dataValidation>
    <dataValidation type="list" allowBlank="1" sqref="G148:J148">
      <formula1>"DeleteClientData,Copy of Data,CleanUp,EnterDetailsOnTT,Unallocate,EditTradesUnallocated,SaveLayoutAllocationUI,ValidateSymbolTT,Copy of Data 1,Copy of Data 2,Copy of Data 3,CreateDoneAwayOrder,VerifyDataTT"</formula1>
    </dataValidation>
    <dataValidation type="list" allowBlank="1" sqref="E10 E55 E64 G64 E76 E107:E109 E133 E220:E222">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G65:J65">
      <formula1>"CleanUp,CreateDoneAwayOrder,GeneralPreferencesDefaultRule,SelectUnallocatedGroup,EnterAccountValuesToAllocate,ExpandCollapseAllAllocated,CheckAllocatedGroups"</formula1>
    </dataValidation>
    <dataValidation type="list" allowBlank="1" sqref="G101:J101">
      <formula1>"CleanUp,GetDailyCash,UpdateDailyCash,AddCalculatedPreferences,SetDefaultRuleCalculatedPref,CreateDoneAwayOrder,PricingInput,CheckAllocatedGroups,CheckUnallocatedGroups"</formula1>
    </dataValidation>
    <dataValidation type="list" allowBlank="1" sqref="E208:E210">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EditTradeUnexpiredUnsettled,,,,,,,,,,,,,,,,,,,,,,,,,,,,,,,,,,,,,,,,,,,,,,,,,,,,,,,,,,,,,,,,,,,,,,,,,,,,,,,,,,,,,,,,,,,,,,,,,,,,,,,,,,,,,,,,,,,,,,,,,,,,,,,,,,,,,,,,,,,,,,,,,,,,,,,,,,,,,,,,,,,,,,,,,,,,,,,,,,,,,,,,,,,,,,,,,,,,,,,,,,,,,,,,,,,,,,,"&amp;",,,,,,,,,,,,,,,,,,,,,,,,,,,,,,,,,,,,,,,,,,,,,,,,,,,,,,,,,,,,,,,,,,,,,,,,,,,,,,,,,,,,,,,,,,,,,,,,,,,,,,,,,,,,,,,,,,,,,,,,,,,,,,,,,,,,,,,,,,,,,,,,,,,,,,,,,,,,,,,,,,,,,,,,,,,,,,,,,,,,,,,,,,,,,,,,,,,,,,,,,,,,,,,,,,,,,,,,,,,,,,,,,,,,,,,,,,,,,,,,,,,,,,,,,,,,,,"</formula1>
    </dataValidation>
    <dataValidation type="list" allowBlank="1" sqref="G107:J107">
      <formula1>"CleanUp,GetDailyCash,UpdateDailyCash,UpdateForexConversion,AddCalculatedPreferences,SetDefaultRuleCalculatedPref,CreateDoneAwayOrder,PricingInput,CheckAllocatedGroups,CheckUnallocatedGroups,CheckPortfolioManagement,SelectUnallocatedGroup,EnterAllocatePref"&amp;"erence,AddFillsSubOrder,SelectTradeOnOrderGrid"</formula1>
    </dataValidation>
    <dataValidation type="list" allowBlank="1" sqref="E72">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UpdateMarkPriceMonthly,,,,,,,,,,,,,,,,,,,,,,,,,,,,,,,,,,,,,,,,,,,,,,,,,,,,,,,,,,,,,,,,,,,,,,,,,,,,,,,,,,,,,,,,,,,,,,,,,,,,,,,,,,,,,,,,,,,,,,,,,,,,,,,,,,,,,,,,,,,,,,,,,,,,,,,,,,,,,,,,,,,,,,,,,,,,,,,,,,,,,,,,,,,,,,,,,,,,,,,"&amp;",,,,,,,,,,,,,,,,,,,,,,,,,,,,,,,,,,,,,,,,,,,,,,,,,,,,,,,,,,,,,,,,,,,,,,,,,,,,,,,,,,,,,,,,,,,,,,,,,,,,,,,,,,,,,,,,,,,,,,,,,,,,,,,,,,,,,,,,,,,,,,,,,,,,,,,,,,,,,,,,,,,,,,,,,,,,,,,,,,,,,,,,,,,,,,,,,,,,,,,,,,,,,,,,,,,,,,,,,,,,,,,,,,,,,,,,,,,,,,,,,,,,,,,,,,,,,,,"&amp;",,,,,,,,,,,"</formula1>
    </dataValidation>
    <dataValidation type="list" allowBlank="1" sqref="G147:J147">
      <formula1>"DeleteClientData,Copy of Data,CleanUp,EnterDetailsOnTT,Unallocate,EditTradesUnallocated,SaveLayoutAllocationUI,ValidateSymbolTT,Copy of Data 1,Copy of Data 2,Copy of Data 3,CreateDoneAwayOrder"</formula1>
    </dataValidation>
    <dataValidation type="list" allowBlank="1" sqref="G60:J60">
      <formula1>"CleanUp,CreateDoneAwayOrder,GeneralPreferencesDefaultRule,SelectUnallocatedGroup,EnterAccountValuesToAllocate,VerifyOrder,CheckAllocatedGroups,CheckUnallocatedGroups,GetDataClosing,VerifyLongPositionsGrid,VerifyShortPositionsGrid,CheckPortfolioManagement,"&amp;"GetActivityData,VerifyActivity,SetGeneralPreferences"</formula1>
    </dataValidation>
    <dataValidation type="list" allowBlank="1" sqref="G69:J69">
      <formula1>"CleanUp,CreateDoneAwayOrder,SetGeneralPreferences,SelectUnallocatedGroup,EnterAccountValuesToAllocate,VerifyOrder,CheckAllocatedGroups,CheckUnallocatedGroups,VerifyLongPositionsGrid,CheckPortfolioManagement,GetActivityData,VerifyActivity"</formula1>
    </dataValidation>
    <dataValidation type="list" allowBlank="1" sqref="G158:J158">
      <formula1>"CleanUp,CreateDoneAwayOrder,EditTradesUnallocated,EditUnallocatedGrid,Copy of Data,Copy of Data 1,SelectUnallocatedGroup"</formula1>
    </dataValidation>
    <dataValidation type="list" allowBlank="1" sqref="G66:J66">
      <formula1>"CleanUp,CreateDoneAwayOrder,GeneralPreferencesDefaultRule,SelectUnallocatedGroup,EnterAccountValuesToAllocate,CheckAllocatedGroups,CheckUnallocatedGroups"</formula1>
    </dataValidation>
    <dataValidation type="list" allowBlank="1" sqref="G77:J77">
      <formula1>"CleanUp,CreateDoneAwayOrder,SetGeneralPreferences,VerifyOrder,CheckAllocatedGroups,ResetGeneralPreferences"</formula1>
    </dataValidation>
    <dataValidation type="list" allowBlank="1" sqref="G104:J104">
      <formula1>"CleanUp,GetDailyCash,UpdateDailyCash,AddCalculatedPreferences,SetDefaultRuleCalculatedPref,CreateDoneAwayOrder,PricingInput,CheckAllocatedGroups,CheckUnallocatedGroups,CheckPortfolioManagement,SelectUnallocatedGroup,EnterAllocatePreference"</formula1>
    </dataValidation>
    <dataValidation type="list" allowBlank="1" sqref="G76:J76">
      <formula1>"CleanUp,CreateDoneAwayOrder,SetGeneralPreferences,VerifyOrder"</formula1>
    </dataValidation>
    <dataValidation type="list" allowBlank="1" sqref="G203:J203">
      <formula1>"VerifyDataTT,Copy of Data,CreateDoneAwayOrder,GetDataAllocation,CheckAllocatedGroups"</formula1>
    </dataValidation>
    <dataValidation type="list" allowBlank="1" sqref="G54:J54 G224:J224">
      <formula1>"CreateStageOrder"</formula1>
    </dataValidation>
    <dataValidation type="list" allowBlank="1" sqref="G150:J150">
      <formula1>"UpdateServerConfig"</formula1>
    </dataValidation>
    <dataValidation type="list" allowBlank="1" sqref="G212:J213">
      <formula1>"CreateDoneAwayOrder,GetDataAllocation,CheckAllocatedGroups,GetActivityData,VerifyActivity,GetTradingTransaction,VerifyTradingTransaction,GetDataClosing,SelectTradeUnexpiredUnsettled,CashSettlementAtClosingDtSpotPx,GetAccountBalance,VerifyTradingTransactio"&amp;"n1,GetRevaluationData,VerifyRevaluationData"</formula1>
    </dataValidation>
    <dataValidation type="list" allowBlank="1" sqref="G20:J20">
      <formula1>"GetMarkPriceData,GetForexConversion,GetDailyCash,GetDailyDelta,GetDailyDividendYield"</formula1>
    </dataValidation>
    <dataValidation type="list" allowBlank="1" sqref="G209:J209">
      <formula1>"CreateDoneAwayOrder,GetDataAllocation,CheckAllocatedGroups,GetActivityData,VerifyActivity,GetTradingTransaction,VerifyTradingTransaction,GetDataClosing,SelectTradeUnexpiredUnsettled"</formula1>
    </dataValidation>
    <dataValidation type="list" allowBlank="1" sqref="G211:J211">
      <formula1>"CreateDoneAwayOrder,GetDataAllocation,CheckAllocatedGroups,GetActivityData,VerifyActivity,GetTradingTransaction,VerifyTradingTransaction,GetDataClosing,SelectTradeUnexpiredUnsettled,CashSettlementAtClosingDtSpotPx,GetAccountBalance"</formula1>
    </dataValidation>
    <dataValidation type="list" allowBlank="1" sqref="E49">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amp;",,,,,,,,,,,,,,,,,,,,,,,,,,,,,,,,,,,,,,,,,,,,,,,,,,,,,,,,,,,,,,,,,,,,,,,,,,,,,,,,,,,,,,,,,,,,,,,,,,,,,,,,,,,,,,,,,,,,,,,,,,,,,,,,,,,,,,,,,,,,,,,,,,,,,,,,,,,,,,,,,,,,,,,,,,,,,,,,,,,,,,,,,,,,,,,,,,,,,,,,,,,,,,,,,,,,,,,,,,,,,,,,,,,,,,,,,,,,,,,,,,,,,,,,,,,"</formula1>
    </dataValidation>
    <dataValidation type="list" allowBlank="1" sqref="G14:J15">
      <formula1>"GetMarkPriceData,GetForexConversion"</formula1>
    </dataValidation>
    <dataValidation type="list" allowBlank="1" sqref="G99:J99">
      <formula1>"CleanUp,GetDailyCash,UpdateDailyCash,AddCalculatedPreferences,SetDefaultRuleCalculatedPref,CreateDoneAwayOrder,PricingInput"</formula1>
    </dataValidation>
    <dataValidation type="list" allowBlank="1" sqref="G45:J45">
      <formula1>"GetForexConversion,UpdateForexConversionMonthly,UpdateForexConversion"</formula1>
    </dataValidation>
    <dataValidation type="list" allowBlank="1" sqref="G26:J26">
      <formula1>"GetForexConversion"</formula1>
    </dataValidation>
    <dataValidation type="list" allowBlank="1" sqref="G94:J94">
      <formula1>"CleanUp,GetDailyCash,UpdateDailyCash,SetGeneralRuleCalculatedPref,CreateDoneAwayOrder,AddCalculatedPreferences"</formula1>
    </dataValidation>
    <dataValidation type="list" allowBlank="1" sqref="G98:J98">
      <formula1>"CleanUp,GetDailyCash,UpdateDailyCash,CreateDoneAwayOrder"</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13.86"/>
    <col customWidth="1" min="3" max="3" width="21.14"/>
    <col customWidth="1" min="4" max="4" width="15.43"/>
    <col customWidth="1" min="5" max="5" width="20.57"/>
    <col customWidth="1" min="6" max="6" width="27.43"/>
    <col customWidth="1" min="7" max="7" width="79.86"/>
    <col customWidth="1" min="8" max="8" width="26.29"/>
    <col customWidth="1" min="9" max="12" width="18.0"/>
    <col customWidth="1" min="13" max="32" width="14.43"/>
  </cols>
  <sheetData>
    <row r="1" ht="1.5" customHeight="1">
      <c r="A1" s="492"/>
      <c r="B1" s="492"/>
      <c r="C1" s="139"/>
      <c r="D1" s="139"/>
      <c r="E1" s="139"/>
      <c r="F1" s="139"/>
      <c r="G1" s="139"/>
      <c r="H1" s="139"/>
      <c r="I1" s="139"/>
      <c r="J1" s="492"/>
      <c r="K1" s="492"/>
      <c r="L1" s="492"/>
      <c r="M1" s="144"/>
      <c r="N1" s="144"/>
      <c r="O1" s="144"/>
      <c r="P1" s="144"/>
      <c r="Q1" s="144"/>
      <c r="R1" s="144"/>
      <c r="S1" s="144"/>
      <c r="T1" s="144"/>
      <c r="U1" s="144"/>
      <c r="V1" s="144"/>
      <c r="W1" s="144"/>
      <c r="X1" s="144"/>
      <c r="Y1" s="144"/>
      <c r="Z1" s="144"/>
      <c r="AA1" s="144"/>
      <c r="AB1" s="144"/>
      <c r="AC1" s="144"/>
      <c r="AD1" s="144"/>
      <c r="AE1" s="144"/>
      <c r="AF1" s="144"/>
    </row>
    <row r="2" ht="1.5" customHeight="1">
      <c r="A2" s="492"/>
      <c r="B2" s="492"/>
      <c r="C2" s="139"/>
      <c r="D2" s="139"/>
      <c r="E2" s="139"/>
      <c r="F2" s="139"/>
      <c r="G2" s="139"/>
      <c r="H2" s="139"/>
      <c r="I2" s="139"/>
      <c r="J2" s="492"/>
      <c r="K2" s="492"/>
      <c r="L2" s="492"/>
      <c r="M2" s="144"/>
      <c r="N2" s="144"/>
      <c r="O2" s="144"/>
      <c r="P2" s="144"/>
      <c r="Q2" s="144"/>
      <c r="R2" s="144"/>
      <c r="S2" s="144"/>
      <c r="T2" s="144"/>
      <c r="U2" s="144"/>
      <c r="V2" s="144"/>
      <c r="W2" s="144"/>
      <c r="X2" s="144"/>
      <c r="Y2" s="144"/>
      <c r="Z2" s="144"/>
      <c r="AA2" s="144"/>
      <c r="AB2" s="144"/>
      <c r="AC2" s="144"/>
      <c r="AD2" s="144"/>
      <c r="AE2" s="144"/>
      <c r="AF2" s="144"/>
    </row>
    <row r="3" ht="1.5" customHeight="1">
      <c r="A3" s="139" t="s">
        <v>5</v>
      </c>
      <c r="B3" s="139" t="s">
        <v>5</v>
      </c>
      <c r="C3" s="139" t="s">
        <v>6</v>
      </c>
      <c r="J3" s="492"/>
      <c r="K3" s="492"/>
      <c r="L3" s="492"/>
      <c r="M3" s="144"/>
      <c r="N3" s="144"/>
      <c r="O3" s="144"/>
      <c r="P3" s="144"/>
      <c r="Q3" s="144"/>
      <c r="R3" s="144"/>
      <c r="S3" s="144"/>
      <c r="T3" s="144"/>
      <c r="U3" s="144"/>
      <c r="V3" s="144"/>
      <c r="W3" s="144"/>
      <c r="X3" s="144"/>
      <c r="Y3" s="144"/>
      <c r="Z3" s="144"/>
      <c r="AA3" s="144"/>
      <c r="AB3" s="144"/>
      <c r="AC3" s="144"/>
      <c r="AD3" s="144"/>
      <c r="AE3" s="144"/>
      <c r="AF3" s="144"/>
    </row>
    <row r="4" ht="17.25" customHeight="1">
      <c r="A4" s="144"/>
      <c r="B4" s="144"/>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row>
    <row r="5" ht="16.5" customHeight="1">
      <c r="A5" s="493" t="s">
        <v>5</v>
      </c>
      <c r="B5" s="493" t="s">
        <v>7</v>
      </c>
      <c r="C5" s="493" t="s">
        <v>8</v>
      </c>
      <c r="D5" s="493" t="s">
        <v>9</v>
      </c>
      <c r="E5" s="493" t="s">
        <v>10</v>
      </c>
      <c r="F5" s="493" t="s">
        <v>11</v>
      </c>
      <c r="G5" s="494" t="s">
        <v>12</v>
      </c>
      <c r="H5" s="145" t="s">
        <v>13</v>
      </c>
      <c r="I5" s="493" t="s">
        <v>14</v>
      </c>
      <c r="J5" s="493" t="s">
        <v>15</v>
      </c>
      <c r="K5" s="493" t="s">
        <v>16</v>
      </c>
      <c r="L5" s="22" t="s">
        <v>17</v>
      </c>
      <c r="M5" s="144"/>
      <c r="N5" s="144"/>
      <c r="O5" s="144"/>
      <c r="P5" s="144"/>
      <c r="Q5" s="144"/>
      <c r="R5" s="144"/>
      <c r="S5" s="144"/>
      <c r="T5" s="144"/>
      <c r="U5" s="144"/>
      <c r="V5" s="144"/>
      <c r="W5" s="144"/>
      <c r="X5" s="144"/>
      <c r="Y5" s="144"/>
      <c r="Z5" s="144"/>
      <c r="AA5" s="144"/>
      <c r="AB5" s="144"/>
      <c r="AC5" s="144"/>
      <c r="AD5" s="144"/>
      <c r="AE5" s="144"/>
      <c r="AF5" s="144"/>
    </row>
    <row r="6" ht="16.5" customHeight="1">
      <c r="A6" s="164" t="s">
        <v>5</v>
      </c>
      <c r="B6" s="8" t="s">
        <v>5641</v>
      </c>
      <c r="C6" s="87" t="s">
        <v>5642</v>
      </c>
      <c r="D6" s="8" t="s">
        <v>20</v>
      </c>
      <c r="E6" s="8" t="s">
        <v>88</v>
      </c>
      <c r="F6" s="8" t="s">
        <v>89</v>
      </c>
      <c r="G6" s="31"/>
      <c r="H6" s="31"/>
      <c r="I6" s="497"/>
      <c r="J6" s="497"/>
      <c r="K6" s="496"/>
      <c r="L6" s="496"/>
      <c r="M6" s="144"/>
      <c r="N6" s="144"/>
      <c r="O6" s="144"/>
      <c r="P6" s="144"/>
      <c r="Q6" s="144"/>
      <c r="R6" s="144"/>
      <c r="S6" s="144"/>
      <c r="T6" s="144"/>
      <c r="U6" s="144"/>
      <c r="V6" s="144"/>
      <c r="W6" s="144"/>
      <c r="X6" s="144"/>
      <c r="Y6" s="144"/>
      <c r="Z6" s="144"/>
      <c r="AA6" s="144"/>
      <c r="AB6" s="144"/>
      <c r="AC6" s="144"/>
      <c r="AD6" s="144"/>
      <c r="AE6" s="144"/>
      <c r="AF6" s="144"/>
    </row>
    <row r="7" ht="16.5" customHeight="1">
      <c r="A7" s="164" t="s">
        <v>5</v>
      </c>
      <c r="E7" s="8" t="s">
        <v>21</v>
      </c>
      <c r="F7" s="8" t="s">
        <v>22</v>
      </c>
      <c r="G7" s="34" t="s">
        <v>5643</v>
      </c>
      <c r="H7" s="35" t="s">
        <v>22</v>
      </c>
      <c r="I7" s="36"/>
      <c r="L7" s="496"/>
      <c r="M7" s="144"/>
      <c r="N7" s="144"/>
      <c r="O7" s="144"/>
      <c r="P7" s="144"/>
      <c r="Q7" s="144"/>
      <c r="R7" s="144"/>
      <c r="S7" s="144"/>
      <c r="T7" s="144"/>
      <c r="U7" s="144"/>
      <c r="V7" s="144"/>
      <c r="W7" s="144"/>
      <c r="X7" s="144"/>
      <c r="Y7" s="144"/>
      <c r="Z7" s="144"/>
      <c r="AA7" s="144"/>
      <c r="AB7" s="144"/>
      <c r="AC7" s="144"/>
      <c r="AD7" s="144"/>
      <c r="AE7" s="144"/>
      <c r="AF7" s="144"/>
    </row>
    <row r="8" ht="16.5" customHeight="1">
      <c r="A8" s="164" t="s">
        <v>5</v>
      </c>
      <c r="E8" s="8" t="s">
        <v>43</v>
      </c>
      <c r="F8" s="8" t="s">
        <v>109</v>
      </c>
      <c r="G8" s="34" t="s">
        <v>5644</v>
      </c>
      <c r="H8" s="35" t="s">
        <v>109</v>
      </c>
      <c r="L8" s="496"/>
      <c r="M8" s="144"/>
      <c r="N8" s="144"/>
      <c r="O8" s="144"/>
      <c r="P8" s="144"/>
      <c r="Q8" s="144"/>
      <c r="R8" s="144"/>
      <c r="S8" s="144"/>
      <c r="T8" s="144"/>
      <c r="U8" s="144"/>
      <c r="V8" s="144"/>
      <c r="W8" s="144"/>
      <c r="X8" s="144"/>
      <c r="Y8" s="144"/>
      <c r="Z8" s="144"/>
      <c r="AA8" s="144"/>
      <c r="AB8" s="144"/>
      <c r="AC8" s="144"/>
      <c r="AD8" s="144"/>
      <c r="AE8" s="144"/>
      <c r="AF8" s="144"/>
    </row>
    <row r="9" ht="16.5" customHeight="1">
      <c r="A9" s="164" t="s">
        <v>5</v>
      </c>
      <c r="E9" s="8" t="s">
        <v>21</v>
      </c>
      <c r="F9" s="8" t="s">
        <v>51</v>
      </c>
      <c r="G9" s="34" t="s">
        <v>5645</v>
      </c>
      <c r="H9" s="35" t="s">
        <v>51</v>
      </c>
      <c r="L9" s="496"/>
      <c r="M9" s="144"/>
      <c r="N9" s="144"/>
      <c r="O9" s="144"/>
      <c r="P9" s="144"/>
      <c r="Q9" s="144"/>
      <c r="R9" s="144"/>
      <c r="S9" s="144"/>
      <c r="T9" s="144"/>
      <c r="U9" s="144"/>
      <c r="V9" s="144"/>
      <c r="W9" s="144"/>
      <c r="X9" s="144"/>
      <c r="Y9" s="144"/>
      <c r="Z9" s="144"/>
      <c r="AA9" s="144"/>
      <c r="AB9" s="144"/>
      <c r="AC9" s="144"/>
      <c r="AD9" s="144"/>
      <c r="AE9" s="144"/>
      <c r="AF9" s="144"/>
    </row>
    <row r="10" ht="16.5" customHeight="1">
      <c r="A10" s="164" t="s">
        <v>5</v>
      </c>
      <c r="E10" s="8" t="s">
        <v>43</v>
      </c>
      <c r="F10" s="8" t="s">
        <v>109</v>
      </c>
      <c r="G10" s="34" t="s">
        <v>5646</v>
      </c>
      <c r="H10" s="35" t="s">
        <v>2395</v>
      </c>
      <c r="L10" s="496"/>
      <c r="M10" s="144"/>
      <c r="N10" s="144"/>
      <c r="O10" s="144"/>
      <c r="P10" s="144"/>
      <c r="Q10" s="144"/>
      <c r="R10" s="144"/>
      <c r="S10" s="144"/>
      <c r="T10" s="144"/>
      <c r="U10" s="144"/>
      <c r="V10" s="144"/>
      <c r="W10" s="144"/>
      <c r="X10" s="144"/>
      <c r="Y10" s="144"/>
      <c r="Z10" s="144"/>
      <c r="AA10" s="144"/>
      <c r="AB10" s="144"/>
      <c r="AC10" s="144"/>
      <c r="AD10" s="144"/>
      <c r="AE10" s="144"/>
      <c r="AF10" s="144"/>
    </row>
    <row r="11" ht="16.5" customHeight="1">
      <c r="A11" s="164" t="s">
        <v>5</v>
      </c>
      <c r="E11" s="8" t="s">
        <v>21</v>
      </c>
      <c r="F11" s="8" t="s">
        <v>51</v>
      </c>
      <c r="G11" s="34" t="s">
        <v>5647</v>
      </c>
      <c r="H11" s="35" t="s">
        <v>1383</v>
      </c>
      <c r="L11" s="496"/>
      <c r="M11" s="144"/>
      <c r="N11" s="144"/>
      <c r="O11" s="144"/>
      <c r="P11" s="144"/>
      <c r="Q11" s="144"/>
      <c r="R11" s="144"/>
      <c r="S11" s="144"/>
      <c r="T11" s="144"/>
      <c r="U11" s="144"/>
      <c r="V11" s="144"/>
      <c r="W11" s="144"/>
      <c r="X11" s="144"/>
      <c r="Y11" s="144"/>
      <c r="Z11" s="144"/>
      <c r="AA11" s="144"/>
      <c r="AB11" s="144"/>
      <c r="AC11" s="144"/>
      <c r="AD11" s="144"/>
      <c r="AE11" s="144"/>
      <c r="AF11" s="144"/>
    </row>
    <row r="12" ht="16.5" customHeight="1">
      <c r="A12" s="164" t="s">
        <v>5</v>
      </c>
      <c r="E12" s="8" t="s">
        <v>88</v>
      </c>
      <c r="F12" s="8" t="s">
        <v>96</v>
      </c>
      <c r="G12" s="34" t="s">
        <v>5648</v>
      </c>
      <c r="H12" s="35" t="s">
        <v>96</v>
      </c>
      <c r="L12" s="496"/>
      <c r="M12" s="144"/>
      <c r="N12" s="144"/>
      <c r="O12" s="144"/>
      <c r="P12" s="144"/>
      <c r="Q12" s="144"/>
      <c r="R12" s="144"/>
      <c r="S12" s="144"/>
      <c r="T12" s="144"/>
      <c r="U12" s="144"/>
      <c r="V12" s="144"/>
      <c r="W12" s="144"/>
      <c r="X12" s="144"/>
      <c r="Y12" s="144"/>
      <c r="Z12" s="144"/>
      <c r="AA12" s="144"/>
      <c r="AB12" s="144"/>
      <c r="AC12" s="144"/>
      <c r="AD12" s="144"/>
      <c r="AE12" s="144"/>
      <c r="AF12" s="144"/>
    </row>
    <row r="13" ht="16.5" customHeight="1">
      <c r="A13" s="164" t="s">
        <v>5</v>
      </c>
      <c r="E13" s="8" t="s">
        <v>86</v>
      </c>
      <c r="F13" s="8" t="s">
        <v>91</v>
      </c>
      <c r="G13" s="34" t="s">
        <v>5649</v>
      </c>
      <c r="H13" s="8" t="s">
        <v>91</v>
      </c>
      <c r="I13" s="497"/>
      <c r="J13" s="497"/>
      <c r="K13" s="496"/>
      <c r="L13" s="496"/>
      <c r="M13" s="144"/>
      <c r="N13" s="144"/>
      <c r="O13" s="144"/>
      <c r="P13" s="144"/>
      <c r="Q13" s="144"/>
      <c r="R13" s="144"/>
      <c r="S13" s="144"/>
      <c r="T13" s="144"/>
      <c r="U13" s="144"/>
      <c r="V13" s="144"/>
      <c r="W13" s="144"/>
      <c r="X13" s="144"/>
      <c r="Y13" s="144"/>
      <c r="Z13" s="144"/>
      <c r="AA13" s="144"/>
      <c r="AB13" s="144"/>
      <c r="AC13" s="144"/>
      <c r="AD13" s="144"/>
      <c r="AE13" s="144"/>
      <c r="AF13" s="144"/>
    </row>
    <row r="14" ht="16.5" customHeight="1">
      <c r="A14" s="164" t="s">
        <v>5</v>
      </c>
      <c r="E14" s="8" t="s">
        <v>104</v>
      </c>
      <c r="F14" s="8" t="s">
        <v>250</v>
      </c>
      <c r="G14" s="34" t="s">
        <v>5650</v>
      </c>
      <c r="H14" s="35" t="s">
        <v>250</v>
      </c>
      <c r="I14" s="36"/>
      <c r="L14" s="496"/>
      <c r="M14" s="144"/>
      <c r="N14" s="144"/>
      <c r="O14" s="144"/>
      <c r="P14" s="144"/>
      <c r="Q14" s="144"/>
      <c r="R14" s="144"/>
      <c r="S14" s="144"/>
      <c r="T14" s="144"/>
      <c r="U14" s="144"/>
      <c r="V14" s="144"/>
      <c r="W14" s="144"/>
      <c r="X14" s="144"/>
      <c r="Y14" s="144"/>
      <c r="Z14" s="144"/>
      <c r="AA14" s="144"/>
      <c r="AB14" s="144"/>
      <c r="AC14" s="144"/>
      <c r="AD14" s="144"/>
      <c r="AE14" s="144"/>
      <c r="AF14" s="144"/>
    </row>
    <row r="15" ht="16.5" customHeight="1">
      <c r="A15" s="164" t="s">
        <v>5</v>
      </c>
      <c r="B15" s="8" t="s">
        <v>5651</v>
      </c>
      <c r="C15" s="87" t="s">
        <v>5652</v>
      </c>
      <c r="D15" s="8" t="s">
        <v>20</v>
      </c>
      <c r="E15" s="8" t="s">
        <v>88</v>
      </c>
      <c r="F15" s="8" t="s">
        <v>89</v>
      </c>
      <c r="G15" s="31"/>
      <c r="H15" s="31"/>
      <c r="I15" s="352"/>
      <c r="J15" s="497"/>
      <c r="K15" s="496"/>
      <c r="L15" s="496"/>
      <c r="M15" s="144"/>
      <c r="N15" s="144"/>
      <c r="O15" s="144"/>
      <c r="P15" s="144"/>
      <c r="Q15" s="144"/>
      <c r="R15" s="144"/>
      <c r="S15" s="144"/>
      <c r="T15" s="144"/>
      <c r="U15" s="144"/>
      <c r="V15" s="144"/>
      <c r="W15" s="144"/>
      <c r="X15" s="144"/>
      <c r="Y15" s="144"/>
      <c r="Z15" s="144"/>
      <c r="AA15" s="144"/>
      <c r="AB15" s="144"/>
      <c r="AC15" s="144"/>
      <c r="AD15" s="144"/>
      <c r="AE15" s="144"/>
      <c r="AF15" s="144"/>
    </row>
    <row r="16" ht="16.5" customHeight="1">
      <c r="A16" s="164" t="s">
        <v>5</v>
      </c>
      <c r="E16" s="8" t="s">
        <v>21</v>
      </c>
      <c r="F16" s="8" t="s">
        <v>22</v>
      </c>
      <c r="G16" s="34" t="s">
        <v>5653</v>
      </c>
      <c r="H16" s="8" t="s">
        <v>22</v>
      </c>
      <c r="I16" s="497"/>
      <c r="J16" s="497"/>
      <c r="K16" s="496"/>
      <c r="L16" s="496"/>
      <c r="M16" s="144"/>
      <c r="N16" s="144"/>
      <c r="O16" s="144"/>
      <c r="P16" s="144"/>
      <c r="Q16" s="144"/>
      <c r="R16" s="144"/>
      <c r="S16" s="144"/>
      <c r="T16" s="144"/>
      <c r="U16" s="144"/>
      <c r="V16" s="144"/>
      <c r="W16" s="144"/>
      <c r="X16" s="144"/>
      <c r="Y16" s="144"/>
      <c r="Z16" s="144"/>
      <c r="AA16" s="144"/>
      <c r="AB16" s="144"/>
      <c r="AC16" s="144"/>
      <c r="AD16" s="144"/>
      <c r="AE16" s="144"/>
      <c r="AF16" s="144"/>
    </row>
    <row r="17" ht="16.5" customHeight="1">
      <c r="A17" s="164" t="s">
        <v>5</v>
      </c>
      <c r="E17" s="8" t="s">
        <v>43</v>
      </c>
      <c r="F17" s="8" t="s">
        <v>109</v>
      </c>
      <c r="G17" s="34" t="s">
        <v>5654</v>
      </c>
      <c r="H17" s="8" t="s">
        <v>109</v>
      </c>
      <c r="I17" s="497"/>
      <c r="J17" s="497"/>
      <c r="K17" s="496"/>
      <c r="L17" s="496"/>
      <c r="M17" s="144"/>
      <c r="N17" s="144"/>
      <c r="O17" s="144"/>
      <c r="P17" s="144"/>
      <c r="Q17" s="144"/>
      <c r="R17" s="144"/>
      <c r="S17" s="144"/>
      <c r="T17" s="144"/>
      <c r="U17" s="144"/>
      <c r="V17" s="144"/>
      <c r="W17" s="144"/>
      <c r="X17" s="144"/>
      <c r="Y17" s="144"/>
      <c r="Z17" s="144"/>
      <c r="AA17" s="144"/>
      <c r="AB17" s="144"/>
      <c r="AC17" s="144"/>
      <c r="AD17" s="144"/>
      <c r="AE17" s="144"/>
      <c r="AF17" s="144"/>
    </row>
    <row r="18" ht="16.5" customHeight="1">
      <c r="A18" s="164" t="s">
        <v>5</v>
      </c>
      <c r="E18" s="8" t="s">
        <v>21</v>
      </c>
      <c r="F18" s="8" t="s">
        <v>51</v>
      </c>
      <c r="G18" s="34" t="s">
        <v>5655</v>
      </c>
      <c r="H18" s="8" t="s">
        <v>51</v>
      </c>
      <c r="I18" s="497"/>
      <c r="J18" s="497"/>
      <c r="K18" s="496"/>
      <c r="L18" s="496"/>
      <c r="M18" s="144"/>
      <c r="N18" s="144"/>
      <c r="O18" s="144"/>
      <c r="P18" s="144"/>
      <c r="Q18" s="144"/>
      <c r="R18" s="144"/>
      <c r="S18" s="144"/>
      <c r="T18" s="144"/>
      <c r="U18" s="144"/>
      <c r="V18" s="144"/>
      <c r="W18" s="144"/>
      <c r="X18" s="144"/>
      <c r="Y18" s="144"/>
      <c r="Z18" s="144"/>
      <c r="AA18" s="144"/>
      <c r="AB18" s="144"/>
      <c r="AC18" s="144"/>
      <c r="AD18" s="144"/>
      <c r="AE18" s="144"/>
      <c r="AF18" s="144"/>
    </row>
    <row r="19" ht="16.5" customHeight="1">
      <c r="A19" s="164" t="s">
        <v>5</v>
      </c>
      <c r="E19" s="8" t="s">
        <v>43</v>
      </c>
      <c r="F19" s="8" t="s">
        <v>109</v>
      </c>
      <c r="G19" s="34" t="s">
        <v>5656</v>
      </c>
      <c r="H19" s="35" t="s">
        <v>2395</v>
      </c>
      <c r="L19" s="496"/>
      <c r="M19" s="144"/>
      <c r="N19" s="144"/>
      <c r="O19" s="144"/>
      <c r="P19" s="144"/>
      <c r="Q19" s="144"/>
      <c r="R19" s="144"/>
      <c r="S19" s="144"/>
      <c r="T19" s="144"/>
      <c r="U19" s="144"/>
      <c r="V19" s="144"/>
      <c r="W19" s="144"/>
      <c r="X19" s="144"/>
      <c r="Y19" s="144"/>
      <c r="Z19" s="144"/>
      <c r="AA19" s="144"/>
      <c r="AB19" s="144"/>
      <c r="AC19" s="144"/>
      <c r="AD19" s="144"/>
      <c r="AE19" s="144"/>
      <c r="AF19" s="144"/>
    </row>
    <row r="20" ht="16.5" customHeight="1">
      <c r="A20" s="164" t="s">
        <v>5</v>
      </c>
      <c r="E20" s="8" t="s">
        <v>21</v>
      </c>
      <c r="F20" s="8" t="s">
        <v>51</v>
      </c>
      <c r="G20" s="34" t="s">
        <v>5657</v>
      </c>
      <c r="H20" s="35" t="s">
        <v>1383</v>
      </c>
      <c r="L20" s="496"/>
      <c r="M20" s="144"/>
      <c r="N20" s="144"/>
      <c r="O20" s="144"/>
      <c r="P20" s="144"/>
      <c r="Q20" s="144"/>
      <c r="R20" s="144"/>
      <c r="S20" s="144"/>
      <c r="T20" s="144"/>
      <c r="U20" s="144"/>
      <c r="V20" s="144"/>
      <c r="W20" s="144"/>
      <c r="X20" s="144"/>
      <c r="Y20" s="144"/>
      <c r="Z20" s="144"/>
      <c r="AA20" s="144"/>
      <c r="AB20" s="144"/>
      <c r="AC20" s="144"/>
      <c r="AD20" s="144"/>
      <c r="AE20" s="144"/>
      <c r="AF20" s="144"/>
    </row>
    <row r="21" ht="16.5" customHeight="1">
      <c r="A21" s="164" t="s">
        <v>5</v>
      </c>
      <c r="E21" s="8" t="s">
        <v>88</v>
      </c>
      <c r="F21" s="8" t="s">
        <v>96</v>
      </c>
      <c r="G21" s="34" t="s">
        <v>5658</v>
      </c>
      <c r="H21" s="8" t="s">
        <v>96</v>
      </c>
      <c r="I21" s="497"/>
      <c r="J21" s="497"/>
      <c r="K21" s="496"/>
      <c r="L21" s="496"/>
      <c r="M21" s="144"/>
      <c r="N21" s="144"/>
      <c r="O21" s="144"/>
      <c r="P21" s="144"/>
      <c r="Q21" s="144"/>
      <c r="R21" s="144"/>
      <c r="S21" s="144"/>
      <c r="T21" s="144"/>
      <c r="U21" s="144"/>
      <c r="V21" s="144"/>
      <c r="W21" s="144"/>
      <c r="X21" s="144"/>
      <c r="Y21" s="144"/>
      <c r="Z21" s="144"/>
      <c r="AA21" s="144"/>
      <c r="AB21" s="144"/>
      <c r="AC21" s="144"/>
      <c r="AD21" s="144"/>
      <c r="AE21" s="144"/>
      <c r="AF21" s="144"/>
    </row>
    <row r="22" ht="16.5" customHeight="1">
      <c r="A22" s="164" t="s">
        <v>5</v>
      </c>
      <c r="E22" s="8" t="s">
        <v>86</v>
      </c>
      <c r="F22" s="8" t="s">
        <v>90</v>
      </c>
      <c r="G22" s="34" t="s">
        <v>5659</v>
      </c>
      <c r="H22" s="8" t="s">
        <v>90</v>
      </c>
      <c r="I22" s="352"/>
      <c r="J22" s="497"/>
      <c r="K22" s="496"/>
      <c r="L22" s="496"/>
      <c r="M22" s="144"/>
      <c r="N22" s="144"/>
      <c r="O22" s="144"/>
      <c r="P22" s="144"/>
      <c r="Q22" s="144"/>
      <c r="R22" s="144"/>
      <c r="S22" s="144"/>
      <c r="T22" s="144"/>
      <c r="U22" s="144"/>
      <c r="V22" s="144"/>
      <c r="W22" s="144"/>
      <c r="X22" s="144"/>
      <c r="Y22" s="144"/>
      <c r="Z22" s="144"/>
      <c r="AA22" s="144"/>
      <c r="AB22" s="144"/>
      <c r="AC22" s="144"/>
      <c r="AD22" s="144"/>
      <c r="AE22" s="144"/>
      <c r="AF22" s="144"/>
    </row>
    <row r="23" ht="16.5" customHeight="1">
      <c r="A23" s="164" t="s">
        <v>5</v>
      </c>
      <c r="E23" s="8" t="s">
        <v>86</v>
      </c>
      <c r="F23" s="8" t="s">
        <v>91</v>
      </c>
      <c r="G23" s="34" t="s">
        <v>5660</v>
      </c>
      <c r="H23" s="8" t="s">
        <v>91</v>
      </c>
      <c r="I23" s="352"/>
      <c r="J23" s="497"/>
      <c r="K23" s="496"/>
      <c r="L23" s="496"/>
      <c r="M23" s="144"/>
      <c r="N23" s="144"/>
      <c r="O23" s="144"/>
      <c r="P23" s="144"/>
      <c r="Q23" s="144"/>
      <c r="R23" s="144"/>
      <c r="S23" s="144"/>
      <c r="T23" s="144"/>
      <c r="U23" s="144"/>
      <c r="V23" s="144"/>
      <c r="W23" s="144"/>
      <c r="X23" s="144"/>
      <c r="Y23" s="144"/>
      <c r="Z23" s="144"/>
      <c r="AA23" s="144"/>
      <c r="AB23" s="144"/>
      <c r="AC23" s="144"/>
      <c r="AD23" s="144"/>
      <c r="AE23" s="144"/>
      <c r="AF23" s="144"/>
    </row>
    <row r="24" ht="16.5" customHeight="1">
      <c r="A24" s="164" t="s">
        <v>5</v>
      </c>
      <c r="E24" s="8" t="s">
        <v>104</v>
      </c>
      <c r="F24" s="8" t="s">
        <v>250</v>
      </c>
      <c r="G24" s="34" t="s">
        <v>5661</v>
      </c>
      <c r="H24" s="8" t="s">
        <v>250</v>
      </c>
      <c r="I24" s="497"/>
      <c r="J24" s="497"/>
      <c r="K24" s="496"/>
      <c r="L24" s="496"/>
      <c r="M24" s="144"/>
      <c r="N24" s="144"/>
      <c r="O24" s="144"/>
      <c r="P24" s="144"/>
      <c r="Q24" s="144"/>
      <c r="R24" s="144"/>
      <c r="S24" s="144"/>
      <c r="T24" s="144"/>
      <c r="U24" s="144"/>
      <c r="V24" s="144"/>
      <c r="W24" s="144"/>
      <c r="X24" s="144"/>
      <c r="Y24" s="144"/>
      <c r="Z24" s="144"/>
      <c r="AA24" s="144"/>
      <c r="AB24" s="144"/>
      <c r="AC24" s="144"/>
      <c r="AD24" s="144"/>
      <c r="AE24" s="144"/>
      <c r="AF24" s="144"/>
    </row>
    <row r="25" ht="16.5" customHeight="1">
      <c r="A25" s="144"/>
      <c r="B25" s="559"/>
      <c r="C25" s="352"/>
      <c r="D25" s="352"/>
      <c r="E25" s="352"/>
      <c r="F25" s="352"/>
      <c r="G25" s="498"/>
      <c r="H25" s="352"/>
      <c r="I25" s="497"/>
      <c r="J25" s="497"/>
      <c r="K25" s="496"/>
      <c r="L25" s="496"/>
      <c r="M25" s="144"/>
      <c r="N25" s="144"/>
      <c r="O25" s="144"/>
      <c r="P25" s="144"/>
      <c r="Q25" s="144"/>
      <c r="R25" s="144"/>
      <c r="S25" s="144"/>
      <c r="T25" s="144"/>
      <c r="U25" s="144"/>
      <c r="V25" s="144"/>
      <c r="W25" s="144"/>
      <c r="X25" s="144"/>
      <c r="Y25" s="144"/>
      <c r="Z25" s="144"/>
      <c r="AA25" s="144"/>
      <c r="AB25" s="144"/>
      <c r="AC25" s="144"/>
      <c r="AD25" s="144"/>
      <c r="AE25" s="144"/>
      <c r="AF25" s="144"/>
    </row>
    <row r="26" ht="16.5" customHeight="1">
      <c r="A26" s="144"/>
      <c r="B26" s="83"/>
      <c r="C26" s="352"/>
      <c r="D26" s="352"/>
      <c r="E26" s="352"/>
      <c r="F26" s="352"/>
      <c r="G26" s="352"/>
      <c r="H26" s="352"/>
      <c r="I26" s="497"/>
      <c r="J26" s="497"/>
      <c r="K26" s="496"/>
      <c r="L26" s="496"/>
      <c r="M26" s="144"/>
      <c r="N26" s="144"/>
      <c r="O26" s="144"/>
      <c r="P26" s="144"/>
      <c r="Q26" s="144"/>
      <c r="R26" s="144"/>
      <c r="S26" s="144"/>
      <c r="T26" s="144"/>
      <c r="U26" s="144"/>
      <c r="V26" s="144"/>
      <c r="W26" s="144"/>
      <c r="X26" s="144"/>
      <c r="Y26" s="144"/>
      <c r="Z26" s="144"/>
      <c r="AA26" s="144"/>
      <c r="AB26" s="144"/>
      <c r="AC26" s="144"/>
      <c r="AD26" s="144"/>
      <c r="AE26" s="144"/>
      <c r="AF26" s="144"/>
    </row>
    <row r="27" ht="16.5" customHeight="1">
      <c r="A27" s="144"/>
      <c r="B27" s="559"/>
      <c r="C27" s="352"/>
      <c r="D27" s="352"/>
      <c r="E27" s="352"/>
      <c r="F27" s="352"/>
      <c r="G27" s="560"/>
      <c r="H27" s="352"/>
      <c r="I27" s="497"/>
      <c r="J27" s="497"/>
      <c r="K27" s="496"/>
      <c r="L27" s="496"/>
      <c r="M27" s="144"/>
      <c r="N27" s="144"/>
      <c r="O27" s="144"/>
      <c r="P27" s="144"/>
      <c r="Q27" s="144"/>
      <c r="R27" s="144"/>
      <c r="S27" s="144"/>
      <c r="T27" s="144"/>
      <c r="U27" s="144"/>
      <c r="V27" s="144"/>
      <c r="W27" s="144"/>
      <c r="X27" s="144"/>
      <c r="Y27" s="144"/>
      <c r="Z27" s="144"/>
      <c r="AA27" s="144"/>
      <c r="AB27" s="144"/>
      <c r="AC27" s="144"/>
      <c r="AD27" s="144"/>
      <c r="AE27" s="144"/>
      <c r="AF27" s="144"/>
    </row>
    <row r="28" ht="16.5" customHeight="1">
      <c r="A28" s="144"/>
      <c r="B28" s="559"/>
      <c r="C28" s="352"/>
      <c r="D28" s="352"/>
      <c r="E28" s="352"/>
      <c r="F28" s="352"/>
      <c r="G28" s="560"/>
      <c r="H28" s="352"/>
      <c r="I28" s="497"/>
      <c r="J28" s="497"/>
      <c r="K28" s="496"/>
      <c r="L28" s="496"/>
      <c r="M28" s="144"/>
      <c r="N28" s="144"/>
      <c r="O28" s="144"/>
      <c r="P28" s="144"/>
      <c r="Q28" s="144"/>
      <c r="R28" s="144"/>
      <c r="S28" s="144"/>
      <c r="T28" s="144"/>
      <c r="U28" s="144"/>
      <c r="V28" s="144"/>
      <c r="W28" s="144"/>
      <c r="X28" s="144"/>
      <c r="Y28" s="144"/>
      <c r="Z28" s="144"/>
      <c r="AA28" s="144"/>
      <c r="AB28" s="144"/>
      <c r="AC28" s="144"/>
      <c r="AD28" s="144"/>
      <c r="AE28" s="144"/>
      <c r="AF28" s="144"/>
    </row>
    <row r="29" ht="16.5" customHeight="1">
      <c r="A29" s="144"/>
      <c r="B29" s="559"/>
      <c r="C29" s="352"/>
      <c r="D29" s="352"/>
      <c r="E29" s="352"/>
      <c r="F29" s="352"/>
      <c r="G29" s="560"/>
      <c r="H29" s="352"/>
      <c r="I29" s="497"/>
      <c r="J29" s="497"/>
      <c r="K29" s="496"/>
      <c r="L29" s="496"/>
      <c r="M29" s="144"/>
      <c r="N29" s="144"/>
      <c r="O29" s="144"/>
      <c r="P29" s="144"/>
      <c r="Q29" s="144"/>
      <c r="R29" s="144"/>
      <c r="S29" s="144"/>
      <c r="T29" s="144"/>
      <c r="U29" s="144"/>
      <c r="V29" s="144"/>
      <c r="W29" s="144"/>
      <c r="X29" s="144"/>
      <c r="Y29" s="144"/>
      <c r="Z29" s="144"/>
      <c r="AA29" s="144"/>
      <c r="AB29" s="144"/>
      <c r="AC29" s="144"/>
      <c r="AD29" s="144"/>
      <c r="AE29" s="144"/>
      <c r="AF29" s="144"/>
    </row>
    <row r="30" ht="16.5" customHeight="1">
      <c r="A30" s="144"/>
      <c r="B30" s="559"/>
      <c r="C30" s="352"/>
      <c r="D30" s="352"/>
      <c r="E30" s="352"/>
      <c r="F30" s="352"/>
      <c r="G30" s="560"/>
      <c r="H30" s="352"/>
      <c r="I30" s="352"/>
      <c r="J30" s="497"/>
      <c r="K30" s="496"/>
      <c r="L30" s="496"/>
      <c r="M30" s="144"/>
      <c r="N30" s="144"/>
      <c r="O30" s="144"/>
      <c r="P30" s="144"/>
      <c r="Q30" s="144"/>
      <c r="R30" s="144"/>
      <c r="S30" s="144"/>
      <c r="T30" s="144"/>
      <c r="U30" s="144"/>
      <c r="V30" s="144"/>
      <c r="W30" s="144"/>
      <c r="X30" s="144"/>
      <c r="Y30" s="144"/>
      <c r="Z30" s="144"/>
      <c r="AA30" s="144"/>
      <c r="AB30" s="144"/>
      <c r="AC30" s="144"/>
      <c r="AD30" s="144"/>
      <c r="AE30" s="144"/>
      <c r="AF30" s="144"/>
    </row>
    <row r="31" ht="16.5" customHeight="1">
      <c r="A31" s="144"/>
      <c r="B31" s="559"/>
      <c r="C31" s="352"/>
      <c r="D31" s="352"/>
      <c r="E31" s="352"/>
      <c r="F31" s="505"/>
      <c r="G31" s="560"/>
      <c r="H31" s="505"/>
      <c r="I31" s="352"/>
      <c r="J31" s="497"/>
      <c r="K31" s="496"/>
      <c r="L31" s="496"/>
      <c r="M31" s="144"/>
      <c r="N31" s="144"/>
      <c r="O31" s="144"/>
      <c r="P31" s="144"/>
      <c r="Q31" s="144"/>
      <c r="R31" s="144"/>
      <c r="S31" s="144"/>
      <c r="T31" s="144"/>
      <c r="U31" s="144"/>
      <c r="V31" s="144"/>
      <c r="W31" s="144"/>
      <c r="X31" s="144"/>
      <c r="Y31" s="144"/>
      <c r="Z31" s="144"/>
      <c r="AA31" s="144"/>
      <c r="AB31" s="144"/>
      <c r="AC31" s="144"/>
      <c r="AD31" s="144"/>
      <c r="AE31" s="144"/>
      <c r="AF31" s="144"/>
    </row>
    <row r="32" ht="16.5" customHeight="1">
      <c r="A32" s="144"/>
      <c r="B32" s="559"/>
      <c r="C32" s="352"/>
      <c r="D32" s="352"/>
      <c r="E32" s="352"/>
      <c r="F32" s="352"/>
      <c r="G32" s="560"/>
      <c r="H32" s="505"/>
      <c r="I32" s="497"/>
      <c r="J32" s="497"/>
      <c r="K32" s="496"/>
      <c r="L32" s="496"/>
      <c r="M32" s="144"/>
      <c r="N32" s="144"/>
      <c r="O32" s="144"/>
      <c r="P32" s="144"/>
      <c r="Q32" s="144"/>
      <c r="R32" s="144"/>
      <c r="S32" s="144"/>
      <c r="T32" s="144"/>
      <c r="U32" s="144"/>
      <c r="V32" s="144"/>
      <c r="W32" s="144"/>
      <c r="X32" s="144"/>
      <c r="Y32" s="144"/>
      <c r="Z32" s="144"/>
      <c r="AA32" s="144"/>
      <c r="AB32" s="144"/>
      <c r="AC32" s="144"/>
      <c r="AD32" s="144"/>
      <c r="AE32" s="144"/>
      <c r="AF32" s="144"/>
    </row>
    <row r="33" ht="16.5" customHeight="1">
      <c r="A33" s="144"/>
      <c r="B33" s="559"/>
      <c r="C33" s="352"/>
      <c r="D33" s="352"/>
      <c r="E33" s="352"/>
      <c r="F33" s="352"/>
      <c r="G33" s="560"/>
      <c r="H33" s="352"/>
      <c r="I33" s="497"/>
      <c r="J33" s="497"/>
      <c r="K33" s="496"/>
      <c r="L33" s="496"/>
      <c r="M33" s="144"/>
      <c r="N33" s="144"/>
      <c r="O33" s="144"/>
      <c r="P33" s="144"/>
      <c r="Q33" s="144"/>
      <c r="R33" s="144"/>
      <c r="S33" s="144"/>
      <c r="T33" s="144"/>
      <c r="U33" s="144"/>
      <c r="V33" s="144"/>
      <c r="W33" s="144"/>
      <c r="X33" s="144"/>
      <c r="Y33" s="144"/>
      <c r="Z33" s="144"/>
      <c r="AA33" s="144"/>
      <c r="AB33" s="144"/>
      <c r="AC33" s="144"/>
      <c r="AD33" s="144"/>
      <c r="AE33" s="144"/>
      <c r="AF33" s="144"/>
    </row>
    <row r="34" ht="16.5" customHeight="1">
      <c r="A34" s="144"/>
      <c r="B34" s="559"/>
      <c r="C34" s="352"/>
      <c r="D34" s="352"/>
      <c r="E34" s="352"/>
      <c r="F34" s="352"/>
      <c r="G34" s="560"/>
      <c r="H34" s="352"/>
      <c r="I34" s="497"/>
      <c r="J34" s="497"/>
      <c r="K34" s="496"/>
      <c r="L34" s="496"/>
      <c r="M34" s="144"/>
      <c r="N34" s="144"/>
      <c r="O34" s="144"/>
      <c r="P34" s="144"/>
      <c r="Q34" s="144"/>
      <c r="R34" s="144"/>
      <c r="S34" s="144"/>
      <c r="T34" s="144"/>
      <c r="U34" s="144"/>
      <c r="V34" s="144"/>
      <c r="W34" s="144"/>
      <c r="X34" s="144"/>
      <c r="Y34" s="144"/>
      <c r="Z34" s="144"/>
      <c r="AA34" s="144"/>
      <c r="AB34" s="144"/>
      <c r="AC34" s="144"/>
      <c r="AD34" s="144"/>
      <c r="AE34" s="144"/>
      <c r="AF34" s="144"/>
    </row>
    <row r="35" ht="16.5" customHeight="1">
      <c r="A35" s="144"/>
      <c r="B35" s="559"/>
      <c r="C35" s="352"/>
      <c r="D35" s="352"/>
      <c r="E35" s="352"/>
      <c r="F35" s="352"/>
      <c r="G35" s="560"/>
      <c r="H35" s="352"/>
      <c r="I35" s="497"/>
      <c r="J35" s="497"/>
      <c r="K35" s="496"/>
      <c r="L35" s="496"/>
      <c r="M35" s="144"/>
      <c r="N35" s="144"/>
      <c r="O35" s="144"/>
      <c r="P35" s="144"/>
      <c r="Q35" s="144"/>
      <c r="R35" s="144"/>
      <c r="S35" s="144"/>
      <c r="T35" s="144"/>
      <c r="U35" s="144"/>
      <c r="V35" s="144"/>
      <c r="W35" s="144"/>
      <c r="X35" s="144"/>
      <c r="Y35" s="144"/>
      <c r="Z35" s="144"/>
      <c r="AA35" s="144"/>
      <c r="AB35" s="144"/>
      <c r="AC35" s="144"/>
      <c r="AD35" s="144"/>
      <c r="AE35" s="144"/>
      <c r="AF35" s="144"/>
    </row>
    <row r="36" ht="16.5" customHeight="1">
      <c r="A36" s="144"/>
      <c r="B36" s="559"/>
      <c r="C36" s="352"/>
      <c r="D36" s="352"/>
      <c r="E36" s="352"/>
      <c r="F36" s="352"/>
      <c r="G36" s="560"/>
      <c r="H36" s="352"/>
      <c r="I36" s="497"/>
      <c r="J36" s="497"/>
      <c r="K36" s="496"/>
      <c r="L36" s="496"/>
      <c r="M36" s="144"/>
      <c r="N36" s="144"/>
      <c r="O36" s="144"/>
      <c r="P36" s="144"/>
      <c r="Q36" s="144"/>
      <c r="R36" s="144"/>
      <c r="S36" s="144"/>
      <c r="T36" s="144"/>
      <c r="U36" s="144"/>
      <c r="V36" s="144"/>
      <c r="W36" s="144"/>
      <c r="X36" s="144"/>
      <c r="Y36" s="144"/>
      <c r="Z36" s="144"/>
      <c r="AA36" s="144"/>
      <c r="AB36" s="144"/>
      <c r="AC36" s="144"/>
      <c r="AD36" s="144"/>
      <c r="AE36" s="144"/>
      <c r="AF36" s="144"/>
    </row>
    <row r="37" ht="16.5" customHeight="1">
      <c r="A37" s="144"/>
      <c r="B37" s="559"/>
      <c r="C37" s="352"/>
      <c r="D37" s="352"/>
      <c r="E37" s="352"/>
      <c r="F37" s="352"/>
      <c r="G37" s="560"/>
      <c r="H37" s="352"/>
      <c r="I37" s="497"/>
      <c r="J37" s="497"/>
      <c r="K37" s="496"/>
      <c r="L37" s="496"/>
      <c r="M37" s="144"/>
      <c r="N37" s="144"/>
      <c r="O37" s="144"/>
      <c r="P37" s="144"/>
      <c r="Q37" s="144"/>
      <c r="R37" s="144"/>
      <c r="S37" s="144"/>
      <c r="T37" s="144"/>
      <c r="U37" s="144"/>
      <c r="V37" s="144"/>
      <c r="W37" s="144"/>
      <c r="X37" s="144"/>
      <c r="Y37" s="144"/>
      <c r="Z37" s="144"/>
      <c r="AA37" s="144"/>
      <c r="AB37" s="144"/>
      <c r="AC37" s="144"/>
      <c r="AD37" s="144"/>
      <c r="AE37" s="144"/>
      <c r="AF37" s="144"/>
    </row>
    <row r="38" ht="16.5" customHeight="1">
      <c r="A38" s="144"/>
      <c r="B38" s="559"/>
      <c r="C38" s="352"/>
      <c r="D38" s="352"/>
      <c r="E38" s="352"/>
      <c r="F38" s="352"/>
      <c r="G38" s="560"/>
      <c r="H38" s="352"/>
      <c r="I38" s="352"/>
      <c r="J38" s="497"/>
      <c r="K38" s="496"/>
      <c r="L38" s="496"/>
      <c r="M38" s="144"/>
      <c r="N38" s="144"/>
      <c r="O38" s="144"/>
      <c r="P38" s="144"/>
      <c r="Q38" s="144"/>
      <c r="R38" s="144"/>
      <c r="S38" s="144"/>
      <c r="T38" s="144"/>
      <c r="U38" s="144"/>
      <c r="V38" s="144"/>
      <c r="W38" s="144"/>
      <c r="X38" s="144"/>
      <c r="Y38" s="144"/>
      <c r="Z38" s="144"/>
      <c r="AA38" s="144"/>
      <c r="AB38" s="144"/>
      <c r="AC38" s="144"/>
      <c r="AD38" s="144"/>
      <c r="AE38" s="144"/>
      <c r="AF38" s="144"/>
    </row>
    <row r="39" ht="16.5" customHeight="1">
      <c r="A39" s="144"/>
      <c r="B39" s="559"/>
      <c r="C39" s="352"/>
      <c r="D39" s="352"/>
      <c r="E39" s="352"/>
      <c r="F39" s="505"/>
      <c r="G39" s="560"/>
      <c r="H39" s="505"/>
      <c r="I39" s="352"/>
      <c r="J39" s="497"/>
      <c r="K39" s="496"/>
      <c r="L39" s="496"/>
      <c r="M39" s="144"/>
      <c r="N39" s="144"/>
      <c r="O39" s="144"/>
      <c r="P39" s="144"/>
      <c r="Q39" s="144"/>
      <c r="R39" s="144"/>
      <c r="S39" s="144"/>
      <c r="T39" s="144"/>
      <c r="U39" s="144"/>
      <c r="V39" s="144"/>
      <c r="W39" s="144"/>
      <c r="X39" s="144"/>
      <c r="Y39" s="144"/>
      <c r="Z39" s="144"/>
      <c r="AA39" s="144"/>
      <c r="AB39" s="144"/>
      <c r="AC39" s="144"/>
      <c r="AD39" s="144"/>
      <c r="AE39" s="144"/>
      <c r="AF39" s="144"/>
    </row>
    <row r="40" ht="16.5" customHeight="1">
      <c r="A40" s="144"/>
      <c r="B40" s="559"/>
      <c r="C40" s="352"/>
      <c r="D40" s="352"/>
      <c r="E40" s="352"/>
      <c r="F40" s="352"/>
      <c r="G40" s="560"/>
      <c r="H40" s="505"/>
      <c r="I40" s="497"/>
      <c r="J40" s="497"/>
      <c r="K40" s="496"/>
      <c r="L40" s="496"/>
      <c r="M40" s="144"/>
      <c r="N40" s="144"/>
      <c r="O40" s="144"/>
      <c r="P40" s="144"/>
      <c r="Q40" s="144"/>
      <c r="R40" s="144"/>
      <c r="S40" s="144"/>
      <c r="T40" s="144"/>
      <c r="U40" s="144"/>
      <c r="V40" s="144"/>
      <c r="W40" s="144"/>
      <c r="X40" s="144"/>
      <c r="Y40" s="144"/>
      <c r="Z40" s="144"/>
      <c r="AA40" s="144"/>
      <c r="AB40" s="144"/>
      <c r="AC40" s="144"/>
      <c r="AD40" s="144"/>
      <c r="AE40" s="144"/>
      <c r="AF40" s="144"/>
    </row>
    <row r="41" ht="16.5" customHeight="1">
      <c r="A41" s="144"/>
      <c r="B41" s="559"/>
      <c r="C41" s="352"/>
      <c r="D41" s="352"/>
      <c r="E41" s="352"/>
      <c r="F41" s="352"/>
      <c r="G41" s="560"/>
      <c r="H41" s="352"/>
      <c r="I41" s="497"/>
      <c r="J41" s="497"/>
      <c r="K41" s="496"/>
      <c r="L41" s="496"/>
      <c r="M41" s="144"/>
      <c r="N41" s="144"/>
      <c r="O41" s="144"/>
      <c r="P41" s="144"/>
      <c r="Q41" s="144"/>
      <c r="R41" s="144"/>
      <c r="S41" s="144"/>
      <c r="T41" s="144"/>
      <c r="U41" s="144"/>
      <c r="V41" s="144"/>
      <c r="W41" s="144"/>
      <c r="X41" s="144"/>
      <c r="Y41" s="144"/>
      <c r="Z41" s="144"/>
      <c r="AA41" s="144"/>
      <c r="AB41" s="144"/>
      <c r="AC41" s="144"/>
      <c r="AD41" s="144"/>
      <c r="AE41" s="144"/>
      <c r="AF41" s="144"/>
    </row>
    <row r="42" ht="16.5" customHeight="1">
      <c r="A42" s="144"/>
      <c r="B42" s="559"/>
      <c r="C42" s="352"/>
      <c r="D42" s="352"/>
      <c r="E42" s="352"/>
      <c r="F42" s="352"/>
      <c r="G42" s="560"/>
      <c r="H42" s="352"/>
      <c r="I42" s="497"/>
      <c r="J42" s="497"/>
      <c r="K42" s="496"/>
      <c r="L42" s="496"/>
      <c r="M42" s="144"/>
      <c r="N42" s="144"/>
      <c r="O42" s="144"/>
      <c r="P42" s="144"/>
      <c r="Q42" s="144"/>
      <c r="R42" s="144"/>
      <c r="S42" s="144"/>
      <c r="T42" s="144"/>
      <c r="U42" s="144"/>
      <c r="V42" s="144"/>
      <c r="W42" s="144"/>
      <c r="X42" s="144"/>
      <c r="Y42" s="144"/>
      <c r="Z42" s="144"/>
      <c r="AA42" s="144"/>
      <c r="AB42" s="144"/>
      <c r="AC42" s="144"/>
      <c r="AD42" s="144"/>
      <c r="AE42" s="144"/>
      <c r="AF42" s="144"/>
    </row>
    <row r="43" ht="16.5" customHeight="1">
      <c r="A43" s="144"/>
      <c r="B43" s="559"/>
      <c r="C43" s="352"/>
      <c r="D43" s="352"/>
      <c r="E43" s="352"/>
      <c r="F43" s="352"/>
      <c r="G43" s="560"/>
      <c r="H43" s="352"/>
      <c r="I43" s="497"/>
      <c r="J43" s="497"/>
      <c r="K43" s="496"/>
      <c r="L43" s="496"/>
      <c r="M43" s="144"/>
      <c r="N43" s="144"/>
      <c r="O43" s="144"/>
      <c r="P43" s="144"/>
      <c r="Q43" s="144"/>
      <c r="R43" s="144"/>
      <c r="S43" s="144"/>
      <c r="T43" s="144"/>
      <c r="U43" s="144"/>
      <c r="V43" s="144"/>
      <c r="W43" s="144"/>
      <c r="X43" s="144"/>
      <c r="Y43" s="144"/>
      <c r="Z43" s="144"/>
      <c r="AA43" s="144"/>
      <c r="AB43" s="144"/>
      <c r="AC43" s="144"/>
      <c r="AD43" s="144"/>
      <c r="AE43" s="144"/>
      <c r="AF43" s="144"/>
    </row>
    <row r="44" ht="16.5" customHeight="1">
      <c r="A44" s="144"/>
      <c r="B44" s="559"/>
      <c r="C44" s="352"/>
      <c r="D44" s="352"/>
      <c r="E44" s="352"/>
      <c r="F44" s="352"/>
      <c r="G44" s="560"/>
      <c r="H44" s="352"/>
      <c r="I44" s="497"/>
      <c r="J44" s="497"/>
      <c r="K44" s="496"/>
      <c r="L44" s="496"/>
      <c r="M44" s="144"/>
      <c r="N44" s="144"/>
      <c r="O44" s="144"/>
      <c r="P44" s="144"/>
      <c r="Q44" s="144"/>
      <c r="R44" s="144"/>
      <c r="S44" s="144"/>
      <c r="T44" s="144"/>
      <c r="U44" s="144"/>
      <c r="V44" s="144"/>
      <c r="W44" s="144"/>
      <c r="X44" s="144"/>
      <c r="Y44" s="144"/>
      <c r="Z44" s="144"/>
      <c r="AA44" s="144"/>
      <c r="AB44" s="144"/>
      <c r="AC44" s="144"/>
      <c r="AD44" s="144"/>
      <c r="AE44" s="144"/>
      <c r="AF44" s="144"/>
    </row>
    <row r="45" ht="16.5" customHeight="1">
      <c r="A45" s="144"/>
      <c r="B45" s="559"/>
      <c r="C45" s="352"/>
      <c r="D45" s="352"/>
      <c r="E45" s="352"/>
      <c r="F45" s="352"/>
      <c r="G45" s="560"/>
      <c r="H45" s="352"/>
      <c r="I45" s="497"/>
      <c r="J45" s="497"/>
      <c r="K45" s="496"/>
      <c r="L45" s="496"/>
      <c r="M45" s="144"/>
      <c r="N45" s="144"/>
      <c r="O45" s="144"/>
      <c r="P45" s="144"/>
      <c r="Q45" s="144"/>
      <c r="R45" s="144"/>
      <c r="S45" s="144"/>
      <c r="T45" s="144"/>
      <c r="U45" s="144"/>
      <c r="V45" s="144"/>
      <c r="W45" s="144"/>
      <c r="X45" s="144"/>
      <c r="Y45" s="144"/>
      <c r="Z45" s="144"/>
      <c r="AA45" s="144"/>
      <c r="AB45" s="144"/>
      <c r="AC45" s="144"/>
      <c r="AD45" s="144"/>
      <c r="AE45" s="144"/>
      <c r="AF45" s="144"/>
    </row>
    <row r="46" ht="16.5" customHeight="1">
      <c r="A46" s="144"/>
      <c r="B46" s="559"/>
      <c r="C46" s="352"/>
      <c r="D46" s="352"/>
      <c r="E46" s="352"/>
      <c r="F46" s="352"/>
      <c r="G46" s="560"/>
      <c r="H46" s="352"/>
      <c r="I46" s="352"/>
      <c r="J46" s="497"/>
      <c r="K46" s="496"/>
      <c r="L46" s="496"/>
      <c r="M46" s="144"/>
      <c r="N46" s="144"/>
      <c r="O46" s="144"/>
      <c r="P46" s="144"/>
      <c r="Q46" s="144"/>
      <c r="R46" s="144"/>
      <c r="S46" s="144"/>
      <c r="T46" s="144"/>
      <c r="U46" s="144"/>
      <c r="V46" s="144"/>
      <c r="W46" s="144"/>
      <c r="X46" s="144"/>
      <c r="Y46" s="144"/>
      <c r="Z46" s="144"/>
      <c r="AA46" s="144"/>
      <c r="AB46" s="144"/>
      <c r="AC46" s="144"/>
      <c r="AD46" s="144"/>
      <c r="AE46" s="144"/>
      <c r="AF46" s="144"/>
    </row>
    <row r="47" ht="16.5" customHeight="1">
      <c r="A47" s="144"/>
      <c r="B47" s="559"/>
      <c r="C47" s="352"/>
      <c r="D47" s="352"/>
      <c r="E47" s="352"/>
      <c r="F47" s="505"/>
      <c r="G47" s="560"/>
      <c r="H47" s="505"/>
      <c r="I47" s="352"/>
      <c r="J47" s="497"/>
      <c r="K47" s="496"/>
      <c r="L47" s="496"/>
      <c r="M47" s="144"/>
      <c r="N47" s="144"/>
      <c r="O47" s="144"/>
      <c r="P47" s="144"/>
      <c r="Q47" s="144"/>
      <c r="R47" s="144"/>
      <c r="S47" s="144"/>
      <c r="T47" s="144"/>
      <c r="U47" s="144"/>
      <c r="V47" s="144"/>
      <c r="W47" s="144"/>
      <c r="X47" s="144"/>
      <c r="Y47" s="144"/>
      <c r="Z47" s="144"/>
      <c r="AA47" s="144"/>
      <c r="AB47" s="144"/>
      <c r="AC47" s="144"/>
      <c r="AD47" s="144"/>
      <c r="AE47" s="144"/>
      <c r="AF47" s="144"/>
    </row>
    <row r="48" ht="16.5" customHeight="1">
      <c r="A48" s="144"/>
      <c r="B48" s="559"/>
      <c r="C48" s="352"/>
      <c r="D48" s="352"/>
      <c r="E48" s="352"/>
      <c r="F48" s="352"/>
      <c r="G48" s="560"/>
      <c r="H48" s="505"/>
      <c r="I48" s="497"/>
      <c r="J48" s="497"/>
      <c r="K48" s="496"/>
      <c r="L48" s="496"/>
      <c r="M48" s="144"/>
      <c r="N48" s="144"/>
      <c r="O48" s="144"/>
      <c r="P48" s="144"/>
      <c r="Q48" s="144"/>
      <c r="R48" s="144"/>
      <c r="S48" s="144"/>
      <c r="T48" s="144"/>
      <c r="U48" s="144"/>
      <c r="V48" s="144"/>
      <c r="W48" s="144"/>
      <c r="X48" s="144"/>
      <c r="Y48" s="144"/>
      <c r="Z48" s="144"/>
      <c r="AA48" s="144"/>
      <c r="AB48" s="144"/>
      <c r="AC48" s="144"/>
      <c r="AD48" s="144"/>
      <c r="AE48" s="144"/>
      <c r="AF48" s="144"/>
    </row>
    <row r="49" ht="16.5" customHeight="1">
      <c r="A49" s="144"/>
      <c r="B49" s="559"/>
      <c r="C49" s="352"/>
      <c r="D49" s="352"/>
      <c r="E49" s="352"/>
      <c r="F49" s="352"/>
      <c r="G49" s="560"/>
      <c r="H49" s="352"/>
      <c r="I49" s="497"/>
      <c r="J49" s="497"/>
      <c r="K49" s="496"/>
      <c r="L49" s="496"/>
      <c r="M49" s="144"/>
      <c r="N49" s="144"/>
      <c r="O49" s="144"/>
      <c r="P49" s="144"/>
      <c r="Q49" s="144"/>
      <c r="R49" s="144"/>
      <c r="S49" s="144"/>
      <c r="T49" s="144"/>
      <c r="U49" s="144"/>
      <c r="V49" s="144"/>
      <c r="W49" s="144"/>
      <c r="X49" s="144"/>
      <c r="Y49" s="144"/>
      <c r="Z49" s="144"/>
      <c r="AA49" s="144"/>
      <c r="AB49" s="144"/>
      <c r="AC49" s="144"/>
      <c r="AD49" s="144"/>
      <c r="AE49" s="144"/>
      <c r="AF49" s="144"/>
    </row>
    <row r="50" ht="16.5" customHeight="1">
      <c r="A50" s="144"/>
      <c r="B50" s="559"/>
      <c r="C50" s="352"/>
      <c r="D50" s="352"/>
      <c r="E50" s="352"/>
      <c r="F50" s="352"/>
      <c r="G50" s="560"/>
      <c r="H50" s="352"/>
      <c r="I50" s="497"/>
      <c r="J50" s="497"/>
      <c r="K50" s="496"/>
      <c r="L50" s="496"/>
      <c r="M50" s="144"/>
      <c r="N50" s="144"/>
      <c r="O50" s="144"/>
      <c r="P50" s="144"/>
      <c r="Q50" s="144"/>
      <c r="R50" s="144"/>
      <c r="S50" s="144"/>
      <c r="T50" s="144"/>
      <c r="U50" s="144"/>
      <c r="V50" s="144"/>
      <c r="W50" s="144"/>
      <c r="X50" s="144"/>
      <c r="Y50" s="144"/>
      <c r="Z50" s="144"/>
      <c r="AA50" s="144"/>
      <c r="AB50" s="144"/>
      <c r="AC50" s="144"/>
      <c r="AD50" s="144"/>
      <c r="AE50" s="144"/>
      <c r="AF50" s="144"/>
    </row>
    <row r="51" ht="16.5" customHeight="1">
      <c r="A51" s="144"/>
      <c r="B51" s="559"/>
      <c r="C51" s="352"/>
      <c r="D51" s="352"/>
      <c r="E51" s="352"/>
      <c r="F51" s="352"/>
      <c r="G51" s="560"/>
      <c r="H51" s="352"/>
      <c r="I51" s="497"/>
      <c r="J51" s="497"/>
      <c r="K51" s="496"/>
      <c r="L51" s="496"/>
      <c r="M51" s="144"/>
      <c r="N51" s="144"/>
      <c r="O51" s="144"/>
      <c r="P51" s="144"/>
      <c r="Q51" s="144"/>
      <c r="R51" s="144"/>
      <c r="S51" s="144"/>
      <c r="T51" s="144"/>
      <c r="U51" s="144"/>
      <c r="V51" s="144"/>
      <c r="W51" s="144"/>
      <c r="X51" s="144"/>
      <c r="Y51" s="144"/>
      <c r="Z51" s="144"/>
      <c r="AA51" s="144"/>
      <c r="AB51" s="144"/>
      <c r="AC51" s="144"/>
      <c r="AD51" s="144"/>
      <c r="AE51" s="144"/>
      <c r="AF51" s="144"/>
    </row>
    <row r="52" ht="16.5" customHeight="1">
      <c r="A52" s="144"/>
      <c r="B52" s="559"/>
      <c r="C52" s="352"/>
      <c r="D52" s="352"/>
      <c r="E52" s="352"/>
      <c r="F52" s="352"/>
      <c r="G52" s="560"/>
      <c r="H52" s="352"/>
      <c r="I52" s="497"/>
      <c r="J52" s="497"/>
      <c r="K52" s="496"/>
      <c r="L52" s="496"/>
      <c r="M52" s="144"/>
      <c r="N52" s="144"/>
      <c r="O52" s="144"/>
      <c r="P52" s="144"/>
      <c r="Q52" s="144"/>
      <c r="R52" s="144"/>
      <c r="S52" s="144"/>
      <c r="T52" s="144"/>
      <c r="U52" s="144"/>
      <c r="V52" s="144"/>
      <c r="W52" s="144"/>
      <c r="X52" s="144"/>
      <c r="Y52" s="144"/>
      <c r="Z52" s="144"/>
      <c r="AA52" s="144"/>
      <c r="AB52" s="144"/>
      <c r="AC52" s="144"/>
      <c r="AD52" s="144"/>
      <c r="AE52" s="144"/>
      <c r="AF52" s="144"/>
    </row>
    <row r="53" ht="16.5" customHeight="1">
      <c r="A53" s="144"/>
      <c r="B53" s="559"/>
      <c r="C53" s="352"/>
      <c r="D53" s="352"/>
      <c r="E53" s="352"/>
      <c r="F53" s="352"/>
      <c r="G53" s="560"/>
      <c r="H53" s="352"/>
      <c r="I53" s="497"/>
      <c r="J53" s="497"/>
      <c r="K53" s="496"/>
      <c r="L53" s="496"/>
      <c r="M53" s="144"/>
      <c r="N53" s="144"/>
      <c r="O53" s="144"/>
      <c r="P53" s="144"/>
      <c r="Q53" s="144"/>
      <c r="R53" s="144"/>
      <c r="S53" s="144"/>
      <c r="T53" s="144"/>
      <c r="U53" s="144"/>
      <c r="V53" s="144"/>
      <c r="W53" s="144"/>
      <c r="X53" s="144"/>
      <c r="Y53" s="144"/>
      <c r="Z53" s="144"/>
      <c r="AA53" s="144"/>
      <c r="AB53" s="144"/>
      <c r="AC53" s="144"/>
      <c r="AD53" s="144"/>
      <c r="AE53" s="144"/>
      <c r="AF53" s="144"/>
    </row>
    <row r="54" ht="16.5" customHeight="1">
      <c r="A54" s="144"/>
      <c r="B54" s="559"/>
      <c r="C54" s="352"/>
      <c r="D54" s="352"/>
      <c r="E54" s="352"/>
      <c r="F54" s="352"/>
      <c r="G54" s="560"/>
      <c r="H54" s="352"/>
      <c r="I54" s="352"/>
      <c r="J54" s="497"/>
      <c r="K54" s="496"/>
      <c r="L54" s="496"/>
      <c r="M54" s="144"/>
      <c r="N54" s="144"/>
      <c r="O54" s="144"/>
      <c r="P54" s="144"/>
      <c r="Q54" s="144"/>
      <c r="R54" s="144"/>
      <c r="S54" s="144"/>
      <c r="T54" s="144"/>
      <c r="U54" s="144"/>
      <c r="V54" s="144"/>
      <c r="W54" s="144"/>
      <c r="X54" s="144"/>
      <c r="Y54" s="144"/>
      <c r="Z54" s="144"/>
      <c r="AA54" s="144"/>
      <c r="AB54" s="144"/>
      <c r="AC54" s="144"/>
      <c r="AD54" s="144"/>
      <c r="AE54" s="144"/>
      <c r="AF54" s="144"/>
    </row>
    <row r="55" ht="16.5" customHeight="1">
      <c r="A55" s="144"/>
      <c r="B55" s="559"/>
      <c r="C55" s="352"/>
      <c r="D55" s="352"/>
      <c r="E55" s="352"/>
      <c r="F55" s="505"/>
      <c r="G55" s="560"/>
      <c r="H55" s="505"/>
      <c r="I55" s="497"/>
      <c r="J55" s="497"/>
      <c r="K55" s="496"/>
      <c r="L55" s="496"/>
      <c r="M55" s="144"/>
      <c r="N55" s="144"/>
      <c r="O55" s="144"/>
      <c r="P55" s="144"/>
      <c r="Q55" s="144"/>
      <c r="R55" s="144"/>
      <c r="S55" s="144"/>
      <c r="T55" s="144"/>
      <c r="U55" s="144"/>
      <c r="V55" s="144"/>
      <c r="W55" s="144"/>
      <c r="X55" s="144"/>
      <c r="Y55" s="144"/>
      <c r="Z55" s="144"/>
      <c r="AA55" s="144"/>
      <c r="AB55" s="144"/>
      <c r="AC55" s="144"/>
      <c r="AD55" s="144"/>
      <c r="AE55" s="144"/>
      <c r="AF55" s="144"/>
    </row>
    <row r="56" ht="16.5" customHeight="1">
      <c r="A56" s="144"/>
      <c r="B56" s="559"/>
      <c r="C56" s="352"/>
      <c r="D56" s="352"/>
      <c r="E56" s="352"/>
      <c r="F56" s="352"/>
      <c r="G56" s="560"/>
      <c r="H56" s="505"/>
      <c r="I56" s="497"/>
      <c r="J56" s="497"/>
      <c r="K56" s="496"/>
      <c r="L56" s="496"/>
      <c r="M56" s="144"/>
      <c r="N56" s="144"/>
      <c r="O56" s="144"/>
      <c r="P56" s="144"/>
      <c r="Q56" s="144"/>
      <c r="R56" s="144"/>
      <c r="S56" s="144"/>
      <c r="T56" s="144"/>
      <c r="U56" s="144"/>
      <c r="V56" s="144"/>
      <c r="W56" s="144"/>
      <c r="X56" s="144"/>
      <c r="Y56" s="144"/>
      <c r="Z56" s="144"/>
      <c r="AA56" s="144"/>
      <c r="AB56" s="144"/>
      <c r="AC56" s="144"/>
      <c r="AD56" s="144"/>
      <c r="AE56" s="144"/>
      <c r="AF56" s="144"/>
    </row>
    <row r="57" ht="16.5" customHeight="1">
      <c r="A57" s="144"/>
      <c r="B57" s="559"/>
      <c r="C57" s="352"/>
      <c r="D57" s="352"/>
      <c r="E57" s="352"/>
      <c r="F57" s="352"/>
      <c r="G57" s="560"/>
      <c r="H57" s="352"/>
      <c r="I57" s="497"/>
      <c r="J57" s="497"/>
      <c r="K57" s="496"/>
      <c r="L57" s="496"/>
      <c r="M57" s="144"/>
      <c r="N57" s="144"/>
      <c r="O57" s="144"/>
      <c r="P57" s="144"/>
      <c r="Q57" s="144"/>
      <c r="R57" s="144"/>
      <c r="S57" s="144"/>
      <c r="T57" s="144"/>
      <c r="U57" s="144"/>
      <c r="V57" s="144"/>
      <c r="W57" s="144"/>
      <c r="X57" s="144"/>
      <c r="Y57" s="144"/>
      <c r="Z57" s="144"/>
      <c r="AA57" s="144"/>
      <c r="AB57" s="144"/>
      <c r="AC57" s="144"/>
      <c r="AD57" s="144"/>
      <c r="AE57" s="144"/>
      <c r="AF57" s="144"/>
    </row>
    <row r="58" ht="16.5" customHeight="1">
      <c r="A58" s="144"/>
      <c r="B58" s="559"/>
      <c r="C58" s="352"/>
      <c r="D58" s="352"/>
      <c r="E58" s="352"/>
      <c r="F58" s="352"/>
      <c r="G58" s="560"/>
      <c r="H58" s="352"/>
      <c r="I58" s="497"/>
      <c r="J58" s="497"/>
      <c r="K58" s="496"/>
      <c r="L58" s="496"/>
      <c r="M58" s="144"/>
      <c r="N58" s="144"/>
      <c r="O58" s="144"/>
      <c r="P58" s="144"/>
      <c r="Q58" s="144"/>
      <c r="R58" s="144"/>
      <c r="S58" s="144"/>
      <c r="T58" s="144"/>
      <c r="U58" s="144"/>
      <c r="V58" s="144"/>
      <c r="W58" s="144"/>
      <c r="X58" s="144"/>
      <c r="Y58" s="144"/>
      <c r="Z58" s="144"/>
      <c r="AA58" s="144"/>
      <c r="AB58" s="144"/>
      <c r="AC58" s="144"/>
      <c r="AD58" s="144"/>
      <c r="AE58" s="144"/>
      <c r="AF58" s="144"/>
    </row>
    <row r="59" ht="16.5" customHeight="1">
      <c r="A59" s="144"/>
      <c r="B59" s="559"/>
      <c r="C59" s="352"/>
      <c r="D59" s="352"/>
      <c r="E59" s="352"/>
      <c r="F59" s="352"/>
      <c r="G59" s="560"/>
      <c r="H59" s="352"/>
      <c r="I59" s="497"/>
      <c r="J59" s="497"/>
      <c r="K59" s="496"/>
      <c r="L59" s="496"/>
      <c r="M59" s="144"/>
      <c r="N59" s="144"/>
      <c r="O59" s="144"/>
      <c r="P59" s="144"/>
      <c r="Q59" s="144"/>
      <c r="R59" s="144"/>
      <c r="S59" s="144"/>
      <c r="T59" s="144"/>
      <c r="U59" s="144"/>
      <c r="V59" s="144"/>
      <c r="W59" s="144"/>
      <c r="X59" s="144"/>
      <c r="Y59" s="144"/>
      <c r="Z59" s="144"/>
      <c r="AA59" s="144"/>
      <c r="AB59" s="144"/>
      <c r="AC59" s="144"/>
      <c r="AD59" s="144"/>
      <c r="AE59" s="144"/>
      <c r="AF59" s="144"/>
    </row>
    <row r="60" ht="16.5" customHeight="1">
      <c r="A60" s="144"/>
      <c r="B60" s="559"/>
      <c r="C60" s="352"/>
      <c r="D60" s="352"/>
      <c r="E60" s="352"/>
      <c r="F60" s="352"/>
      <c r="G60" s="560"/>
      <c r="H60" s="352"/>
      <c r="I60" s="497"/>
      <c r="J60" s="497"/>
      <c r="K60" s="496"/>
      <c r="L60" s="496"/>
      <c r="M60" s="144"/>
      <c r="N60" s="144"/>
      <c r="O60" s="144"/>
      <c r="P60" s="144"/>
      <c r="Q60" s="144"/>
      <c r="R60" s="144"/>
      <c r="S60" s="144"/>
      <c r="T60" s="144"/>
      <c r="U60" s="144"/>
      <c r="V60" s="144"/>
      <c r="W60" s="144"/>
      <c r="X60" s="144"/>
      <c r="Y60" s="144"/>
      <c r="Z60" s="144"/>
      <c r="AA60" s="144"/>
      <c r="AB60" s="144"/>
      <c r="AC60" s="144"/>
      <c r="AD60" s="144"/>
      <c r="AE60" s="144"/>
      <c r="AF60" s="144"/>
    </row>
    <row r="61" ht="16.5" customHeight="1">
      <c r="A61" s="144"/>
      <c r="B61" s="559"/>
      <c r="C61" s="352"/>
      <c r="D61" s="352"/>
      <c r="E61" s="352"/>
      <c r="F61" s="352"/>
      <c r="G61" s="560"/>
      <c r="H61" s="352"/>
      <c r="I61" s="352"/>
      <c r="J61" s="497"/>
      <c r="K61" s="496"/>
      <c r="L61" s="496"/>
      <c r="M61" s="144"/>
      <c r="N61" s="144"/>
      <c r="O61" s="144"/>
      <c r="P61" s="144"/>
      <c r="Q61" s="144"/>
      <c r="R61" s="144"/>
      <c r="S61" s="144"/>
      <c r="T61" s="144"/>
      <c r="U61" s="144"/>
      <c r="V61" s="144"/>
      <c r="W61" s="144"/>
      <c r="X61" s="144"/>
      <c r="Y61" s="144"/>
      <c r="Z61" s="144"/>
      <c r="AA61" s="144"/>
      <c r="AB61" s="144"/>
      <c r="AC61" s="144"/>
      <c r="AD61" s="144"/>
      <c r="AE61" s="144"/>
      <c r="AF61" s="144"/>
    </row>
    <row r="62" ht="16.5" customHeight="1">
      <c r="A62" s="144"/>
      <c r="B62" s="559"/>
      <c r="C62" s="352"/>
      <c r="D62" s="352"/>
      <c r="E62" s="352"/>
      <c r="F62" s="505"/>
      <c r="G62" s="560"/>
      <c r="H62" s="505"/>
      <c r="I62" s="352"/>
      <c r="J62" s="497"/>
      <c r="K62" s="496"/>
      <c r="L62" s="496"/>
      <c r="M62" s="144"/>
      <c r="N62" s="144"/>
      <c r="O62" s="144"/>
      <c r="P62" s="144"/>
      <c r="Q62" s="144"/>
      <c r="R62" s="144"/>
      <c r="S62" s="144"/>
      <c r="T62" s="144"/>
      <c r="U62" s="144"/>
      <c r="V62" s="144"/>
      <c r="W62" s="144"/>
      <c r="X62" s="144"/>
      <c r="Y62" s="144"/>
      <c r="Z62" s="144"/>
      <c r="AA62" s="144"/>
      <c r="AB62" s="144"/>
      <c r="AC62" s="144"/>
      <c r="AD62" s="144"/>
      <c r="AE62" s="144"/>
      <c r="AF62" s="144"/>
    </row>
    <row r="63" ht="16.5" customHeight="1">
      <c r="A63" s="144"/>
      <c r="B63" s="559"/>
      <c r="C63" s="352"/>
      <c r="D63" s="352"/>
      <c r="E63" s="352"/>
      <c r="F63" s="352"/>
      <c r="G63" s="560"/>
      <c r="H63" s="505"/>
      <c r="I63" s="497"/>
      <c r="J63" s="497"/>
      <c r="K63" s="496"/>
      <c r="L63" s="496"/>
      <c r="M63" s="144"/>
      <c r="N63" s="144"/>
      <c r="O63" s="144"/>
      <c r="P63" s="144"/>
      <c r="Q63" s="144"/>
      <c r="R63" s="144"/>
      <c r="S63" s="144"/>
      <c r="T63" s="144"/>
      <c r="U63" s="144"/>
      <c r="V63" s="144"/>
      <c r="W63" s="144"/>
      <c r="X63" s="144"/>
      <c r="Y63" s="144"/>
      <c r="Z63" s="144"/>
      <c r="AA63" s="144"/>
      <c r="AB63" s="144"/>
      <c r="AC63" s="144"/>
      <c r="AD63" s="144"/>
      <c r="AE63" s="144"/>
      <c r="AF63" s="144"/>
    </row>
    <row r="64" ht="16.5" customHeight="1">
      <c r="A64" s="144"/>
      <c r="B64" s="559"/>
      <c r="C64" s="352"/>
      <c r="D64" s="352"/>
      <c r="E64" s="352"/>
      <c r="F64" s="352"/>
      <c r="G64" s="560"/>
      <c r="H64" s="352"/>
      <c r="I64" s="497"/>
      <c r="J64" s="497"/>
      <c r="K64" s="496"/>
      <c r="L64" s="496"/>
      <c r="M64" s="144"/>
      <c r="N64" s="144"/>
      <c r="O64" s="144"/>
      <c r="P64" s="144"/>
      <c r="Q64" s="144"/>
      <c r="R64" s="144"/>
      <c r="S64" s="144"/>
      <c r="T64" s="144"/>
      <c r="U64" s="144"/>
      <c r="V64" s="144"/>
      <c r="W64" s="144"/>
      <c r="X64" s="144"/>
      <c r="Y64" s="144"/>
      <c r="Z64" s="144"/>
      <c r="AA64" s="144"/>
      <c r="AB64" s="144"/>
      <c r="AC64" s="144"/>
      <c r="AD64" s="144"/>
      <c r="AE64" s="144"/>
      <c r="AF64" s="144"/>
    </row>
    <row r="65" ht="16.5" customHeight="1">
      <c r="A65" s="144"/>
      <c r="B65" s="559"/>
      <c r="C65" s="352"/>
      <c r="D65" s="352"/>
      <c r="E65" s="352"/>
      <c r="F65" s="352"/>
      <c r="G65" s="560"/>
      <c r="H65" s="352"/>
      <c r="I65" s="497"/>
      <c r="J65" s="497"/>
      <c r="K65" s="496"/>
      <c r="L65" s="496"/>
      <c r="M65" s="144"/>
      <c r="N65" s="144"/>
      <c r="O65" s="144"/>
      <c r="P65" s="144"/>
      <c r="Q65" s="144"/>
      <c r="R65" s="144"/>
      <c r="S65" s="144"/>
      <c r="T65" s="144"/>
      <c r="U65" s="144"/>
      <c r="V65" s="144"/>
      <c r="W65" s="144"/>
      <c r="X65" s="144"/>
      <c r="Y65" s="144"/>
      <c r="Z65" s="144"/>
      <c r="AA65" s="144"/>
      <c r="AB65" s="144"/>
      <c r="AC65" s="144"/>
      <c r="AD65" s="144"/>
      <c r="AE65" s="144"/>
      <c r="AF65" s="144"/>
    </row>
    <row r="66" ht="16.5" customHeight="1">
      <c r="A66" s="144"/>
      <c r="B66" s="559"/>
      <c r="C66" s="352"/>
      <c r="D66" s="352"/>
      <c r="E66" s="352"/>
      <c r="F66" s="352"/>
      <c r="G66" s="560"/>
      <c r="H66" s="352"/>
      <c r="I66" s="497"/>
      <c r="J66" s="497"/>
      <c r="K66" s="496"/>
      <c r="L66" s="496"/>
      <c r="M66" s="144"/>
      <c r="N66" s="144"/>
      <c r="O66" s="144"/>
      <c r="P66" s="144"/>
      <c r="Q66" s="144"/>
      <c r="R66" s="144"/>
      <c r="S66" s="144"/>
      <c r="T66" s="144"/>
      <c r="U66" s="144"/>
      <c r="V66" s="144"/>
      <c r="W66" s="144"/>
      <c r="X66" s="144"/>
      <c r="Y66" s="144"/>
      <c r="Z66" s="144"/>
      <c r="AA66" s="144"/>
      <c r="AB66" s="144"/>
      <c r="AC66" s="144"/>
      <c r="AD66" s="144"/>
      <c r="AE66" s="144"/>
      <c r="AF66" s="144"/>
    </row>
    <row r="67" ht="16.5" customHeight="1">
      <c r="A67" s="144"/>
      <c r="B67" s="559"/>
      <c r="C67" s="352"/>
      <c r="D67" s="352"/>
      <c r="E67" s="352"/>
      <c r="F67" s="352"/>
      <c r="G67" s="560"/>
      <c r="H67" s="352"/>
      <c r="I67" s="497"/>
      <c r="J67" s="497"/>
      <c r="K67" s="496"/>
      <c r="L67" s="496"/>
      <c r="M67" s="144"/>
      <c r="N67" s="144"/>
      <c r="O67" s="144"/>
      <c r="P67" s="144"/>
      <c r="Q67" s="144"/>
      <c r="R67" s="144"/>
      <c r="S67" s="144"/>
      <c r="T67" s="144"/>
      <c r="U67" s="144"/>
      <c r="V67" s="144"/>
      <c r="W67" s="144"/>
      <c r="X67" s="144"/>
      <c r="Y67" s="144"/>
      <c r="Z67" s="144"/>
      <c r="AA67" s="144"/>
      <c r="AB67" s="144"/>
      <c r="AC67" s="144"/>
      <c r="AD67" s="144"/>
      <c r="AE67" s="144"/>
      <c r="AF67" s="144"/>
    </row>
    <row r="68" ht="16.5" customHeight="1">
      <c r="A68" s="144"/>
      <c r="B68" s="559"/>
      <c r="C68" s="352"/>
      <c r="D68" s="352"/>
      <c r="E68" s="352"/>
      <c r="F68" s="352"/>
      <c r="G68" s="560"/>
      <c r="H68" s="352"/>
      <c r="I68" s="497"/>
      <c r="J68" s="497"/>
      <c r="K68" s="496"/>
      <c r="L68" s="496"/>
      <c r="M68" s="144"/>
      <c r="N68" s="144"/>
      <c r="O68" s="144"/>
      <c r="P68" s="144"/>
      <c r="Q68" s="144"/>
      <c r="R68" s="144"/>
      <c r="S68" s="144"/>
      <c r="T68" s="144"/>
      <c r="U68" s="144"/>
      <c r="V68" s="144"/>
      <c r="W68" s="144"/>
      <c r="X68" s="144"/>
      <c r="Y68" s="144"/>
      <c r="Z68" s="144"/>
      <c r="AA68" s="144"/>
      <c r="AB68" s="144"/>
      <c r="AC68" s="144"/>
      <c r="AD68" s="144"/>
      <c r="AE68" s="144"/>
      <c r="AF68" s="144"/>
    </row>
    <row r="69" ht="16.5" customHeight="1">
      <c r="A69" s="144"/>
      <c r="B69" s="559"/>
      <c r="C69" s="352"/>
      <c r="D69" s="352"/>
      <c r="E69" s="352"/>
      <c r="F69" s="352"/>
      <c r="G69" s="560"/>
      <c r="H69" s="352"/>
      <c r="I69" s="352"/>
      <c r="J69" s="497"/>
      <c r="K69" s="496"/>
      <c r="L69" s="496"/>
      <c r="M69" s="144"/>
      <c r="N69" s="144"/>
      <c r="O69" s="144"/>
      <c r="P69" s="144"/>
      <c r="Q69" s="144"/>
      <c r="R69" s="144"/>
      <c r="S69" s="144"/>
      <c r="T69" s="144"/>
      <c r="U69" s="144"/>
      <c r="V69" s="144"/>
      <c r="W69" s="144"/>
      <c r="X69" s="144"/>
      <c r="Y69" s="144"/>
      <c r="Z69" s="144"/>
      <c r="AA69" s="144"/>
      <c r="AB69" s="144"/>
      <c r="AC69" s="144"/>
      <c r="AD69" s="144"/>
      <c r="AE69" s="144"/>
      <c r="AF69" s="144"/>
    </row>
    <row r="70" ht="16.5" customHeight="1">
      <c r="A70" s="144"/>
      <c r="B70" s="559"/>
      <c r="C70" s="352"/>
      <c r="D70" s="352"/>
      <c r="E70" s="352"/>
      <c r="F70" s="505"/>
      <c r="G70" s="560"/>
      <c r="H70" s="505"/>
      <c r="I70" s="352"/>
      <c r="J70" s="497"/>
      <c r="K70" s="496"/>
      <c r="L70" s="496"/>
      <c r="M70" s="144"/>
      <c r="N70" s="144"/>
      <c r="O70" s="144"/>
      <c r="P70" s="144"/>
      <c r="Q70" s="144"/>
      <c r="R70" s="144"/>
      <c r="S70" s="144"/>
      <c r="T70" s="144"/>
      <c r="U70" s="144"/>
      <c r="V70" s="144"/>
      <c r="W70" s="144"/>
      <c r="X70" s="144"/>
      <c r="Y70" s="144"/>
      <c r="Z70" s="144"/>
      <c r="AA70" s="144"/>
      <c r="AB70" s="144"/>
      <c r="AC70" s="144"/>
      <c r="AD70" s="144"/>
      <c r="AE70" s="144"/>
      <c r="AF70" s="144"/>
    </row>
    <row r="71" ht="16.5" customHeight="1">
      <c r="A71" s="144"/>
      <c r="B71" s="559"/>
      <c r="C71" s="352"/>
      <c r="D71" s="352"/>
      <c r="E71" s="352"/>
      <c r="F71" s="352"/>
      <c r="G71" s="560"/>
      <c r="H71" s="505"/>
      <c r="I71" s="497"/>
      <c r="J71" s="497"/>
      <c r="K71" s="496"/>
      <c r="L71" s="496"/>
      <c r="M71" s="144"/>
      <c r="N71" s="144"/>
      <c r="O71" s="144"/>
      <c r="P71" s="144"/>
      <c r="Q71" s="144"/>
      <c r="R71" s="144"/>
      <c r="S71" s="144"/>
      <c r="T71" s="144"/>
      <c r="U71" s="144"/>
      <c r="V71" s="144"/>
      <c r="W71" s="144"/>
      <c r="X71" s="144"/>
      <c r="Y71" s="144"/>
      <c r="Z71" s="144"/>
      <c r="AA71" s="144"/>
      <c r="AB71" s="144"/>
      <c r="AC71" s="144"/>
      <c r="AD71" s="144"/>
      <c r="AE71" s="144"/>
      <c r="AF71" s="144"/>
    </row>
    <row r="72" ht="16.5" customHeight="1">
      <c r="A72" s="144"/>
      <c r="B72" s="559"/>
      <c r="C72" s="352"/>
      <c r="D72" s="352"/>
      <c r="E72" s="352"/>
      <c r="F72" s="352"/>
      <c r="G72" s="560"/>
      <c r="H72" s="352"/>
      <c r="I72" s="497"/>
      <c r="J72" s="497"/>
      <c r="K72" s="496"/>
      <c r="L72" s="496"/>
      <c r="M72" s="144"/>
      <c r="N72" s="144"/>
      <c r="O72" s="144"/>
      <c r="P72" s="144"/>
      <c r="Q72" s="144"/>
      <c r="R72" s="144"/>
      <c r="S72" s="144"/>
      <c r="T72" s="144"/>
      <c r="U72" s="144"/>
      <c r="V72" s="144"/>
      <c r="W72" s="144"/>
      <c r="X72" s="144"/>
      <c r="Y72" s="144"/>
      <c r="Z72" s="144"/>
      <c r="AA72" s="144"/>
      <c r="AB72" s="144"/>
      <c r="AC72" s="144"/>
      <c r="AD72" s="144"/>
      <c r="AE72" s="144"/>
      <c r="AF72" s="144"/>
    </row>
    <row r="73" ht="16.5" customHeight="1">
      <c r="A73" s="144"/>
      <c r="B73" s="559"/>
      <c r="C73" s="352"/>
      <c r="D73" s="352"/>
      <c r="E73" s="352"/>
      <c r="F73" s="352"/>
      <c r="G73" s="560"/>
      <c r="H73" s="352"/>
      <c r="I73" s="497"/>
      <c r="J73" s="497"/>
      <c r="K73" s="496"/>
      <c r="L73" s="496"/>
      <c r="M73" s="144"/>
      <c r="N73" s="144"/>
      <c r="O73" s="144"/>
      <c r="P73" s="144"/>
      <c r="Q73" s="144"/>
      <c r="R73" s="144"/>
      <c r="S73" s="144"/>
      <c r="T73" s="144"/>
      <c r="U73" s="144"/>
      <c r="V73" s="144"/>
      <c r="W73" s="144"/>
      <c r="X73" s="144"/>
      <c r="Y73" s="144"/>
      <c r="Z73" s="144"/>
      <c r="AA73" s="144"/>
      <c r="AB73" s="144"/>
      <c r="AC73" s="144"/>
      <c r="AD73" s="144"/>
      <c r="AE73" s="144"/>
      <c r="AF73" s="144"/>
    </row>
    <row r="74" ht="16.5" customHeight="1">
      <c r="A74" s="144"/>
      <c r="B74" s="559"/>
      <c r="C74" s="352"/>
      <c r="D74" s="352"/>
      <c r="E74" s="352"/>
      <c r="F74" s="352"/>
      <c r="G74" s="560"/>
      <c r="H74" s="352"/>
      <c r="I74" s="497"/>
      <c r="J74" s="497"/>
      <c r="K74" s="496"/>
      <c r="L74" s="496"/>
      <c r="M74" s="144"/>
      <c r="N74" s="144"/>
      <c r="O74" s="144"/>
      <c r="P74" s="144"/>
      <c r="Q74" s="144"/>
      <c r="R74" s="144"/>
      <c r="S74" s="144"/>
      <c r="T74" s="144"/>
      <c r="U74" s="144"/>
      <c r="V74" s="144"/>
      <c r="W74" s="144"/>
      <c r="X74" s="144"/>
      <c r="Y74" s="144"/>
      <c r="Z74" s="144"/>
      <c r="AA74" s="144"/>
      <c r="AB74" s="144"/>
      <c r="AC74" s="144"/>
      <c r="AD74" s="144"/>
      <c r="AE74" s="144"/>
      <c r="AF74" s="144"/>
    </row>
    <row r="75" ht="16.5" customHeight="1">
      <c r="A75" s="144"/>
      <c r="B75" s="559"/>
      <c r="C75" s="352"/>
      <c r="D75" s="352"/>
      <c r="E75" s="352"/>
      <c r="F75" s="352"/>
      <c r="G75" s="560"/>
      <c r="H75" s="352"/>
      <c r="I75" s="497"/>
      <c r="J75" s="497"/>
      <c r="K75" s="496"/>
      <c r="L75" s="496"/>
      <c r="M75" s="144"/>
      <c r="N75" s="144"/>
      <c r="O75" s="144"/>
      <c r="P75" s="144"/>
      <c r="Q75" s="144"/>
      <c r="R75" s="144"/>
      <c r="S75" s="144"/>
      <c r="T75" s="144"/>
      <c r="U75" s="144"/>
      <c r="V75" s="144"/>
      <c r="W75" s="144"/>
      <c r="X75" s="144"/>
      <c r="Y75" s="144"/>
      <c r="Z75" s="144"/>
      <c r="AA75" s="144"/>
      <c r="AB75" s="144"/>
      <c r="AC75" s="144"/>
      <c r="AD75" s="144"/>
      <c r="AE75" s="144"/>
      <c r="AF75" s="144"/>
    </row>
    <row r="76" ht="16.5" customHeight="1">
      <c r="A76" s="144"/>
      <c r="B76" s="559"/>
      <c r="C76" s="352"/>
      <c r="D76" s="352"/>
      <c r="E76" s="352"/>
      <c r="F76" s="352"/>
      <c r="G76" s="560"/>
      <c r="H76" s="352"/>
      <c r="I76" s="497"/>
      <c r="J76" s="497"/>
      <c r="K76" s="496"/>
      <c r="L76" s="496"/>
      <c r="M76" s="144"/>
      <c r="N76" s="144"/>
      <c r="O76" s="144"/>
      <c r="P76" s="144"/>
      <c r="Q76" s="144"/>
      <c r="R76" s="144"/>
      <c r="S76" s="144"/>
      <c r="T76" s="144"/>
      <c r="U76" s="144"/>
      <c r="V76" s="144"/>
      <c r="W76" s="144"/>
      <c r="X76" s="144"/>
      <c r="Y76" s="144"/>
      <c r="Z76" s="144"/>
      <c r="AA76" s="144"/>
      <c r="AB76" s="144"/>
      <c r="AC76" s="144"/>
      <c r="AD76" s="144"/>
      <c r="AE76" s="144"/>
      <c r="AF76" s="144"/>
    </row>
    <row r="77" ht="16.5" customHeight="1">
      <c r="A77" s="144"/>
      <c r="B77" s="559"/>
      <c r="C77" s="352"/>
      <c r="D77" s="352"/>
      <c r="E77" s="352"/>
      <c r="F77" s="352"/>
      <c r="G77" s="560"/>
      <c r="H77" s="352"/>
      <c r="I77" s="352"/>
      <c r="J77" s="497"/>
      <c r="K77" s="496"/>
      <c r="L77" s="496"/>
      <c r="M77" s="144"/>
      <c r="N77" s="144"/>
      <c r="O77" s="144"/>
      <c r="P77" s="144"/>
      <c r="Q77" s="144"/>
      <c r="R77" s="144"/>
      <c r="S77" s="144"/>
      <c r="T77" s="144"/>
      <c r="U77" s="144"/>
      <c r="V77" s="144"/>
      <c r="W77" s="144"/>
      <c r="X77" s="144"/>
      <c r="Y77" s="144"/>
      <c r="Z77" s="144"/>
      <c r="AA77" s="144"/>
      <c r="AB77" s="144"/>
      <c r="AC77" s="144"/>
      <c r="AD77" s="144"/>
      <c r="AE77" s="144"/>
      <c r="AF77" s="144"/>
    </row>
    <row r="78" ht="16.5" customHeight="1">
      <c r="A78" s="144"/>
      <c r="B78" s="559"/>
      <c r="C78" s="352"/>
      <c r="D78" s="352"/>
      <c r="E78" s="352"/>
      <c r="F78" s="505"/>
      <c r="G78" s="560"/>
      <c r="H78" s="505"/>
      <c r="I78" s="352"/>
      <c r="J78" s="497"/>
      <c r="K78" s="496"/>
      <c r="L78" s="496"/>
      <c r="M78" s="144"/>
      <c r="N78" s="144"/>
      <c r="O78" s="144"/>
      <c r="P78" s="144"/>
      <c r="Q78" s="144"/>
      <c r="R78" s="144"/>
      <c r="S78" s="144"/>
      <c r="T78" s="144"/>
      <c r="U78" s="144"/>
      <c r="V78" s="144"/>
      <c r="W78" s="144"/>
      <c r="X78" s="144"/>
      <c r="Y78" s="144"/>
      <c r="Z78" s="144"/>
      <c r="AA78" s="144"/>
      <c r="AB78" s="144"/>
      <c r="AC78" s="144"/>
      <c r="AD78" s="144"/>
      <c r="AE78" s="144"/>
      <c r="AF78" s="144"/>
    </row>
    <row r="79" ht="16.5" customHeight="1">
      <c r="A79" s="144"/>
      <c r="B79" s="559"/>
      <c r="C79" s="352"/>
      <c r="D79" s="352"/>
      <c r="E79" s="352"/>
      <c r="F79" s="352"/>
      <c r="G79" s="560"/>
      <c r="H79" s="505"/>
      <c r="I79" s="497"/>
      <c r="J79" s="497"/>
      <c r="K79" s="496"/>
      <c r="L79" s="496"/>
      <c r="M79" s="144"/>
      <c r="N79" s="144"/>
      <c r="O79" s="144"/>
      <c r="P79" s="144"/>
      <c r="Q79" s="144"/>
      <c r="R79" s="144"/>
      <c r="S79" s="144"/>
      <c r="T79" s="144"/>
      <c r="U79" s="144"/>
      <c r="V79" s="144"/>
      <c r="W79" s="144"/>
      <c r="X79" s="144"/>
      <c r="Y79" s="144"/>
      <c r="Z79" s="144"/>
      <c r="AA79" s="144"/>
      <c r="AB79" s="144"/>
      <c r="AC79" s="144"/>
      <c r="AD79" s="144"/>
      <c r="AE79" s="144"/>
      <c r="AF79" s="144"/>
    </row>
    <row r="80" ht="16.5" customHeight="1">
      <c r="A80" s="144"/>
      <c r="B80" s="559"/>
      <c r="C80" s="352"/>
      <c r="D80" s="352"/>
      <c r="E80" s="352"/>
      <c r="F80" s="352"/>
      <c r="G80" s="560"/>
      <c r="H80" s="352"/>
      <c r="I80" s="497"/>
      <c r="J80" s="497"/>
      <c r="K80" s="496"/>
      <c r="L80" s="496"/>
      <c r="M80" s="144"/>
      <c r="N80" s="144"/>
      <c r="O80" s="144"/>
      <c r="P80" s="144"/>
      <c r="Q80" s="144"/>
      <c r="R80" s="144"/>
      <c r="S80" s="144"/>
      <c r="T80" s="144"/>
      <c r="U80" s="144"/>
      <c r="V80" s="144"/>
      <c r="W80" s="144"/>
      <c r="X80" s="144"/>
      <c r="Y80" s="144"/>
      <c r="Z80" s="144"/>
      <c r="AA80" s="144"/>
      <c r="AB80" s="144"/>
      <c r="AC80" s="144"/>
      <c r="AD80" s="144"/>
      <c r="AE80" s="144"/>
      <c r="AF80" s="144"/>
    </row>
    <row r="81" ht="16.5" customHeight="1">
      <c r="A81" s="144"/>
      <c r="B81" s="559"/>
      <c r="C81" s="352"/>
      <c r="D81" s="352"/>
      <c r="E81" s="352"/>
      <c r="F81" s="352"/>
      <c r="G81" s="560"/>
      <c r="H81" s="352"/>
      <c r="I81" s="497"/>
      <c r="J81" s="497"/>
      <c r="K81" s="496"/>
      <c r="L81" s="496"/>
      <c r="M81" s="144"/>
      <c r="N81" s="144"/>
      <c r="O81" s="144"/>
      <c r="P81" s="144"/>
      <c r="Q81" s="144"/>
      <c r="R81" s="144"/>
      <c r="S81" s="144"/>
      <c r="T81" s="144"/>
      <c r="U81" s="144"/>
      <c r="V81" s="144"/>
      <c r="W81" s="144"/>
      <c r="X81" s="144"/>
      <c r="Y81" s="144"/>
      <c r="Z81" s="144"/>
      <c r="AA81" s="144"/>
      <c r="AB81" s="144"/>
      <c r="AC81" s="144"/>
      <c r="AD81" s="144"/>
      <c r="AE81" s="144"/>
      <c r="AF81" s="144"/>
    </row>
    <row r="82" ht="16.5" customHeight="1">
      <c r="A82" s="144"/>
      <c r="B82" s="559"/>
      <c r="C82" s="352"/>
      <c r="D82" s="352"/>
      <c r="E82" s="352"/>
      <c r="F82" s="352"/>
      <c r="G82" s="560"/>
      <c r="H82" s="352"/>
      <c r="I82" s="497"/>
      <c r="J82" s="497"/>
      <c r="K82" s="496"/>
      <c r="L82" s="496"/>
      <c r="M82" s="144"/>
      <c r="N82" s="144"/>
      <c r="O82" s="144"/>
      <c r="P82" s="144"/>
      <c r="Q82" s="144"/>
      <c r="R82" s="144"/>
      <c r="S82" s="144"/>
      <c r="T82" s="144"/>
      <c r="U82" s="144"/>
      <c r="V82" s="144"/>
      <c r="W82" s="144"/>
      <c r="X82" s="144"/>
      <c r="Y82" s="144"/>
      <c r="Z82" s="144"/>
      <c r="AA82" s="144"/>
      <c r="AB82" s="144"/>
      <c r="AC82" s="144"/>
      <c r="AD82" s="144"/>
      <c r="AE82" s="144"/>
      <c r="AF82" s="144"/>
    </row>
    <row r="83" ht="16.5" customHeight="1">
      <c r="A83" s="144"/>
      <c r="B83" s="559"/>
      <c r="C83" s="352"/>
      <c r="D83" s="352"/>
      <c r="E83" s="352"/>
      <c r="F83" s="352"/>
      <c r="G83" s="560"/>
      <c r="H83" s="352"/>
      <c r="I83" s="497"/>
      <c r="J83" s="497"/>
      <c r="K83" s="496"/>
      <c r="L83" s="496"/>
      <c r="M83" s="144"/>
      <c r="N83" s="144"/>
      <c r="O83" s="144"/>
      <c r="P83" s="144"/>
      <c r="Q83" s="144"/>
      <c r="R83" s="144"/>
      <c r="S83" s="144"/>
      <c r="T83" s="144"/>
      <c r="U83" s="144"/>
      <c r="V83" s="144"/>
      <c r="W83" s="144"/>
      <c r="X83" s="144"/>
      <c r="Y83" s="144"/>
      <c r="Z83" s="144"/>
      <c r="AA83" s="144"/>
      <c r="AB83" s="144"/>
      <c r="AC83" s="144"/>
      <c r="AD83" s="144"/>
      <c r="AE83" s="144"/>
      <c r="AF83" s="144"/>
    </row>
    <row r="84" ht="16.5" customHeight="1">
      <c r="A84" s="144"/>
      <c r="B84" s="559"/>
      <c r="C84" s="352"/>
      <c r="D84" s="352"/>
      <c r="E84" s="352"/>
      <c r="F84" s="352"/>
      <c r="G84" s="560"/>
      <c r="H84" s="352"/>
      <c r="I84" s="497"/>
      <c r="J84" s="497"/>
      <c r="K84" s="496"/>
      <c r="L84" s="496"/>
      <c r="M84" s="144"/>
      <c r="N84" s="144"/>
      <c r="O84" s="144"/>
      <c r="P84" s="144"/>
      <c r="Q84" s="144"/>
      <c r="R84" s="144"/>
      <c r="S84" s="144"/>
      <c r="T84" s="144"/>
      <c r="U84" s="144"/>
      <c r="V84" s="144"/>
      <c r="W84" s="144"/>
      <c r="X84" s="144"/>
      <c r="Y84" s="144"/>
      <c r="Z84" s="144"/>
      <c r="AA84" s="144"/>
      <c r="AB84" s="144"/>
      <c r="AC84" s="144"/>
      <c r="AD84" s="144"/>
      <c r="AE84" s="144"/>
      <c r="AF84" s="144"/>
    </row>
    <row r="85" ht="16.5" customHeight="1">
      <c r="A85" s="144"/>
      <c r="B85" s="559"/>
      <c r="C85" s="352"/>
      <c r="D85" s="352"/>
      <c r="E85" s="352"/>
      <c r="F85" s="352"/>
      <c r="G85" s="560"/>
      <c r="H85" s="352"/>
      <c r="I85" s="497"/>
      <c r="J85" s="497"/>
      <c r="K85" s="496"/>
      <c r="L85" s="496"/>
      <c r="M85" s="144"/>
      <c r="N85" s="144"/>
      <c r="O85" s="144"/>
      <c r="P85" s="144"/>
      <c r="Q85" s="144"/>
      <c r="R85" s="144"/>
      <c r="S85" s="144"/>
      <c r="T85" s="144"/>
      <c r="U85" s="144"/>
      <c r="V85" s="144"/>
      <c r="W85" s="144"/>
      <c r="X85" s="144"/>
      <c r="Y85" s="144"/>
      <c r="Z85" s="144"/>
      <c r="AA85" s="144"/>
      <c r="AB85" s="144"/>
      <c r="AC85" s="144"/>
      <c r="AD85" s="144"/>
      <c r="AE85" s="144"/>
      <c r="AF85" s="144"/>
    </row>
    <row r="86" ht="16.5" customHeight="1">
      <c r="A86" s="144"/>
      <c r="B86" s="559"/>
      <c r="C86" s="352"/>
      <c r="D86" s="352"/>
      <c r="E86" s="352"/>
      <c r="F86" s="505"/>
      <c r="G86" s="560"/>
      <c r="H86" s="505"/>
      <c r="I86" s="497"/>
      <c r="J86" s="497"/>
      <c r="K86" s="496"/>
      <c r="L86" s="496"/>
      <c r="M86" s="144"/>
      <c r="N86" s="144"/>
      <c r="O86" s="144"/>
      <c r="P86" s="144"/>
      <c r="Q86" s="144"/>
      <c r="R86" s="144"/>
      <c r="S86" s="144"/>
      <c r="T86" s="144"/>
      <c r="U86" s="144"/>
      <c r="V86" s="144"/>
      <c r="W86" s="144"/>
      <c r="X86" s="144"/>
      <c r="Y86" s="144"/>
      <c r="Z86" s="144"/>
      <c r="AA86" s="144"/>
      <c r="AB86" s="144"/>
      <c r="AC86" s="144"/>
      <c r="AD86" s="144"/>
      <c r="AE86" s="144"/>
      <c r="AF86" s="144"/>
    </row>
    <row r="87" ht="16.5" customHeight="1">
      <c r="A87" s="144"/>
      <c r="B87" s="559"/>
      <c r="C87" s="352"/>
      <c r="D87" s="352"/>
      <c r="E87" s="352"/>
      <c r="F87" s="352"/>
      <c r="G87" s="560"/>
      <c r="H87" s="505"/>
      <c r="I87" s="497"/>
      <c r="J87" s="497"/>
      <c r="K87" s="496"/>
      <c r="L87" s="496"/>
      <c r="M87" s="144"/>
      <c r="N87" s="144"/>
      <c r="O87" s="144"/>
      <c r="P87" s="144"/>
      <c r="Q87" s="144"/>
      <c r="R87" s="144"/>
      <c r="S87" s="144"/>
      <c r="T87" s="144"/>
      <c r="U87" s="144"/>
      <c r="V87" s="144"/>
      <c r="W87" s="144"/>
      <c r="X87" s="144"/>
      <c r="Y87" s="144"/>
      <c r="Z87" s="144"/>
      <c r="AA87" s="144"/>
      <c r="AB87" s="144"/>
      <c r="AC87" s="144"/>
      <c r="AD87" s="144"/>
      <c r="AE87" s="144"/>
      <c r="AF87" s="144"/>
    </row>
    <row r="88" ht="16.5" customHeight="1">
      <c r="A88" s="144"/>
      <c r="B88" s="559"/>
      <c r="C88" s="352"/>
      <c r="D88" s="352"/>
      <c r="E88" s="352"/>
      <c r="F88" s="352"/>
      <c r="G88" s="560"/>
      <c r="H88" s="352"/>
      <c r="I88" s="497"/>
      <c r="J88" s="497"/>
      <c r="K88" s="496"/>
      <c r="L88" s="496"/>
      <c r="M88" s="144"/>
      <c r="N88" s="144"/>
      <c r="O88" s="144"/>
      <c r="P88" s="144"/>
      <c r="Q88" s="144"/>
      <c r="R88" s="144"/>
      <c r="S88" s="144"/>
      <c r="T88" s="144"/>
      <c r="U88" s="144"/>
      <c r="V88" s="144"/>
      <c r="W88" s="144"/>
      <c r="X88" s="144"/>
      <c r="Y88" s="144"/>
      <c r="Z88" s="144"/>
      <c r="AA88" s="144"/>
      <c r="AB88" s="144"/>
      <c r="AC88" s="144"/>
      <c r="AD88" s="144"/>
      <c r="AE88" s="144"/>
      <c r="AF88" s="144"/>
    </row>
    <row r="89" ht="16.5" customHeight="1">
      <c r="A89" s="144"/>
      <c r="B89" s="559"/>
      <c r="C89" s="352"/>
      <c r="D89" s="352"/>
      <c r="E89" s="352"/>
      <c r="F89" s="352"/>
      <c r="G89" s="560"/>
      <c r="H89" s="352"/>
      <c r="I89" s="497"/>
      <c r="J89" s="497"/>
      <c r="K89" s="496"/>
      <c r="L89" s="496"/>
      <c r="M89" s="144"/>
      <c r="N89" s="144"/>
      <c r="O89" s="144"/>
      <c r="P89" s="144"/>
      <c r="Q89" s="144"/>
      <c r="R89" s="144"/>
      <c r="S89" s="144"/>
      <c r="T89" s="144"/>
      <c r="U89" s="144"/>
      <c r="V89" s="144"/>
      <c r="W89" s="144"/>
      <c r="X89" s="144"/>
      <c r="Y89" s="144"/>
      <c r="Z89" s="144"/>
      <c r="AA89" s="144"/>
      <c r="AB89" s="144"/>
      <c r="AC89" s="144"/>
      <c r="AD89" s="144"/>
      <c r="AE89" s="144"/>
      <c r="AF89" s="144"/>
    </row>
    <row r="90" ht="16.5" customHeight="1">
      <c r="A90" s="144"/>
      <c r="B90" s="559"/>
      <c r="C90" s="352"/>
      <c r="D90" s="352"/>
      <c r="E90" s="352"/>
      <c r="F90" s="352"/>
      <c r="G90" s="560"/>
      <c r="H90" s="352"/>
      <c r="I90" s="497"/>
      <c r="J90" s="497"/>
      <c r="K90" s="496"/>
      <c r="L90" s="496"/>
      <c r="M90" s="144"/>
      <c r="N90" s="144"/>
      <c r="O90" s="144"/>
      <c r="P90" s="144"/>
      <c r="Q90" s="144"/>
      <c r="R90" s="144"/>
      <c r="S90" s="144"/>
      <c r="T90" s="144"/>
      <c r="U90" s="144"/>
      <c r="V90" s="144"/>
      <c r="W90" s="144"/>
      <c r="X90" s="144"/>
      <c r="Y90" s="144"/>
      <c r="Z90" s="144"/>
      <c r="AA90" s="144"/>
      <c r="AB90" s="144"/>
      <c r="AC90" s="144"/>
      <c r="AD90" s="144"/>
      <c r="AE90" s="144"/>
      <c r="AF90" s="144"/>
    </row>
    <row r="91" ht="16.5" customHeight="1">
      <c r="A91" s="144"/>
      <c r="B91" s="559"/>
      <c r="C91" s="352"/>
      <c r="D91" s="352"/>
      <c r="E91" s="352"/>
      <c r="F91" s="352"/>
      <c r="G91" s="560"/>
      <c r="H91" s="352"/>
      <c r="I91" s="497"/>
      <c r="J91" s="497"/>
      <c r="K91" s="496"/>
      <c r="L91" s="496"/>
      <c r="M91" s="144"/>
      <c r="N91" s="144"/>
      <c r="O91" s="144"/>
      <c r="P91" s="144"/>
      <c r="Q91" s="144"/>
      <c r="R91" s="144"/>
      <c r="S91" s="144"/>
      <c r="T91" s="144"/>
      <c r="U91" s="144"/>
      <c r="V91" s="144"/>
      <c r="W91" s="144"/>
      <c r="X91" s="144"/>
      <c r="Y91" s="144"/>
      <c r="Z91" s="144"/>
      <c r="AA91" s="144"/>
      <c r="AB91" s="144"/>
      <c r="AC91" s="144"/>
      <c r="AD91" s="144"/>
      <c r="AE91" s="144"/>
      <c r="AF91" s="144"/>
    </row>
    <row r="92" ht="16.5" customHeight="1">
      <c r="A92" s="144"/>
      <c r="B92" s="559"/>
      <c r="C92" s="352"/>
      <c r="D92" s="352"/>
      <c r="E92" s="352"/>
      <c r="F92" s="352"/>
      <c r="G92" s="560"/>
      <c r="H92" s="352"/>
      <c r="I92" s="352"/>
      <c r="J92" s="497"/>
      <c r="K92" s="496"/>
      <c r="L92" s="496"/>
      <c r="M92" s="144"/>
      <c r="N92" s="144"/>
      <c r="O92" s="144"/>
      <c r="P92" s="144"/>
      <c r="Q92" s="144"/>
      <c r="R92" s="144"/>
      <c r="S92" s="144"/>
      <c r="T92" s="144"/>
      <c r="U92" s="144"/>
      <c r="V92" s="144"/>
      <c r="W92" s="144"/>
      <c r="X92" s="144"/>
      <c r="Y92" s="144"/>
      <c r="Z92" s="144"/>
      <c r="AA92" s="144"/>
      <c r="AB92" s="144"/>
      <c r="AC92" s="144"/>
      <c r="AD92" s="144"/>
      <c r="AE92" s="144"/>
      <c r="AF92" s="144"/>
    </row>
    <row r="93" ht="16.5" customHeight="1">
      <c r="A93" s="144"/>
      <c r="B93" s="559"/>
      <c r="C93" s="352"/>
      <c r="D93" s="352"/>
      <c r="E93" s="352"/>
      <c r="F93" s="505"/>
      <c r="G93" s="560"/>
      <c r="H93" s="505"/>
      <c r="I93" s="352"/>
      <c r="J93" s="497"/>
      <c r="K93" s="496"/>
      <c r="L93" s="496"/>
      <c r="M93" s="144"/>
      <c r="N93" s="144"/>
      <c r="O93" s="144"/>
      <c r="P93" s="144"/>
      <c r="Q93" s="144"/>
      <c r="R93" s="144"/>
      <c r="S93" s="144"/>
      <c r="T93" s="144"/>
      <c r="U93" s="144"/>
      <c r="V93" s="144"/>
      <c r="W93" s="144"/>
      <c r="X93" s="144"/>
      <c r="Y93" s="144"/>
      <c r="Z93" s="144"/>
      <c r="AA93" s="144"/>
      <c r="AB93" s="144"/>
      <c r="AC93" s="144"/>
      <c r="AD93" s="144"/>
      <c r="AE93" s="144"/>
      <c r="AF93" s="144"/>
    </row>
    <row r="94" ht="16.5" customHeight="1">
      <c r="A94" s="144"/>
      <c r="B94" s="559"/>
      <c r="C94" s="352"/>
      <c r="D94" s="352"/>
      <c r="E94" s="352"/>
      <c r="F94" s="352"/>
      <c r="G94" s="560"/>
      <c r="H94" s="505"/>
      <c r="I94" s="497"/>
      <c r="J94" s="497"/>
      <c r="K94" s="496"/>
      <c r="L94" s="496"/>
      <c r="M94" s="144"/>
      <c r="N94" s="144"/>
      <c r="O94" s="144"/>
      <c r="P94" s="144"/>
      <c r="Q94" s="144"/>
      <c r="R94" s="144"/>
      <c r="S94" s="144"/>
      <c r="T94" s="144"/>
      <c r="U94" s="144"/>
      <c r="V94" s="144"/>
      <c r="W94" s="144"/>
      <c r="X94" s="144"/>
      <c r="Y94" s="144"/>
      <c r="Z94" s="144"/>
      <c r="AA94" s="144"/>
      <c r="AB94" s="144"/>
      <c r="AC94" s="144"/>
      <c r="AD94" s="144"/>
      <c r="AE94" s="144"/>
      <c r="AF94" s="144"/>
    </row>
    <row r="95" ht="16.5" customHeight="1">
      <c r="A95" s="144"/>
      <c r="B95" s="559"/>
      <c r="C95" s="352"/>
      <c r="D95" s="352"/>
      <c r="E95" s="352"/>
      <c r="F95" s="352"/>
      <c r="G95" s="560"/>
      <c r="H95" s="352"/>
      <c r="I95" s="497"/>
      <c r="J95" s="497"/>
      <c r="K95" s="496"/>
      <c r="L95" s="496"/>
      <c r="M95" s="144"/>
      <c r="N95" s="144"/>
      <c r="O95" s="144"/>
      <c r="P95" s="144"/>
      <c r="Q95" s="144"/>
      <c r="R95" s="144"/>
      <c r="S95" s="144"/>
      <c r="T95" s="144"/>
      <c r="U95" s="144"/>
      <c r="V95" s="144"/>
      <c r="W95" s="144"/>
      <c r="X95" s="144"/>
      <c r="Y95" s="144"/>
      <c r="Z95" s="144"/>
      <c r="AA95" s="144"/>
      <c r="AB95" s="144"/>
      <c r="AC95" s="144"/>
      <c r="AD95" s="144"/>
      <c r="AE95" s="144"/>
      <c r="AF95" s="144"/>
    </row>
    <row r="96" ht="16.5" customHeight="1">
      <c r="A96" s="144"/>
      <c r="B96" s="559"/>
      <c r="C96" s="352"/>
      <c r="D96" s="352"/>
      <c r="E96" s="352"/>
      <c r="F96" s="352"/>
      <c r="G96" s="560"/>
      <c r="H96" s="352"/>
      <c r="I96" s="497"/>
      <c r="J96" s="497"/>
      <c r="K96" s="496"/>
      <c r="L96" s="496"/>
      <c r="M96" s="144"/>
      <c r="N96" s="144"/>
      <c r="O96" s="144"/>
      <c r="P96" s="144"/>
      <c r="Q96" s="144"/>
      <c r="R96" s="144"/>
      <c r="S96" s="144"/>
      <c r="T96" s="144"/>
      <c r="U96" s="144"/>
      <c r="V96" s="144"/>
      <c r="W96" s="144"/>
      <c r="X96" s="144"/>
      <c r="Y96" s="144"/>
      <c r="Z96" s="144"/>
      <c r="AA96" s="144"/>
      <c r="AB96" s="144"/>
      <c r="AC96" s="144"/>
      <c r="AD96" s="144"/>
      <c r="AE96" s="144"/>
      <c r="AF96" s="144"/>
    </row>
    <row r="97" ht="16.5" customHeight="1">
      <c r="A97" s="144"/>
      <c r="B97" s="559"/>
      <c r="C97" s="352"/>
      <c r="D97" s="352"/>
      <c r="E97" s="352"/>
      <c r="F97" s="352"/>
      <c r="G97" s="560"/>
      <c r="H97" s="352"/>
      <c r="I97" s="497"/>
      <c r="J97" s="497"/>
      <c r="K97" s="496"/>
      <c r="L97" s="496"/>
      <c r="M97" s="144"/>
      <c r="N97" s="144"/>
      <c r="O97" s="144"/>
      <c r="P97" s="144"/>
      <c r="Q97" s="144"/>
      <c r="R97" s="144"/>
      <c r="S97" s="144"/>
      <c r="T97" s="144"/>
      <c r="U97" s="144"/>
      <c r="V97" s="144"/>
      <c r="W97" s="144"/>
      <c r="X97" s="144"/>
      <c r="Y97" s="144"/>
      <c r="Z97" s="144"/>
      <c r="AA97" s="144"/>
      <c r="AB97" s="144"/>
      <c r="AC97" s="144"/>
      <c r="AD97" s="144"/>
      <c r="AE97" s="144"/>
      <c r="AF97" s="144"/>
    </row>
    <row r="98" ht="16.5" customHeight="1">
      <c r="A98" s="144"/>
      <c r="B98" s="559"/>
      <c r="C98" s="352"/>
      <c r="D98" s="352"/>
      <c r="E98" s="352"/>
      <c r="F98" s="352"/>
      <c r="G98" s="560"/>
      <c r="H98" s="352"/>
      <c r="I98" s="497"/>
      <c r="J98" s="497"/>
      <c r="K98" s="496"/>
      <c r="L98" s="496"/>
      <c r="M98" s="144"/>
      <c r="N98" s="144"/>
      <c r="O98" s="144"/>
      <c r="P98" s="144"/>
      <c r="Q98" s="144"/>
      <c r="R98" s="144"/>
      <c r="S98" s="144"/>
      <c r="T98" s="144"/>
      <c r="U98" s="144"/>
      <c r="V98" s="144"/>
      <c r="W98" s="144"/>
      <c r="X98" s="144"/>
      <c r="Y98" s="144"/>
      <c r="Z98" s="144"/>
      <c r="AA98" s="144"/>
      <c r="AB98" s="144"/>
      <c r="AC98" s="144"/>
      <c r="AD98" s="144"/>
      <c r="AE98" s="144"/>
      <c r="AF98" s="144"/>
    </row>
    <row r="99" ht="16.5" customHeight="1">
      <c r="A99" s="144"/>
      <c r="B99" s="559"/>
      <c r="C99" s="352"/>
      <c r="D99" s="352"/>
      <c r="E99" s="352"/>
      <c r="F99" s="352"/>
      <c r="G99" s="560"/>
      <c r="H99" s="352"/>
      <c r="I99" s="497"/>
      <c r="J99" s="497"/>
      <c r="K99" s="496"/>
      <c r="L99" s="496"/>
      <c r="M99" s="144"/>
      <c r="N99" s="144"/>
      <c r="O99" s="144"/>
      <c r="P99" s="144"/>
      <c r="Q99" s="144"/>
      <c r="R99" s="144"/>
      <c r="S99" s="144"/>
      <c r="T99" s="144"/>
      <c r="U99" s="144"/>
      <c r="V99" s="144"/>
      <c r="W99" s="144"/>
      <c r="X99" s="144"/>
      <c r="Y99" s="144"/>
      <c r="Z99" s="144"/>
      <c r="AA99" s="144"/>
      <c r="AB99" s="144"/>
      <c r="AC99" s="144"/>
      <c r="AD99" s="144"/>
      <c r="AE99" s="144"/>
      <c r="AF99" s="144"/>
    </row>
    <row r="100" ht="16.5" customHeight="1">
      <c r="A100" s="144"/>
      <c r="B100" s="559"/>
      <c r="C100" s="352"/>
      <c r="D100" s="352"/>
      <c r="E100" s="352"/>
      <c r="F100" s="352"/>
      <c r="G100" s="560"/>
      <c r="H100" s="352"/>
      <c r="I100" s="352"/>
      <c r="J100" s="497"/>
      <c r="K100" s="496"/>
      <c r="L100" s="496"/>
      <c r="M100" s="144"/>
      <c r="N100" s="144"/>
      <c r="O100" s="144"/>
      <c r="P100" s="144"/>
      <c r="Q100" s="144"/>
      <c r="R100" s="144"/>
      <c r="S100" s="144"/>
      <c r="T100" s="144"/>
      <c r="U100" s="144"/>
      <c r="V100" s="144"/>
      <c r="W100" s="144"/>
      <c r="X100" s="144"/>
      <c r="Y100" s="144"/>
      <c r="Z100" s="144"/>
      <c r="AA100" s="144"/>
      <c r="AB100" s="144"/>
      <c r="AC100" s="144"/>
      <c r="AD100" s="144"/>
      <c r="AE100" s="144"/>
      <c r="AF100" s="144"/>
    </row>
    <row r="101" ht="16.5" customHeight="1">
      <c r="A101" s="144"/>
      <c r="B101" s="559"/>
      <c r="C101" s="352"/>
      <c r="D101" s="352"/>
      <c r="E101" s="352"/>
      <c r="F101" s="505"/>
      <c r="G101" s="560"/>
      <c r="H101" s="505"/>
      <c r="I101" s="352"/>
      <c r="J101" s="497"/>
      <c r="K101" s="496"/>
      <c r="L101" s="496"/>
      <c r="M101" s="144"/>
      <c r="N101" s="144"/>
      <c r="O101" s="144"/>
      <c r="P101" s="144"/>
      <c r="Q101" s="144"/>
      <c r="R101" s="144"/>
      <c r="S101" s="144"/>
      <c r="T101" s="144"/>
      <c r="U101" s="144"/>
      <c r="V101" s="144"/>
      <c r="W101" s="144"/>
      <c r="X101" s="144"/>
      <c r="Y101" s="144"/>
      <c r="Z101" s="144"/>
      <c r="AA101" s="144"/>
      <c r="AB101" s="144"/>
      <c r="AC101" s="144"/>
      <c r="AD101" s="144"/>
      <c r="AE101" s="144"/>
      <c r="AF101" s="144"/>
    </row>
    <row r="102" ht="16.5" customHeight="1">
      <c r="A102" s="144"/>
      <c r="B102" s="559"/>
      <c r="C102" s="352"/>
      <c r="D102" s="352"/>
      <c r="E102" s="497"/>
      <c r="F102" s="497"/>
      <c r="G102" s="561"/>
      <c r="H102" s="562"/>
      <c r="I102" s="497"/>
      <c r="J102" s="497"/>
      <c r="K102" s="496"/>
      <c r="L102" s="496"/>
      <c r="M102" s="144"/>
      <c r="N102" s="144"/>
      <c r="O102" s="144"/>
      <c r="P102" s="144"/>
      <c r="Q102" s="144"/>
      <c r="R102" s="144"/>
      <c r="S102" s="144"/>
      <c r="T102" s="144"/>
      <c r="U102" s="144"/>
      <c r="V102" s="144"/>
      <c r="W102" s="144"/>
      <c r="X102" s="144"/>
      <c r="Y102" s="144"/>
      <c r="Z102" s="144"/>
      <c r="AA102" s="144"/>
      <c r="AB102" s="144"/>
      <c r="AC102" s="144"/>
      <c r="AD102" s="144"/>
      <c r="AE102" s="144"/>
      <c r="AF102" s="144"/>
    </row>
    <row r="103" ht="16.5" customHeight="1">
      <c r="A103" s="144"/>
      <c r="B103" s="559"/>
      <c r="C103" s="352"/>
      <c r="D103" s="352"/>
      <c r="E103" s="497"/>
      <c r="F103" s="497"/>
      <c r="G103" s="561"/>
      <c r="H103" s="497"/>
      <c r="I103" s="497"/>
      <c r="J103" s="497"/>
      <c r="K103" s="496"/>
      <c r="L103" s="496"/>
      <c r="M103" s="144"/>
      <c r="N103" s="144"/>
      <c r="O103" s="144"/>
      <c r="P103" s="144"/>
      <c r="Q103" s="144"/>
      <c r="R103" s="144"/>
      <c r="S103" s="144"/>
      <c r="T103" s="144"/>
      <c r="U103" s="144"/>
      <c r="V103" s="144"/>
      <c r="W103" s="144"/>
      <c r="X103" s="144"/>
      <c r="Y103" s="144"/>
      <c r="Z103" s="144"/>
      <c r="AA103" s="144"/>
      <c r="AB103" s="144"/>
      <c r="AC103" s="144"/>
      <c r="AD103" s="144"/>
      <c r="AE103" s="144"/>
      <c r="AF103" s="144"/>
    </row>
    <row r="104" ht="16.5" customHeight="1">
      <c r="A104" s="144"/>
      <c r="B104" s="559"/>
      <c r="C104" s="352"/>
      <c r="D104" s="352"/>
      <c r="E104" s="497"/>
      <c r="F104" s="497"/>
      <c r="G104" s="561"/>
      <c r="H104" s="497"/>
      <c r="I104" s="497"/>
      <c r="J104" s="497"/>
      <c r="K104" s="496"/>
      <c r="L104" s="496"/>
      <c r="M104" s="144"/>
      <c r="N104" s="144"/>
      <c r="O104" s="144"/>
      <c r="P104" s="144"/>
      <c r="Q104" s="144"/>
      <c r="R104" s="144"/>
      <c r="S104" s="144"/>
      <c r="T104" s="144"/>
      <c r="U104" s="144"/>
      <c r="V104" s="144"/>
      <c r="W104" s="144"/>
      <c r="X104" s="144"/>
      <c r="Y104" s="144"/>
      <c r="Z104" s="144"/>
      <c r="AA104" s="144"/>
      <c r="AB104" s="144"/>
      <c r="AC104" s="144"/>
      <c r="AD104" s="144"/>
      <c r="AE104" s="144"/>
      <c r="AF104" s="144"/>
    </row>
    <row r="105" ht="16.5" customHeight="1">
      <c r="A105" s="144"/>
      <c r="B105" s="563"/>
      <c r="C105" s="497"/>
      <c r="D105" s="497"/>
      <c r="E105" s="497"/>
      <c r="F105" s="497"/>
      <c r="G105" s="497"/>
      <c r="H105" s="497"/>
      <c r="I105" s="497"/>
      <c r="J105" s="497"/>
      <c r="K105" s="496"/>
      <c r="L105" s="496"/>
      <c r="M105" s="144"/>
      <c r="N105" s="144"/>
      <c r="O105" s="144"/>
      <c r="P105" s="144"/>
      <c r="Q105" s="144"/>
      <c r="R105" s="144"/>
      <c r="S105" s="144"/>
      <c r="T105" s="144"/>
      <c r="U105" s="144"/>
      <c r="V105" s="144"/>
      <c r="W105" s="144"/>
      <c r="X105" s="144"/>
      <c r="Y105" s="144"/>
      <c r="Z105" s="144"/>
      <c r="AA105" s="144"/>
      <c r="AB105" s="144"/>
      <c r="AC105" s="144"/>
      <c r="AD105" s="144"/>
      <c r="AE105" s="144"/>
      <c r="AF105" s="144"/>
    </row>
    <row r="106" ht="16.5" customHeight="1">
      <c r="A106" s="144"/>
      <c r="B106" s="563"/>
      <c r="C106" s="497"/>
      <c r="D106" s="497"/>
      <c r="E106" s="497"/>
      <c r="F106" s="497"/>
      <c r="G106" s="497"/>
      <c r="H106" s="497"/>
      <c r="I106" s="497"/>
      <c r="J106" s="497"/>
      <c r="K106" s="496"/>
      <c r="L106" s="496"/>
      <c r="M106" s="144"/>
      <c r="N106" s="144"/>
      <c r="O106" s="144"/>
      <c r="P106" s="144"/>
      <c r="Q106" s="144"/>
      <c r="R106" s="144"/>
      <c r="S106" s="144"/>
      <c r="T106" s="144"/>
      <c r="U106" s="144"/>
      <c r="V106" s="144"/>
      <c r="W106" s="144"/>
      <c r="X106" s="144"/>
      <c r="Y106" s="144"/>
      <c r="Z106" s="144"/>
      <c r="AA106" s="144"/>
      <c r="AB106" s="144"/>
      <c r="AC106" s="144"/>
      <c r="AD106" s="144"/>
      <c r="AE106" s="144"/>
      <c r="AF106" s="144"/>
    </row>
    <row r="107" ht="16.5" customHeight="1">
      <c r="A107" s="144"/>
      <c r="B107" s="563"/>
      <c r="C107" s="497"/>
      <c r="D107" s="497"/>
      <c r="E107" s="497"/>
      <c r="F107" s="497"/>
      <c r="G107" s="497"/>
      <c r="H107" s="497"/>
      <c r="I107" s="497"/>
      <c r="J107" s="497"/>
      <c r="K107" s="496"/>
      <c r="L107" s="496"/>
      <c r="M107" s="144"/>
      <c r="N107" s="144"/>
      <c r="O107" s="144"/>
      <c r="P107" s="144"/>
      <c r="Q107" s="144"/>
      <c r="R107" s="144"/>
      <c r="S107" s="144"/>
      <c r="T107" s="144"/>
      <c r="U107" s="144"/>
      <c r="V107" s="144"/>
      <c r="W107" s="144"/>
      <c r="X107" s="144"/>
      <c r="Y107" s="144"/>
      <c r="Z107" s="144"/>
      <c r="AA107" s="144"/>
      <c r="AB107" s="144"/>
      <c r="AC107" s="144"/>
      <c r="AD107" s="144"/>
      <c r="AE107" s="144"/>
      <c r="AF107" s="144"/>
    </row>
    <row r="108" ht="16.5" customHeight="1">
      <c r="A108" s="144"/>
      <c r="B108" s="563"/>
      <c r="C108" s="497"/>
      <c r="D108" s="497"/>
      <c r="E108" s="497"/>
      <c r="F108" s="497"/>
      <c r="G108" s="497"/>
      <c r="H108" s="497"/>
      <c r="I108" s="497"/>
      <c r="J108" s="497"/>
      <c r="K108" s="496"/>
      <c r="L108" s="496"/>
      <c r="M108" s="144"/>
      <c r="N108" s="144"/>
      <c r="O108" s="144"/>
      <c r="P108" s="144"/>
      <c r="Q108" s="144"/>
      <c r="R108" s="144"/>
      <c r="S108" s="144"/>
      <c r="T108" s="144"/>
      <c r="U108" s="144"/>
      <c r="V108" s="144"/>
      <c r="W108" s="144"/>
      <c r="X108" s="144"/>
      <c r="Y108" s="144"/>
      <c r="Z108" s="144"/>
      <c r="AA108" s="144"/>
      <c r="AB108" s="144"/>
      <c r="AC108" s="144"/>
      <c r="AD108" s="144"/>
      <c r="AE108" s="144"/>
      <c r="AF108" s="144"/>
    </row>
    <row r="109" ht="16.5" customHeight="1">
      <c r="A109" s="144"/>
      <c r="B109" s="563"/>
      <c r="C109" s="497"/>
      <c r="D109" s="497"/>
      <c r="E109" s="497"/>
      <c r="F109" s="497"/>
      <c r="G109" s="497"/>
      <c r="H109" s="497"/>
      <c r="I109" s="497"/>
      <c r="J109" s="497"/>
      <c r="K109" s="496"/>
      <c r="L109" s="496"/>
      <c r="M109" s="144"/>
      <c r="N109" s="144"/>
      <c r="O109" s="144"/>
      <c r="P109" s="144"/>
      <c r="Q109" s="144"/>
      <c r="R109" s="144"/>
      <c r="S109" s="144"/>
      <c r="T109" s="144"/>
      <c r="U109" s="144"/>
      <c r="V109" s="144"/>
      <c r="W109" s="144"/>
      <c r="X109" s="144"/>
      <c r="Y109" s="144"/>
      <c r="Z109" s="144"/>
      <c r="AA109" s="144"/>
      <c r="AB109" s="144"/>
      <c r="AC109" s="144"/>
      <c r="AD109" s="144"/>
      <c r="AE109" s="144"/>
      <c r="AF109" s="144"/>
    </row>
    <row r="110" ht="16.5" customHeight="1">
      <c r="A110" s="144"/>
      <c r="B110" s="563"/>
      <c r="C110" s="564"/>
      <c r="D110" s="564"/>
      <c r="E110" s="497"/>
      <c r="F110" s="497"/>
      <c r="G110" s="561"/>
      <c r="H110" s="497"/>
      <c r="I110" s="497"/>
      <c r="J110" s="497"/>
      <c r="K110" s="496"/>
      <c r="L110" s="496"/>
      <c r="M110" s="144"/>
      <c r="N110" s="144"/>
      <c r="O110" s="144"/>
      <c r="P110" s="144"/>
      <c r="Q110" s="144"/>
      <c r="R110" s="144"/>
      <c r="S110" s="144"/>
      <c r="T110" s="144"/>
      <c r="U110" s="144"/>
      <c r="V110" s="144"/>
      <c r="W110" s="144"/>
      <c r="X110" s="144"/>
      <c r="Y110" s="144"/>
      <c r="Z110" s="144"/>
      <c r="AA110" s="144"/>
      <c r="AB110" s="144"/>
      <c r="AC110" s="144"/>
      <c r="AD110" s="144"/>
      <c r="AE110" s="144"/>
      <c r="AF110" s="144"/>
    </row>
    <row r="111" ht="16.5" customHeight="1">
      <c r="A111" s="144"/>
      <c r="B111" s="563"/>
      <c r="C111" s="564"/>
      <c r="D111" s="564"/>
      <c r="E111" s="497"/>
      <c r="F111" s="497"/>
      <c r="G111" s="561"/>
      <c r="H111" s="497"/>
      <c r="I111" s="497"/>
      <c r="J111" s="497"/>
      <c r="K111" s="496"/>
      <c r="L111" s="496"/>
      <c r="M111" s="144"/>
      <c r="N111" s="144"/>
      <c r="O111" s="144"/>
      <c r="P111" s="144"/>
      <c r="Q111" s="144"/>
      <c r="R111" s="144"/>
      <c r="S111" s="144"/>
      <c r="T111" s="144"/>
      <c r="U111" s="144"/>
      <c r="V111" s="144"/>
      <c r="W111" s="144"/>
      <c r="X111" s="144"/>
      <c r="Y111" s="144"/>
      <c r="Z111" s="144"/>
      <c r="AA111" s="144"/>
      <c r="AB111" s="144"/>
      <c r="AC111" s="144"/>
      <c r="AD111" s="144"/>
      <c r="AE111" s="144"/>
      <c r="AF111" s="144"/>
    </row>
    <row r="112" ht="16.5" customHeight="1">
      <c r="A112" s="144"/>
      <c r="B112" s="563"/>
      <c r="C112" s="564"/>
      <c r="D112" s="564"/>
      <c r="E112" s="497"/>
      <c r="F112" s="497"/>
      <c r="G112" s="561"/>
      <c r="H112" s="497"/>
      <c r="I112" s="497"/>
      <c r="J112" s="497"/>
      <c r="K112" s="496"/>
      <c r="L112" s="496"/>
      <c r="M112" s="144"/>
      <c r="N112" s="144"/>
      <c r="O112" s="144"/>
      <c r="P112" s="144"/>
      <c r="Q112" s="144"/>
      <c r="R112" s="144"/>
      <c r="S112" s="144"/>
      <c r="T112" s="144"/>
      <c r="U112" s="144"/>
      <c r="V112" s="144"/>
      <c r="W112" s="144"/>
      <c r="X112" s="144"/>
      <c r="Y112" s="144"/>
      <c r="Z112" s="144"/>
      <c r="AA112" s="144"/>
      <c r="AB112" s="144"/>
      <c r="AC112" s="144"/>
      <c r="AD112" s="144"/>
      <c r="AE112" s="144"/>
      <c r="AF112" s="144"/>
    </row>
    <row r="113" ht="16.5" customHeight="1">
      <c r="A113" s="144"/>
      <c r="B113" s="563"/>
      <c r="C113" s="564"/>
      <c r="D113" s="564"/>
      <c r="E113" s="497"/>
      <c r="F113" s="497"/>
      <c r="G113" s="561"/>
      <c r="H113" s="497"/>
      <c r="I113" s="497"/>
      <c r="J113" s="497"/>
      <c r="K113" s="496"/>
      <c r="L113" s="496"/>
      <c r="M113" s="144"/>
      <c r="N113" s="144"/>
      <c r="O113" s="144"/>
      <c r="P113" s="144"/>
      <c r="Q113" s="144"/>
      <c r="R113" s="144"/>
      <c r="S113" s="144"/>
      <c r="T113" s="144"/>
      <c r="U113" s="144"/>
      <c r="V113" s="144"/>
      <c r="W113" s="144"/>
      <c r="X113" s="144"/>
      <c r="Y113" s="144"/>
      <c r="Z113" s="144"/>
      <c r="AA113" s="144"/>
      <c r="AB113" s="144"/>
      <c r="AC113" s="144"/>
      <c r="AD113" s="144"/>
      <c r="AE113" s="144"/>
      <c r="AF113" s="144"/>
    </row>
    <row r="114" ht="16.5" customHeight="1">
      <c r="A114" s="144"/>
      <c r="B114" s="563"/>
      <c r="C114" s="564"/>
      <c r="D114" s="564"/>
      <c r="E114" s="497"/>
      <c r="F114" s="562"/>
      <c r="G114" s="561"/>
      <c r="H114" s="562"/>
      <c r="I114" s="497"/>
      <c r="J114" s="497"/>
      <c r="K114" s="496"/>
      <c r="L114" s="496"/>
      <c r="M114" s="144"/>
      <c r="N114" s="144"/>
      <c r="O114" s="144"/>
      <c r="P114" s="144"/>
      <c r="Q114" s="144"/>
      <c r="R114" s="144"/>
      <c r="S114" s="144"/>
      <c r="T114" s="144"/>
      <c r="U114" s="144"/>
      <c r="V114" s="144"/>
      <c r="W114" s="144"/>
      <c r="X114" s="144"/>
      <c r="Y114" s="144"/>
      <c r="Z114" s="144"/>
      <c r="AA114" s="144"/>
      <c r="AB114" s="144"/>
      <c r="AC114" s="144"/>
      <c r="AD114" s="144"/>
      <c r="AE114" s="144"/>
      <c r="AF114" s="144"/>
    </row>
    <row r="115" ht="16.5" customHeight="1">
      <c r="A115" s="144"/>
      <c r="B115" s="563"/>
      <c r="C115" s="564"/>
      <c r="D115" s="564"/>
      <c r="E115" s="497"/>
      <c r="F115" s="497"/>
      <c r="G115" s="561"/>
      <c r="H115" s="562"/>
      <c r="I115" s="497"/>
      <c r="J115" s="497"/>
      <c r="K115" s="496"/>
      <c r="L115" s="496"/>
      <c r="M115" s="144"/>
      <c r="N115" s="144"/>
      <c r="O115" s="144"/>
      <c r="P115" s="144"/>
      <c r="Q115" s="144"/>
      <c r="R115" s="144"/>
      <c r="S115" s="144"/>
      <c r="T115" s="144"/>
      <c r="U115" s="144"/>
      <c r="V115" s="144"/>
      <c r="W115" s="144"/>
      <c r="X115" s="144"/>
      <c r="Y115" s="144"/>
      <c r="Z115" s="144"/>
      <c r="AA115" s="144"/>
      <c r="AB115" s="144"/>
      <c r="AC115" s="144"/>
      <c r="AD115" s="144"/>
      <c r="AE115" s="144"/>
      <c r="AF115" s="144"/>
    </row>
    <row r="116" ht="16.5" customHeight="1">
      <c r="A116" s="144"/>
      <c r="B116" s="563"/>
      <c r="C116" s="564"/>
      <c r="D116" s="564"/>
      <c r="E116" s="497"/>
      <c r="F116" s="497"/>
      <c r="G116" s="561"/>
      <c r="H116" s="497"/>
      <c r="I116" s="497"/>
      <c r="J116" s="497"/>
      <c r="K116" s="496"/>
      <c r="L116" s="496"/>
      <c r="M116" s="144"/>
      <c r="N116" s="144"/>
      <c r="O116" s="144"/>
      <c r="P116" s="144"/>
      <c r="Q116" s="144"/>
      <c r="R116" s="144"/>
      <c r="S116" s="144"/>
      <c r="T116" s="144"/>
      <c r="U116" s="144"/>
      <c r="V116" s="144"/>
      <c r="W116" s="144"/>
      <c r="X116" s="144"/>
      <c r="Y116" s="144"/>
      <c r="Z116" s="144"/>
      <c r="AA116" s="144"/>
      <c r="AB116" s="144"/>
      <c r="AC116" s="144"/>
      <c r="AD116" s="144"/>
      <c r="AE116" s="144"/>
      <c r="AF116" s="144"/>
    </row>
    <row r="117" ht="16.5" customHeight="1">
      <c r="A117" s="144"/>
      <c r="B117" s="563"/>
      <c r="C117" s="564"/>
      <c r="D117" s="564"/>
      <c r="E117" s="497"/>
      <c r="F117" s="497"/>
      <c r="G117" s="561"/>
      <c r="H117" s="497"/>
      <c r="I117" s="497"/>
      <c r="J117" s="497"/>
      <c r="K117" s="496"/>
      <c r="L117" s="496"/>
      <c r="M117" s="144"/>
      <c r="N117" s="144"/>
      <c r="O117" s="144"/>
      <c r="P117" s="144"/>
      <c r="Q117" s="144"/>
      <c r="R117" s="144"/>
      <c r="S117" s="144"/>
      <c r="T117" s="144"/>
      <c r="U117" s="144"/>
      <c r="V117" s="144"/>
      <c r="W117" s="144"/>
      <c r="X117" s="144"/>
      <c r="Y117" s="144"/>
      <c r="Z117" s="144"/>
      <c r="AA117" s="144"/>
      <c r="AB117" s="144"/>
      <c r="AC117" s="144"/>
      <c r="AD117" s="144"/>
      <c r="AE117" s="144"/>
      <c r="AF117" s="144"/>
    </row>
    <row r="118" ht="16.5" customHeight="1">
      <c r="A118" s="144"/>
      <c r="B118" s="563"/>
      <c r="C118" s="564"/>
      <c r="D118" s="564"/>
      <c r="E118" s="497"/>
      <c r="F118" s="497"/>
      <c r="G118" s="561"/>
      <c r="H118" s="497"/>
      <c r="I118" s="497"/>
      <c r="J118" s="497"/>
      <c r="K118" s="496"/>
      <c r="L118" s="496"/>
      <c r="M118" s="144"/>
      <c r="N118" s="144"/>
      <c r="O118" s="144"/>
      <c r="P118" s="144"/>
      <c r="Q118" s="144"/>
      <c r="R118" s="144"/>
      <c r="S118" s="144"/>
      <c r="T118" s="144"/>
      <c r="U118" s="144"/>
      <c r="V118" s="144"/>
      <c r="W118" s="144"/>
      <c r="X118" s="144"/>
      <c r="Y118" s="144"/>
      <c r="Z118" s="144"/>
      <c r="AA118" s="144"/>
      <c r="AB118" s="144"/>
      <c r="AC118" s="144"/>
      <c r="AD118" s="144"/>
      <c r="AE118" s="144"/>
      <c r="AF118" s="144"/>
    </row>
    <row r="119" ht="16.5" customHeight="1">
      <c r="A119" s="144"/>
      <c r="B119" s="563"/>
      <c r="C119" s="564"/>
      <c r="D119" s="564"/>
      <c r="E119" s="497"/>
      <c r="F119" s="497"/>
      <c r="G119" s="561"/>
      <c r="H119" s="497"/>
      <c r="I119" s="497"/>
      <c r="J119" s="497"/>
      <c r="K119" s="496"/>
      <c r="L119" s="496"/>
      <c r="M119" s="144"/>
      <c r="N119" s="144"/>
      <c r="O119" s="144"/>
      <c r="P119" s="144"/>
      <c r="Q119" s="144"/>
      <c r="R119" s="144"/>
      <c r="S119" s="144"/>
      <c r="T119" s="144"/>
      <c r="U119" s="144"/>
      <c r="V119" s="144"/>
      <c r="W119" s="144"/>
      <c r="X119" s="144"/>
      <c r="Y119" s="144"/>
      <c r="Z119" s="144"/>
      <c r="AA119" s="144"/>
      <c r="AB119" s="144"/>
      <c r="AC119" s="144"/>
      <c r="AD119" s="144"/>
      <c r="AE119" s="144"/>
      <c r="AF119" s="144"/>
    </row>
    <row r="120" ht="16.5" customHeight="1">
      <c r="A120" s="144"/>
      <c r="B120" s="563"/>
      <c r="C120" s="564"/>
      <c r="D120" s="564"/>
      <c r="E120" s="497"/>
      <c r="F120" s="497"/>
      <c r="G120" s="561"/>
      <c r="H120" s="497"/>
      <c r="I120" s="497"/>
      <c r="J120" s="497"/>
      <c r="K120" s="496"/>
      <c r="L120" s="496"/>
      <c r="M120" s="144"/>
      <c r="N120" s="144"/>
      <c r="O120" s="144"/>
      <c r="P120" s="144"/>
      <c r="Q120" s="144"/>
      <c r="R120" s="144"/>
      <c r="S120" s="144"/>
      <c r="T120" s="144"/>
      <c r="U120" s="144"/>
      <c r="V120" s="144"/>
      <c r="W120" s="144"/>
      <c r="X120" s="144"/>
      <c r="Y120" s="144"/>
      <c r="Z120" s="144"/>
      <c r="AA120" s="144"/>
      <c r="AB120" s="144"/>
      <c r="AC120" s="144"/>
      <c r="AD120" s="144"/>
      <c r="AE120" s="144"/>
      <c r="AF120" s="144"/>
    </row>
    <row r="121" ht="16.5" customHeight="1">
      <c r="A121" s="144"/>
      <c r="B121" s="563"/>
      <c r="C121" s="564"/>
      <c r="D121" s="564"/>
      <c r="E121" s="497"/>
      <c r="F121" s="497"/>
      <c r="G121" s="561"/>
      <c r="H121" s="497"/>
      <c r="I121" s="497"/>
      <c r="J121" s="497"/>
      <c r="K121" s="496"/>
      <c r="L121" s="496"/>
      <c r="M121" s="144"/>
      <c r="N121" s="144"/>
      <c r="O121" s="144"/>
      <c r="P121" s="144"/>
      <c r="Q121" s="144"/>
      <c r="R121" s="144"/>
      <c r="S121" s="144"/>
      <c r="T121" s="144"/>
      <c r="U121" s="144"/>
      <c r="V121" s="144"/>
      <c r="W121" s="144"/>
      <c r="X121" s="144"/>
      <c r="Y121" s="144"/>
      <c r="Z121" s="144"/>
      <c r="AA121" s="144"/>
      <c r="AB121" s="144"/>
      <c r="AC121" s="144"/>
      <c r="AD121" s="144"/>
      <c r="AE121" s="144"/>
      <c r="AF121" s="144"/>
    </row>
    <row r="122" ht="16.5" customHeight="1">
      <c r="A122" s="144"/>
      <c r="B122" s="563"/>
      <c r="C122" s="564"/>
      <c r="D122" s="564"/>
      <c r="E122" s="497"/>
      <c r="F122" s="562"/>
      <c r="G122" s="561"/>
      <c r="H122" s="562"/>
      <c r="I122" s="497"/>
      <c r="J122" s="497"/>
      <c r="K122" s="496"/>
      <c r="L122" s="496"/>
      <c r="M122" s="144"/>
      <c r="N122" s="144"/>
      <c r="O122" s="144"/>
      <c r="P122" s="144"/>
      <c r="Q122" s="144"/>
      <c r="R122" s="144"/>
      <c r="S122" s="144"/>
      <c r="T122" s="144"/>
      <c r="U122" s="144"/>
      <c r="V122" s="144"/>
      <c r="W122" s="144"/>
      <c r="X122" s="144"/>
      <c r="Y122" s="144"/>
      <c r="Z122" s="144"/>
      <c r="AA122" s="144"/>
      <c r="AB122" s="144"/>
      <c r="AC122" s="144"/>
      <c r="AD122" s="144"/>
      <c r="AE122" s="144"/>
      <c r="AF122" s="144"/>
    </row>
    <row r="123" ht="16.5" customHeight="1">
      <c r="A123" s="144"/>
      <c r="B123" s="563"/>
      <c r="C123" s="564"/>
      <c r="D123" s="564"/>
      <c r="E123" s="497"/>
      <c r="F123" s="497"/>
      <c r="G123" s="561"/>
      <c r="H123" s="562"/>
      <c r="I123" s="497"/>
      <c r="J123" s="497"/>
      <c r="K123" s="496"/>
      <c r="L123" s="496"/>
      <c r="M123" s="144"/>
      <c r="N123" s="144"/>
      <c r="O123" s="144"/>
      <c r="P123" s="144"/>
      <c r="Q123" s="144"/>
      <c r="R123" s="144"/>
      <c r="S123" s="144"/>
      <c r="T123" s="144"/>
      <c r="U123" s="144"/>
      <c r="V123" s="144"/>
      <c r="W123" s="144"/>
      <c r="X123" s="144"/>
      <c r="Y123" s="144"/>
      <c r="Z123" s="144"/>
      <c r="AA123" s="144"/>
      <c r="AB123" s="144"/>
      <c r="AC123" s="144"/>
      <c r="AD123" s="144"/>
      <c r="AE123" s="144"/>
      <c r="AF123" s="144"/>
    </row>
    <row r="124" ht="16.5" customHeight="1">
      <c r="A124" s="144"/>
      <c r="B124" s="563"/>
      <c r="C124" s="564"/>
      <c r="D124" s="564"/>
      <c r="E124" s="497"/>
      <c r="F124" s="497"/>
      <c r="G124" s="561"/>
      <c r="H124" s="497"/>
      <c r="I124" s="497"/>
      <c r="J124" s="497"/>
      <c r="K124" s="496"/>
      <c r="L124" s="496"/>
      <c r="M124" s="144"/>
      <c r="N124" s="144"/>
      <c r="O124" s="144"/>
      <c r="P124" s="144"/>
      <c r="Q124" s="144"/>
      <c r="R124" s="144"/>
      <c r="S124" s="144"/>
      <c r="T124" s="144"/>
      <c r="U124" s="144"/>
      <c r="V124" s="144"/>
      <c r="W124" s="144"/>
      <c r="X124" s="144"/>
      <c r="Y124" s="144"/>
      <c r="Z124" s="144"/>
      <c r="AA124" s="144"/>
      <c r="AB124" s="144"/>
      <c r="AC124" s="144"/>
      <c r="AD124" s="144"/>
      <c r="AE124" s="144"/>
      <c r="AF124" s="144"/>
    </row>
    <row r="125" ht="16.5" customHeight="1">
      <c r="A125" s="144"/>
      <c r="B125" s="563"/>
      <c r="C125" s="564"/>
      <c r="D125" s="564"/>
      <c r="E125" s="497"/>
      <c r="F125" s="497"/>
      <c r="G125" s="561"/>
      <c r="H125" s="497"/>
      <c r="I125" s="497"/>
      <c r="J125" s="497"/>
      <c r="K125" s="496"/>
      <c r="L125" s="496"/>
      <c r="M125" s="144"/>
      <c r="N125" s="144"/>
      <c r="O125" s="144"/>
      <c r="P125" s="144"/>
      <c r="Q125" s="144"/>
      <c r="R125" s="144"/>
      <c r="S125" s="144"/>
      <c r="T125" s="144"/>
      <c r="U125" s="144"/>
      <c r="V125" s="144"/>
      <c r="W125" s="144"/>
      <c r="X125" s="144"/>
      <c r="Y125" s="144"/>
      <c r="Z125" s="144"/>
      <c r="AA125" s="144"/>
      <c r="AB125" s="144"/>
      <c r="AC125" s="144"/>
      <c r="AD125" s="144"/>
      <c r="AE125" s="144"/>
      <c r="AF125" s="144"/>
    </row>
    <row r="126" ht="16.5" customHeight="1">
      <c r="A126" s="144"/>
      <c r="B126" s="563"/>
      <c r="C126" s="564"/>
      <c r="D126" s="564"/>
      <c r="E126" s="497"/>
      <c r="F126" s="497"/>
      <c r="G126" s="561"/>
      <c r="H126" s="497"/>
      <c r="I126" s="497"/>
      <c r="J126" s="497"/>
      <c r="K126" s="496"/>
      <c r="L126" s="496"/>
      <c r="M126" s="144"/>
      <c r="N126" s="144"/>
      <c r="O126" s="144"/>
      <c r="P126" s="144"/>
      <c r="Q126" s="144"/>
      <c r="R126" s="144"/>
      <c r="S126" s="144"/>
      <c r="T126" s="144"/>
      <c r="U126" s="144"/>
      <c r="V126" s="144"/>
      <c r="W126" s="144"/>
      <c r="X126" s="144"/>
      <c r="Y126" s="144"/>
      <c r="Z126" s="144"/>
      <c r="AA126" s="144"/>
      <c r="AB126" s="144"/>
      <c r="AC126" s="144"/>
      <c r="AD126" s="144"/>
      <c r="AE126" s="144"/>
      <c r="AF126" s="144"/>
    </row>
    <row r="127" ht="16.5" customHeight="1">
      <c r="A127" s="144"/>
      <c r="B127" s="563"/>
      <c r="C127" s="564"/>
      <c r="D127" s="564"/>
      <c r="E127" s="497"/>
      <c r="F127" s="497"/>
      <c r="G127" s="561"/>
      <c r="H127" s="497"/>
      <c r="I127" s="497"/>
      <c r="J127" s="497"/>
      <c r="K127" s="496"/>
      <c r="L127" s="496"/>
      <c r="M127" s="144"/>
      <c r="N127" s="144"/>
      <c r="O127" s="144"/>
      <c r="P127" s="144"/>
      <c r="Q127" s="144"/>
      <c r="R127" s="144"/>
      <c r="S127" s="144"/>
      <c r="T127" s="144"/>
      <c r="U127" s="144"/>
      <c r="V127" s="144"/>
      <c r="W127" s="144"/>
      <c r="X127" s="144"/>
      <c r="Y127" s="144"/>
      <c r="Z127" s="144"/>
      <c r="AA127" s="144"/>
      <c r="AB127" s="144"/>
      <c r="AC127" s="144"/>
      <c r="AD127" s="144"/>
      <c r="AE127" s="144"/>
      <c r="AF127" s="144"/>
    </row>
    <row r="128" ht="16.5" customHeight="1">
      <c r="A128" s="144"/>
      <c r="B128" s="563"/>
      <c r="C128" s="564"/>
      <c r="D128" s="564"/>
      <c r="E128" s="497"/>
      <c r="F128" s="497"/>
      <c r="G128" s="561"/>
      <c r="H128" s="497"/>
      <c r="I128" s="497"/>
      <c r="J128" s="497"/>
      <c r="K128" s="496"/>
      <c r="L128" s="496"/>
      <c r="M128" s="144"/>
      <c r="N128" s="144"/>
      <c r="O128" s="144"/>
      <c r="P128" s="144"/>
      <c r="Q128" s="144"/>
      <c r="R128" s="144"/>
      <c r="S128" s="144"/>
      <c r="T128" s="144"/>
      <c r="U128" s="144"/>
      <c r="V128" s="144"/>
      <c r="W128" s="144"/>
      <c r="X128" s="144"/>
      <c r="Y128" s="144"/>
      <c r="Z128" s="144"/>
      <c r="AA128" s="144"/>
      <c r="AB128" s="144"/>
      <c r="AC128" s="144"/>
      <c r="AD128" s="144"/>
      <c r="AE128" s="144"/>
      <c r="AF128" s="144"/>
    </row>
    <row r="129" ht="16.5" customHeight="1">
      <c r="A129" s="144"/>
      <c r="B129" s="563"/>
      <c r="C129" s="564"/>
      <c r="D129" s="564"/>
      <c r="E129" s="497"/>
      <c r="F129" s="497"/>
      <c r="G129" s="561"/>
      <c r="H129" s="497"/>
      <c r="I129" s="497"/>
      <c r="J129" s="497"/>
      <c r="K129" s="496"/>
      <c r="L129" s="496"/>
      <c r="M129" s="144"/>
      <c r="N129" s="144"/>
      <c r="O129" s="144"/>
      <c r="P129" s="144"/>
      <c r="Q129" s="144"/>
      <c r="R129" s="144"/>
      <c r="S129" s="144"/>
      <c r="T129" s="144"/>
      <c r="U129" s="144"/>
      <c r="V129" s="144"/>
      <c r="W129" s="144"/>
      <c r="X129" s="144"/>
      <c r="Y129" s="144"/>
      <c r="Z129" s="144"/>
      <c r="AA129" s="144"/>
      <c r="AB129" s="144"/>
      <c r="AC129" s="144"/>
      <c r="AD129" s="144"/>
      <c r="AE129" s="144"/>
      <c r="AF129" s="144"/>
    </row>
    <row r="130" ht="16.5" customHeight="1">
      <c r="A130" s="144"/>
      <c r="B130" s="563"/>
      <c r="C130" s="564"/>
      <c r="D130" s="564"/>
      <c r="E130" s="497"/>
      <c r="F130" s="562"/>
      <c r="G130" s="561"/>
      <c r="H130" s="562"/>
      <c r="I130" s="497"/>
      <c r="J130" s="497"/>
      <c r="K130" s="496"/>
      <c r="L130" s="496"/>
      <c r="M130" s="144"/>
      <c r="N130" s="144"/>
      <c r="O130" s="144"/>
      <c r="P130" s="144"/>
      <c r="Q130" s="144"/>
      <c r="R130" s="144"/>
      <c r="S130" s="144"/>
      <c r="T130" s="144"/>
      <c r="U130" s="144"/>
      <c r="V130" s="144"/>
      <c r="W130" s="144"/>
      <c r="X130" s="144"/>
      <c r="Y130" s="144"/>
      <c r="Z130" s="144"/>
      <c r="AA130" s="144"/>
      <c r="AB130" s="144"/>
      <c r="AC130" s="144"/>
      <c r="AD130" s="144"/>
      <c r="AE130" s="144"/>
      <c r="AF130" s="144"/>
    </row>
    <row r="131" ht="16.5" customHeight="1">
      <c r="A131" s="144"/>
      <c r="B131" s="563"/>
      <c r="C131" s="564"/>
      <c r="D131" s="564"/>
      <c r="E131" s="352"/>
      <c r="F131" s="352"/>
      <c r="G131" s="560"/>
      <c r="H131" s="505"/>
      <c r="I131" s="497"/>
      <c r="J131" s="497"/>
      <c r="K131" s="496"/>
      <c r="L131" s="496"/>
      <c r="M131" s="144"/>
      <c r="N131" s="144"/>
      <c r="O131" s="144"/>
      <c r="P131" s="144"/>
      <c r="Q131" s="144"/>
      <c r="R131" s="144"/>
      <c r="S131" s="144"/>
      <c r="T131" s="144"/>
      <c r="U131" s="144"/>
      <c r="V131" s="144"/>
      <c r="W131" s="144"/>
      <c r="X131" s="144"/>
      <c r="Y131" s="144"/>
      <c r="Z131" s="144"/>
      <c r="AA131" s="144"/>
      <c r="AB131" s="144"/>
      <c r="AC131" s="144"/>
      <c r="AD131" s="144"/>
      <c r="AE131" s="144"/>
      <c r="AF131" s="144"/>
    </row>
    <row r="132" ht="16.5" customHeight="1">
      <c r="A132" s="144"/>
      <c r="B132" s="563"/>
      <c r="C132" s="564"/>
      <c r="D132" s="564"/>
      <c r="E132" s="352"/>
      <c r="F132" s="352"/>
      <c r="G132" s="560"/>
      <c r="H132" s="352"/>
      <c r="I132" s="497"/>
      <c r="J132" s="497"/>
      <c r="K132" s="496"/>
      <c r="L132" s="496"/>
      <c r="M132" s="144"/>
      <c r="N132" s="144"/>
      <c r="O132" s="144"/>
      <c r="P132" s="144"/>
      <c r="Q132" s="144"/>
      <c r="R132" s="144"/>
      <c r="S132" s="144"/>
      <c r="T132" s="144"/>
      <c r="U132" s="144"/>
      <c r="V132" s="144"/>
      <c r="W132" s="144"/>
      <c r="X132" s="144"/>
      <c r="Y132" s="144"/>
      <c r="Z132" s="144"/>
      <c r="AA132" s="144"/>
      <c r="AB132" s="144"/>
      <c r="AC132" s="144"/>
      <c r="AD132" s="144"/>
      <c r="AE132" s="144"/>
      <c r="AF132" s="144"/>
    </row>
    <row r="133" ht="16.5" customHeight="1">
      <c r="A133" s="144"/>
      <c r="B133" s="563"/>
      <c r="C133" s="564"/>
      <c r="D133" s="564"/>
      <c r="E133" s="352"/>
      <c r="F133" s="352"/>
      <c r="G133" s="560"/>
      <c r="H133" s="352"/>
      <c r="I133" s="497"/>
      <c r="J133" s="497"/>
      <c r="K133" s="496"/>
      <c r="L133" s="496"/>
      <c r="M133" s="144"/>
      <c r="N133" s="144"/>
      <c r="O133" s="144"/>
      <c r="P133" s="144"/>
      <c r="Q133" s="144"/>
      <c r="R133" s="144"/>
      <c r="S133" s="144"/>
      <c r="T133" s="144"/>
      <c r="U133" s="144"/>
      <c r="V133" s="144"/>
      <c r="W133" s="144"/>
      <c r="X133" s="144"/>
      <c r="Y133" s="144"/>
      <c r="Z133" s="144"/>
      <c r="AA133" s="144"/>
      <c r="AB133" s="144"/>
      <c r="AC133" s="144"/>
      <c r="AD133" s="144"/>
      <c r="AE133" s="144"/>
      <c r="AF133" s="144"/>
    </row>
    <row r="134" ht="16.5" customHeight="1">
      <c r="A134" s="144"/>
      <c r="B134" s="559"/>
      <c r="C134" s="352"/>
      <c r="D134" s="352"/>
      <c r="E134" s="352"/>
      <c r="F134" s="352"/>
      <c r="G134" s="560"/>
      <c r="H134" s="352"/>
      <c r="I134" s="497"/>
      <c r="J134" s="497"/>
      <c r="K134" s="496"/>
      <c r="L134" s="496"/>
      <c r="M134" s="144"/>
      <c r="N134" s="144"/>
      <c r="O134" s="144"/>
      <c r="P134" s="144"/>
      <c r="Q134" s="144"/>
      <c r="R134" s="144"/>
      <c r="S134" s="144"/>
      <c r="T134" s="144"/>
      <c r="U134" s="144"/>
      <c r="V134" s="144"/>
      <c r="W134" s="144"/>
      <c r="X134" s="144"/>
      <c r="Y134" s="144"/>
      <c r="Z134" s="144"/>
      <c r="AA134" s="144"/>
      <c r="AB134" s="144"/>
      <c r="AC134" s="144"/>
      <c r="AD134" s="144"/>
      <c r="AE134" s="144"/>
      <c r="AF134" s="144"/>
    </row>
    <row r="135" ht="16.5" customHeight="1">
      <c r="A135" s="144"/>
      <c r="B135" s="559"/>
      <c r="C135" s="352"/>
      <c r="D135" s="352"/>
      <c r="E135" s="352"/>
      <c r="F135" s="352"/>
      <c r="G135" s="560"/>
      <c r="H135" s="352"/>
      <c r="I135" s="497"/>
      <c r="J135" s="497"/>
      <c r="K135" s="496"/>
      <c r="L135" s="496"/>
      <c r="M135" s="144"/>
      <c r="N135" s="144"/>
      <c r="O135" s="144"/>
      <c r="P135" s="144"/>
      <c r="Q135" s="144"/>
      <c r="R135" s="144"/>
      <c r="S135" s="144"/>
      <c r="T135" s="144"/>
      <c r="U135" s="144"/>
      <c r="V135" s="144"/>
      <c r="W135" s="144"/>
      <c r="X135" s="144"/>
      <c r="Y135" s="144"/>
      <c r="Z135" s="144"/>
      <c r="AA135" s="144"/>
      <c r="AB135" s="144"/>
      <c r="AC135" s="144"/>
      <c r="AD135" s="144"/>
      <c r="AE135" s="144"/>
      <c r="AF135" s="144"/>
    </row>
    <row r="136" ht="16.5" customHeight="1">
      <c r="A136" s="144"/>
      <c r="B136" s="559"/>
      <c r="C136" s="352"/>
      <c r="D136" s="352"/>
      <c r="E136" s="352"/>
      <c r="F136" s="352"/>
      <c r="G136" s="560"/>
      <c r="H136" s="352"/>
      <c r="I136" s="497"/>
      <c r="J136" s="497"/>
      <c r="K136" s="496"/>
      <c r="L136" s="496"/>
      <c r="M136" s="144"/>
      <c r="N136" s="144"/>
      <c r="O136" s="144"/>
      <c r="P136" s="144"/>
      <c r="Q136" s="144"/>
      <c r="R136" s="144"/>
      <c r="S136" s="144"/>
      <c r="T136" s="144"/>
      <c r="U136" s="144"/>
      <c r="V136" s="144"/>
      <c r="W136" s="144"/>
      <c r="X136" s="144"/>
      <c r="Y136" s="144"/>
      <c r="Z136" s="144"/>
      <c r="AA136" s="144"/>
      <c r="AB136" s="144"/>
      <c r="AC136" s="144"/>
      <c r="AD136" s="144"/>
      <c r="AE136" s="144"/>
      <c r="AF136" s="144"/>
    </row>
    <row r="137" ht="16.5" customHeight="1">
      <c r="A137" s="144"/>
      <c r="B137" s="559"/>
      <c r="C137" s="352"/>
      <c r="D137" s="352"/>
      <c r="E137" s="352"/>
      <c r="F137" s="352"/>
      <c r="G137" s="560"/>
      <c r="H137" s="352"/>
      <c r="I137" s="497"/>
      <c r="J137" s="497"/>
      <c r="K137" s="496"/>
      <c r="L137" s="496"/>
      <c r="M137" s="144"/>
      <c r="N137" s="144"/>
      <c r="O137" s="144"/>
      <c r="P137" s="144"/>
      <c r="Q137" s="144"/>
      <c r="R137" s="144"/>
      <c r="S137" s="144"/>
      <c r="T137" s="144"/>
      <c r="U137" s="144"/>
      <c r="V137" s="144"/>
      <c r="W137" s="144"/>
      <c r="X137" s="144"/>
      <c r="Y137" s="144"/>
      <c r="Z137" s="144"/>
      <c r="AA137" s="144"/>
      <c r="AB137" s="144"/>
      <c r="AC137" s="144"/>
      <c r="AD137" s="144"/>
      <c r="AE137" s="144"/>
      <c r="AF137" s="144"/>
    </row>
    <row r="138" ht="16.5" customHeight="1">
      <c r="A138" s="144"/>
      <c r="B138" s="559"/>
      <c r="C138" s="352"/>
      <c r="D138" s="352"/>
      <c r="E138" s="352"/>
      <c r="F138" s="505"/>
      <c r="G138" s="560"/>
      <c r="H138" s="505"/>
      <c r="I138" s="497"/>
      <c r="J138" s="497"/>
      <c r="K138" s="496"/>
      <c r="L138" s="496"/>
      <c r="M138" s="144"/>
      <c r="N138" s="144"/>
      <c r="O138" s="144"/>
      <c r="P138" s="144"/>
      <c r="Q138" s="144"/>
      <c r="R138" s="144"/>
      <c r="S138" s="144"/>
      <c r="T138" s="144"/>
      <c r="U138" s="144"/>
      <c r="V138" s="144"/>
      <c r="W138" s="144"/>
      <c r="X138" s="144"/>
      <c r="Y138" s="144"/>
      <c r="Z138" s="144"/>
      <c r="AA138" s="144"/>
      <c r="AB138" s="144"/>
      <c r="AC138" s="144"/>
      <c r="AD138" s="144"/>
      <c r="AE138" s="144"/>
      <c r="AF138" s="144"/>
    </row>
    <row r="139" ht="16.5" customHeight="1">
      <c r="A139" s="144"/>
      <c r="B139" s="559"/>
      <c r="C139" s="352"/>
      <c r="D139" s="352"/>
      <c r="E139" s="352"/>
      <c r="F139" s="352"/>
      <c r="G139" s="560"/>
      <c r="H139" s="505"/>
      <c r="I139" s="352"/>
      <c r="J139" s="497"/>
      <c r="K139" s="496"/>
      <c r="L139" s="496"/>
      <c r="M139" s="144"/>
      <c r="N139" s="144"/>
      <c r="O139" s="144"/>
      <c r="P139" s="144"/>
      <c r="Q139" s="144"/>
      <c r="R139" s="144"/>
      <c r="S139" s="144"/>
      <c r="T139" s="144"/>
      <c r="U139" s="144"/>
      <c r="V139" s="144"/>
      <c r="W139" s="144"/>
      <c r="X139" s="144"/>
      <c r="Y139" s="144"/>
      <c r="Z139" s="144"/>
      <c r="AA139" s="144"/>
      <c r="AB139" s="144"/>
      <c r="AC139" s="144"/>
      <c r="AD139" s="144"/>
      <c r="AE139" s="144"/>
      <c r="AF139" s="144"/>
    </row>
    <row r="140" ht="16.5" customHeight="1">
      <c r="A140" s="144"/>
      <c r="B140" s="559"/>
      <c r="C140" s="352"/>
      <c r="D140" s="352"/>
      <c r="E140" s="352"/>
      <c r="F140" s="352"/>
      <c r="G140" s="560"/>
      <c r="H140" s="352"/>
      <c r="I140" s="352"/>
      <c r="J140" s="497"/>
      <c r="K140" s="496"/>
      <c r="L140" s="496"/>
      <c r="M140" s="144"/>
      <c r="N140" s="144"/>
      <c r="O140" s="144"/>
      <c r="P140" s="144"/>
      <c r="Q140" s="144"/>
      <c r="R140" s="144"/>
      <c r="S140" s="144"/>
      <c r="T140" s="144"/>
      <c r="U140" s="144"/>
      <c r="V140" s="144"/>
      <c r="W140" s="144"/>
      <c r="X140" s="144"/>
      <c r="Y140" s="144"/>
      <c r="Z140" s="144"/>
      <c r="AA140" s="144"/>
      <c r="AB140" s="144"/>
      <c r="AC140" s="144"/>
      <c r="AD140" s="144"/>
      <c r="AE140" s="144"/>
      <c r="AF140" s="144"/>
    </row>
    <row r="141" ht="16.5" customHeight="1">
      <c r="A141" s="144"/>
      <c r="B141" s="559"/>
      <c r="C141" s="346"/>
      <c r="D141" s="346"/>
      <c r="E141" s="352"/>
      <c r="F141" s="352"/>
      <c r="G141" s="560"/>
      <c r="H141" s="352"/>
      <c r="I141" s="497"/>
      <c r="J141" s="497"/>
      <c r="K141" s="496"/>
      <c r="L141" s="496"/>
      <c r="M141" s="144"/>
      <c r="N141" s="144"/>
      <c r="O141" s="144"/>
      <c r="P141" s="144"/>
      <c r="Q141" s="144"/>
      <c r="R141" s="144"/>
      <c r="S141" s="144"/>
      <c r="T141" s="144"/>
      <c r="U141" s="144"/>
      <c r="V141" s="144"/>
      <c r="W141" s="144"/>
      <c r="X141" s="144"/>
      <c r="Y141" s="144"/>
      <c r="Z141" s="144"/>
      <c r="AA141" s="144"/>
      <c r="AB141" s="144"/>
      <c r="AC141" s="144"/>
      <c r="AD141" s="144"/>
      <c r="AE141" s="144"/>
      <c r="AF141" s="144"/>
    </row>
    <row r="142" ht="16.5" customHeight="1">
      <c r="A142" s="144"/>
      <c r="B142" s="559"/>
      <c r="C142" s="346"/>
      <c r="D142" s="346"/>
      <c r="E142" s="352"/>
      <c r="F142" s="352"/>
      <c r="G142" s="560"/>
      <c r="H142" s="352"/>
      <c r="I142" s="497"/>
      <c r="J142" s="497"/>
      <c r="K142" s="496"/>
      <c r="L142" s="496"/>
      <c r="M142" s="144"/>
      <c r="N142" s="144"/>
      <c r="O142" s="144"/>
      <c r="P142" s="144"/>
      <c r="Q142" s="144"/>
      <c r="R142" s="144"/>
      <c r="S142" s="144"/>
      <c r="T142" s="144"/>
      <c r="U142" s="144"/>
      <c r="V142" s="144"/>
      <c r="W142" s="144"/>
      <c r="X142" s="144"/>
      <c r="Y142" s="144"/>
      <c r="Z142" s="144"/>
      <c r="AA142" s="144"/>
      <c r="AB142" s="144"/>
      <c r="AC142" s="144"/>
      <c r="AD142" s="144"/>
      <c r="AE142" s="144"/>
      <c r="AF142" s="144"/>
    </row>
    <row r="143" ht="16.5" customHeight="1">
      <c r="A143" s="144"/>
      <c r="B143" s="559"/>
      <c r="C143" s="346"/>
      <c r="D143" s="346"/>
      <c r="E143" s="352"/>
      <c r="F143" s="352"/>
      <c r="G143" s="560"/>
      <c r="H143" s="352"/>
      <c r="I143" s="497"/>
      <c r="J143" s="497"/>
      <c r="K143" s="496"/>
      <c r="L143" s="496"/>
      <c r="M143" s="144"/>
      <c r="N143" s="144"/>
      <c r="O143" s="144"/>
      <c r="P143" s="144"/>
      <c r="Q143" s="144"/>
      <c r="R143" s="144"/>
      <c r="S143" s="144"/>
      <c r="T143" s="144"/>
      <c r="U143" s="144"/>
      <c r="V143" s="144"/>
      <c r="W143" s="144"/>
      <c r="X143" s="144"/>
      <c r="Y143" s="144"/>
      <c r="Z143" s="144"/>
      <c r="AA143" s="144"/>
      <c r="AB143" s="144"/>
      <c r="AC143" s="144"/>
      <c r="AD143" s="144"/>
      <c r="AE143" s="144"/>
      <c r="AF143" s="144"/>
    </row>
    <row r="144" ht="16.5" customHeight="1">
      <c r="A144" s="144"/>
      <c r="B144" s="559"/>
      <c r="C144" s="346"/>
      <c r="D144" s="346"/>
      <c r="E144" s="352"/>
      <c r="F144" s="352"/>
      <c r="G144" s="560"/>
      <c r="H144" s="352"/>
      <c r="I144" s="497"/>
      <c r="J144" s="497"/>
      <c r="K144" s="496"/>
      <c r="L144" s="496"/>
      <c r="M144" s="144"/>
      <c r="N144" s="144"/>
      <c r="O144" s="144"/>
      <c r="P144" s="144"/>
      <c r="Q144" s="144"/>
      <c r="R144" s="144"/>
      <c r="S144" s="144"/>
      <c r="T144" s="144"/>
      <c r="U144" s="144"/>
      <c r="V144" s="144"/>
      <c r="W144" s="144"/>
      <c r="X144" s="144"/>
      <c r="Y144" s="144"/>
      <c r="Z144" s="144"/>
      <c r="AA144" s="144"/>
      <c r="AB144" s="144"/>
      <c r="AC144" s="144"/>
      <c r="AD144" s="144"/>
      <c r="AE144" s="144"/>
      <c r="AF144" s="144"/>
    </row>
    <row r="145" ht="16.5" customHeight="1">
      <c r="A145" s="144"/>
      <c r="B145" s="559"/>
      <c r="C145" s="346"/>
      <c r="D145" s="346"/>
      <c r="E145" s="352"/>
      <c r="F145" s="505"/>
      <c r="G145" s="560"/>
      <c r="H145" s="505"/>
      <c r="I145" s="497"/>
      <c r="J145" s="497"/>
      <c r="K145" s="496"/>
      <c r="L145" s="496"/>
      <c r="M145" s="144"/>
      <c r="N145" s="144"/>
      <c r="O145" s="144"/>
      <c r="P145" s="144"/>
      <c r="Q145" s="144"/>
      <c r="R145" s="144"/>
      <c r="S145" s="144"/>
      <c r="T145" s="144"/>
      <c r="U145" s="144"/>
      <c r="V145" s="144"/>
      <c r="W145" s="144"/>
      <c r="X145" s="144"/>
      <c r="Y145" s="144"/>
      <c r="Z145" s="144"/>
      <c r="AA145" s="144"/>
      <c r="AB145" s="144"/>
      <c r="AC145" s="144"/>
      <c r="AD145" s="144"/>
      <c r="AE145" s="144"/>
      <c r="AF145" s="144"/>
    </row>
    <row r="146" ht="16.5" customHeight="1">
      <c r="A146" s="144"/>
      <c r="B146" s="559"/>
      <c r="C146" s="346"/>
      <c r="D146" s="346"/>
      <c r="E146" s="352"/>
      <c r="F146" s="352"/>
      <c r="G146" s="560"/>
      <c r="H146" s="505"/>
      <c r="I146" s="497"/>
      <c r="J146" s="497"/>
      <c r="K146" s="496"/>
      <c r="L146" s="496"/>
      <c r="M146" s="144"/>
      <c r="N146" s="144"/>
      <c r="O146" s="144"/>
      <c r="P146" s="144"/>
      <c r="Q146" s="144"/>
      <c r="R146" s="144"/>
      <c r="S146" s="144"/>
      <c r="T146" s="144"/>
      <c r="U146" s="144"/>
      <c r="V146" s="144"/>
      <c r="W146" s="144"/>
      <c r="X146" s="144"/>
      <c r="Y146" s="144"/>
      <c r="Z146" s="144"/>
      <c r="AA146" s="144"/>
      <c r="AB146" s="144"/>
      <c r="AC146" s="144"/>
      <c r="AD146" s="144"/>
      <c r="AE146" s="144"/>
      <c r="AF146" s="144"/>
    </row>
    <row r="147" ht="16.5" customHeight="1">
      <c r="A147" s="144"/>
      <c r="B147" s="559"/>
      <c r="C147" s="346"/>
      <c r="D147" s="346"/>
      <c r="E147" s="352"/>
      <c r="F147" s="352"/>
      <c r="G147" s="560"/>
      <c r="H147" s="352"/>
      <c r="I147" s="352"/>
      <c r="J147" s="497"/>
      <c r="K147" s="496"/>
      <c r="L147" s="496"/>
      <c r="M147" s="144"/>
      <c r="N147" s="144"/>
      <c r="O147" s="144"/>
      <c r="P147" s="144"/>
      <c r="Q147" s="144"/>
      <c r="R147" s="144"/>
      <c r="S147" s="144"/>
      <c r="T147" s="144"/>
      <c r="U147" s="144"/>
      <c r="V147" s="144"/>
      <c r="W147" s="144"/>
      <c r="X147" s="144"/>
      <c r="Y147" s="144"/>
      <c r="Z147" s="144"/>
      <c r="AA147" s="144"/>
      <c r="AB147" s="144"/>
      <c r="AC147" s="144"/>
      <c r="AD147" s="144"/>
      <c r="AE147" s="144"/>
      <c r="AF147" s="144"/>
    </row>
    <row r="148" ht="16.5" customHeight="1">
      <c r="A148" s="144"/>
      <c r="B148" s="559"/>
      <c r="C148" s="346"/>
      <c r="D148" s="346"/>
      <c r="E148" s="352"/>
      <c r="F148" s="352"/>
      <c r="G148" s="560"/>
      <c r="H148" s="352"/>
      <c r="I148" s="352"/>
      <c r="J148" s="497"/>
      <c r="K148" s="496"/>
      <c r="L148" s="496"/>
      <c r="M148" s="144"/>
      <c r="N148" s="144"/>
      <c r="O148" s="144"/>
      <c r="P148" s="144"/>
      <c r="Q148" s="144"/>
      <c r="R148" s="144"/>
      <c r="S148" s="144"/>
      <c r="T148" s="144"/>
      <c r="U148" s="144"/>
      <c r="V148" s="144"/>
      <c r="W148" s="144"/>
      <c r="X148" s="144"/>
      <c r="Y148" s="144"/>
      <c r="Z148" s="144"/>
      <c r="AA148" s="144"/>
      <c r="AB148" s="144"/>
      <c r="AC148" s="144"/>
      <c r="AD148" s="144"/>
      <c r="AE148" s="144"/>
      <c r="AF148" s="144"/>
    </row>
    <row r="149" ht="16.5" customHeight="1">
      <c r="A149" s="144"/>
      <c r="B149" s="559"/>
      <c r="C149" s="346"/>
      <c r="D149" s="346"/>
      <c r="E149" s="352"/>
      <c r="F149" s="352"/>
      <c r="G149" s="560"/>
      <c r="H149" s="352"/>
      <c r="I149" s="497"/>
      <c r="J149" s="497"/>
      <c r="K149" s="496"/>
      <c r="L149" s="496"/>
      <c r="M149" s="144"/>
      <c r="N149" s="144"/>
      <c r="O149" s="144"/>
      <c r="P149" s="144"/>
      <c r="Q149" s="144"/>
      <c r="R149" s="144"/>
      <c r="S149" s="144"/>
      <c r="T149" s="144"/>
      <c r="U149" s="144"/>
      <c r="V149" s="144"/>
      <c r="W149" s="144"/>
      <c r="X149" s="144"/>
      <c r="Y149" s="144"/>
      <c r="Z149" s="144"/>
      <c r="AA149" s="144"/>
      <c r="AB149" s="144"/>
      <c r="AC149" s="144"/>
      <c r="AD149" s="144"/>
      <c r="AE149" s="144"/>
      <c r="AF149" s="144"/>
    </row>
    <row r="150" ht="16.5" customHeight="1">
      <c r="A150" s="144"/>
      <c r="B150" s="559"/>
      <c r="C150" s="346"/>
      <c r="D150" s="346"/>
      <c r="E150" s="352"/>
      <c r="F150" s="352"/>
      <c r="G150" s="560"/>
      <c r="H150" s="352"/>
      <c r="I150" s="497"/>
      <c r="J150" s="497"/>
      <c r="K150" s="496"/>
      <c r="L150" s="496"/>
      <c r="M150" s="144"/>
      <c r="N150" s="144"/>
      <c r="O150" s="144"/>
      <c r="P150" s="144"/>
      <c r="Q150" s="144"/>
      <c r="R150" s="144"/>
      <c r="S150" s="144"/>
      <c r="T150" s="144"/>
      <c r="U150" s="144"/>
      <c r="V150" s="144"/>
      <c r="W150" s="144"/>
      <c r="X150" s="144"/>
      <c r="Y150" s="144"/>
      <c r="Z150" s="144"/>
      <c r="AA150" s="144"/>
      <c r="AB150" s="144"/>
      <c r="AC150" s="144"/>
      <c r="AD150" s="144"/>
      <c r="AE150" s="144"/>
      <c r="AF150" s="144"/>
    </row>
    <row r="151" ht="16.5" customHeight="1">
      <c r="A151" s="144"/>
      <c r="B151" s="559"/>
      <c r="C151" s="346"/>
      <c r="D151" s="346"/>
      <c r="E151" s="352"/>
      <c r="F151" s="352"/>
      <c r="G151" s="560"/>
      <c r="H151" s="352"/>
      <c r="I151" s="497"/>
      <c r="J151" s="497"/>
      <c r="K151" s="496"/>
      <c r="L151" s="496"/>
      <c r="M151" s="144"/>
      <c r="N151" s="144"/>
      <c r="O151" s="144"/>
      <c r="P151" s="144"/>
      <c r="Q151" s="144"/>
      <c r="R151" s="144"/>
      <c r="S151" s="144"/>
      <c r="T151" s="144"/>
      <c r="U151" s="144"/>
      <c r="V151" s="144"/>
      <c r="W151" s="144"/>
      <c r="X151" s="144"/>
      <c r="Y151" s="144"/>
      <c r="Z151" s="144"/>
      <c r="AA151" s="144"/>
      <c r="AB151" s="144"/>
      <c r="AC151" s="144"/>
      <c r="AD151" s="144"/>
      <c r="AE151" s="144"/>
      <c r="AF151" s="144"/>
    </row>
    <row r="152" ht="16.5" customHeight="1">
      <c r="A152" s="144"/>
      <c r="B152" s="559"/>
      <c r="C152" s="346"/>
      <c r="D152" s="346"/>
      <c r="E152" s="352"/>
      <c r="F152" s="352"/>
      <c r="G152" s="560"/>
      <c r="H152" s="352"/>
      <c r="I152" s="497"/>
      <c r="J152" s="497"/>
      <c r="K152" s="496"/>
      <c r="L152" s="496"/>
      <c r="M152" s="144"/>
      <c r="N152" s="144"/>
      <c r="O152" s="144"/>
      <c r="P152" s="144"/>
      <c r="Q152" s="144"/>
      <c r="R152" s="144"/>
      <c r="S152" s="144"/>
      <c r="T152" s="144"/>
      <c r="U152" s="144"/>
      <c r="V152" s="144"/>
      <c r="W152" s="144"/>
      <c r="X152" s="144"/>
      <c r="Y152" s="144"/>
      <c r="Z152" s="144"/>
      <c r="AA152" s="144"/>
      <c r="AB152" s="144"/>
      <c r="AC152" s="144"/>
      <c r="AD152" s="144"/>
      <c r="AE152" s="144"/>
      <c r="AF152" s="144"/>
    </row>
    <row r="153" ht="16.5" customHeight="1">
      <c r="A153" s="144"/>
      <c r="B153" s="559"/>
      <c r="C153" s="346"/>
      <c r="D153" s="346"/>
      <c r="E153" s="352"/>
      <c r="F153" s="505"/>
      <c r="G153" s="560"/>
      <c r="H153" s="505"/>
      <c r="I153" s="497"/>
      <c r="J153" s="497"/>
      <c r="K153" s="496"/>
      <c r="L153" s="496"/>
      <c r="M153" s="144"/>
      <c r="N153" s="144"/>
      <c r="O153" s="144"/>
      <c r="P153" s="144"/>
      <c r="Q153" s="144"/>
      <c r="R153" s="144"/>
      <c r="S153" s="144"/>
      <c r="T153" s="144"/>
      <c r="U153" s="144"/>
      <c r="V153" s="144"/>
      <c r="W153" s="144"/>
      <c r="X153" s="144"/>
      <c r="Y153" s="144"/>
      <c r="Z153" s="144"/>
      <c r="AA153" s="144"/>
      <c r="AB153" s="144"/>
      <c r="AC153" s="144"/>
      <c r="AD153" s="144"/>
      <c r="AE153" s="144"/>
      <c r="AF153" s="144"/>
    </row>
    <row r="154" ht="16.5" customHeight="1">
      <c r="A154" s="144"/>
      <c r="B154" s="559"/>
      <c r="C154" s="346"/>
      <c r="D154" s="346"/>
      <c r="E154" s="352"/>
      <c r="F154" s="352"/>
      <c r="G154" s="560"/>
      <c r="H154" s="505"/>
      <c r="I154" s="497"/>
      <c r="J154" s="497"/>
      <c r="K154" s="496"/>
      <c r="L154" s="496"/>
      <c r="M154" s="144"/>
      <c r="N154" s="144"/>
      <c r="O154" s="144"/>
      <c r="P154" s="144"/>
      <c r="Q154" s="144"/>
      <c r="R154" s="144"/>
      <c r="S154" s="144"/>
      <c r="T154" s="144"/>
      <c r="U154" s="144"/>
      <c r="V154" s="144"/>
      <c r="W154" s="144"/>
      <c r="X154" s="144"/>
      <c r="Y154" s="144"/>
      <c r="Z154" s="144"/>
      <c r="AA154" s="144"/>
      <c r="AB154" s="144"/>
      <c r="AC154" s="144"/>
      <c r="AD154" s="144"/>
      <c r="AE154" s="144"/>
      <c r="AF154" s="144"/>
    </row>
    <row r="155" ht="16.5" customHeight="1">
      <c r="A155" s="144"/>
      <c r="B155" s="559"/>
      <c r="C155" s="346"/>
      <c r="D155" s="346"/>
      <c r="E155" s="352"/>
      <c r="F155" s="352"/>
      <c r="G155" s="560"/>
      <c r="H155" s="352"/>
      <c r="I155" s="352"/>
      <c r="J155" s="497"/>
      <c r="K155" s="496"/>
      <c r="L155" s="496"/>
      <c r="M155" s="144"/>
      <c r="N155" s="144"/>
      <c r="O155" s="144"/>
      <c r="P155" s="144"/>
      <c r="Q155" s="144"/>
      <c r="R155" s="144"/>
      <c r="S155" s="144"/>
      <c r="T155" s="144"/>
      <c r="U155" s="144"/>
      <c r="V155" s="144"/>
      <c r="W155" s="144"/>
      <c r="X155" s="144"/>
      <c r="Y155" s="144"/>
      <c r="Z155" s="144"/>
      <c r="AA155" s="144"/>
      <c r="AB155" s="144"/>
      <c r="AC155" s="144"/>
      <c r="AD155" s="144"/>
      <c r="AE155" s="144"/>
      <c r="AF155" s="144"/>
    </row>
    <row r="156" ht="16.5" customHeight="1">
      <c r="A156" s="144"/>
      <c r="B156" s="559"/>
      <c r="C156" s="346"/>
      <c r="D156" s="346"/>
      <c r="E156" s="352"/>
      <c r="F156" s="352"/>
      <c r="G156" s="560"/>
      <c r="H156" s="352"/>
      <c r="I156" s="352"/>
      <c r="J156" s="497"/>
      <c r="K156" s="496"/>
      <c r="L156" s="496"/>
      <c r="M156" s="144"/>
      <c r="N156" s="144"/>
      <c r="O156" s="144"/>
      <c r="P156" s="144"/>
      <c r="Q156" s="144"/>
      <c r="R156" s="144"/>
      <c r="S156" s="144"/>
      <c r="T156" s="144"/>
      <c r="U156" s="144"/>
      <c r="V156" s="144"/>
      <c r="W156" s="144"/>
      <c r="X156" s="144"/>
      <c r="Y156" s="144"/>
      <c r="Z156" s="144"/>
      <c r="AA156" s="144"/>
      <c r="AB156" s="144"/>
      <c r="AC156" s="144"/>
      <c r="AD156" s="144"/>
      <c r="AE156" s="144"/>
      <c r="AF156" s="144"/>
    </row>
    <row r="157" ht="16.5" customHeight="1">
      <c r="A157" s="144"/>
      <c r="B157" s="559"/>
      <c r="C157" s="352"/>
      <c r="D157" s="352"/>
      <c r="E157" s="352"/>
      <c r="F157" s="352"/>
      <c r="G157" s="560"/>
      <c r="H157" s="352"/>
      <c r="I157" s="497"/>
      <c r="J157" s="497"/>
      <c r="K157" s="496"/>
      <c r="L157" s="496"/>
      <c r="M157" s="144"/>
      <c r="N157" s="144"/>
      <c r="O157" s="144"/>
      <c r="P157" s="144"/>
      <c r="Q157" s="144"/>
      <c r="R157" s="144"/>
      <c r="S157" s="144"/>
      <c r="T157" s="144"/>
      <c r="U157" s="144"/>
      <c r="V157" s="144"/>
      <c r="W157" s="144"/>
      <c r="X157" s="144"/>
      <c r="Y157" s="144"/>
      <c r="Z157" s="144"/>
      <c r="AA157" s="144"/>
      <c r="AB157" s="144"/>
      <c r="AC157" s="144"/>
      <c r="AD157" s="144"/>
      <c r="AE157" s="144"/>
      <c r="AF157" s="144"/>
    </row>
    <row r="158" ht="16.5" customHeight="1">
      <c r="A158" s="144"/>
      <c r="B158" s="559"/>
      <c r="C158" s="352"/>
      <c r="D158" s="352"/>
      <c r="E158" s="352"/>
      <c r="F158" s="352"/>
      <c r="G158" s="560"/>
      <c r="H158" s="352"/>
      <c r="I158" s="497"/>
      <c r="J158" s="497"/>
      <c r="K158" s="496"/>
      <c r="L158" s="496"/>
      <c r="M158" s="144"/>
      <c r="N158" s="144"/>
      <c r="O158" s="144"/>
      <c r="P158" s="144"/>
      <c r="Q158" s="144"/>
      <c r="R158" s="144"/>
      <c r="S158" s="144"/>
      <c r="T158" s="144"/>
      <c r="U158" s="144"/>
      <c r="V158" s="144"/>
      <c r="W158" s="144"/>
      <c r="X158" s="144"/>
      <c r="Y158" s="144"/>
      <c r="Z158" s="144"/>
      <c r="AA158" s="144"/>
      <c r="AB158" s="144"/>
      <c r="AC158" s="144"/>
      <c r="AD158" s="144"/>
      <c r="AE158" s="144"/>
      <c r="AF158" s="144"/>
    </row>
    <row r="159" ht="16.5" customHeight="1">
      <c r="A159" s="144"/>
      <c r="B159" s="559"/>
      <c r="C159" s="352"/>
      <c r="D159" s="352"/>
      <c r="E159" s="352"/>
      <c r="F159" s="352"/>
      <c r="G159" s="560"/>
      <c r="H159" s="352"/>
      <c r="I159" s="497"/>
      <c r="J159" s="497"/>
      <c r="K159" s="496"/>
      <c r="L159" s="496"/>
      <c r="M159" s="144"/>
      <c r="N159" s="144"/>
      <c r="O159" s="144"/>
      <c r="P159" s="144"/>
      <c r="Q159" s="144"/>
      <c r="R159" s="144"/>
      <c r="S159" s="144"/>
      <c r="T159" s="144"/>
      <c r="U159" s="144"/>
      <c r="V159" s="144"/>
      <c r="W159" s="144"/>
      <c r="X159" s="144"/>
      <c r="Y159" s="144"/>
      <c r="Z159" s="144"/>
      <c r="AA159" s="144"/>
      <c r="AB159" s="144"/>
      <c r="AC159" s="144"/>
      <c r="AD159" s="144"/>
      <c r="AE159" s="144"/>
      <c r="AF159" s="144"/>
    </row>
    <row r="160" ht="16.5" customHeight="1">
      <c r="A160" s="144"/>
      <c r="B160" s="559"/>
      <c r="C160" s="352"/>
      <c r="D160" s="352"/>
      <c r="E160" s="352"/>
      <c r="F160" s="352"/>
      <c r="G160" s="560"/>
      <c r="H160" s="352"/>
      <c r="I160" s="497"/>
      <c r="J160" s="497"/>
      <c r="K160" s="496"/>
      <c r="L160" s="496"/>
      <c r="M160" s="144"/>
      <c r="N160" s="144"/>
      <c r="O160" s="144"/>
      <c r="P160" s="144"/>
      <c r="Q160" s="144"/>
      <c r="R160" s="144"/>
      <c r="S160" s="144"/>
      <c r="T160" s="144"/>
      <c r="U160" s="144"/>
      <c r="V160" s="144"/>
      <c r="W160" s="144"/>
      <c r="X160" s="144"/>
      <c r="Y160" s="144"/>
      <c r="Z160" s="144"/>
      <c r="AA160" s="144"/>
      <c r="AB160" s="144"/>
      <c r="AC160" s="144"/>
      <c r="AD160" s="144"/>
      <c r="AE160" s="144"/>
      <c r="AF160" s="144"/>
    </row>
    <row r="161" ht="16.5" customHeight="1">
      <c r="A161" s="144"/>
      <c r="B161" s="559"/>
      <c r="C161" s="352"/>
      <c r="D161" s="352"/>
      <c r="E161" s="352"/>
      <c r="F161" s="505"/>
      <c r="G161" s="560"/>
      <c r="H161" s="505"/>
      <c r="I161" s="497"/>
      <c r="J161" s="497"/>
      <c r="K161" s="496"/>
      <c r="L161" s="496"/>
      <c r="M161" s="144"/>
      <c r="N161" s="144"/>
      <c r="O161" s="144"/>
      <c r="P161" s="144"/>
      <c r="Q161" s="144"/>
      <c r="R161" s="144"/>
      <c r="S161" s="144"/>
      <c r="T161" s="144"/>
      <c r="U161" s="144"/>
      <c r="V161" s="144"/>
      <c r="W161" s="144"/>
      <c r="X161" s="144"/>
      <c r="Y161" s="144"/>
      <c r="Z161" s="144"/>
      <c r="AA161" s="144"/>
      <c r="AB161" s="144"/>
      <c r="AC161" s="144"/>
      <c r="AD161" s="144"/>
      <c r="AE161" s="144"/>
      <c r="AF161" s="144"/>
    </row>
    <row r="162" ht="16.5" customHeight="1">
      <c r="A162" s="144"/>
      <c r="B162" s="559"/>
      <c r="C162" s="352"/>
      <c r="D162" s="352"/>
      <c r="E162" s="352"/>
      <c r="F162" s="352"/>
      <c r="G162" s="560"/>
      <c r="H162" s="505"/>
      <c r="I162" s="497"/>
      <c r="J162" s="497"/>
      <c r="K162" s="496"/>
      <c r="L162" s="496"/>
      <c r="M162" s="144"/>
      <c r="N162" s="144"/>
      <c r="O162" s="144"/>
      <c r="P162" s="144"/>
      <c r="Q162" s="144"/>
      <c r="R162" s="144"/>
      <c r="S162" s="144"/>
      <c r="T162" s="144"/>
      <c r="U162" s="144"/>
      <c r="V162" s="144"/>
      <c r="W162" s="144"/>
      <c r="X162" s="144"/>
      <c r="Y162" s="144"/>
      <c r="Z162" s="144"/>
      <c r="AA162" s="144"/>
      <c r="AB162" s="144"/>
      <c r="AC162" s="144"/>
      <c r="AD162" s="144"/>
      <c r="AE162" s="144"/>
      <c r="AF162" s="144"/>
    </row>
    <row r="163" ht="16.5" customHeight="1">
      <c r="A163" s="144"/>
      <c r="B163" s="559"/>
      <c r="C163" s="352"/>
      <c r="D163" s="352"/>
      <c r="E163" s="352"/>
      <c r="F163" s="352"/>
      <c r="G163" s="560"/>
      <c r="H163" s="352"/>
      <c r="I163" s="497"/>
      <c r="J163" s="497"/>
      <c r="K163" s="496"/>
      <c r="L163" s="496"/>
      <c r="M163" s="144"/>
      <c r="N163" s="144"/>
      <c r="O163" s="144"/>
      <c r="P163" s="144"/>
      <c r="Q163" s="144"/>
      <c r="R163" s="144"/>
      <c r="S163" s="144"/>
      <c r="T163" s="144"/>
      <c r="U163" s="144"/>
      <c r="V163" s="144"/>
      <c r="W163" s="144"/>
      <c r="X163" s="144"/>
      <c r="Y163" s="144"/>
      <c r="Z163" s="144"/>
      <c r="AA163" s="144"/>
      <c r="AB163" s="144"/>
      <c r="AC163" s="144"/>
      <c r="AD163" s="144"/>
      <c r="AE163" s="144"/>
      <c r="AF163" s="144"/>
    </row>
    <row r="164" ht="16.5" customHeight="1">
      <c r="A164" s="144"/>
      <c r="B164" s="559"/>
      <c r="C164" s="346"/>
      <c r="D164" s="346"/>
      <c r="E164" s="352"/>
      <c r="F164" s="352"/>
      <c r="G164" s="560"/>
      <c r="H164" s="352"/>
      <c r="I164" s="497"/>
      <c r="J164" s="497"/>
      <c r="K164" s="496"/>
      <c r="L164" s="496"/>
      <c r="M164" s="144"/>
      <c r="N164" s="144"/>
      <c r="O164" s="144"/>
      <c r="P164" s="144"/>
      <c r="Q164" s="144"/>
      <c r="R164" s="144"/>
      <c r="S164" s="144"/>
      <c r="T164" s="144"/>
      <c r="U164" s="144"/>
      <c r="V164" s="144"/>
      <c r="W164" s="144"/>
      <c r="X164" s="144"/>
      <c r="Y164" s="144"/>
      <c r="Z164" s="144"/>
      <c r="AA164" s="144"/>
      <c r="AB164" s="144"/>
      <c r="AC164" s="144"/>
      <c r="AD164" s="144"/>
      <c r="AE164" s="144"/>
      <c r="AF164" s="144"/>
    </row>
    <row r="165" ht="16.5" customHeight="1">
      <c r="A165" s="144"/>
      <c r="B165" s="559"/>
      <c r="C165" s="346"/>
      <c r="D165" s="346"/>
      <c r="E165" s="352"/>
      <c r="F165" s="352"/>
      <c r="G165" s="560"/>
      <c r="H165" s="352"/>
      <c r="I165" s="497"/>
      <c r="J165" s="497"/>
      <c r="K165" s="496"/>
      <c r="L165" s="496"/>
      <c r="M165" s="144"/>
      <c r="N165" s="144"/>
      <c r="O165" s="144"/>
      <c r="P165" s="144"/>
      <c r="Q165" s="144"/>
      <c r="R165" s="144"/>
      <c r="S165" s="144"/>
      <c r="T165" s="144"/>
      <c r="U165" s="144"/>
      <c r="V165" s="144"/>
      <c r="W165" s="144"/>
      <c r="X165" s="144"/>
      <c r="Y165" s="144"/>
      <c r="Z165" s="144"/>
      <c r="AA165" s="144"/>
      <c r="AB165" s="144"/>
      <c r="AC165" s="144"/>
      <c r="AD165" s="144"/>
      <c r="AE165" s="144"/>
      <c r="AF165" s="144"/>
    </row>
    <row r="166" ht="16.5" customHeight="1">
      <c r="A166" s="144"/>
      <c r="B166" s="559"/>
      <c r="C166" s="346"/>
      <c r="D166" s="346"/>
      <c r="E166" s="352"/>
      <c r="F166" s="352"/>
      <c r="G166" s="560"/>
      <c r="H166" s="352"/>
      <c r="I166" s="497"/>
      <c r="J166" s="497"/>
      <c r="K166" s="496"/>
      <c r="L166" s="496"/>
      <c r="M166" s="144"/>
      <c r="N166" s="144"/>
      <c r="O166" s="144"/>
      <c r="P166" s="144"/>
      <c r="Q166" s="144"/>
      <c r="R166" s="144"/>
      <c r="S166" s="144"/>
      <c r="T166" s="144"/>
      <c r="U166" s="144"/>
      <c r="V166" s="144"/>
      <c r="W166" s="144"/>
      <c r="X166" s="144"/>
      <c r="Y166" s="144"/>
      <c r="Z166" s="144"/>
      <c r="AA166" s="144"/>
      <c r="AB166" s="144"/>
      <c r="AC166" s="144"/>
      <c r="AD166" s="144"/>
      <c r="AE166" s="144"/>
      <c r="AF166" s="144"/>
    </row>
    <row r="167" ht="16.5" customHeight="1">
      <c r="A167" s="144"/>
      <c r="B167" s="559"/>
      <c r="C167" s="346"/>
      <c r="D167" s="346"/>
      <c r="E167" s="352"/>
      <c r="F167" s="352"/>
      <c r="G167" s="560"/>
      <c r="H167" s="352"/>
      <c r="I167" s="497"/>
      <c r="J167" s="497"/>
      <c r="K167" s="496"/>
      <c r="L167" s="496"/>
      <c r="M167" s="144"/>
      <c r="N167" s="144"/>
      <c r="O167" s="144"/>
      <c r="P167" s="144"/>
      <c r="Q167" s="144"/>
      <c r="R167" s="144"/>
      <c r="S167" s="144"/>
      <c r="T167" s="144"/>
      <c r="U167" s="144"/>
      <c r="V167" s="144"/>
      <c r="W167" s="144"/>
      <c r="X167" s="144"/>
      <c r="Y167" s="144"/>
      <c r="Z167" s="144"/>
      <c r="AA167" s="144"/>
      <c r="AB167" s="144"/>
      <c r="AC167" s="144"/>
      <c r="AD167" s="144"/>
      <c r="AE167" s="144"/>
      <c r="AF167" s="144"/>
    </row>
    <row r="168" ht="16.5" customHeight="1">
      <c r="A168" s="144"/>
      <c r="B168" s="559"/>
      <c r="C168" s="346"/>
      <c r="D168" s="346"/>
      <c r="E168" s="352"/>
      <c r="F168" s="505"/>
      <c r="G168" s="560"/>
      <c r="H168" s="505"/>
      <c r="I168" s="497"/>
      <c r="J168" s="497"/>
      <c r="K168" s="496"/>
      <c r="L168" s="496"/>
      <c r="M168" s="144"/>
      <c r="N168" s="144"/>
      <c r="O168" s="144"/>
      <c r="P168" s="144"/>
      <c r="Q168" s="144"/>
      <c r="R168" s="144"/>
      <c r="S168" s="144"/>
      <c r="T168" s="144"/>
      <c r="U168" s="144"/>
      <c r="V168" s="144"/>
      <c r="W168" s="144"/>
      <c r="X168" s="144"/>
      <c r="Y168" s="144"/>
      <c r="Z168" s="144"/>
      <c r="AA168" s="144"/>
      <c r="AB168" s="144"/>
      <c r="AC168" s="144"/>
      <c r="AD168" s="144"/>
      <c r="AE168" s="144"/>
      <c r="AF168" s="144"/>
    </row>
    <row r="169" ht="16.5" customHeight="1">
      <c r="A169" s="144"/>
      <c r="B169" s="559"/>
      <c r="C169" s="346"/>
      <c r="D169" s="346"/>
      <c r="E169" s="352"/>
      <c r="F169" s="352"/>
      <c r="G169" s="560"/>
      <c r="H169" s="505"/>
      <c r="I169" s="497"/>
      <c r="J169" s="497"/>
      <c r="K169" s="496"/>
      <c r="L169" s="496"/>
      <c r="M169" s="144"/>
      <c r="N169" s="144"/>
      <c r="O169" s="144"/>
      <c r="P169" s="144"/>
      <c r="Q169" s="144"/>
      <c r="R169" s="144"/>
      <c r="S169" s="144"/>
      <c r="T169" s="144"/>
      <c r="U169" s="144"/>
      <c r="V169" s="144"/>
      <c r="W169" s="144"/>
      <c r="X169" s="144"/>
      <c r="Y169" s="144"/>
      <c r="Z169" s="144"/>
      <c r="AA169" s="144"/>
      <c r="AB169" s="144"/>
      <c r="AC169" s="144"/>
      <c r="AD169" s="144"/>
      <c r="AE169" s="144"/>
      <c r="AF169" s="144"/>
    </row>
    <row r="170" ht="16.5" customHeight="1">
      <c r="A170" s="144"/>
      <c r="B170" s="559"/>
      <c r="C170" s="346"/>
      <c r="D170" s="346"/>
      <c r="E170" s="352"/>
      <c r="F170" s="352"/>
      <c r="G170" s="560"/>
      <c r="H170" s="352"/>
      <c r="I170" s="352"/>
      <c r="J170" s="497"/>
      <c r="K170" s="496"/>
      <c r="L170" s="496"/>
      <c r="M170" s="144"/>
      <c r="N170" s="144"/>
      <c r="O170" s="144"/>
      <c r="P170" s="144"/>
      <c r="Q170" s="144"/>
      <c r="R170" s="144"/>
      <c r="S170" s="144"/>
      <c r="T170" s="144"/>
      <c r="U170" s="144"/>
      <c r="V170" s="144"/>
      <c r="W170" s="144"/>
      <c r="X170" s="144"/>
      <c r="Y170" s="144"/>
      <c r="Z170" s="144"/>
      <c r="AA170" s="144"/>
      <c r="AB170" s="144"/>
      <c r="AC170" s="144"/>
      <c r="AD170" s="144"/>
      <c r="AE170" s="144"/>
      <c r="AF170" s="144"/>
    </row>
    <row r="171" ht="16.5" customHeight="1">
      <c r="A171" s="144"/>
      <c r="B171" s="559"/>
      <c r="C171" s="346"/>
      <c r="D171" s="346"/>
      <c r="E171" s="352"/>
      <c r="F171" s="352"/>
      <c r="G171" s="560"/>
      <c r="H171" s="352"/>
      <c r="I171" s="352"/>
      <c r="J171" s="497"/>
      <c r="K171" s="496"/>
      <c r="L171" s="496"/>
      <c r="M171" s="144"/>
      <c r="N171" s="144"/>
      <c r="O171" s="144"/>
      <c r="P171" s="144"/>
      <c r="Q171" s="144"/>
      <c r="R171" s="144"/>
      <c r="S171" s="144"/>
      <c r="T171" s="144"/>
      <c r="U171" s="144"/>
      <c r="V171" s="144"/>
      <c r="W171" s="144"/>
      <c r="X171" s="144"/>
      <c r="Y171" s="144"/>
      <c r="Z171" s="144"/>
      <c r="AA171" s="144"/>
      <c r="AB171" s="144"/>
      <c r="AC171" s="144"/>
      <c r="AD171" s="144"/>
      <c r="AE171" s="144"/>
      <c r="AF171" s="144"/>
    </row>
    <row r="172" ht="16.5" customHeight="1">
      <c r="A172" s="144"/>
      <c r="B172" s="559"/>
      <c r="C172" s="346"/>
      <c r="D172" s="346"/>
      <c r="E172" s="352"/>
      <c r="F172" s="352"/>
      <c r="G172" s="560"/>
      <c r="H172" s="352"/>
      <c r="I172" s="497"/>
      <c r="J172" s="497"/>
      <c r="K172" s="496"/>
      <c r="L172" s="496"/>
      <c r="M172" s="144"/>
      <c r="N172" s="144"/>
      <c r="O172" s="144"/>
      <c r="P172" s="144"/>
      <c r="Q172" s="144"/>
      <c r="R172" s="144"/>
      <c r="S172" s="144"/>
      <c r="T172" s="144"/>
      <c r="U172" s="144"/>
      <c r="V172" s="144"/>
      <c r="W172" s="144"/>
      <c r="X172" s="144"/>
      <c r="Y172" s="144"/>
      <c r="Z172" s="144"/>
      <c r="AA172" s="144"/>
      <c r="AB172" s="144"/>
      <c r="AC172" s="144"/>
      <c r="AD172" s="144"/>
      <c r="AE172" s="144"/>
      <c r="AF172" s="144"/>
    </row>
    <row r="173" ht="16.5" customHeight="1">
      <c r="A173" s="144"/>
      <c r="B173" s="559"/>
      <c r="C173" s="346"/>
      <c r="D173" s="346"/>
      <c r="E173" s="352"/>
      <c r="F173" s="352"/>
      <c r="G173" s="560"/>
      <c r="H173" s="352"/>
      <c r="I173" s="497"/>
      <c r="J173" s="497"/>
      <c r="K173" s="496"/>
      <c r="L173" s="496"/>
      <c r="M173" s="144"/>
      <c r="N173" s="144"/>
      <c r="O173" s="144"/>
      <c r="P173" s="144"/>
      <c r="Q173" s="144"/>
      <c r="R173" s="144"/>
      <c r="S173" s="144"/>
      <c r="T173" s="144"/>
      <c r="U173" s="144"/>
      <c r="V173" s="144"/>
      <c r="W173" s="144"/>
      <c r="X173" s="144"/>
      <c r="Y173" s="144"/>
      <c r="Z173" s="144"/>
      <c r="AA173" s="144"/>
      <c r="AB173" s="144"/>
      <c r="AC173" s="144"/>
      <c r="AD173" s="144"/>
      <c r="AE173" s="144"/>
      <c r="AF173" s="144"/>
    </row>
    <row r="174" ht="16.5" customHeight="1">
      <c r="A174" s="144"/>
      <c r="B174" s="559"/>
      <c r="C174" s="346"/>
      <c r="D174" s="346"/>
      <c r="E174" s="352"/>
      <c r="F174" s="352"/>
      <c r="G174" s="560"/>
      <c r="H174" s="352"/>
      <c r="I174" s="497"/>
      <c r="J174" s="497"/>
      <c r="K174" s="496"/>
      <c r="L174" s="496"/>
      <c r="M174" s="144"/>
      <c r="N174" s="144"/>
      <c r="O174" s="144"/>
      <c r="P174" s="144"/>
      <c r="Q174" s="144"/>
      <c r="R174" s="144"/>
      <c r="S174" s="144"/>
      <c r="T174" s="144"/>
      <c r="U174" s="144"/>
      <c r="V174" s="144"/>
      <c r="W174" s="144"/>
      <c r="X174" s="144"/>
      <c r="Y174" s="144"/>
      <c r="Z174" s="144"/>
      <c r="AA174" s="144"/>
      <c r="AB174" s="144"/>
      <c r="AC174" s="144"/>
      <c r="AD174" s="144"/>
      <c r="AE174" s="144"/>
      <c r="AF174" s="144"/>
    </row>
    <row r="175" ht="16.5" customHeight="1">
      <c r="A175" s="144"/>
      <c r="B175" s="559"/>
      <c r="C175" s="346"/>
      <c r="D175" s="346"/>
      <c r="E175" s="352"/>
      <c r="F175" s="352"/>
      <c r="G175" s="560"/>
      <c r="H175" s="352"/>
      <c r="I175" s="497"/>
      <c r="J175" s="497"/>
      <c r="K175" s="496"/>
      <c r="L175" s="496"/>
      <c r="M175" s="144"/>
      <c r="N175" s="144"/>
      <c r="O175" s="144"/>
      <c r="P175" s="144"/>
      <c r="Q175" s="144"/>
      <c r="R175" s="144"/>
      <c r="S175" s="144"/>
      <c r="T175" s="144"/>
      <c r="U175" s="144"/>
      <c r="V175" s="144"/>
      <c r="W175" s="144"/>
      <c r="X175" s="144"/>
      <c r="Y175" s="144"/>
      <c r="Z175" s="144"/>
      <c r="AA175" s="144"/>
      <c r="AB175" s="144"/>
      <c r="AC175" s="144"/>
      <c r="AD175" s="144"/>
      <c r="AE175" s="144"/>
      <c r="AF175" s="144"/>
    </row>
    <row r="176" ht="16.5" customHeight="1">
      <c r="A176" s="144"/>
      <c r="B176" s="559"/>
      <c r="C176" s="346"/>
      <c r="D176" s="346"/>
      <c r="E176" s="352"/>
      <c r="F176" s="505"/>
      <c r="G176" s="560"/>
      <c r="H176" s="505"/>
      <c r="I176" s="497"/>
      <c r="J176" s="497"/>
      <c r="K176" s="496"/>
      <c r="L176" s="496"/>
      <c r="M176" s="144"/>
      <c r="N176" s="144"/>
      <c r="O176" s="144"/>
      <c r="P176" s="144"/>
      <c r="Q176" s="144"/>
      <c r="R176" s="144"/>
      <c r="S176" s="144"/>
      <c r="T176" s="144"/>
      <c r="U176" s="144"/>
      <c r="V176" s="144"/>
      <c r="W176" s="144"/>
      <c r="X176" s="144"/>
      <c r="Y176" s="144"/>
      <c r="Z176" s="144"/>
      <c r="AA176" s="144"/>
      <c r="AB176" s="144"/>
      <c r="AC176" s="144"/>
      <c r="AD176" s="144"/>
      <c r="AE176" s="144"/>
      <c r="AF176" s="144"/>
    </row>
    <row r="177" ht="16.5" customHeight="1">
      <c r="A177" s="144"/>
      <c r="B177" s="559"/>
      <c r="C177" s="346"/>
      <c r="D177" s="346"/>
      <c r="E177" s="352"/>
      <c r="F177" s="352"/>
      <c r="G177" s="560"/>
      <c r="H177" s="505"/>
      <c r="I177" s="497"/>
      <c r="J177" s="497"/>
      <c r="K177" s="496"/>
      <c r="L177" s="496"/>
      <c r="M177" s="144"/>
      <c r="N177" s="144"/>
      <c r="O177" s="144"/>
      <c r="P177" s="144"/>
      <c r="Q177" s="144"/>
      <c r="R177" s="144"/>
      <c r="S177" s="144"/>
      <c r="T177" s="144"/>
      <c r="U177" s="144"/>
      <c r="V177" s="144"/>
      <c r="W177" s="144"/>
      <c r="X177" s="144"/>
      <c r="Y177" s="144"/>
      <c r="Z177" s="144"/>
      <c r="AA177" s="144"/>
      <c r="AB177" s="144"/>
      <c r="AC177" s="144"/>
      <c r="AD177" s="144"/>
      <c r="AE177" s="144"/>
      <c r="AF177" s="144"/>
    </row>
    <row r="178" ht="16.5" customHeight="1">
      <c r="A178" s="144"/>
      <c r="B178" s="559"/>
      <c r="C178" s="346"/>
      <c r="D178" s="346"/>
      <c r="E178" s="352"/>
      <c r="F178" s="352"/>
      <c r="G178" s="560"/>
      <c r="H178" s="352"/>
      <c r="I178" s="352"/>
      <c r="J178" s="497"/>
      <c r="K178" s="496"/>
      <c r="L178" s="496"/>
      <c r="M178" s="144"/>
      <c r="N178" s="144"/>
      <c r="O178" s="144"/>
      <c r="P178" s="144"/>
      <c r="Q178" s="144"/>
      <c r="R178" s="144"/>
      <c r="S178" s="144"/>
      <c r="T178" s="144"/>
      <c r="U178" s="144"/>
      <c r="V178" s="144"/>
      <c r="W178" s="144"/>
      <c r="X178" s="144"/>
      <c r="Y178" s="144"/>
      <c r="Z178" s="144"/>
      <c r="AA178" s="144"/>
      <c r="AB178" s="144"/>
      <c r="AC178" s="144"/>
      <c r="AD178" s="144"/>
      <c r="AE178" s="144"/>
      <c r="AF178" s="144"/>
    </row>
    <row r="179" ht="16.5" customHeight="1">
      <c r="A179" s="144"/>
      <c r="B179" s="559"/>
      <c r="C179" s="346"/>
      <c r="D179" s="346"/>
      <c r="E179" s="352"/>
      <c r="F179" s="352"/>
      <c r="G179" s="560"/>
      <c r="H179" s="352"/>
      <c r="I179" s="352"/>
      <c r="J179" s="497"/>
      <c r="K179" s="496"/>
      <c r="L179" s="496"/>
      <c r="M179" s="144"/>
      <c r="N179" s="144"/>
      <c r="O179" s="144"/>
      <c r="P179" s="144"/>
      <c r="Q179" s="144"/>
      <c r="R179" s="144"/>
      <c r="S179" s="144"/>
      <c r="T179" s="144"/>
      <c r="U179" s="144"/>
      <c r="V179" s="144"/>
      <c r="W179" s="144"/>
      <c r="X179" s="144"/>
      <c r="Y179" s="144"/>
      <c r="Z179" s="144"/>
      <c r="AA179" s="144"/>
      <c r="AB179" s="144"/>
      <c r="AC179" s="144"/>
      <c r="AD179" s="144"/>
      <c r="AE179" s="144"/>
      <c r="AF179" s="144"/>
    </row>
    <row r="180" ht="16.5" customHeight="1">
      <c r="A180" s="144"/>
      <c r="B180" s="559"/>
      <c r="C180" s="346"/>
      <c r="D180" s="346"/>
      <c r="E180" s="352"/>
      <c r="F180" s="352"/>
      <c r="G180" s="560"/>
      <c r="H180" s="352"/>
      <c r="I180" s="497"/>
      <c r="J180" s="497"/>
      <c r="K180" s="496"/>
      <c r="L180" s="496"/>
      <c r="M180" s="144"/>
      <c r="N180" s="144"/>
      <c r="O180" s="144"/>
      <c r="P180" s="144"/>
      <c r="Q180" s="144"/>
      <c r="R180" s="144"/>
      <c r="S180" s="144"/>
      <c r="T180" s="144"/>
      <c r="U180" s="144"/>
      <c r="V180" s="144"/>
      <c r="W180" s="144"/>
      <c r="X180" s="144"/>
      <c r="Y180" s="144"/>
      <c r="Z180" s="144"/>
      <c r="AA180" s="144"/>
      <c r="AB180" s="144"/>
      <c r="AC180" s="144"/>
      <c r="AD180" s="144"/>
      <c r="AE180" s="144"/>
      <c r="AF180" s="144"/>
    </row>
    <row r="181" ht="16.5" customHeight="1">
      <c r="A181" s="144"/>
      <c r="B181" s="559"/>
      <c r="C181" s="346"/>
      <c r="D181" s="346"/>
      <c r="E181" s="352"/>
      <c r="F181" s="352"/>
      <c r="G181" s="560"/>
      <c r="H181" s="352"/>
      <c r="I181" s="497"/>
      <c r="J181" s="497"/>
      <c r="K181" s="496"/>
      <c r="L181" s="496"/>
      <c r="M181" s="144"/>
      <c r="N181" s="144"/>
      <c r="O181" s="144"/>
      <c r="P181" s="144"/>
      <c r="Q181" s="144"/>
      <c r="R181" s="144"/>
      <c r="S181" s="144"/>
      <c r="T181" s="144"/>
      <c r="U181" s="144"/>
      <c r="V181" s="144"/>
      <c r="W181" s="144"/>
      <c r="X181" s="144"/>
      <c r="Y181" s="144"/>
      <c r="Z181" s="144"/>
      <c r="AA181" s="144"/>
      <c r="AB181" s="144"/>
      <c r="AC181" s="144"/>
      <c r="AD181" s="144"/>
      <c r="AE181" s="144"/>
      <c r="AF181" s="144"/>
    </row>
    <row r="182" ht="16.5" customHeight="1">
      <c r="A182" s="144"/>
      <c r="B182" s="559"/>
      <c r="C182" s="346"/>
      <c r="D182" s="346"/>
      <c r="E182" s="352"/>
      <c r="F182" s="352"/>
      <c r="G182" s="560"/>
      <c r="H182" s="352"/>
      <c r="I182" s="497"/>
      <c r="J182" s="497"/>
      <c r="K182" s="496"/>
      <c r="L182" s="496"/>
      <c r="M182" s="144"/>
      <c r="N182" s="144"/>
      <c r="O182" s="144"/>
      <c r="P182" s="144"/>
      <c r="Q182" s="144"/>
      <c r="R182" s="144"/>
      <c r="S182" s="144"/>
      <c r="T182" s="144"/>
      <c r="U182" s="144"/>
      <c r="V182" s="144"/>
      <c r="W182" s="144"/>
      <c r="X182" s="144"/>
      <c r="Y182" s="144"/>
      <c r="Z182" s="144"/>
      <c r="AA182" s="144"/>
      <c r="AB182" s="144"/>
      <c r="AC182" s="144"/>
      <c r="AD182" s="144"/>
      <c r="AE182" s="144"/>
      <c r="AF182" s="144"/>
    </row>
    <row r="183" ht="16.5" customHeight="1">
      <c r="A183" s="144"/>
      <c r="B183" s="559"/>
      <c r="C183" s="346"/>
      <c r="D183" s="346"/>
      <c r="E183" s="352"/>
      <c r="F183" s="352"/>
      <c r="G183" s="560"/>
      <c r="H183" s="352"/>
      <c r="I183" s="497"/>
      <c r="J183" s="497"/>
      <c r="K183" s="496"/>
      <c r="L183" s="496"/>
      <c r="M183" s="144"/>
      <c r="N183" s="144"/>
      <c r="O183" s="144"/>
      <c r="P183" s="144"/>
      <c r="Q183" s="144"/>
      <c r="R183" s="144"/>
      <c r="S183" s="144"/>
      <c r="T183" s="144"/>
      <c r="U183" s="144"/>
      <c r="V183" s="144"/>
      <c r="W183" s="144"/>
      <c r="X183" s="144"/>
      <c r="Y183" s="144"/>
      <c r="Z183" s="144"/>
      <c r="AA183" s="144"/>
      <c r="AB183" s="144"/>
      <c r="AC183" s="144"/>
      <c r="AD183" s="144"/>
      <c r="AE183" s="144"/>
      <c r="AF183" s="144"/>
    </row>
    <row r="184" ht="16.5" customHeight="1">
      <c r="A184" s="144"/>
      <c r="B184" s="559"/>
      <c r="C184" s="346"/>
      <c r="D184" s="346"/>
      <c r="E184" s="352"/>
      <c r="F184" s="505"/>
      <c r="G184" s="560"/>
      <c r="H184" s="505"/>
      <c r="I184" s="497"/>
      <c r="J184" s="497"/>
      <c r="K184" s="496"/>
      <c r="L184" s="496"/>
      <c r="M184" s="144"/>
      <c r="N184" s="144"/>
      <c r="O184" s="144"/>
      <c r="P184" s="144"/>
      <c r="Q184" s="144"/>
      <c r="R184" s="144"/>
      <c r="S184" s="144"/>
      <c r="T184" s="144"/>
      <c r="U184" s="144"/>
      <c r="V184" s="144"/>
      <c r="W184" s="144"/>
      <c r="X184" s="144"/>
      <c r="Y184" s="144"/>
      <c r="Z184" s="144"/>
      <c r="AA184" s="144"/>
      <c r="AB184" s="144"/>
      <c r="AC184" s="144"/>
      <c r="AD184" s="144"/>
      <c r="AE184" s="144"/>
      <c r="AF184" s="144"/>
    </row>
    <row r="185" ht="16.5" customHeight="1">
      <c r="A185" s="144"/>
      <c r="B185" s="559"/>
      <c r="C185" s="346"/>
      <c r="D185" s="346"/>
      <c r="E185" s="352"/>
      <c r="F185" s="352"/>
      <c r="G185" s="560"/>
      <c r="H185" s="505"/>
      <c r="I185" s="497"/>
      <c r="J185" s="497"/>
      <c r="K185" s="496"/>
      <c r="L185" s="496"/>
      <c r="M185" s="144"/>
      <c r="N185" s="144"/>
      <c r="O185" s="144"/>
      <c r="P185" s="144"/>
      <c r="Q185" s="144"/>
      <c r="R185" s="144"/>
      <c r="S185" s="144"/>
      <c r="T185" s="144"/>
      <c r="U185" s="144"/>
      <c r="V185" s="144"/>
      <c r="W185" s="144"/>
      <c r="X185" s="144"/>
      <c r="Y185" s="144"/>
      <c r="Z185" s="144"/>
      <c r="AA185" s="144"/>
      <c r="AB185" s="144"/>
      <c r="AC185" s="144"/>
      <c r="AD185" s="144"/>
      <c r="AE185" s="144"/>
      <c r="AF185" s="144"/>
    </row>
    <row r="186" ht="16.5" customHeight="1">
      <c r="A186" s="144"/>
      <c r="B186" s="559"/>
      <c r="C186" s="346"/>
      <c r="D186" s="346"/>
      <c r="E186" s="352"/>
      <c r="F186" s="352"/>
      <c r="G186" s="560"/>
      <c r="H186" s="352"/>
      <c r="I186" s="497"/>
      <c r="J186" s="497"/>
      <c r="K186" s="496"/>
      <c r="L186" s="496"/>
      <c r="M186" s="144"/>
      <c r="N186" s="144"/>
      <c r="O186" s="144"/>
      <c r="P186" s="144"/>
      <c r="Q186" s="144"/>
      <c r="R186" s="144"/>
      <c r="S186" s="144"/>
      <c r="T186" s="144"/>
      <c r="U186" s="144"/>
      <c r="V186" s="144"/>
      <c r="W186" s="144"/>
      <c r="X186" s="144"/>
      <c r="Y186" s="144"/>
      <c r="Z186" s="144"/>
      <c r="AA186" s="144"/>
      <c r="AB186" s="144"/>
      <c r="AC186" s="144"/>
      <c r="AD186" s="144"/>
      <c r="AE186" s="144"/>
      <c r="AF186" s="144"/>
    </row>
    <row r="187" ht="16.5" customHeight="1">
      <c r="A187" s="144"/>
      <c r="B187" s="559"/>
      <c r="C187" s="346"/>
      <c r="D187" s="346"/>
      <c r="E187" s="352"/>
      <c r="F187" s="352"/>
      <c r="G187" s="560"/>
      <c r="H187" s="352"/>
      <c r="I187" s="497"/>
      <c r="J187" s="497"/>
      <c r="K187" s="496"/>
      <c r="L187" s="496"/>
      <c r="M187" s="144"/>
      <c r="N187" s="144"/>
      <c r="O187" s="144"/>
      <c r="P187" s="144"/>
      <c r="Q187" s="144"/>
      <c r="R187" s="144"/>
      <c r="S187" s="144"/>
      <c r="T187" s="144"/>
      <c r="U187" s="144"/>
      <c r="V187" s="144"/>
      <c r="W187" s="144"/>
      <c r="X187" s="144"/>
      <c r="Y187" s="144"/>
      <c r="Z187" s="144"/>
      <c r="AA187" s="144"/>
      <c r="AB187" s="144"/>
      <c r="AC187" s="144"/>
      <c r="AD187" s="144"/>
      <c r="AE187" s="144"/>
      <c r="AF187" s="144"/>
    </row>
    <row r="188" ht="16.5" customHeight="1">
      <c r="A188" s="144"/>
      <c r="B188" s="559"/>
      <c r="C188" s="346"/>
      <c r="D188" s="346"/>
      <c r="E188" s="352"/>
      <c r="F188" s="352"/>
      <c r="G188" s="560"/>
      <c r="H188" s="352"/>
      <c r="I188" s="497"/>
      <c r="J188" s="497"/>
      <c r="K188" s="496"/>
      <c r="L188" s="496"/>
      <c r="M188" s="144"/>
      <c r="N188" s="144"/>
      <c r="O188" s="144"/>
      <c r="P188" s="144"/>
      <c r="Q188" s="144"/>
      <c r="R188" s="144"/>
      <c r="S188" s="144"/>
      <c r="T188" s="144"/>
      <c r="U188" s="144"/>
      <c r="V188" s="144"/>
      <c r="W188" s="144"/>
      <c r="X188" s="144"/>
      <c r="Y188" s="144"/>
      <c r="Z188" s="144"/>
      <c r="AA188" s="144"/>
      <c r="AB188" s="144"/>
      <c r="AC188" s="144"/>
      <c r="AD188" s="144"/>
      <c r="AE188" s="144"/>
      <c r="AF188" s="144"/>
    </row>
    <row r="189" ht="16.5" customHeight="1">
      <c r="A189" s="144"/>
      <c r="B189" s="559"/>
      <c r="C189" s="346"/>
      <c r="D189" s="346"/>
      <c r="E189" s="352"/>
      <c r="F189" s="352"/>
      <c r="G189" s="560"/>
      <c r="H189" s="352"/>
      <c r="I189" s="497"/>
      <c r="J189" s="497"/>
      <c r="K189" s="496"/>
      <c r="L189" s="496"/>
      <c r="M189" s="144"/>
      <c r="N189" s="144"/>
      <c r="O189" s="144"/>
      <c r="P189" s="144"/>
      <c r="Q189" s="144"/>
      <c r="R189" s="144"/>
      <c r="S189" s="144"/>
      <c r="T189" s="144"/>
      <c r="U189" s="144"/>
      <c r="V189" s="144"/>
      <c r="W189" s="144"/>
      <c r="X189" s="144"/>
      <c r="Y189" s="144"/>
      <c r="Z189" s="144"/>
      <c r="AA189" s="144"/>
      <c r="AB189" s="144"/>
      <c r="AC189" s="144"/>
      <c r="AD189" s="144"/>
      <c r="AE189" s="144"/>
      <c r="AF189" s="144"/>
    </row>
    <row r="190" ht="16.5" customHeight="1">
      <c r="A190" s="144"/>
      <c r="B190" s="559"/>
      <c r="C190" s="346"/>
      <c r="D190" s="346"/>
      <c r="E190" s="352"/>
      <c r="F190" s="352"/>
      <c r="G190" s="560"/>
      <c r="H190" s="352"/>
      <c r="I190" s="497"/>
      <c r="J190" s="497"/>
      <c r="K190" s="496"/>
      <c r="L190" s="496"/>
      <c r="M190" s="144"/>
      <c r="N190" s="144"/>
      <c r="O190" s="144"/>
      <c r="P190" s="144"/>
      <c r="Q190" s="144"/>
      <c r="R190" s="144"/>
      <c r="S190" s="144"/>
      <c r="T190" s="144"/>
      <c r="U190" s="144"/>
      <c r="V190" s="144"/>
      <c r="W190" s="144"/>
      <c r="X190" s="144"/>
      <c r="Y190" s="144"/>
      <c r="Z190" s="144"/>
      <c r="AA190" s="144"/>
      <c r="AB190" s="144"/>
      <c r="AC190" s="144"/>
      <c r="AD190" s="144"/>
      <c r="AE190" s="144"/>
      <c r="AF190" s="144"/>
    </row>
    <row r="191" ht="16.5" customHeight="1">
      <c r="A191" s="144"/>
      <c r="B191" s="559"/>
      <c r="C191" s="346"/>
      <c r="D191" s="346"/>
      <c r="E191" s="352"/>
      <c r="F191" s="352"/>
      <c r="G191" s="560"/>
      <c r="H191" s="352"/>
      <c r="I191" s="497"/>
      <c r="J191" s="497"/>
      <c r="K191" s="496"/>
      <c r="L191" s="496"/>
      <c r="M191" s="144"/>
      <c r="N191" s="144"/>
      <c r="O191" s="144"/>
      <c r="P191" s="144"/>
      <c r="Q191" s="144"/>
      <c r="R191" s="144"/>
      <c r="S191" s="144"/>
      <c r="T191" s="144"/>
      <c r="U191" s="144"/>
      <c r="V191" s="144"/>
      <c r="W191" s="144"/>
      <c r="X191" s="144"/>
      <c r="Y191" s="144"/>
      <c r="Z191" s="144"/>
      <c r="AA191" s="144"/>
      <c r="AB191" s="144"/>
      <c r="AC191" s="144"/>
      <c r="AD191" s="144"/>
      <c r="AE191" s="144"/>
      <c r="AF191" s="144"/>
    </row>
    <row r="192" ht="16.5" customHeight="1">
      <c r="A192" s="144"/>
      <c r="B192" s="559"/>
      <c r="C192" s="346"/>
      <c r="D192" s="346"/>
      <c r="E192" s="352"/>
      <c r="F192" s="505"/>
      <c r="G192" s="560"/>
      <c r="H192" s="505"/>
      <c r="I192" s="497"/>
      <c r="J192" s="497"/>
      <c r="K192" s="496"/>
      <c r="L192" s="496"/>
      <c r="M192" s="144"/>
      <c r="N192" s="144"/>
      <c r="O192" s="144"/>
      <c r="P192" s="144"/>
      <c r="Q192" s="144"/>
      <c r="R192" s="144"/>
      <c r="S192" s="144"/>
      <c r="T192" s="144"/>
      <c r="U192" s="144"/>
      <c r="V192" s="144"/>
      <c r="W192" s="144"/>
      <c r="X192" s="144"/>
      <c r="Y192" s="144"/>
      <c r="Z192" s="144"/>
      <c r="AA192" s="144"/>
      <c r="AB192" s="144"/>
      <c r="AC192" s="144"/>
      <c r="AD192" s="144"/>
      <c r="AE192" s="144"/>
      <c r="AF192" s="144"/>
    </row>
    <row r="193" ht="16.5" customHeight="1">
      <c r="A193" s="144"/>
      <c r="B193" s="559"/>
      <c r="C193" s="346"/>
      <c r="D193" s="346"/>
      <c r="E193" s="352"/>
      <c r="F193" s="352"/>
      <c r="G193" s="560"/>
      <c r="H193" s="505"/>
      <c r="I193" s="352"/>
      <c r="J193" s="497"/>
      <c r="K193" s="496"/>
      <c r="L193" s="496"/>
      <c r="M193" s="144"/>
      <c r="N193" s="144"/>
      <c r="O193" s="144"/>
      <c r="P193" s="144"/>
      <c r="Q193" s="144"/>
      <c r="R193" s="144"/>
      <c r="S193" s="144"/>
      <c r="T193" s="144"/>
      <c r="U193" s="144"/>
      <c r="V193" s="144"/>
      <c r="W193" s="144"/>
      <c r="X193" s="144"/>
      <c r="Y193" s="144"/>
      <c r="Z193" s="144"/>
      <c r="AA193" s="144"/>
      <c r="AB193" s="144"/>
      <c r="AC193" s="144"/>
      <c r="AD193" s="144"/>
      <c r="AE193" s="144"/>
      <c r="AF193" s="144"/>
    </row>
    <row r="194" ht="16.5" customHeight="1">
      <c r="A194" s="144"/>
      <c r="B194" s="559"/>
      <c r="C194" s="346"/>
      <c r="D194" s="346"/>
      <c r="E194" s="352"/>
      <c r="F194" s="352"/>
      <c r="G194" s="560"/>
      <c r="H194" s="352"/>
      <c r="I194" s="352"/>
      <c r="J194" s="497"/>
      <c r="K194" s="496"/>
      <c r="L194" s="496"/>
      <c r="M194" s="144"/>
      <c r="N194" s="144"/>
      <c r="O194" s="144"/>
      <c r="P194" s="144"/>
      <c r="Q194" s="144"/>
      <c r="R194" s="144"/>
      <c r="S194" s="144"/>
      <c r="T194" s="144"/>
      <c r="U194" s="144"/>
      <c r="V194" s="144"/>
      <c r="W194" s="144"/>
      <c r="X194" s="144"/>
      <c r="Y194" s="144"/>
      <c r="Z194" s="144"/>
      <c r="AA194" s="144"/>
      <c r="AB194" s="144"/>
      <c r="AC194" s="144"/>
      <c r="AD194" s="144"/>
      <c r="AE194" s="144"/>
      <c r="AF194" s="144"/>
    </row>
    <row r="195" ht="16.5" customHeight="1">
      <c r="A195" s="144"/>
      <c r="B195" s="559"/>
      <c r="C195" s="346"/>
      <c r="D195" s="346"/>
      <c r="E195" s="352"/>
      <c r="F195" s="352"/>
      <c r="G195" s="560"/>
      <c r="H195" s="352"/>
      <c r="I195" s="497"/>
      <c r="J195" s="497"/>
      <c r="K195" s="496"/>
      <c r="L195" s="496"/>
      <c r="M195" s="144"/>
      <c r="N195" s="144"/>
      <c r="O195" s="144"/>
      <c r="P195" s="144"/>
      <c r="Q195" s="144"/>
      <c r="R195" s="144"/>
      <c r="S195" s="144"/>
      <c r="T195" s="144"/>
      <c r="U195" s="144"/>
      <c r="V195" s="144"/>
      <c r="W195" s="144"/>
      <c r="X195" s="144"/>
      <c r="Y195" s="144"/>
      <c r="Z195" s="144"/>
      <c r="AA195" s="144"/>
      <c r="AB195" s="144"/>
      <c r="AC195" s="144"/>
      <c r="AD195" s="144"/>
      <c r="AE195" s="144"/>
      <c r="AF195" s="144"/>
    </row>
    <row r="196" ht="16.5" customHeight="1">
      <c r="A196" s="144"/>
      <c r="B196" s="559"/>
      <c r="C196" s="352"/>
      <c r="D196" s="352"/>
      <c r="E196" s="352"/>
      <c r="F196" s="352"/>
      <c r="G196" s="560"/>
      <c r="H196" s="352"/>
      <c r="I196" s="497"/>
      <c r="J196" s="497"/>
      <c r="K196" s="496"/>
      <c r="L196" s="496"/>
      <c r="M196" s="144"/>
      <c r="N196" s="144"/>
      <c r="O196" s="144"/>
      <c r="P196" s="144"/>
      <c r="Q196" s="144"/>
      <c r="R196" s="144"/>
      <c r="S196" s="144"/>
      <c r="T196" s="144"/>
      <c r="U196" s="144"/>
      <c r="V196" s="144"/>
      <c r="W196" s="144"/>
      <c r="X196" s="144"/>
      <c r="Y196" s="144"/>
      <c r="Z196" s="144"/>
      <c r="AA196" s="144"/>
      <c r="AB196" s="144"/>
      <c r="AC196" s="144"/>
      <c r="AD196" s="144"/>
      <c r="AE196" s="144"/>
      <c r="AF196" s="144"/>
    </row>
    <row r="197" ht="16.5" customHeight="1">
      <c r="A197" s="144"/>
      <c r="B197" s="559"/>
      <c r="C197" s="352"/>
      <c r="D197" s="352"/>
      <c r="E197" s="352"/>
      <c r="F197" s="352"/>
      <c r="G197" s="560"/>
      <c r="H197" s="352"/>
      <c r="I197" s="497"/>
      <c r="J197" s="497"/>
      <c r="K197" s="496"/>
      <c r="L197" s="496"/>
      <c r="M197" s="144"/>
      <c r="N197" s="144"/>
      <c r="O197" s="144"/>
      <c r="P197" s="144"/>
      <c r="Q197" s="144"/>
      <c r="R197" s="144"/>
      <c r="S197" s="144"/>
      <c r="T197" s="144"/>
      <c r="U197" s="144"/>
      <c r="V197" s="144"/>
      <c r="W197" s="144"/>
      <c r="X197" s="144"/>
      <c r="Y197" s="144"/>
      <c r="Z197" s="144"/>
      <c r="AA197" s="144"/>
      <c r="AB197" s="144"/>
      <c r="AC197" s="144"/>
      <c r="AD197" s="144"/>
      <c r="AE197" s="144"/>
      <c r="AF197" s="144"/>
    </row>
    <row r="198" ht="16.5" customHeight="1">
      <c r="A198" s="144"/>
      <c r="B198" s="559"/>
      <c r="C198" s="352"/>
      <c r="D198" s="352"/>
      <c r="E198" s="352"/>
      <c r="F198" s="352"/>
      <c r="G198" s="560"/>
      <c r="H198" s="352"/>
      <c r="I198" s="497"/>
      <c r="J198" s="497"/>
      <c r="K198" s="496"/>
      <c r="L198" s="496"/>
      <c r="M198" s="144"/>
      <c r="N198" s="144"/>
      <c r="O198" s="144"/>
      <c r="P198" s="144"/>
      <c r="Q198" s="144"/>
      <c r="R198" s="144"/>
      <c r="S198" s="144"/>
      <c r="T198" s="144"/>
      <c r="U198" s="144"/>
      <c r="V198" s="144"/>
      <c r="W198" s="144"/>
      <c r="X198" s="144"/>
      <c r="Y198" s="144"/>
      <c r="Z198" s="144"/>
      <c r="AA198" s="144"/>
      <c r="AB198" s="144"/>
      <c r="AC198" s="144"/>
      <c r="AD198" s="144"/>
      <c r="AE198" s="144"/>
      <c r="AF198" s="144"/>
    </row>
    <row r="199" ht="16.5" customHeight="1">
      <c r="A199" s="144"/>
      <c r="B199" s="559"/>
      <c r="C199" s="352"/>
      <c r="D199" s="352"/>
      <c r="E199" s="352"/>
      <c r="F199" s="352"/>
      <c r="G199" s="560"/>
      <c r="H199" s="352"/>
      <c r="I199" s="497"/>
      <c r="J199" s="497"/>
      <c r="K199" s="496"/>
      <c r="L199" s="496"/>
      <c r="M199" s="144"/>
      <c r="N199" s="144"/>
      <c r="O199" s="144"/>
      <c r="P199" s="144"/>
      <c r="Q199" s="144"/>
      <c r="R199" s="144"/>
      <c r="S199" s="144"/>
      <c r="T199" s="144"/>
      <c r="U199" s="144"/>
      <c r="V199" s="144"/>
      <c r="W199" s="144"/>
      <c r="X199" s="144"/>
      <c r="Y199" s="144"/>
      <c r="Z199" s="144"/>
      <c r="AA199" s="144"/>
      <c r="AB199" s="144"/>
      <c r="AC199" s="144"/>
      <c r="AD199" s="144"/>
      <c r="AE199" s="144"/>
      <c r="AF199" s="144"/>
    </row>
    <row r="200" ht="16.5" customHeight="1">
      <c r="A200" s="144"/>
      <c r="B200" s="559"/>
      <c r="C200" s="352"/>
      <c r="D200" s="352"/>
      <c r="E200" s="352"/>
      <c r="F200" s="505"/>
      <c r="G200" s="560"/>
      <c r="H200" s="505"/>
      <c r="I200" s="497"/>
      <c r="J200" s="497"/>
      <c r="K200" s="496"/>
      <c r="L200" s="496"/>
      <c r="M200" s="144"/>
      <c r="N200" s="144"/>
      <c r="O200" s="144"/>
      <c r="P200" s="144"/>
      <c r="Q200" s="144"/>
      <c r="R200" s="144"/>
      <c r="S200" s="144"/>
      <c r="T200" s="144"/>
      <c r="U200" s="144"/>
      <c r="V200" s="144"/>
      <c r="W200" s="144"/>
      <c r="X200" s="144"/>
      <c r="Y200" s="144"/>
      <c r="Z200" s="144"/>
      <c r="AA200" s="144"/>
      <c r="AB200" s="144"/>
      <c r="AC200" s="144"/>
      <c r="AD200" s="144"/>
      <c r="AE200" s="144"/>
      <c r="AF200" s="144"/>
    </row>
    <row r="201" ht="16.5" customHeight="1">
      <c r="A201" s="144"/>
      <c r="B201" s="559"/>
      <c r="C201" s="352"/>
      <c r="D201" s="352"/>
      <c r="E201" s="352"/>
      <c r="F201" s="352"/>
      <c r="G201" s="560"/>
      <c r="H201" s="505"/>
      <c r="I201" s="352"/>
      <c r="J201" s="497"/>
      <c r="K201" s="496"/>
      <c r="L201" s="496"/>
      <c r="M201" s="144"/>
      <c r="N201" s="144"/>
      <c r="O201" s="144"/>
      <c r="P201" s="144"/>
      <c r="Q201" s="144"/>
      <c r="R201" s="144"/>
      <c r="S201" s="144"/>
      <c r="T201" s="144"/>
      <c r="U201" s="144"/>
      <c r="V201" s="144"/>
      <c r="W201" s="144"/>
      <c r="X201" s="144"/>
      <c r="Y201" s="144"/>
      <c r="Z201" s="144"/>
      <c r="AA201" s="144"/>
      <c r="AB201" s="144"/>
      <c r="AC201" s="144"/>
      <c r="AD201" s="144"/>
      <c r="AE201" s="144"/>
      <c r="AF201" s="144"/>
    </row>
    <row r="202" ht="16.5" customHeight="1">
      <c r="A202" s="144"/>
      <c r="B202" s="559"/>
      <c r="C202" s="352"/>
      <c r="D202" s="352"/>
      <c r="E202" s="352"/>
      <c r="F202" s="352"/>
      <c r="G202" s="560"/>
      <c r="H202" s="352"/>
      <c r="I202" s="352"/>
      <c r="J202" s="497"/>
      <c r="K202" s="496"/>
      <c r="L202" s="496"/>
      <c r="M202" s="144"/>
      <c r="N202" s="144"/>
      <c r="O202" s="144"/>
      <c r="P202" s="144"/>
      <c r="Q202" s="144"/>
      <c r="R202" s="144"/>
      <c r="S202" s="144"/>
      <c r="T202" s="144"/>
      <c r="U202" s="144"/>
      <c r="V202" s="144"/>
      <c r="W202" s="144"/>
      <c r="X202" s="144"/>
      <c r="Y202" s="144"/>
      <c r="Z202" s="144"/>
      <c r="AA202" s="144"/>
      <c r="AB202" s="144"/>
      <c r="AC202" s="144"/>
      <c r="AD202" s="144"/>
      <c r="AE202" s="144"/>
      <c r="AF202" s="144"/>
    </row>
    <row r="203" ht="16.5" customHeight="1">
      <c r="A203" s="144"/>
      <c r="B203" s="559"/>
      <c r="C203" s="346"/>
      <c r="D203" s="346"/>
      <c r="E203" s="352"/>
      <c r="F203" s="352"/>
      <c r="G203" s="560"/>
      <c r="H203" s="352"/>
      <c r="I203" s="497"/>
      <c r="J203" s="497"/>
      <c r="K203" s="496"/>
      <c r="L203" s="496"/>
      <c r="M203" s="144"/>
      <c r="N203" s="144"/>
      <c r="O203" s="144"/>
      <c r="P203" s="144"/>
      <c r="Q203" s="144"/>
      <c r="R203" s="144"/>
      <c r="S203" s="144"/>
      <c r="T203" s="144"/>
      <c r="U203" s="144"/>
      <c r="V203" s="144"/>
      <c r="W203" s="144"/>
      <c r="X203" s="144"/>
      <c r="Y203" s="144"/>
      <c r="Z203" s="144"/>
      <c r="AA203" s="144"/>
      <c r="AB203" s="144"/>
      <c r="AC203" s="144"/>
      <c r="AD203" s="144"/>
      <c r="AE203" s="144"/>
      <c r="AF203" s="144"/>
    </row>
    <row r="204" ht="16.5" customHeight="1">
      <c r="A204" s="144"/>
      <c r="B204" s="559"/>
      <c r="C204" s="346"/>
      <c r="D204" s="346"/>
      <c r="E204" s="352"/>
      <c r="F204" s="352"/>
      <c r="G204" s="560"/>
      <c r="H204" s="352"/>
      <c r="I204" s="497"/>
      <c r="J204" s="497"/>
      <c r="K204" s="496"/>
      <c r="L204" s="496"/>
      <c r="M204" s="144"/>
      <c r="N204" s="144"/>
      <c r="O204" s="144"/>
      <c r="P204" s="144"/>
      <c r="Q204" s="144"/>
      <c r="R204" s="144"/>
      <c r="S204" s="144"/>
      <c r="T204" s="144"/>
      <c r="U204" s="144"/>
      <c r="V204" s="144"/>
      <c r="W204" s="144"/>
      <c r="X204" s="144"/>
      <c r="Y204" s="144"/>
      <c r="Z204" s="144"/>
      <c r="AA204" s="144"/>
      <c r="AB204" s="144"/>
      <c r="AC204" s="144"/>
      <c r="AD204" s="144"/>
      <c r="AE204" s="144"/>
      <c r="AF204" s="144"/>
    </row>
    <row r="205" ht="16.5" customHeight="1">
      <c r="A205" s="144"/>
      <c r="B205" s="559"/>
      <c r="C205" s="346"/>
      <c r="D205" s="346"/>
      <c r="E205" s="352"/>
      <c r="F205" s="352"/>
      <c r="G205" s="560"/>
      <c r="H205" s="352"/>
      <c r="I205" s="497"/>
      <c r="J205" s="497"/>
      <c r="K205" s="496"/>
      <c r="L205" s="496"/>
      <c r="M205" s="144"/>
      <c r="N205" s="144"/>
      <c r="O205" s="144"/>
      <c r="P205" s="144"/>
      <c r="Q205" s="144"/>
      <c r="R205" s="144"/>
      <c r="S205" s="144"/>
      <c r="T205" s="144"/>
      <c r="U205" s="144"/>
      <c r="V205" s="144"/>
      <c r="W205" s="144"/>
      <c r="X205" s="144"/>
      <c r="Y205" s="144"/>
      <c r="Z205" s="144"/>
      <c r="AA205" s="144"/>
      <c r="AB205" s="144"/>
      <c r="AC205" s="144"/>
      <c r="AD205" s="144"/>
      <c r="AE205" s="144"/>
      <c r="AF205" s="144"/>
    </row>
    <row r="206" ht="16.5" customHeight="1">
      <c r="A206" s="144"/>
      <c r="B206" s="559"/>
      <c r="C206" s="346"/>
      <c r="D206" s="346"/>
      <c r="E206" s="352"/>
      <c r="F206" s="352"/>
      <c r="G206" s="560"/>
      <c r="H206" s="352"/>
      <c r="I206" s="497"/>
      <c r="J206" s="497"/>
      <c r="K206" s="496"/>
      <c r="L206" s="496"/>
      <c r="M206" s="144"/>
      <c r="N206" s="144"/>
      <c r="O206" s="144"/>
      <c r="P206" s="144"/>
      <c r="Q206" s="144"/>
      <c r="R206" s="144"/>
      <c r="S206" s="144"/>
      <c r="T206" s="144"/>
      <c r="U206" s="144"/>
      <c r="V206" s="144"/>
      <c r="W206" s="144"/>
      <c r="X206" s="144"/>
      <c r="Y206" s="144"/>
      <c r="Z206" s="144"/>
      <c r="AA206" s="144"/>
      <c r="AB206" s="144"/>
      <c r="AC206" s="144"/>
      <c r="AD206" s="144"/>
      <c r="AE206" s="144"/>
      <c r="AF206" s="144"/>
    </row>
    <row r="207" ht="16.5" customHeight="1">
      <c r="A207" s="144"/>
      <c r="B207" s="559"/>
      <c r="C207" s="346"/>
      <c r="D207" s="346"/>
      <c r="E207" s="352"/>
      <c r="F207" s="505"/>
      <c r="G207" s="560"/>
      <c r="H207" s="505"/>
      <c r="I207" s="497"/>
      <c r="J207" s="497"/>
      <c r="K207" s="496"/>
      <c r="L207" s="496"/>
      <c r="M207" s="144"/>
      <c r="N207" s="144"/>
      <c r="O207" s="144"/>
      <c r="P207" s="144"/>
      <c r="Q207" s="144"/>
      <c r="R207" s="144"/>
      <c r="S207" s="144"/>
      <c r="T207" s="144"/>
      <c r="U207" s="144"/>
      <c r="V207" s="144"/>
      <c r="W207" s="144"/>
      <c r="X207" s="144"/>
      <c r="Y207" s="144"/>
      <c r="Z207" s="144"/>
      <c r="AA207" s="144"/>
      <c r="AB207" s="144"/>
      <c r="AC207" s="144"/>
      <c r="AD207" s="144"/>
      <c r="AE207" s="144"/>
      <c r="AF207" s="144"/>
    </row>
    <row r="208" ht="16.5" customHeight="1">
      <c r="A208" s="144"/>
      <c r="B208" s="559"/>
      <c r="C208" s="346"/>
      <c r="D208" s="346"/>
      <c r="E208" s="352"/>
      <c r="F208" s="352"/>
      <c r="G208" s="560"/>
      <c r="H208" s="505"/>
      <c r="I208" s="497"/>
      <c r="J208" s="497"/>
      <c r="K208" s="496"/>
      <c r="L208" s="496"/>
      <c r="M208" s="144"/>
      <c r="N208" s="144"/>
      <c r="O208" s="144"/>
      <c r="P208" s="144"/>
      <c r="Q208" s="144"/>
      <c r="R208" s="144"/>
      <c r="S208" s="144"/>
      <c r="T208" s="144"/>
      <c r="U208" s="144"/>
      <c r="V208" s="144"/>
      <c r="W208" s="144"/>
      <c r="X208" s="144"/>
      <c r="Y208" s="144"/>
      <c r="Z208" s="144"/>
      <c r="AA208" s="144"/>
      <c r="AB208" s="144"/>
      <c r="AC208" s="144"/>
      <c r="AD208" s="144"/>
      <c r="AE208" s="144"/>
      <c r="AF208" s="144"/>
    </row>
    <row r="209" ht="16.5" customHeight="1">
      <c r="A209" s="144"/>
      <c r="B209" s="559"/>
      <c r="C209" s="346"/>
      <c r="D209" s="346"/>
      <c r="E209" s="352"/>
      <c r="F209" s="352"/>
      <c r="G209" s="560"/>
      <c r="H209" s="352"/>
      <c r="I209" s="352"/>
      <c r="J209" s="497"/>
      <c r="K209" s="496"/>
      <c r="L209" s="496"/>
      <c r="M209" s="144"/>
      <c r="N209" s="144"/>
      <c r="O209" s="144"/>
      <c r="P209" s="144"/>
      <c r="Q209" s="144"/>
      <c r="R209" s="144"/>
      <c r="S209" s="144"/>
      <c r="T209" s="144"/>
      <c r="U209" s="144"/>
      <c r="V209" s="144"/>
      <c r="W209" s="144"/>
      <c r="X209" s="144"/>
      <c r="Y209" s="144"/>
      <c r="Z209" s="144"/>
      <c r="AA209" s="144"/>
      <c r="AB209" s="144"/>
      <c r="AC209" s="144"/>
      <c r="AD209" s="144"/>
      <c r="AE209" s="144"/>
      <c r="AF209" s="144"/>
    </row>
    <row r="210" ht="16.5" customHeight="1">
      <c r="A210" s="144"/>
      <c r="B210" s="559"/>
      <c r="C210" s="346"/>
      <c r="D210" s="346"/>
      <c r="E210" s="352"/>
      <c r="F210" s="352"/>
      <c r="G210" s="560"/>
      <c r="H210" s="352"/>
      <c r="I210" s="352"/>
      <c r="J210" s="497"/>
      <c r="K210" s="496"/>
      <c r="L210" s="496"/>
      <c r="M210" s="144"/>
      <c r="N210" s="144"/>
      <c r="O210" s="144"/>
      <c r="P210" s="144"/>
      <c r="Q210" s="144"/>
      <c r="R210" s="144"/>
      <c r="S210" s="144"/>
      <c r="T210" s="144"/>
      <c r="U210" s="144"/>
      <c r="V210" s="144"/>
      <c r="W210" s="144"/>
      <c r="X210" s="144"/>
      <c r="Y210" s="144"/>
      <c r="Z210" s="144"/>
      <c r="AA210" s="144"/>
      <c r="AB210" s="144"/>
      <c r="AC210" s="144"/>
      <c r="AD210" s="144"/>
      <c r="AE210" s="144"/>
      <c r="AF210" s="144"/>
    </row>
    <row r="211" ht="16.5" customHeight="1">
      <c r="A211" s="144"/>
      <c r="B211" s="559"/>
      <c r="C211" s="346"/>
      <c r="D211" s="346"/>
      <c r="E211" s="352"/>
      <c r="F211" s="352"/>
      <c r="G211" s="560"/>
      <c r="H211" s="352"/>
      <c r="I211" s="497"/>
      <c r="J211" s="497"/>
      <c r="K211" s="496"/>
      <c r="L211" s="496"/>
      <c r="M211" s="144"/>
      <c r="N211" s="144"/>
      <c r="O211" s="144"/>
      <c r="P211" s="144"/>
      <c r="Q211" s="144"/>
      <c r="R211" s="144"/>
      <c r="S211" s="144"/>
      <c r="T211" s="144"/>
      <c r="U211" s="144"/>
      <c r="V211" s="144"/>
      <c r="W211" s="144"/>
      <c r="X211" s="144"/>
      <c r="Y211" s="144"/>
      <c r="Z211" s="144"/>
      <c r="AA211" s="144"/>
      <c r="AB211" s="144"/>
      <c r="AC211" s="144"/>
      <c r="AD211" s="144"/>
      <c r="AE211" s="144"/>
      <c r="AF211" s="144"/>
    </row>
    <row r="212" ht="16.5" customHeight="1">
      <c r="A212" s="144"/>
      <c r="B212" s="559"/>
      <c r="C212" s="346"/>
      <c r="D212" s="346"/>
      <c r="E212" s="352"/>
      <c r="F212" s="352"/>
      <c r="G212" s="560"/>
      <c r="H212" s="352"/>
      <c r="I212" s="497"/>
      <c r="J212" s="497"/>
      <c r="K212" s="496"/>
      <c r="L212" s="496"/>
      <c r="M212" s="144"/>
      <c r="N212" s="144"/>
      <c r="O212" s="144"/>
      <c r="P212" s="144"/>
      <c r="Q212" s="144"/>
      <c r="R212" s="144"/>
      <c r="S212" s="144"/>
      <c r="T212" s="144"/>
      <c r="U212" s="144"/>
      <c r="V212" s="144"/>
      <c r="W212" s="144"/>
      <c r="X212" s="144"/>
      <c r="Y212" s="144"/>
      <c r="Z212" s="144"/>
      <c r="AA212" s="144"/>
      <c r="AB212" s="144"/>
      <c r="AC212" s="144"/>
      <c r="AD212" s="144"/>
      <c r="AE212" s="144"/>
      <c r="AF212" s="144"/>
    </row>
    <row r="213" ht="16.5" customHeight="1">
      <c r="A213" s="144"/>
      <c r="B213" s="559"/>
      <c r="C213" s="346"/>
      <c r="D213" s="346"/>
      <c r="E213" s="352"/>
      <c r="F213" s="352"/>
      <c r="G213" s="560"/>
      <c r="H213" s="352"/>
      <c r="I213" s="497"/>
      <c r="J213" s="497"/>
      <c r="K213" s="496"/>
      <c r="L213" s="496"/>
      <c r="M213" s="144"/>
      <c r="N213" s="144"/>
      <c r="O213" s="144"/>
      <c r="P213" s="144"/>
      <c r="Q213" s="144"/>
      <c r="R213" s="144"/>
      <c r="S213" s="144"/>
      <c r="T213" s="144"/>
      <c r="U213" s="144"/>
      <c r="V213" s="144"/>
      <c r="W213" s="144"/>
      <c r="X213" s="144"/>
      <c r="Y213" s="144"/>
      <c r="Z213" s="144"/>
      <c r="AA213" s="144"/>
      <c r="AB213" s="144"/>
      <c r="AC213" s="144"/>
      <c r="AD213" s="144"/>
      <c r="AE213" s="144"/>
      <c r="AF213" s="144"/>
    </row>
    <row r="214" ht="16.5" customHeight="1">
      <c r="A214" s="144"/>
      <c r="B214" s="559"/>
      <c r="C214" s="346"/>
      <c r="D214" s="346"/>
      <c r="E214" s="352"/>
      <c r="F214" s="352"/>
      <c r="G214" s="560"/>
      <c r="H214" s="352"/>
      <c r="I214" s="497"/>
      <c r="J214" s="497"/>
      <c r="K214" s="496"/>
      <c r="L214" s="496"/>
      <c r="M214" s="144"/>
      <c r="N214" s="144"/>
      <c r="O214" s="144"/>
      <c r="P214" s="144"/>
      <c r="Q214" s="144"/>
      <c r="R214" s="144"/>
      <c r="S214" s="144"/>
      <c r="T214" s="144"/>
      <c r="U214" s="144"/>
      <c r="V214" s="144"/>
      <c r="W214" s="144"/>
      <c r="X214" s="144"/>
      <c r="Y214" s="144"/>
      <c r="Z214" s="144"/>
      <c r="AA214" s="144"/>
      <c r="AB214" s="144"/>
      <c r="AC214" s="144"/>
      <c r="AD214" s="144"/>
      <c r="AE214" s="144"/>
      <c r="AF214" s="144"/>
    </row>
    <row r="215" ht="16.5" customHeight="1">
      <c r="A215" s="144"/>
      <c r="B215" s="559"/>
      <c r="C215" s="346"/>
      <c r="D215" s="346"/>
      <c r="E215" s="352"/>
      <c r="F215" s="505"/>
      <c r="G215" s="560"/>
      <c r="H215" s="505"/>
      <c r="I215" s="497"/>
      <c r="J215" s="497"/>
      <c r="K215" s="496"/>
      <c r="L215" s="496"/>
      <c r="M215" s="144"/>
      <c r="N215" s="144"/>
      <c r="O215" s="144"/>
      <c r="P215" s="144"/>
      <c r="Q215" s="144"/>
      <c r="R215" s="144"/>
      <c r="S215" s="144"/>
      <c r="T215" s="144"/>
      <c r="U215" s="144"/>
      <c r="V215" s="144"/>
      <c r="W215" s="144"/>
      <c r="X215" s="144"/>
      <c r="Y215" s="144"/>
      <c r="Z215" s="144"/>
      <c r="AA215" s="144"/>
      <c r="AB215" s="144"/>
      <c r="AC215" s="144"/>
      <c r="AD215" s="144"/>
      <c r="AE215" s="144"/>
      <c r="AF215" s="144"/>
    </row>
    <row r="216" ht="16.5" customHeight="1">
      <c r="A216" s="144"/>
      <c r="B216" s="559"/>
      <c r="C216" s="346"/>
      <c r="D216" s="346"/>
      <c r="E216" s="352"/>
      <c r="F216" s="352"/>
      <c r="G216" s="560"/>
      <c r="H216" s="505"/>
      <c r="I216" s="497"/>
      <c r="J216" s="497"/>
      <c r="K216" s="496"/>
      <c r="L216" s="496"/>
      <c r="M216" s="144"/>
      <c r="N216" s="144"/>
      <c r="O216" s="144"/>
      <c r="P216" s="144"/>
      <c r="Q216" s="144"/>
      <c r="R216" s="144"/>
      <c r="S216" s="144"/>
      <c r="T216" s="144"/>
      <c r="U216" s="144"/>
      <c r="V216" s="144"/>
      <c r="W216" s="144"/>
      <c r="X216" s="144"/>
      <c r="Y216" s="144"/>
      <c r="Z216" s="144"/>
      <c r="AA216" s="144"/>
      <c r="AB216" s="144"/>
      <c r="AC216" s="144"/>
      <c r="AD216" s="144"/>
      <c r="AE216" s="144"/>
      <c r="AF216" s="144"/>
    </row>
    <row r="217" ht="16.5" customHeight="1">
      <c r="A217" s="144"/>
      <c r="B217" s="559"/>
      <c r="C217" s="346"/>
      <c r="D217" s="346"/>
      <c r="E217" s="352"/>
      <c r="F217" s="352"/>
      <c r="G217" s="560"/>
      <c r="H217" s="352"/>
      <c r="I217" s="352"/>
      <c r="J217" s="497"/>
      <c r="K217" s="496"/>
      <c r="L217" s="496"/>
      <c r="M217" s="144"/>
      <c r="N217" s="144"/>
      <c r="O217" s="144"/>
      <c r="P217" s="144"/>
      <c r="Q217" s="144"/>
      <c r="R217" s="144"/>
      <c r="S217" s="144"/>
      <c r="T217" s="144"/>
      <c r="U217" s="144"/>
      <c r="V217" s="144"/>
      <c r="W217" s="144"/>
      <c r="X217" s="144"/>
      <c r="Y217" s="144"/>
      <c r="Z217" s="144"/>
      <c r="AA217" s="144"/>
      <c r="AB217" s="144"/>
      <c r="AC217" s="144"/>
      <c r="AD217" s="144"/>
      <c r="AE217" s="144"/>
      <c r="AF217" s="144"/>
    </row>
    <row r="218" ht="16.5" customHeight="1">
      <c r="A218" s="144"/>
      <c r="B218" s="559"/>
      <c r="C218" s="346"/>
      <c r="D218" s="346"/>
      <c r="E218" s="352"/>
      <c r="F218" s="352"/>
      <c r="G218" s="560"/>
      <c r="H218" s="352"/>
      <c r="I218" s="352"/>
      <c r="J218" s="497"/>
      <c r="K218" s="496"/>
      <c r="L218" s="496"/>
      <c r="M218" s="144"/>
      <c r="N218" s="144"/>
      <c r="O218" s="144"/>
      <c r="P218" s="144"/>
      <c r="Q218" s="144"/>
      <c r="R218" s="144"/>
      <c r="S218" s="144"/>
      <c r="T218" s="144"/>
      <c r="U218" s="144"/>
      <c r="V218" s="144"/>
      <c r="W218" s="144"/>
      <c r="X218" s="144"/>
      <c r="Y218" s="144"/>
      <c r="Z218" s="144"/>
      <c r="AA218" s="144"/>
      <c r="AB218" s="144"/>
      <c r="AC218" s="144"/>
      <c r="AD218" s="144"/>
      <c r="AE218" s="144"/>
      <c r="AF218" s="144"/>
    </row>
    <row r="219" ht="16.5" customHeight="1">
      <c r="A219" s="144"/>
      <c r="B219" s="559"/>
      <c r="C219" s="346"/>
      <c r="D219" s="346"/>
      <c r="E219" s="352"/>
      <c r="F219" s="352"/>
      <c r="G219" s="560"/>
      <c r="H219" s="352"/>
      <c r="I219" s="497"/>
      <c r="J219" s="497"/>
      <c r="K219" s="496"/>
      <c r="L219" s="496"/>
      <c r="M219" s="144"/>
      <c r="N219" s="144"/>
      <c r="O219" s="144"/>
      <c r="P219" s="144"/>
      <c r="Q219" s="144"/>
      <c r="R219" s="144"/>
      <c r="S219" s="144"/>
      <c r="T219" s="144"/>
      <c r="U219" s="144"/>
      <c r="V219" s="144"/>
      <c r="W219" s="144"/>
      <c r="X219" s="144"/>
      <c r="Y219" s="144"/>
      <c r="Z219" s="144"/>
      <c r="AA219" s="144"/>
      <c r="AB219" s="144"/>
      <c r="AC219" s="144"/>
      <c r="AD219" s="144"/>
      <c r="AE219" s="144"/>
      <c r="AF219" s="144"/>
    </row>
    <row r="220" ht="16.5" customHeight="1">
      <c r="A220" s="144"/>
      <c r="B220" s="559"/>
      <c r="C220" s="346"/>
      <c r="D220" s="346"/>
      <c r="E220" s="352"/>
      <c r="F220" s="352"/>
      <c r="G220" s="560"/>
      <c r="H220" s="352"/>
      <c r="I220" s="497"/>
      <c r="J220" s="497"/>
      <c r="K220" s="496"/>
      <c r="L220" s="496"/>
      <c r="M220" s="144"/>
      <c r="N220" s="144"/>
      <c r="O220" s="144"/>
      <c r="P220" s="144"/>
      <c r="Q220" s="144"/>
      <c r="R220" s="144"/>
      <c r="S220" s="144"/>
      <c r="T220" s="144"/>
      <c r="U220" s="144"/>
      <c r="V220" s="144"/>
      <c r="W220" s="144"/>
      <c r="X220" s="144"/>
      <c r="Y220" s="144"/>
      <c r="Z220" s="144"/>
      <c r="AA220" s="144"/>
      <c r="AB220" s="144"/>
      <c r="AC220" s="144"/>
      <c r="AD220" s="144"/>
      <c r="AE220" s="144"/>
      <c r="AF220" s="144"/>
    </row>
    <row r="221" ht="16.5" customHeight="1">
      <c r="A221" s="144"/>
      <c r="B221" s="559"/>
      <c r="C221" s="346"/>
      <c r="D221" s="346"/>
      <c r="E221" s="352"/>
      <c r="F221" s="352"/>
      <c r="G221" s="560"/>
      <c r="H221" s="352"/>
      <c r="I221" s="497"/>
      <c r="J221" s="497"/>
      <c r="K221" s="496"/>
      <c r="L221" s="496"/>
      <c r="M221" s="144"/>
      <c r="N221" s="144"/>
      <c r="O221" s="144"/>
      <c r="P221" s="144"/>
      <c r="Q221" s="144"/>
      <c r="R221" s="144"/>
      <c r="S221" s="144"/>
      <c r="T221" s="144"/>
      <c r="U221" s="144"/>
      <c r="V221" s="144"/>
      <c r="W221" s="144"/>
      <c r="X221" s="144"/>
      <c r="Y221" s="144"/>
      <c r="Z221" s="144"/>
      <c r="AA221" s="144"/>
      <c r="AB221" s="144"/>
      <c r="AC221" s="144"/>
      <c r="AD221" s="144"/>
      <c r="AE221" s="144"/>
      <c r="AF221" s="144"/>
    </row>
    <row r="222" ht="16.5" customHeight="1">
      <c r="A222" s="144"/>
      <c r="B222" s="559"/>
      <c r="C222" s="346"/>
      <c r="D222" s="346"/>
      <c r="E222" s="352"/>
      <c r="F222" s="352"/>
      <c r="G222" s="560"/>
      <c r="H222" s="352"/>
      <c r="I222" s="497"/>
      <c r="J222" s="497"/>
      <c r="K222" s="496"/>
      <c r="L222" s="496"/>
      <c r="M222" s="144"/>
      <c r="N222" s="144"/>
      <c r="O222" s="144"/>
      <c r="P222" s="144"/>
      <c r="Q222" s="144"/>
      <c r="R222" s="144"/>
      <c r="S222" s="144"/>
      <c r="T222" s="144"/>
      <c r="U222" s="144"/>
      <c r="V222" s="144"/>
      <c r="W222" s="144"/>
      <c r="X222" s="144"/>
      <c r="Y222" s="144"/>
      <c r="Z222" s="144"/>
      <c r="AA222" s="144"/>
      <c r="AB222" s="144"/>
      <c r="AC222" s="144"/>
      <c r="AD222" s="144"/>
      <c r="AE222" s="144"/>
      <c r="AF222" s="144"/>
    </row>
    <row r="223" ht="16.5" customHeight="1">
      <c r="A223" s="144"/>
      <c r="B223" s="559"/>
      <c r="C223" s="346"/>
      <c r="D223" s="346"/>
      <c r="E223" s="352"/>
      <c r="F223" s="505"/>
      <c r="G223" s="560"/>
      <c r="H223" s="505"/>
      <c r="I223" s="497"/>
      <c r="J223" s="497"/>
      <c r="K223" s="496"/>
      <c r="L223" s="496"/>
      <c r="M223" s="144"/>
      <c r="N223" s="144"/>
      <c r="O223" s="144"/>
      <c r="P223" s="144"/>
      <c r="Q223" s="144"/>
      <c r="R223" s="144"/>
      <c r="S223" s="144"/>
      <c r="T223" s="144"/>
      <c r="U223" s="144"/>
      <c r="V223" s="144"/>
      <c r="W223" s="144"/>
      <c r="X223" s="144"/>
      <c r="Y223" s="144"/>
      <c r="Z223" s="144"/>
      <c r="AA223" s="144"/>
      <c r="AB223" s="144"/>
      <c r="AC223" s="144"/>
      <c r="AD223" s="144"/>
      <c r="AE223" s="144"/>
      <c r="AF223" s="144"/>
    </row>
    <row r="224" ht="16.5" customHeight="1">
      <c r="A224" s="144"/>
      <c r="B224" s="559"/>
      <c r="C224" s="346"/>
      <c r="D224" s="346"/>
      <c r="E224" s="352"/>
      <c r="F224" s="352"/>
      <c r="G224" s="560"/>
      <c r="H224" s="505"/>
      <c r="I224" s="497"/>
      <c r="J224" s="497"/>
      <c r="K224" s="496"/>
      <c r="L224" s="496"/>
      <c r="M224" s="144"/>
      <c r="N224" s="144"/>
      <c r="O224" s="144"/>
      <c r="P224" s="144"/>
      <c r="Q224" s="144"/>
      <c r="R224" s="144"/>
      <c r="S224" s="144"/>
      <c r="T224" s="144"/>
      <c r="U224" s="144"/>
      <c r="V224" s="144"/>
      <c r="W224" s="144"/>
      <c r="X224" s="144"/>
      <c r="Y224" s="144"/>
      <c r="Z224" s="144"/>
      <c r="AA224" s="144"/>
      <c r="AB224" s="144"/>
      <c r="AC224" s="144"/>
      <c r="AD224" s="144"/>
      <c r="AE224" s="144"/>
      <c r="AF224" s="144"/>
    </row>
    <row r="225" ht="16.5" customHeight="1">
      <c r="A225" s="144"/>
      <c r="B225" s="559"/>
      <c r="C225" s="346"/>
      <c r="D225" s="346"/>
      <c r="E225" s="352"/>
      <c r="F225" s="352"/>
      <c r="G225" s="560"/>
      <c r="H225" s="352"/>
      <c r="I225" s="497"/>
      <c r="J225" s="497"/>
      <c r="K225" s="496"/>
      <c r="L225" s="496"/>
      <c r="M225" s="144"/>
      <c r="N225" s="144"/>
      <c r="O225" s="144"/>
      <c r="P225" s="144"/>
      <c r="Q225" s="144"/>
      <c r="R225" s="144"/>
      <c r="S225" s="144"/>
      <c r="T225" s="144"/>
      <c r="U225" s="144"/>
      <c r="V225" s="144"/>
      <c r="W225" s="144"/>
      <c r="X225" s="144"/>
      <c r="Y225" s="144"/>
      <c r="Z225" s="144"/>
      <c r="AA225" s="144"/>
      <c r="AB225" s="144"/>
      <c r="AC225" s="144"/>
      <c r="AD225" s="144"/>
      <c r="AE225" s="144"/>
      <c r="AF225" s="144"/>
    </row>
    <row r="226" ht="16.5" customHeight="1">
      <c r="A226" s="144"/>
      <c r="B226" s="559"/>
      <c r="C226" s="346"/>
      <c r="D226" s="346"/>
      <c r="E226" s="352"/>
      <c r="F226" s="352"/>
      <c r="G226" s="560"/>
      <c r="H226" s="352"/>
      <c r="I226" s="497"/>
      <c r="J226" s="497"/>
      <c r="K226" s="496"/>
      <c r="L226" s="496"/>
      <c r="M226" s="144"/>
      <c r="N226" s="144"/>
      <c r="O226" s="144"/>
      <c r="P226" s="144"/>
      <c r="Q226" s="144"/>
      <c r="R226" s="144"/>
      <c r="S226" s="144"/>
      <c r="T226" s="144"/>
      <c r="U226" s="144"/>
      <c r="V226" s="144"/>
      <c r="W226" s="144"/>
      <c r="X226" s="144"/>
      <c r="Y226" s="144"/>
      <c r="Z226" s="144"/>
      <c r="AA226" s="144"/>
      <c r="AB226" s="144"/>
      <c r="AC226" s="144"/>
      <c r="AD226" s="144"/>
      <c r="AE226" s="144"/>
      <c r="AF226" s="144"/>
    </row>
    <row r="227" ht="16.5" customHeight="1">
      <c r="A227" s="144"/>
      <c r="B227" s="559"/>
      <c r="C227" s="346"/>
      <c r="D227" s="346"/>
      <c r="E227" s="352"/>
      <c r="F227" s="352"/>
      <c r="G227" s="560"/>
      <c r="H227" s="352"/>
      <c r="I227" s="497"/>
      <c r="J227" s="497"/>
      <c r="K227" s="496"/>
      <c r="L227" s="496"/>
      <c r="M227" s="144"/>
      <c r="N227" s="144"/>
      <c r="O227" s="144"/>
      <c r="P227" s="144"/>
      <c r="Q227" s="144"/>
      <c r="R227" s="144"/>
      <c r="S227" s="144"/>
      <c r="T227" s="144"/>
      <c r="U227" s="144"/>
      <c r="V227" s="144"/>
      <c r="W227" s="144"/>
      <c r="X227" s="144"/>
      <c r="Y227" s="144"/>
      <c r="Z227" s="144"/>
      <c r="AA227" s="144"/>
      <c r="AB227" s="144"/>
      <c r="AC227" s="144"/>
      <c r="AD227" s="144"/>
      <c r="AE227" s="144"/>
      <c r="AF227" s="144"/>
    </row>
    <row r="228" ht="16.5" customHeight="1">
      <c r="A228" s="144"/>
      <c r="B228" s="559"/>
      <c r="C228" s="346"/>
      <c r="D228" s="346"/>
      <c r="E228" s="352"/>
      <c r="F228" s="352"/>
      <c r="G228" s="560"/>
      <c r="H228" s="352"/>
      <c r="I228" s="497"/>
      <c r="J228" s="497"/>
      <c r="K228" s="496"/>
      <c r="L228" s="496"/>
      <c r="M228" s="144"/>
      <c r="N228" s="144"/>
      <c r="O228" s="144"/>
      <c r="P228" s="144"/>
      <c r="Q228" s="144"/>
      <c r="R228" s="144"/>
      <c r="S228" s="144"/>
      <c r="T228" s="144"/>
      <c r="U228" s="144"/>
      <c r="V228" s="144"/>
      <c r="W228" s="144"/>
      <c r="X228" s="144"/>
      <c r="Y228" s="144"/>
      <c r="Z228" s="144"/>
      <c r="AA228" s="144"/>
      <c r="AB228" s="144"/>
      <c r="AC228" s="144"/>
      <c r="AD228" s="144"/>
      <c r="AE228" s="144"/>
      <c r="AF228" s="144"/>
    </row>
    <row r="229" ht="16.5" customHeight="1">
      <c r="A229" s="144"/>
      <c r="B229" s="559"/>
      <c r="C229" s="346"/>
      <c r="D229" s="346"/>
      <c r="E229" s="352"/>
      <c r="F229" s="352"/>
      <c r="G229" s="560"/>
      <c r="H229" s="352"/>
      <c r="I229" s="497"/>
      <c r="J229" s="497"/>
      <c r="K229" s="496"/>
      <c r="L229" s="496"/>
      <c r="M229" s="144"/>
      <c r="N229" s="144"/>
      <c r="O229" s="144"/>
      <c r="P229" s="144"/>
      <c r="Q229" s="144"/>
      <c r="R229" s="144"/>
      <c r="S229" s="144"/>
      <c r="T229" s="144"/>
      <c r="U229" s="144"/>
      <c r="V229" s="144"/>
      <c r="W229" s="144"/>
      <c r="X229" s="144"/>
      <c r="Y229" s="144"/>
      <c r="Z229" s="144"/>
      <c r="AA229" s="144"/>
      <c r="AB229" s="144"/>
      <c r="AC229" s="144"/>
      <c r="AD229" s="144"/>
      <c r="AE229" s="144"/>
      <c r="AF229" s="144"/>
    </row>
    <row r="230" ht="16.5" customHeight="1">
      <c r="A230" s="144"/>
      <c r="B230" s="559"/>
      <c r="C230" s="346"/>
      <c r="D230" s="346"/>
      <c r="E230" s="352"/>
      <c r="F230" s="352"/>
      <c r="G230" s="560"/>
      <c r="H230" s="352"/>
      <c r="I230" s="497"/>
      <c r="J230" s="497"/>
      <c r="K230" s="496"/>
      <c r="L230" s="496"/>
      <c r="M230" s="144"/>
      <c r="N230" s="144"/>
      <c r="O230" s="144"/>
      <c r="P230" s="144"/>
      <c r="Q230" s="144"/>
      <c r="R230" s="144"/>
      <c r="S230" s="144"/>
      <c r="T230" s="144"/>
      <c r="U230" s="144"/>
      <c r="V230" s="144"/>
      <c r="W230" s="144"/>
      <c r="X230" s="144"/>
      <c r="Y230" s="144"/>
      <c r="Z230" s="144"/>
      <c r="AA230" s="144"/>
      <c r="AB230" s="144"/>
      <c r="AC230" s="144"/>
      <c r="AD230" s="144"/>
      <c r="AE230" s="144"/>
      <c r="AF230" s="144"/>
    </row>
    <row r="231" ht="16.5" customHeight="1">
      <c r="A231" s="144"/>
      <c r="B231" s="559"/>
      <c r="C231" s="346"/>
      <c r="D231" s="346"/>
      <c r="E231" s="352"/>
      <c r="F231" s="352"/>
      <c r="G231" s="560"/>
      <c r="H231" s="352"/>
      <c r="I231" s="497"/>
      <c r="J231" s="497"/>
      <c r="K231" s="496"/>
      <c r="L231" s="496"/>
      <c r="M231" s="144"/>
      <c r="N231" s="144"/>
      <c r="O231" s="144"/>
      <c r="P231" s="144"/>
      <c r="Q231" s="144"/>
      <c r="R231" s="144"/>
      <c r="S231" s="144"/>
      <c r="T231" s="144"/>
      <c r="U231" s="144"/>
      <c r="V231" s="144"/>
      <c r="W231" s="144"/>
      <c r="X231" s="144"/>
      <c r="Y231" s="144"/>
      <c r="Z231" s="144"/>
      <c r="AA231" s="144"/>
      <c r="AB231" s="144"/>
      <c r="AC231" s="144"/>
      <c r="AD231" s="144"/>
      <c r="AE231" s="144"/>
      <c r="AF231" s="144"/>
    </row>
    <row r="232" ht="16.5" customHeight="1">
      <c r="A232" s="144"/>
      <c r="B232" s="559"/>
      <c r="C232" s="346"/>
      <c r="D232" s="346"/>
      <c r="E232" s="352"/>
      <c r="F232" s="505"/>
      <c r="G232" s="560"/>
      <c r="H232" s="505"/>
      <c r="I232" s="352"/>
      <c r="J232" s="497"/>
      <c r="K232" s="496"/>
      <c r="L232" s="496"/>
      <c r="M232" s="144"/>
      <c r="N232" s="144"/>
      <c r="O232" s="144"/>
      <c r="P232" s="144"/>
      <c r="Q232" s="144"/>
      <c r="R232" s="144"/>
      <c r="S232" s="144"/>
      <c r="T232" s="144"/>
      <c r="U232" s="144"/>
      <c r="V232" s="144"/>
      <c r="W232" s="144"/>
      <c r="X232" s="144"/>
      <c r="Y232" s="144"/>
      <c r="Z232" s="144"/>
      <c r="AA232" s="144"/>
      <c r="AB232" s="144"/>
      <c r="AC232" s="144"/>
      <c r="AD232" s="144"/>
      <c r="AE232" s="144"/>
      <c r="AF232" s="144"/>
    </row>
    <row r="233" ht="16.5" customHeight="1">
      <c r="A233" s="144"/>
      <c r="B233" s="559"/>
      <c r="C233" s="346"/>
      <c r="D233" s="346"/>
      <c r="E233" s="352"/>
      <c r="F233" s="352"/>
      <c r="G233" s="560"/>
      <c r="H233" s="505"/>
      <c r="I233" s="352"/>
      <c r="J233" s="497"/>
      <c r="K233" s="496"/>
      <c r="L233" s="496"/>
      <c r="M233" s="144"/>
      <c r="N233" s="144"/>
      <c r="O233" s="144"/>
      <c r="P233" s="144"/>
      <c r="Q233" s="144"/>
      <c r="R233" s="144"/>
      <c r="S233" s="144"/>
      <c r="T233" s="144"/>
      <c r="U233" s="144"/>
      <c r="V233" s="144"/>
      <c r="W233" s="144"/>
      <c r="X233" s="144"/>
      <c r="Y233" s="144"/>
      <c r="Z233" s="144"/>
      <c r="AA233" s="144"/>
      <c r="AB233" s="144"/>
      <c r="AC233" s="144"/>
      <c r="AD233" s="144"/>
      <c r="AE233" s="144"/>
      <c r="AF233" s="144"/>
    </row>
    <row r="234" ht="16.5" customHeight="1">
      <c r="A234" s="144"/>
      <c r="B234" s="559"/>
      <c r="C234" s="346"/>
      <c r="D234" s="346"/>
      <c r="E234" s="352"/>
      <c r="F234" s="565"/>
      <c r="G234" s="560"/>
      <c r="H234" s="565"/>
      <c r="I234" s="497"/>
      <c r="J234" s="497"/>
      <c r="K234" s="496"/>
      <c r="L234" s="496"/>
      <c r="M234" s="144"/>
      <c r="N234" s="144"/>
      <c r="O234" s="144"/>
      <c r="P234" s="144"/>
      <c r="Q234" s="144"/>
      <c r="R234" s="144"/>
      <c r="S234" s="144"/>
      <c r="T234" s="144"/>
      <c r="U234" s="144"/>
      <c r="V234" s="144"/>
      <c r="W234" s="144"/>
      <c r="X234" s="144"/>
      <c r="Y234" s="144"/>
      <c r="Z234" s="144"/>
      <c r="AA234" s="144"/>
      <c r="AB234" s="144"/>
      <c r="AC234" s="144"/>
      <c r="AD234" s="144"/>
      <c r="AE234" s="144"/>
      <c r="AF234" s="144"/>
    </row>
    <row r="235" ht="16.5" customHeight="1">
      <c r="A235" s="144"/>
      <c r="B235" s="559"/>
      <c r="C235" s="346"/>
      <c r="D235" s="346"/>
      <c r="E235" s="352"/>
      <c r="F235" s="352"/>
      <c r="G235" s="560"/>
      <c r="H235" s="352"/>
      <c r="I235" s="497"/>
      <c r="J235" s="497"/>
      <c r="K235" s="496"/>
      <c r="L235" s="496"/>
      <c r="M235" s="144"/>
      <c r="N235" s="144"/>
      <c r="O235" s="144"/>
      <c r="P235" s="144"/>
      <c r="Q235" s="144"/>
      <c r="R235" s="144"/>
      <c r="S235" s="144"/>
      <c r="T235" s="144"/>
      <c r="U235" s="144"/>
      <c r="V235" s="144"/>
      <c r="W235" s="144"/>
      <c r="X235" s="144"/>
      <c r="Y235" s="144"/>
      <c r="Z235" s="144"/>
      <c r="AA235" s="144"/>
      <c r="AB235" s="144"/>
      <c r="AC235" s="144"/>
      <c r="AD235" s="144"/>
      <c r="AE235" s="144"/>
      <c r="AF235" s="144"/>
    </row>
    <row r="236" ht="16.5" customHeight="1">
      <c r="A236" s="144"/>
      <c r="B236" s="559"/>
      <c r="C236" s="352"/>
      <c r="D236" s="352"/>
      <c r="E236" s="352"/>
      <c r="F236" s="352"/>
      <c r="G236" s="560"/>
      <c r="H236" s="352"/>
      <c r="I236" s="497"/>
      <c r="J236" s="497"/>
      <c r="K236" s="496"/>
      <c r="L236" s="496"/>
      <c r="M236" s="144"/>
      <c r="N236" s="144"/>
      <c r="O236" s="144"/>
      <c r="P236" s="144"/>
      <c r="Q236" s="144"/>
      <c r="R236" s="144"/>
      <c r="S236" s="144"/>
      <c r="T236" s="144"/>
      <c r="U236" s="144"/>
      <c r="V236" s="144"/>
      <c r="W236" s="144"/>
      <c r="X236" s="144"/>
      <c r="Y236" s="144"/>
      <c r="Z236" s="144"/>
      <c r="AA236" s="144"/>
      <c r="AB236" s="144"/>
      <c r="AC236" s="144"/>
      <c r="AD236" s="144"/>
      <c r="AE236" s="144"/>
      <c r="AF236" s="144"/>
    </row>
    <row r="237" ht="16.5" customHeight="1">
      <c r="A237" s="144"/>
      <c r="B237" s="559"/>
      <c r="C237" s="352"/>
      <c r="D237" s="352"/>
      <c r="E237" s="352"/>
      <c r="F237" s="352"/>
      <c r="G237" s="560"/>
      <c r="H237" s="352"/>
      <c r="I237" s="497"/>
      <c r="J237" s="497"/>
      <c r="K237" s="496"/>
      <c r="L237" s="496"/>
      <c r="M237" s="144"/>
      <c r="N237" s="144"/>
      <c r="O237" s="144"/>
      <c r="P237" s="144"/>
      <c r="Q237" s="144"/>
      <c r="R237" s="144"/>
      <c r="S237" s="144"/>
      <c r="T237" s="144"/>
      <c r="U237" s="144"/>
      <c r="V237" s="144"/>
      <c r="W237" s="144"/>
      <c r="X237" s="144"/>
      <c r="Y237" s="144"/>
      <c r="Z237" s="144"/>
      <c r="AA237" s="144"/>
      <c r="AB237" s="144"/>
      <c r="AC237" s="144"/>
      <c r="AD237" s="144"/>
      <c r="AE237" s="144"/>
      <c r="AF237" s="144"/>
    </row>
    <row r="238" ht="16.5" customHeight="1">
      <c r="A238" s="144"/>
      <c r="B238" s="559"/>
      <c r="C238" s="352"/>
      <c r="D238" s="352"/>
      <c r="E238" s="352"/>
      <c r="F238" s="352"/>
      <c r="G238" s="560"/>
      <c r="H238" s="352"/>
      <c r="I238" s="497"/>
      <c r="J238" s="497"/>
      <c r="K238" s="496"/>
      <c r="L238" s="496"/>
      <c r="M238" s="144"/>
      <c r="N238" s="144"/>
      <c r="O238" s="144"/>
      <c r="P238" s="144"/>
      <c r="Q238" s="144"/>
      <c r="R238" s="144"/>
      <c r="S238" s="144"/>
      <c r="T238" s="144"/>
      <c r="U238" s="144"/>
      <c r="V238" s="144"/>
      <c r="W238" s="144"/>
      <c r="X238" s="144"/>
      <c r="Y238" s="144"/>
      <c r="Z238" s="144"/>
      <c r="AA238" s="144"/>
      <c r="AB238" s="144"/>
      <c r="AC238" s="144"/>
      <c r="AD238" s="144"/>
      <c r="AE238" s="144"/>
      <c r="AF238" s="144"/>
    </row>
    <row r="239" ht="16.5" customHeight="1">
      <c r="A239" s="144"/>
      <c r="B239" s="559"/>
      <c r="C239" s="352"/>
      <c r="D239" s="352"/>
      <c r="E239" s="352"/>
      <c r="F239" s="352"/>
      <c r="G239" s="560"/>
      <c r="H239" s="352"/>
      <c r="I239" s="352"/>
      <c r="J239" s="497"/>
      <c r="K239" s="496"/>
      <c r="L239" s="496"/>
      <c r="M239" s="144"/>
      <c r="N239" s="144"/>
      <c r="O239" s="144"/>
      <c r="P239" s="144"/>
      <c r="Q239" s="144"/>
      <c r="R239" s="144"/>
      <c r="S239" s="144"/>
      <c r="T239" s="144"/>
      <c r="U239" s="144"/>
      <c r="V239" s="144"/>
      <c r="W239" s="144"/>
      <c r="X239" s="144"/>
      <c r="Y239" s="144"/>
      <c r="Z239" s="144"/>
      <c r="AA239" s="144"/>
      <c r="AB239" s="144"/>
      <c r="AC239" s="144"/>
      <c r="AD239" s="144"/>
      <c r="AE239" s="144"/>
      <c r="AF239" s="144"/>
    </row>
    <row r="240" ht="16.5" customHeight="1">
      <c r="A240" s="144"/>
      <c r="B240" s="559"/>
      <c r="C240" s="352"/>
      <c r="D240" s="352"/>
      <c r="E240" s="352"/>
      <c r="F240" s="352"/>
      <c r="G240" s="560"/>
      <c r="H240" s="352"/>
      <c r="I240" s="352"/>
      <c r="J240" s="497"/>
      <c r="K240" s="496"/>
      <c r="L240" s="496"/>
      <c r="M240" s="144"/>
      <c r="N240" s="144"/>
      <c r="O240" s="144"/>
      <c r="P240" s="144"/>
      <c r="Q240" s="144"/>
      <c r="R240" s="144"/>
      <c r="S240" s="144"/>
      <c r="T240" s="144"/>
      <c r="U240" s="144"/>
      <c r="V240" s="144"/>
      <c r="W240" s="144"/>
      <c r="X240" s="144"/>
      <c r="Y240" s="144"/>
      <c r="Z240" s="144"/>
      <c r="AA240" s="144"/>
      <c r="AB240" s="144"/>
      <c r="AC240" s="144"/>
      <c r="AD240" s="144"/>
      <c r="AE240" s="144"/>
      <c r="AF240" s="144"/>
    </row>
    <row r="241" ht="16.5" customHeight="1">
      <c r="A241" s="144"/>
      <c r="B241" s="559"/>
      <c r="C241" s="352"/>
      <c r="D241" s="352"/>
      <c r="E241" s="352"/>
      <c r="F241" s="505"/>
      <c r="G241" s="560"/>
      <c r="H241" s="505"/>
      <c r="I241" s="497"/>
      <c r="J241" s="497"/>
      <c r="K241" s="496"/>
      <c r="L241" s="496"/>
      <c r="M241" s="144"/>
      <c r="N241" s="144"/>
      <c r="O241" s="144"/>
      <c r="P241" s="144"/>
      <c r="Q241" s="144"/>
      <c r="R241" s="144"/>
      <c r="S241" s="144"/>
      <c r="T241" s="144"/>
      <c r="U241" s="144"/>
      <c r="V241" s="144"/>
      <c r="W241" s="144"/>
      <c r="X241" s="144"/>
      <c r="Y241" s="144"/>
      <c r="Z241" s="144"/>
      <c r="AA241" s="144"/>
      <c r="AB241" s="144"/>
      <c r="AC241" s="144"/>
      <c r="AD241" s="144"/>
      <c r="AE241" s="144"/>
      <c r="AF241" s="144"/>
    </row>
    <row r="242" ht="16.5" customHeight="1">
      <c r="A242" s="144"/>
      <c r="B242" s="559"/>
      <c r="C242" s="352"/>
      <c r="D242" s="352"/>
      <c r="E242" s="352"/>
      <c r="F242" s="352"/>
      <c r="G242" s="560"/>
      <c r="H242" s="505"/>
      <c r="I242" s="497"/>
      <c r="J242" s="497"/>
      <c r="K242" s="496"/>
      <c r="L242" s="496"/>
      <c r="M242" s="144"/>
      <c r="N242" s="144"/>
      <c r="O242" s="144"/>
      <c r="P242" s="144"/>
      <c r="Q242" s="144"/>
      <c r="R242" s="144"/>
      <c r="S242" s="144"/>
      <c r="T242" s="144"/>
      <c r="U242" s="144"/>
      <c r="V242" s="144"/>
      <c r="W242" s="144"/>
      <c r="X242" s="144"/>
      <c r="Y242" s="144"/>
      <c r="Z242" s="144"/>
      <c r="AA242" s="144"/>
      <c r="AB242" s="144"/>
      <c r="AC242" s="144"/>
      <c r="AD242" s="144"/>
      <c r="AE242" s="144"/>
      <c r="AF242" s="144"/>
    </row>
    <row r="243" ht="16.5" customHeight="1">
      <c r="A243" s="144"/>
      <c r="B243" s="559"/>
      <c r="C243" s="352"/>
      <c r="D243" s="352"/>
      <c r="E243" s="352"/>
      <c r="F243" s="565"/>
      <c r="G243" s="560"/>
      <c r="H243" s="565"/>
      <c r="I243" s="497"/>
      <c r="J243" s="497"/>
      <c r="K243" s="496"/>
      <c r="L243" s="496"/>
      <c r="M243" s="144"/>
      <c r="N243" s="144"/>
      <c r="O243" s="144"/>
      <c r="P243" s="144"/>
      <c r="Q243" s="144"/>
      <c r="R243" s="144"/>
      <c r="S243" s="144"/>
      <c r="T243" s="144"/>
      <c r="U243" s="144"/>
      <c r="V243" s="144"/>
      <c r="W243" s="144"/>
      <c r="X243" s="144"/>
      <c r="Y243" s="144"/>
      <c r="Z243" s="144"/>
      <c r="AA243" s="144"/>
      <c r="AB243" s="144"/>
      <c r="AC243" s="144"/>
      <c r="AD243" s="144"/>
      <c r="AE243" s="144"/>
      <c r="AF243" s="144"/>
    </row>
    <row r="244" ht="16.5" customHeight="1">
      <c r="A244" s="144"/>
      <c r="B244" s="559"/>
      <c r="C244" s="346"/>
      <c r="D244" s="346"/>
      <c r="E244" s="352"/>
      <c r="F244" s="352"/>
      <c r="G244" s="560"/>
      <c r="H244" s="352"/>
      <c r="I244" s="497"/>
      <c r="J244" s="497"/>
      <c r="K244" s="496"/>
      <c r="L244" s="496"/>
      <c r="M244" s="144"/>
      <c r="N244" s="144"/>
      <c r="O244" s="144"/>
      <c r="P244" s="144"/>
      <c r="Q244" s="144"/>
      <c r="R244" s="144"/>
      <c r="S244" s="144"/>
      <c r="T244" s="144"/>
      <c r="U244" s="144"/>
      <c r="V244" s="144"/>
      <c r="W244" s="144"/>
      <c r="X244" s="144"/>
      <c r="Y244" s="144"/>
      <c r="Z244" s="144"/>
      <c r="AA244" s="144"/>
      <c r="AB244" s="144"/>
      <c r="AC244" s="144"/>
      <c r="AD244" s="144"/>
      <c r="AE244" s="144"/>
      <c r="AF244" s="144"/>
    </row>
    <row r="245" ht="16.5" customHeight="1">
      <c r="A245" s="144"/>
      <c r="B245" s="559"/>
      <c r="C245" s="346"/>
      <c r="D245" s="346"/>
      <c r="E245" s="352"/>
      <c r="F245" s="352"/>
      <c r="G245" s="560"/>
      <c r="H245" s="352"/>
      <c r="I245" s="497"/>
      <c r="J245" s="497"/>
      <c r="K245" s="496"/>
      <c r="L245" s="496"/>
      <c r="M245" s="144"/>
      <c r="N245" s="144"/>
      <c r="O245" s="144"/>
      <c r="P245" s="144"/>
      <c r="Q245" s="144"/>
      <c r="R245" s="144"/>
      <c r="S245" s="144"/>
      <c r="T245" s="144"/>
      <c r="U245" s="144"/>
      <c r="V245" s="144"/>
      <c r="W245" s="144"/>
      <c r="X245" s="144"/>
      <c r="Y245" s="144"/>
      <c r="Z245" s="144"/>
      <c r="AA245" s="144"/>
      <c r="AB245" s="144"/>
      <c r="AC245" s="144"/>
      <c r="AD245" s="144"/>
      <c r="AE245" s="144"/>
      <c r="AF245" s="144"/>
    </row>
    <row r="246" ht="16.5" customHeight="1">
      <c r="A246" s="144"/>
      <c r="B246" s="559"/>
      <c r="C246" s="346"/>
      <c r="D246" s="346"/>
      <c r="E246" s="352"/>
      <c r="F246" s="352"/>
      <c r="G246" s="560"/>
      <c r="H246" s="352"/>
      <c r="I246" s="352"/>
      <c r="J246" s="497"/>
      <c r="K246" s="496"/>
      <c r="L246" s="496"/>
      <c r="M246" s="144"/>
      <c r="N246" s="144"/>
      <c r="O246" s="144"/>
      <c r="P246" s="144"/>
      <c r="Q246" s="144"/>
      <c r="R246" s="144"/>
      <c r="S246" s="144"/>
      <c r="T246" s="144"/>
      <c r="U246" s="144"/>
      <c r="V246" s="144"/>
      <c r="W246" s="144"/>
      <c r="X246" s="144"/>
      <c r="Y246" s="144"/>
      <c r="Z246" s="144"/>
      <c r="AA246" s="144"/>
      <c r="AB246" s="144"/>
      <c r="AC246" s="144"/>
      <c r="AD246" s="144"/>
      <c r="AE246" s="144"/>
      <c r="AF246" s="144"/>
    </row>
    <row r="247" ht="16.5" customHeight="1">
      <c r="A247" s="144"/>
      <c r="B247" s="559"/>
      <c r="C247" s="346"/>
      <c r="D247" s="346"/>
      <c r="E247" s="352"/>
      <c r="F247" s="352"/>
      <c r="G247" s="560"/>
      <c r="H247" s="352"/>
      <c r="I247" s="352"/>
      <c r="J247" s="497"/>
      <c r="K247" s="496"/>
      <c r="L247" s="496"/>
      <c r="M247" s="144"/>
      <c r="N247" s="144"/>
      <c r="O247" s="144"/>
      <c r="P247" s="144"/>
      <c r="Q247" s="144"/>
      <c r="R247" s="144"/>
      <c r="S247" s="144"/>
      <c r="T247" s="144"/>
      <c r="U247" s="144"/>
      <c r="V247" s="144"/>
      <c r="W247" s="144"/>
      <c r="X247" s="144"/>
      <c r="Y247" s="144"/>
      <c r="Z247" s="144"/>
      <c r="AA247" s="144"/>
      <c r="AB247" s="144"/>
      <c r="AC247" s="144"/>
      <c r="AD247" s="144"/>
      <c r="AE247" s="144"/>
      <c r="AF247" s="144"/>
    </row>
    <row r="248" ht="16.5" customHeight="1">
      <c r="A248" s="144"/>
      <c r="B248" s="559"/>
      <c r="C248" s="346"/>
      <c r="D248" s="346"/>
      <c r="E248" s="352"/>
      <c r="F248" s="352"/>
      <c r="G248" s="560"/>
      <c r="H248" s="352"/>
      <c r="I248" s="497"/>
      <c r="J248" s="497"/>
      <c r="K248" s="496"/>
      <c r="L248" s="496"/>
      <c r="M248" s="144"/>
      <c r="N248" s="144"/>
      <c r="O248" s="144"/>
      <c r="P248" s="144"/>
      <c r="Q248" s="144"/>
      <c r="R248" s="144"/>
      <c r="S248" s="144"/>
      <c r="T248" s="144"/>
      <c r="U248" s="144"/>
      <c r="V248" s="144"/>
      <c r="W248" s="144"/>
      <c r="X248" s="144"/>
      <c r="Y248" s="144"/>
      <c r="Z248" s="144"/>
      <c r="AA248" s="144"/>
      <c r="AB248" s="144"/>
      <c r="AC248" s="144"/>
      <c r="AD248" s="144"/>
      <c r="AE248" s="144"/>
      <c r="AF248" s="144"/>
    </row>
    <row r="249" ht="16.5" customHeight="1">
      <c r="A249" s="144"/>
      <c r="B249" s="559"/>
      <c r="C249" s="346"/>
      <c r="D249" s="346"/>
      <c r="E249" s="352"/>
      <c r="F249" s="505"/>
      <c r="G249" s="560"/>
      <c r="H249" s="505"/>
      <c r="I249" s="497"/>
      <c r="J249" s="497"/>
      <c r="K249" s="496"/>
      <c r="L249" s="496"/>
      <c r="M249" s="144"/>
      <c r="N249" s="144"/>
      <c r="O249" s="144"/>
      <c r="P249" s="144"/>
      <c r="Q249" s="144"/>
      <c r="R249" s="144"/>
      <c r="S249" s="144"/>
      <c r="T249" s="144"/>
      <c r="U249" s="144"/>
      <c r="V249" s="144"/>
      <c r="W249" s="144"/>
      <c r="X249" s="144"/>
      <c r="Y249" s="144"/>
      <c r="Z249" s="144"/>
      <c r="AA249" s="144"/>
      <c r="AB249" s="144"/>
      <c r="AC249" s="144"/>
      <c r="AD249" s="144"/>
      <c r="AE249" s="144"/>
      <c r="AF249" s="144"/>
    </row>
    <row r="250" ht="16.5" customHeight="1">
      <c r="A250" s="144"/>
      <c r="B250" s="559"/>
      <c r="C250" s="346"/>
      <c r="D250" s="346"/>
      <c r="E250" s="352"/>
      <c r="F250" s="352"/>
      <c r="G250" s="560"/>
      <c r="H250" s="505"/>
      <c r="I250" s="497"/>
      <c r="J250" s="497"/>
      <c r="K250" s="496"/>
      <c r="L250" s="496"/>
      <c r="M250" s="144"/>
      <c r="N250" s="144"/>
      <c r="O250" s="144"/>
      <c r="P250" s="144"/>
      <c r="Q250" s="144"/>
      <c r="R250" s="144"/>
      <c r="S250" s="144"/>
      <c r="T250" s="144"/>
      <c r="U250" s="144"/>
      <c r="V250" s="144"/>
      <c r="W250" s="144"/>
      <c r="X250" s="144"/>
      <c r="Y250" s="144"/>
      <c r="Z250" s="144"/>
      <c r="AA250" s="144"/>
      <c r="AB250" s="144"/>
      <c r="AC250" s="144"/>
      <c r="AD250" s="144"/>
      <c r="AE250" s="144"/>
      <c r="AF250" s="144"/>
    </row>
    <row r="251" ht="16.5" customHeight="1">
      <c r="A251" s="144"/>
      <c r="B251" s="559"/>
      <c r="C251" s="346"/>
      <c r="D251" s="346"/>
      <c r="E251" s="352"/>
      <c r="F251" s="565"/>
      <c r="G251" s="560"/>
      <c r="H251" s="565"/>
      <c r="I251" s="497"/>
      <c r="J251" s="497"/>
      <c r="K251" s="496"/>
      <c r="L251" s="496"/>
      <c r="M251" s="144"/>
      <c r="N251" s="144"/>
      <c r="O251" s="144"/>
      <c r="P251" s="144"/>
      <c r="Q251" s="144"/>
      <c r="R251" s="144"/>
      <c r="S251" s="144"/>
      <c r="T251" s="144"/>
      <c r="U251" s="144"/>
      <c r="V251" s="144"/>
      <c r="W251" s="144"/>
      <c r="X251" s="144"/>
      <c r="Y251" s="144"/>
      <c r="Z251" s="144"/>
      <c r="AA251" s="144"/>
      <c r="AB251" s="144"/>
      <c r="AC251" s="144"/>
      <c r="AD251" s="144"/>
      <c r="AE251" s="144"/>
      <c r="AF251" s="144"/>
    </row>
    <row r="252" ht="16.5" customHeight="1">
      <c r="A252" s="144"/>
      <c r="B252" s="559"/>
      <c r="C252" s="352"/>
      <c r="D252" s="352"/>
      <c r="E252" s="352"/>
      <c r="F252" s="352"/>
      <c r="G252" s="352"/>
      <c r="H252" s="352"/>
      <c r="I252" s="497"/>
      <c r="J252" s="497"/>
      <c r="K252" s="496"/>
      <c r="L252" s="496"/>
      <c r="M252" s="144"/>
      <c r="N252" s="144"/>
      <c r="O252" s="144"/>
      <c r="P252" s="144"/>
      <c r="Q252" s="144"/>
      <c r="R252" s="144"/>
      <c r="S252" s="144"/>
      <c r="T252" s="144"/>
      <c r="U252" s="144"/>
      <c r="V252" s="144"/>
      <c r="W252" s="144"/>
      <c r="X252" s="144"/>
      <c r="Y252" s="144"/>
      <c r="Z252" s="144"/>
      <c r="AA252" s="144"/>
      <c r="AB252" s="144"/>
      <c r="AC252" s="144"/>
      <c r="AD252" s="144"/>
      <c r="AE252" s="144"/>
      <c r="AF252" s="144"/>
    </row>
    <row r="253" ht="16.5" customHeight="1">
      <c r="A253" s="144"/>
      <c r="B253" s="552"/>
      <c r="C253" s="346"/>
      <c r="D253" s="346"/>
      <c r="E253" s="352"/>
      <c r="F253" s="352"/>
      <c r="G253" s="566"/>
      <c r="H253" s="352"/>
      <c r="I253" s="497"/>
      <c r="J253" s="497"/>
      <c r="K253" s="496"/>
      <c r="L253" s="496"/>
      <c r="M253" s="144"/>
      <c r="N253" s="144"/>
      <c r="O253" s="144"/>
      <c r="P253" s="144"/>
      <c r="Q253" s="144"/>
      <c r="R253" s="144"/>
      <c r="S253" s="144"/>
      <c r="T253" s="144"/>
      <c r="U253" s="144"/>
      <c r="V253" s="144"/>
      <c r="W253" s="144"/>
      <c r="X253" s="144"/>
      <c r="Y253" s="144"/>
      <c r="Z253" s="144"/>
      <c r="AA253" s="144"/>
      <c r="AB253" s="144"/>
      <c r="AC253" s="144"/>
      <c r="AD253" s="144"/>
      <c r="AE253" s="144"/>
      <c r="AF253" s="144"/>
    </row>
    <row r="254" ht="16.5" customHeight="1">
      <c r="A254" s="144"/>
      <c r="B254" s="552"/>
      <c r="C254" s="346"/>
      <c r="D254" s="346"/>
      <c r="E254" s="352"/>
      <c r="F254" s="352"/>
      <c r="G254" s="566"/>
      <c r="H254" s="352"/>
      <c r="I254" s="497"/>
      <c r="J254" s="497"/>
      <c r="K254" s="567"/>
      <c r="L254" s="496"/>
      <c r="M254" s="144"/>
      <c r="N254" s="144"/>
      <c r="O254" s="144"/>
      <c r="P254" s="144"/>
      <c r="Q254" s="144"/>
      <c r="R254" s="144"/>
      <c r="S254" s="144"/>
      <c r="T254" s="144"/>
      <c r="U254" s="144"/>
      <c r="V254" s="144"/>
      <c r="W254" s="144"/>
      <c r="X254" s="144"/>
      <c r="Y254" s="144"/>
      <c r="Z254" s="144"/>
      <c r="AA254" s="144"/>
      <c r="AB254" s="144"/>
      <c r="AC254" s="144"/>
      <c r="AD254" s="144"/>
      <c r="AE254" s="144"/>
      <c r="AF254" s="144"/>
    </row>
    <row r="255" ht="16.5" customHeight="1">
      <c r="A255" s="144"/>
      <c r="B255" s="552"/>
      <c r="C255" s="346"/>
      <c r="D255" s="346"/>
      <c r="E255" s="352"/>
      <c r="F255" s="352"/>
      <c r="G255" s="566"/>
      <c r="H255" s="352"/>
      <c r="I255" s="352"/>
      <c r="J255" s="497"/>
      <c r="K255" s="496"/>
      <c r="L255" s="496"/>
      <c r="M255" s="144"/>
      <c r="N255" s="144"/>
      <c r="O255" s="144"/>
      <c r="P255" s="144"/>
      <c r="Q255" s="144"/>
      <c r="R255" s="144"/>
      <c r="S255" s="144"/>
      <c r="T255" s="144"/>
      <c r="U255" s="144"/>
      <c r="V255" s="144"/>
      <c r="W255" s="144"/>
      <c r="X255" s="144"/>
      <c r="Y255" s="144"/>
      <c r="Z255" s="144"/>
      <c r="AA255" s="144"/>
      <c r="AB255" s="144"/>
      <c r="AC255" s="144"/>
      <c r="AD255" s="144"/>
      <c r="AE255" s="144"/>
      <c r="AF255" s="144"/>
    </row>
    <row r="256" ht="16.5" customHeight="1">
      <c r="A256" s="144"/>
      <c r="B256" s="552"/>
      <c r="C256" s="346"/>
      <c r="D256" s="346"/>
      <c r="E256" s="352"/>
      <c r="F256" s="352"/>
      <c r="G256" s="566"/>
      <c r="H256" s="352"/>
      <c r="I256" s="497"/>
      <c r="J256" s="497"/>
      <c r="K256" s="496"/>
      <c r="L256" s="496"/>
      <c r="M256" s="144"/>
      <c r="N256" s="144"/>
      <c r="O256" s="144"/>
      <c r="P256" s="144"/>
      <c r="Q256" s="144"/>
      <c r="R256" s="144"/>
      <c r="S256" s="144"/>
      <c r="T256" s="144"/>
      <c r="U256" s="144"/>
      <c r="V256" s="144"/>
      <c r="W256" s="144"/>
      <c r="X256" s="144"/>
      <c r="Y256" s="144"/>
      <c r="Z256" s="144"/>
      <c r="AA256" s="144"/>
      <c r="AB256" s="144"/>
      <c r="AC256" s="144"/>
      <c r="AD256" s="144"/>
      <c r="AE256" s="144"/>
      <c r="AF256" s="144"/>
    </row>
    <row r="257" ht="16.5" customHeight="1">
      <c r="A257" s="144"/>
      <c r="B257" s="552"/>
      <c r="C257" s="346"/>
      <c r="D257" s="346"/>
      <c r="E257" s="352"/>
      <c r="F257" s="505"/>
      <c r="G257" s="566"/>
      <c r="H257" s="505"/>
      <c r="I257" s="352"/>
      <c r="J257" s="497"/>
      <c r="K257" s="496"/>
      <c r="L257" s="496"/>
      <c r="M257" s="144"/>
      <c r="N257" s="144"/>
      <c r="O257" s="144"/>
      <c r="P257" s="144"/>
      <c r="Q257" s="144"/>
      <c r="R257" s="144"/>
      <c r="S257" s="144"/>
      <c r="T257" s="144"/>
      <c r="U257" s="144"/>
      <c r="V257" s="144"/>
      <c r="W257" s="144"/>
      <c r="X257" s="144"/>
      <c r="Y257" s="144"/>
      <c r="Z257" s="144"/>
      <c r="AA257" s="144"/>
      <c r="AB257" s="144"/>
      <c r="AC257" s="144"/>
      <c r="AD257" s="144"/>
      <c r="AE257" s="144"/>
      <c r="AF257" s="144"/>
    </row>
    <row r="258" ht="16.5" customHeight="1">
      <c r="A258" s="144"/>
      <c r="B258" s="552"/>
      <c r="C258" s="346"/>
      <c r="D258" s="346"/>
      <c r="E258" s="352"/>
      <c r="F258" s="352"/>
      <c r="G258" s="566"/>
      <c r="H258" s="505"/>
      <c r="I258" s="497"/>
      <c r="J258" s="497"/>
      <c r="K258" s="496"/>
      <c r="L258" s="496"/>
      <c r="M258" s="144"/>
      <c r="N258" s="144"/>
      <c r="O258" s="144"/>
      <c r="P258" s="144"/>
      <c r="Q258" s="144"/>
      <c r="R258" s="144"/>
      <c r="S258" s="144"/>
      <c r="T258" s="144"/>
      <c r="U258" s="144"/>
      <c r="V258" s="144"/>
      <c r="W258" s="144"/>
      <c r="X258" s="144"/>
      <c r="Y258" s="144"/>
      <c r="Z258" s="144"/>
      <c r="AA258" s="144"/>
      <c r="AB258" s="144"/>
      <c r="AC258" s="144"/>
      <c r="AD258" s="144"/>
      <c r="AE258" s="144"/>
      <c r="AF258" s="144"/>
    </row>
    <row r="259" ht="16.5" customHeight="1">
      <c r="A259" s="144"/>
      <c r="B259" s="552"/>
      <c r="C259" s="346"/>
      <c r="D259" s="346"/>
      <c r="E259" s="352"/>
      <c r="F259" s="352"/>
      <c r="G259" s="566"/>
      <c r="H259" s="352"/>
      <c r="I259" s="497"/>
      <c r="J259" s="497"/>
      <c r="K259" s="496"/>
      <c r="L259" s="496"/>
      <c r="M259" s="144"/>
      <c r="N259" s="144"/>
      <c r="O259" s="144"/>
      <c r="P259" s="144"/>
      <c r="Q259" s="144"/>
      <c r="R259" s="144"/>
      <c r="S259" s="144"/>
      <c r="T259" s="144"/>
      <c r="U259" s="144"/>
      <c r="V259" s="144"/>
      <c r="W259" s="144"/>
      <c r="X259" s="144"/>
      <c r="Y259" s="144"/>
      <c r="Z259" s="144"/>
      <c r="AA259" s="144"/>
      <c r="AB259" s="144"/>
      <c r="AC259" s="144"/>
      <c r="AD259" s="144"/>
      <c r="AE259" s="144"/>
      <c r="AF259" s="144"/>
    </row>
    <row r="260" ht="16.5" customHeight="1">
      <c r="A260" s="144"/>
      <c r="B260" s="552"/>
      <c r="C260" s="346"/>
      <c r="D260" s="346"/>
      <c r="E260" s="352"/>
      <c r="F260" s="568"/>
      <c r="G260" s="566"/>
      <c r="H260" s="568"/>
      <c r="I260" s="569"/>
      <c r="J260" s="497"/>
      <c r="K260" s="496"/>
      <c r="L260" s="496"/>
      <c r="M260" s="144"/>
      <c r="N260" s="144"/>
      <c r="O260" s="144"/>
      <c r="P260" s="144"/>
      <c r="Q260" s="144"/>
      <c r="R260" s="144"/>
      <c r="S260" s="144"/>
      <c r="T260" s="144"/>
      <c r="U260" s="144"/>
      <c r="V260" s="144"/>
      <c r="W260" s="144"/>
      <c r="X260" s="144"/>
      <c r="Y260" s="144"/>
      <c r="Z260" s="144"/>
      <c r="AA260" s="144"/>
      <c r="AB260" s="144"/>
      <c r="AC260" s="144"/>
      <c r="AD260" s="144"/>
      <c r="AE260" s="144"/>
      <c r="AF260" s="144"/>
    </row>
    <row r="261" ht="16.5" customHeight="1">
      <c r="A261" s="144"/>
      <c r="B261" s="552"/>
      <c r="C261" s="346"/>
      <c r="D261" s="346"/>
      <c r="E261" s="352"/>
      <c r="F261" s="352"/>
      <c r="G261" s="566"/>
      <c r="H261" s="352"/>
      <c r="I261" s="497"/>
      <c r="J261" s="497"/>
      <c r="K261" s="496"/>
      <c r="L261" s="496"/>
      <c r="M261" s="144"/>
      <c r="N261" s="144"/>
      <c r="O261" s="144"/>
      <c r="P261" s="144"/>
      <c r="Q261" s="144"/>
      <c r="R261" s="144"/>
      <c r="S261" s="144"/>
      <c r="T261" s="144"/>
      <c r="U261" s="144"/>
      <c r="V261" s="144"/>
      <c r="W261" s="144"/>
      <c r="X261" s="144"/>
      <c r="Y261" s="144"/>
      <c r="Z261" s="144"/>
      <c r="AA261" s="144"/>
      <c r="AB261" s="144"/>
      <c r="AC261" s="144"/>
      <c r="AD261" s="144"/>
      <c r="AE261" s="144"/>
      <c r="AF261" s="144"/>
    </row>
    <row r="262" ht="16.5" customHeight="1">
      <c r="A262" s="144"/>
      <c r="B262" s="552"/>
      <c r="C262" s="352"/>
      <c r="D262" s="352"/>
      <c r="E262" s="352"/>
      <c r="F262" s="352"/>
      <c r="G262" s="566"/>
      <c r="H262" s="352"/>
      <c r="I262" s="497"/>
      <c r="J262" s="497"/>
      <c r="K262" s="496"/>
      <c r="L262" s="496"/>
      <c r="M262" s="144"/>
      <c r="N262" s="144"/>
      <c r="O262" s="144"/>
      <c r="P262" s="144"/>
      <c r="Q262" s="144"/>
      <c r="R262" s="144"/>
      <c r="S262" s="144"/>
      <c r="T262" s="144"/>
      <c r="U262" s="144"/>
      <c r="V262" s="144"/>
      <c r="W262" s="144"/>
      <c r="X262" s="144"/>
      <c r="Y262" s="144"/>
      <c r="Z262" s="144"/>
      <c r="AA262" s="144"/>
      <c r="AB262" s="144"/>
      <c r="AC262" s="144"/>
      <c r="AD262" s="144"/>
      <c r="AE262" s="144"/>
      <c r="AF262" s="144"/>
    </row>
    <row r="263" ht="16.5" customHeight="1">
      <c r="A263" s="144"/>
      <c r="B263" s="552"/>
      <c r="C263" s="352"/>
      <c r="D263" s="352"/>
      <c r="E263" s="352"/>
      <c r="F263" s="352"/>
      <c r="G263" s="566"/>
      <c r="H263" s="352"/>
      <c r="I263" s="497"/>
      <c r="J263" s="497"/>
      <c r="K263" s="496"/>
      <c r="L263" s="496"/>
      <c r="M263" s="144"/>
      <c r="N263" s="144"/>
      <c r="O263" s="144"/>
      <c r="P263" s="144"/>
      <c r="Q263" s="144"/>
      <c r="R263" s="144"/>
      <c r="S263" s="144"/>
      <c r="T263" s="144"/>
      <c r="U263" s="144"/>
      <c r="V263" s="144"/>
      <c r="W263" s="144"/>
      <c r="X263" s="144"/>
      <c r="Y263" s="144"/>
      <c r="Z263" s="144"/>
      <c r="AA263" s="144"/>
      <c r="AB263" s="144"/>
      <c r="AC263" s="144"/>
      <c r="AD263" s="144"/>
      <c r="AE263" s="144"/>
      <c r="AF263" s="144"/>
    </row>
    <row r="264" ht="16.5" customHeight="1">
      <c r="A264" s="144"/>
      <c r="B264" s="552"/>
      <c r="C264" s="352"/>
      <c r="D264" s="352"/>
      <c r="E264" s="352"/>
      <c r="F264" s="352"/>
      <c r="G264" s="566"/>
      <c r="H264" s="352"/>
      <c r="I264" s="497"/>
      <c r="J264" s="497"/>
      <c r="K264" s="496"/>
      <c r="L264" s="496"/>
      <c r="M264" s="144"/>
      <c r="N264" s="144"/>
      <c r="O264" s="144"/>
      <c r="P264" s="144"/>
      <c r="Q264" s="144"/>
      <c r="R264" s="144"/>
      <c r="S264" s="144"/>
      <c r="T264" s="144"/>
      <c r="U264" s="144"/>
      <c r="V264" s="144"/>
      <c r="W264" s="144"/>
      <c r="X264" s="144"/>
      <c r="Y264" s="144"/>
      <c r="Z264" s="144"/>
      <c r="AA264" s="144"/>
      <c r="AB264" s="144"/>
      <c r="AC264" s="144"/>
      <c r="AD264" s="144"/>
      <c r="AE264" s="144"/>
      <c r="AF264" s="144"/>
    </row>
    <row r="265" ht="16.5" customHeight="1">
      <c r="A265" s="144"/>
      <c r="B265" s="552"/>
      <c r="C265" s="352"/>
      <c r="D265" s="352"/>
      <c r="E265" s="352"/>
      <c r="F265" s="352"/>
      <c r="G265" s="566"/>
      <c r="H265" s="352"/>
      <c r="I265" s="497"/>
      <c r="J265" s="497"/>
      <c r="K265" s="496"/>
      <c r="L265" s="496"/>
      <c r="M265" s="144"/>
      <c r="N265" s="144"/>
      <c r="O265" s="144"/>
      <c r="P265" s="144"/>
      <c r="Q265" s="144"/>
      <c r="R265" s="144"/>
      <c r="S265" s="144"/>
      <c r="T265" s="144"/>
      <c r="U265" s="144"/>
      <c r="V265" s="144"/>
      <c r="W265" s="144"/>
      <c r="X265" s="144"/>
      <c r="Y265" s="144"/>
      <c r="Z265" s="144"/>
      <c r="AA265" s="144"/>
      <c r="AB265" s="144"/>
      <c r="AC265" s="144"/>
      <c r="AD265" s="144"/>
      <c r="AE265" s="144"/>
      <c r="AF265" s="144"/>
    </row>
    <row r="266" ht="16.5" customHeight="1">
      <c r="A266" s="144"/>
      <c r="B266" s="552"/>
      <c r="C266" s="352"/>
      <c r="D266" s="352"/>
      <c r="E266" s="352"/>
      <c r="F266" s="505"/>
      <c r="G266" s="566"/>
      <c r="H266" s="505"/>
      <c r="I266" s="497"/>
      <c r="J266" s="497"/>
      <c r="K266" s="496"/>
      <c r="L266" s="496"/>
      <c r="M266" s="144"/>
      <c r="N266" s="144"/>
      <c r="O266" s="144"/>
      <c r="P266" s="144"/>
      <c r="Q266" s="144"/>
      <c r="R266" s="144"/>
      <c r="S266" s="144"/>
      <c r="T266" s="144"/>
      <c r="U266" s="144"/>
      <c r="V266" s="144"/>
      <c r="W266" s="144"/>
      <c r="X266" s="144"/>
      <c r="Y266" s="144"/>
      <c r="Z266" s="144"/>
      <c r="AA266" s="144"/>
      <c r="AB266" s="144"/>
      <c r="AC266" s="144"/>
      <c r="AD266" s="144"/>
      <c r="AE266" s="144"/>
      <c r="AF266" s="144"/>
    </row>
    <row r="267" ht="16.5" customHeight="1">
      <c r="A267" s="144"/>
      <c r="B267" s="552"/>
      <c r="C267" s="352"/>
      <c r="D267" s="352"/>
      <c r="E267" s="352"/>
      <c r="F267" s="352"/>
      <c r="G267" s="566"/>
      <c r="H267" s="505"/>
      <c r="I267" s="497"/>
      <c r="J267" s="497"/>
      <c r="K267" s="496"/>
      <c r="L267" s="496"/>
      <c r="M267" s="144"/>
      <c r="N267" s="144"/>
      <c r="O267" s="144"/>
      <c r="P267" s="144"/>
      <c r="Q267" s="144"/>
      <c r="R267" s="144"/>
      <c r="S267" s="144"/>
      <c r="T267" s="144"/>
      <c r="U267" s="144"/>
      <c r="V267" s="144"/>
      <c r="W267" s="144"/>
      <c r="X267" s="144"/>
      <c r="Y267" s="144"/>
      <c r="Z267" s="144"/>
      <c r="AA267" s="144"/>
      <c r="AB267" s="144"/>
      <c r="AC267" s="144"/>
      <c r="AD267" s="144"/>
      <c r="AE267" s="144"/>
      <c r="AF267" s="144"/>
    </row>
    <row r="268" ht="16.5" customHeight="1">
      <c r="A268" s="144"/>
      <c r="B268" s="552"/>
      <c r="C268" s="352"/>
      <c r="D268" s="352"/>
      <c r="E268" s="352"/>
      <c r="F268" s="352"/>
      <c r="G268" s="566"/>
      <c r="H268" s="352"/>
      <c r="I268" s="497"/>
      <c r="J268" s="497"/>
      <c r="K268" s="496"/>
      <c r="L268" s="496"/>
      <c r="M268" s="144"/>
      <c r="N268" s="144"/>
      <c r="O268" s="144"/>
      <c r="P268" s="144"/>
      <c r="Q268" s="144"/>
      <c r="R268" s="144"/>
      <c r="S268" s="144"/>
      <c r="T268" s="144"/>
      <c r="U268" s="144"/>
      <c r="V268" s="144"/>
      <c r="W268" s="144"/>
      <c r="X268" s="144"/>
      <c r="Y268" s="144"/>
      <c r="Z268" s="144"/>
      <c r="AA268" s="144"/>
      <c r="AB268" s="144"/>
      <c r="AC268" s="144"/>
      <c r="AD268" s="144"/>
      <c r="AE268" s="144"/>
      <c r="AF268" s="144"/>
    </row>
    <row r="269" ht="16.5" customHeight="1">
      <c r="A269" s="144"/>
      <c r="B269" s="552"/>
      <c r="C269" s="352"/>
      <c r="D269" s="352"/>
      <c r="E269" s="352"/>
      <c r="F269" s="568"/>
      <c r="G269" s="566"/>
      <c r="H269" s="568"/>
      <c r="I269" s="569"/>
      <c r="J269" s="497"/>
      <c r="K269" s="496"/>
      <c r="L269" s="496"/>
      <c r="M269" s="144"/>
      <c r="N269" s="144"/>
      <c r="O269" s="144"/>
      <c r="P269" s="144"/>
      <c r="Q269" s="144"/>
      <c r="R269" s="144"/>
      <c r="S269" s="144"/>
      <c r="T269" s="144"/>
      <c r="U269" s="144"/>
      <c r="V269" s="144"/>
      <c r="W269" s="144"/>
      <c r="X269" s="144"/>
      <c r="Y269" s="144"/>
      <c r="Z269" s="144"/>
      <c r="AA269" s="144"/>
      <c r="AB269" s="144"/>
      <c r="AC269" s="144"/>
      <c r="AD269" s="144"/>
      <c r="AE269" s="144"/>
      <c r="AF269" s="144"/>
    </row>
    <row r="270" ht="16.5" customHeight="1">
      <c r="A270" s="144"/>
      <c r="B270" s="552"/>
      <c r="C270" s="352"/>
      <c r="D270" s="352"/>
      <c r="E270" s="352"/>
      <c r="F270" s="352"/>
      <c r="G270" s="566"/>
      <c r="H270" s="352"/>
      <c r="I270" s="497"/>
      <c r="J270" s="497"/>
      <c r="K270" s="496"/>
      <c r="L270" s="496"/>
      <c r="M270" s="144"/>
      <c r="N270" s="144"/>
      <c r="O270" s="144"/>
      <c r="P270" s="144"/>
      <c r="Q270" s="144"/>
      <c r="R270" s="144"/>
      <c r="S270" s="144"/>
      <c r="T270" s="144"/>
      <c r="U270" s="144"/>
      <c r="V270" s="144"/>
      <c r="W270" s="144"/>
      <c r="X270" s="144"/>
      <c r="Y270" s="144"/>
      <c r="Z270" s="144"/>
      <c r="AA270" s="144"/>
      <c r="AB270" s="144"/>
      <c r="AC270" s="144"/>
      <c r="AD270" s="144"/>
      <c r="AE270" s="144"/>
      <c r="AF270" s="144"/>
    </row>
    <row r="271" ht="16.5" customHeight="1">
      <c r="A271" s="144"/>
      <c r="B271" s="552"/>
      <c r="C271" s="352"/>
      <c r="D271" s="352"/>
      <c r="E271" s="352"/>
      <c r="F271" s="352"/>
      <c r="G271" s="566"/>
      <c r="H271" s="352"/>
      <c r="I271" s="497"/>
      <c r="J271" s="497"/>
      <c r="K271" s="496"/>
      <c r="L271" s="496"/>
      <c r="M271" s="144"/>
      <c r="N271" s="144"/>
      <c r="O271" s="144"/>
      <c r="P271" s="144"/>
      <c r="Q271" s="144"/>
      <c r="R271" s="144"/>
      <c r="S271" s="144"/>
      <c r="T271" s="144"/>
      <c r="U271" s="144"/>
      <c r="V271" s="144"/>
      <c r="W271" s="144"/>
      <c r="X271" s="144"/>
      <c r="Y271" s="144"/>
      <c r="Z271" s="144"/>
      <c r="AA271" s="144"/>
      <c r="AB271" s="144"/>
      <c r="AC271" s="144"/>
      <c r="AD271" s="144"/>
      <c r="AE271" s="144"/>
      <c r="AF271" s="144"/>
    </row>
    <row r="272" ht="16.5" customHeight="1">
      <c r="A272" s="144"/>
      <c r="B272" s="552"/>
      <c r="C272" s="352"/>
      <c r="D272" s="352"/>
      <c r="E272" s="352"/>
      <c r="F272" s="352"/>
      <c r="G272" s="566"/>
      <c r="H272" s="352"/>
      <c r="I272" s="497"/>
      <c r="J272" s="497"/>
      <c r="K272" s="496"/>
      <c r="L272" s="496"/>
      <c r="M272" s="144"/>
      <c r="N272" s="144"/>
      <c r="O272" s="144"/>
      <c r="P272" s="144"/>
      <c r="Q272" s="144"/>
      <c r="R272" s="144"/>
      <c r="S272" s="144"/>
      <c r="T272" s="144"/>
      <c r="U272" s="144"/>
      <c r="V272" s="144"/>
      <c r="W272" s="144"/>
      <c r="X272" s="144"/>
      <c r="Y272" s="144"/>
      <c r="Z272" s="144"/>
      <c r="AA272" s="144"/>
      <c r="AB272" s="144"/>
      <c r="AC272" s="144"/>
      <c r="AD272" s="144"/>
      <c r="AE272" s="144"/>
      <c r="AF272" s="144"/>
    </row>
    <row r="273" ht="16.5" customHeight="1">
      <c r="A273" s="144"/>
      <c r="B273" s="552"/>
      <c r="C273" s="352"/>
      <c r="D273" s="352"/>
      <c r="E273" s="352"/>
      <c r="F273" s="352"/>
      <c r="G273" s="566"/>
      <c r="H273" s="352"/>
      <c r="I273" s="569"/>
      <c r="J273" s="497"/>
      <c r="K273" s="496"/>
      <c r="L273" s="496"/>
      <c r="M273" s="144"/>
      <c r="N273" s="144"/>
      <c r="O273" s="144"/>
      <c r="P273" s="144"/>
      <c r="Q273" s="144"/>
      <c r="R273" s="144"/>
      <c r="S273" s="144"/>
      <c r="T273" s="144"/>
      <c r="U273" s="144"/>
      <c r="V273" s="144"/>
      <c r="W273" s="144"/>
      <c r="X273" s="144"/>
      <c r="Y273" s="144"/>
      <c r="Z273" s="144"/>
      <c r="AA273" s="144"/>
      <c r="AB273" s="144"/>
      <c r="AC273" s="144"/>
      <c r="AD273" s="144"/>
      <c r="AE273" s="144"/>
      <c r="AF273" s="144"/>
    </row>
    <row r="274" ht="16.5" customHeight="1">
      <c r="A274" s="144"/>
      <c r="B274" s="552"/>
      <c r="C274" s="352"/>
      <c r="D274" s="352"/>
      <c r="E274" s="352"/>
      <c r="F274" s="352"/>
      <c r="G274" s="566"/>
      <c r="H274" s="352"/>
      <c r="I274" s="497"/>
      <c r="J274" s="497"/>
      <c r="K274" s="496"/>
      <c r="L274" s="496"/>
      <c r="M274" s="144"/>
      <c r="N274" s="144"/>
      <c r="O274" s="144"/>
      <c r="P274" s="144"/>
      <c r="Q274" s="144"/>
      <c r="R274" s="144"/>
      <c r="S274" s="144"/>
      <c r="T274" s="144"/>
      <c r="U274" s="144"/>
      <c r="V274" s="144"/>
      <c r="W274" s="144"/>
      <c r="X274" s="144"/>
      <c r="Y274" s="144"/>
      <c r="Z274" s="144"/>
      <c r="AA274" s="144"/>
      <c r="AB274" s="144"/>
      <c r="AC274" s="144"/>
      <c r="AD274" s="144"/>
      <c r="AE274" s="144"/>
      <c r="AF274" s="144"/>
    </row>
    <row r="275" ht="16.5" customHeight="1">
      <c r="A275" s="144"/>
      <c r="B275" s="552"/>
      <c r="C275" s="352"/>
      <c r="D275" s="352"/>
      <c r="E275" s="352"/>
      <c r="F275" s="505"/>
      <c r="G275" s="566"/>
      <c r="H275" s="505"/>
      <c r="I275" s="497"/>
      <c r="J275" s="497"/>
      <c r="K275" s="496"/>
      <c r="L275" s="496"/>
      <c r="M275" s="144"/>
      <c r="N275" s="144"/>
      <c r="O275" s="144"/>
      <c r="P275" s="144"/>
      <c r="Q275" s="144"/>
      <c r="R275" s="144"/>
      <c r="S275" s="144"/>
      <c r="T275" s="144"/>
      <c r="U275" s="144"/>
      <c r="V275" s="144"/>
      <c r="W275" s="144"/>
      <c r="X275" s="144"/>
      <c r="Y275" s="144"/>
      <c r="Z275" s="144"/>
      <c r="AA275" s="144"/>
      <c r="AB275" s="144"/>
      <c r="AC275" s="144"/>
      <c r="AD275" s="144"/>
      <c r="AE275" s="144"/>
      <c r="AF275" s="144"/>
    </row>
    <row r="276" ht="16.5" customHeight="1">
      <c r="A276" s="144"/>
      <c r="B276" s="552"/>
      <c r="C276" s="352"/>
      <c r="D276" s="352"/>
      <c r="E276" s="352"/>
      <c r="F276" s="352"/>
      <c r="G276" s="566"/>
      <c r="H276" s="505"/>
      <c r="I276" s="497"/>
      <c r="J276" s="497"/>
      <c r="K276" s="496"/>
      <c r="L276" s="496"/>
      <c r="M276" s="144"/>
      <c r="N276" s="144"/>
      <c r="O276" s="144"/>
      <c r="P276" s="144"/>
      <c r="Q276" s="144"/>
      <c r="R276" s="144"/>
      <c r="S276" s="144"/>
      <c r="T276" s="144"/>
      <c r="U276" s="144"/>
      <c r="V276" s="144"/>
      <c r="W276" s="144"/>
      <c r="X276" s="144"/>
      <c r="Y276" s="144"/>
      <c r="Z276" s="144"/>
      <c r="AA276" s="144"/>
      <c r="AB276" s="144"/>
      <c r="AC276" s="144"/>
      <c r="AD276" s="144"/>
      <c r="AE276" s="144"/>
      <c r="AF276" s="144"/>
    </row>
    <row r="277" ht="16.5" customHeight="1">
      <c r="A277" s="144"/>
      <c r="B277" s="552"/>
      <c r="C277" s="352"/>
      <c r="D277" s="352"/>
      <c r="E277" s="352"/>
      <c r="F277" s="352"/>
      <c r="G277" s="566"/>
      <c r="H277" s="352"/>
      <c r="I277" s="497"/>
      <c r="J277" s="497"/>
      <c r="K277" s="496"/>
      <c r="L277" s="496"/>
      <c r="M277" s="144"/>
      <c r="N277" s="144"/>
      <c r="O277" s="144"/>
      <c r="P277" s="144"/>
      <c r="Q277" s="144"/>
      <c r="R277" s="144"/>
      <c r="S277" s="144"/>
      <c r="T277" s="144"/>
      <c r="U277" s="144"/>
      <c r="V277" s="144"/>
      <c r="W277" s="144"/>
      <c r="X277" s="144"/>
      <c r="Y277" s="144"/>
      <c r="Z277" s="144"/>
      <c r="AA277" s="144"/>
      <c r="AB277" s="144"/>
      <c r="AC277" s="144"/>
      <c r="AD277" s="144"/>
      <c r="AE277" s="144"/>
      <c r="AF277" s="144"/>
    </row>
    <row r="278" ht="16.5" customHeight="1">
      <c r="A278" s="144"/>
      <c r="B278" s="552"/>
      <c r="C278" s="352"/>
      <c r="D278" s="352"/>
      <c r="E278" s="352"/>
      <c r="F278" s="568"/>
      <c r="G278" s="566"/>
      <c r="H278" s="568"/>
      <c r="I278" s="497"/>
      <c r="J278" s="497"/>
      <c r="K278" s="496"/>
      <c r="L278" s="496"/>
      <c r="M278" s="144"/>
      <c r="N278" s="144"/>
      <c r="O278" s="144"/>
      <c r="P278" s="144"/>
      <c r="Q278" s="144"/>
      <c r="R278" s="144"/>
      <c r="S278" s="144"/>
      <c r="T278" s="144"/>
      <c r="U278" s="144"/>
      <c r="V278" s="144"/>
      <c r="W278" s="144"/>
      <c r="X278" s="144"/>
      <c r="Y278" s="144"/>
      <c r="Z278" s="144"/>
      <c r="AA278" s="144"/>
      <c r="AB278" s="144"/>
      <c r="AC278" s="144"/>
      <c r="AD278" s="144"/>
      <c r="AE278" s="144"/>
      <c r="AF278" s="144"/>
    </row>
    <row r="279" ht="16.5" customHeight="1">
      <c r="A279" s="144"/>
      <c r="B279" s="552"/>
      <c r="C279" s="83"/>
      <c r="D279" s="352"/>
      <c r="E279" s="352"/>
      <c r="F279" s="352"/>
      <c r="G279" s="566"/>
      <c r="H279" s="352"/>
      <c r="I279" s="497"/>
      <c r="J279" s="497"/>
      <c r="K279" s="496"/>
      <c r="L279" s="496"/>
      <c r="M279" s="144"/>
      <c r="N279" s="144"/>
      <c r="O279" s="144"/>
      <c r="P279" s="144"/>
      <c r="Q279" s="144"/>
      <c r="R279" s="144"/>
      <c r="S279" s="144"/>
      <c r="T279" s="144"/>
      <c r="U279" s="144"/>
      <c r="V279" s="144"/>
      <c r="W279" s="144"/>
      <c r="X279" s="144"/>
      <c r="Y279" s="144"/>
      <c r="Z279" s="144"/>
      <c r="AA279" s="144"/>
      <c r="AB279" s="144"/>
      <c r="AC279" s="144"/>
      <c r="AD279" s="144"/>
      <c r="AE279" s="144"/>
      <c r="AF279" s="144"/>
    </row>
    <row r="280" ht="16.5" customHeight="1">
      <c r="A280" s="144"/>
      <c r="B280" s="552"/>
      <c r="C280" s="83"/>
      <c r="D280" s="352"/>
      <c r="E280" s="352"/>
      <c r="F280" s="352"/>
      <c r="G280" s="566"/>
      <c r="H280" s="352"/>
      <c r="I280" s="497"/>
      <c r="J280" s="497"/>
      <c r="K280" s="496"/>
      <c r="L280" s="496"/>
      <c r="M280" s="144"/>
      <c r="N280" s="144"/>
      <c r="O280" s="144"/>
      <c r="P280" s="144"/>
      <c r="Q280" s="144"/>
      <c r="R280" s="144"/>
      <c r="S280" s="144"/>
      <c r="T280" s="144"/>
      <c r="U280" s="144"/>
      <c r="V280" s="144"/>
      <c r="W280" s="144"/>
      <c r="X280" s="144"/>
      <c r="Y280" s="144"/>
      <c r="Z280" s="144"/>
      <c r="AA280" s="144"/>
      <c r="AB280" s="144"/>
      <c r="AC280" s="144"/>
      <c r="AD280" s="144"/>
      <c r="AE280" s="144"/>
      <c r="AF280" s="144"/>
    </row>
    <row r="281" ht="16.5" customHeight="1">
      <c r="A281" s="144"/>
      <c r="B281" s="552"/>
      <c r="C281" s="83"/>
      <c r="D281" s="352"/>
      <c r="E281" s="352"/>
      <c r="F281" s="352"/>
      <c r="G281" s="566"/>
      <c r="H281" s="352"/>
      <c r="I281" s="497"/>
      <c r="J281" s="497"/>
      <c r="K281" s="496"/>
      <c r="L281" s="496"/>
      <c r="M281" s="144"/>
      <c r="N281" s="144"/>
      <c r="O281" s="144"/>
      <c r="P281" s="144"/>
      <c r="Q281" s="144"/>
      <c r="R281" s="144"/>
      <c r="S281" s="144"/>
      <c r="T281" s="144"/>
      <c r="U281" s="144"/>
      <c r="V281" s="144"/>
      <c r="W281" s="144"/>
      <c r="X281" s="144"/>
      <c r="Y281" s="144"/>
      <c r="Z281" s="144"/>
      <c r="AA281" s="144"/>
      <c r="AB281" s="144"/>
      <c r="AC281" s="144"/>
      <c r="AD281" s="144"/>
      <c r="AE281" s="144"/>
      <c r="AF281" s="144"/>
    </row>
    <row r="282" ht="16.5" customHeight="1">
      <c r="A282" s="144"/>
      <c r="B282" s="552"/>
      <c r="C282" s="83"/>
      <c r="D282" s="352"/>
      <c r="E282" s="352"/>
      <c r="F282" s="352"/>
      <c r="G282" s="566"/>
      <c r="H282" s="352"/>
      <c r="I282" s="569"/>
      <c r="J282" s="497"/>
      <c r="K282" s="496"/>
      <c r="L282" s="496"/>
      <c r="M282" s="144"/>
      <c r="N282" s="144"/>
      <c r="O282" s="144"/>
      <c r="P282" s="144"/>
      <c r="Q282" s="144"/>
      <c r="R282" s="144"/>
      <c r="S282" s="144"/>
      <c r="T282" s="144"/>
      <c r="U282" s="144"/>
      <c r="V282" s="144"/>
      <c r="W282" s="144"/>
      <c r="X282" s="144"/>
      <c r="Y282" s="144"/>
      <c r="Z282" s="144"/>
      <c r="AA282" s="144"/>
      <c r="AB282" s="144"/>
      <c r="AC282" s="144"/>
      <c r="AD282" s="144"/>
      <c r="AE282" s="144"/>
      <c r="AF282" s="144"/>
    </row>
    <row r="283" ht="16.5" customHeight="1">
      <c r="A283" s="144"/>
      <c r="B283" s="552"/>
      <c r="C283" s="83"/>
      <c r="D283" s="352"/>
      <c r="E283" s="352"/>
      <c r="F283" s="352"/>
      <c r="G283" s="566"/>
      <c r="H283" s="352"/>
      <c r="I283" s="497"/>
      <c r="J283" s="497"/>
      <c r="K283" s="496"/>
      <c r="L283" s="496"/>
      <c r="M283" s="144"/>
      <c r="N283" s="144"/>
      <c r="O283" s="144"/>
      <c r="P283" s="144"/>
      <c r="Q283" s="144"/>
      <c r="R283" s="144"/>
      <c r="S283" s="144"/>
      <c r="T283" s="144"/>
      <c r="U283" s="144"/>
      <c r="V283" s="144"/>
      <c r="W283" s="144"/>
      <c r="X283" s="144"/>
      <c r="Y283" s="144"/>
      <c r="Z283" s="144"/>
      <c r="AA283" s="144"/>
      <c r="AB283" s="144"/>
      <c r="AC283" s="144"/>
      <c r="AD283" s="144"/>
      <c r="AE283" s="144"/>
      <c r="AF283" s="144"/>
    </row>
    <row r="284" ht="16.5" customHeight="1">
      <c r="A284" s="144"/>
      <c r="B284" s="552"/>
      <c r="C284" s="83"/>
      <c r="D284" s="352"/>
      <c r="E284" s="352"/>
      <c r="F284" s="505"/>
      <c r="G284" s="566"/>
      <c r="H284" s="505"/>
      <c r="I284" s="497"/>
      <c r="J284" s="497"/>
      <c r="K284" s="496"/>
      <c r="L284" s="496"/>
      <c r="M284" s="144"/>
      <c r="N284" s="144"/>
      <c r="O284" s="144"/>
      <c r="P284" s="144"/>
      <c r="Q284" s="144"/>
      <c r="R284" s="144"/>
      <c r="S284" s="144"/>
      <c r="T284" s="144"/>
      <c r="U284" s="144"/>
      <c r="V284" s="144"/>
      <c r="W284" s="144"/>
      <c r="X284" s="144"/>
      <c r="Y284" s="144"/>
      <c r="Z284" s="144"/>
      <c r="AA284" s="144"/>
      <c r="AB284" s="144"/>
      <c r="AC284" s="144"/>
      <c r="AD284" s="144"/>
      <c r="AE284" s="144"/>
      <c r="AF284" s="144"/>
    </row>
    <row r="285" ht="16.5" customHeight="1">
      <c r="A285" s="144"/>
      <c r="B285" s="552"/>
      <c r="C285" s="83"/>
      <c r="D285" s="352"/>
      <c r="E285" s="352"/>
      <c r="F285" s="352"/>
      <c r="G285" s="566"/>
      <c r="H285" s="505"/>
      <c r="I285" s="497"/>
      <c r="J285" s="497"/>
      <c r="K285" s="496"/>
      <c r="L285" s="496"/>
      <c r="M285" s="144"/>
      <c r="N285" s="144"/>
      <c r="O285" s="144"/>
      <c r="P285" s="144"/>
      <c r="Q285" s="144"/>
      <c r="R285" s="144"/>
      <c r="S285" s="144"/>
      <c r="T285" s="144"/>
      <c r="U285" s="144"/>
      <c r="V285" s="144"/>
      <c r="W285" s="144"/>
      <c r="X285" s="144"/>
      <c r="Y285" s="144"/>
      <c r="Z285" s="144"/>
      <c r="AA285" s="144"/>
      <c r="AB285" s="144"/>
      <c r="AC285" s="144"/>
      <c r="AD285" s="144"/>
      <c r="AE285" s="144"/>
      <c r="AF285" s="144"/>
    </row>
    <row r="286" ht="16.5" customHeight="1">
      <c r="A286" s="144"/>
      <c r="B286" s="552"/>
      <c r="C286" s="83"/>
      <c r="D286" s="352"/>
      <c r="E286" s="352"/>
      <c r="F286" s="352"/>
      <c r="G286" s="566"/>
      <c r="H286" s="352"/>
      <c r="I286" s="497"/>
      <c r="J286" s="496"/>
      <c r="K286" s="496"/>
      <c r="L286" s="496"/>
      <c r="M286" s="144"/>
      <c r="N286" s="144"/>
      <c r="O286" s="144"/>
      <c r="P286" s="144"/>
      <c r="Q286" s="144"/>
      <c r="R286" s="144"/>
      <c r="S286" s="144"/>
      <c r="T286" s="144"/>
      <c r="U286" s="144"/>
      <c r="V286" s="144"/>
      <c r="W286" s="144"/>
      <c r="X286" s="144"/>
      <c r="Y286" s="144"/>
      <c r="Z286" s="144"/>
      <c r="AA286" s="144"/>
      <c r="AB286" s="144"/>
      <c r="AC286" s="144"/>
      <c r="AD286" s="144"/>
      <c r="AE286" s="144"/>
      <c r="AF286" s="144"/>
    </row>
    <row r="287" ht="16.5" customHeight="1">
      <c r="A287" s="144"/>
      <c r="B287" s="552"/>
      <c r="C287" s="83"/>
      <c r="D287" s="352"/>
      <c r="E287" s="352"/>
      <c r="F287" s="568"/>
      <c r="G287" s="566"/>
      <c r="H287" s="568"/>
      <c r="I287" s="497"/>
      <c r="J287" s="496"/>
      <c r="K287" s="496"/>
      <c r="L287" s="496"/>
      <c r="M287" s="144"/>
      <c r="N287" s="144"/>
      <c r="O287" s="144"/>
      <c r="P287" s="144"/>
      <c r="Q287" s="144"/>
      <c r="R287" s="144"/>
      <c r="S287" s="144"/>
      <c r="T287" s="144"/>
      <c r="U287" s="144"/>
      <c r="V287" s="144"/>
      <c r="W287" s="144"/>
      <c r="X287" s="144"/>
      <c r="Y287" s="144"/>
      <c r="Z287" s="144"/>
      <c r="AA287" s="144"/>
      <c r="AB287" s="144"/>
      <c r="AC287" s="144"/>
      <c r="AD287" s="144"/>
      <c r="AE287" s="144"/>
      <c r="AF287" s="144"/>
    </row>
    <row r="288" ht="16.5" customHeight="1">
      <c r="A288" s="144"/>
      <c r="B288" s="552"/>
      <c r="C288" s="497"/>
      <c r="D288" s="497"/>
      <c r="E288" s="497"/>
      <c r="F288" s="497"/>
      <c r="G288" s="497"/>
      <c r="H288" s="497"/>
      <c r="I288" s="497"/>
      <c r="J288" s="496"/>
      <c r="K288" s="496"/>
      <c r="L288" s="496"/>
      <c r="M288" s="144"/>
      <c r="N288" s="144"/>
      <c r="O288" s="144"/>
      <c r="P288" s="144"/>
      <c r="Q288" s="144"/>
      <c r="R288" s="144"/>
      <c r="S288" s="144"/>
      <c r="T288" s="144"/>
      <c r="U288" s="144"/>
      <c r="V288" s="144"/>
      <c r="W288" s="144"/>
      <c r="X288" s="144"/>
      <c r="Y288" s="144"/>
      <c r="Z288" s="144"/>
      <c r="AA288" s="144"/>
      <c r="AB288" s="144"/>
      <c r="AC288" s="144"/>
      <c r="AD288" s="144"/>
      <c r="AE288" s="144"/>
      <c r="AF288" s="144"/>
    </row>
    <row r="289" ht="16.5" customHeight="1">
      <c r="A289" s="144"/>
      <c r="B289" s="156"/>
      <c r="C289" s="569"/>
      <c r="D289" s="569"/>
      <c r="E289" s="569"/>
      <c r="F289" s="569"/>
      <c r="G289" s="569"/>
      <c r="H289" s="569"/>
      <c r="I289" s="496"/>
      <c r="J289" s="496"/>
      <c r="K289" s="496"/>
      <c r="L289" s="496"/>
      <c r="M289" s="144"/>
      <c r="N289" s="144"/>
      <c r="O289" s="144"/>
      <c r="P289" s="144"/>
      <c r="Q289" s="144"/>
      <c r="R289" s="144"/>
      <c r="S289" s="144"/>
      <c r="T289" s="144"/>
      <c r="U289" s="144"/>
      <c r="V289" s="144"/>
      <c r="W289" s="144"/>
      <c r="X289" s="144"/>
      <c r="Y289" s="144"/>
      <c r="Z289" s="144"/>
      <c r="AA289" s="144"/>
      <c r="AB289" s="144"/>
      <c r="AC289" s="144"/>
      <c r="AD289" s="144"/>
      <c r="AE289" s="144"/>
      <c r="AF289" s="144"/>
    </row>
    <row r="290" ht="16.5" customHeight="1">
      <c r="A290" s="144"/>
      <c r="B290" s="552"/>
      <c r="C290" s="569"/>
      <c r="D290" s="569"/>
      <c r="E290" s="569"/>
      <c r="F290" s="569"/>
      <c r="G290" s="569"/>
      <c r="H290" s="569"/>
      <c r="I290" s="496"/>
      <c r="J290" s="496"/>
      <c r="K290" s="496"/>
      <c r="L290" s="496"/>
      <c r="M290" s="144"/>
      <c r="N290" s="144"/>
      <c r="O290" s="144"/>
      <c r="P290" s="144"/>
      <c r="Q290" s="144"/>
      <c r="R290" s="144"/>
      <c r="S290" s="144"/>
      <c r="T290" s="144"/>
      <c r="U290" s="144"/>
      <c r="V290" s="144"/>
      <c r="W290" s="144"/>
      <c r="X290" s="144"/>
      <c r="Y290" s="144"/>
      <c r="Z290" s="144"/>
      <c r="AA290" s="144"/>
      <c r="AB290" s="144"/>
      <c r="AC290" s="144"/>
      <c r="AD290" s="144"/>
      <c r="AE290" s="144"/>
      <c r="AF290" s="144"/>
    </row>
    <row r="291" ht="16.5" customHeight="1">
      <c r="A291" s="144"/>
      <c r="B291" s="156"/>
      <c r="C291" s="569"/>
      <c r="D291" s="569"/>
      <c r="E291" s="569"/>
      <c r="F291" s="569"/>
      <c r="G291" s="569"/>
      <c r="H291" s="569"/>
      <c r="I291" s="496"/>
      <c r="J291" s="496"/>
      <c r="K291" s="496"/>
      <c r="L291" s="496"/>
      <c r="M291" s="144"/>
      <c r="N291" s="144"/>
      <c r="O291" s="144"/>
      <c r="P291" s="144"/>
      <c r="Q291" s="144"/>
      <c r="R291" s="144"/>
      <c r="S291" s="144"/>
      <c r="T291" s="144"/>
      <c r="U291" s="144"/>
      <c r="V291" s="144"/>
      <c r="W291" s="144"/>
      <c r="X291" s="144"/>
      <c r="Y291" s="144"/>
      <c r="Z291" s="144"/>
      <c r="AA291" s="144"/>
      <c r="AB291" s="144"/>
      <c r="AC291" s="144"/>
      <c r="AD291" s="144"/>
      <c r="AE291" s="144"/>
      <c r="AF291" s="144"/>
    </row>
    <row r="292" ht="16.5" customHeight="1">
      <c r="A292" s="144"/>
      <c r="B292" s="552"/>
      <c r="C292" s="569"/>
      <c r="D292" s="569"/>
      <c r="E292" s="569"/>
      <c r="F292" s="569"/>
      <c r="G292" s="569"/>
      <c r="H292" s="569"/>
      <c r="I292" s="496"/>
      <c r="J292" s="496"/>
      <c r="K292" s="496"/>
      <c r="L292" s="496"/>
      <c r="M292" s="144"/>
      <c r="N292" s="144"/>
      <c r="O292" s="144"/>
      <c r="P292" s="144"/>
      <c r="Q292" s="144"/>
      <c r="R292" s="144"/>
      <c r="S292" s="144"/>
      <c r="T292" s="144"/>
      <c r="U292" s="144"/>
      <c r="V292" s="144"/>
      <c r="W292" s="144"/>
      <c r="X292" s="144"/>
      <c r="Y292" s="144"/>
      <c r="Z292" s="144"/>
      <c r="AA292" s="144"/>
      <c r="AB292" s="144"/>
      <c r="AC292" s="144"/>
      <c r="AD292" s="144"/>
      <c r="AE292" s="144"/>
      <c r="AF292" s="144"/>
    </row>
    <row r="293" ht="16.5" customHeight="1">
      <c r="A293" s="144"/>
      <c r="B293" s="156"/>
      <c r="C293" s="352"/>
      <c r="D293" s="352"/>
      <c r="E293" s="352"/>
      <c r="F293" s="352"/>
      <c r="G293" s="566"/>
      <c r="H293" s="497"/>
      <c r="I293" s="496"/>
      <c r="J293" s="496"/>
      <c r="K293" s="496"/>
      <c r="L293" s="496"/>
      <c r="M293" s="144"/>
      <c r="N293" s="144"/>
      <c r="O293" s="144"/>
      <c r="P293" s="144"/>
      <c r="Q293" s="144"/>
      <c r="R293" s="144"/>
      <c r="S293" s="144"/>
      <c r="T293" s="144"/>
      <c r="U293" s="144"/>
      <c r="V293" s="144"/>
      <c r="W293" s="144"/>
      <c r="X293" s="144"/>
      <c r="Y293" s="144"/>
      <c r="Z293" s="144"/>
      <c r="AA293" s="144"/>
      <c r="AB293" s="144"/>
      <c r="AC293" s="144"/>
      <c r="AD293" s="144"/>
      <c r="AE293" s="144"/>
      <c r="AF293" s="144"/>
    </row>
    <row r="294" ht="16.5" customHeight="1">
      <c r="A294" s="144"/>
      <c r="B294" s="552"/>
      <c r="C294" s="352"/>
      <c r="D294" s="352"/>
      <c r="E294" s="352"/>
      <c r="F294" s="352"/>
      <c r="G294" s="566"/>
      <c r="H294" s="352"/>
      <c r="I294" s="496"/>
      <c r="J294" s="496"/>
      <c r="K294" s="496"/>
      <c r="L294" s="496"/>
      <c r="M294" s="144"/>
      <c r="N294" s="144"/>
      <c r="O294" s="144"/>
      <c r="P294" s="144"/>
      <c r="Q294" s="144"/>
      <c r="R294" s="144"/>
      <c r="S294" s="144"/>
      <c r="T294" s="144"/>
      <c r="U294" s="144"/>
      <c r="V294" s="144"/>
      <c r="W294" s="144"/>
      <c r="X294" s="144"/>
      <c r="Y294" s="144"/>
      <c r="Z294" s="144"/>
      <c r="AA294" s="144"/>
      <c r="AB294" s="144"/>
      <c r="AC294" s="144"/>
      <c r="AD294" s="144"/>
      <c r="AE294" s="144"/>
      <c r="AF294" s="144"/>
    </row>
    <row r="295" ht="16.5" customHeight="1">
      <c r="A295" s="144"/>
      <c r="B295" s="552"/>
      <c r="C295" s="352"/>
      <c r="D295" s="352"/>
      <c r="E295" s="352"/>
      <c r="F295" s="352"/>
      <c r="G295" s="566"/>
      <c r="H295" s="352"/>
      <c r="I295" s="496"/>
      <c r="J295" s="496"/>
      <c r="K295" s="496"/>
      <c r="L295" s="496"/>
      <c r="M295" s="144"/>
      <c r="N295" s="144"/>
      <c r="O295" s="144"/>
      <c r="P295" s="144"/>
      <c r="Q295" s="144"/>
      <c r="R295" s="144"/>
      <c r="S295" s="144"/>
      <c r="T295" s="144"/>
      <c r="U295" s="144"/>
      <c r="V295" s="144"/>
      <c r="W295" s="144"/>
      <c r="X295" s="144"/>
      <c r="Y295" s="144"/>
      <c r="Z295" s="144"/>
      <c r="AA295" s="144"/>
      <c r="AB295" s="144"/>
      <c r="AC295" s="144"/>
      <c r="AD295" s="144"/>
      <c r="AE295" s="144"/>
      <c r="AF295" s="144"/>
    </row>
    <row r="296" ht="16.5" customHeight="1">
      <c r="A296" s="144"/>
      <c r="B296" s="156"/>
      <c r="C296" s="352"/>
      <c r="D296" s="352"/>
      <c r="E296" s="352"/>
      <c r="F296" s="352"/>
      <c r="G296" s="566"/>
      <c r="H296" s="352"/>
      <c r="I296" s="496"/>
      <c r="J296" s="496"/>
      <c r="K296" s="496"/>
      <c r="L296" s="496"/>
      <c r="M296" s="144"/>
      <c r="N296" s="144"/>
      <c r="O296" s="144"/>
      <c r="P296" s="144"/>
      <c r="Q296" s="144"/>
      <c r="R296" s="144"/>
      <c r="S296" s="144"/>
      <c r="T296" s="144"/>
      <c r="U296" s="144"/>
      <c r="V296" s="144"/>
      <c r="W296" s="144"/>
      <c r="X296" s="144"/>
      <c r="Y296" s="144"/>
      <c r="Z296" s="144"/>
      <c r="AA296" s="144"/>
      <c r="AB296" s="144"/>
      <c r="AC296" s="144"/>
      <c r="AD296" s="144"/>
      <c r="AE296" s="144"/>
      <c r="AF296" s="144"/>
    </row>
    <row r="297" ht="16.5" customHeight="1">
      <c r="A297" s="144"/>
      <c r="B297" s="552"/>
      <c r="C297" s="352"/>
      <c r="D297" s="352"/>
      <c r="E297" s="352"/>
      <c r="F297" s="505"/>
      <c r="G297" s="566"/>
      <c r="H297" s="505"/>
      <c r="I297" s="496"/>
      <c r="J297" s="496"/>
      <c r="K297" s="496"/>
      <c r="L297" s="496"/>
      <c r="M297" s="144"/>
      <c r="N297" s="144"/>
      <c r="O297" s="144"/>
      <c r="P297" s="144"/>
      <c r="Q297" s="144"/>
      <c r="R297" s="144"/>
      <c r="S297" s="144"/>
      <c r="T297" s="144"/>
      <c r="U297" s="144"/>
      <c r="V297" s="144"/>
      <c r="W297" s="144"/>
      <c r="X297" s="144"/>
      <c r="Y297" s="144"/>
      <c r="Z297" s="144"/>
      <c r="AA297" s="144"/>
      <c r="AB297" s="144"/>
      <c r="AC297" s="144"/>
      <c r="AD297" s="144"/>
      <c r="AE297" s="144"/>
      <c r="AF297" s="144"/>
    </row>
    <row r="298" ht="16.5" customHeight="1">
      <c r="A298" s="144"/>
      <c r="B298" s="552"/>
      <c r="C298" s="83"/>
      <c r="D298" s="83"/>
      <c r="E298" s="83"/>
      <c r="F298" s="501"/>
      <c r="G298" s="566"/>
      <c r="H298" s="156"/>
      <c r="I298" s="496"/>
      <c r="J298" s="496"/>
      <c r="K298" s="496"/>
      <c r="L298" s="496"/>
      <c r="M298" s="144"/>
      <c r="N298" s="144"/>
      <c r="O298" s="144"/>
      <c r="P298" s="144"/>
      <c r="Q298" s="144"/>
      <c r="R298" s="144"/>
      <c r="S298" s="144"/>
      <c r="T298" s="144"/>
      <c r="U298" s="144"/>
      <c r="V298" s="144"/>
      <c r="W298" s="144"/>
      <c r="X298" s="144"/>
      <c r="Y298" s="144"/>
      <c r="Z298" s="144"/>
      <c r="AA298" s="144"/>
      <c r="AB298" s="144"/>
      <c r="AC298" s="144"/>
      <c r="AD298" s="144"/>
      <c r="AE298" s="144"/>
      <c r="AF298" s="144"/>
    </row>
    <row r="299" ht="16.5" customHeight="1">
      <c r="A299" s="144"/>
      <c r="B299" s="552"/>
      <c r="C299" s="83"/>
      <c r="D299" s="83"/>
      <c r="E299" s="83"/>
      <c r="F299" s="501"/>
      <c r="G299" s="566"/>
      <c r="H299" s="156"/>
      <c r="I299" s="496"/>
      <c r="J299" s="496"/>
      <c r="K299" s="496"/>
      <c r="L299" s="496"/>
      <c r="M299" s="144"/>
      <c r="N299" s="144"/>
      <c r="O299" s="144"/>
      <c r="P299" s="144"/>
      <c r="Q299" s="144"/>
      <c r="R299" s="144"/>
      <c r="S299" s="144"/>
      <c r="T299" s="144"/>
      <c r="U299" s="144"/>
      <c r="V299" s="144"/>
      <c r="W299" s="144"/>
      <c r="X299" s="144"/>
      <c r="Y299" s="144"/>
      <c r="Z299" s="144"/>
      <c r="AA299" s="144"/>
      <c r="AB299" s="144"/>
      <c r="AC299" s="144"/>
      <c r="AD299" s="144"/>
      <c r="AE299" s="144"/>
      <c r="AF299" s="144"/>
    </row>
    <row r="300" ht="16.5" customHeight="1">
      <c r="A300" s="144"/>
      <c r="B300" s="552"/>
      <c r="C300" s="83"/>
      <c r="D300" s="83"/>
      <c r="E300" s="156"/>
      <c r="F300" s="156"/>
      <c r="G300" s="566"/>
      <c r="H300" s="156"/>
      <c r="I300" s="496"/>
      <c r="J300" s="496"/>
      <c r="K300" s="496"/>
      <c r="L300" s="496"/>
      <c r="M300" s="144"/>
      <c r="N300" s="144"/>
      <c r="O300" s="144"/>
      <c r="P300" s="144"/>
      <c r="Q300" s="144"/>
      <c r="R300" s="144"/>
      <c r="S300" s="144"/>
      <c r="T300" s="144"/>
      <c r="U300" s="144"/>
      <c r="V300" s="144"/>
      <c r="W300" s="144"/>
      <c r="X300" s="144"/>
      <c r="Y300" s="144"/>
      <c r="Z300" s="144"/>
      <c r="AA300" s="144"/>
      <c r="AB300" s="144"/>
      <c r="AC300" s="144"/>
      <c r="AD300" s="144"/>
      <c r="AE300" s="144"/>
      <c r="AF300" s="144"/>
    </row>
    <row r="301" ht="16.5" customHeight="1">
      <c r="A301" s="144"/>
      <c r="B301" s="552"/>
      <c r="C301" s="83"/>
      <c r="D301" s="83"/>
      <c r="E301" s="164"/>
      <c r="F301" s="156"/>
      <c r="G301" s="566"/>
      <c r="H301" s="568"/>
      <c r="I301" s="496"/>
      <c r="J301" s="496"/>
      <c r="K301" s="496"/>
      <c r="L301" s="496"/>
      <c r="M301" s="144"/>
      <c r="N301" s="144"/>
      <c r="O301" s="144"/>
      <c r="P301" s="144"/>
      <c r="Q301" s="144"/>
      <c r="R301" s="144"/>
      <c r="S301" s="144"/>
      <c r="T301" s="144"/>
      <c r="U301" s="144"/>
      <c r="V301" s="144"/>
      <c r="W301" s="144"/>
      <c r="X301" s="144"/>
      <c r="Y301" s="144"/>
      <c r="Z301" s="144"/>
      <c r="AA301" s="144"/>
      <c r="AB301" s="144"/>
      <c r="AC301" s="144"/>
      <c r="AD301" s="144"/>
      <c r="AE301" s="144"/>
      <c r="AF301" s="144"/>
    </row>
    <row r="302" ht="16.5" customHeight="1">
      <c r="A302" s="144"/>
      <c r="B302" s="164"/>
      <c r="C302" s="164"/>
      <c r="D302" s="164"/>
      <c r="E302" s="164"/>
      <c r="F302" s="156"/>
      <c r="G302" s="156"/>
      <c r="H302" s="156"/>
      <c r="I302" s="496"/>
      <c r="J302" s="496"/>
      <c r="K302" s="496"/>
      <c r="L302" s="496"/>
      <c r="M302" s="144"/>
      <c r="N302" s="144"/>
      <c r="O302" s="144"/>
      <c r="P302" s="144"/>
      <c r="Q302" s="144"/>
      <c r="R302" s="144"/>
      <c r="S302" s="144"/>
      <c r="T302" s="144"/>
      <c r="U302" s="144"/>
      <c r="V302" s="144"/>
      <c r="W302" s="144"/>
      <c r="X302" s="144"/>
      <c r="Y302" s="144"/>
      <c r="Z302" s="144"/>
      <c r="AA302" s="144"/>
      <c r="AB302" s="144"/>
      <c r="AC302" s="144"/>
      <c r="AD302" s="144"/>
      <c r="AE302" s="144"/>
      <c r="AF302" s="144"/>
    </row>
    <row r="303" ht="16.5" customHeight="1">
      <c r="A303" s="144"/>
      <c r="B303" s="164"/>
      <c r="C303" s="164"/>
      <c r="D303" s="164"/>
      <c r="E303" s="164"/>
      <c r="F303" s="156"/>
      <c r="G303" s="156"/>
      <c r="H303" s="156"/>
      <c r="I303" s="496"/>
      <c r="J303" s="496"/>
      <c r="K303" s="496"/>
      <c r="L303" s="496"/>
      <c r="M303" s="144"/>
      <c r="N303" s="144"/>
      <c r="O303" s="144"/>
      <c r="P303" s="144"/>
      <c r="Q303" s="144"/>
      <c r="R303" s="144"/>
      <c r="S303" s="144"/>
      <c r="T303" s="144"/>
      <c r="U303" s="144"/>
      <c r="V303" s="144"/>
      <c r="W303" s="144"/>
      <c r="X303" s="144"/>
      <c r="Y303" s="144"/>
      <c r="Z303" s="144"/>
      <c r="AA303" s="144"/>
      <c r="AB303" s="144"/>
      <c r="AC303" s="144"/>
      <c r="AD303" s="144"/>
      <c r="AE303" s="144"/>
      <c r="AF303" s="144"/>
    </row>
    <row r="304" ht="16.5" customHeight="1">
      <c r="A304" s="144"/>
      <c r="B304" s="541"/>
      <c r="C304" s="570"/>
      <c r="D304" s="352"/>
      <c r="E304" s="352"/>
      <c r="F304" s="352"/>
      <c r="G304" s="560"/>
      <c r="H304" s="352"/>
      <c r="I304" s="496"/>
      <c r="J304" s="496"/>
      <c r="K304" s="496"/>
      <c r="L304" s="496"/>
      <c r="M304" s="144"/>
      <c r="N304" s="144"/>
      <c r="O304" s="144"/>
      <c r="P304" s="144"/>
      <c r="Q304" s="144"/>
      <c r="R304" s="144"/>
      <c r="S304" s="144"/>
      <c r="T304" s="144"/>
      <c r="U304" s="144"/>
      <c r="V304" s="144"/>
      <c r="W304" s="144"/>
      <c r="X304" s="144"/>
      <c r="Y304" s="144"/>
      <c r="Z304" s="144"/>
      <c r="AA304" s="144"/>
      <c r="AB304" s="144"/>
      <c r="AC304" s="144"/>
      <c r="AD304" s="144"/>
      <c r="AE304" s="144"/>
      <c r="AF304" s="144"/>
    </row>
    <row r="305" ht="16.5" customHeight="1">
      <c r="A305" s="144"/>
      <c r="B305" s="541"/>
      <c r="C305" s="570"/>
      <c r="D305" s="352"/>
      <c r="E305" s="352"/>
      <c r="F305" s="352"/>
      <c r="G305" s="352"/>
      <c r="H305" s="352"/>
      <c r="I305" s="496"/>
      <c r="J305" s="496"/>
      <c r="K305" s="496"/>
      <c r="L305" s="496"/>
      <c r="M305" s="144"/>
      <c r="N305" s="144"/>
      <c r="O305" s="144"/>
      <c r="P305" s="144"/>
      <c r="Q305" s="144"/>
      <c r="R305" s="144"/>
      <c r="S305" s="144"/>
      <c r="T305" s="144"/>
      <c r="U305" s="144"/>
      <c r="V305" s="144"/>
      <c r="W305" s="144"/>
      <c r="X305" s="144"/>
      <c r="Y305" s="144"/>
      <c r="Z305" s="144"/>
      <c r="AA305" s="144"/>
      <c r="AB305" s="144"/>
      <c r="AC305" s="144"/>
      <c r="AD305" s="144"/>
      <c r="AE305" s="144"/>
      <c r="AF305" s="144"/>
    </row>
    <row r="306" ht="16.5" customHeight="1">
      <c r="A306" s="144"/>
      <c r="B306" s="541"/>
      <c r="C306" s="570"/>
      <c r="D306" s="352"/>
      <c r="E306" s="352"/>
      <c r="F306" s="352"/>
      <c r="G306" s="352"/>
      <c r="H306" s="352"/>
      <c r="I306" s="496"/>
      <c r="J306" s="496"/>
      <c r="K306" s="496"/>
      <c r="L306" s="496"/>
      <c r="M306" s="144"/>
      <c r="N306" s="144"/>
      <c r="O306" s="144"/>
      <c r="P306" s="144"/>
      <c r="Q306" s="144"/>
      <c r="R306" s="144"/>
      <c r="S306" s="144"/>
      <c r="T306" s="144"/>
      <c r="U306" s="144"/>
      <c r="V306" s="144"/>
      <c r="W306" s="144"/>
      <c r="X306" s="144"/>
      <c r="Y306" s="144"/>
      <c r="Z306" s="144"/>
      <c r="AA306" s="144"/>
      <c r="AB306" s="144"/>
      <c r="AC306" s="144"/>
      <c r="AD306" s="144"/>
      <c r="AE306" s="144"/>
      <c r="AF306" s="144"/>
    </row>
    <row r="307" ht="16.5" customHeight="1">
      <c r="A307" s="144"/>
      <c r="B307" s="144"/>
      <c r="C307" s="144"/>
      <c r="D307" s="144"/>
      <c r="E307" s="144"/>
      <c r="F307" s="144"/>
      <c r="G307" s="144"/>
      <c r="H307" s="144"/>
      <c r="I307" s="496"/>
      <c r="J307" s="496"/>
      <c r="K307" s="496"/>
      <c r="L307" s="496"/>
      <c r="M307" s="144"/>
      <c r="N307" s="144"/>
      <c r="O307" s="144"/>
      <c r="P307" s="144"/>
      <c r="Q307" s="144"/>
      <c r="R307" s="144"/>
      <c r="S307" s="144"/>
      <c r="T307" s="144"/>
      <c r="U307" s="144"/>
      <c r="V307" s="144"/>
      <c r="W307" s="144"/>
      <c r="X307" s="144"/>
      <c r="Y307" s="144"/>
      <c r="Z307" s="144"/>
      <c r="AA307" s="144"/>
      <c r="AB307" s="144"/>
      <c r="AC307" s="144"/>
      <c r="AD307" s="144"/>
      <c r="AE307" s="144"/>
      <c r="AF307" s="144"/>
    </row>
    <row r="308" ht="16.5" customHeight="1">
      <c r="A308" s="144"/>
      <c r="B308" s="144"/>
      <c r="C308" s="144"/>
      <c r="D308" s="144"/>
      <c r="E308" s="144"/>
      <c r="F308" s="144"/>
      <c r="G308" s="144"/>
      <c r="H308" s="144"/>
      <c r="I308" s="496"/>
      <c r="J308" s="496"/>
      <c r="K308" s="496"/>
      <c r="L308" s="496"/>
      <c r="M308" s="144"/>
      <c r="N308" s="144"/>
      <c r="O308" s="144"/>
      <c r="P308" s="144"/>
      <c r="Q308" s="144"/>
      <c r="R308" s="144"/>
      <c r="S308" s="144"/>
      <c r="T308" s="144"/>
      <c r="U308" s="144"/>
      <c r="V308" s="144"/>
      <c r="W308" s="144"/>
      <c r="X308" s="144"/>
      <c r="Y308" s="144"/>
      <c r="Z308" s="144"/>
      <c r="AA308" s="144"/>
      <c r="AB308" s="144"/>
      <c r="AC308" s="144"/>
      <c r="AD308" s="144"/>
      <c r="AE308" s="144"/>
      <c r="AF308" s="144"/>
    </row>
    <row r="309" ht="16.5" customHeight="1">
      <c r="A309" s="144"/>
      <c r="B309" s="144"/>
      <c r="C309" s="144"/>
      <c r="D309" s="144"/>
      <c r="E309" s="144"/>
      <c r="F309" s="144"/>
      <c r="G309" s="144"/>
      <c r="H309" s="144"/>
      <c r="I309" s="496"/>
      <c r="J309" s="496"/>
      <c r="K309" s="496"/>
      <c r="L309" s="496"/>
      <c r="M309" s="144"/>
      <c r="N309" s="144"/>
      <c r="O309" s="144"/>
      <c r="P309" s="144"/>
      <c r="Q309" s="144"/>
      <c r="R309" s="144"/>
      <c r="S309" s="144"/>
      <c r="T309" s="144"/>
      <c r="U309" s="144"/>
      <c r="V309" s="144"/>
      <c r="W309" s="144"/>
      <c r="X309" s="144"/>
      <c r="Y309" s="144"/>
      <c r="Z309" s="144"/>
      <c r="AA309" s="144"/>
      <c r="AB309" s="144"/>
      <c r="AC309" s="144"/>
      <c r="AD309" s="144"/>
      <c r="AE309" s="144"/>
      <c r="AF309" s="144"/>
    </row>
    <row r="310" ht="16.5" customHeight="1">
      <c r="A310" s="144"/>
      <c r="B310" s="144"/>
      <c r="C310" s="144"/>
      <c r="D310" s="144"/>
      <c r="E310" s="144"/>
      <c r="F310" s="144"/>
      <c r="G310" s="144"/>
      <c r="H310" s="144"/>
      <c r="I310" s="496"/>
      <c r="J310" s="496"/>
      <c r="K310" s="496"/>
      <c r="L310" s="496"/>
      <c r="M310" s="144"/>
      <c r="N310" s="144"/>
      <c r="O310" s="144"/>
      <c r="P310" s="144"/>
      <c r="Q310" s="144"/>
      <c r="R310" s="144"/>
      <c r="S310" s="144"/>
      <c r="T310" s="144"/>
      <c r="U310" s="144"/>
      <c r="V310" s="144"/>
      <c r="W310" s="144"/>
      <c r="X310" s="144"/>
      <c r="Y310" s="144"/>
      <c r="Z310" s="144"/>
      <c r="AA310" s="144"/>
      <c r="AB310" s="144"/>
      <c r="AC310" s="144"/>
      <c r="AD310" s="144"/>
      <c r="AE310" s="144"/>
      <c r="AF310" s="144"/>
    </row>
    <row r="311" ht="16.5" customHeight="1">
      <c r="A311" s="144"/>
      <c r="B311" s="144"/>
      <c r="C311" s="144"/>
      <c r="D311" s="144"/>
      <c r="E311" s="144"/>
      <c r="F311" s="144"/>
      <c r="G311" s="144"/>
      <c r="H311" s="144"/>
      <c r="I311" s="496"/>
      <c r="J311" s="496"/>
      <c r="K311" s="496"/>
      <c r="L311" s="496"/>
      <c r="M311" s="144"/>
      <c r="N311" s="144"/>
      <c r="O311" s="144"/>
      <c r="P311" s="144"/>
      <c r="Q311" s="144"/>
      <c r="R311" s="144"/>
      <c r="S311" s="144"/>
      <c r="T311" s="144"/>
      <c r="U311" s="144"/>
      <c r="V311" s="144"/>
      <c r="W311" s="144"/>
      <c r="X311" s="144"/>
      <c r="Y311" s="144"/>
      <c r="Z311" s="144"/>
      <c r="AA311" s="144"/>
      <c r="AB311" s="144"/>
      <c r="AC311" s="144"/>
      <c r="AD311" s="144"/>
      <c r="AE311" s="144"/>
      <c r="AF311" s="144"/>
    </row>
    <row r="312" ht="16.5" customHeight="1">
      <c r="A312" s="144"/>
      <c r="B312" s="144"/>
      <c r="C312" s="144"/>
      <c r="D312" s="144"/>
      <c r="E312" s="144"/>
      <c r="F312" s="144"/>
      <c r="G312" s="144"/>
      <c r="H312" s="144"/>
      <c r="I312" s="496"/>
      <c r="J312" s="496"/>
      <c r="K312" s="496"/>
      <c r="L312" s="496"/>
      <c r="M312" s="144"/>
      <c r="N312" s="144"/>
      <c r="O312" s="144"/>
      <c r="P312" s="144"/>
      <c r="Q312" s="144"/>
      <c r="R312" s="144"/>
      <c r="S312" s="144"/>
      <c r="T312" s="144"/>
      <c r="U312" s="144"/>
      <c r="V312" s="144"/>
      <c r="W312" s="144"/>
      <c r="X312" s="144"/>
      <c r="Y312" s="144"/>
      <c r="Z312" s="144"/>
      <c r="AA312" s="144"/>
      <c r="AB312" s="144"/>
      <c r="AC312" s="144"/>
      <c r="AD312" s="144"/>
      <c r="AE312" s="144"/>
      <c r="AF312" s="144"/>
    </row>
    <row r="313" ht="16.5" customHeight="1">
      <c r="A313" s="144"/>
      <c r="B313" s="144"/>
      <c r="C313" s="144"/>
      <c r="D313" s="144"/>
      <c r="E313" s="144"/>
      <c r="F313" s="144"/>
      <c r="G313" s="144"/>
      <c r="H313" s="144"/>
      <c r="I313" s="496"/>
      <c r="J313" s="496"/>
      <c r="K313" s="496"/>
      <c r="L313" s="496"/>
      <c r="M313" s="144"/>
      <c r="N313" s="144"/>
      <c r="O313" s="144"/>
      <c r="P313" s="144"/>
      <c r="Q313" s="144"/>
      <c r="R313" s="144"/>
      <c r="S313" s="144"/>
      <c r="T313" s="144"/>
      <c r="U313" s="144"/>
      <c r="V313" s="144"/>
      <c r="W313" s="144"/>
      <c r="X313" s="144"/>
      <c r="Y313" s="144"/>
      <c r="Z313" s="144"/>
      <c r="AA313" s="144"/>
      <c r="AB313" s="144"/>
      <c r="AC313" s="144"/>
      <c r="AD313" s="144"/>
      <c r="AE313" s="144"/>
      <c r="AF313" s="144"/>
    </row>
    <row r="314" ht="16.5" customHeight="1">
      <c r="A314" s="144"/>
      <c r="B314" s="144"/>
      <c r="C314" s="144"/>
      <c r="D314" s="144"/>
      <c r="E314" s="144"/>
      <c r="F314" s="144"/>
      <c r="G314" s="144"/>
      <c r="H314" s="144"/>
      <c r="I314" s="496"/>
      <c r="J314" s="496"/>
      <c r="K314" s="496"/>
      <c r="L314" s="496"/>
      <c r="M314" s="144"/>
      <c r="N314" s="144"/>
      <c r="O314" s="144"/>
      <c r="P314" s="144"/>
      <c r="Q314" s="144"/>
      <c r="R314" s="144"/>
      <c r="S314" s="144"/>
      <c r="T314" s="144"/>
      <c r="U314" s="144"/>
      <c r="V314" s="144"/>
      <c r="W314" s="144"/>
      <c r="X314" s="144"/>
      <c r="Y314" s="144"/>
      <c r="Z314" s="144"/>
      <c r="AA314" s="144"/>
      <c r="AB314" s="144"/>
      <c r="AC314" s="144"/>
      <c r="AD314" s="144"/>
      <c r="AE314" s="144"/>
      <c r="AF314" s="144"/>
    </row>
    <row r="315" ht="16.5" customHeight="1">
      <c r="A315" s="144"/>
      <c r="B315" s="144"/>
      <c r="C315" s="144"/>
      <c r="D315" s="144"/>
      <c r="E315" s="144"/>
      <c r="F315" s="144"/>
      <c r="G315" s="144"/>
      <c r="H315" s="144"/>
      <c r="I315" s="496"/>
      <c r="J315" s="496"/>
      <c r="K315" s="496"/>
      <c r="L315" s="496"/>
      <c r="M315" s="144"/>
      <c r="N315" s="144"/>
      <c r="O315" s="144"/>
      <c r="P315" s="144"/>
      <c r="Q315" s="144"/>
      <c r="R315" s="144"/>
      <c r="S315" s="144"/>
      <c r="T315" s="144"/>
      <c r="U315" s="144"/>
      <c r="V315" s="144"/>
      <c r="W315" s="144"/>
      <c r="X315" s="144"/>
      <c r="Y315" s="144"/>
      <c r="Z315" s="144"/>
      <c r="AA315" s="144"/>
      <c r="AB315" s="144"/>
      <c r="AC315" s="144"/>
      <c r="AD315" s="144"/>
      <c r="AE315" s="144"/>
      <c r="AF315" s="144"/>
    </row>
    <row r="316" ht="16.5" customHeight="1">
      <c r="A316" s="144"/>
      <c r="B316" s="144"/>
      <c r="C316" s="144"/>
      <c r="D316" s="144"/>
      <c r="E316" s="144"/>
      <c r="F316" s="144"/>
      <c r="G316" s="144"/>
      <c r="H316" s="144"/>
      <c r="I316" s="496"/>
      <c r="J316" s="496"/>
      <c r="K316" s="496"/>
      <c r="L316" s="496"/>
      <c r="M316" s="144"/>
      <c r="N316" s="144"/>
      <c r="O316" s="144"/>
      <c r="P316" s="144"/>
      <c r="Q316" s="144"/>
      <c r="R316" s="144"/>
      <c r="S316" s="144"/>
      <c r="T316" s="144"/>
      <c r="U316" s="144"/>
      <c r="V316" s="144"/>
      <c r="W316" s="144"/>
      <c r="X316" s="144"/>
      <c r="Y316" s="144"/>
      <c r="Z316" s="144"/>
      <c r="AA316" s="144"/>
      <c r="AB316" s="144"/>
      <c r="AC316" s="144"/>
      <c r="AD316" s="144"/>
      <c r="AE316" s="144"/>
      <c r="AF316" s="144"/>
    </row>
    <row r="317" ht="16.5" customHeight="1">
      <c r="A317" s="144"/>
      <c r="B317" s="144"/>
      <c r="C317" s="144"/>
      <c r="D317" s="144"/>
      <c r="E317" s="144"/>
      <c r="F317" s="144"/>
      <c r="G317" s="144"/>
      <c r="H317" s="144"/>
      <c r="I317" s="496"/>
      <c r="J317" s="496"/>
      <c r="K317" s="496"/>
      <c r="L317" s="496"/>
      <c r="M317" s="144"/>
      <c r="N317" s="144"/>
      <c r="O317" s="144"/>
      <c r="P317" s="144"/>
      <c r="Q317" s="144"/>
      <c r="R317" s="144"/>
      <c r="S317" s="144"/>
      <c r="T317" s="144"/>
      <c r="U317" s="144"/>
      <c r="V317" s="144"/>
      <c r="W317" s="144"/>
      <c r="X317" s="144"/>
      <c r="Y317" s="144"/>
      <c r="Z317" s="144"/>
      <c r="AA317" s="144"/>
      <c r="AB317" s="144"/>
      <c r="AC317" s="144"/>
      <c r="AD317" s="144"/>
      <c r="AE317" s="144"/>
      <c r="AF317" s="144"/>
    </row>
    <row r="318" ht="16.5" customHeight="1">
      <c r="A318" s="144"/>
      <c r="B318" s="144"/>
      <c r="C318" s="144"/>
      <c r="D318" s="144"/>
      <c r="E318" s="144"/>
      <c r="F318" s="144"/>
      <c r="G318" s="144"/>
      <c r="H318" s="144"/>
      <c r="I318" s="496"/>
      <c r="J318" s="496"/>
      <c r="K318" s="496"/>
      <c r="L318" s="496"/>
      <c r="M318" s="144"/>
      <c r="N318" s="144"/>
      <c r="O318" s="144"/>
      <c r="P318" s="144"/>
      <c r="Q318" s="144"/>
      <c r="R318" s="144"/>
      <c r="S318" s="144"/>
      <c r="T318" s="144"/>
      <c r="U318" s="144"/>
      <c r="V318" s="144"/>
      <c r="W318" s="144"/>
      <c r="X318" s="144"/>
      <c r="Y318" s="144"/>
      <c r="Z318" s="144"/>
      <c r="AA318" s="144"/>
      <c r="AB318" s="144"/>
      <c r="AC318" s="144"/>
      <c r="AD318" s="144"/>
      <c r="AE318" s="144"/>
      <c r="AF318" s="144"/>
    </row>
    <row r="319" ht="16.5" customHeight="1">
      <c r="A319" s="144"/>
      <c r="B319" s="144"/>
      <c r="C319" s="144"/>
      <c r="D319" s="144"/>
      <c r="E319" s="144"/>
      <c r="F319" s="144"/>
      <c r="G319" s="144"/>
      <c r="H319" s="144"/>
      <c r="I319" s="496"/>
      <c r="J319" s="496"/>
      <c r="K319" s="496"/>
      <c r="L319" s="496"/>
      <c r="M319" s="144"/>
      <c r="N319" s="144"/>
      <c r="O319" s="144"/>
      <c r="P319" s="144"/>
      <c r="Q319" s="144"/>
      <c r="R319" s="144"/>
      <c r="S319" s="144"/>
      <c r="T319" s="144"/>
      <c r="U319" s="144"/>
      <c r="V319" s="144"/>
      <c r="W319" s="144"/>
      <c r="X319" s="144"/>
      <c r="Y319" s="144"/>
      <c r="Z319" s="144"/>
      <c r="AA319" s="144"/>
      <c r="AB319" s="144"/>
      <c r="AC319" s="144"/>
      <c r="AD319" s="144"/>
      <c r="AE319" s="144"/>
      <c r="AF319" s="144"/>
    </row>
    <row r="320" ht="16.5" customHeight="1">
      <c r="A320" s="144"/>
      <c r="B320" s="144"/>
      <c r="C320" s="144"/>
      <c r="D320" s="144"/>
      <c r="E320" s="144"/>
      <c r="F320" s="144"/>
      <c r="G320" s="144"/>
      <c r="H320" s="144"/>
      <c r="I320" s="496"/>
      <c r="J320" s="496"/>
      <c r="K320" s="496"/>
      <c r="L320" s="496"/>
      <c r="M320" s="144"/>
      <c r="N320" s="144"/>
      <c r="O320" s="144"/>
      <c r="P320" s="144"/>
      <c r="Q320" s="144"/>
      <c r="R320" s="144"/>
      <c r="S320" s="144"/>
      <c r="T320" s="144"/>
      <c r="U320" s="144"/>
      <c r="V320" s="144"/>
      <c r="W320" s="144"/>
      <c r="X320" s="144"/>
      <c r="Y320" s="144"/>
      <c r="Z320" s="144"/>
      <c r="AA320" s="144"/>
      <c r="AB320" s="144"/>
      <c r="AC320" s="144"/>
      <c r="AD320" s="144"/>
      <c r="AE320" s="144"/>
      <c r="AF320" s="144"/>
    </row>
    <row r="321" ht="16.5" customHeight="1">
      <c r="A321" s="144"/>
      <c r="B321" s="144"/>
      <c r="C321" s="144"/>
      <c r="D321" s="144"/>
      <c r="E321" s="144"/>
      <c r="F321" s="144"/>
      <c r="G321" s="144"/>
      <c r="H321" s="144"/>
      <c r="I321" s="496"/>
      <c r="J321" s="496"/>
      <c r="K321" s="496"/>
      <c r="L321" s="496"/>
      <c r="M321" s="144"/>
      <c r="N321" s="144"/>
      <c r="O321" s="144"/>
      <c r="P321" s="144"/>
      <c r="Q321" s="144"/>
      <c r="R321" s="144"/>
      <c r="S321" s="144"/>
      <c r="T321" s="144"/>
      <c r="U321" s="144"/>
      <c r="V321" s="144"/>
      <c r="W321" s="144"/>
      <c r="X321" s="144"/>
      <c r="Y321" s="144"/>
      <c r="Z321" s="144"/>
      <c r="AA321" s="144"/>
      <c r="AB321" s="144"/>
      <c r="AC321" s="144"/>
      <c r="AD321" s="144"/>
      <c r="AE321" s="144"/>
      <c r="AF321" s="144"/>
    </row>
    <row r="322" ht="16.5" customHeight="1">
      <c r="A322" s="144"/>
      <c r="B322" s="144"/>
      <c r="C322" s="144"/>
      <c r="D322" s="144"/>
      <c r="E322" s="144"/>
      <c r="F322" s="144"/>
      <c r="G322" s="144"/>
      <c r="H322" s="144"/>
      <c r="I322" s="496"/>
      <c r="J322" s="496"/>
      <c r="K322" s="496"/>
      <c r="L322" s="496"/>
      <c r="M322" s="144"/>
      <c r="N322" s="144"/>
      <c r="O322" s="144"/>
      <c r="P322" s="144"/>
      <c r="Q322" s="144"/>
      <c r="R322" s="144"/>
      <c r="S322" s="144"/>
      <c r="T322" s="144"/>
      <c r="U322" s="144"/>
      <c r="V322" s="144"/>
      <c r="W322" s="144"/>
      <c r="X322" s="144"/>
      <c r="Y322" s="144"/>
      <c r="Z322" s="144"/>
      <c r="AA322" s="144"/>
      <c r="AB322" s="144"/>
      <c r="AC322" s="144"/>
      <c r="AD322" s="144"/>
      <c r="AE322" s="144"/>
      <c r="AF322" s="144"/>
    </row>
    <row r="323" ht="16.5" customHeight="1">
      <c r="A323" s="144"/>
      <c r="B323" s="144"/>
      <c r="C323" s="144"/>
      <c r="D323" s="144"/>
      <c r="E323" s="144"/>
      <c r="F323" s="144"/>
      <c r="G323" s="144"/>
      <c r="H323" s="144"/>
      <c r="I323" s="496"/>
      <c r="J323" s="496"/>
      <c r="K323" s="496"/>
      <c r="L323" s="496"/>
      <c r="M323" s="144"/>
      <c r="N323" s="144"/>
      <c r="O323" s="144"/>
      <c r="P323" s="144"/>
      <c r="Q323" s="144"/>
      <c r="R323" s="144"/>
      <c r="S323" s="144"/>
      <c r="T323" s="144"/>
      <c r="U323" s="144"/>
      <c r="V323" s="144"/>
      <c r="W323" s="144"/>
      <c r="X323" s="144"/>
      <c r="Y323" s="144"/>
      <c r="Z323" s="144"/>
      <c r="AA323" s="144"/>
      <c r="AB323" s="144"/>
      <c r="AC323" s="144"/>
      <c r="AD323" s="144"/>
      <c r="AE323" s="144"/>
      <c r="AF323" s="144"/>
    </row>
    <row r="324" ht="16.5" customHeight="1">
      <c r="A324" s="144"/>
      <c r="B324" s="144"/>
      <c r="C324" s="144"/>
      <c r="D324" s="144"/>
      <c r="E324" s="144"/>
      <c r="F324" s="144"/>
      <c r="G324" s="144"/>
      <c r="H324" s="144"/>
      <c r="I324" s="496"/>
      <c r="J324" s="496"/>
      <c r="K324" s="496"/>
      <c r="L324" s="496"/>
      <c r="M324" s="144"/>
      <c r="N324" s="144"/>
      <c r="O324" s="144"/>
      <c r="P324" s="144"/>
      <c r="Q324" s="144"/>
      <c r="R324" s="144"/>
      <c r="S324" s="144"/>
      <c r="T324" s="144"/>
      <c r="U324" s="144"/>
      <c r="V324" s="144"/>
      <c r="W324" s="144"/>
      <c r="X324" s="144"/>
      <c r="Y324" s="144"/>
      <c r="Z324" s="144"/>
      <c r="AA324" s="144"/>
      <c r="AB324" s="144"/>
      <c r="AC324" s="144"/>
      <c r="AD324" s="144"/>
      <c r="AE324" s="144"/>
      <c r="AF324" s="144"/>
    </row>
    <row r="325" ht="16.5" customHeight="1">
      <c r="A325" s="144"/>
      <c r="B325" s="144"/>
      <c r="C325" s="144"/>
      <c r="D325" s="144"/>
      <c r="E325" s="144"/>
      <c r="F325" s="144"/>
      <c r="G325" s="144"/>
      <c r="H325" s="144"/>
      <c r="I325" s="496"/>
      <c r="J325" s="496"/>
      <c r="K325" s="496"/>
      <c r="L325" s="496"/>
      <c r="M325" s="144"/>
      <c r="N325" s="144"/>
      <c r="O325" s="144"/>
      <c r="P325" s="144"/>
      <c r="Q325" s="144"/>
      <c r="R325" s="144"/>
      <c r="S325" s="144"/>
      <c r="T325" s="144"/>
      <c r="U325" s="144"/>
      <c r="V325" s="144"/>
      <c r="W325" s="144"/>
      <c r="X325" s="144"/>
      <c r="Y325" s="144"/>
      <c r="Z325" s="144"/>
      <c r="AA325" s="144"/>
      <c r="AB325" s="144"/>
      <c r="AC325" s="144"/>
      <c r="AD325" s="144"/>
      <c r="AE325" s="144"/>
      <c r="AF325" s="144"/>
    </row>
    <row r="326" ht="16.5" customHeight="1">
      <c r="A326" s="144"/>
      <c r="B326" s="144"/>
      <c r="C326" s="144"/>
      <c r="D326" s="144"/>
      <c r="E326" s="144"/>
      <c r="F326" s="144"/>
      <c r="G326" s="144"/>
      <c r="H326" s="144"/>
      <c r="I326" s="496"/>
      <c r="J326" s="496"/>
      <c r="K326" s="496"/>
      <c r="L326" s="496"/>
      <c r="M326" s="144"/>
      <c r="N326" s="144"/>
      <c r="O326" s="144"/>
      <c r="P326" s="144"/>
      <c r="Q326" s="144"/>
      <c r="R326" s="144"/>
      <c r="S326" s="144"/>
      <c r="T326" s="144"/>
      <c r="U326" s="144"/>
      <c r="V326" s="144"/>
      <c r="W326" s="144"/>
      <c r="X326" s="144"/>
      <c r="Y326" s="144"/>
      <c r="Z326" s="144"/>
      <c r="AA326" s="144"/>
      <c r="AB326" s="144"/>
      <c r="AC326" s="144"/>
      <c r="AD326" s="144"/>
      <c r="AE326" s="144"/>
      <c r="AF326" s="144"/>
    </row>
    <row r="327" ht="16.5" customHeight="1">
      <c r="A327" s="144"/>
      <c r="B327" s="144"/>
      <c r="C327" s="144"/>
      <c r="D327" s="144"/>
      <c r="E327" s="144"/>
      <c r="F327" s="144"/>
      <c r="G327" s="144"/>
      <c r="H327" s="144"/>
      <c r="I327" s="496"/>
      <c r="J327" s="496"/>
      <c r="K327" s="496"/>
      <c r="L327" s="496"/>
      <c r="M327" s="144"/>
      <c r="N327" s="144"/>
      <c r="O327" s="144"/>
      <c r="P327" s="144"/>
      <c r="Q327" s="144"/>
      <c r="R327" s="144"/>
      <c r="S327" s="144"/>
      <c r="T327" s="144"/>
      <c r="U327" s="144"/>
      <c r="V327" s="144"/>
      <c r="W327" s="144"/>
      <c r="X327" s="144"/>
      <c r="Y327" s="144"/>
      <c r="Z327" s="144"/>
      <c r="AA327" s="144"/>
      <c r="AB327" s="144"/>
      <c r="AC327" s="144"/>
      <c r="AD327" s="144"/>
      <c r="AE327" s="144"/>
      <c r="AF327" s="144"/>
    </row>
    <row r="328" ht="16.5" customHeight="1">
      <c r="A328" s="144"/>
      <c r="B328" s="144"/>
      <c r="C328" s="144"/>
      <c r="D328" s="144"/>
      <c r="E328" s="144"/>
      <c r="F328" s="144"/>
      <c r="G328" s="144"/>
      <c r="H328" s="144"/>
      <c r="I328" s="496"/>
      <c r="J328" s="496"/>
      <c r="K328" s="496"/>
      <c r="L328" s="496"/>
      <c r="M328" s="144"/>
      <c r="N328" s="144"/>
      <c r="O328" s="144"/>
      <c r="P328" s="144"/>
      <c r="Q328" s="144"/>
      <c r="R328" s="144"/>
      <c r="S328" s="144"/>
      <c r="T328" s="144"/>
      <c r="U328" s="144"/>
      <c r="V328" s="144"/>
      <c r="W328" s="144"/>
      <c r="X328" s="144"/>
      <c r="Y328" s="144"/>
      <c r="Z328" s="144"/>
      <c r="AA328" s="144"/>
      <c r="AB328" s="144"/>
      <c r="AC328" s="144"/>
      <c r="AD328" s="144"/>
      <c r="AE328" s="144"/>
      <c r="AF328" s="144"/>
    </row>
    <row r="329" ht="16.5" customHeight="1">
      <c r="A329" s="144"/>
      <c r="B329" s="144"/>
      <c r="C329" s="144"/>
      <c r="D329" s="144"/>
      <c r="E329" s="144"/>
      <c r="F329" s="144"/>
      <c r="G329" s="144"/>
      <c r="H329" s="144"/>
      <c r="I329" s="496"/>
      <c r="J329" s="496"/>
      <c r="K329" s="496"/>
      <c r="L329" s="496"/>
      <c r="M329" s="144"/>
      <c r="N329" s="144"/>
      <c r="O329" s="144"/>
      <c r="P329" s="144"/>
      <c r="Q329" s="144"/>
      <c r="R329" s="144"/>
      <c r="S329" s="144"/>
      <c r="T329" s="144"/>
      <c r="U329" s="144"/>
      <c r="V329" s="144"/>
      <c r="W329" s="144"/>
      <c r="X329" s="144"/>
      <c r="Y329" s="144"/>
      <c r="Z329" s="144"/>
      <c r="AA329" s="144"/>
      <c r="AB329" s="144"/>
      <c r="AC329" s="144"/>
      <c r="AD329" s="144"/>
      <c r="AE329" s="144"/>
      <c r="AF329" s="144"/>
    </row>
    <row r="330" ht="16.5" customHeight="1">
      <c r="A330" s="144"/>
      <c r="B330" s="144"/>
      <c r="C330" s="144"/>
      <c r="D330" s="144"/>
      <c r="E330" s="144"/>
      <c r="F330" s="144"/>
      <c r="G330" s="144"/>
      <c r="H330" s="144"/>
      <c r="I330" s="496"/>
      <c r="J330" s="496"/>
      <c r="K330" s="496"/>
      <c r="L330" s="496"/>
      <c r="M330" s="144"/>
      <c r="N330" s="144"/>
      <c r="O330" s="144"/>
      <c r="P330" s="144"/>
      <c r="Q330" s="144"/>
      <c r="R330" s="144"/>
      <c r="S330" s="144"/>
      <c r="T330" s="144"/>
      <c r="U330" s="144"/>
      <c r="V330" s="144"/>
      <c r="W330" s="144"/>
      <c r="X330" s="144"/>
      <c r="Y330" s="144"/>
      <c r="Z330" s="144"/>
      <c r="AA330" s="144"/>
      <c r="AB330" s="144"/>
      <c r="AC330" s="144"/>
      <c r="AD330" s="144"/>
      <c r="AE330" s="144"/>
      <c r="AF330" s="144"/>
    </row>
    <row r="331" ht="16.5" customHeight="1">
      <c r="A331" s="144"/>
      <c r="B331" s="144"/>
      <c r="C331" s="144"/>
      <c r="D331" s="144"/>
      <c r="E331" s="144"/>
      <c r="F331" s="144"/>
      <c r="G331" s="144"/>
      <c r="H331" s="144"/>
      <c r="I331" s="496"/>
      <c r="J331" s="496"/>
      <c r="K331" s="496"/>
      <c r="L331" s="496"/>
      <c r="M331" s="144"/>
      <c r="N331" s="144"/>
      <c r="O331" s="144"/>
      <c r="P331" s="144"/>
      <c r="Q331" s="144"/>
      <c r="R331" s="144"/>
      <c r="S331" s="144"/>
      <c r="T331" s="144"/>
      <c r="U331" s="144"/>
      <c r="V331" s="144"/>
      <c r="W331" s="144"/>
      <c r="X331" s="144"/>
      <c r="Y331" s="144"/>
      <c r="Z331" s="144"/>
      <c r="AA331" s="144"/>
      <c r="AB331" s="144"/>
      <c r="AC331" s="144"/>
      <c r="AD331" s="144"/>
      <c r="AE331" s="144"/>
      <c r="AF331" s="144"/>
    </row>
    <row r="332" ht="16.5" customHeight="1">
      <c r="A332" s="144"/>
      <c r="B332" s="144"/>
      <c r="C332" s="144"/>
      <c r="D332" s="144"/>
      <c r="E332" s="144"/>
      <c r="F332" s="144"/>
      <c r="G332" s="144"/>
      <c r="H332" s="144"/>
      <c r="I332" s="496"/>
      <c r="J332" s="496"/>
      <c r="K332" s="496"/>
      <c r="L332" s="496"/>
      <c r="M332" s="144"/>
      <c r="N332" s="144"/>
      <c r="O332" s="144"/>
      <c r="P332" s="144"/>
      <c r="Q332" s="144"/>
      <c r="R332" s="144"/>
      <c r="S332" s="144"/>
      <c r="T332" s="144"/>
      <c r="U332" s="144"/>
      <c r="V332" s="144"/>
      <c r="W332" s="144"/>
      <c r="X332" s="144"/>
      <c r="Y332" s="144"/>
      <c r="Z332" s="144"/>
      <c r="AA332" s="144"/>
      <c r="AB332" s="144"/>
      <c r="AC332" s="144"/>
      <c r="AD332" s="144"/>
      <c r="AE332" s="144"/>
      <c r="AF332" s="144"/>
    </row>
    <row r="333" ht="16.5" customHeight="1">
      <c r="A333" s="144"/>
      <c r="B333" s="144"/>
      <c r="C333" s="144"/>
      <c r="D333" s="144"/>
      <c r="E333" s="144"/>
      <c r="F333" s="144"/>
      <c r="G333" s="144"/>
      <c r="H333" s="144"/>
      <c r="I333" s="496"/>
      <c r="J333" s="496"/>
      <c r="K333" s="496"/>
      <c r="L333" s="496"/>
      <c r="M333" s="144"/>
      <c r="N333" s="144"/>
      <c r="O333" s="144"/>
      <c r="P333" s="144"/>
      <c r="Q333" s="144"/>
      <c r="R333" s="144"/>
      <c r="S333" s="144"/>
      <c r="T333" s="144"/>
      <c r="U333" s="144"/>
      <c r="V333" s="144"/>
      <c r="W333" s="144"/>
      <c r="X333" s="144"/>
      <c r="Y333" s="144"/>
      <c r="Z333" s="144"/>
      <c r="AA333" s="144"/>
      <c r="AB333" s="144"/>
      <c r="AC333" s="144"/>
      <c r="AD333" s="144"/>
      <c r="AE333" s="144"/>
      <c r="AF333" s="144"/>
    </row>
    <row r="334" ht="16.5" customHeight="1">
      <c r="A334" s="144"/>
      <c r="B334" s="144"/>
      <c r="C334" s="144"/>
      <c r="D334" s="144"/>
      <c r="E334" s="144"/>
      <c r="F334" s="144"/>
      <c r="G334" s="144"/>
      <c r="H334" s="144"/>
      <c r="I334" s="496"/>
      <c r="J334" s="496"/>
      <c r="K334" s="496"/>
      <c r="L334" s="496"/>
      <c r="M334" s="144"/>
      <c r="N334" s="144"/>
      <c r="O334" s="144"/>
      <c r="P334" s="144"/>
      <c r="Q334" s="144"/>
      <c r="R334" s="144"/>
      <c r="S334" s="144"/>
      <c r="T334" s="144"/>
      <c r="U334" s="144"/>
      <c r="V334" s="144"/>
      <c r="W334" s="144"/>
      <c r="X334" s="144"/>
      <c r="Y334" s="144"/>
      <c r="Z334" s="144"/>
      <c r="AA334" s="144"/>
      <c r="AB334" s="144"/>
      <c r="AC334" s="144"/>
      <c r="AD334" s="144"/>
      <c r="AE334" s="144"/>
      <c r="AF334" s="144"/>
    </row>
    <row r="335" ht="16.5" customHeight="1">
      <c r="A335" s="144"/>
      <c r="B335" s="144"/>
      <c r="C335" s="144"/>
      <c r="D335" s="144"/>
      <c r="E335" s="144"/>
      <c r="F335" s="144"/>
      <c r="G335" s="144"/>
      <c r="H335" s="144"/>
      <c r="I335" s="496"/>
      <c r="J335" s="496"/>
      <c r="K335" s="496"/>
      <c r="L335" s="496"/>
      <c r="M335" s="144"/>
      <c r="N335" s="144"/>
      <c r="O335" s="144"/>
      <c r="P335" s="144"/>
      <c r="Q335" s="144"/>
      <c r="R335" s="144"/>
      <c r="S335" s="144"/>
      <c r="T335" s="144"/>
      <c r="U335" s="144"/>
      <c r="V335" s="144"/>
      <c r="W335" s="144"/>
      <c r="X335" s="144"/>
      <c r="Y335" s="144"/>
      <c r="Z335" s="144"/>
      <c r="AA335" s="144"/>
      <c r="AB335" s="144"/>
      <c r="AC335" s="144"/>
      <c r="AD335" s="144"/>
      <c r="AE335" s="144"/>
      <c r="AF335" s="144"/>
    </row>
    <row r="336" ht="16.5" customHeight="1">
      <c r="A336" s="144"/>
      <c r="B336" s="144"/>
      <c r="C336" s="144"/>
      <c r="D336" s="144"/>
      <c r="E336" s="144"/>
      <c r="F336" s="144"/>
      <c r="G336" s="144"/>
      <c r="H336" s="144"/>
      <c r="I336" s="496"/>
      <c r="J336" s="496"/>
      <c r="K336" s="496"/>
      <c r="L336" s="496"/>
      <c r="M336" s="144"/>
      <c r="N336" s="144"/>
      <c r="O336" s="144"/>
      <c r="P336" s="144"/>
      <c r="Q336" s="144"/>
      <c r="R336" s="144"/>
      <c r="S336" s="144"/>
      <c r="T336" s="144"/>
      <c r="U336" s="144"/>
      <c r="V336" s="144"/>
      <c r="W336" s="144"/>
      <c r="X336" s="144"/>
      <c r="Y336" s="144"/>
      <c r="Z336" s="144"/>
      <c r="AA336" s="144"/>
      <c r="AB336" s="144"/>
      <c r="AC336" s="144"/>
      <c r="AD336" s="144"/>
      <c r="AE336" s="144"/>
      <c r="AF336" s="144"/>
    </row>
    <row r="337" ht="16.5" customHeight="1">
      <c r="A337" s="144"/>
      <c r="B337" s="144"/>
      <c r="C337" s="144"/>
      <c r="D337" s="144"/>
      <c r="E337" s="144"/>
      <c r="F337" s="144"/>
      <c r="G337" s="144"/>
      <c r="H337" s="144"/>
      <c r="I337" s="496"/>
      <c r="J337" s="496"/>
      <c r="K337" s="496"/>
      <c r="L337" s="496"/>
      <c r="M337" s="144"/>
      <c r="N337" s="144"/>
      <c r="O337" s="144"/>
      <c r="P337" s="144"/>
      <c r="Q337" s="144"/>
      <c r="R337" s="144"/>
      <c r="S337" s="144"/>
      <c r="T337" s="144"/>
      <c r="U337" s="144"/>
      <c r="V337" s="144"/>
      <c r="W337" s="144"/>
      <c r="X337" s="144"/>
      <c r="Y337" s="144"/>
      <c r="Z337" s="144"/>
      <c r="AA337" s="144"/>
      <c r="AB337" s="144"/>
      <c r="AC337" s="144"/>
      <c r="AD337" s="144"/>
      <c r="AE337" s="144"/>
      <c r="AF337" s="144"/>
    </row>
    <row r="338" ht="16.5" customHeight="1">
      <c r="A338" s="144"/>
      <c r="B338" s="144"/>
      <c r="C338" s="144"/>
      <c r="D338" s="144"/>
      <c r="E338" s="144"/>
      <c r="F338" s="144"/>
      <c r="G338" s="144"/>
      <c r="H338" s="144"/>
      <c r="I338" s="496"/>
      <c r="J338" s="496"/>
      <c r="K338" s="496"/>
      <c r="L338" s="496"/>
      <c r="M338" s="144"/>
      <c r="N338" s="144"/>
      <c r="O338" s="144"/>
      <c r="P338" s="144"/>
      <c r="Q338" s="144"/>
      <c r="R338" s="144"/>
      <c r="S338" s="144"/>
      <c r="T338" s="144"/>
      <c r="U338" s="144"/>
      <c r="V338" s="144"/>
      <c r="W338" s="144"/>
      <c r="X338" s="144"/>
      <c r="Y338" s="144"/>
      <c r="Z338" s="144"/>
      <c r="AA338" s="144"/>
      <c r="AB338" s="144"/>
      <c r="AC338" s="144"/>
      <c r="AD338" s="144"/>
      <c r="AE338" s="144"/>
      <c r="AF338" s="144"/>
    </row>
    <row r="339" ht="16.5" customHeight="1">
      <c r="A339" s="144"/>
      <c r="B339" s="144"/>
      <c r="C339" s="144"/>
      <c r="D339" s="144"/>
      <c r="E339" s="144"/>
      <c r="F339" s="144"/>
      <c r="G339" s="144"/>
      <c r="H339" s="144"/>
      <c r="I339" s="496"/>
      <c r="J339" s="496"/>
      <c r="K339" s="496"/>
      <c r="L339" s="496"/>
      <c r="M339" s="144"/>
      <c r="N339" s="144"/>
      <c r="O339" s="144"/>
      <c r="P339" s="144"/>
      <c r="Q339" s="144"/>
      <c r="R339" s="144"/>
      <c r="S339" s="144"/>
      <c r="T339" s="144"/>
      <c r="U339" s="144"/>
      <c r="V339" s="144"/>
      <c r="W339" s="144"/>
      <c r="X339" s="144"/>
      <c r="Y339" s="144"/>
      <c r="Z339" s="144"/>
      <c r="AA339" s="144"/>
      <c r="AB339" s="144"/>
      <c r="AC339" s="144"/>
      <c r="AD339" s="144"/>
      <c r="AE339" s="144"/>
      <c r="AF339" s="144"/>
    </row>
    <row r="340" ht="16.5" customHeight="1">
      <c r="A340" s="144"/>
      <c r="B340" s="144"/>
      <c r="C340" s="144"/>
      <c r="D340" s="144"/>
      <c r="E340" s="144"/>
      <c r="F340" s="144"/>
      <c r="G340" s="144"/>
      <c r="H340" s="144"/>
      <c r="I340" s="496"/>
      <c r="J340" s="496"/>
      <c r="K340" s="496"/>
      <c r="L340" s="496"/>
      <c r="M340" s="144"/>
      <c r="N340" s="144"/>
      <c r="O340" s="144"/>
      <c r="P340" s="144"/>
      <c r="Q340" s="144"/>
      <c r="R340" s="144"/>
      <c r="S340" s="144"/>
      <c r="T340" s="144"/>
      <c r="U340" s="144"/>
      <c r="V340" s="144"/>
      <c r="W340" s="144"/>
      <c r="X340" s="144"/>
      <c r="Y340" s="144"/>
      <c r="Z340" s="144"/>
      <c r="AA340" s="144"/>
      <c r="AB340" s="144"/>
      <c r="AC340" s="144"/>
      <c r="AD340" s="144"/>
      <c r="AE340" s="144"/>
      <c r="AF340" s="144"/>
    </row>
    <row r="341" ht="16.5" customHeight="1">
      <c r="A341" s="144"/>
      <c r="B341" s="144"/>
      <c r="C341" s="144"/>
      <c r="D341" s="144"/>
      <c r="E341" s="144"/>
      <c r="F341" s="144"/>
      <c r="G341" s="144"/>
      <c r="H341" s="144"/>
      <c r="I341" s="496"/>
      <c r="J341" s="496"/>
      <c r="K341" s="496"/>
      <c r="L341" s="496"/>
      <c r="M341" s="144"/>
      <c r="N341" s="144"/>
      <c r="O341" s="144"/>
      <c r="P341" s="144"/>
      <c r="Q341" s="144"/>
      <c r="R341" s="144"/>
      <c r="S341" s="144"/>
      <c r="T341" s="144"/>
      <c r="U341" s="144"/>
      <c r="V341" s="144"/>
      <c r="W341" s="144"/>
      <c r="X341" s="144"/>
      <c r="Y341" s="144"/>
      <c r="Z341" s="144"/>
      <c r="AA341" s="144"/>
      <c r="AB341" s="144"/>
      <c r="AC341" s="144"/>
      <c r="AD341" s="144"/>
      <c r="AE341" s="144"/>
      <c r="AF341" s="144"/>
    </row>
    <row r="342" ht="16.5" customHeight="1">
      <c r="A342" s="144"/>
      <c r="B342" s="144"/>
      <c r="C342" s="144"/>
      <c r="D342" s="144"/>
      <c r="E342" s="144"/>
      <c r="F342" s="144"/>
      <c r="G342" s="144"/>
      <c r="H342" s="144"/>
      <c r="I342" s="496"/>
      <c r="J342" s="496"/>
      <c r="K342" s="496"/>
      <c r="L342" s="496"/>
      <c r="M342" s="144"/>
      <c r="N342" s="144"/>
      <c r="O342" s="144"/>
      <c r="P342" s="144"/>
      <c r="Q342" s="144"/>
      <c r="R342" s="144"/>
      <c r="S342" s="144"/>
      <c r="T342" s="144"/>
      <c r="U342" s="144"/>
      <c r="V342" s="144"/>
      <c r="W342" s="144"/>
      <c r="X342" s="144"/>
      <c r="Y342" s="144"/>
      <c r="Z342" s="144"/>
      <c r="AA342" s="144"/>
      <c r="AB342" s="144"/>
      <c r="AC342" s="144"/>
      <c r="AD342" s="144"/>
      <c r="AE342" s="144"/>
      <c r="AF342" s="144"/>
    </row>
    <row r="343" ht="16.5" customHeight="1">
      <c r="A343" s="144"/>
      <c r="B343" s="144"/>
      <c r="C343" s="144"/>
      <c r="D343" s="144"/>
      <c r="E343" s="144"/>
      <c r="F343" s="144"/>
      <c r="G343" s="144"/>
      <c r="H343" s="144"/>
      <c r="I343" s="496"/>
      <c r="J343" s="496"/>
      <c r="K343" s="496"/>
      <c r="L343" s="496"/>
      <c r="M343" s="144"/>
      <c r="N343" s="144"/>
      <c r="O343" s="144"/>
      <c r="P343" s="144"/>
      <c r="Q343" s="144"/>
      <c r="R343" s="144"/>
      <c r="S343" s="144"/>
      <c r="T343" s="144"/>
      <c r="U343" s="144"/>
      <c r="V343" s="144"/>
      <c r="W343" s="144"/>
      <c r="X343" s="144"/>
      <c r="Y343" s="144"/>
      <c r="Z343" s="144"/>
      <c r="AA343" s="144"/>
      <c r="AB343" s="144"/>
      <c r="AC343" s="144"/>
      <c r="AD343" s="144"/>
      <c r="AE343" s="144"/>
      <c r="AF343" s="144"/>
    </row>
    <row r="344" ht="16.5" customHeight="1">
      <c r="A344" s="144"/>
      <c r="B344" s="144"/>
      <c r="C344" s="144"/>
      <c r="D344" s="144"/>
      <c r="E344" s="144"/>
      <c r="F344" s="144"/>
      <c r="G344" s="144"/>
      <c r="H344" s="144"/>
      <c r="I344" s="496"/>
      <c r="J344" s="496"/>
      <c r="K344" s="496"/>
      <c r="L344" s="496"/>
      <c r="M344" s="144"/>
      <c r="N344" s="144"/>
      <c r="O344" s="144"/>
      <c r="P344" s="144"/>
      <c r="Q344" s="144"/>
      <c r="R344" s="144"/>
      <c r="S344" s="144"/>
      <c r="T344" s="144"/>
      <c r="U344" s="144"/>
      <c r="V344" s="144"/>
      <c r="W344" s="144"/>
      <c r="X344" s="144"/>
      <c r="Y344" s="144"/>
      <c r="Z344" s="144"/>
      <c r="AA344" s="144"/>
      <c r="AB344" s="144"/>
      <c r="AC344" s="144"/>
      <c r="AD344" s="144"/>
      <c r="AE344" s="144"/>
      <c r="AF344" s="144"/>
    </row>
    <row r="345" ht="16.5" customHeight="1">
      <c r="A345" s="144"/>
      <c r="B345" s="144"/>
      <c r="C345" s="144"/>
      <c r="D345" s="144"/>
      <c r="E345" s="144"/>
      <c r="F345" s="144"/>
      <c r="G345" s="144"/>
      <c r="H345" s="144"/>
      <c r="I345" s="496"/>
      <c r="J345" s="496"/>
      <c r="K345" s="496"/>
      <c r="L345" s="496"/>
      <c r="M345" s="144"/>
      <c r="N345" s="144"/>
      <c r="O345" s="144"/>
      <c r="P345" s="144"/>
      <c r="Q345" s="144"/>
      <c r="R345" s="144"/>
      <c r="S345" s="144"/>
      <c r="T345" s="144"/>
      <c r="U345" s="144"/>
      <c r="V345" s="144"/>
      <c r="W345" s="144"/>
      <c r="X345" s="144"/>
      <c r="Y345" s="144"/>
      <c r="Z345" s="144"/>
      <c r="AA345" s="144"/>
      <c r="AB345" s="144"/>
      <c r="AC345" s="144"/>
      <c r="AD345" s="144"/>
      <c r="AE345" s="144"/>
      <c r="AF345" s="144"/>
    </row>
    <row r="346" ht="16.5" customHeight="1">
      <c r="A346" s="144"/>
      <c r="B346" s="144"/>
      <c r="C346" s="144"/>
      <c r="D346" s="144"/>
      <c r="E346" s="144"/>
      <c r="F346" s="144"/>
      <c r="G346" s="144"/>
      <c r="H346" s="144"/>
      <c r="I346" s="496"/>
      <c r="J346" s="496"/>
      <c r="K346" s="496"/>
      <c r="L346" s="496"/>
      <c r="M346" s="144"/>
      <c r="N346" s="144"/>
      <c r="O346" s="144"/>
      <c r="P346" s="144"/>
      <c r="Q346" s="144"/>
      <c r="R346" s="144"/>
      <c r="S346" s="144"/>
      <c r="T346" s="144"/>
      <c r="U346" s="144"/>
      <c r="V346" s="144"/>
      <c r="W346" s="144"/>
      <c r="X346" s="144"/>
      <c r="Y346" s="144"/>
      <c r="Z346" s="144"/>
      <c r="AA346" s="144"/>
      <c r="AB346" s="144"/>
      <c r="AC346" s="144"/>
      <c r="AD346" s="144"/>
      <c r="AE346" s="144"/>
      <c r="AF346" s="144"/>
    </row>
    <row r="347" ht="16.5" customHeight="1">
      <c r="A347" s="144"/>
      <c r="B347" s="144"/>
      <c r="C347" s="144"/>
      <c r="D347" s="144"/>
      <c r="E347" s="144"/>
      <c r="F347" s="144"/>
      <c r="G347" s="144"/>
      <c r="H347" s="144"/>
      <c r="I347" s="496"/>
      <c r="J347" s="496"/>
      <c r="K347" s="496"/>
      <c r="L347" s="496"/>
      <c r="M347" s="144"/>
      <c r="N347" s="144"/>
      <c r="O347" s="144"/>
      <c r="P347" s="144"/>
      <c r="Q347" s="144"/>
      <c r="R347" s="144"/>
      <c r="S347" s="144"/>
      <c r="T347" s="144"/>
      <c r="U347" s="144"/>
      <c r="V347" s="144"/>
      <c r="W347" s="144"/>
      <c r="X347" s="144"/>
      <c r="Y347" s="144"/>
      <c r="Z347" s="144"/>
      <c r="AA347" s="144"/>
      <c r="AB347" s="144"/>
      <c r="AC347" s="144"/>
      <c r="AD347" s="144"/>
      <c r="AE347" s="144"/>
      <c r="AF347" s="144"/>
    </row>
    <row r="348" ht="16.5" customHeight="1">
      <c r="A348" s="144"/>
      <c r="B348" s="144"/>
      <c r="C348" s="144"/>
      <c r="D348" s="144"/>
      <c r="E348" s="144"/>
      <c r="F348" s="144"/>
      <c r="G348" s="144"/>
      <c r="H348" s="144"/>
      <c r="I348" s="496"/>
      <c r="J348" s="496"/>
      <c r="K348" s="496"/>
      <c r="L348" s="496"/>
      <c r="M348" s="144"/>
      <c r="N348" s="144"/>
      <c r="O348" s="144"/>
      <c r="P348" s="144"/>
      <c r="Q348" s="144"/>
      <c r="R348" s="144"/>
      <c r="S348" s="144"/>
      <c r="T348" s="144"/>
      <c r="U348" s="144"/>
      <c r="V348" s="144"/>
      <c r="W348" s="144"/>
      <c r="X348" s="144"/>
      <c r="Y348" s="144"/>
      <c r="Z348" s="144"/>
      <c r="AA348" s="144"/>
      <c r="AB348" s="144"/>
      <c r="AC348" s="144"/>
      <c r="AD348" s="144"/>
      <c r="AE348" s="144"/>
      <c r="AF348" s="144"/>
    </row>
    <row r="349" ht="16.5" customHeight="1">
      <c r="A349" s="144"/>
      <c r="B349" s="144"/>
      <c r="C349" s="144"/>
      <c r="D349" s="144"/>
      <c r="E349" s="144"/>
      <c r="F349" s="144"/>
      <c r="G349" s="144"/>
      <c r="H349" s="144"/>
      <c r="I349" s="496"/>
      <c r="J349" s="496"/>
      <c r="K349" s="496"/>
      <c r="L349" s="496"/>
      <c r="M349" s="144"/>
      <c r="N349" s="144"/>
      <c r="O349" s="144"/>
      <c r="P349" s="144"/>
      <c r="Q349" s="144"/>
      <c r="R349" s="144"/>
      <c r="S349" s="144"/>
      <c r="T349" s="144"/>
      <c r="U349" s="144"/>
      <c r="V349" s="144"/>
      <c r="W349" s="144"/>
      <c r="X349" s="144"/>
      <c r="Y349" s="144"/>
      <c r="Z349" s="144"/>
      <c r="AA349" s="144"/>
      <c r="AB349" s="144"/>
      <c r="AC349" s="144"/>
      <c r="AD349" s="144"/>
      <c r="AE349" s="144"/>
      <c r="AF349" s="144"/>
    </row>
    <row r="350" ht="16.5" customHeight="1">
      <c r="A350" s="144"/>
      <c r="B350" s="144"/>
      <c r="C350" s="144"/>
      <c r="D350" s="144"/>
      <c r="E350" s="144"/>
      <c r="F350" s="144"/>
      <c r="G350" s="144"/>
      <c r="H350" s="144"/>
      <c r="I350" s="496"/>
      <c r="J350" s="496"/>
      <c r="K350" s="496"/>
      <c r="L350" s="496"/>
      <c r="M350" s="144"/>
      <c r="N350" s="144"/>
      <c r="O350" s="144"/>
      <c r="P350" s="144"/>
      <c r="Q350" s="144"/>
      <c r="R350" s="144"/>
      <c r="S350" s="144"/>
      <c r="T350" s="144"/>
      <c r="U350" s="144"/>
      <c r="V350" s="144"/>
      <c r="W350" s="144"/>
      <c r="X350" s="144"/>
      <c r="Y350" s="144"/>
      <c r="Z350" s="144"/>
      <c r="AA350" s="144"/>
      <c r="AB350" s="144"/>
      <c r="AC350" s="144"/>
      <c r="AD350" s="144"/>
      <c r="AE350" s="144"/>
      <c r="AF350" s="144"/>
    </row>
    <row r="351" ht="16.5" customHeight="1">
      <c r="A351" s="144"/>
      <c r="B351" s="144"/>
      <c r="C351" s="144"/>
      <c r="D351" s="144"/>
      <c r="E351" s="144"/>
      <c r="F351" s="144"/>
      <c r="G351" s="144"/>
      <c r="H351" s="144"/>
      <c r="I351" s="496"/>
      <c r="J351" s="496"/>
      <c r="K351" s="496"/>
      <c r="L351" s="496"/>
      <c r="M351" s="144"/>
      <c r="N351" s="144"/>
      <c r="O351" s="144"/>
      <c r="P351" s="144"/>
      <c r="Q351" s="144"/>
      <c r="R351" s="144"/>
      <c r="S351" s="144"/>
      <c r="T351" s="144"/>
      <c r="U351" s="144"/>
      <c r="V351" s="144"/>
      <c r="W351" s="144"/>
      <c r="X351" s="144"/>
      <c r="Y351" s="144"/>
      <c r="Z351" s="144"/>
      <c r="AA351" s="144"/>
      <c r="AB351" s="144"/>
      <c r="AC351" s="144"/>
      <c r="AD351" s="144"/>
      <c r="AE351" s="144"/>
      <c r="AF351" s="144"/>
    </row>
    <row r="352" ht="16.5" customHeight="1">
      <c r="A352" s="144"/>
      <c r="B352" s="144"/>
      <c r="C352" s="144"/>
      <c r="D352" s="144"/>
      <c r="E352" s="144"/>
      <c r="F352" s="144"/>
      <c r="G352" s="144"/>
      <c r="H352" s="144"/>
      <c r="I352" s="496"/>
      <c r="J352" s="496"/>
      <c r="K352" s="496"/>
      <c r="L352" s="496"/>
      <c r="M352" s="144"/>
      <c r="N352" s="144"/>
      <c r="O352" s="144"/>
      <c r="P352" s="144"/>
      <c r="Q352" s="144"/>
      <c r="R352" s="144"/>
      <c r="S352" s="144"/>
      <c r="T352" s="144"/>
      <c r="U352" s="144"/>
      <c r="V352" s="144"/>
      <c r="W352" s="144"/>
      <c r="X352" s="144"/>
      <c r="Y352" s="144"/>
      <c r="Z352" s="144"/>
      <c r="AA352" s="144"/>
      <c r="AB352" s="144"/>
      <c r="AC352" s="144"/>
      <c r="AD352" s="144"/>
      <c r="AE352" s="144"/>
      <c r="AF352" s="144"/>
    </row>
    <row r="353" ht="16.5" customHeight="1">
      <c r="A353" s="144"/>
      <c r="B353" s="144"/>
      <c r="C353" s="144"/>
      <c r="D353" s="144"/>
      <c r="E353" s="144"/>
      <c r="F353" s="144"/>
      <c r="G353" s="144"/>
      <c r="H353" s="144"/>
      <c r="I353" s="496"/>
      <c r="J353" s="496"/>
      <c r="K353" s="496"/>
      <c r="L353" s="496"/>
      <c r="M353" s="144"/>
      <c r="N353" s="144"/>
      <c r="O353" s="144"/>
      <c r="P353" s="144"/>
      <c r="Q353" s="144"/>
      <c r="R353" s="144"/>
      <c r="S353" s="144"/>
      <c r="T353" s="144"/>
      <c r="U353" s="144"/>
      <c r="V353" s="144"/>
      <c r="W353" s="144"/>
      <c r="X353" s="144"/>
      <c r="Y353" s="144"/>
      <c r="Z353" s="144"/>
      <c r="AA353" s="144"/>
      <c r="AB353" s="144"/>
      <c r="AC353" s="144"/>
      <c r="AD353" s="144"/>
      <c r="AE353" s="144"/>
      <c r="AF353" s="144"/>
    </row>
    <row r="354" ht="16.5" customHeight="1">
      <c r="A354" s="144"/>
      <c r="B354" s="144"/>
      <c r="C354" s="144"/>
      <c r="D354" s="144"/>
      <c r="E354" s="144"/>
      <c r="F354" s="144"/>
      <c r="G354" s="144"/>
      <c r="H354" s="144"/>
      <c r="I354" s="496"/>
      <c r="J354" s="496"/>
      <c r="K354" s="496"/>
      <c r="L354" s="496"/>
      <c r="M354" s="144"/>
      <c r="N354" s="144"/>
      <c r="O354" s="144"/>
      <c r="P354" s="144"/>
      <c r="Q354" s="144"/>
      <c r="R354" s="144"/>
      <c r="S354" s="144"/>
      <c r="T354" s="144"/>
      <c r="U354" s="144"/>
      <c r="V354" s="144"/>
      <c r="W354" s="144"/>
      <c r="X354" s="144"/>
      <c r="Y354" s="144"/>
      <c r="Z354" s="144"/>
      <c r="AA354" s="144"/>
      <c r="AB354" s="144"/>
      <c r="AC354" s="144"/>
      <c r="AD354" s="144"/>
      <c r="AE354" s="144"/>
      <c r="AF354" s="144"/>
    </row>
    <row r="355" ht="16.5" customHeight="1">
      <c r="A355" s="144"/>
      <c r="B355" s="144"/>
      <c r="C355" s="144"/>
      <c r="D355" s="144"/>
      <c r="E355" s="144"/>
      <c r="F355" s="144"/>
      <c r="G355" s="144"/>
      <c r="H355" s="144"/>
      <c r="I355" s="496"/>
      <c r="J355" s="496"/>
      <c r="K355" s="496"/>
      <c r="L355" s="496"/>
      <c r="M355" s="144"/>
      <c r="N355" s="144"/>
      <c r="O355" s="144"/>
      <c r="P355" s="144"/>
      <c r="Q355" s="144"/>
      <c r="R355" s="144"/>
      <c r="S355" s="144"/>
      <c r="T355" s="144"/>
      <c r="U355" s="144"/>
      <c r="V355" s="144"/>
      <c r="W355" s="144"/>
      <c r="X355" s="144"/>
      <c r="Y355" s="144"/>
      <c r="Z355" s="144"/>
      <c r="AA355" s="144"/>
      <c r="AB355" s="144"/>
      <c r="AC355" s="144"/>
      <c r="AD355" s="144"/>
      <c r="AE355" s="144"/>
      <c r="AF355" s="144"/>
    </row>
    <row r="356" ht="16.5" customHeight="1">
      <c r="A356" s="144"/>
      <c r="B356" s="144"/>
      <c r="C356" s="144"/>
      <c r="D356" s="144"/>
      <c r="E356" s="144"/>
      <c r="F356" s="144"/>
      <c r="G356" s="144"/>
      <c r="H356" s="144"/>
      <c r="I356" s="496"/>
      <c r="J356" s="496"/>
      <c r="K356" s="496"/>
      <c r="L356" s="496"/>
      <c r="M356" s="144"/>
      <c r="N356" s="144"/>
      <c r="O356" s="144"/>
      <c r="P356" s="144"/>
      <c r="Q356" s="144"/>
      <c r="R356" s="144"/>
      <c r="S356" s="144"/>
      <c r="T356" s="144"/>
      <c r="U356" s="144"/>
      <c r="V356" s="144"/>
      <c r="W356" s="144"/>
      <c r="X356" s="144"/>
      <c r="Y356" s="144"/>
      <c r="Z356" s="144"/>
      <c r="AA356" s="144"/>
      <c r="AB356" s="144"/>
      <c r="AC356" s="144"/>
      <c r="AD356" s="144"/>
      <c r="AE356" s="144"/>
      <c r="AF356" s="144"/>
    </row>
    <row r="357" ht="16.5" customHeight="1">
      <c r="A357" s="144"/>
      <c r="B357" s="144"/>
      <c r="C357" s="144"/>
      <c r="D357" s="144"/>
      <c r="E357" s="144"/>
      <c r="F357" s="144"/>
      <c r="G357" s="144"/>
      <c r="H357" s="144"/>
      <c r="I357" s="496"/>
      <c r="J357" s="496"/>
      <c r="K357" s="496"/>
      <c r="L357" s="496"/>
      <c r="M357" s="144"/>
      <c r="N357" s="144"/>
      <c r="O357" s="144"/>
      <c r="P357" s="144"/>
      <c r="Q357" s="144"/>
      <c r="R357" s="144"/>
      <c r="S357" s="144"/>
      <c r="T357" s="144"/>
      <c r="U357" s="144"/>
      <c r="V357" s="144"/>
      <c r="W357" s="144"/>
      <c r="X357" s="144"/>
      <c r="Y357" s="144"/>
      <c r="Z357" s="144"/>
      <c r="AA357" s="144"/>
      <c r="AB357" s="144"/>
      <c r="AC357" s="144"/>
      <c r="AD357" s="144"/>
      <c r="AE357" s="144"/>
      <c r="AF357" s="144"/>
    </row>
    <row r="358" ht="16.5" customHeight="1">
      <c r="A358" s="144"/>
      <c r="B358" s="144"/>
      <c r="C358" s="144"/>
      <c r="D358" s="144"/>
      <c r="E358" s="144"/>
      <c r="F358" s="144"/>
      <c r="G358" s="144"/>
      <c r="H358" s="144"/>
      <c r="I358" s="496"/>
      <c r="J358" s="496"/>
      <c r="K358" s="496"/>
      <c r="L358" s="496"/>
      <c r="M358" s="144"/>
      <c r="N358" s="144"/>
      <c r="O358" s="144"/>
      <c r="P358" s="144"/>
      <c r="Q358" s="144"/>
      <c r="R358" s="144"/>
      <c r="S358" s="144"/>
      <c r="T358" s="144"/>
      <c r="U358" s="144"/>
      <c r="V358" s="144"/>
      <c r="W358" s="144"/>
      <c r="X358" s="144"/>
      <c r="Y358" s="144"/>
      <c r="Z358" s="144"/>
      <c r="AA358" s="144"/>
      <c r="AB358" s="144"/>
      <c r="AC358" s="144"/>
      <c r="AD358" s="144"/>
      <c r="AE358" s="144"/>
      <c r="AF358" s="144"/>
    </row>
    <row r="359" ht="16.5" customHeight="1">
      <c r="A359" s="144"/>
      <c r="B359" s="144"/>
      <c r="C359" s="144"/>
      <c r="D359" s="144"/>
      <c r="E359" s="144"/>
      <c r="F359" s="144"/>
      <c r="G359" s="144"/>
      <c r="H359" s="144"/>
      <c r="I359" s="496"/>
      <c r="J359" s="496"/>
      <c r="K359" s="496"/>
      <c r="L359" s="496"/>
      <c r="M359" s="144"/>
      <c r="N359" s="144"/>
      <c r="O359" s="144"/>
      <c r="P359" s="144"/>
      <c r="Q359" s="144"/>
      <c r="R359" s="144"/>
      <c r="S359" s="144"/>
      <c r="T359" s="144"/>
      <c r="U359" s="144"/>
      <c r="V359" s="144"/>
      <c r="W359" s="144"/>
      <c r="X359" s="144"/>
      <c r="Y359" s="144"/>
      <c r="Z359" s="144"/>
      <c r="AA359" s="144"/>
      <c r="AB359" s="144"/>
      <c r="AC359" s="144"/>
      <c r="AD359" s="144"/>
      <c r="AE359" s="144"/>
      <c r="AF359" s="144"/>
    </row>
    <row r="360" ht="16.5" customHeight="1">
      <c r="A360" s="144"/>
      <c r="B360" s="144"/>
      <c r="C360" s="144"/>
      <c r="D360" s="144"/>
      <c r="E360" s="144"/>
      <c r="F360" s="144"/>
      <c r="G360" s="144"/>
      <c r="H360" s="144"/>
      <c r="I360" s="496"/>
      <c r="J360" s="496"/>
      <c r="K360" s="496"/>
      <c r="L360" s="496"/>
      <c r="M360" s="144"/>
      <c r="N360" s="144"/>
      <c r="O360" s="144"/>
      <c r="P360" s="144"/>
      <c r="Q360" s="144"/>
      <c r="R360" s="144"/>
      <c r="S360" s="144"/>
      <c r="T360" s="144"/>
      <c r="U360" s="144"/>
      <c r="V360" s="144"/>
      <c r="W360" s="144"/>
      <c r="X360" s="144"/>
      <c r="Y360" s="144"/>
      <c r="Z360" s="144"/>
      <c r="AA360" s="144"/>
      <c r="AB360" s="144"/>
      <c r="AC360" s="144"/>
      <c r="AD360" s="144"/>
      <c r="AE360" s="144"/>
      <c r="AF360" s="144"/>
    </row>
    <row r="361" ht="16.5" customHeight="1">
      <c r="A361" s="144"/>
      <c r="B361" s="144"/>
      <c r="C361" s="144"/>
      <c r="D361" s="144"/>
      <c r="E361" s="144"/>
      <c r="F361" s="144"/>
      <c r="G361" s="144"/>
      <c r="H361" s="144"/>
      <c r="I361" s="496"/>
      <c r="J361" s="496"/>
      <c r="K361" s="496"/>
      <c r="L361" s="496"/>
      <c r="M361" s="144"/>
      <c r="N361" s="144"/>
      <c r="O361" s="144"/>
      <c r="P361" s="144"/>
      <c r="Q361" s="144"/>
      <c r="R361" s="144"/>
      <c r="S361" s="144"/>
      <c r="T361" s="144"/>
      <c r="U361" s="144"/>
      <c r="V361" s="144"/>
      <c r="W361" s="144"/>
      <c r="X361" s="144"/>
      <c r="Y361" s="144"/>
      <c r="Z361" s="144"/>
      <c r="AA361" s="144"/>
      <c r="AB361" s="144"/>
      <c r="AC361" s="144"/>
      <c r="AD361" s="144"/>
      <c r="AE361" s="144"/>
      <c r="AF361" s="144"/>
    </row>
    <row r="362" ht="16.5" customHeight="1">
      <c r="A362" s="144"/>
      <c r="B362" s="144"/>
      <c r="C362" s="144"/>
      <c r="D362" s="144"/>
      <c r="E362" s="144"/>
      <c r="F362" s="144"/>
      <c r="G362" s="144"/>
      <c r="H362" s="144"/>
      <c r="I362" s="496"/>
      <c r="J362" s="496"/>
      <c r="K362" s="496"/>
      <c r="L362" s="496"/>
      <c r="M362" s="144"/>
      <c r="N362" s="144"/>
      <c r="O362" s="144"/>
      <c r="P362" s="144"/>
      <c r="Q362" s="144"/>
      <c r="R362" s="144"/>
      <c r="S362" s="144"/>
      <c r="T362" s="144"/>
      <c r="U362" s="144"/>
      <c r="V362" s="144"/>
      <c r="W362" s="144"/>
      <c r="X362" s="144"/>
      <c r="Y362" s="144"/>
      <c r="Z362" s="144"/>
      <c r="AA362" s="144"/>
      <c r="AB362" s="144"/>
      <c r="AC362" s="144"/>
      <c r="AD362" s="144"/>
      <c r="AE362" s="144"/>
      <c r="AF362" s="144"/>
    </row>
    <row r="363" ht="16.5" customHeight="1">
      <c r="A363" s="144"/>
      <c r="B363" s="144"/>
      <c r="C363" s="144"/>
      <c r="D363" s="144"/>
      <c r="E363" s="144"/>
      <c r="F363" s="144"/>
      <c r="G363" s="144"/>
      <c r="H363" s="144"/>
      <c r="I363" s="496"/>
      <c r="J363" s="496"/>
      <c r="K363" s="496"/>
      <c r="L363" s="496"/>
      <c r="M363" s="144"/>
      <c r="N363" s="144"/>
      <c r="O363" s="144"/>
      <c r="P363" s="144"/>
      <c r="Q363" s="144"/>
      <c r="R363" s="144"/>
      <c r="S363" s="144"/>
      <c r="T363" s="144"/>
      <c r="U363" s="144"/>
      <c r="V363" s="144"/>
      <c r="W363" s="144"/>
      <c r="X363" s="144"/>
      <c r="Y363" s="144"/>
      <c r="Z363" s="144"/>
      <c r="AA363" s="144"/>
      <c r="AB363" s="144"/>
      <c r="AC363" s="144"/>
      <c r="AD363" s="144"/>
      <c r="AE363" s="144"/>
      <c r="AF363" s="144"/>
    </row>
    <row r="364" ht="16.5" customHeight="1">
      <c r="A364" s="144"/>
      <c r="B364" s="144"/>
      <c r="C364" s="144"/>
      <c r="D364" s="144"/>
      <c r="E364" s="144"/>
      <c r="F364" s="144"/>
      <c r="G364" s="144"/>
      <c r="H364" s="144"/>
      <c r="I364" s="496"/>
      <c r="J364" s="496"/>
      <c r="K364" s="496"/>
      <c r="L364" s="496"/>
      <c r="M364" s="144"/>
      <c r="N364" s="144"/>
      <c r="O364" s="144"/>
      <c r="P364" s="144"/>
      <c r="Q364" s="144"/>
      <c r="R364" s="144"/>
      <c r="S364" s="144"/>
      <c r="T364" s="144"/>
      <c r="U364" s="144"/>
      <c r="V364" s="144"/>
      <c r="W364" s="144"/>
      <c r="X364" s="144"/>
      <c r="Y364" s="144"/>
      <c r="Z364" s="144"/>
      <c r="AA364" s="144"/>
      <c r="AB364" s="144"/>
      <c r="AC364" s="144"/>
      <c r="AD364" s="144"/>
      <c r="AE364" s="144"/>
      <c r="AF364" s="144"/>
    </row>
    <row r="365" ht="16.5" customHeight="1">
      <c r="A365" s="144"/>
      <c r="B365" s="144"/>
      <c r="C365" s="144"/>
      <c r="D365" s="144"/>
      <c r="E365" s="144"/>
      <c r="F365" s="144"/>
      <c r="G365" s="144"/>
      <c r="H365" s="144"/>
      <c r="I365" s="496"/>
      <c r="J365" s="496"/>
      <c r="K365" s="496"/>
      <c r="L365" s="496"/>
      <c r="M365" s="144"/>
      <c r="N365" s="144"/>
      <c r="O365" s="144"/>
      <c r="P365" s="144"/>
      <c r="Q365" s="144"/>
      <c r="R365" s="144"/>
      <c r="S365" s="144"/>
      <c r="T365" s="144"/>
      <c r="U365" s="144"/>
      <c r="V365" s="144"/>
      <c r="W365" s="144"/>
      <c r="X365" s="144"/>
      <c r="Y365" s="144"/>
      <c r="Z365" s="144"/>
      <c r="AA365" s="144"/>
      <c r="AB365" s="144"/>
      <c r="AC365" s="144"/>
      <c r="AD365" s="144"/>
      <c r="AE365" s="144"/>
      <c r="AF365" s="144"/>
    </row>
    <row r="366" ht="16.5" customHeight="1">
      <c r="A366" s="144"/>
      <c r="B366" s="144"/>
      <c r="C366" s="144"/>
      <c r="D366" s="144"/>
      <c r="E366" s="144"/>
      <c r="F366" s="144"/>
      <c r="G366" s="144"/>
      <c r="H366" s="144"/>
      <c r="I366" s="496"/>
      <c r="J366" s="496"/>
      <c r="K366" s="496"/>
      <c r="L366" s="496"/>
      <c r="M366" s="144"/>
      <c r="N366" s="144"/>
      <c r="O366" s="144"/>
      <c r="P366" s="144"/>
      <c r="Q366" s="144"/>
      <c r="R366" s="144"/>
      <c r="S366" s="144"/>
      <c r="T366" s="144"/>
      <c r="U366" s="144"/>
      <c r="V366" s="144"/>
      <c r="W366" s="144"/>
      <c r="X366" s="144"/>
      <c r="Y366" s="144"/>
      <c r="Z366" s="144"/>
      <c r="AA366" s="144"/>
      <c r="AB366" s="144"/>
      <c r="AC366" s="144"/>
      <c r="AD366" s="144"/>
      <c r="AE366" s="144"/>
      <c r="AF366" s="144"/>
    </row>
    <row r="367" ht="16.5" customHeight="1">
      <c r="A367" s="144"/>
      <c r="B367" s="144"/>
      <c r="C367" s="144"/>
      <c r="D367" s="144"/>
      <c r="E367" s="144"/>
      <c r="F367" s="144"/>
      <c r="G367" s="144"/>
      <c r="H367" s="144"/>
      <c r="I367" s="496"/>
      <c r="J367" s="496"/>
      <c r="K367" s="496"/>
      <c r="L367" s="496"/>
      <c r="M367" s="144"/>
      <c r="N367" s="144"/>
      <c r="O367" s="144"/>
      <c r="P367" s="144"/>
      <c r="Q367" s="144"/>
      <c r="R367" s="144"/>
      <c r="S367" s="144"/>
      <c r="T367" s="144"/>
      <c r="U367" s="144"/>
      <c r="V367" s="144"/>
      <c r="W367" s="144"/>
      <c r="X367" s="144"/>
      <c r="Y367" s="144"/>
      <c r="Z367" s="144"/>
      <c r="AA367" s="144"/>
      <c r="AB367" s="144"/>
      <c r="AC367" s="144"/>
      <c r="AD367" s="144"/>
      <c r="AE367" s="144"/>
      <c r="AF367" s="144"/>
    </row>
    <row r="368" ht="16.5" customHeight="1">
      <c r="A368" s="144"/>
      <c r="B368" s="144"/>
      <c r="C368" s="144"/>
      <c r="D368" s="144"/>
      <c r="E368" s="144"/>
      <c r="F368" s="144"/>
      <c r="G368" s="144"/>
      <c r="H368" s="144"/>
      <c r="I368" s="496"/>
      <c r="J368" s="496"/>
      <c r="K368" s="496"/>
      <c r="L368" s="496"/>
      <c r="M368" s="144"/>
      <c r="N368" s="144"/>
      <c r="O368" s="144"/>
      <c r="P368" s="144"/>
      <c r="Q368" s="144"/>
      <c r="R368" s="144"/>
      <c r="S368" s="144"/>
      <c r="T368" s="144"/>
      <c r="U368" s="144"/>
      <c r="V368" s="144"/>
      <c r="W368" s="144"/>
      <c r="X368" s="144"/>
      <c r="Y368" s="144"/>
      <c r="Z368" s="144"/>
      <c r="AA368" s="144"/>
      <c r="AB368" s="144"/>
      <c r="AC368" s="144"/>
      <c r="AD368" s="144"/>
      <c r="AE368" s="144"/>
      <c r="AF368" s="144"/>
    </row>
    <row r="369" ht="16.5" customHeight="1">
      <c r="A369" s="144"/>
      <c r="B369" s="144"/>
      <c r="C369" s="144"/>
      <c r="D369" s="144"/>
      <c r="E369" s="144"/>
      <c r="F369" s="144"/>
      <c r="G369" s="144"/>
      <c r="H369" s="144"/>
      <c r="I369" s="496"/>
      <c r="J369" s="496"/>
      <c r="K369" s="496"/>
      <c r="L369" s="496"/>
      <c r="M369" s="144"/>
      <c r="N369" s="144"/>
      <c r="O369" s="144"/>
      <c r="P369" s="144"/>
      <c r="Q369" s="144"/>
      <c r="R369" s="144"/>
      <c r="S369" s="144"/>
      <c r="T369" s="144"/>
      <c r="U369" s="144"/>
      <c r="V369" s="144"/>
      <c r="W369" s="144"/>
      <c r="X369" s="144"/>
      <c r="Y369" s="144"/>
      <c r="Z369" s="144"/>
      <c r="AA369" s="144"/>
      <c r="AB369" s="144"/>
      <c r="AC369" s="144"/>
      <c r="AD369" s="144"/>
      <c r="AE369" s="144"/>
      <c r="AF369" s="144"/>
    </row>
    <row r="370" ht="16.5" customHeight="1">
      <c r="A370" s="144"/>
      <c r="B370" s="144"/>
      <c r="C370" s="144"/>
      <c r="D370" s="144"/>
      <c r="E370" s="144"/>
      <c r="F370" s="144"/>
      <c r="G370" s="144"/>
      <c r="H370" s="144"/>
      <c r="I370" s="496"/>
      <c r="J370" s="496"/>
      <c r="K370" s="496"/>
      <c r="L370" s="496"/>
      <c r="M370" s="144"/>
      <c r="N370" s="144"/>
      <c r="O370" s="144"/>
      <c r="P370" s="144"/>
      <c r="Q370" s="144"/>
      <c r="R370" s="144"/>
      <c r="S370" s="144"/>
      <c r="T370" s="144"/>
      <c r="U370" s="144"/>
      <c r="V370" s="144"/>
      <c r="W370" s="144"/>
      <c r="X370" s="144"/>
      <c r="Y370" s="144"/>
      <c r="Z370" s="144"/>
      <c r="AA370" s="144"/>
      <c r="AB370" s="144"/>
      <c r="AC370" s="144"/>
      <c r="AD370" s="144"/>
      <c r="AE370" s="144"/>
      <c r="AF370" s="144"/>
    </row>
    <row r="371" ht="16.5" customHeight="1">
      <c r="A371" s="144"/>
      <c r="B371" s="144"/>
      <c r="C371" s="144"/>
      <c r="D371" s="144"/>
      <c r="E371" s="144"/>
      <c r="F371" s="144"/>
      <c r="G371" s="144"/>
      <c r="H371" s="144"/>
      <c r="I371" s="496"/>
      <c r="J371" s="496"/>
      <c r="K371" s="496"/>
      <c r="L371" s="496"/>
      <c r="M371" s="144"/>
      <c r="N371" s="144"/>
      <c r="O371" s="144"/>
      <c r="P371" s="144"/>
      <c r="Q371" s="144"/>
      <c r="R371" s="144"/>
      <c r="S371" s="144"/>
      <c r="T371" s="144"/>
      <c r="U371" s="144"/>
      <c r="V371" s="144"/>
      <c r="W371" s="144"/>
      <c r="X371" s="144"/>
      <c r="Y371" s="144"/>
      <c r="Z371" s="144"/>
      <c r="AA371" s="144"/>
      <c r="AB371" s="144"/>
      <c r="AC371" s="144"/>
      <c r="AD371" s="144"/>
      <c r="AE371" s="144"/>
      <c r="AF371" s="144"/>
    </row>
    <row r="372" ht="16.5" customHeight="1">
      <c r="A372" s="144"/>
      <c r="B372" s="144"/>
      <c r="C372" s="144"/>
      <c r="D372" s="144"/>
      <c r="E372" s="144"/>
      <c r="F372" s="144"/>
      <c r="G372" s="144"/>
      <c r="H372" s="144"/>
      <c r="I372" s="496"/>
      <c r="J372" s="496"/>
      <c r="K372" s="496"/>
      <c r="L372" s="496"/>
      <c r="M372" s="144"/>
      <c r="N372" s="144"/>
      <c r="O372" s="144"/>
      <c r="P372" s="144"/>
      <c r="Q372" s="144"/>
      <c r="R372" s="144"/>
      <c r="S372" s="144"/>
      <c r="T372" s="144"/>
      <c r="U372" s="144"/>
      <c r="V372" s="144"/>
      <c r="W372" s="144"/>
      <c r="X372" s="144"/>
      <c r="Y372" s="144"/>
      <c r="Z372" s="144"/>
      <c r="AA372" s="144"/>
      <c r="AB372" s="144"/>
      <c r="AC372" s="144"/>
      <c r="AD372" s="144"/>
      <c r="AE372" s="144"/>
      <c r="AF372" s="144"/>
    </row>
    <row r="373" ht="16.5" customHeight="1">
      <c r="A373" s="144"/>
      <c r="B373" s="144"/>
      <c r="C373" s="144"/>
      <c r="D373" s="144"/>
      <c r="E373" s="144"/>
      <c r="F373" s="144"/>
      <c r="G373" s="144"/>
      <c r="H373" s="144"/>
      <c r="I373" s="496"/>
      <c r="J373" s="496"/>
      <c r="K373" s="496"/>
      <c r="L373" s="496"/>
      <c r="M373" s="144"/>
      <c r="N373" s="144"/>
      <c r="O373" s="144"/>
      <c r="P373" s="144"/>
      <c r="Q373" s="144"/>
      <c r="R373" s="144"/>
      <c r="S373" s="144"/>
      <c r="T373" s="144"/>
      <c r="U373" s="144"/>
      <c r="V373" s="144"/>
      <c r="W373" s="144"/>
      <c r="X373" s="144"/>
      <c r="Y373" s="144"/>
      <c r="Z373" s="144"/>
      <c r="AA373" s="144"/>
      <c r="AB373" s="144"/>
      <c r="AC373" s="144"/>
      <c r="AD373" s="144"/>
      <c r="AE373" s="144"/>
      <c r="AF373" s="144"/>
    </row>
    <row r="374" ht="16.5" customHeight="1">
      <c r="A374" s="144"/>
      <c r="B374" s="144"/>
      <c r="C374" s="144"/>
      <c r="D374" s="144"/>
      <c r="E374" s="144"/>
      <c r="F374" s="144"/>
      <c r="G374" s="144"/>
      <c r="H374" s="144"/>
      <c r="I374" s="496"/>
      <c r="J374" s="496"/>
      <c r="K374" s="496"/>
      <c r="L374" s="496"/>
      <c r="M374" s="144"/>
      <c r="N374" s="144"/>
      <c r="O374" s="144"/>
      <c r="P374" s="144"/>
      <c r="Q374" s="144"/>
      <c r="R374" s="144"/>
      <c r="S374" s="144"/>
      <c r="T374" s="144"/>
      <c r="U374" s="144"/>
      <c r="V374" s="144"/>
      <c r="W374" s="144"/>
      <c r="X374" s="144"/>
      <c r="Y374" s="144"/>
      <c r="Z374" s="144"/>
      <c r="AA374" s="144"/>
      <c r="AB374" s="144"/>
      <c r="AC374" s="144"/>
      <c r="AD374" s="144"/>
      <c r="AE374" s="144"/>
      <c r="AF374" s="144"/>
    </row>
    <row r="375" ht="16.5" customHeight="1">
      <c r="A375" s="144"/>
      <c r="B375" s="144"/>
      <c r="C375" s="144"/>
      <c r="D375" s="144"/>
      <c r="E375" s="144"/>
      <c r="F375" s="144"/>
      <c r="G375" s="144"/>
      <c r="H375" s="144"/>
      <c r="I375" s="496"/>
      <c r="J375" s="496"/>
      <c r="K375" s="496"/>
      <c r="L375" s="496"/>
      <c r="M375" s="144"/>
      <c r="N375" s="144"/>
      <c r="O375" s="144"/>
      <c r="P375" s="144"/>
      <c r="Q375" s="144"/>
      <c r="R375" s="144"/>
      <c r="S375" s="144"/>
      <c r="T375" s="144"/>
      <c r="U375" s="144"/>
      <c r="V375" s="144"/>
      <c r="W375" s="144"/>
      <c r="X375" s="144"/>
      <c r="Y375" s="144"/>
      <c r="Z375" s="144"/>
      <c r="AA375" s="144"/>
      <c r="AB375" s="144"/>
      <c r="AC375" s="144"/>
      <c r="AD375" s="144"/>
      <c r="AE375" s="144"/>
      <c r="AF375" s="144"/>
    </row>
    <row r="376" ht="16.5" customHeight="1">
      <c r="A376" s="144"/>
      <c r="B376" s="144"/>
      <c r="C376" s="144"/>
      <c r="D376" s="144"/>
      <c r="E376" s="144"/>
      <c r="F376" s="144"/>
      <c r="G376" s="144"/>
      <c r="H376" s="144"/>
      <c r="I376" s="496"/>
      <c r="J376" s="496"/>
      <c r="K376" s="496"/>
      <c r="L376" s="496"/>
      <c r="M376" s="144"/>
      <c r="N376" s="144"/>
      <c r="O376" s="144"/>
      <c r="P376" s="144"/>
      <c r="Q376" s="144"/>
      <c r="R376" s="144"/>
      <c r="S376" s="144"/>
      <c r="T376" s="144"/>
      <c r="U376" s="144"/>
      <c r="V376" s="144"/>
      <c r="W376" s="144"/>
      <c r="X376" s="144"/>
      <c r="Y376" s="144"/>
      <c r="Z376" s="144"/>
      <c r="AA376" s="144"/>
      <c r="AB376" s="144"/>
      <c r="AC376" s="144"/>
      <c r="AD376" s="144"/>
      <c r="AE376" s="144"/>
      <c r="AF376" s="144"/>
    </row>
    <row r="377" ht="16.5" customHeight="1">
      <c r="A377" s="144"/>
      <c r="B377" s="144"/>
      <c r="C377" s="144"/>
      <c r="D377" s="144"/>
      <c r="E377" s="144"/>
      <c r="F377" s="144"/>
      <c r="G377" s="144"/>
      <c r="H377" s="144"/>
      <c r="I377" s="496"/>
      <c r="J377" s="496"/>
      <c r="K377" s="496"/>
      <c r="L377" s="496"/>
      <c r="M377" s="144"/>
      <c r="N377" s="144"/>
      <c r="O377" s="144"/>
      <c r="P377" s="144"/>
      <c r="Q377" s="144"/>
      <c r="R377" s="144"/>
      <c r="S377" s="144"/>
      <c r="T377" s="144"/>
      <c r="U377" s="144"/>
      <c r="V377" s="144"/>
      <c r="W377" s="144"/>
      <c r="X377" s="144"/>
      <c r="Y377" s="144"/>
      <c r="Z377" s="144"/>
      <c r="AA377" s="144"/>
      <c r="AB377" s="144"/>
      <c r="AC377" s="144"/>
      <c r="AD377" s="144"/>
      <c r="AE377" s="144"/>
      <c r="AF377" s="144"/>
    </row>
    <row r="378" ht="16.5" customHeight="1">
      <c r="A378" s="144"/>
      <c r="B378" s="144"/>
      <c r="C378" s="144"/>
      <c r="D378" s="144"/>
      <c r="E378" s="144"/>
      <c r="F378" s="144"/>
      <c r="G378" s="144"/>
      <c r="H378" s="144"/>
      <c r="I378" s="496"/>
      <c r="J378" s="496"/>
      <c r="K378" s="496"/>
      <c r="L378" s="496"/>
      <c r="M378" s="144"/>
      <c r="N378" s="144"/>
      <c r="O378" s="144"/>
      <c r="P378" s="144"/>
      <c r="Q378" s="144"/>
      <c r="R378" s="144"/>
      <c r="S378" s="144"/>
      <c r="T378" s="144"/>
      <c r="U378" s="144"/>
      <c r="V378" s="144"/>
      <c r="W378" s="144"/>
      <c r="X378" s="144"/>
      <c r="Y378" s="144"/>
      <c r="Z378" s="144"/>
      <c r="AA378" s="144"/>
      <c r="AB378" s="144"/>
      <c r="AC378" s="144"/>
      <c r="AD378" s="144"/>
      <c r="AE378" s="144"/>
      <c r="AF378" s="144"/>
    </row>
    <row r="379" ht="16.5" customHeight="1">
      <c r="A379" s="144"/>
      <c r="B379" s="144"/>
      <c r="C379" s="144"/>
      <c r="D379" s="144"/>
      <c r="E379" s="144"/>
      <c r="F379" s="144"/>
      <c r="G379" s="144"/>
      <c r="H379" s="144"/>
      <c r="I379" s="496"/>
      <c r="J379" s="496"/>
      <c r="K379" s="496"/>
      <c r="L379" s="496"/>
      <c r="M379" s="144"/>
      <c r="N379" s="144"/>
      <c r="O379" s="144"/>
      <c r="P379" s="144"/>
      <c r="Q379" s="144"/>
      <c r="R379" s="144"/>
      <c r="S379" s="144"/>
      <c r="T379" s="144"/>
      <c r="U379" s="144"/>
      <c r="V379" s="144"/>
      <c r="W379" s="144"/>
      <c r="X379" s="144"/>
      <c r="Y379" s="144"/>
      <c r="Z379" s="144"/>
      <c r="AA379" s="144"/>
      <c r="AB379" s="144"/>
      <c r="AC379" s="144"/>
      <c r="AD379" s="144"/>
      <c r="AE379" s="144"/>
      <c r="AF379" s="144"/>
    </row>
    <row r="380" ht="16.5" customHeight="1">
      <c r="A380" s="144"/>
      <c r="B380" s="144"/>
      <c r="C380" s="144"/>
      <c r="D380" s="144"/>
      <c r="E380" s="144"/>
      <c r="F380" s="144"/>
      <c r="G380" s="144"/>
      <c r="H380" s="144"/>
      <c r="I380" s="496"/>
      <c r="J380" s="496"/>
      <c r="K380" s="496"/>
      <c r="L380" s="496"/>
      <c r="M380" s="144"/>
      <c r="N380" s="144"/>
      <c r="O380" s="144"/>
      <c r="P380" s="144"/>
      <c r="Q380" s="144"/>
      <c r="R380" s="144"/>
      <c r="S380" s="144"/>
      <c r="T380" s="144"/>
      <c r="U380" s="144"/>
      <c r="V380" s="144"/>
      <c r="W380" s="144"/>
      <c r="X380" s="144"/>
      <c r="Y380" s="144"/>
      <c r="Z380" s="144"/>
      <c r="AA380" s="144"/>
      <c r="AB380" s="144"/>
      <c r="AC380" s="144"/>
      <c r="AD380" s="144"/>
      <c r="AE380" s="144"/>
      <c r="AF380" s="144"/>
    </row>
    <row r="381" ht="16.5" customHeight="1">
      <c r="A381" s="144"/>
      <c r="B381" s="144"/>
      <c r="C381" s="144"/>
      <c r="D381" s="144"/>
      <c r="E381" s="144"/>
      <c r="F381" s="144"/>
      <c r="G381" s="144"/>
      <c r="H381" s="144"/>
      <c r="I381" s="496"/>
      <c r="J381" s="496"/>
      <c r="K381" s="496"/>
      <c r="L381" s="496"/>
      <c r="M381" s="144"/>
      <c r="N381" s="144"/>
      <c r="O381" s="144"/>
      <c r="P381" s="144"/>
      <c r="Q381" s="144"/>
      <c r="R381" s="144"/>
      <c r="S381" s="144"/>
      <c r="T381" s="144"/>
      <c r="U381" s="144"/>
      <c r="V381" s="144"/>
      <c r="W381" s="144"/>
      <c r="X381" s="144"/>
      <c r="Y381" s="144"/>
      <c r="Z381" s="144"/>
      <c r="AA381" s="144"/>
      <c r="AB381" s="144"/>
      <c r="AC381" s="144"/>
      <c r="AD381" s="144"/>
      <c r="AE381" s="144"/>
      <c r="AF381" s="144"/>
    </row>
    <row r="382" ht="16.5" customHeight="1">
      <c r="A382" s="144"/>
      <c r="B382" s="144"/>
      <c r="C382" s="144"/>
      <c r="D382" s="144"/>
      <c r="E382" s="144"/>
      <c r="F382" s="144"/>
      <c r="G382" s="144"/>
      <c r="H382" s="144"/>
      <c r="I382" s="496"/>
      <c r="J382" s="496"/>
      <c r="K382" s="496"/>
      <c r="L382" s="496"/>
      <c r="M382" s="144"/>
      <c r="N382" s="144"/>
      <c r="O382" s="144"/>
      <c r="P382" s="144"/>
      <c r="Q382" s="144"/>
      <c r="R382" s="144"/>
      <c r="S382" s="144"/>
      <c r="T382" s="144"/>
      <c r="U382" s="144"/>
      <c r="V382" s="144"/>
      <c r="W382" s="144"/>
      <c r="X382" s="144"/>
      <c r="Y382" s="144"/>
      <c r="Z382" s="144"/>
      <c r="AA382" s="144"/>
      <c r="AB382" s="144"/>
      <c r="AC382" s="144"/>
      <c r="AD382" s="144"/>
      <c r="AE382" s="144"/>
      <c r="AF382" s="144"/>
    </row>
    <row r="383" ht="16.5" customHeight="1">
      <c r="A383" s="144"/>
      <c r="B383" s="144"/>
      <c r="C383" s="144"/>
      <c r="D383" s="144"/>
      <c r="E383" s="144"/>
      <c r="F383" s="144"/>
      <c r="G383" s="144"/>
      <c r="H383" s="144"/>
      <c r="I383" s="496"/>
      <c r="J383" s="496"/>
      <c r="K383" s="496"/>
      <c r="L383" s="496"/>
      <c r="M383" s="144"/>
      <c r="N383" s="144"/>
      <c r="O383" s="144"/>
      <c r="P383" s="144"/>
      <c r="Q383" s="144"/>
      <c r="R383" s="144"/>
      <c r="S383" s="144"/>
      <c r="T383" s="144"/>
      <c r="U383" s="144"/>
      <c r="V383" s="144"/>
      <c r="W383" s="144"/>
      <c r="X383" s="144"/>
      <c r="Y383" s="144"/>
      <c r="Z383" s="144"/>
      <c r="AA383" s="144"/>
      <c r="AB383" s="144"/>
      <c r="AC383" s="144"/>
      <c r="AD383" s="144"/>
      <c r="AE383" s="144"/>
      <c r="AF383" s="144"/>
    </row>
    <row r="384" ht="16.5" customHeight="1">
      <c r="A384" s="144"/>
      <c r="B384" s="144"/>
      <c r="C384" s="144"/>
      <c r="D384" s="144"/>
      <c r="E384" s="144"/>
      <c r="F384" s="144"/>
      <c r="G384" s="144"/>
      <c r="H384" s="144"/>
      <c r="I384" s="496"/>
      <c r="J384" s="496"/>
      <c r="K384" s="496"/>
      <c r="L384" s="496"/>
      <c r="M384" s="144"/>
      <c r="N384" s="144"/>
      <c r="O384" s="144"/>
      <c r="P384" s="144"/>
      <c r="Q384" s="144"/>
      <c r="R384" s="144"/>
      <c r="S384" s="144"/>
      <c r="T384" s="144"/>
      <c r="U384" s="144"/>
      <c r="V384" s="144"/>
      <c r="W384" s="144"/>
      <c r="X384" s="144"/>
      <c r="Y384" s="144"/>
      <c r="Z384" s="144"/>
      <c r="AA384" s="144"/>
      <c r="AB384" s="144"/>
      <c r="AC384" s="144"/>
      <c r="AD384" s="144"/>
      <c r="AE384" s="144"/>
      <c r="AF384" s="144"/>
    </row>
    <row r="385" ht="16.5" customHeight="1">
      <c r="A385" s="144"/>
      <c r="B385" s="144"/>
      <c r="C385" s="144"/>
      <c r="D385" s="144"/>
      <c r="E385" s="144"/>
      <c r="F385" s="144"/>
      <c r="G385" s="144"/>
      <c r="H385" s="144"/>
      <c r="I385" s="496"/>
      <c r="J385" s="496"/>
      <c r="K385" s="496"/>
      <c r="L385" s="496"/>
      <c r="M385" s="144"/>
      <c r="N385" s="144"/>
      <c r="O385" s="144"/>
      <c r="P385" s="144"/>
      <c r="Q385" s="144"/>
      <c r="R385" s="144"/>
      <c r="S385" s="144"/>
      <c r="T385" s="144"/>
      <c r="U385" s="144"/>
      <c r="V385" s="144"/>
      <c r="W385" s="144"/>
      <c r="X385" s="144"/>
      <c r="Y385" s="144"/>
      <c r="Z385" s="144"/>
      <c r="AA385" s="144"/>
      <c r="AB385" s="144"/>
      <c r="AC385" s="144"/>
      <c r="AD385" s="144"/>
      <c r="AE385" s="144"/>
      <c r="AF385" s="144"/>
    </row>
    <row r="386" ht="16.5" customHeight="1">
      <c r="A386" s="144"/>
      <c r="B386" s="144"/>
      <c r="C386" s="144"/>
      <c r="D386" s="144"/>
      <c r="E386" s="144"/>
      <c r="F386" s="144"/>
      <c r="G386" s="144"/>
      <c r="H386" s="144"/>
      <c r="I386" s="496"/>
      <c r="J386" s="496"/>
      <c r="K386" s="496"/>
      <c r="L386" s="496"/>
      <c r="M386" s="144"/>
      <c r="N386" s="144"/>
      <c r="O386" s="144"/>
      <c r="P386" s="144"/>
      <c r="Q386" s="144"/>
      <c r="R386" s="144"/>
      <c r="S386" s="144"/>
      <c r="T386" s="144"/>
      <c r="U386" s="144"/>
      <c r="V386" s="144"/>
      <c r="W386" s="144"/>
      <c r="X386" s="144"/>
      <c r="Y386" s="144"/>
      <c r="Z386" s="144"/>
      <c r="AA386" s="144"/>
      <c r="AB386" s="144"/>
      <c r="AC386" s="144"/>
      <c r="AD386" s="144"/>
      <c r="AE386" s="144"/>
      <c r="AF386" s="144"/>
    </row>
    <row r="387" ht="16.5" customHeight="1">
      <c r="A387" s="144"/>
      <c r="B387" s="144"/>
      <c r="C387" s="144"/>
      <c r="D387" s="144"/>
      <c r="E387" s="144"/>
      <c r="F387" s="144"/>
      <c r="G387" s="144"/>
      <c r="H387" s="144"/>
      <c r="I387" s="496"/>
      <c r="J387" s="496"/>
      <c r="K387" s="496"/>
      <c r="L387" s="496"/>
      <c r="M387" s="144"/>
      <c r="N387" s="144"/>
      <c r="O387" s="144"/>
      <c r="P387" s="144"/>
      <c r="Q387" s="144"/>
      <c r="R387" s="144"/>
      <c r="S387" s="144"/>
      <c r="T387" s="144"/>
      <c r="U387" s="144"/>
      <c r="V387" s="144"/>
      <c r="W387" s="144"/>
      <c r="X387" s="144"/>
      <c r="Y387" s="144"/>
      <c r="Z387" s="144"/>
      <c r="AA387" s="144"/>
      <c r="AB387" s="144"/>
      <c r="AC387" s="144"/>
      <c r="AD387" s="144"/>
      <c r="AE387" s="144"/>
      <c r="AF387" s="144"/>
    </row>
    <row r="388" ht="16.5" customHeight="1">
      <c r="A388" s="144"/>
      <c r="B388" s="144"/>
      <c r="C388" s="144"/>
      <c r="D388" s="144"/>
      <c r="E388" s="144"/>
      <c r="F388" s="144"/>
      <c r="G388" s="144"/>
      <c r="H388" s="144"/>
      <c r="I388" s="496"/>
      <c r="J388" s="496"/>
      <c r="K388" s="496"/>
      <c r="L388" s="496"/>
      <c r="M388" s="144"/>
      <c r="N388" s="144"/>
      <c r="O388" s="144"/>
      <c r="P388" s="144"/>
      <c r="Q388" s="144"/>
      <c r="R388" s="144"/>
      <c r="S388" s="144"/>
      <c r="T388" s="144"/>
      <c r="U388" s="144"/>
      <c r="V388" s="144"/>
      <c r="W388" s="144"/>
      <c r="X388" s="144"/>
      <c r="Y388" s="144"/>
      <c r="Z388" s="144"/>
      <c r="AA388" s="144"/>
      <c r="AB388" s="144"/>
      <c r="AC388" s="144"/>
      <c r="AD388" s="144"/>
      <c r="AE388" s="144"/>
      <c r="AF388" s="144"/>
    </row>
    <row r="389" ht="16.5" customHeight="1">
      <c r="A389" s="144"/>
      <c r="B389" s="144"/>
      <c r="C389" s="144"/>
      <c r="D389" s="144"/>
      <c r="E389" s="144"/>
      <c r="F389" s="144"/>
      <c r="G389" s="144"/>
      <c r="H389" s="144"/>
      <c r="I389" s="496"/>
      <c r="J389" s="496"/>
      <c r="K389" s="496"/>
      <c r="L389" s="496"/>
      <c r="M389" s="144"/>
      <c r="N389" s="144"/>
      <c r="O389" s="144"/>
      <c r="P389" s="144"/>
      <c r="Q389" s="144"/>
      <c r="R389" s="144"/>
      <c r="S389" s="144"/>
      <c r="T389" s="144"/>
      <c r="U389" s="144"/>
      <c r="V389" s="144"/>
      <c r="W389" s="144"/>
      <c r="X389" s="144"/>
      <c r="Y389" s="144"/>
      <c r="Z389" s="144"/>
      <c r="AA389" s="144"/>
      <c r="AB389" s="144"/>
      <c r="AC389" s="144"/>
      <c r="AD389" s="144"/>
      <c r="AE389" s="144"/>
      <c r="AF389" s="144"/>
    </row>
    <row r="390" ht="16.5" customHeight="1">
      <c r="A390" s="144"/>
      <c r="B390" s="144"/>
      <c r="C390" s="144"/>
      <c r="D390" s="144"/>
      <c r="E390" s="144"/>
      <c r="F390" s="144"/>
      <c r="G390" s="144"/>
      <c r="H390" s="144"/>
      <c r="I390" s="496"/>
      <c r="J390" s="496"/>
      <c r="K390" s="496"/>
      <c r="L390" s="496"/>
      <c r="M390" s="144"/>
      <c r="N390" s="144"/>
      <c r="O390" s="144"/>
      <c r="P390" s="144"/>
      <c r="Q390" s="144"/>
      <c r="R390" s="144"/>
      <c r="S390" s="144"/>
      <c r="T390" s="144"/>
      <c r="U390" s="144"/>
      <c r="V390" s="144"/>
      <c r="W390" s="144"/>
      <c r="X390" s="144"/>
      <c r="Y390" s="144"/>
      <c r="Z390" s="144"/>
      <c r="AA390" s="144"/>
      <c r="AB390" s="144"/>
      <c r="AC390" s="144"/>
      <c r="AD390" s="144"/>
      <c r="AE390" s="144"/>
      <c r="AF390" s="144"/>
    </row>
    <row r="391" ht="16.5" customHeight="1">
      <c r="A391" s="144"/>
      <c r="B391" s="144"/>
      <c r="C391" s="144"/>
      <c r="D391" s="144"/>
      <c r="E391" s="144"/>
      <c r="F391" s="144"/>
      <c r="G391" s="144"/>
      <c r="H391" s="144"/>
      <c r="I391" s="496"/>
      <c r="J391" s="496"/>
      <c r="K391" s="496"/>
      <c r="L391" s="496"/>
      <c r="M391" s="144"/>
      <c r="N391" s="144"/>
      <c r="O391" s="144"/>
      <c r="P391" s="144"/>
      <c r="Q391" s="144"/>
      <c r="R391" s="144"/>
      <c r="S391" s="144"/>
      <c r="T391" s="144"/>
      <c r="U391" s="144"/>
      <c r="V391" s="144"/>
      <c r="W391" s="144"/>
      <c r="X391" s="144"/>
      <c r="Y391" s="144"/>
      <c r="Z391" s="144"/>
      <c r="AA391" s="144"/>
      <c r="AB391" s="144"/>
      <c r="AC391" s="144"/>
      <c r="AD391" s="144"/>
      <c r="AE391" s="144"/>
      <c r="AF391" s="144"/>
    </row>
    <row r="392" ht="16.5" customHeight="1">
      <c r="A392" s="144"/>
      <c r="B392" s="144"/>
      <c r="C392" s="144"/>
      <c r="D392" s="144"/>
      <c r="E392" s="144"/>
      <c r="F392" s="144"/>
      <c r="G392" s="144"/>
      <c r="H392" s="144"/>
      <c r="I392" s="496"/>
      <c r="J392" s="496"/>
      <c r="K392" s="496"/>
      <c r="L392" s="496"/>
      <c r="M392" s="144"/>
      <c r="N392" s="144"/>
      <c r="O392" s="144"/>
      <c r="P392" s="144"/>
      <c r="Q392" s="144"/>
      <c r="R392" s="144"/>
      <c r="S392" s="144"/>
      <c r="T392" s="144"/>
      <c r="U392" s="144"/>
      <c r="V392" s="144"/>
      <c r="W392" s="144"/>
      <c r="X392" s="144"/>
      <c r="Y392" s="144"/>
      <c r="Z392" s="144"/>
      <c r="AA392" s="144"/>
      <c r="AB392" s="144"/>
      <c r="AC392" s="144"/>
      <c r="AD392" s="144"/>
      <c r="AE392" s="144"/>
      <c r="AF392" s="144"/>
    </row>
    <row r="393" ht="16.5" customHeight="1">
      <c r="A393" s="144"/>
      <c r="B393" s="144"/>
      <c r="C393" s="144"/>
      <c r="D393" s="144"/>
      <c r="E393" s="144"/>
      <c r="F393" s="144"/>
      <c r="G393" s="144"/>
      <c r="H393" s="144"/>
      <c r="I393" s="496"/>
      <c r="J393" s="496"/>
      <c r="K393" s="496"/>
      <c r="L393" s="496"/>
      <c r="M393" s="144"/>
      <c r="N393" s="144"/>
      <c r="O393" s="144"/>
      <c r="P393" s="144"/>
      <c r="Q393" s="144"/>
      <c r="R393" s="144"/>
      <c r="S393" s="144"/>
      <c r="T393" s="144"/>
      <c r="U393" s="144"/>
      <c r="V393" s="144"/>
      <c r="W393" s="144"/>
      <c r="X393" s="144"/>
      <c r="Y393" s="144"/>
      <c r="Z393" s="144"/>
      <c r="AA393" s="144"/>
      <c r="AB393" s="144"/>
      <c r="AC393" s="144"/>
      <c r="AD393" s="144"/>
      <c r="AE393" s="144"/>
      <c r="AF393" s="144"/>
    </row>
    <row r="394" ht="16.5" customHeight="1">
      <c r="A394" s="144"/>
      <c r="B394" s="144"/>
      <c r="C394" s="144"/>
      <c r="D394" s="144"/>
      <c r="E394" s="144"/>
      <c r="F394" s="144"/>
      <c r="G394" s="144"/>
      <c r="H394" s="144"/>
      <c r="I394" s="496"/>
      <c r="J394" s="496"/>
      <c r="K394" s="496"/>
      <c r="L394" s="496"/>
      <c r="M394" s="144"/>
      <c r="N394" s="144"/>
      <c r="O394" s="144"/>
      <c r="P394" s="144"/>
      <c r="Q394" s="144"/>
      <c r="R394" s="144"/>
      <c r="S394" s="144"/>
      <c r="T394" s="144"/>
      <c r="U394" s="144"/>
      <c r="V394" s="144"/>
      <c r="W394" s="144"/>
      <c r="X394" s="144"/>
      <c r="Y394" s="144"/>
      <c r="Z394" s="144"/>
      <c r="AA394" s="144"/>
      <c r="AB394" s="144"/>
      <c r="AC394" s="144"/>
      <c r="AD394" s="144"/>
      <c r="AE394" s="144"/>
      <c r="AF394" s="144"/>
    </row>
    <row r="395" ht="16.5" customHeight="1">
      <c r="A395" s="144"/>
      <c r="B395" s="144"/>
      <c r="C395" s="144"/>
      <c r="D395" s="144"/>
      <c r="E395" s="144"/>
      <c r="F395" s="144"/>
      <c r="G395" s="144"/>
      <c r="H395" s="144"/>
      <c r="I395" s="496"/>
      <c r="J395" s="496"/>
      <c r="K395" s="496"/>
      <c r="L395" s="496"/>
      <c r="M395" s="144"/>
      <c r="N395" s="144"/>
      <c r="O395" s="144"/>
      <c r="P395" s="144"/>
      <c r="Q395" s="144"/>
      <c r="R395" s="144"/>
      <c r="S395" s="144"/>
      <c r="T395" s="144"/>
      <c r="U395" s="144"/>
      <c r="V395" s="144"/>
      <c r="W395" s="144"/>
      <c r="X395" s="144"/>
      <c r="Y395" s="144"/>
      <c r="Z395" s="144"/>
      <c r="AA395" s="144"/>
      <c r="AB395" s="144"/>
      <c r="AC395" s="144"/>
      <c r="AD395" s="144"/>
      <c r="AE395" s="144"/>
      <c r="AF395" s="144"/>
    </row>
    <row r="396" ht="16.5" customHeight="1">
      <c r="A396" s="144"/>
      <c r="B396" s="144"/>
      <c r="C396" s="144"/>
      <c r="D396" s="144"/>
      <c r="E396" s="144"/>
      <c r="F396" s="144"/>
      <c r="G396" s="144"/>
      <c r="H396" s="144"/>
      <c r="I396" s="496"/>
      <c r="J396" s="496"/>
      <c r="K396" s="496"/>
      <c r="L396" s="496"/>
      <c r="M396" s="144"/>
      <c r="N396" s="144"/>
      <c r="O396" s="144"/>
      <c r="P396" s="144"/>
      <c r="Q396" s="144"/>
      <c r="R396" s="144"/>
      <c r="S396" s="144"/>
      <c r="T396" s="144"/>
      <c r="U396" s="144"/>
      <c r="V396" s="144"/>
      <c r="W396" s="144"/>
      <c r="X396" s="144"/>
      <c r="Y396" s="144"/>
      <c r="Z396" s="144"/>
      <c r="AA396" s="144"/>
      <c r="AB396" s="144"/>
      <c r="AC396" s="144"/>
      <c r="AD396" s="144"/>
      <c r="AE396" s="144"/>
      <c r="AF396" s="144"/>
    </row>
    <row r="397" ht="16.5" customHeight="1">
      <c r="A397" s="144"/>
      <c r="B397" s="144"/>
      <c r="C397" s="144"/>
      <c r="D397" s="144"/>
      <c r="E397" s="144"/>
      <c r="F397" s="144"/>
      <c r="G397" s="144"/>
      <c r="H397" s="144"/>
      <c r="I397" s="496"/>
      <c r="J397" s="496"/>
      <c r="K397" s="496"/>
      <c r="L397" s="496"/>
      <c r="M397" s="144"/>
      <c r="N397" s="144"/>
      <c r="O397" s="144"/>
      <c r="P397" s="144"/>
      <c r="Q397" s="144"/>
      <c r="R397" s="144"/>
      <c r="S397" s="144"/>
      <c r="T397" s="144"/>
      <c r="U397" s="144"/>
      <c r="V397" s="144"/>
      <c r="W397" s="144"/>
      <c r="X397" s="144"/>
      <c r="Y397" s="144"/>
      <c r="Z397" s="144"/>
      <c r="AA397" s="144"/>
      <c r="AB397" s="144"/>
      <c r="AC397" s="144"/>
      <c r="AD397" s="144"/>
      <c r="AE397" s="144"/>
      <c r="AF397" s="144"/>
    </row>
    <row r="398" ht="16.5" customHeight="1">
      <c r="A398" s="144"/>
      <c r="B398" s="144"/>
      <c r="C398" s="144"/>
      <c r="D398" s="144"/>
      <c r="E398" s="144"/>
      <c r="F398" s="144"/>
      <c r="G398" s="144"/>
      <c r="H398" s="144"/>
      <c r="I398" s="496"/>
      <c r="J398" s="496"/>
      <c r="K398" s="496"/>
      <c r="L398" s="496"/>
      <c r="M398" s="144"/>
      <c r="N398" s="144"/>
      <c r="O398" s="144"/>
      <c r="P398" s="144"/>
      <c r="Q398" s="144"/>
      <c r="R398" s="144"/>
      <c r="S398" s="144"/>
      <c r="T398" s="144"/>
      <c r="U398" s="144"/>
      <c r="V398" s="144"/>
      <c r="W398" s="144"/>
      <c r="X398" s="144"/>
      <c r="Y398" s="144"/>
      <c r="Z398" s="144"/>
      <c r="AA398" s="144"/>
      <c r="AB398" s="144"/>
      <c r="AC398" s="144"/>
      <c r="AD398" s="144"/>
      <c r="AE398" s="144"/>
      <c r="AF398" s="144"/>
    </row>
    <row r="399" ht="16.5" customHeight="1">
      <c r="A399" s="144"/>
      <c r="B399" s="144"/>
      <c r="C399" s="144"/>
      <c r="D399" s="144"/>
      <c r="E399" s="144"/>
      <c r="F399" s="144"/>
      <c r="G399" s="144"/>
      <c r="H399" s="144"/>
      <c r="I399" s="496"/>
      <c r="J399" s="496"/>
      <c r="K399" s="496"/>
      <c r="L399" s="496"/>
      <c r="M399" s="144"/>
      <c r="N399" s="144"/>
      <c r="O399" s="144"/>
      <c r="P399" s="144"/>
      <c r="Q399" s="144"/>
      <c r="R399" s="144"/>
      <c r="S399" s="144"/>
      <c r="T399" s="144"/>
      <c r="U399" s="144"/>
      <c r="V399" s="144"/>
      <c r="W399" s="144"/>
      <c r="X399" s="144"/>
      <c r="Y399" s="144"/>
      <c r="Z399" s="144"/>
      <c r="AA399" s="144"/>
      <c r="AB399" s="144"/>
      <c r="AC399" s="144"/>
      <c r="AD399" s="144"/>
      <c r="AE399" s="144"/>
      <c r="AF399" s="144"/>
    </row>
    <row r="400" ht="16.5" customHeight="1">
      <c r="A400" s="144"/>
      <c r="B400" s="144"/>
      <c r="C400" s="144"/>
      <c r="D400" s="144"/>
      <c r="E400" s="144"/>
      <c r="F400" s="144"/>
      <c r="G400" s="144"/>
      <c r="H400" s="144"/>
      <c r="I400" s="496"/>
      <c r="J400" s="496"/>
      <c r="K400" s="496"/>
      <c r="L400" s="496"/>
      <c r="M400" s="144"/>
      <c r="N400" s="144"/>
      <c r="O400" s="144"/>
      <c r="P400" s="144"/>
      <c r="Q400" s="144"/>
      <c r="R400" s="144"/>
      <c r="S400" s="144"/>
      <c r="T400" s="144"/>
      <c r="U400" s="144"/>
      <c r="V400" s="144"/>
      <c r="W400" s="144"/>
      <c r="X400" s="144"/>
      <c r="Y400" s="144"/>
      <c r="Z400" s="144"/>
      <c r="AA400" s="144"/>
      <c r="AB400" s="144"/>
      <c r="AC400" s="144"/>
      <c r="AD400" s="144"/>
      <c r="AE400" s="144"/>
      <c r="AF400" s="144"/>
    </row>
    <row r="401" ht="16.5" customHeight="1">
      <c r="A401" s="144"/>
      <c r="B401" s="144"/>
      <c r="C401" s="144"/>
      <c r="D401" s="144"/>
      <c r="E401" s="144"/>
      <c r="F401" s="144"/>
      <c r="G401" s="144"/>
      <c r="H401" s="144"/>
      <c r="I401" s="496"/>
      <c r="J401" s="496"/>
      <c r="K401" s="496"/>
      <c r="L401" s="496"/>
      <c r="M401" s="144"/>
      <c r="N401" s="144"/>
      <c r="O401" s="144"/>
      <c r="P401" s="144"/>
      <c r="Q401" s="144"/>
      <c r="R401" s="144"/>
      <c r="S401" s="144"/>
      <c r="T401" s="144"/>
      <c r="U401" s="144"/>
      <c r="V401" s="144"/>
      <c r="W401" s="144"/>
      <c r="X401" s="144"/>
      <c r="Y401" s="144"/>
      <c r="Z401" s="144"/>
      <c r="AA401" s="144"/>
      <c r="AB401" s="144"/>
      <c r="AC401" s="144"/>
      <c r="AD401" s="144"/>
      <c r="AE401" s="144"/>
      <c r="AF401" s="144"/>
    </row>
    <row r="402" ht="16.5" customHeight="1">
      <c r="A402" s="144"/>
      <c r="B402" s="144"/>
      <c r="C402" s="144"/>
      <c r="D402" s="144"/>
      <c r="E402" s="144"/>
      <c r="F402" s="144"/>
      <c r="G402" s="144"/>
      <c r="H402" s="144"/>
      <c r="I402" s="496"/>
      <c r="J402" s="496"/>
      <c r="K402" s="496"/>
      <c r="L402" s="496"/>
      <c r="M402" s="144"/>
      <c r="N402" s="144"/>
      <c r="O402" s="144"/>
      <c r="P402" s="144"/>
      <c r="Q402" s="144"/>
      <c r="R402" s="144"/>
      <c r="S402" s="144"/>
      <c r="T402" s="144"/>
      <c r="U402" s="144"/>
      <c r="V402" s="144"/>
      <c r="W402" s="144"/>
      <c r="X402" s="144"/>
      <c r="Y402" s="144"/>
      <c r="Z402" s="144"/>
      <c r="AA402" s="144"/>
      <c r="AB402" s="144"/>
      <c r="AC402" s="144"/>
      <c r="AD402" s="144"/>
      <c r="AE402" s="144"/>
      <c r="AF402" s="144"/>
    </row>
    <row r="403" ht="16.5" customHeight="1">
      <c r="A403" s="144"/>
      <c r="B403" s="144"/>
      <c r="C403" s="144"/>
      <c r="D403" s="144"/>
      <c r="E403" s="144"/>
      <c r="F403" s="144"/>
      <c r="G403" s="144"/>
      <c r="H403" s="144"/>
      <c r="I403" s="496"/>
      <c r="J403" s="496"/>
      <c r="K403" s="496"/>
      <c r="L403" s="496"/>
      <c r="M403" s="144"/>
      <c r="N403" s="144"/>
      <c r="O403" s="144"/>
      <c r="P403" s="144"/>
      <c r="Q403" s="144"/>
      <c r="R403" s="144"/>
      <c r="S403" s="144"/>
      <c r="T403" s="144"/>
      <c r="U403" s="144"/>
      <c r="V403" s="144"/>
      <c r="W403" s="144"/>
      <c r="X403" s="144"/>
      <c r="Y403" s="144"/>
      <c r="Z403" s="144"/>
      <c r="AA403" s="144"/>
      <c r="AB403" s="144"/>
      <c r="AC403" s="144"/>
      <c r="AD403" s="144"/>
      <c r="AE403" s="144"/>
      <c r="AF403" s="144"/>
    </row>
    <row r="404" ht="16.5" customHeight="1">
      <c r="A404" s="144"/>
      <c r="B404" s="144"/>
      <c r="C404" s="144"/>
      <c r="D404" s="144"/>
      <c r="E404" s="144"/>
      <c r="F404" s="144"/>
      <c r="G404" s="144"/>
      <c r="H404" s="144"/>
      <c r="I404" s="496"/>
      <c r="J404" s="496"/>
      <c r="K404" s="496"/>
      <c r="L404" s="496"/>
      <c r="M404" s="144"/>
      <c r="N404" s="144"/>
      <c r="O404" s="144"/>
      <c r="P404" s="144"/>
      <c r="Q404" s="144"/>
      <c r="R404" s="144"/>
      <c r="S404" s="144"/>
      <c r="T404" s="144"/>
      <c r="U404" s="144"/>
      <c r="V404" s="144"/>
      <c r="W404" s="144"/>
      <c r="X404" s="144"/>
      <c r="Y404" s="144"/>
      <c r="Z404" s="144"/>
      <c r="AA404" s="144"/>
      <c r="AB404" s="144"/>
      <c r="AC404" s="144"/>
      <c r="AD404" s="144"/>
      <c r="AE404" s="144"/>
      <c r="AF404" s="144"/>
    </row>
    <row r="405" ht="16.5" customHeight="1">
      <c r="A405" s="144"/>
      <c r="B405" s="144"/>
      <c r="C405" s="144"/>
      <c r="D405" s="144"/>
      <c r="E405" s="144"/>
      <c r="F405" s="144"/>
      <c r="G405" s="144"/>
      <c r="H405" s="144"/>
      <c r="I405" s="496"/>
      <c r="J405" s="496"/>
      <c r="K405" s="496"/>
      <c r="L405" s="496"/>
      <c r="M405" s="144"/>
      <c r="N405" s="144"/>
      <c r="O405" s="144"/>
      <c r="P405" s="144"/>
      <c r="Q405" s="144"/>
      <c r="R405" s="144"/>
      <c r="S405" s="144"/>
      <c r="T405" s="144"/>
      <c r="U405" s="144"/>
      <c r="V405" s="144"/>
      <c r="W405" s="144"/>
      <c r="X405" s="144"/>
      <c r="Y405" s="144"/>
      <c r="Z405" s="144"/>
      <c r="AA405" s="144"/>
      <c r="AB405" s="144"/>
      <c r="AC405" s="144"/>
      <c r="AD405" s="144"/>
      <c r="AE405" s="144"/>
      <c r="AF405" s="144"/>
    </row>
    <row r="406" ht="16.5" customHeight="1">
      <c r="A406" s="144"/>
      <c r="B406" s="144"/>
      <c r="C406" s="144"/>
      <c r="D406" s="144"/>
      <c r="E406" s="144"/>
      <c r="F406" s="144"/>
      <c r="G406" s="144"/>
      <c r="H406" s="144"/>
      <c r="I406" s="496"/>
      <c r="J406" s="496"/>
      <c r="K406" s="496"/>
      <c r="L406" s="496"/>
      <c r="M406" s="144"/>
      <c r="N406" s="144"/>
      <c r="O406" s="144"/>
      <c r="P406" s="144"/>
      <c r="Q406" s="144"/>
      <c r="R406" s="144"/>
      <c r="S406" s="144"/>
      <c r="T406" s="144"/>
      <c r="U406" s="144"/>
      <c r="V406" s="144"/>
      <c r="W406" s="144"/>
      <c r="X406" s="144"/>
      <c r="Y406" s="144"/>
      <c r="Z406" s="144"/>
      <c r="AA406" s="144"/>
      <c r="AB406" s="144"/>
      <c r="AC406" s="144"/>
      <c r="AD406" s="144"/>
      <c r="AE406" s="144"/>
      <c r="AF406" s="144"/>
    </row>
    <row r="407" ht="16.5" customHeight="1">
      <c r="A407" s="144"/>
      <c r="B407" s="144"/>
      <c r="C407" s="144"/>
      <c r="D407" s="144"/>
      <c r="E407" s="144"/>
      <c r="F407" s="144"/>
      <c r="G407" s="144"/>
      <c r="H407" s="144"/>
      <c r="I407" s="496"/>
      <c r="J407" s="496"/>
      <c r="K407" s="496"/>
      <c r="L407" s="496"/>
      <c r="M407" s="144"/>
      <c r="N407" s="144"/>
      <c r="O407" s="144"/>
      <c r="P407" s="144"/>
      <c r="Q407" s="144"/>
      <c r="R407" s="144"/>
      <c r="S407" s="144"/>
      <c r="T407" s="144"/>
      <c r="U407" s="144"/>
      <c r="V407" s="144"/>
      <c r="W407" s="144"/>
      <c r="X407" s="144"/>
      <c r="Y407" s="144"/>
      <c r="Z407" s="144"/>
      <c r="AA407" s="144"/>
      <c r="AB407" s="144"/>
      <c r="AC407" s="144"/>
      <c r="AD407" s="144"/>
      <c r="AE407" s="144"/>
      <c r="AF407" s="144"/>
    </row>
    <row r="408" ht="16.5" customHeight="1">
      <c r="A408" s="144"/>
      <c r="B408" s="144"/>
      <c r="C408" s="144"/>
      <c r="D408" s="144"/>
      <c r="E408" s="144"/>
      <c r="F408" s="144"/>
      <c r="G408" s="144"/>
      <c r="H408" s="144"/>
      <c r="I408" s="496"/>
      <c r="J408" s="496"/>
      <c r="K408" s="496"/>
      <c r="L408" s="496"/>
      <c r="M408" s="144"/>
      <c r="N408" s="144"/>
      <c r="O408" s="144"/>
      <c r="P408" s="144"/>
      <c r="Q408" s="144"/>
      <c r="R408" s="144"/>
      <c r="S408" s="144"/>
      <c r="T408" s="144"/>
      <c r="U408" s="144"/>
      <c r="V408" s="144"/>
      <c r="W408" s="144"/>
      <c r="X408" s="144"/>
      <c r="Y408" s="144"/>
      <c r="Z408" s="144"/>
      <c r="AA408" s="144"/>
      <c r="AB408" s="144"/>
      <c r="AC408" s="144"/>
      <c r="AD408" s="144"/>
      <c r="AE408" s="144"/>
      <c r="AF408" s="144"/>
    </row>
    <row r="409" ht="16.5" customHeight="1">
      <c r="A409" s="144"/>
      <c r="B409" s="144"/>
      <c r="C409" s="144"/>
      <c r="D409" s="144"/>
      <c r="E409" s="144"/>
      <c r="F409" s="144"/>
      <c r="G409" s="144"/>
      <c r="H409" s="144"/>
      <c r="I409" s="496"/>
      <c r="J409" s="496"/>
      <c r="K409" s="496"/>
      <c r="L409" s="496"/>
      <c r="M409" s="144"/>
      <c r="N409" s="144"/>
      <c r="O409" s="144"/>
      <c r="P409" s="144"/>
      <c r="Q409" s="144"/>
      <c r="R409" s="144"/>
      <c r="S409" s="144"/>
      <c r="T409" s="144"/>
      <c r="U409" s="144"/>
      <c r="V409" s="144"/>
      <c r="W409" s="144"/>
      <c r="X409" s="144"/>
      <c r="Y409" s="144"/>
      <c r="Z409" s="144"/>
      <c r="AA409" s="144"/>
      <c r="AB409" s="144"/>
      <c r="AC409" s="144"/>
      <c r="AD409" s="144"/>
      <c r="AE409" s="144"/>
      <c r="AF409" s="144"/>
    </row>
    <row r="410" ht="16.5" customHeight="1">
      <c r="A410" s="144"/>
      <c r="B410" s="144"/>
      <c r="C410" s="144"/>
      <c r="D410" s="144"/>
      <c r="E410" s="144"/>
      <c r="F410" s="144"/>
      <c r="G410" s="144"/>
      <c r="H410" s="144"/>
      <c r="I410" s="496"/>
      <c r="J410" s="496"/>
      <c r="K410" s="496"/>
      <c r="L410" s="496"/>
      <c r="M410" s="144"/>
      <c r="N410" s="144"/>
      <c r="O410" s="144"/>
      <c r="P410" s="144"/>
      <c r="Q410" s="144"/>
      <c r="R410" s="144"/>
      <c r="S410" s="144"/>
      <c r="T410" s="144"/>
      <c r="U410" s="144"/>
      <c r="V410" s="144"/>
      <c r="W410" s="144"/>
      <c r="X410" s="144"/>
      <c r="Y410" s="144"/>
      <c r="Z410" s="144"/>
      <c r="AA410" s="144"/>
      <c r="AB410" s="144"/>
      <c r="AC410" s="144"/>
      <c r="AD410" s="144"/>
      <c r="AE410" s="144"/>
      <c r="AF410" s="144"/>
    </row>
    <row r="411" ht="16.5" customHeight="1">
      <c r="A411" s="144"/>
      <c r="B411" s="144"/>
      <c r="C411" s="144"/>
      <c r="D411" s="144"/>
      <c r="E411" s="144"/>
      <c r="F411" s="144"/>
      <c r="G411" s="144"/>
      <c r="H411" s="144"/>
      <c r="I411" s="496"/>
      <c r="J411" s="496"/>
      <c r="K411" s="496"/>
      <c r="L411" s="496"/>
      <c r="M411" s="144"/>
      <c r="N411" s="144"/>
      <c r="O411" s="144"/>
      <c r="P411" s="144"/>
      <c r="Q411" s="144"/>
      <c r="R411" s="144"/>
      <c r="S411" s="144"/>
      <c r="T411" s="144"/>
      <c r="U411" s="144"/>
      <c r="V411" s="144"/>
      <c r="W411" s="144"/>
      <c r="X411" s="144"/>
      <c r="Y411" s="144"/>
      <c r="Z411" s="144"/>
      <c r="AA411" s="144"/>
      <c r="AB411" s="144"/>
      <c r="AC411" s="144"/>
      <c r="AD411" s="144"/>
      <c r="AE411" s="144"/>
      <c r="AF411" s="144"/>
    </row>
    <row r="412" ht="16.5" customHeight="1">
      <c r="A412" s="144"/>
      <c r="B412" s="144"/>
      <c r="C412" s="144"/>
      <c r="D412" s="144"/>
      <c r="E412" s="144"/>
      <c r="F412" s="144"/>
      <c r="G412" s="144"/>
      <c r="H412" s="144"/>
      <c r="I412" s="496"/>
      <c r="J412" s="496"/>
      <c r="K412" s="496"/>
      <c r="L412" s="496"/>
      <c r="M412" s="144"/>
      <c r="N412" s="144"/>
      <c r="O412" s="144"/>
      <c r="P412" s="144"/>
      <c r="Q412" s="144"/>
      <c r="R412" s="144"/>
      <c r="S412" s="144"/>
      <c r="T412" s="144"/>
      <c r="U412" s="144"/>
      <c r="V412" s="144"/>
      <c r="W412" s="144"/>
      <c r="X412" s="144"/>
      <c r="Y412" s="144"/>
      <c r="Z412" s="144"/>
      <c r="AA412" s="144"/>
      <c r="AB412" s="144"/>
      <c r="AC412" s="144"/>
      <c r="AD412" s="144"/>
      <c r="AE412" s="144"/>
      <c r="AF412" s="144"/>
    </row>
    <row r="413" ht="16.5" customHeight="1">
      <c r="A413" s="144"/>
      <c r="B413" s="144"/>
      <c r="C413" s="144"/>
      <c r="D413" s="144"/>
      <c r="E413" s="144"/>
      <c r="F413" s="144"/>
      <c r="G413" s="144"/>
      <c r="H413" s="144"/>
      <c r="I413" s="496"/>
      <c r="J413" s="496"/>
      <c r="K413" s="496"/>
      <c r="L413" s="496"/>
      <c r="M413" s="144"/>
      <c r="N413" s="144"/>
      <c r="O413" s="144"/>
      <c r="P413" s="144"/>
      <c r="Q413" s="144"/>
      <c r="R413" s="144"/>
      <c r="S413" s="144"/>
      <c r="T413" s="144"/>
      <c r="U413" s="144"/>
      <c r="V413" s="144"/>
      <c r="W413" s="144"/>
      <c r="X413" s="144"/>
      <c r="Y413" s="144"/>
      <c r="Z413" s="144"/>
      <c r="AA413" s="144"/>
      <c r="AB413" s="144"/>
      <c r="AC413" s="144"/>
      <c r="AD413" s="144"/>
      <c r="AE413" s="144"/>
      <c r="AF413" s="144"/>
    </row>
    <row r="414" ht="16.5" customHeight="1">
      <c r="A414" s="144"/>
      <c r="B414" s="144"/>
      <c r="C414" s="144"/>
      <c r="D414" s="144"/>
      <c r="E414" s="144"/>
      <c r="F414" s="144"/>
      <c r="G414" s="144"/>
      <c r="H414" s="144"/>
      <c r="I414" s="496"/>
      <c r="J414" s="496"/>
      <c r="K414" s="496"/>
      <c r="L414" s="496"/>
      <c r="M414" s="144"/>
      <c r="N414" s="144"/>
      <c r="O414" s="144"/>
      <c r="P414" s="144"/>
      <c r="Q414" s="144"/>
      <c r="R414" s="144"/>
      <c r="S414" s="144"/>
      <c r="T414" s="144"/>
      <c r="U414" s="144"/>
      <c r="V414" s="144"/>
      <c r="W414" s="144"/>
      <c r="X414" s="144"/>
      <c r="Y414" s="144"/>
      <c r="Z414" s="144"/>
      <c r="AA414" s="144"/>
      <c r="AB414" s="144"/>
      <c r="AC414" s="144"/>
      <c r="AD414" s="144"/>
      <c r="AE414" s="144"/>
      <c r="AF414" s="144"/>
    </row>
    <row r="415" ht="16.5" customHeight="1">
      <c r="A415" s="144"/>
      <c r="B415" s="144"/>
      <c r="C415" s="144"/>
      <c r="D415" s="144"/>
      <c r="E415" s="144"/>
      <c r="F415" s="144"/>
      <c r="G415" s="144"/>
      <c r="H415" s="144"/>
      <c r="I415" s="496"/>
      <c r="J415" s="496"/>
      <c r="K415" s="496"/>
      <c r="L415" s="496"/>
      <c r="M415" s="144"/>
      <c r="N415" s="144"/>
      <c r="O415" s="144"/>
      <c r="P415" s="144"/>
      <c r="Q415" s="144"/>
      <c r="R415" s="144"/>
      <c r="S415" s="144"/>
      <c r="T415" s="144"/>
      <c r="U415" s="144"/>
      <c r="V415" s="144"/>
      <c r="W415" s="144"/>
      <c r="X415" s="144"/>
      <c r="Y415" s="144"/>
      <c r="Z415" s="144"/>
      <c r="AA415" s="144"/>
      <c r="AB415" s="144"/>
      <c r="AC415" s="144"/>
      <c r="AD415" s="144"/>
      <c r="AE415" s="144"/>
      <c r="AF415" s="144"/>
    </row>
    <row r="416" ht="16.5" customHeight="1">
      <c r="A416" s="144"/>
      <c r="B416" s="144"/>
      <c r="C416" s="144"/>
      <c r="D416" s="144"/>
      <c r="E416" s="144"/>
      <c r="F416" s="144"/>
      <c r="G416" s="144"/>
      <c r="H416" s="144"/>
      <c r="I416" s="496"/>
      <c r="J416" s="496"/>
      <c r="K416" s="496"/>
      <c r="L416" s="496"/>
      <c r="M416" s="144"/>
      <c r="N416" s="144"/>
      <c r="O416" s="144"/>
      <c r="P416" s="144"/>
      <c r="Q416" s="144"/>
      <c r="R416" s="144"/>
      <c r="S416" s="144"/>
      <c r="T416" s="144"/>
      <c r="U416" s="144"/>
      <c r="V416" s="144"/>
      <c r="W416" s="144"/>
      <c r="X416" s="144"/>
      <c r="Y416" s="144"/>
      <c r="Z416" s="144"/>
      <c r="AA416" s="144"/>
      <c r="AB416" s="144"/>
      <c r="AC416" s="144"/>
      <c r="AD416" s="144"/>
      <c r="AE416" s="144"/>
      <c r="AF416" s="144"/>
    </row>
    <row r="417" ht="16.5" customHeight="1">
      <c r="A417" s="144"/>
      <c r="B417" s="144"/>
      <c r="C417" s="144"/>
      <c r="D417" s="144"/>
      <c r="E417" s="144"/>
      <c r="F417" s="144"/>
      <c r="G417" s="144"/>
      <c r="H417" s="144"/>
      <c r="I417" s="496"/>
      <c r="J417" s="496"/>
      <c r="K417" s="496"/>
      <c r="L417" s="496"/>
      <c r="M417" s="144"/>
      <c r="N417" s="144"/>
      <c r="O417" s="144"/>
      <c r="P417" s="144"/>
      <c r="Q417" s="144"/>
      <c r="R417" s="144"/>
      <c r="S417" s="144"/>
      <c r="T417" s="144"/>
      <c r="U417" s="144"/>
      <c r="V417" s="144"/>
      <c r="W417" s="144"/>
      <c r="X417" s="144"/>
      <c r="Y417" s="144"/>
      <c r="Z417" s="144"/>
      <c r="AA417" s="144"/>
      <c r="AB417" s="144"/>
      <c r="AC417" s="144"/>
      <c r="AD417" s="144"/>
      <c r="AE417" s="144"/>
      <c r="AF417" s="144"/>
    </row>
    <row r="418" ht="16.5" customHeight="1">
      <c r="A418" s="144"/>
      <c r="B418" s="144"/>
      <c r="C418" s="144"/>
      <c r="D418" s="144"/>
      <c r="E418" s="144"/>
      <c r="F418" s="144"/>
      <c r="G418" s="144"/>
      <c r="H418" s="144"/>
      <c r="I418" s="496"/>
      <c r="J418" s="496"/>
      <c r="K418" s="496"/>
      <c r="L418" s="496"/>
      <c r="M418" s="144"/>
      <c r="N418" s="144"/>
      <c r="O418" s="144"/>
      <c r="P418" s="144"/>
      <c r="Q418" s="144"/>
      <c r="R418" s="144"/>
      <c r="S418" s="144"/>
      <c r="T418" s="144"/>
      <c r="U418" s="144"/>
      <c r="V418" s="144"/>
      <c r="W418" s="144"/>
      <c r="X418" s="144"/>
      <c r="Y418" s="144"/>
      <c r="Z418" s="144"/>
      <c r="AA418" s="144"/>
      <c r="AB418" s="144"/>
      <c r="AC418" s="144"/>
      <c r="AD418" s="144"/>
      <c r="AE418" s="144"/>
      <c r="AF418" s="144"/>
    </row>
    <row r="419" ht="16.5" customHeight="1">
      <c r="A419" s="144"/>
      <c r="B419" s="144"/>
      <c r="C419" s="144"/>
      <c r="D419" s="144"/>
      <c r="E419" s="144"/>
      <c r="F419" s="144"/>
      <c r="G419" s="144"/>
      <c r="H419" s="144"/>
      <c r="I419" s="496"/>
      <c r="J419" s="496"/>
      <c r="K419" s="496"/>
      <c r="L419" s="496"/>
      <c r="M419" s="144"/>
      <c r="N419" s="144"/>
      <c r="O419" s="144"/>
      <c r="P419" s="144"/>
      <c r="Q419" s="144"/>
      <c r="R419" s="144"/>
      <c r="S419" s="144"/>
      <c r="T419" s="144"/>
      <c r="U419" s="144"/>
      <c r="V419" s="144"/>
      <c r="W419" s="144"/>
      <c r="X419" s="144"/>
      <c r="Y419" s="144"/>
      <c r="Z419" s="144"/>
      <c r="AA419" s="144"/>
      <c r="AB419" s="144"/>
      <c r="AC419" s="144"/>
      <c r="AD419" s="144"/>
      <c r="AE419" s="144"/>
      <c r="AF419" s="144"/>
    </row>
    <row r="420" ht="16.5" customHeight="1">
      <c r="A420" s="144"/>
      <c r="B420" s="144"/>
      <c r="C420" s="144"/>
      <c r="D420" s="144"/>
      <c r="E420" s="144"/>
      <c r="F420" s="144"/>
      <c r="G420" s="144"/>
      <c r="H420" s="144"/>
      <c r="I420" s="496"/>
      <c r="J420" s="496"/>
      <c r="K420" s="496"/>
      <c r="L420" s="496"/>
      <c r="M420" s="144"/>
      <c r="N420" s="144"/>
      <c r="O420" s="144"/>
      <c r="P420" s="144"/>
      <c r="Q420" s="144"/>
      <c r="R420" s="144"/>
      <c r="S420" s="144"/>
      <c r="T420" s="144"/>
      <c r="U420" s="144"/>
      <c r="V420" s="144"/>
      <c r="W420" s="144"/>
      <c r="X420" s="144"/>
      <c r="Y420" s="144"/>
      <c r="Z420" s="144"/>
      <c r="AA420" s="144"/>
      <c r="AB420" s="144"/>
      <c r="AC420" s="144"/>
      <c r="AD420" s="144"/>
      <c r="AE420" s="144"/>
      <c r="AF420" s="144"/>
    </row>
    <row r="421" ht="16.5" customHeight="1">
      <c r="A421" s="144"/>
      <c r="B421" s="144"/>
      <c r="C421" s="144"/>
      <c r="D421" s="144"/>
      <c r="E421" s="144"/>
      <c r="F421" s="144"/>
      <c r="G421" s="144"/>
      <c r="H421" s="144"/>
      <c r="I421" s="496"/>
      <c r="J421" s="496"/>
      <c r="K421" s="496"/>
      <c r="L421" s="496"/>
      <c r="M421" s="144"/>
      <c r="N421" s="144"/>
      <c r="O421" s="144"/>
      <c r="P421" s="144"/>
      <c r="Q421" s="144"/>
      <c r="R421" s="144"/>
      <c r="S421" s="144"/>
      <c r="T421" s="144"/>
      <c r="U421" s="144"/>
      <c r="V421" s="144"/>
      <c r="W421" s="144"/>
      <c r="X421" s="144"/>
      <c r="Y421" s="144"/>
      <c r="Z421" s="144"/>
      <c r="AA421" s="144"/>
      <c r="AB421" s="144"/>
      <c r="AC421" s="144"/>
      <c r="AD421" s="144"/>
      <c r="AE421" s="144"/>
      <c r="AF421" s="144"/>
    </row>
    <row r="422" ht="16.5" customHeight="1">
      <c r="A422" s="144"/>
      <c r="B422" s="144"/>
      <c r="C422" s="144"/>
      <c r="D422" s="144"/>
      <c r="E422" s="144"/>
      <c r="F422" s="144"/>
      <c r="G422" s="144"/>
      <c r="H422" s="144"/>
      <c r="I422" s="496"/>
      <c r="J422" s="496"/>
      <c r="K422" s="496"/>
      <c r="L422" s="496"/>
      <c r="M422" s="144"/>
      <c r="N422" s="144"/>
      <c r="O422" s="144"/>
      <c r="P422" s="144"/>
      <c r="Q422" s="144"/>
      <c r="R422" s="144"/>
      <c r="S422" s="144"/>
      <c r="T422" s="144"/>
      <c r="U422" s="144"/>
      <c r="V422" s="144"/>
      <c r="W422" s="144"/>
      <c r="X422" s="144"/>
      <c r="Y422" s="144"/>
      <c r="Z422" s="144"/>
      <c r="AA422" s="144"/>
      <c r="AB422" s="144"/>
      <c r="AC422" s="144"/>
      <c r="AD422" s="144"/>
      <c r="AE422" s="144"/>
      <c r="AF422" s="144"/>
    </row>
    <row r="423" ht="16.5" customHeight="1">
      <c r="A423" s="144"/>
      <c r="B423" s="144"/>
      <c r="C423" s="144"/>
      <c r="D423" s="144"/>
      <c r="E423" s="144"/>
      <c r="F423" s="144"/>
      <c r="G423" s="144"/>
      <c r="H423" s="144"/>
      <c r="I423" s="496"/>
      <c r="J423" s="496"/>
      <c r="K423" s="496"/>
      <c r="L423" s="496"/>
      <c r="M423" s="144"/>
      <c r="N423" s="144"/>
      <c r="O423" s="144"/>
      <c r="P423" s="144"/>
      <c r="Q423" s="144"/>
      <c r="R423" s="144"/>
      <c r="S423" s="144"/>
      <c r="T423" s="144"/>
      <c r="U423" s="144"/>
      <c r="V423" s="144"/>
      <c r="W423" s="144"/>
      <c r="X423" s="144"/>
      <c r="Y423" s="144"/>
      <c r="Z423" s="144"/>
      <c r="AA423" s="144"/>
      <c r="AB423" s="144"/>
      <c r="AC423" s="144"/>
      <c r="AD423" s="144"/>
      <c r="AE423" s="144"/>
      <c r="AF423" s="144"/>
    </row>
    <row r="424" ht="16.5" customHeight="1">
      <c r="A424" s="144"/>
      <c r="B424" s="144"/>
      <c r="C424" s="144"/>
      <c r="D424" s="144"/>
      <c r="E424" s="144"/>
      <c r="F424" s="144"/>
      <c r="G424" s="144"/>
      <c r="H424" s="144"/>
      <c r="I424" s="496"/>
      <c r="J424" s="496"/>
      <c r="K424" s="496"/>
      <c r="L424" s="496"/>
      <c r="M424" s="144"/>
      <c r="N424" s="144"/>
      <c r="O424" s="144"/>
      <c r="P424" s="144"/>
      <c r="Q424" s="144"/>
      <c r="R424" s="144"/>
      <c r="S424" s="144"/>
      <c r="T424" s="144"/>
      <c r="U424" s="144"/>
      <c r="V424" s="144"/>
      <c r="W424" s="144"/>
      <c r="X424" s="144"/>
      <c r="Y424" s="144"/>
      <c r="Z424" s="144"/>
      <c r="AA424" s="144"/>
      <c r="AB424" s="144"/>
      <c r="AC424" s="144"/>
      <c r="AD424" s="144"/>
      <c r="AE424" s="144"/>
      <c r="AF424" s="144"/>
    </row>
    <row r="425" ht="16.5" customHeight="1">
      <c r="A425" s="144"/>
      <c r="B425" s="144"/>
      <c r="C425" s="144"/>
      <c r="D425" s="144"/>
      <c r="E425" s="144"/>
      <c r="F425" s="144"/>
      <c r="G425" s="144"/>
      <c r="H425" s="144"/>
      <c r="I425" s="496"/>
      <c r="J425" s="496"/>
      <c r="K425" s="496"/>
      <c r="L425" s="496"/>
      <c r="M425" s="144"/>
      <c r="N425" s="144"/>
      <c r="O425" s="144"/>
      <c r="P425" s="144"/>
      <c r="Q425" s="144"/>
      <c r="R425" s="144"/>
      <c r="S425" s="144"/>
      <c r="T425" s="144"/>
      <c r="U425" s="144"/>
      <c r="V425" s="144"/>
      <c r="W425" s="144"/>
      <c r="X425" s="144"/>
      <c r="Y425" s="144"/>
      <c r="Z425" s="144"/>
      <c r="AA425" s="144"/>
      <c r="AB425" s="144"/>
      <c r="AC425" s="144"/>
      <c r="AD425" s="144"/>
      <c r="AE425" s="144"/>
      <c r="AF425" s="144"/>
    </row>
    <row r="426" ht="16.5" customHeight="1">
      <c r="A426" s="144"/>
      <c r="B426" s="144"/>
      <c r="C426" s="144"/>
      <c r="D426" s="144"/>
      <c r="E426" s="144"/>
      <c r="F426" s="144"/>
      <c r="G426" s="144"/>
      <c r="H426" s="144"/>
      <c r="I426" s="496"/>
      <c r="J426" s="496"/>
      <c r="K426" s="496"/>
      <c r="L426" s="496"/>
      <c r="M426" s="144"/>
      <c r="N426" s="144"/>
      <c r="O426" s="144"/>
      <c r="P426" s="144"/>
      <c r="Q426" s="144"/>
      <c r="R426" s="144"/>
      <c r="S426" s="144"/>
      <c r="T426" s="144"/>
      <c r="U426" s="144"/>
      <c r="V426" s="144"/>
      <c r="W426" s="144"/>
      <c r="X426" s="144"/>
      <c r="Y426" s="144"/>
      <c r="Z426" s="144"/>
      <c r="AA426" s="144"/>
      <c r="AB426" s="144"/>
      <c r="AC426" s="144"/>
      <c r="AD426" s="144"/>
      <c r="AE426" s="144"/>
      <c r="AF426" s="144"/>
    </row>
    <row r="427" ht="16.5" customHeight="1">
      <c r="A427" s="144"/>
      <c r="B427" s="144"/>
      <c r="C427" s="144"/>
      <c r="D427" s="144"/>
      <c r="E427" s="144"/>
      <c r="F427" s="144"/>
      <c r="G427" s="144"/>
      <c r="H427" s="144"/>
      <c r="I427" s="496"/>
      <c r="J427" s="496"/>
      <c r="K427" s="496"/>
      <c r="L427" s="496"/>
      <c r="M427" s="144"/>
      <c r="N427" s="144"/>
      <c r="O427" s="144"/>
      <c r="P427" s="144"/>
      <c r="Q427" s="144"/>
      <c r="R427" s="144"/>
      <c r="S427" s="144"/>
      <c r="T427" s="144"/>
      <c r="U427" s="144"/>
      <c r="V427" s="144"/>
      <c r="W427" s="144"/>
      <c r="X427" s="144"/>
      <c r="Y427" s="144"/>
      <c r="Z427" s="144"/>
      <c r="AA427" s="144"/>
      <c r="AB427" s="144"/>
      <c r="AC427" s="144"/>
      <c r="AD427" s="144"/>
      <c r="AE427" s="144"/>
      <c r="AF427" s="144"/>
    </row>
    <row r="428" ht="16.5" customHeight="1">
      <c r="A428" s="144"/>
      <c r="B428" s="144"/>
      <c r="C428" s="144"/>
      <c r="D428" s="144"/>
      <c r="E428" s="144"/>
      <c r="F428" s="144"/>
      <c r="G428" s="144"/>
      <c r="H428" s="144"/>
      <c r="I428" s="496"/>
      <c r="J428" s="496"/>
      <c r="K428" s="496"/>
      <c r="L428" s="496"/>
      <c r="M428" s="144"/>
      <c r="N428" s="144"/>
      <c r="O428" s="144"/>
      <c r="P428" s="144"/>
      <c r="Q428" s="144"/>
      <c r="R428" s="144"/>
      <c r="S428" s="144"/>
      <c r="T428" s="144"/>
      <c r="U428" s="144"/>
      <c r="V428" s="144"/>
      <c r="W428" s="144"/>
      <c r="X428" s="144"/>
      <c r="Y428" s="144"/>
      <c r="Z428" s="144"/>
      <c r="AA428" s="144"/>
      <c r="AB428" s="144"/>
      <c r="AC428" s="144"/>
      <c r="AD428" s="144"/>
      <c r="AE428" s="144"/>
      <c r="AF428" s="144"/>
    </row>
    <row r="429" ht="16.5" customHeight="1">
      <c r="A429" s="144"/>
      <c r="B429" s="144"/>
      <c r="C429" s="144"/>
      <c r="D429" s="144"/>
      <c r="E429" s="144"/>
      <c r="F429" s="144"/>
      <c r="G429" s="144"/>
      <c r="H429" s="144"/>
      <c r="I429" s="496"/>
      <c r="J429" s="496"/>
      <c r="K429" s="496"/>
      <c r="L429" s="496"/>
      <c r="M429" s="144"/>
      <c r="N429" s="144"/>
      <c r="O429" s="144"/>
      <c r="P429" s="144"/>
      <c r="Q429" s="144"/>
      <c r="R429" s="144"/>
      <c r="S429" s="144"/>
      <c r="T429" s="144"/>
      <c r="U429" s="144"/>
      <c r="V429" s="144"/>
      <c r="W429" s="144"/>
      <c r="X429" s="144"/>
      <c r="Y429" s="144"/>
      <c r="Z429" s="144"/>
      <c r="AA429" s="144"/>
      <c r="AB429" s="144"/>
      <c r="AC429" s="144"/>
      <c r="AD429" s="144"/>
      <c r="AE429" s="144"/>
      <c r="AF429" s="144"/>
    </row>
    <row r="430" ht="16.5" customHeight="1">
      <c r="A430" s="144"/>
      <c r="B430" s="144"/>
      <c r="C430" s="144"/>
      <c r="D430" s="144"/>
      <c r="E430" s="144"/>
      <c r="F430" s="144"/>
      <c r="G430" s="144"/>
      <c r="H430" s="144"/>
      <c r="I430" s="496"/>
      <c r="J430" s="496"/>
      <c r="K430" s="496"/>
      <c r="L430" s="496"/>
      <c r="M430" s="144"/>
      <c r="N430" s="144"/>
      <c r="O430" s="144"/>
      <c r="P430" s="144"/>
      <c r="Q430" s="144"/>
      <c r="R430" s="144"/>
      <c r="S430" s="144"/>
      <c r="T430" s="144"/>
      <c r="U430" s="144"/>
      <c r="V430" s="144"/>
      <c r="W430" s="144"/>
      <c r="X430" s="144"/>
      <c r="Y430" s="144"/>
      <c r="Z430" s="144"/>
      <c r="AA430" s="144"/>
      <c r="AB430" s="144"/>
      <c r="AC430" s="144"/>
      <c r="AD430" s="144"/>
      <c r="AE430" s="144"/>
      <c r="AF430" s="144"/>
    </row>
    <row r="431" ht="16.5" customHeight="1">
      <c r="A431" s="144"/>
      <c r="B431" s="144"/>
      <c r="C431" s="144"/>
      <c r="D431" s="144"/>
      <c r="E431" s="144"/>
      <c r="F431" s="144"/>
      <c r="G431" s="144"/>
      <c r="H431" s="144"/>
      <c r="I431" s="496"/>
      <c r="J431" s="496"/>
      <c r="K431" s="496"/>
      <c r="L431" s="496"/>
      <c r="M431" s="144"/>
      <c r="N431" s="144"/>
      <c r="O431" s="144"/>
      <c r="P431" s="144"/>
      <c r="Q431" s="144"/>
      <c r="R431" s="144"/>
      <c r="S431" s="144"/>
      <c r="T431" s="144"/>
      <c r="U431" s="144"/>
      <c r="V431" s="144"/>
      <c r="W431" s="144"/>
      <c r="X431" s="144"/>
      <c r="Y431" s="144"/>
      <c r="Z431" s="144"/>
      <c r="AA431" s="144"/>
      <c r="AB431" s="144"/>
      <c r="AC431" s="144"/>
      <c r="AD431" s="144"/>
      <c r="AE431" s="144"/>
      <c r="AF431" s="144"/>
    </row>
    <row r="432" ht="16.5" customHeight="1">
      <c r="A432" s="144"/>
      <c r="B432" s="144"/>
      <c r="C432" s="144"/>
      <c r="D432" s="144"/>
      <c r="E432" s="144"/>
      <c r="F432" s="144"/>
      <c r="G432" s="144"/>
      <c r="H432" s="144"/>
      <c r="I432" s="496"/>
      <c r="J432" s="496"/>
      <c r="K432" s="496"/>
      <c r="L432" s="496"/>
      <c r="M432" s="144"/>
      <c r="N432" s="144"/>
      <c r="O432" s="144"/>
      <c r="P432" s="144"/>
      <c r="Q432" s="144"/>
      <c r="R432" s="144"/>
      <c r="S432" s="144"/>
      <c r="T432" s="144"/>
      <c r="U432" s="144"/>
      <c r="V432" s="144"/>
      <c r="W432" s="144"/>
      <c r="X432" s="144"/>
      <c r="Y432" s="144"/>
      <c r="Z432" s="144"/>
      <c r="AA432" s="144"/>
      <c r="AB432" s="144"/>
      <c r="AC432" s="144"/>
      <c r="AD432" s="144"/>
      <c r="AE432" s="144"/>
      <c r="AF432" s="144"/>
    </row>
    <row r="433" ht="16.5" customHeight="1">
      <c r="A433" s="144"/>
      <c r="B433" s="144"/>
      <c r="C433" s="144"/>
      <c r="D433" s="144"/>
      <c r="E433" s="144"/>
      <c r="F433" s="144"/>
      <c r="G433" s="144"/>
      <c r="H433" s="144"/>
      <c r="I433" s="496"/>
      <c r="J433" s="496"/>
      <c r="K433" s="496"/>
      <c r="L433" s="496"/>
      <c r="M433" s="144"/>
      <c r="N433" s="144"/>
      <c r="O433" s="144"/>
      <c r="P433" s="144"/>
      <c r="Q433" s="144"/>
      <c r="R433" s="144"/>
      <c r="S433" s="144"/>
      <c r="T433" s="144"/>
      <c r="U433" s="144"/>
      <c r="V433" s="144"/>
      <c r="W433" s="144"/>
      <c r="X433" s="144"/>
      <c r="Y433" s="144"/>
      <c r="Z433" s="144"/>
      <c r="AA433" s="144"/>
      <c r="AB433" s="144"/>
      <c r="AC433" s="144"/>
      <c r="AD433" s="144"/>
      <c r="AE433" s="144"/>
      <c r="AF433" s="144"/>
    </row>
    <row r="434" ht="16.5" customHeight="1">
      <c r="A434" s="144"/>
      <c r="B434" s="144"/>
      <c r="C434" s="144"/>
      <c r="D434" s="144"/>
      <c r="E434" s="144"/>
      <c r="F434" s="144"/>
      <c r="G434" s="144"/>
      <c r="H434" s="144"/>
      <c r="I434" s="496"/>
      <c r="J434" s="496"/>
      <c r="K434" s="496"/>
      <c r="L434" s="496"/>
      <c r="M434" s="144"/>
      <c r="N434" s="144"/>
      <c r="O434" s="144"/>
      <c r="P434" s="144"/>
      <c r="Q434" s="144"/>
      <c r="R434" s="144"/>
      <c r="S434" s="144"/>
      <c r="T434" s="144"/>
      <c r="U434" s="144"/>
      <c r="V434" s="144"/>
      <c r="W434" s="144"/>
      <c r="X434" s="144"/>
      <c r="Y434" s="144"/>
      <c r="Z434" s="144"/>
      <c r="AA434" s="144"/>
      <c r="AB434" s="144"/>
      <c r="AC434" s="144"/>
      <c r="AD434" s="144"/>
      <c r="AE434" s="144"/>
      <c r="AF434" s="144"/>
    </row>
    <row r="435" ht="16.5" customHeight="1">
      <c r="A435" s="144"/>
      <c r="B435" s="144"/>
      <c r="C435" s="144"/>
      <c r="D435" s="144"/>
      <c r="E435" s="144"/>
      <c r="F435" s="144"/>
      <c r="G435" s="144"/>
      <c r="H435" s="144"/>
      <c r="I435" s="496"/>
      <c r="J435" s="496"/>
      <c r="K435" s="496"/>
      <c r="L435" s="496"/>
      <c r="M435" s="144"/>
      <c r="N435" s="144"/>
      <c r="O435" s="144"/>
      <c r="P435" s="144"/>
      <c r="Q435" s="144"/>
      <c r="R435" s="144"/>
      <c r="S435" s="144"/>
      <c r="T435" s="144"/>
      <c r="U435" s="144"/>
      <c r="V435" s="144"/>
      <c r="W435" s="144"/>
      <c r="X435" s="144"/>
      <c r="Y435" s="144"/>
      <c r="Z435" s="144"/>
      <c r="AA435" s="144"/>
      <c r="AB435" s="144"/>
      <c r="AC435" s="144"/>
      <c r="AD435" s="144"/>
      <c r="AE435" s="144"/>
      <c r="AF435" s="144"/>
    </row>
    <row r="436" ht="16.5" customHeight="1">
      <c r="A436" s="144"/>
      <c r="B436" s="144"/>
      <c r="C436" s="144"/>
      <c r="D436" s="144"/>
      <c r="E436" s="144"/>
      <c r="F436" s="144"/>
      <c r="G436" s="144"/>
      <c r="H436" s="144"/>
      <c r="I436" s="496"/>
      <c r="J436" s="496"/>
      <c r="K436" s="496"/>
      <c r="L436" s="496"/>
      <c r="M436" s="144"/>
      <c r="N436" s="144"/>
      <c r="O436" s="144"/>
      <c r="P436" s="144"/>
      <c r="Q436" s="144"/>
      <c r="R436" s="144"/>
      <c r="S436" s="144"/>
      <c r="T436" s="144"/>
      <c r="U436" s="144"/>
      <c r="V436" s="144"/>
      <c r="W436" s="144"/>
      <c r="X436" s="144"/>
      <c r="Y436" s="144"/>
      <c r="Z436" s="144"/>
      <c r="AA436" s="144"/>
      <c r="AB436" s="144"/>
      <c r="AC436" s="144"/>
      <c r="AD436" s="144"/>
      <c r="AE436" s="144"/>
      <c r="AF436" s="144"/>
    </row>
    <row r="437" ht="16.5" customHeight="1">
      <c r="A437" s="144"/>
      <c r="B437" s="144"/>
      <c r="C437" s="144"/>
      <c r="D437" s="144"/>
      <c r="E437" s="144"/>
      <c r="F437" s="144"/>
      <c r="G437" s="144"/>
      <c r="H437" s="144"/>
      <c r="I437" s="496"/>
      <c r="J437" s="496"/>
      <c r="K437" s="496"/>
      <c r="L437" s="496"/>
      <c r="M437" s="144"/>
      <c r="N437" s="144"/>
      <c r="O437" s="144"/>
      <c r="P437" s="144"/>
      <c r="Q437" s="144"/>
      <c r="R437" s="144"/>
      <c r="S437" s="144"/>
      <c r="T437" s="144"/>
      <c r="U437" s="144"/>
      <c r="V437" s="144"/>
      <c r="W437" s="144"/>
      <c r="X437" s="144"/>
      <c r="Y437" s="144"/>
      <c r="Z437" s="144"/>
      <c r="AA437" s="144"/>
      <c r="AB437" s="144"/>
      <c r="AC437" s="144"/>
      <c r="AD437" s="144"/>
      <c r="AE437" s="144"/>
      <c r="AF437" s="144"/>
    </row>
    <row r="438" ht="16.5" customHeight="1">
      <c r="A438" s="144"/>
      <c r="B438" s="144"/>
      <c r="C438" s="144"/>
      <c r="D438" s="144"/>
      <c r="E438" s="144"/>
      <c r="F438" s="144"/>
      <c r="G438" s="144"/>
      <c r="H438" s="144"/>
      <c r="I438" s="496"/>
      <c r="J438" s="496"/>
      <c r="K438" s="496"/>
      <c r="L438" s="496"/>
      <c r="M438" s="144"/>
      <c r="N438" s="144"/>
      <c r="O438" s="144"/>
      <c r="P438" s="144"/>
      <c r="Q438" s="144"/>
      <c r="R438" s="144"/>
      <c r="S438" s="144"/>
      <c r="T438" s="144"/>
      <c r="U438" s="144"/>
      <c r="V438" s="144"/>
      <c r="W438" s="144"/>
      <c r="X438" s="144"/>
      <c r="Y438" s="144"/>
      <c r="Z438" s="144"/>
      <c r="AA438" s="144"/>
      <c r="AB438" s="144"/>
      <c r="AC438" s="144"/>
      <c r="AD438" s="144"/>
      <c r="AE438" s="144"/>
      <c r="AF438" s="144"/>
    </row>
    <row r="439" ht="16.5" customHeight="1">
      <c r="A439" s="144"/>
      <c r="B439" s="144"/>
      <c r="C439" s="144"/>
      <c r="D439" s="144"/>
      <c r="E439" s="144"/>
      <c r="F439" s="144"/>
      <c r="G439" s="144"/>
      <c r="H439" s="144"/>
      <c r="I439" s="496"/>
      <c r="J439" s="496"/>
      <c r="K439" s="496"/>
      <c r="L439" s="496"/>
      <c r="M439" s="144"/>
      <c r="N439" s="144"/>
      <c r="O439" s="144"/>
      <c r="P439" s="144"/>
      <c r="Q439" s="144"/>
      <c r="R439" s="144"/>
      <c r="S439" s="144"/>
      <c r="T439" s="144"/>
      <c r="U439" s="144"/>
      <c r="V439" s="144"/>
      <c r="W439" s="144"/>
      <c r="X439" s="144"/>
      <c r="Y439" s="144"/>
      <c r="Z439" s="144"/>
      <c r="AA439" s="144"/>
      <c r="AB439" s="144"/>
      <c r="AC439" s="144"/>
      <c r="AD439" s="144"/>
      <c r="AE439" s="144"/>
      <c r="AF439" s="144"/>
    </row>
    <row r="440" ht="16.5" customHeight="1">
      <c r="A440" s="144"/>
      <c r="B440" s="144"/>
      <c r="C440" s="144"/>
      <c r="D440" s="144"/>
      <c r="E440" s="144"/>
      <c r="F440" s="144"/>
      <c r="G440" s="144"/>
      <c r="H440" s="144"/>
      <c r="I440" s="496"/>
      <c r="J440" s="496"/>
      <c r="K440" s="496"/>
      <c r="L440" s="496"/>
      <c r="M440" s="144"/>
      <c r="N440" s="144"/>
      <c r="O440" s="144"/>
      <c r="P440" s="144"/>
      <c r="Q440" s="144"/>
      <c r="R440" s="144"/>
      <c r="S440" s="144"/>
      <c r="T440" s="144"/>
      <c r="U440" s="144"/>
      <c r="V440" s="144"/>
      <c r="W440" s="144"/>
      <c r="X440" s="144"/>
      <c r="Y440" s="144"/>
      <c r="Z440" s="144"/>
      <c r="AA440" s="144"/>
      <c r="AB440" s="144"/>
      <c r="AC440" s="144"/>
      <c r="AD440" s="144"/>
      <c r="AE440" s="144"/>
      <c r="AF440" s="144"/>
    </row>
    <row r="441" ht="16.5" customHeight="1">
      <c r="A441" s="144"/>
      <c r="B441" s="144"/>
      <c r="C441" s="144"/>
      <c r="D441" s="144"/>
      <c r="E441" s="144"/>
      <c r="F441" s="144"/>
      <c r="G441" s="144"/>
      <c r="H441" s="144"/>
      <c r="I441" s="496"/>
      <c r="J441" s="496"/>
      <c r="K441" s="496"/>
      <c r="L441" s="496"/>
      <c r="M441" s="144"/>
      <c r="N441" s="144"/>
      <c r="O441" s="144"/>
      <c r="P441" s="144"/>
      <c r="Q441" s="144"/>
      <c r="R441" s="144"/>
      <c r="S441" s="144"/>
      <c r="T441" s="144"/>
      <c r="U441" s="144"/>
      <c r="V441" s="144"/>
      <c r="W441" s="144"/>
      <c r="X441" s="144"/>
      <c r="Y441" s="144"/>
      <c r="Z441" s="144"/>
      <c r="AA441" s="144"/>
      <c r="AB441" s="144"/>
      <c r="AC441" s="144"/>
      <c r="AD441" s="144"/>
      <c r="AE441" s="144"/>
      <c r="AF441" s="144"/>
    </row>
    <row r="442" ht="16.5" customHeight="1">
      <c r="A442" s="144"/>
      <c r="B442" s="144"/>
      <c r="C442" s="144"/>
      <c r="D442" s="144"/>
      <c r="E442" s="144"/>
      <c r="F442" s="144"/>
      <c r="G442" s="144"/>
      <c r="H442" s="144"/>
      <c r="I442" s="496"/>
      <c r="J442" s="496"/>
      <c r="K442" s="496"/>
      <c r="L442" s="496"/>
      <c r="M442" s="144"/>
      <c r="N442" s="144"/>
      <c r="O442" s="144"/>
      <c r="P442" s="144"/>
      <c r="Q442" s="144"/>
      <c r="R442" s="144"/>
      <c r="S442" s="144"/>
      <c r="T442" s="144"/>
      <c r="U442" s="144"/>
      <c r="V442" s="144"/>
      <c r="W442" s="144"/>
      <c r="X442" s="144"/>
      <c r="Y442" s="144"/>
      <c r="Z442" s="144"/>
      <c r="AA442" s="144"/>
      <c r="AB442" s="144"/>
      <c r="AC442" s="144"/>
      <c r="AD442" s="144"/>
      <c r="AE442" s="144"/>
      <c r="AF442" s="144"/>
    </row>
    <row r="443" ht="16.5" customHeight="1">
      <c r="A443" s="144"/>
      <c r="B443" s="144"/>
      <c r="C443" s="144"/>
      <c r="D443" s="144"/>
      <c r="E443" s="144"/>
      <c r="F443" s="144"/>
      <c r="G443" s="144"/>
      <c r="H443" s="144"/>
      <c r="I443" s="496"/>
      <c r="J443" s="496"/>
      <c r="K443" s="496"/>
      <c r="L443" s="496"/>
      <c r="M443" s="144"/>
      <c r="N443" s="144"/>
      <c r="O443" s="144"/>
      <c r="P443" s="144"/>
      <c r="Q443" s="144"/>
      <c r="R443" s="144"/>
      <c r="S443" s="144"/>
      <c r="T443" s="144"/>
      <c r="U443" s="144"/>
      <c r="V443" s="144"/>
      <c r="W443" s="144"/>
      <c r="X443" s="144"/>
      <c r="Y443" s="144"/>
      <c r="Z443" s="144"/>
      <c r="AA443" s="144"/>
      <c r="AB443" s="144"/>
      <c r="AC443" s="144"/>
      <c r="AD443" s="144"/>
      <c r="AE443" s="144"/>
      <c r="AF443" s="144"/>
    </row>
    <row r="444" ht="16.5" customHeight="1">
      <c r="A444" s="144"/>
      <c r="B444" s="144"/>
      <c r="C444" s="144"/>
      <c r="D444" s="144"/>
      <c r="E444" s="144"/>
      <c r="F444" s="144"/>
      <c r="G444" s="144"/>
      <c r="H444" s="144"/>
      <c r="I444" s="496"/>
      <c r="J444" s="496"/>
      <c r="K444" s="496"/>
      <c r="L444" s="496"/>
      <c r="M444" s="144"/>
      <c r="N444" s="144"/>
      <c r="O444" s="144"/>
      <c r="P444" s="144"/>
      <c r="Q444" s="144"/>
      <c r="R444" s="144"/>
      <c r="S444" s="144"/>
      <c r="T444" s="144"/>
      <c r="U444" s="144"/>
      <c r="V444" s="144"/>
      <c r="W444" s="144"/>
      <c r="X444" s="144"/>
      <c r="Y444" s="144"/>
      <c r="Z444" s="144"/>
      <c r="AA444" s="144"/>
      <c r="AB444" s="144"/>
      <c r="AC444" s="144"/>
      <c r="AD444" s="144"/>
      <c r="AE444" s="144"/>
      <c r="AF444" s="144"/>
    </row>
    <row r="445" ht="16.5" customHeight="1">
      <c r="A445" s="144"/>
      <c r="B445" s="144"/>
      <c r="C445" s="144"/>
      <c r="D445" s="144"/>
      <c r="E445" s="144"/>
      <c r="F445" s="144"/>
      <c r="G445" s="144"/>
      <c r="H445" s="144"/>
      <c r="I445" s="496"/>
      <c r="J445" s="496"/>
      <c r="K445" s="496"/>
      <c r="L445" s="496"/>
      <c r="M445" s="144"/>
      <c r="N445" s="144"/>
      <c r="O445" s="144"/>
      <c r="P445" s="144"/>
      <c r="Q445" s="144"/>
      <c r="R445" s="144"/>
      <c r="S445" s="144"/>
      <c r="T445" s="144"/>
      <c r="U445" s="144"/>
      <c r="V445" s="144"/>
      <c r="W445" s="144"/>
      <c r="X445" s="144"/>
      <c r="Y445" s="144"/>
      <c r="Z445" s="144"/>
      <c r="AA445" s="144"/>
      <c r="AB445" s="144"/>
      <c r="AC445" s="144"/>
      <c r="AD445" s="144"/>
      <c r="AE445" s="144"/>
      <c r="AF445" s="144"/>
    </row>
    <row r="446" ht="16.5" customHeight="1">
      <c r="A446" s="144"/>
      <c r="B446" s="144"/>
      <c r="C446" s="144"/>
      <c r="D446" s="144"/>
      <c r="E446" s="144"/>
      <c r="F446" s="144"/>
      <c r="G446" s="144"/>
      <c r="H446" s="144"/>
      <c r="I446" s="496"/>
      <c r="J446" s="496"/>
      <c r="K446" s="496"/>
      <c r="L446" s="496"/>
      <c r="M446" s="144"/>
      <c r="N446" s="144"/>
      <c r="O446" s="144"/>
      <c r="P446" s="144"/>
      <c r="Q446" s="144"/>
      <c r="R446" s="144"/>
      <c r="S446" s="144"/>
      <c r="T446" s="144"/>
      <c r="U446" s="144"/>
      <c r="V446" s="144"/>
      <c r="W446" s="144"/>
      <c r="X446" s="144"/>
      <c r="Y446" s="144"/>
      <c r="Z446" s="144"/>
      <c r="AA446" s="144"/>
      <c r="AB446" s="144"/>
      <c r="AC446" s="144"/>
      <c r="AD446" s="144"/>
      <c r="AE446" s="144"/>
      <c r="AF446" s="144"/>
    </row>
    <row r="447" ht="16.5" customHeight="1">
      <c r="A447" s="144"/>
      <c r="B447" s="144"/>
      <c r="C447" s="144"/>
      <c r="D447" s="144"/>
      <c r="E447" s="144"/>
      <c r="F447" s="144"/>
      <c r="G447" s="144"/>
      <c r="H447" s="144"/>
      <c r="I447" s="496"/>
      <c r="J447" s="496"/>
      <c r="K447" s="496"/>
      <c r="L447" s="496"/>
      <c r="M447" s="144"/>
      <c r="N447" s="144"/>
      <c r="O447" s="144"/>
      <c r="P447" s="144"/>
      <c r="Q447" s="144"/>
      <c r="R447" s="144"/>
      <c r="S447" s="144"/>
      <c r="T447" s="144"/>
      <c r="U447" s="144"/>
      <c r="V447" s="144"/>
      <c r="W447" s="144"/>
      <c r="X447" s="144"/>
      <c r="Y447" s="144"/>
      <c r="Z447" s="144"/>
      <c r="AA447" s="144"/>
      <c r="AB447" s="144"/>
      <c r="AC447" s="144"/>
      <c r="AD447" s="144"/>
      <c r="AE447" s="144"/>
      <c r="AF447" s="144"/>
    </row>
    <row r="448" ht="16.5" customHeight="1">
      <c r="A448" s="144"/>
      <c r="B448" s="144"/>
      <c r="C448" s="144"/>
      <c r="D448" s="144"/>
      <c r="E448" s="144"/>
      <c r="F448" s="144"/>
      <c r="G448" s="144"/>
      <c r="H448" s="144"/>
      <c r="I448" s="496"/>
      <c r="J448" s="496"/>
      <c r="K448" s="496"/>
      <c r="L448" s="496"/>
      <c r="M448" s="144"/>
      <c r="N448" s="144"/>
      <c r="O448" s="144"/>
      <c r="P448" s="144"/>
      <c r="Q448" s="144"/>
      <c r="R448" s="144"/>
      <c r="S448" s="144"/>
      <c r="T448" s="144"/>
      <c r="U448" s="144"/>
      <c r="V448" s="144"/>
      <c r="W448" s="144"/>
      <c r="X448" s="144"/>
      <c r="Y448" s="144"/>
      <c r="Z448" s="144"/>
      <c r="AA448" s="144"/>
      <c r="AB448" s="144"/>
      <c r="AC448" s="144"/>
      <c r="AD448" s="144"/>
      <c r="AE448" s="144"/>
      <c r="AF448" s="144"/>
    </row>
    <row r="449" ht="16.5" customHeight="1">
      <c r="A449" s="144"/>
      <c r="B449" s="144"/>
      <c r="C449" s="144"/>
      <c r="D449" s="144"/>
      <c r="E449" s="144"/>
      <c r="F449" s="144"/>
      <c r="G449" s="144"/>
      <c r="H449" s="144"/>
      <c r="I449" s="496"/>
      <c r="J449" s="496"/>
      <c r="K449" s="496"/>
      <c r="L449" s="496"/>
      <c r="M449" s="144"/>
      <c r="N449" s="144"/>
      <c r="O449" s="144"/>
      <c r="P449" s="144"/>
      <c r="Q449" s="144"/>
      <c r="R449" s="144"/>
      <c r="S449" s="144"/>
      <c r="T449" s="144"/>
      <c r="U449" s="144"/>
      <c r="V449" s="144"/>
      <c r="W449" s="144"/>
      <c r="X449" s="144"/>
      <c r="Y449" s="144"/>
      <c r="Z449" s="144"/>
      <c r="AA449" s="144"/>
      <c r="AB449" s="144"/>
      <c r="AC449" s="144"/>
      <c r="AD449" s="144"/>
      <c r="AE449" s="144"/>
      <c r="AF449" s="144"/>
    </row>
    <row r="450" ht="16.5" customHeight="1">
      <c r="A450" s="144"/>
      <c r="B450" s="144"/>
      <c r="C450" s="144"/>
      <c r="D450" s="144"/>
      <c r="E450" s="144"/>
      <c r="F450" s="144"/>
      <c r="G450" s="144"/>
      <c r="H450" s="144"/>
      <c r="I450" s="496"/>
      <c r="J450" s="496"/>
      <c r="K450" s="496"/>
      <c r="L450" s="496"/>
      <c r="M450" s="144"/>
      <c r="N450" s="144"/>
      <c r="O450" s="144"/>
      <c r="P450" s="144"/>
      <c r="Q450" s="144"/>
      <c r="R450" s="144"/>
      <c r="S450" s="144"/>
      <c r="T450" s="144"/>
      <c r="U450" s="144"/>
      <c r="V450" s="144"/>
      <c r="W450" s="144"/>
      <c r="X450" s="144"/>
      <c r="Y450" s="144"/>
      <c r="Z450" s="144"/>
      <c r="AA450" s="144"/>
      <c r="AB450" s="144"/>
      <c r="AC450" s="144"/>
      <c r="AD450" s="144"/>
      <c r="AE450" s="144"/>
      <c r="AF450" s="144"/>
    </row>
    <row r="451" ht="16.5" customHeight="1">
      <c r="A451" s="144"/>
      <c r="B451" s="144"/>
      <c r="C451" s="144"/>
      <c r="D451" s="144"/>
      <c r="E451" s="144"/>
      <c r="F451" s="144"/>
      <c r="G451" s="144"/>
      <c r="H451" s="144"/>
      <c r="I451" s="496"/>
      <c r="J451" s="496"/>
      <c r="K451" s="496"/>
      <c r="L451" s="496"/>
      <c r="M451" s="144"/>
      <c r="N451" s="144"/>
      <c r="O451" s="144"/>
      <c r="P451" s="144"/>
      <c r="Q451" s="144"/>
      <c r="R451" s="144"/>
      <c r="S451" s="144"/>
      <c r="T451" s="144"/>
      <c r="U451" s="144"/>
      <c r="V451" s="144"/>
      <c r="W451" s="144"/>
      <c r="X451" s="144"/>
      <c r="Y451" s="144"/>
      <c r="Z451" s="144"/>
      <c r="AA451" s="144"/>
      <c r="AB451" s="144"/>
      <c r="AC451" s="144"/>
      <c r="AD451" s="144"/>
      <c r="AE451" s="144"/>
      <c r="AF451" s="144"/>
    </row>
    <row r="452" ht="16.5" customHeight="1">
      <c r="A452" s="144"/>
      <c r="B452" s="144"/>
      <c r="C452" s="144"/>
      <c r="D452" s="144"/>
      <c r="E452" s="144"/>
      <c r="F452" s="144"/>
      <c r="G452" s="144"/>
      <c r="H452" s="144"/>
      <c r="I452" s="496"/>
      <c r="J452" s="496"/>
      <c r="K452" s="496"/>
      <c r="L452" s="496"/>
      <c r="M452" s="144"/>
      <c r="N452" s="144"/>
      <c r="O452" s="144"/>
      <c r="P452" s="144"/>
      <c r="Q452" s="144"/>
      <c r="R452" s="144"/>
      <c r="S452" s="144"/>
      <c r="T452" s="144"/>
      <c r="U452" s="144"/>
      <c r="V452" s="144"/>
      <c r="W452" s="144"/>
      <c r="X452" s="144"/>
      <c r="Y452" s="144"/>
      <c r="Z452" s="144"/>
      <c r="AA452" s="144"/>
      <c r="AB452" s="144"/>
      <c r="AC452" s="144"/>
      <c r="AD452" s="144"/>
      <c r="AE452" s="144"/>
      <c r="AF452" s="144"/>
    </row>
    <row r="453" ht="16.5" customHeight="1">
      <c r="A453" s="144"/>
      <c r="B453" s="144"/>
      <c r="C453" s="144"/>
      <c r="D453" s="144"/>
      <c r="E453" s="144"/>
      <c r="F453" s="144"/>
      <c r="G453" s="144"/>
      <c r="H453" s="144"/>
      <c r="I453" s="496"/>
      <c r="J453" s="496"/>
      <c r="K453" s="496"/>
      <c r="L453" s="496"/>
      <c r="M453" s="144"/>
      <c r="N453" s="144"/>
      <c r="O453" s="144"/>
      <c r="P453" s="144"/>
      <c r="Q453" s="144"/>
      <c r="R453" s="144"/>
      <c r="S453" s="144"/>
      <c r="T453" s="144"/>
      <c r="U453" s="144"/>
      <c r="V453" s="144"/>
      <c r="W453" s="144"/>
      <c r="X453" s="144"/>
      <c r="Y453" s="144"/>
      <c r="Z453" s="144"/>
      <c r="AA453" s="144"/>
      <c r="AB453" s="144"/>
      <c r="AC453" s="144"/>
      <c r="AD453" s="144"/>
      <c r="AE453" s="144"/>
      <c r="AF453" s="144"/>
    </row>
    <row r="454" ht="16.5" customHeight="1">
      <c r="A454" s="144"/>
      <c r="B454" s="144"/>
      <c r="C454" s="144"/>
      <c r="D454" s="144"/>
      <c r="E454" s="144"/>
      <c r="F454" s="144"/>
      <c r="G454" s="144"/>
      <c r="H454" s="144"/>
      <c r="I454" s="496"/>
      <c r="J454" s="496"/>
      <c r="K454" s="496"/>
      <c r="L454" s="496"/>
      <c r="M454" s="144"/>
      <c r="N454" s="144"/>
      <c r="O454" s="144"/>
      <c r="P454" s="144"/>
      <c r="Q454" s="144"/>
      <c r="R454" s="144"/>
      <c r="S454" s="144"/>
      <c r="T454" s="144"/>
      <c r="U454" s="144"/>
      <c r="V454" s="144"/>
      <c r="W454" s="144"/>
      <c r="X454" s="144"/>
      <c r="Y454" s="144"/>
      <c r="Z454" s="144"/>
      <c r="AA454" s="144"/>
      <c r="AB454" s="144"/>
      <c r="AC454" s="144"/>
      <c r="AD454" s="144"/>
      <c r="AE454" s="144"/>
      <c r="AF454" s="144"/>
    </row>
    <row r="455" ht="16.5" customHeight="1">
      <c r="A455" s="144"/>
      <c r="B455" s="144"/>
      <c r="C455" s="144"/>
      <c r="D455" s="144"/>
      <c r="E455" s="144"/>
      <c r="F455" s="144"/>
      <c r="G455" s="144"/>
      <c r="H455" s="144"/>
      <c r="I455" s="496"/>
      <c r="J455" s="496"/>
      <c r="K455" s="496"/>
      <c r="L455" s="496"/>
      <c r="M455" s="144"/>
      <c r="N455" s="144"/>
      <c r="O455" s="144"/>
      <c r="P455" s="144"/>
      <c r="Q455" s="144"/>
      <c r="R455" s="144"/>
      <c r="S455" s="144"/>
      <c r="T455" s="144"/>
      <c r="U455" s="144"/>
      <c r="V455" s="144"/>
      <c r="W455" s="144"/>
      <c r="X455" s="144"/>
      <c r="Y455" s="144"/>
      <c r="Z455" s="144"/>
      <c r="AA455" s="144"/>
      <c r="AB455" s="144"/>
      <c r="AC455" s="144"/>
      <c r="AD455" s="144"/>
      <c r="AE455" s="144"/>
      <c r="AF455" s="144"/>
    </row>
    <row r="456" ht="16.5" customHeight="1">
      <c r="A456" s="144"/>
      <c r="B456" s="144"/>
      <c r="C456" s="144"/>
      <c r="D456" s="144"/>
      <c r="E456" s="144"/>
      <c r="F456" s="144"/>
      <c r="G456" s="144"/>
      <c r="H456" s="144"/>
      <c r="I456" s="496"/>
      <c r="J456" s="496"/>
      <c r="K456" s="496"/>
      <c r="L456" s="496"/>
      <c r="M456" s="144"/>
      <c r="N456" s="144"/>
      <c r="O456" s="144"/>
      <c r="P456" s="144"/>
      <c r="Q456" s="144"/>
      <c r="R456" s="144"/>
      <c r="S456" s="144"/>
      <c r="T456" s="144"/>
      <c r="U456" s="144"/>
      <c r="V456" s="144"/>
      <c r="W456" s="144"/>
      <c r="X456" s="144"/>
      <c r="Y456" s="144"/>
      <c r="Z456" s="144"/>
      <c r="AA456" s="144"/>
      <c r="AB456" s="144"/>
      <c r="AC456" s="144"/>
      <c r="AD456" s="144"/>
      <c r="AE456" s="144"/>
      <c r="AF456" s="144"/>
    </row>
    <row r="457" ht="16.5" customHeight="1">
      <c r="A457" s="144"/>
      <c r="B457" s="144"/>
      <c r="C457" s="144"/>
      <c r="D457" s="144"/>
      <c r="E457" s="144"/>
      <c r="F457" s="144"/>
      <c r="G457" s="144"/>
      <c r="H457" s="144"/>
      <c r="I457" s="496"/>
      <c r="J457" s="496"/>
      <c r="K457" s="496"/>
      <c r="L457" s="496"/>
      <c r="M457" s="144"/>
      <c r="N457" s="144"/>
      <c r="O457" s="144"/>
      <c r="P457" s="144"/>
      <c r="Q457" s="144"/>
      <c r="R457" s="144"/>
      <c r="S457" s="144"/>
      <c r="T457" s="144"/>
      <c r="U457" s="144"/>
      <c r="V457" s="144"/>
      <c r="W457" s="144"/>
      <c r="X457" s="144"/>
      <c r="Y457" s="144"/>
      <c r="Z457" s="144"/>
      <c r="AA457" s="144"/>
      <c r="AB457" s="144"/>
      <c r="AC457" s="144"/>
      <c r="AD457" s="144"/>
      <c r="AE457" s="144"/>
      <c r="AF457" s="144"/>
    </row>
    <row r="458" ht="16.5" customHeight="1">
      <c r="A458" s="144"/>
      <c r="B458" s="144"/>
      <c r="C458" s="144"/>
      <c r="D458" s="144"/>
      <c r="E458" s="144"/>
      <c r="F458" s="144"/>
      <c r="G458" s="144"/>
      <c r="H458" s="144"/>
      <c r="I458" s="496"/>
      <c r="J458" s="496"/>
      <c r="K458" s="496"/>
      <c r="L458" s="496"/>
      <c r="M458" s="144"/>
      <c r="N458" s="144"/>
      <c r="O458" s="144"/>
      <c r="P458" s="144"/>
      <c r="Q458" s="144"/>
      <c r="R458" s="144"/>
      <c r="S458" s="144"/>
      <c r="T458" s="144"/>
      <c r="U458" s="144"/>
      <c r="V458" s="144"/>
      <c r="W458" s="144"/>
      <c r="X458" s="144"/>
      <c r="Y458" s="144"/>
      <c r="Z458" s="144"/>
      <c r="AA458" s="144"/>
      <c r="AB458" s="144"/>
      <c r="AC458" s="144"/>
      <c r="AD458" s="144"/>
      <c r="AE458" s="144"/>
      <c r="AF458" s="144"/>
    </row>
    <row r="459" ht="16.5" customHeight="1">
      <c r="A459" s="144"/>
      <c r="B459" s="144"/>
      <c r="C459" s="144"/>
      <c r="D459" s="144"/>
      <c r="E459" s="144"/>
      <c r="F459" s="144"/>
      <c r="G459" s="144"/>
      <c r="H459" s="144"/>
      <c r="I459" s="496"/>
      <c r="J459" s="496"/>
      <c r="K459" s="496"/>
      <c r="L459" s="496"/>
      <c r="M459" s="144"/>
      <c r="N459" s="144"/>
      <c r="O459" s="144"/>
      <c r="P459" s="144"/>
      <c r="Q459" s="144"/>
      <c r="R459" s="144"/>
      <c r="S459" s="144"/>
      <c r="T459" s="144"/>
      <c r="U459" s="144"/>
      <c r="V459" s="144"/>
      <c r="W459" s="144"/>
      <c r="X459" s="144"/>
      <c r="Y459" s="144"/>
      <c r="Z459" s="144"/>
      <c r="AA459" s="144"/>
      <c r="AB459" s="144"/>
      <c r="AC459" s="144"/>
      <c r="AD459" s="144"/>
      <c r="AE459" s="144"/>
      <c r="AF459" s="144"/>
    </row>
    <row r="460" ht="16.5" customHeight="1">
      <c r="A460" s="144"/>
      <c r="B460" s="144"/>
      <c r="C460" s="144"/>
      <c r="D460" s="144"/>
      <c r="E460" s="144"/>
      <c r="F460" s="144"/>
      <c r="G460" s="144"/>
      <c r="H460" s="144"/>
      <c r="I460" s="496"/>
      <c r="J460" s="496"/>
      <c r="K460" s="496"/>
      <c r="L460" s="496"/>
      <c r="M460" s="144"/>
      <c r="N460" s="144"/>
      <c r="O460" s="144"/>
      <c r="P460" s="144"/>
      <c r="Q460" s="144"/>
      <c r="R460" s="144"/>
      <c r="S460" s="144"/>
      <c r="T460" s="144"/>
      <c r="U460" s="144"/>
      <c r="V460" s="144"/>
      <c r="W460" s="144"/>
      <c r="X460" s="144"/>
      <c r="Y460" s="144"/>
      <c r="Z460" s="144"/>
      <c r="AA460" s="144"/>
      <c r="AB460" s="144"/>
      <c r="AC460" s="144"/>
      <c r="AD460" s="144"/>
      <c r="AE460" s="144"/>
      <c r="AF460" s="144"/>
    </row>
    <row r="461" ht="16.5" customHeight="1">
      <c r="A461" s="144"/>
      <c r="B461" s="144"/>
      <c r="C461" s="144"/>
      <c r="D461" s="144"/>
      <c r="E461" s="144"/>
      <c r="F461" s="144"/>
      <c r="G461" s="144"/>
      <c r="H461" s="144"/>
      <c r="I461" s="496"/>
      <c r="J461" s="496"/>
      <c r="K461" s="496"/>
      <c r="L461" s="496"/>
      <c r="M461" s="144"/>
      <c r="N461" s="144"/>
      <c r="O461" s="144"/>
      <c r="P461" s="144"/>
      <c r="Q461" s="144"/>
      <c r="R461" s="144"/>
      <c r="S461" s="144"/>
      <c r="T461" s="144"/>
      <c r="U461" s="144"/>
      <c r="V461" s="144"/>
      <c r="W461" s="144"/>
      <c r="X461" s="144"/>
      <c r="Y461" s="144"/>
      <c r="Z461" s="144"/>
      <c r="AA461" s="144"/>
      <c r="AB461" s="144"/>
      <c r="AC461" s="144"/>
      <c r="AD461" s="144"/>
      <c r="AE461" s="144"/>
      <c r="AF461" s="144"/>
    </row>
    <row r="462" ht="16.5" customHeight="1">
      <c r="A462" s="144"/>
      <c r="B462" s="144"/>
      <c r="C462" s="144"/>
      <c r="D462" s="144"/>
      <c r="E462" s="144"/>
      <c r="F462" s="144"/>
      <c r="G462" s="144"/>
      <c r="H462" s="144"/>
      <c r="I462" s="496"/>
      <c r="J462" s="496"/>
      <c r="K462" s="496"/>
      <c r="L462" s="496"/>
      <c r="M462" s="144"/>
      <c r="N462" s="144"/>
      <c r="O462" s="144"/>
      <c r="P462" s="144"/>
      <c r="Q462" s="144"/>
      <c r="R462" s="144"/>
      <c r="S462" s="144"/>
      <c r="T462" s="144"/>
      <c r="U462" s="144"/>
      <c r="V462" s="144"/>
      <c r="W462" s="144"/>
      <c r="X462" s="144"/>
      <c r="Y462" s="144"/>
      <c r="Z462" s="144"/>
      <c r="AA462" s="144"/>
      <c r="AB462" s="144"/>
      <c r="AC462" s="144"/>
      <c r="AD462" s="144"/>
      <c r="AE462" s="144"/>
      <c r="AF462" s="144"/>
    </row>
    <row r="463" ht="16.5" customHeight="1">
      <c r="A463" s="144"/>
      <c r="B463" s="144"/>
      <c r="C463" s="144"/>
      <c r="D463" s="144"/>
      <c r="E463" s="144"/>
      <c r="F463" s="144"/>
      <c r="G463" s="144"/>
      <c r="H463" s="144"/>
      <c r="I463" s="496"/>
      <c r="J463" s="496"/>
      <c r="K463" s="496"/>
      <c r="L463" s="496"/>
      <c r="M463" s="144"/>
      <c r="N463" s="144"/>
      <c r="O463" s="144"/>
      <c r="P463" s="144"/>
      <c r="Q463" s="144"/>
      <c r="R463" s="144"/>
      <c r="S463" s="144"/>
      <c r="T463" s="144"/>
      <c r="U463" s="144"/>
      <c r="V463" s="144"/>
      <c r="W463" s="144"/>
      <c r="X463" s="144"/>
      <c r="Y463" s="144"/>
      <c r="Z463" s="144"/>
      <c r="AA463" s="144"/>
      <c r="AB463" s="144"/>
      <c r="AC463" s="144"/>
      <c r="AD463" s="144"/>
      <c r="AE463" s="144"/>
      <c r="AF463" s="144"/>
    </row>
    <row r="464" ht="16.5" customHeight="1">
      <c r="A464" s="144"/>
      <c r="B464" s="144"/>
      <c r="C464" s="144"/>
      <c r="D464" s="144"/>
      <c r="E464" s="144"/>
      <c r="F464" s="144"/>
      <c r="G464" s="144"/>
      <c r="H464" s="144"/>
      <c r="I464" s="496"/>
      <c r="J464" s="496"/>
      <c r="K464" s="496"/>
      <c r="L464" s="496"/>
      <c r="M464" s="144"/>
      <c r="N464" s="144"/>
      <c r="O464" s="144"/>
      <c r="P464" s="144"/>
      <c r="Q464" s="144"/>
      <c r="R464" s="144"/>
      <c r="S464" s="144"/>
      <c r="T464" s="144"/>
      <c r="U464" s="144"/>
      <c r="V464" s="144"/>
      <c r="W464" s="144"/>
      <c r="X464" s="144"/>
      <c r="Y464" s="144"/>
      <c r="Z464" s="144"/>
      <c r="AA464" s="144"/>
      <c r="AB464" s="144"/>
      <c r="AC464" s="144"/>
      <c r="AD464" s="144"/>
      <c r="AE464" s="144"/>
      <c r="AF464" s="144"/>
    </row>
    <row r="465" ht="16.5" customHeight="1">
      <c r="A465" s="144"/>
      <c r="B465" s="144"/>
      <c r="C465" s="144"/>
      <c r="D465" s="144"/>
      <c r="E465" s="144"/>
      <c r="F465" s="144"/>
      <c r="G465" s="144"/>
      <c r="H465" s="144"/>
      <c r="I465" s="496"/>
      <c r="J465" s="496"/>
      <c r="K465" s="496"/>
      <c r="L465" s="496"/>
      <c r="M465" s="144"/>
      <c r="N465" s="144"/>
      <c r="O465" s="144"/>
      <c r="P465" s="144"/>
      <c r="Q465" s="144"/>
      <c r="R465" s="144"/>
      <c r="S465" s="144"/>
      <c r="T465" s="144"/>
      <c r="U465" s="144"/>
      <c r="V465" s="144"/>
      <c r="W465" s="144"/>
      <c r="X465" s="144"/>
      <c r="Y465" s="144"/>
      <c r="Z465" s="144"/>
      <c r="AA465" s="144"/>
      <c r="AB465" s="144"/>
      <c r="AC465" s="144"/>
      <c r="AD465" s="144"/>
      <c r="AE465" s="144"/>
      <c r="AF465" s="144"/>
    </row>
    <row r="466" ht="16.5" customHeight="1">
      <c r="A466" s="144"/>
      <c r="B466" s="144"/>
      <c r="C466" s="144"/>
      <c r="D466" s="144"/>
      <c r="E466" s="144"/>
      <c r="F466" s="144"/>
      <c r="G466" s="144"/>
      <c r="H466" s="144"/>
      <c r="I466" s="496"/>
      <c r="J466" s="496"/>
      <c r="K466" s="496"/>
      <c r="L466" s="496"/>
      <c r="M466" s="144"/>
      <c r="N466" s="144"/>
      <c r="O466" s="144"/>
      <c r="P466" s="144"/>
      <c r="Q466" s="144"/>
      <c r="R466" s="144"/>
      <c r="S466" s="144"/>
      <c r="T466" s="144"/>
      <c r="U466" s="144"/>
      <c r="V466" s="144"/>
      <c r="W466" s="144"/>
      <c r="X466" s="144"/>
      <c r="Y466" s="144"/>
      <c r="Z466" s="144"/>
      <c r="AA466" s="144"/>
      <c r="AB466" s="144"/>
      <c r="AC466" s="144"/>
      <c r="AD466" s="144"/>
      <c r="AE466" s="144"/>
      <c r="AF466" s="144"/>
    </row>
    <row r="467" ht="16.5" customHeight="1">
      <c r="A467" s="144"/>
      <c r="B467" s="144"/>
      <c r="C467" s="144"/>
      <c r="D467" s="144"/>
      <c r="E467" s="144"/>
      <c r="F467" s="144"/>
      <c r="G467" s="144"/>
      <c r="H467" s="144"/>
      <c r="I467" s="496"/>
      <c r="J467" s="496"/>
      <c r="K467" s="496"/>
      <c r="L467" s="496"/>
      <c r="M467" s="144"/>
      <c r="N467" s="144"/>
      <c r="O467" s="144"/>
      <c r="P467" s="144"/>
      <c r="Q467" s="144"/>
      <c r="R467" s="144"/>
      <c r="S467" s="144"/>
      <c r="T467" s="144"/>
      <c r="U467" s="144"/>
      <c r="V467" s="144"/>
      <c r="W467" s="144"/>
      <c r="X467" s="144"/>
      <c r="Y467" s="144"/>
      <c r="Z467" s="144"/>
      <c r="AA467" s="144"/>
      <c r="AB467" s="144"/>
      <c r="AC467" s="144"/>
      <c r="AD467" s="144"/>
      <c r="AE467" s="144"/>
      <c r="AF467" s="144"/>
    </row>
    <row r="468" ht="16.5" customHeight="1">
      <c r="A468" s="144"/>
      <c r="B468" s="144"/>
      <c r="C468" s="144"/>
      <c r="D468" s="144"/>
      <c r="E468" s="144"/>
      <c r="F468" s="144"/>
      <c r="G468" s="144"/>
      <c r="H468" s="144"/>
      <c r="I468" s="496"/>
      <c r="J468" s="496"/>
      <c r="K468" s="496"/>
      <c r="L468" s="496"/>
      <c r="M468" s="144"/>
      <c r="N468" s="144"/>
      <c r="O468" s="144"/>
      <c r="P468" s="144"/>
      <c r="Q468" s="144"/>
      <c r="R468" s="144"/>
      <c r="S468" s="144"/>
      <c r="T468" s="144"/>
      <c r="U468" s="144"/>
      <c r="V468" s="144"/>
      <c r="W468" s="144"/>
      <c r="X468" s="144"/>
      <c r="Y468" s="144"/>
      <c r="Z468" s="144"/>
      <c r="AA468" s="144"/>
      <c r="AB468" s="144"/>
      <c r="AC468" s="144"/>
      <c r="AD468" s="144"/>
      <c r="AE468" s="144"/>
      <c r="AF468" s="144"/>
    </row>
    <row r="469" ht="16.5" customHeight="1">
      <c r="A469" s="144"/>
      <c r="B469" s="144"/>
      <c r="C469" s="144"/>
      <c r="D469" s="144"/>
      <c r="E469" s="144"/>
      <c r="F469" s="144"/>
      <c r="G469" s="144"/>
      <c r="H469" s="144"/>
      <c r="I469" s="496"/>
      <c r="J469" s="496"/>
      <c r="K469" s="496"/>
      <c r="L469" s="496"/>
      <c r="M469" s="144"/>
      <c r="N469" s="144"/>
      <c r="O469" s="144"/>
      <c r="P469" s="144"/>
      <c r="Q469" s="144"/>
      <c r="R469" s="144"/>
      <c r="S469" s="144"/>
      <c r="T469" s="144"/>
      <c r="U469" s="144"/>
      <c r="V469" s="144"/>
      <c r="W469" s="144"/>
      <c r="X469" s="144"/>
      <c r="Y469" s="144"/>
      <c r="Z469" s="144"/>
      <c r="AA469" s="144"/>
      <c r="AB469" s="144"/>
      <c r="AC469" s="144"/>
      <c r="AD469" s="144"/>
      <c r="AE469" s="144"/>
      <c r="AF469" s="144"/>
    </row>
    <row r="470" ht="16.5" customHeight="1">
      <c r="A470" s="144"/>
      <c r="B470" s="144"/>
      <c r="C470" s="144"/>
      <c r="D470" s="144"/>
      <c r="E470" s="144"/>
      <c r="F470" s="144"/>
      <c r="G470" s="144"/>
      <c r="H470" s="144"/>
      <c r="I470" s="496"/>
      <c r="J470" s="496"/>
      <c r="K470" s="496"/>
      <c r="L470" s="496"/>
      <c r="M470" s="144"/>
      <c r="N470" s="144"/>
      <c r="O470" s="144"/>
      <c r="P470" s="144"/>
      <c r="Q470" s="144"/>
      <c r="R470" s="144"/>
      <c r="S470" s="144"/>
      <c r="T470" s="144"/>
      <c r="U470" s="144"/>
      <c r="V470" s="144"/>
      <c r="W470" s="144"/>
      <c r="X470" s="144"/>
      <c r="Y470" s="144"/>
      <c r="Z470" s="144"/>
      <c r="AA470" s="144"/>
      <c r="AB470" s="144"/>
      <c r="AC470" s="144"/>
      <c r="AD470" s="144"/>
      <c r="AE470" s="144"/>
      <c r="AF470" s="144"/>
    </row>
    <row r="471" ht="16.5" customHeight="1">
      <c r="A471" s="144"/>
      <c r="B471" s="144"/>
      <c r="C471" s="144"/>
      <c r="D471" s="144"/>
      <c r="E471" s="144"/>
      <c r="F471" s="144"/>
      <c r="G471" s="144"/>
      <c r="H471" s="144"/>
      <c r="I471" s="496"/>
      <c r="J471" s="496"/>
      <c r="K471" s="496"/>
      <c r="L471" s="496"/>
      <c r="M471" s="144"/>
      <c r="N471" s="144"/>
      <c r="O471" s="144"/>
      <c r="P471" s="144"/>
      <c r="Q471" s="144"/>
      <c r="R471" s="144"/>
      <c r="S471" s="144"/>
      <c r="T471" s="144"/>
      <c r="U471" s="144"/>
      <c r="V471" s="144"/>
      <c r="W471" s="144"/>
      <c r="X471" s="144"/>
      <c r="Y471" s="144"/>
      <c r="Z471" s="144"/>
      <c r="AA471" s="144"/>
      <c r="AB471" s="144"/>
      <c r="AC471" s="144"/>
      <c r="AD471" s="144"/>
      <c r="AE471" s="144"/>
      <c r="AF471" s="144"/>
    </row>
    <row r="472" ht="16.5" customHeight="1">
      <c r="A472" s="144"/>
      <c r="B472" s="144"/>
      <c r="C472" s="144"/>
      <c r="D472" s="144"/>
      <c r="E472" s="144"/>
      <c r="F472" s="144"/>
      <c r="G472" s="144"/>
      <c r="H472" s="144"/>
      <c r="I472" s="496"/>
      <c r="J472" s="496"/>
      <c r="K472" s="496"/>
      <c r="L472" s="496"/>
      <c r="M472" s="144"/>
      <c r="N472" s="144"/>
      <c r="O472" s="144"/>
      <c r="P472" s="144"/>
      <c r="Q472" s="144"/>
      <c r="R472" s="144"/>
      <c r="S472" s="144"/>
      <c r="T472" s="144"/>
      <c r="U472" s="144"/>
      <c r="V472" s="144"/>
      <c r="W472" s="144"/>
      <c r="X472" s="144"/>
      <c r="Y472" s="144"/>
      <c r="Z472" s="144"/>
      <c r="AA472" s="144"/>
      <c r="AB472" s="144"/>
      <c r="AC472" s="144"/>
      <c r="AD472" s="144"/>
      <c r="AE472" s="144"/>
      <c r="AF472" s="144"/>
    </row>
    <row r="473" ht="16.5" customHeight="1">
      <c r="A473" s="144"/>
      <c r="B473" s="144"/>
      <c r="C473" s="144"/>
      <c r="D473" s="144"/>
      <c r="E473" s="144"/>
      <c r="F473" s="144"/>
      <c r="G473" s="144"/>
      <c r="H473" s="144"/>
      <c r="I473" s="496"/>
      <c r="J473" s="496"/>
      <c r="K473" s="496"/>
      <c r="L473" s="496"/>
      <c r="M473" s="144"/>
      <c r="N473" s="144"/>
      <c r="O473" s="144"/>
      <c r="P473" s="144"/>
      <c r="Q473" s="144"/>
      <c r="R473" s="144"/>
      <c r="S473" s="144"/>
      <c r="T473" s="144"/>
      <c r="U473" s="144"/>
      <c r="V473" s="144"/>
      <c r="W473" s="144"/>
      <c r="X473" s="144"/>
      <c r="Y473" s="144"/>
      <c r="Z473" s="144"/>
      <c r="AA473" s="144"/>
      <c r="AB473" s="144"/>
      <c r="AC473" s="144"/>
      <c r="AD473" s="144"/>
      <c r="AE473" s="144"/>
      <c r="AF473" s="144"/>
    </row>
    <row r="474" ht="16.5" customHeight="1">
      <c r="A474" s="144"/>
      <c r="B474" s="144"/>
      <c r="C474" s="144"/>
      <c r="D474" s="144"/>
      <c r="E474" s="144"/>
      <c r="F474" s="144"/>
      <c r="G474" s="144"/>
      <c r="H474" s="144"/>
      <c r="I474" s="496"/>
      <c r="J474" s="496"/>
      <c r="K474" s="496"/>
      <c r="L474" s="496"/>
      <c r="M474" s="144"/>
      <c r="N474" s="144"/>
      <c r="O474" s="144"/>
      <c r="P474" s="144"/>
      <c r="Q474" s="144"/>
      <c r="R474" s="144"/>
      <c r="S474" s="144"/>
      <c r="T474" s="144"/>
      <c r="U474" s="144"/>
      <c r="V474" s="144"/>
      <c r="W474" s="144"/>
      <c r="X474" s="144"/>
      <c r="Y474" s="144"/>
      <c r="Z474" s="144"/>
      <c r="AA474" s="144"/>
      <c r="AB474" s="144"/>
      <c r="AC474" s="144"/>
      <c r="AD474" s="144"/>
      <c r="AE474" s="144"/>
      <c r="AF474" s="144"/>
    </row>
    <row r="475" ht="16.5" customHeight="1">
      <c r="A475" s="144"/>
      <c r="B475" s="144"/>
      <c r="C475" s="144"/>
      <c r="D475" s="144"/>
      <c r="E475" s="144"/>
      <c r="F475" s="144"/>
      <c r="G475" s="144"/>
      <c r="H475" s="144"/>
      <c r="I475" s="496"/>
      <c r="J475" s="496"/>
      <c r="K475" s="496"/>
      <c r="L475" s="496"/>
      <c r="M475" s="144"/>
      <c r="N475" s="144"/>
      <c r="O475" s="144"/>
      <c r="P475" s="144"/>
      <c r="Q475" s="144"/>
      <c r="R475" s="144"/>
      <c r="S475" s="144"/>
      <c r="T475" s="144"/>
      <c r="U475" s="144"/>
      <c r="V475" s="144"/>
      <c r="W475" s="144"/>
      <c r="X475" s="144"/>
      <c r="Y475" s="144"/>
      <c r="Z475" s="144"/>
      <c r="AA475" s="144"/>
      <c r="AB475" s="144"/>
      <c r="AC475" s="144"/>
      <c r="AD475" s="144"/>
      <c r="AE475" s="144"/>
      <c r="AF475" s="144"/>
    </row>
    <row r="476" ht="16.5" customHeight="1">
      <c r="A476" s="144"/>
      <c r="B476" s="144"/>
      <c r="C476" s="144"/>
      <c r="D476" s="144"/>
      <c r="E476" s="144"/>
      <c r="F476" s="144"/>
      <c r="G476" s="144"/>
      <c r="H476" s="144"/>
      <c r="I476" s="496"/>
      <c r="J476" s="496"/>
      <c r="K476" s="496"/>
      <c r="L476" s="496"/>
      <c r="M476" s="144"/>
      <c r="N476" s="144"/>
      <c r="O476" s="144"/>
      <c r="P476" s="144"/>
      <c r="Q476" s="144"/>
      <c r="R476" s="144"/>
      <c r="S476" s="144"/>
      <c r="T476" s="144"/>
      <c r="U476" s="144"/>
      <c r="V476" s="144"/>
      <c r="W476" s="144"/>
      <c r="X476" s="144"/>
      <c r="Y476" s="144"/>
      <c r="Z476" s="144"/>
      <c r="AA476" s="144"/>
      <c r="AB476" s="144"/>
      <c r="AC476" s="144"/>
      <c r="AD476" s="144"/>
      <c r="AE476" s="144"/>
      <c r="AF476" s="144"/>
    </row>
    <row r="477" ht="16.5" customHeight="1">
      <c r="A477" s="144"/>
      <c r="B477" s="144"/>
      <c r="C477" s="144"/>
      <c r="D477" s="144"/>
      <c r="E477" s="144"/>
      <c r="F477" s="144"/>
      <c r="G477" s="144"/>
      <c r="H477" s="144"/>
      <c r="I477" s="496"/>
      <c r="J477" s="496"/>
      <c r="K477" s="496"/>
      <c r="L477" s="496"/>
      <c r="M477" s="144"/>
      <c r="N477" s="144"/>
      <c r="O477" s="144"/>
      <c r="P477" s="144"/>
      <c r="Q477" s="144"/>
      <c r="R477" s="144"/>
      <c r="S477" s="144"/>
      <c r="T477" s="144"/>
      <c r="U477" s="144"/>
      <c r="V477" s="144"/>
      <c r="W477" s="144"/>
      <c r="X477" s="144"/>
      <c r="Y477" s="144"/>
      <c r="Z477" s="144"/>
      <c r="AA477" s="144"/>
      <c r="AB477" s="144"/>
      <c r="AC477" s="144"/>
      <c r="AD477" s="144"/>
      <c r="AE477" s="144"/>
      <c r="AF477" s="144"/>
    </row>
    <row r="478" ht="16.5" customHeight="1">
      <c r="A478" s="144"/>
      <c r="B478" s="144"/>
      <c r="C478" s="144"/>
      <c r="D478" s="144"/>
      <c r="E478" s="144"/>
      <c r="F478" s="144"/>
      <c r="G478" s="144"/>
      <c r="H478" s="144"/>
      <c r="I478" s="496"/>
      <c r="J478" s="496"/>
      <c r="K478" s="496"/>
      <c r="L478" s="496"/>
      <c r="M478" s="144"/>
      <c r="N478" s="144"/>
      <c r="O478" s="144"/>
      <c r="P478" s="144"/>
      <c r="Q478" s="144"/>
      <c r="R478" s="144"/>
      <c r="S478" s="144"/>
      <c r="T478" s="144"/>
      <c r="U478" s="144"/>
      <c r="V478" s="144"/>
      <c r="W478" s="144"/>
      <c r="X478" s="144"/>
      <c r="Y478" s="144"/>
      <c r="Z478" s="144"/>
      <c r="AA478" s="144"/>
      <c r="AB478" s="144"/>
      <c r="AC478" s="144"/>
      <c r="AD478" s="144"/>
      <c r="AE478" s="144"/>
      <c r="AF478" s="144"/>
    </row>
    <row r="479" ht="16.5" customHeight="1">
      <c r="A479" s="144"/>
      <c r="B479" s="144"/>
      <c r="C479" s="144"/>
      <c r="D479" s="144"/>
      <c r="E479" s="144"/>
      <c r="F479" s="144"/>
      <c r="G479" s="144"/>
      <c r="H479" s="144"/>
      <c r="I479" s="496"/>
      <c r="J479" s="496"/>
      <c r="K479" s="496"/>
      <c r="L479" s="496"/>
      <c r="M479" s="144"/>
      <c r="N479" s="144"/>
      <c r="O479" s="144"/>
      <c r="P479" s="144"/>
      <c r="Q479" s="144"/>
      <c r="R479" s="144"/>
      <c r="S479" s="144"/>
      <c r="T479" s="144"/>
      <c r="U479" s="144"/>
      <c r="V479" s="144"/>
      <c r="W479" s="144"/>
      <c r="X479" s="144"/>
      <c r="Y479" s="144"/>
      <c r="Z479" s="144"/>
      <c r="AA479" s="144"/>
      <c r="AB479" s="144"/>
      <c r="AC479" s="144"/>
      <c r="AD479" s="144"/>
      <c r="AE479" s="144"/>
      <c r="AF479" s="144"/>
    </row>
    <row r="480" ht="16.5" customHeight="1">
      <c r="A480" s="144"/>
      <c r="B480" s="144"/>
      <c r="C480" s="144"/>
      <c r="D480" s="144"/>
      <c r="E480" s="144"/>
      <c r="F480" s="144"/>
      <c r="G480" s="144"/>
      <c r="H480" s="144"/>
      <c r="I480" s="496"/>
      <c r="J480" s="496"/>
      <c r="K480" s="496"/>
      <c r="L480" s="496"/>
      <c r="M480" s="144"/>
      <c r="N480" s="144"/>
      <c r="O480" s="144"/>
      <c r="P480" s="144"/>
      <c r="Q480" s="144"/>
      <c r="R480" s="144"/>
      <c r="S480" s="144"/>
      <c r="T480" s="144"/>
      <c r="U480" s="144"/>
      <c r="V480" s="144"/>
      <c r="W480" s="144"/>
      <c r="X480" s="144"/>
      <c r="Y480" s="144"/>
      <c r="Z480" s="144"/>
      <c r="AA480" s="144"/>
      <c r="AB480" s="144"/>
      <c r="AC480" s="144"/>
      <c r="AD480" s="144"/>
      <c r="AE480" s="144"/>
      <c r="AF480" s="144"/>
    </row>
    <row r="481" ht="16.5" customHeight="1">
      <c r="A481" s="144"/>
      <c r="B481" s="144"/>
      <c r="C481" s="144"/>
      <c r="D481" s="144"/>
      <c r="E481" s="144"/>
      <c r="F481" s="144"/>
      <c r="G481" s="144"/>
      <c r="H481" s="144"/>
      <c r="I481" s="496"/>
      <c r="J481" s="496"/>
      <c r="K481" s="496"/>
      <c r="L481" s="496"/>
      <c r="M481" s="144"/>
      <c r="N481" s="144"/>
      <c r="O481" s="144"/>
      <c r="P481" s="144"/>
      <c r="Q481" s="144"/>
      <c r="R481" s="144"/>
      <c r="S481" s="144"/>
      <c r="T481" s="144"/>
      <c r="U481" s="144"/>
      <c r="V481" s="144"/>
      <c r="W481" s="144"/>
      <c r="X481" s="144"/>
      <c r="Y481" s="144"/>
      <c r="Z481" s="144"/>
      <c r="AA481" s="144"/>
      <c r="AB481" s="144"/>
      <c r="AC481" s="144"/>
      <c r="AD481" s="144"/>
      <c r="AE481" s="144"/>
      <c r="AF481" s="144"/>
    </row>
    <row r="482" ht="16.5" customHeight="1">
      <c r="A482" s="144"/>
      <c r="B482" s="144"/>
      <c r="C482" s="144"/>
      <c r="D482" s="144"/>
      <c r="E482" s="144"/>
      <c r="F482" s="144"/>
      <c r="G482" s="144"/>
      <c r="H482" s="144"/>
      <c r="I482" s="496"/>
      <c r="J482" s="496"/>
      <c r="K482" s="496"/>
      <c r="L482" s="496"/>
      <c r="M482" s="144"/>
      <c r="N482" s="144"/>
      <c r="O482" s="144"/>
      <c r="P482" s="144"/>
      <c r="Q482" s="144"/>
      <c r="R482" s="144"/>
      <c r="S482" s="144"/>
      <c r="T482" s="144"/>
      <c r="U482" s="144"/>
      <c r="V482" s="144"/>
      <c r="W482" s="144"/>
      <c r="X482" s="144"/>
      <c r="Y482" s="144"/>
      <c r="Z482" s="144"/>
      <c r="AA482" s="144"/>
      <c r="AB482" s="144"/>
      <c r="AC482" s="144"/>
      <c r="AD482" s="144"/>
      <c r="AE482" s="144"/>
      <c r="AF482" s="144"/>
    </row>
    <row r="483" ht="16.5" customHeight="1">
      <c r="A483" s="144"/>
      <c r="B483" s="144"/>
      <c r="C483" s="144"/>
      <c r="D483" s="144"/>
      <c r="E483" s="144"/>
      <c r="F483" s="144"/>
      <c r="G483" s="144"/>
      <c r="H483" s="144"/>
      <c r="I483" s="496"/>
      <c r="J483" s="496"/>
      <c r="K483" s="496"/>
      <c r="L483" s="496"/>
      <c r="M483" s="144"/>
      <c r="N483" s="144"/>
      <c r="O483" s="144"/>
      <c r="P483" s="144"/>
      <c r="Q483" s="144"/>
      <c r="R483" s="144"/>
      <c r="S483" s="144"/>
      <c r="T483" s="144"/>
      <c r="U483" s="144"/>
      <c r="V483" s="144"/>
      <c r="W483" s="144"/>
      <c r="X483" s="144"/>
      <c r="Y483" s="144"/>
      <c r="Z483" s="144"/>
      <c r="AA483" s="144"/>
      <c r="AB483" s="144"/>
      <c r="AC483" s="144"/>
      <c r="AD483" s="144"/>
      <c r="AE483" s="144"/>
      <c r="AF483" s="144"/>
    </row>
    <row r="484" ht="16.5" customHeight="1">
      <c r="A484" s="144"/>
      <c r="B484" s="144"/>
      <c r="C484" s="144"/>
      <c r="D484" s="144"/>
      <c r="E484" s="144"/>
      <c r="F484" s="144"/>
      <c r="G484" s="144"/>
      <c r="H484" s="144"/>
      <c r="I484" s="496"/>
      <c r="J484" s="496"/>
      <c r="K484" s="496"/>
      <c r="L484" s="496"/>
      <c r="M484" s="144"/>
      <c r="N484" s="144"/>
      <c r="O484" s="144"/>
      <c r="P484" s="144"/>
      <c r="Q484" s="144"/>
      <c r="R484" s="144"/>
      <c r="S484" s="144"/>
      <c r="T484" s="144"/>
      <c r="U484" s="144"/>
      <c r="V484" s="144"/>
      <c r="W484" s="144"/>
      <c r="X484" s="144"/>
      <c r="Y484" s="144"/>
      <c r="Z484" s="144"/>
      <c r="AA484" s="144"/>
      <c r="AB484" s="144"/>
      <c r="AC484" s="144"/>
      <c r="AD484" s="144"/>
      <c r="AE484" s="144"/>
      <c r="AF484" s="144"/>
    </row>
    <row r="485" ht="16.5" customHeight="1">
      <c r="A485" s="144"/>
      <c r="B485" s="144"/>
      <c r="C485" s="144"/>
      <c r="D485" s="144"/>
      <c r="E485" s="144"/>
      <c r="F485" s="144"/>
      <c r="G485" s="144"/>
      <c r="H485" s="144"/>
      <c r="I485" s="496"/>
      <c r="J485" s="496"/>
      <c r="K485" s="496"/>
      <c r="L485" s="496"/>
      <c r="M485" s="144"/>
      <c r="N485" s="144"/>
      <c r="O485" s="144"/>
      <c r="P485" s="144"/>
      <c r="Q485" s="144"/>
      <c r="R485" s="144"/>
      <c r="S485" s="144"/>
      <c r="T485" s="144"/>
      <c r="U485" s="144"/>
      <c r="V485" s="144"/>
      <c r="W485" s="144"/>
      <c r="X485" s="144"/>
      <c r="Y485" s="144"/>
      <c r="Z485" s="144"/>
      <c r="AA485" s="144"/>
      <c r="AB485" s="144"/>
      <c r="AC485" s="144"/>
      <c r="AD485" s="144"/>
      <c r="AE485" s="144"/>
      <c r="AF485" s="144"/>
    </row>
    <row r="486" ht="16.5" customHeight="1">
      <c r="A486" s="144"/>
      <c r="B486" s="144"/>
      <c r="C486" s="144"/>
      <c r="D486" s="144"/>
      <c r="E486" s="144"/>
      <c r="F486" s="144"/>
      <c r="G486" s="144"/>
      <c r="H486" s="144"/>
      <c r="I486" s="496"/>
      <c r="J486" s="496"/>
      <c r="K486" s="496"/>
      <c r="L486" s="496"/>
      <c r="M486" s="144"/>
      <c r="N486" s="144"/>
      <c r="O486" s="144"/>
      <c r="P486" s="144"/>
      <c r="Q486" s="144"/>
      <c r="R486" s="144"/>
      <c r="S486" s="144"/>
      <c r="T486" s="144"/>
      <c r="U486" s="144"/>
      <c r="V486" s="144"/>
      <c r="W486" s="144"/>
      <c r="X486" s="144"/>
      <c r="Y486" s="144"/>
      <c r="Z486" s="144"/>
      <c r="AA486" s="144"/>
      <c r="AB486" s="144"/>
      <c r="AC486" s="144"/>
      <c r="AD486" s="144"/>
      <c r="AE486" s="144"/>
      <c r="AF486" s="144"/>
    </row>
    <row r="487" ht="16.5" customHeight="1">
      <c r="A487" s="144"/>
      <c r="B487" s="144"/>
      <c r="C487" s="144"/>
      <c r="D487" s="144"/>
      <c r="E487" s="144"/>
      <c r="F487" s="144"/>
      <c r="G487" s="144"/>
      <c r="H487" s="144"/>
      <c r="I487" s="496"/>
      <c r="J487" s="496"/>
      <c r="K487" s="496"/>
      <c r="L487" s="496"/>
      <c r="M487" s="144"/>
      <c r="N487" s="144"/>
      <c r="O487" s="144"/>
      <c r="P487" s="144"/>
      <c r="Q487" s="144"/>
      <c r="R487" s="144"/>
      <c r="S487" s="144"/>
      <c r="T487" s="144"/>
      <c r="U487" s="144"/>
      <c r="V487" s="144"/>
      <c r="W487" s="144"/>
      <c r="X487" s="144"/>
      <c r="Y487" s="144"/>
      <c r="Z487" s="144"/>
      <c r="AA487" s="144"/>
      <c r="AB487" s="144"/>
      <c r="AC487" s="144"/>
      <c r="AD487" s="144"/>
      <c r="AE487" s="144"/>
      <c r="AF487" s="144"/>
    </row>
    <row r="488" ht="16.5" customHeight="1">
      <c r="A488" s="144"/>
      <c r="B488" s="144"/>
      <c r="C488" s="144"/>
      <c r="D488" s="144"/>
      <c r="E488" s="144"/>
      <c r="F488" s="144"/>
      <c r="G488" s="144"/>
      <c r="H488" s="144"/>
      <c r="I488" s="496"/>
      <c r="J488" s="496"/>
      <c r="K488" s="496"/>
      <c r="L488" s="496"/>
      <c r="M488" s="144"/>
      <c r="N488" s="144"/>
      <c r="O488" s="144"/>
      <c r="P488" s="144"/>
      <c r="Q488" s="144"/>
      <c r="R488" s="144"/>
      <c r="S488" s="144"/>
      <c r="T488" s="144"/>
      <c r="U488" s="144"/>
      <c r="V488" s="144"/>
      <c r="W488" s="144"/>
      <c r="X488" s="144"/>
      <c r="Y488" s="144"/>
      <c r="Z488" s="144"/>
      <c r="AA488" s="144"/>
      <c r="AB488" s="144"/>
      <c r="AC488" s="144"/>
      <c r="AD488" s="144"/>
      <c r="AE488" s="144"/>
      <c r="AF488" s="144"/>
    </row>
    <row r="489" ht="16.5" customHeight="1">
      <c r="A489" s="144"/>
      <c r="B489" s="144"/>
      <c r="C489" s="144"/>
      <c r="D489" s="144"/>
      <c r="E489" s="144"/>
      <c r="F489" s="144"/>
      <c r="G489" s="144"/>
      <c r="H489" s="144"/>
      <c r="I489" s="496"/>
      <c r="J489" s="496"/>
      <c r="K489" s="496"/>
      <c r="L489" s="496"/>
      <c r="M489" s="144"/>
      <c r="N489" s="144"/>
      <c r="O489" s="144"/>
      <c r="P489" s="144"/>
      <c r="Q489" s="144"/>
      <c r="R489" s="144"/>
      <c r="S489" s="144"/>
      <c r="T489" s="144"/>
      <c r="U489" s="144"/>
      <c r="V489" s="144"/>
      <c r="W489" s="144"/>
      <c r="X489" s="144"/>
      <c r="Y489" s="144"/>
      <c r="Z489" s="144"/>
      <c r="AA489" s="144"/>
      <c r="AB489" s="144"/>
      <c r="AC489" s="144"/>
      <c r="AD489" s="144"/>
      <c r="AE489" s="144"/>
      <c r="AF489" s="144"/>
    </row>
    <row r="490" ht="16.5" customHeight="1">
      <c r="A490" s="144"/>
      <c r="B490" s="144"/>
      <c r="C490" s="144"/>
      <c r="D490" s="144"/>
      <c r="E490" s="144"/>
      <c r="F490" s="144"/>
      <c r="G490" s="144"/>
      <c r="H490" s="144"/>
      <c r="I490" s="496"/>
      <c r="J490" s="496"/>
      <c r="K490" s="496"/>
      <c r="L490" s="496"/>
      <c r="M490" s="144"/>
      <c r="N490" s="144"/>
      <c r="O490" s="144"/>
      <c r="P490" s="144"/>
      <c r="Q490" s="144"/>
      <c r="R490" s="144"/>
      <c r="S490" s="144"/>
      <c r="T490" s="144"/>
      <c r="U490" s="144"/>
      <c r="V490" s="144"/>
      <c r="W490" s="144"/>
      <c r="X490" s="144"/>
      <c r="Y490" s="144"/>
      <c r="Z490" s="144"/>
      <c r="AA490" s="144"/>
      <c r="AB490" s="144"/>
      <c r="AC490" s="144"/>
      <c r="AD490" s="144"/>
      <c r="AE490" s="144"/>
      <c r="AF490" s="144"/>
    </row>
    <row r="491" ht="16.5" customHeight="1">
      <c r="A491" s="144"/>
      <c r="B491" s="144"/>
      <c r="C491" s="144"/>
      <c r="D491" s="144"/>
      <c r="E491" s="144"/>
      <c r="F491" s="144"/>
      <c r="G491" s="144"/>
      <c r="H491" s="144"/>
      <c r="I491" s="496"/>
      <c r="J491" s="496"/>
      <c r="K491" s="496"/>
      <c r="L491" s="496"/>
      <c r="M491" s="144"/>
      <c r="N491" s="144"/>
      <c r="O491" s="144"/>
      <c r="P491" s="144"/>
      <c r="Q491" s="144"/>
      <c r="R491" s="144"/>
      <c r="S491" s="144"/>
      <c r="T491" s="144"/>
      <c r="U491" s="144"/>
      <c r="V491" s="144"/>
      <c r="W491" s="144"/>
      <c r="X491" s="144"/>
      <c r="Y491" s="144"/>
      <c r="Z491" s="144"/>
      <c r="AA491" s="144"/>
      <c r="AB491" s="144"/>
      <c r="AC491" s="144"/>
      <c r="AD491" s="144"/>
      <c r="AE491" s="144"/>
      <c r="AF491" s="144"/>
    </row>
    <row r="492" ht="16.5" customHeight="1">
      <c r="A492" s="144"/>
      <c r="B492" s="144"/>
      <c r="C492" s="144"/>
      <c r="D492" s="144"/>
      <c r="E492" s="144"/>
      <c r="F492" s="144"/>
      <c r="G492" s="144"/>
      <c r="H492" s="144"/>
      <c r="I492" s="496"/>
      <c r="J492" s="496"/>
      <c r="K492" s="496"/>
      <c r="L492" s="496"/>
      <c r="M492" s="144"/>
      <c r="N492" s="144"/>
      <c r="O492" s="144"/>
      <c r="P492" s="144"/>
      <c r="Q492" s="144"/>
      <c r="R492" s="144"/>
      <c r="S492" s="144"/>
      <c r="T492" s="144"/>
      <c r="U492" s="144"/>
      <c r="V492" s="144"/>
      <c r="W492" s="144"/>
      <c r="X492" s="144"/>
      <c r="Y492" s="144"/>
      <c r="Z492" s="144"/>
      <c r="AA492" s="144"/>
      <c r="AB492" s="144"/>
      <c r="AC492" s="144"/>
      <c r="AD492" s="144"/>
      <c r="AE492" s="144"/>
      <c r="AF492" s="144"/>
    </row>
    <row r="493" ht="16.5" customHeight="1">
      <c r="A493" s="144"/>
      <c r="B493" s="144"/>
      <c r="C493" s="144"/>
      <c r="D493" s="144"/>
      <c r="E493" s="144"/>
      <c r="F493" s="144"/>
      <c r="G493" s="144"/>
      <c r="H493" s="144"/>
      <c r="I493" s="496"/>
      <c r="J493" s="496"/>
      <c r="K493" s="496"/>
      <c r="L493" s="496"/>
      <c r="M493" s="144"/>
      <c r="N493" s="144"/>
      <c r="O493" s="144"/>
      <c r="P493" s="144"/>
      <c r="Q493" s="144"/>
      <c r="R493" s="144"/>
      <c r="S493" s="144"/>
      <c r="T493" s="144"/>
      <c r="U493" s="144"/>
      <c r="V493" s="144"/>
      <c r="W493" s="144"/>
      <c r="X493" s="144"/>
      <c r="Y493" s="144"/>
      <c r="Z493" s="144"/>
      <c r="AA493" s="144"/>
      <c r="AB493" s="144"/>
      <c r="AC493" s="144"/>
      <c r="AD493" s="144"/>
      <c r="AE493" s="144"/>
      <c r="AF493" s="144"/>
    </row>
    <row r="494" ht="16.5" customHeight="1">
      <c r="A494" s="144"/>
      <c r="B494" s="144"/>
      <c r="C494" s="144"/>
      <c r="D494" s="144"/>
      <c r="E494" s="144"/>
      <c r="F494" s="144"/>
      <c r="G494" s="144"/>
      <c r="H494" s="144"/>
      <c r="I494" s="496"/>
      <c r="J494" s="496"/>
      <c r="K494" s="496"/>
      <c r="L494" s="496"/>
      <c r="M494" s="144"/>
      <c r="N494" s="144"/>
      <c r="O494" s="144"/>
      <c r="P494" s="144"/>
      <c r="Q494" s="144"/>
      <c r="R494" s="144"/>
      <c r="S494" s="144"/>
      <c r="T494" s="144"/>
      <c r="U494" s="144"/>
      <c r="V494" s="144"/>
      <c r="W494" s="144"/>
      <c r="X494" s="144"/>
      <c r="Y494" s="144"/>
      <c r="Z494" s="144"/>
      <c r="AA494" s="144"/>
      <c r="AB494" s="144"/>
      <c r="AC494" s="144"/>
      <c r="AD494" s="144"/>
      <c r="AE494" s="144"/>
      <c r="AF494" s="144"/>
    </row>
    <row r="495" ht="16.5" customHeight="1">
      <c r="A495" s="144"/>
      <c r="B495" s="144"/>
      <c r="C495" s="144"/>
      <c r="D495" s="144"/>
      <c r="E495" s="144"/>
      <c r="F495" s="144"/>
      <c r="G495" s="144"/>
      <c r="H495" s="144"/>
      <c r="I495" s="496"/>
      <c r="J495" s="496"/>
      <c r="K495" s="496"/>
      <c r="L495" s="496"/>
      <c r="M495" s="144"/>
      <c r="N495" s="144"/>
      <c r="O495" s="144"/>
      <c r="P495" s="144"/>
      <c r="Q495" s="144"/>
      <c r="R495" s="144"/>
      <c r="S495" s="144"/>
      <c r="T495" s="144"/>
      <c r="U495" s="144"/>
      <c r="V495" s="144"/>
      <c r="W495" s="144"/>
      <c r="X495" s="144"/>
      <c r="Y495" s="144"/>
      <c r="Z495" s="144"/>
      <c r="AA495" s="144"/>
      <c r="AB495" s="144"/>
      <c r="AC495" s="144"/>
      <c r="AD495" s="144"/>
      <c r="AE495" s="144"/>
      <c r="AF495" s="144"/>
    </row>
    <row r="496" ht="16.5" customHeight="1">
      <c r="A496" s="144"/>
      <c r="B496" s="144"/>
      <c r="C496" s="144"/>
      <c r="D496" s="144"/>
      <c r="E496" s="144"/>
      <c r="F496" s="144"/>
      <c r="G496" s="144"/>
      <c r="H496" s="144"/>
      <c r="I496" s="496"/>
      <c r="J496" s="496"/>
      <c r="K496" s="496"/>
      <c r="L496" s="496"/>
      <c r="M496" s="144"/>
      <c r="N496" s="144"/>
      <c r="O496" s="144"/>
      <c r="P496" s="144"/>
      <c r="Q496" s="144"/>
      <c r="R496" s="144"/>
      <c r="S496" s="144"/>
      <c r="T496" s="144"/>
      <c r="U496" s="144"/>
      <c r="V496" s="144"/>
      <c r="W496" s="144"/>
      <c r="X496" s="144"/>
      <c r="Y496" s="144"/>
      <c r="Z496" s="144"/>
      <c r="AA496" s="144"/>
      <c r="AB496" s="144"/>
      <c r="AC496" s="144"/>
      <c r="AD496" s="144"/>
      <c r="AE496" s="144"/>
      <c r="AF496" s="144"/>
    </row>
    <row r="497" ht="16.5" customHeight="1">
      <c r="A497" s="144"/>
      <c r="B497" s="144"/>
      <c r="C497" s="144"/>
      <c r="D497" s="144"/>
      <c r="E497" s="144"/>
      <c r="F497" s="144"/>
      <c r="G497" s="144"/>
      <c r="H497" s="144"/>
      <c r="I497" s="496"/>
      <c r="J497" s="496"/>
      <c r="K497" s="496"/>
      <c r="L497" s="496"/>
      <c r="M497" s="144"/>
      <c r="N497" s="144"/>
      <c r="O497" s="144"/>
      <c r="P497" s="144"/>
      <c r="Q497" s="144"/>
      <c r="R497" s="144"/>
      <c r="S497" s="144"/>
      <c r="T497" s="144"/>
      <c r="U497" s="144"/>
      <c r="V497" s="144"/>
      <c r="W497" s="144"/>
      <c r="X497" s="144"/>
      <c r="Y497" s="144"/>
      <c r="Z497" s="144"/>
      <c r="AA497" s="144"/>
      <c r="AB497" s="144"/>
      <c r="AC497" s="144"/>
      <c r="AD497" s="144"/>
      <c r="AE497" s="144"/>
      <c r="AF497" s="144"/>
    </row>
    <row r="498" ht="16.5" customHeight="1">
      <c r="A498" s="144"/>
      <c r="B498" s="144"/>
      <c r="C498" s="144"/>
      <c r="D498" s="144"/>
      <c r="E498" s="144"/>
      <c r="F498" s="144"/>
      <c r="G498" s="144"/>
      <c r="H498" s="144"/>
      <c r="I498" s="496"/>
      <c r="J498" s="496"/>
      <c r="K498" s="496"/>
      <c r="L498" s="496"/>
      <c r="M498" s="144"/>
      <c r="N498" s="144"/>
      <c r="O498" s="144"/>
      <c r="P498" s="144"/>
      <c r="Q498" s="144"/>
      <c r="R498" s="144"/>
      <c r="S498" s="144"/>
      <c r="T498" s="144"/>
      <c r="U498" s="144"/>
      <c r="V498" s="144"/>
      <c r="W498" s="144"/>
      <c r="X498" s="144"/>
      <c r="Y498" s="144"/>
      <c r="Z498" s="144"/>
      <c r="AA498" s="144"/>
      <c r="AB498" s="144"/>
      <c r="AC498" s="144"/>
      <c r="AD498" s="144"/>
      <c r="AE498" s="144"/>
      <c r="AF498" s="144"/>
    </row>
    <row r="499" ht="16.5" customHeight="1">
      <c r="A499" s="144"/>
      <c r="B499" s="144"/>
      <c r="C499" s="144"/>
      <c r="D499" s="144"/>
      <c r="E499" s="144"/>
      <c r="F499" s="144"/>
      <c r="G499" s="144"/>
      <c r="H499" s="144"/>
      <c r="I499" s="496"/>
      <c r="J499" s="496"/>
      <c r="K499" s="496"/>
      <c r="L499" s="496"/>
      <c r="M499" s="144"/>
      <c r="N499" s="144"/>
      <c r="O499" s="144"/>
      <c r="P499" s="144"/>
      <c r="Q499" s="144"/>
      <c r="R499" s="144"/>
      <c r="S499" s="144"/>
      <c r="T499" s="144"/>
      <c r="U499" s="144"/>
      <c r="V499" s="144"/>
      <c r="W499" s="144"/>
      <c r="X499" s="144"/>
      <c r="Y499" s="144"/>
      <c r="Z499" s="144"/>
      <c r="AA499" s="144"/>
      <c r="AB499" s="144"/>
      <c r="AC499" s="144"/>
      <c r="AD499" s="144"/>
      <c r="AE499" s="144"/>
      <c r="AF499" s="144"/>
    </row>
    <row r="500" ht="16.5" customHeight="1">
      <c r="A500" s="144"/>
      <c r="B500" s="144"/>
      <c r="C500" s="144"/>
      <c r="D500" s="144"/>
      <c r="E500" s="144"/>
      <c r="F500" s="144"/>
      <c r="G500" s="144"/>
      <c r="H500" s="144"/>
      <c r="I500" s="496"/>
      <c r="J500" s="496"/>
      <c r="K500" s="496"/>
      <c r="L500" s="496"/>
      <c r="M500" s="144"/>
      <c r="N500" s="144"/>
      <c r="O500" s="144"/>
      <c r="P500" s="144"/>
      <c r="Q500" s="144"/>
      <c r="R500" s="144"/>
      <c r="S500" s="144"/>
      <c r="T500" s="144"/>
      <c r="U500" s="144"/>
      <c r="V500" s="144"/>
      <c r="W500" s="144"/>
      <c r="X500" s="144"/>
      <c r="Y500" s="144"/>
      <c r="Z500" s="144"/>
      <c r="AA500" s="144"/>
      <c r="AB500" s="144"/>
      <c r="AC500" s="144"/>
      <c r="AD500" s="144"/>
      <c r="AE500" s="144"/>
      <c r="AF500" s="144"/>
    </row>
    <row r="501" ht="16.5" customHeight="1">
      <c r="A501" s="144"/>
      <c r="B501" s="144"/>
      <c r="C501" s="144"/>
      <c r="D501" s="144"/>
      <c r="E501" s="144"/>
      <c r="F501" s="144"/>
      <c r="G501" s="144"/>
      <c r="H501" s="144"/>
      <c r="I501" s="496"/>
      <c r="J501" s="496"/>
      <c r="K501" s="496"/>
      <c r="L501" s="496"/>
      <c r="M501" s="144"/>
      <c r="N501" s="144"/>
      <c r="O501" s="144"/>
      <c r="P501" s="144"/>
      <c r="Q501" s="144"/>
      <c r="R501" s="144"/>
      <c r="S501" s="144"/>
      <c r="T501" s="144"/>
      <c r="U501" s="144"/>
      <c r="V501" s="144"/>
      <c r="W501" s="144"/>
      <c r="X501" s="144"/>
      <c r="Y501" s="144"/>
      <c r="Z501" s="144"/>
      <c r="AA501" s="144"/>
      <c r="AB501" s="144"/>
      <c r="AC501" s="144"/>
      <c r="AD501" s="144"/>
      <c r="AE501" s="144"/>
      <c r="AF501" s="144"/>
    </row>
    <row r="502" ht="16.5" customHeight="1">
      <c r="A502" s="144"/>
      <c r="B502" s="144"/>
      <c r="C502" s="144"/>
      <c r="D502" s="144"/>
      <c r="E502" s="144"/>
      <c r="F502" s="144"/>
      <c r="G502" s="144"/>
      <c r="H502" s="144"/>
      <c r="I502" s="496"/>
      <c r="J502" s="496"/>
      <c r="K502" s="496"/>
      <c r="L502" s="496"/>
      <c r="M502" s="144"/>
      <c r="N502" s="144"/>
      <c r="O502" s="144"/>
      <c r="P502" s="144"/>
      <c r="Q502" s="144"/>
      <c r="R502" s="144"/>
      <c r="S502" s="144"/>
      <c r="T502" s="144"/>
      <c r="U502" s="144"/>
      <c r="V502" s="144"/>
      <c r="W502" s="144"/>
      <c r="X502" s="144"/>
      <c r="Y502" s="144"/>
      <c r="Z502" s="144"/>
      <c r="AA502" s="144"/>
      <c r="AB502" s="144"/>
      <c r="AC502" s="144"/>
      <c r="AD502" s="144"/>
      <c r="AE502" s="144"/>
      <c r="AF502" s="144"/>
    </row>
    <row r="503" ht="16.5" customHeight="1">
      <c r="A503" s="144"/>
      <c r="B503" s="144"/>
      <c r="C503" s="144"/>
      <c r="D503" s="144"/>
      <c r="E503" s="144"/>
      <c r="F503" s="144"/>
      <c r="G503" s="144"/>
      <c r="H503" s="144"/>
      <c r="I503" s="496"/>
      <c r="J503" s="496"/>
      <c r="K503" s="496"/>
      <c r="L503" s="496"/>
      <c r="M503" s="144"/>
      <c r="N503" s="144"/>
      <c r="O503" s="144"/>
      <c r="P503" s="144"/>
      <c r="Q503" s="144"/>
      <c r="R503" s="144"/>
      <c r="S503" s="144"/>
      <c r="T503" s="144"/>
      <c r="U503" s="144"/>
      <c r="V503" s="144"/>
      <c r="W503" s="144"/>
      <c r="X503" s="144"/>
      <c r="Y503" s="144"/>
      <c r="Z503" s="144"/>
      <c r="AA503" s="144"/>
      <c r="AB503" s="144"/>
      <c r="AC503" s="144"/>
      <c r="AD503" s="144"/>
      <c r="AE503" s="144"/>
      <c r="AF503" s="144"/>
    </row>
    <row r="504" ht="16.5" customHeight="1">
      <c r="A504" s="144"/>
      <c r="B504" s="144"/>
      <c r="C504" s="144"/>
      <c r="D504" s="144"/>
      <c r="E504" s="144"/>
      <c r="F504" s="144"/>
      <c r="G504" s="144"/>
      <c r="H504" s="144"/>
      <c r="I504" s="496"/>
      <c r="J504" s="496"/>
      <c r="K504" s="496"/>
      <c r="L504" s="496"/>
      <c r="M504" s="144"/>
      <c r="N504" s="144"/>
      <c r="O504" s="144"/>
      <c r="P504" s="144"/>
      <c r="Q504" s="144"/>
      <c r="R504" s="144"/>
      <c r="S504" s="144"/>
      <c r="T504" s="144"/>
      <c r="U504" s="144"/>
      <c r="V504" s="144"/>
      <c r="W504" s="144"/>
      <c r="X504" s="144"/>
      <c r="Y504" s="144"/>
      <c r="Z504" s="144"/>
      <c r="AA504" s="144"/>
      <c r="AB504" s="144"/>
      <c r="AC504" s="144"/>
      <c r="AD504" s="144"/>
      <c r="AE504" s="144"/>
      <c r="AF504" s="144"/>
    </row>
    <row r="505" ht="16.5" customHeight="1">
      <c r="A505" s="144"/>
      <c r="B505" s="144"/>
      <c r="C505" s="144"/>
      <c r="D505" s="144"/>
      <c r="E505" s="144"/>
      <c r="F505" s="144"/>
      <c r="G505" s="144"/>
      <c r="H505" s="144"/>
      <c r="I505" s="496"/>
      <c r="J505" s="496"/>
      <c r="K505" s="496"/>
      <c r="L505" s="496"/>
      <c r="M505" s="144"/>
      <c r="N505" s="144"/>
      <c r="O505" s="144"/>
      <c r="P505" s="144"/>
      <c r="Q505" s="144"/>
      <c r="R505" s="144"/>
      <c r="S505" s="144"/>
      <c r="T505" s="144"/>
      <c r="U505" s="144"/>
      <c r="V505" s="144"/>
      <c r="W505" s="144"/>
      <c r="X505" s="144"/>
      <c r="Y505" s="144"/>
      <c r="Z505" s="144"/>
      <c r="AA505" s="144"/>
      <c r="AB505" s="144"/>
      <c r="AC505" s="144"/>
      <c r="AD505" s="144"/>
      <c r="AE505" s="144"/>
      <c r="AF505" s="144"/>
    </row>
    <row r="506" ht="16.5" customHeight="1">
      <c r="A506" s="144"/>
      <c r="B506" s="144"/>
      <c r="C506" s="144"/>
      <c r="D506" s="144"/>
      <c r="E506" s="144"/>
      <c r="F506" s="144"/>
      <c r="G506" s="144"/>
      <c r="H506" s="144"/>
      <c r="I506" s="496"/>
      <c r="J506" s="496"/>
      <c r="K506" s="496"/>
      <c r="L506" s="496"/>
      <c r="M506" s="144"/>
      <c r="N506" s="144"/>
      <c r="O506" s="144"/>
      <c r="P506" s="144"/>
      <c r="Q506" s="144"/>
      <c r="R506" s="144"/>
      <c r="S506" s="144"/>
      <c r="T506" s="144"/>
      <c r="U506" s="144"/>
      <c r="V506" s="144"/>
      <c r="W506" s="144"/>
      <c r="X506" s="144"/>
      <c r="Y506" s="144"/>
      <c r="Z506" s="144"/>
      <c r="AA506" s="144"/>
      <c r="AB506" s="144"/>
      <c r="AC506" s="144"/>
      <c r="AD506" s="144"/>
      <c r="AE506" s="144"/>
      <c r="AF506" s="144"/>
    </row>
    <row r="507" ht="16.5" customHeight="1">
      <c r="A507" s="144"/>
      <c r="B507" s="144"/>
      <c r="C507" s="144"/>
      <c r="D507" s="144"/>
      <c r="E507" s="144"/>
      <c r="F507" s="144"/>
      <c r="G507" s="144"/>
      <c r="H507" s="144"/>
      <c r="I507" s="496"/>
      <c r="J507" s="496"/>
      <c r="K507" s="496"/>
      <c r="L507" s="496"/>
      <c r="M507" s="144"/>
      <c r="N507" s="144"/>
      <c r="O507" s="144"/>
      <c r="P507" s="144"/>
      <c r="Q507" s="144"/>
      <c r="R507" s="144"/>
      <c r="S507" s="144"/>
      <c r="T507" s="144"/>
      <c r="U507" s="144"/>
      <c r="V507" s="144"/>
      <c r="W507" s="144"/>
      <c r="X507" s="144"/>
      <c r="Y507" s="144"/>
      <c r="Z507" s="144"/>
      <c r="AA507" s="144"/>
      <c r="AB507" s="144"/>
      <c r="AC507" s="144"/>
      <c r="AD507" s="144"/>
      <c r="AE507" s="144"/>
      <c r="AF507" s="144"/>
    </row>
    <row r="508" ht="16.5" customHeight="1">
      <c r="A508" s="144"/>
      <c r="B508" s="144"/>
      <c r="C508" s="144"/>
      <c r="D508" s="144"/>
      <c r="E508" s="144"/>
      <c r="F508" s="144"/>
      <c r="G508" s="144"/>
      <c r="H508" s="144"/>
      <c r="I508" s="496"/>
      <c r="J508" s="496"/>
      <c r="K508" s="496"/>
      <c r="L508" s="496"/>
      <c r="M508" s="144"/>
      <c r="N508" s="144"/>
      <c r="O508" s="144"/>
      <c r="P508" s="144"/>
      <c r="Q508" s="144"/>
      <c r="R508" s="144"/>
      <c r="S508" s="144"/>
      <c r="T508" s="144"/>
      <c r="U508" s="144"/>
      <c r="V508" s="144"/>
      <c r="W508" s="144"/>
      <c r="X508" s="144"/>
      <c r="Y508" s="144"/>
      <c r="Z508" s="144"/>
      <c r="AA508" s="144"/>
      <c r="AB508" s="144"/>
      <c r="AC508" s="144"/>
      <c r="AD508" s="144"/>
      <c r="AE508" s="144"/>
      <c r="AF508" s="144"/>
    </row>
    <row r="509" ht="16.5" customHeight="1">
      <c r="A509" s="144"/>
      <c r="B509" s="144"/>
      <c r="C509" s="144"/>
      <c r="D509" s="144"/>
      <c r="E509" s="144"/>
      <c r="F509" s="144"/>
      <c r="G509" s="144"/>
      <c r="H509" s="144"/>
      <c r="I509" s="496"/>
      <c r="J509" s="496"/>
      <c r="K509" s="496"/>
      <c r="L509" s="496"/>
      <c r="M509" s="144"/>
      <c r="N509" s="144"/>
      <c r="O509" s="144"/>
      <c r="P509" s="144"/>
      <c r="Q509" s="144"/>
      <c r="R509" s="144"/>
      <c r="S509" s="144"/>
      <c r="T509" s="144"/>
      <c r="U509" s="144"/>
      <c r="V509" s="144"/>
      <c r="W509" s="144"/>
      <c r="X509" s="144"/>
      <c r="Y509" s="144"/>
      <c r="Z509" s="144"/>
      <c r="AA509" s="144"/>
      <c r="AB509" s="144"/>
      <c r="AC509" s="144"/>
      <c r="AD509" s="144"/>
      <c r="AE509" s="144"/>
      <c r="AF509" s="144"/>
    </row>
    <row r="510" ht="16.5" customHeight="1">
      <c r="A510" s="144"/>
      <c r="B510" s="144"/>
      <c r="C510" s="144"/>
      <c r="D510" s="144"/>
      <c r="E510" s="144"/>
      <c r="F510" s="144"/>
      <c r="G510" s="144"/>
      <c r="H510" s="144"/>
      <c r="I510" s="496"/>
      <c r="J510" s="496"/>
      <c r="K510" s="496"/>
      <c r="L510" s="496"/>
      <c r="M510" s="144"/>
      <c r="N510" s="144"/>
      <c r="O510" s="144"/>
      <c r="P510" s="144"/>
      <c r="Q510" s="144"/>
      <c r="R510" s="144"/>
      <c r="S510" s="144"/>
      <c r="T510" s="144"/>
      <c r="U510" s="144"/>
      <c r="V510" s="144"/>
      <c r="W510" s="144"/>
      <c r="X510" s="144"/>
      <c r="Y510" s="144"/>
      <c r="Z510" s="144"/>
      <c r="AA510" s="144"/>
      <c r="AB510" s="144"/>
      <c r="AC510" s="144"/>
      <c r="AD510" s="144"/>
      <c r="AE510" s="144"/>
      <c r="AF510" s="144"/>
    </row>
    <row r="511" ht="16.5" customHeight="1">
      <c r="A511" s="144"/>
      <c r="B511" s="144"/>
      <c r="C511" s="144"/>
      <c r="D511" s="144"/>
      <c r="E511" s="144"/>
      <c r="F511" s="144"/>
      <c r="G511" s="144"/>
      <c r="H511" s="144"/>
      <c r="I511" s="496"/>
      <c r="J511" s="496"/>
      <c r="K511" s="496"/>
      <c r="L511" s="496"/>
      <c r="M511" s="144"/>
      <c r="N511" s="144"/>
      <c r="O511" s="144"/>
      <c r="P511" s="144"/>
      <c r="Q511" s="144"/>
      <c r="R511" s="144"/>
      <c r="S511" s="144"/>
      <c r="T511" s="144"/>
      <c r="U511" s="144"/>
      <c r="V511" s="144"/>
      <c r="W511" s="144"/>
      <c r="X511" s="144"/>
      <c r="Y511" s="144"/>
      <c r="Z511" s="144"/>
      <c r="AA511" s="144"/>
      <c r="AB511" s="144"/>
      <c r="AC511" s="144"/>
      <c r="AD511" s="144"/>
      <c r="AE511" s="144"/>
      <c r="AF511" s="144"/>
    </row>
    <row r="512" ht="16.5" customHeight="1">
      <c r="A512" s="144"/>
      <c r="B512" s="144"/>
      <c r="C512" s="144"/>
      <c r="D512" s="144"/>
      <c r="E512" s="144"/>
      <c r="F512" s="144"/>
      <c r="G512" s="144"/>
      <c r="H512" s="144"/>
      <c r="I512" s="496"/>
      <c r="J512" s="496"/>
      <c r="K512" s="496"/>
      <c r="L512" s="496"/>
      <c r="M512" s="144"/>
      <c r="N512" s="144"/>
      <c r="O512" s="144"/>
      <c r="P512" s="144"/>
      <c r="Q512" s="144"/>
      <c r="R512" s="144"/>
      <c r="S512" s="144"/>
      <c r="T512" s="144"/>
      <c r="U512" s="144"/>
      <c r="V512" s="144"/>
      <c r="W512" s="144"/>
      <c r="X512" s="144"/>
      <c r="Y512" s="144"/>
      <c r="Z512" s="144"/>
      <c r="AA512" s="144"/>
      <c r="AB512" s="144"/>
      <c r="AC512" s="144"/>
      <c r="AD512" s="144"/>
      <c r="AE512" s="144"/>
      <c r="AF512" s="144"/>
    </row>
    <row r="513" ht="16.5" customHeight="1">
      <c r="A513" s="144"/>
      <c r="B513" s="144"/>
      <c r="C513" s="144"/>
      <c r="D513" s="144"/>
      <c r="E513" s="144"/>
      <c r="F513" s="144"/>
      <c r="G513" s="144"/>
      <c r="H513" s="144"/>
      <c r="I513" s="496"/>
      <c r="J513" s="496"/>
      <c r="K513" s="496"/>
      <c r="L513" s="496"/>
      <c r="M513" s="144"/>
      <c r="N513" s="144"/>
      <c r="O513" s="144"/>
      <c r="P513" s="144"/>
      <c r="Q513" s="144"/>
      <c r="R513" s="144"/>
      <c r="S513" s="144"/>
      <c r="T513" s="144"/>
      <c r="U513" s="144"/>
      <c r="V513" s="144"/>
      <c r="W513" s="144"/>
      <c r="X513" s="144"/>
      <c r="Y513" s="144"/>
      <c r="Z513" s="144"/>
      <c r="AA513" s="144"/>
      <c r="AB513" s="144"/>
      <c r="AC513" s="144"/>
      <c r="AD513" s="144"/>
      <c r="AE513" s="144"/>
      <c r="AF513" s="144"/>
    </row>
    <row r="514" ht="16.5" customHeight="1">
      <c r="A514" s="144"/>
      <c r="B514" s="144"/>
      <c r="C514" s="144"/>
      <c r="D514" s="144"/>
      <c r="E514" s="144"/>
      <c r="F514" s="144"/>
      <c r="G514" s="144"/>
      <c r="H514" s="144"/>
      <c r="I514" s="496"/>
      <c r="J514" s="496"/>
      <c r="K514" s="496"/>
      <c r="L514" s="496"/>
      <c r="M514" s="144"/>
      <c r="N514" s="144"/>
      <c r="O514" s="144"/>
      <c r="P514" s="144"/>
      <c r="Q514" s="144"/>
      <c r="R514" s="144"/>
      <c r="S514" s="144"/>
      <c r="T514" s="144"/>
      <c r="U514" s="144"/>
      <c r="V514" s="144"/>
      <c r="W514" s="144"/>
      <c r="X514" s="144"/>
      <c r="Y514" s="144"/>
      <c r="Z514" s="144"/>
      <c r="AA514" s="144"/>
      <c r="AB514" s="144"/>
      <c r="AC514" s="144"/>
      <c r="AD514" s="144"/>
      <c r="AE514" s="144"/>
      <c r="AF514" s="144"/>
    </row>
    <row r="515" ht="16.5" customHeight="1">
      <c r="A515" s="144"/>
      <c r="B515" s="144"/>
      <c r="C515" s="144"/>
      <c r="D515" s="144"/>
      <c r="E515" s="144"/>
      <c r="F515" s="144"/>
      <c r="G515" s="144"/>
      <c r="H515" s="144"/>
      <c r="I515" s="496"/>
      <c r="J515" s="496"/>
      <c r="K515" s="496"/>
      <c r="L515" s="496"/>
      <c r="M515" s="144"/>
      <c r="N515" s="144"/>
      <c r="O515" s="144"/>
      <c r="P515" s="144"/>
      <c r="Q515" s="144"/>
      <c r="R515" s="144"/>
      <c r="S515" s="144"/>
      <c r="T515" s="144"/>
      <c r="U515" s="144"/>
      <c r="V515" s="144"/>
      <c r="W515" s="144"/>
      <c r="X515" s="144"/>
      <c r="Y515" s="144"/>
      <c r="Z515" s="144"/>
      <c r="AA515" s="144"/>
      <c r="AB515" s="144"/>
      <c r="AC515" s="144"/>
      <c r="AD515" s="144"/>
      <c r="AE515" s="144"/>
      <c r="AF515" s="144"/>
    </row>
    <row r="516" ht="16.5" customHeight="1">
      <c r="A516" s="144"/>
      <c r="B516" s="144"/>
      <c r="C516" s="144"/>
      <c r="D516" s="144"/>
      <c r="E516" s="144"/>
      <c r="F516" s="144"/>
      <c r="G516" s="144"/>
      <c r="H516" s="144"/>
      <c r="I516" s="496"/>
      <c r="J516" s="496"/>
      <c r="K516" s="496"/>
      <c r="L516" s="496"/>
      <c r="M516" s="144"/>
      <c r="N516" s="144"/>
      <c r="O516" s="144"/>
      <c r="P516" s="144"/>
      <c r="Q516" s="144"/>
      <c r="R516" s="144"/>
      <c r="S516" s="144"/>
      <c r="T516" s="144"/>
      <c r="U516" s="144"/>
      <c r="V516" s="144"/>
      <c r="W516" s="144"/>
      <c r="X516" s="144"/>
      <c r="Y516" s="144"/>
      <c r="Z516" s="144"/>
      <c r="AA516" s="144"/>
      <c r="AB516" s="144"/>
      <c r="AC516" s="144"/>
      <c r="AD516" s="144"/>
      <c r="AE516" s="144"/>
      <c r="AF516" s="144"/>
    </row>
    <row r="517" ht="16.5" customHeight="1">
      <c r="A517" s="144"/>
      <c r="B517" s="144"/>
      <c r="C517" s="144"/>
      <c r="D517" s="144"/>
      <c r="E517" s="144"/>
      <c r="F517" s="144"/>
      <c r="G517" s="144"/>
      <c r="H517" s="144"/>
      <c r="I517" s="496"/>
      <c r="J517" s="496"/>
      <c r="K517" s="496"/>
      <c r="L517" s="496"/>
      <c r="M517" s="144"/>
      <c r="N517" s="144"/>
      <c r="O517" s="144"/>
      <c r="P517" s="144"/>
      <c r="Q517" s="144"/>
      <c r="R517" s="144"/>
      <c r="S517" s="144"/>
      <c r="T517" s="144"/>
      <c r="U517" s="144"/>
      <c r="V517" s="144"/>
      <c r="W517" s="144"/>
      <c r="X517" s="144"/>
      <c r="Y517" s="144"/>
      <c r="Z517" s="144"/>
      <c r="AA517" s="144"/>
      <c r="AB517" s="144"/>
      <c r="AC517" s="144"/>
      <c r="AD517" s="144"/>
      <c r="AE517" s="144"/>
      <c r="AF517" s="144"/>
    </row>
    <row r="518" ht="16.5" customHeight="1">
      <c r="A518" s="144"/>
      <c r="B518" s="144"/>
      <c r="C518" s="144"/>
      <c r="D518" s="144"/>
      <c r="E518" s="144"/>
      <c r="F518" s="144"/>
      <c r="G518" s="144"/>
      <c r="H518" s="144"/>
      <c r="I518" s="496"/>
      <c r="J518" s="496"/>
      <c r="K518" s="496"/>
      <c r="L518" s="496"/>
      <c r="M518" s="144"/>
      <c r="N518" s="144"/>
      <c r="O518" s="144"/>
      <c r="P518" s="144"/>
      <c r="Q518" s="144"/>
      <c r="R518" s="144"/>
      <c r="S518" s="144"/>
      <c r="T518" s="144"/>
      <c r="U518" s="144"/>
      <c r="V518" s="144"/>
      <c r="W518" s="144"/>
      <c r="X518" s="144"/>
      <c r="Y518" s="144"/>
      <c r="Z518" s="144"/>
      <c r="AA518" s="144"/>
      <c r="AB518" s="144"/>
      <c r="AC518" s="144"/>
      <c r="AD518" s="144"/>
      <c r="AE518" s="144"/>
      <c r="AF518" s="144"/>
    </row>
    <row r="519" ht="16.5" customHeight="1">
      <c r="A519" s="144"/>
      <c r="B519" s="144"/>
      <c r="C519" s="144"/>
      <c r="D519" s="144"/>
      <c r="E519" s="144"/>
      <c r="F519" s="144"/>
      <c r="G519" s="144"/>
      <c r="H519" s="144"/>
      <c r="I519" s="496"/>
      <c r="J519" s="496"/>
      <c r="K519" s="496"/>
      <c r="L519" s="496"/>
      <c r="M519" s="144"/>
      <c r="N519" s="144"/>
      <c r="O519" s="144"/>
      <c r="P519" s="144"/>
      <c r="Q519" s="144"/>
      <c r="R519" s="144"/>
      <c r="S519" s="144"/>
      <c r="T519" s="144"/>
      <c r="U519" s="144"/>
      <c r="V519" s="144"/>
      <c r="W519" s="144"/>
      <c r="X519" s="144"/>
      <c r="Y519" s="144"/>
      <c r="Z519" s="144"/>
      <c r="AA519" s="144"/>
      <c r="AB519" s="144"/>
      <c r="AC519" s="144"/>
      <c r="AD519" s="144"/>
      <c r="AE519" s="144"/>
      <c r="AF519" s="144"/>
    </row>
    <row r="520" ht="16.5" customHeight="1">
      <c r="A520" s="144"/>
      <c r="B520" s="144"/>
      <c r="C520" s="144"/>
      <c r="D520" s="144"/>
      <c r="E520" s="144"/>
      <c r="F520" s="144"/>
      <c r="G520" s="144"/>
      <c r="H520" s="144"/>
      <c r="I520" s="496"/>
      <c r="J520" s="496"/>
      <c r="K520" s="496"/>
      <c r="L520" s="496"/>
      <c r="M520" s="144"/>
      <c r="N520" s="144"/>
      <c r="O520" s="144"/>
      <c r="P520" s="144"/>
      <c r="Q520" s="144"/>
      <c r="R520" s="144"/>
      <c r="S520" s="144"/>
      <c r="T520" s="144"/>
      <c r="U520" s="144"/>
      <c r="V520" s="144"/>
      <c r="W520" s="144"/>
      <c r="X520" s="144"/>
      <c r="Y520" s="144"/>
      <c r="Z520" s="144"/>
      <c r="AA520" s="144"/>
      <c r="AB520" s="144"/>
      <c r="AC520" s="144"/>
      <c r="AD520" s="144"/>
      <c r="AE520" s="144"/>
      <c r="AF520" s="144"/>
    </row>
    <row r="521" ht="16.5" customHeight="1">
      <c r="A521" s="144"/>
      <c r="B521" s="144"/>
      <c r="C521" s="144"/>
      <c r="D521" s="144"/>
      <c r="E521" s="144"/>
      <c r="F521" s="144"/>
      <c r="G521" s="144"/>
      <c r="H521" s="144"/>
      <c r="I521" s="496"/>
      <c r="J521" s="496"/>
      <c r="K521" s="496"/>
      <c r="L521" s="496"/>
      <c r="M521" s="144"/>
      <c r="N521" s="144"/>
      <c r="O521" s="144"/>
      <c r="P521" s="144"/>
      <c r="Q521" s="144"/>
      <c r="R521" s="144"/>
      <c r="S521" s="144"/>
      <c r="T521" s="144"/>
      <c r="U521" s="144"/>
      <c r="V521" s="144"/>
      <c r="W521" s="144"/>
      <c r="X521" s="144"/>
      <c r="Y521" s="144"/>
      <c r="Z521" s="144"/>
      <c r="AA521" s="144"/>
      <c r="AB521" s="144"/>
      <c r="AC521" s="144"/>
      <c r="AD521" s="144"/>
      <c r="AE521" s="144"/>
      <c r="AF521" s="144"/>
    </row>
    <row r="522" ht="16.5" customHeight="1">
      <c r="A522" s="144"/>
      <c r="B522" s="144"/>
      <c r="C522" s="144"/>
      <c r="D522" s="144"/>
      <c r="E522" s="144"/>
      <c r="F522" s="144"/>
      <c r="G522" s="144"/>
      <c r="H522" s="144"/>
      <c r="I522" s="496"/>
      <c r="J522" s="496"/>
      <c r="K522" s="496"/>
      <c r="L522" s="496"/>
      <c r="M522" s="144"/>
      <c r="N522" s="144"/>
      <c r="O522" s="144"/>
      <c r="P522" s="144"/>
      <c r="Q522" s="144"/>
      <c r="R522" s="144"/>
      <c r="S522" s="144"/>
      <c r="T522" s="144"/>
      <c r="U522" s="144"/>
      <c r="V522" s="144"/>
      <c r="W522" s="144"/>
      <c r="X522" s="144"/>
      <c r="Y522" s="144"/>
      <c r="Z522" s="144"/>
      <c r="AA522" s="144"/>
      <c r="AB522" s="144"/>
      <c r="AC522" s="144"/>
      <c r="AD522" s="144"/>
      <c r="AE522" s="144"/>
      <c r="AF522" s="144"/>
    </row>
    <row r="523" ht="16.5" customHeight="1">
      <c r="A523" s="144"/>
      <c r="B523" s="144"/>
      <c r="C523" s="144"/>
      <c r="D523" s="144"/>
      <c r="E523" s="144"/>
      <c r="F523" s="144"/>
      <c r="G523" s="144"/>
      <c r="H523" s="144"/>
      <c r="I523" s="496"/>
      <c r="J523" s="496"/>
      <c r="K523" s="496"/>
      <c r="L523" s="496"/>
      <c r="M523" s="144"/>
      <c r="N523" s="144"/>
      <c r="O523" s="144"/>
      <c r="P523" s="144"/>
      <c r="Q523" s="144"/>
      <c r="R523" s="144"/>
      <c r="S523" s="144"/>
      <c r="T523" s="144"/>
      <c r="U523" s="144"/>
      <c r="V523" s="144"/>
      <c r="W523" s="144"/>
      <c r="X523" s="144"/>
      <c r="Y523" s="144"/>
      <c r="Z523" s="144"/>
      <c r="AA523" s="144"/>
      <c r="AB523" s="144"/>
      <c r="AC523" s="144"/>
      <c r="AD523" s="144"/>
      <c r="AE523" s="144"/>
      <c r="AF523" s="144"/>
    </row>
    <row r="524" ht="16.5" customHeight="1">
      <c r="A524" s="144"/>
      <c r="B524" s="144"/>
      <c r="C524" s="144"/>
      <c r="D524" s="144"/>
      <c r="E524" s="144"/>
      <c r="F524" s="144"/>
      <c r="G524" s="144"/>
      <c r="H524" s="144"/>
      <c r="I524" s="496"/>
      <c r="J524" s="496"/>
      <c r="K524" s="496"/>
      <c r="L524" s="496"/>
      <c r="M524" s="144"/>
      <c r="N524" s="144"/>
      <c r="O524" s="144"/>
      <c r="P524" s="144"/>
      <c r="Q524" s="144"/>
      <c r="R524" s="144"/>
      <c r="S524" s="144"/>
      <c r="T524" s="144"/>
      <c r="U524" s="144"/>
      <c r="V524" s="144"/>
      <c r="W524" s="144"/>
      <c r="X524" s="144"/>
      <c r="Y524" s="144"/>
      <c r="Z524" s="144"/>
      <c r="AA524" s="144"/>
      <c r="AB524" s="144"/>
      <c r="AC524" s="144"/>
      <c r="AD524" s="144"/>
      <c r="AE524" s="144"/>
      <c r="AF524" s="144"/>
    </row>
    <row r="525" ht="16.5" customHeight="1">
      <c r="A525" s="144"/>
      <c r="B525" s="144"/>
      <c r="C525" s="144"/>
      <c r="D525" s="144"/>
      <c r="E525" s="144"/>
      <c r="F525" s="144"/>
      <c r="G525" s="144"/>
      <c r="H525" s="144"/>
      <c r="I525" s="496"/>
      <c r="J525" s="496"/>
      <c r="K525" s="496"/>
      <c r="L525" s="496"/>
      <c r="M525" s="144"/>
      <c r="N525" s="144"/>
      <c r="O525" s="144"/>
      <c r="P525" s="144"/>
      <c r="Q525" s="144"/>
      <c r="R525" s="144"/>
      <c r="S525" s="144"/>
      <c r="T525" s="144"/>
      <c r="U525" s="144"/>
      <c r="V525" s="144"/>
      <c r="W525" s="144"/>
      <c r="X525" s="144"/>
      <c r="Y525" s="144"/>
      <c r="Z525" s="144"/>
      <c r="AA525" s="144"/>
      <c r="AB525" s="144"/>
      <c r="AC525" s="144"/>
      <c r="AD525" s="144"/>
      <c r="AE525" s="144"/>
      <c r="AF525" s="144"/>
    </row>
    <row r="526" ht="16.5" customHeight="1">
      <c r="A526" s="144"/>
      <c r="B526" s="144"/>
      <c r="C526" s="144"/>
      <c r="D526" s="144"/>
      <c r="E526" s="144"/>
      <c r="F526" s="144"/>
      <c r="G526" s="144"/>
      <c r="H526" s="144"/>
      <c r="I526" s="496"/>
      <c r="J526" s="496"/>
      <c r="K526" s="496"/>
      <c r="L526" s="496"/>
      <c r="M526" s="144"/>
      <c r="N526" s="144"/>
      <c r="O526" s="144"/>
      <c r="P526" s="144"/>
      <c r="Q526" s="144"/>
      <c r="R526" s="144"/>
      <c r="S526" s="144"/>
      <c r="T526" s="144"/>
      <c r="U526" s="144"/>
      <c r="V526" s="144"/>
      <c r="W526" s="144"/>
      <c r="X526" s="144"/>
      <c r="Y526" s="144"/>
      <c r="Z526" s="144"/>
      <c r="AA526" s="144"/>
      <c r="AB526" s="144"/>
      <c r="AC526" s="144"/>
      <c r="AD526" s="144"/>
      <c r="AE526" s="144"/>
      <c r="AF526" s="144"/>
    </row>
    <row r="527" ht="16.5" customHeight="1">
      <c r="A527" s="144"/>
      <c r="B527" s="144"/>
      <c r="C527" s="144"/>
      <c r="D527" s="144"/>
      <c r="E527" s="144"/>
      <c r="F527" s="144"/>
      <c r="G527" s="144"/>
      <c r="H527" s="144"/>
      <c r="I527" s="496"/>
      <c r="J527" s="496"/>
      <c r="K527" s="496"/>
      <c r="L527" s="496"/>
      <c r="M527" s="144"/>
      <c r="N527" s="144"/>
      <c r="O527" s="144"/>
      <c r="P527" s="144"/>
      <c r="Q527" s="144"/>
      <c r="R527" s="144"/>
      <c r="S527" s="144"/>
      <c r="T527" s="144"/>
      <c r="U527" s="144"/>
      <c r="V527" s="144"/>
      <c r="W527" s="144"/>
      <c r="X527" s="144"/>
      <c r="Y527" s="144"/>
      <c r="Z527" s="144"/>
      <c r="AA527" s="144"/>
      <c r="AB527" s="144"/>
      <c r="AC527" s="144"/>
      <c r="AD527" s="144"/>
      <c r="AE527" s="144"/>
      <c r="AF527" s="144"/>
    </row>
    <row r="528" ht="16.5" customHeight="1">
      <c r="A528" s="144"/>
      <c r="B528" s="144"/>
      <c r="C528" s="144"/>
      <c r="D528" s="144"/>
      <c r="E528" s="144"/>
      <c r="F528" s="144"/>
      <c r="G528" s="144"/>
      <c r="H528" s="144"/>
      <c r="I528" s="496"/>
      <c r="J528" s="496"/>
      <c r="K528" s="496"/>
      <c r="L528" s="496"/>
      <c r="M528" s="144"/>
      <c r="N528" s="144"/>
      <c r="O528" s="144"/>
      <c r="P528" s="144"/>
      <c r="Q528" s="144"/>
      <c r="R528" s="144"/>
      <c r="S528" s="144"/>
      <c r="T528" s="144"/>
      <c r="U528" s="144"/>
      <c r="V528" s="144"/>
      <c r="W528" s="144"/>
      <c r="X528" s="144"/>
      <c r="Y528" s="144"/>
      <c r="Z528" s="144"/>
      <c r="AA528" s="144"/>
      <c r="AB528" s="144"/>
      <c r="AC528" s="144"/>
      <c r="AD528" s="144"/>
      <c r="AE528" s="144"/>
      <c r="AF528" s="144"/>
    </row>
    <row r="529" ht="16.5" customHeight="1">
      <c r="A529" s="144"/>
      <c r="B529" s="144"/>
      <c r="C529" s="144"/>
      <c r="D529" s="144"/>
      <c r="E529" s="144"/>
      <c r="F529" s="144"/>
      <c r="G529" s="144"/>
      <c r="H529" s="144"/>
      <c r="I529" s="496"/>
      <c r="J529" s="496"/>
      <c r="K529" s="496"/>
      <c r="L529" s="496"/>
      <c r="M529" s="144"/>
      <c r="N529" s="144"/>
      <c r="O529" s="144"/>
      <c r="P529" s="144"/>
      <c r="Q529" s="144"/>
      <c r="R529" s="144"/>
      <c r="S529" s="144"/>
      <c r="T529" s="144"/>
      <c r="U529" s="144"/>
      <c r="V529" s="144"/>
      <c r="W529" s="144"/>
      <c r="X529" s="144"/>
      <c r="Y529" s="144"/>
      <c r="Z529" s="144"/>
      <c r="AA529" s="144"/>
      <c r="AB529" s="144"/>
      <c r="AC529" s="144"/>
      <c r="AD529" s="144"/>
      <c r="AE529" s="144"/>
      <c r="AF529" s="144"/>
    </row>
    <row r="530" ht="16.5" customHeight="1">
      <c r="A530" s="144"/>
      <c r="B530" s="144"/>
      <c r="C530" s="144"/>
      <c r="D530" s="144"/>
      <c r="E530" s="144"/>
      <c r="F530" s="144"/>
      <c r="G530" s="144"/>
      <c r="H530" s="144"/>
      <c r="I530" s="496"/>
      <c r="J530" s="496"/>
      <c r="K530" s="496"/>
      <c r="L530" s="496"/>
      <c r="M530" s="144"/>
      <c r="N530" s="144"/>
      <c r="O530" s="144"/>
      <c r="P530" s="144"/>
      <c r="Q530" s="144"/>
      <c r="R530" s="144"/>
      <c r="S530" s="144"/>
      <c r="T530" s="144"/>
      <c r="U530" s="144"/>
      <c r="V530" s="144"/>
      <c r="W530" s="144"/>
      <c r="X530" s="144"/>
      <c r="Y530" s="144"/>
      <c r="Z530" s="144"/>
      <c r="AA530" s="144"/>
      <c r="AB530" s="144"/>
      <c r="AC530" s="144"/>
      <c r="AD530" s="144"/>
      <c r="AE530" s="144"/>
      <c r="AF530" s="144"/>
    </row>
    <row r="531" ht="16.5" customHeight="1">
      <c r="A531" s="144"/>
      <c r="B531" s="144"/>
      <c r="C531" s="144"/>
      <c r="D531" s="144"/>
      <c r="E531" s="144"/>
      <c r="F531" s="144"/>
      <c r="G531" s="144"/>
      <c r="H531" s="144"/>
      <c r="I531" s="496"/>
      <c r="J531" s="496"/>
      <c r="K531" s="496"/>
      <c r="L531" s="496"/>
      <c r="M531" s="144"/>
      <c r="N531" s="144"/>
      <c r="O531" s="144"/>
      <c r="P531" s="144"/>
      <c r="Q531" s="144"/>
      <c r="R531" s="144"/>
      <c r="S531" s="144"/>
      <c r="T531" s="144"/>
      <c r="U531" s="144"/>
      <c r="V531" s="144"/>
      <c r="W531" s="144"/>
      <c r="X531" s="144"/>
      <c r="Y531" s="144"/>
      <c r="Z531" s="144"/>
      <c r="AA531" s="144"/>
      <c r="AB531" s="144"/>
      <c r="AC531" s="144"/>
      <c r="AD531" s="144"/>
      <c r="AE531" s="144"/>
      <c r="AF531" s="144"/>
    </row>
    <row r="532" ht="16.5" customHeight="1">
      <c r="A532" s="144"/>
      <c r="B532" s="144"/>
      <c r="C532" s="144"/>
      <c r="D532" s="144"/>
      <c r="E532" s="144"/>
      <c r="F532" s="144"/>
      <c r="G532" s="144"/>
      <c r="H532" s="144"/>
      <c r="I532" s="496"/>
      <c r="J532" s="496"/>
      <c r="K532" s="496"/>
      <c r="L532" s="496"/>
      <c r="M532" s="144"/>
      <c r="N532" s="144"/>
      <c r="O532" s="144"/>
      <c r="P532" s="144"/>
      <c r="Q532" s="144"/>
      <c r="R532" s="144"/>
      <c r="S532" s="144"/>
      <c r="T532" s="144"/>
      <c r="U532" s="144"/>
      <c r="V532" s="144"/>
      <c r="W532" s="144"/>
      <c r="X532" s="144"/>
      <c r="Y532" s="144"/>
      <c r="Z532" s="144"/>
      <c r="AA532" s="144"/>
      <c r="AB532" s="144"/>
      <c r="AC532" s="144"/>
      <c r="AD532" s="144"/>
      <c r="AE532" s="144"/>
      <c r="AF532" s="144"/>
    </row>
    <row r="533" ht="16.5" customHeight="1">
      <c r="A533" s="144"/>
      <c r="B533" s="144"/>
      <c r="C533" s="144"/>
      <c r="D533" s="144"/>
      <c r="E533" s="144"/>
      <c r="F533" s="144"/>
      <c r="G533" s="144"/>
      <c r="H533" s="144"/>
      <c r="I533" s="496"/>
      <c r="J533" s="496"/>
      <c r="K533" s="496"/>
      <c r="L533" s="496"/>
      <c r="M533" s="144"/>
      <c r="N533" s="144"/>
      <c r="O533" s="144"/>
      <c r="P533" s="144"/>
      <c r="Q533" s="144"/>
      <c r="R533" s="144"/>
      <c r="S533" s="144"/>
      <c r="T533" s="144"/>
      <c r="U533" s="144"/>
      <c r="V533" s="144"/>
      <c r="W533" s="144"/>
      <c r="X533" s="144"/>
      <c r="Y533" s="144"/>
      <c r="Z533" s="144"/>
      <c r="AA533" s="144"/>
      <c r="AB533" s="144"/>
      <c r="AC533" s="144"/>
      <c r="AD533" s="144"/>
      <c r="AE533" s="144"/>
      <c r="AF533" s="144"/>
    </row>
    <row r="534" ht="16.5" customHeight="1">
      <c r="A534" s="144"/>
      <c r="B534" s="144"/>
      <c r="C534" s="144"/>
      <c r="D534" s="144"/>
      <c r="E534" s="144"/>
      <c r="F534" s="144"/>
      <c r="G534" s="144"/>
      <c r="H534" s="144"/>
      <c r="I534" s="496"/>
      <c r="J534" s="496"/>
      <c r="K534" s="496"/>
      <c r="L534" s="496"/>
      <c r="M534" s="144"/>
      <c r="N534" s="144"/>
      <c r="O534" s="144"/>
      <c r="P534" s="144"/>
      <c r="Q534" s="144"/>
      <c r="R534" s="144"/>
      <c r="S534" s="144"/>
      <c r="T534" s="144"/>
      <c r="U534" s="144"/>
      <c r="V534" s="144"/>
      <c r="W534" s="144"/>
      <c r="X534" s="144"/>
      <c r="Y534" s="144"/>
      <c r="Z534" s="144"/>
      <c r="AA534" s="144"/>
      <c r="AB534" s="144"/>
      <c r="AC534" s="144"/>
      <c r="AD534" s="144"/>
      <c r="AE534" s="144"/>
      <c r="AF534" s="144"/>
    </row>
    <row r="535" ht="16.5" customHeight="1">
      <c r="A535" s="144"/>
      <c r="B535" s="144"/>
      <c r="C535" s="144"/>
      <c r="D535" s="144"/>
      <c r="E535" s="144"/>
      <c r="F535" s="144"/>
      <c r="G535" s="144"/>
      <c r="H535" s="144"/>
      <c r="I535" s="496"/>
      <c r="J535" s="496"/>
      <c r="K535" s="496"/>
      <c r="L535" s="496"/>
      <c r="M535" s="144"/>
      <c r="N535" s="144"/>
      <c r="O535" s="144"/>
      <c r="P535" s="144"/>
      <c r="Q535" s="144"/>
      <c r="R535" s="144"/>
      <c r="S535" s="144"/>
      <c r="T535" s="144"/>
      <c r="U535" s="144"/>
      <c r="V535" s="144"/>
      <c r="W535" s="144"/>
      <c r="X535" s="144"/>
      <c r="Y535" s="144"/>
      <c r="Z535" s="144"/>
      <c r="AA535" s="144"/>
      <c r="AB535" s="144"/>
      <c r="AC535" s="144"/>
      <c r="AD535" s="144"/>
      <c r="AE535" s="144"/>
      <c r="AF535" s="144"/>
    </row>
    <row r="536" ht="16.5" customHeight="1">
      <c r="A536" s="144"/>
      <c r="B536" s="144"/>
      <c r="C536" s="144"/>
      <c r="D536" s="144"/>
      <c r="E536" s="144"/>
      <c r="F536" s="144"/>
      <c r="G536" s="144"/>
      <c r="H536" s="144"/>
      <c r="I536" s="496"/>
      <c r="J536" s="496"/>
      <c r="K536" s="496"/>
      <c r="L536" s="496"/>
      <c r="M536" s="144"/>
      <c r="N536" s="144"/>
      <c r="O536" s="144"/>
      <c r="P536" s="144"/>
      <c r="Q536" s="144"/>
      <c r="R536" s="144"/>
      <c r="S536" s="144"/>
      <c r="T536" s="144"/>
      <c r="U536" s="144"/>
      <c r="V536" s="144"/>
      <c r="W536" s="144"/>
      <c r="X536" s="144"/>
      <c r="Y536" s="144"/>
      <c r="Z536" s="144"/>
      <c r="AA536" s="144"/>
      <c r="AB536" s="144"/>
      <c r="AC536" s="144"/>
      <c r="AD536" s="144"/>
      <c r="AE536" s="144"/>
      <c r="AF536" s="144"/>
    </row>
    <row r="537" ht="16.5" customHeight="1">
      <c r="A537" s="144"/>
      <c r="B537" s="144"/>
      <c r="C537" s="144"/>
      <c r="D537" s="144"/>
      <c r="E537" s="144"/>
      <c r="F537" s="144"/>
      <c r="G537" s="144"/>
      <c r="H537" s="144"/>
      <c r="I537" s="496"/>
      <c r="J537" s="496"/>
      <c r="K537" s="496"/>
      <c r="L537" s="496"/>
      <c r="M537" s="144"/>
      <c r="N537" s="144"/>
      <c r="O537" s="144"/>
      <c r="P537" s="144"/>
      <c r="Q537" s="144"/>
      <c r="R537" s="144"/>
      <c r="S537" s="144"/>
      <c r="T537" s="144"/>
      <c r="U537" s="144"/>
      <c r="V537" s="144"/>
      <c r="W537" s="144"/>
      <c r="X537" s="144"/>
      <c r="Y537" s="144"/>
      <c r="Z537" s="144"/>
      <c r="AA537" s="144"/>
      <c r="AB537" s="144"/>
      <c r="AC537" s="144"/>
      <c r="AD537" s="144"/>
      <c r="AE537" s="144"/>
      <c r="AF537" s="144"/>
    </row>
    <row r="538" ht="16.5" customHeight="1">
      <c r="A538" s="144"/>
      <c r="B538" s="144"/>
      <c r="C538" s="144"/>
      <c r="D538" s="144"/>
      <c r="E538" s="144"/>
      <c r="F538" s="144"/>
      <c r="G538" s="144"/>
      <c r="H538" s="144"/>
      <c r="I538" s="496"/>
      <c r="J538" s="496"/>
      <c r="K538" s="496"/>
      <c r="L538" s="496"/>
      <c r="M538" s="144"/>
      <c r="N538" s="144"/>
      <c r="O538" s="144"/>
      <c r="P538" s="144"/>
      <c r="Q538" s="144"/>
      <c r="R538" s="144"/>
      <c r="S538" s="144"/>
      <c r="T538" s="144"/>
      <c r="U538" s="144"/>
      <c r="V538" s="144"/>
      <c r="W538" s="144"/>
      <c r="X538" s="144"/>
      <c r="Y538" s="144"/>
      <c r="Z538" s="144"/>
      <c r="AA538" s="144"/>
      <c r="AB538" s="144"/>
      <c r="AC538" s="144"/>
      <c r="AD538" s="144"/>
      <c r="AE538" s="144"/>
      <c r="AF538" s="144"/>
    </row>
    <row r="539" ht="16.5" customHeight="1">
      <c r="A539" s="144"/>
      <c r="B539" s="144"/>
      <c r="C539" s="144"/>
      <c r="D539" s="144"/>
      <c r="E539" s="144"/>
      <c r="F539" s="144"/>
      <c r="G539" s="144"/>
      <c r="H539" s="144"/>
      <c r="I539" s="496"/>
      <c r="J539" s="496"/>
      <c r="K539" s="496"/>
      <c r="L539" s="496"/>
      <c r="M539" s="144"/>
      <c r="N539" s="144"/>
      <c r="O539" s="144"/>
      <c r="P539" s="144"/>
      <c r="Q539" s="144"/>
      <c r="R539" s="144"/>
      <c r="S539" s="144"/>
      <c r="T539" s="144"/>
      <c r="U539" s="144"/>
      <c r="V539" s="144"/>
      <c r="W539" s="144"/>
      <c r="X539" s="144"/>
      <c r="Y539" s="144"/>
      <c r="Z539" s="144"/>
      <c r="AA539" s="144"/>
      <c r="AB539" s="144"/>
      <c r="AC539" s="144"/>
      <c r="AD539" s="144"/>
      <c r="AE539" s="144"/>
      <c r="AF539" s="144"/>
    </row>
    <row r="540" ht="16.5" customHeight="1">
      <c r="A540" s="144"/>
      <c r="B540" s="144"/>
      <c r="C540" s="144"/>
      <c r="D540" s="144"/>
      <c r="E540" s="144"/>
      <c r="F540" s="144"/>
      <c r="G540" s="144"/>
      <c r="H540" s="144"/>
      <c r="I540" s="496"/>
      <c r="J540" s="496"/>
      <c r="K540" s="496"/>
      <c r="L540" s="496"/>
      <c r="M540" s="144"/>
      <c r="N540" s="144"/>
      <c r="O540" s="144"/>
      <c r="P540" s="144"/>
      <c r="Q540" s="144"/>
      <c r="R540" s="144"/>
      <c r="S540" s="144"/>
      <c r="T540" s="144"/>
      <c r="U540" s="144"/>
      <c r="V540" s="144"/>
      <c r="W540" s="144"/>
      <c r="X540" s="144"/>
      <c r="Y540" s="144"/>
      <c r="Z540" s="144"/>
      <c r="AA540" s="144"/>
      <c r="AB540" s="144"/>
      <c r="AC540" s="144"/>
      <c r="AD540" s="144"/>
      <c r="AE540" s="144"/>
      <c r="AF540" s="144"/>
    </row>
    <row r="541" ht="16.5" customHeight="1">
      <c r="A541" s="144"/>
      <c r="B541" s="144"/>
      <c r="C541" s="144"/>
      <c r="D541" s="144"/>
      <c r="E541" s="144"/>
      <c r="F541" s="144"/>
      <c r="G541" s="144"/>
      <c r="H541" s="144"/>
      <c r="I541" s="496"/>
      <c r="J541" s="496"/>
      <c r="K541" s="496"/>
      <c r="L541" s="496"/>
      <c r="M541" s="144"/>
      <c r="N541" s="144"/>
      <c r="O541" s="144"/>
      <c r="P541" s="144"/>
      <c r="Q541" s="144"/>
      <c r="R541" s="144"/>
      <c r="S541" s="144"/>
      <c r="T541" s="144"/>
      <c r="U541" s="144"/>
      <c r="V541" s="144"/>
      <c r="W541" s="144"/>
      <c r="X541" s="144"/>
      <c r="Y541" s="144"/>
      <c r="Z541" s="144"/>
      <c r="AA541" s="144"/>
      <c r="AB541" s="144"/>
      <c r="AC541" s="144"/>
      <c r="AD541" s="144"/>
      <c r="AE541" s="144"/>
      <c r="AF541" s="144"/>
    </row>
    <row r="542" ht="16.5" customHeight="1">
      <c r="A542" s="144"/>
      <c r="B542" s="144"/>
      <c r="C542" s="144"/>
      <c r="D542" s="144"/>
      <c r="E542" s="144"/>
      <c r="F542" s="144"/>
      <c r="G542" s="144"/>
      <c r="H542" s="144"/>
      <c r="I542" s="496"/>
      <c r="J542" s="496"/>
      <c r="K542" s="496"/>
      <c r="L542" s="496"/>
      <c r="M542" s="144"/>
      <c r="N542" s="144"/>
      <c r="O542" s="144"/>
      <c r="P542" s="144"/>
      <c r="Q542" s="144"/>
      <c r="R542" s="144"/>
      <c r="S542" s="144"/>
      <c r="T542" s="144"/>
      <c r="U542" s="144"/>
      <c r="V542" s="144"/>
      <c r="W542" s="144"/>
      <c r="X542" s="144"/>
      <c r="Y542" s="144"/>
      <c r="Z542" s="144"/>
      <c r="AA542" s="144"/>
      <c r="AB542" s="144"/>
      <c r="AC542" s="144"/>
      <c r="AD542" s="144"/>
      <c r="AE542" s="144"/>
      <c r="AF542" s="144"/>
    </row>
    <row r="543" ht="16.5" customHeight="1">
      <c r="A543" s="144"/>
      <c r="B543" s="144"/>
      <c r="C543" s="144"/>
      <c r="D543" s="144"/>
      <c r="E543" s="144"/>
      <c r="F543" s="144"/>
      <c r="G543" s="144"/>
      <c r="H543" s="144"/>
      <c r="I543" s="496"/>
      <c r="J543" s="496"/>
      <c r="K543" s="496"/>
      <c r="L543" s="496"/>
      <c r="M543" s="144"/>
      <c r="N543" s="144"/>
      <c r="O543" s="144"/>
      <c r="P543" s="144"/>
      <c r="Q543" s="144"/>
      <c r="R543" s="144"/>
      <c r="S543" s="144"/>
      <c r="T543" s="144"/>
      <c r="U543" s="144"/>
      <c r="V543" s="144"/>
      <c r="W543" s="144"/>
      <c r="X543" s="144"/>
      <c r="Y543" s="144"/>
      <c r="Z543" s="144"/>
      <c r="AA543" s="144"/>
      <c r="AB543" s="144"/>
      <c r="AC543" s="144"/>
      <c r="AD543" s="144"/>
      <c r="AE543" s="144"/>
      <c r="AF543" s="144"/>
    </row>
    <row r="544" ht="16.5" customHeight="1">
      <c r="A544" s="144"/>
      <c r="B544" s="144"/>
      <c r="C544" s="144"/>
      <c r="D544" s="144"/>
      <c r="E544" s="144"/>
      <c r="F544" s="144"/>
      <c r="G544" s="144"/>
      <c r="H544" s="144"/>
      <c r="I544" s="496"/>
      <c r="J544" s="496"/>
      <c r="K544" s="496"/>
      <c r="L544" s="496"/>
      <c r="M544" s="144"/>
      <c r="N544" s="144"/>
      <c r="O544" s="144"/>
      <c r="P544" s="144"/>
      <c r="Q544" s="144"/>
      <c r="R544" s="144"/>
      <c r="S544" s="144"/>
      <c r="T544" s="144"/>
      <c r="U544" s="144"/>
      <c r="V544" s="144"/>
      <c r="W544" s="144"/>
      <c r="X544" s="144"/>
      <c r="Y544" s="144"/>
      <c r="Z544" s="144"/>
      <c r="AA544" s="144"/>
      <c r="AB544" s="144"/>
      <c r="AC544" s="144"/>
      <c r="AD544" s="144"/>
      <c r="AE544" s="144"/>
      <c r="AF544" s="144"/>
    </row>
    <row r="545" ht="16.5" customHeight="1">
      <c r="A545" s="144"/>
      <c r="B545" s="144"/>
      <c r="C545" s="144"/>
      <c r="D545" s="144"/>
      <c r="E545" s="144"/>
      <c r="F545" s="144"/>
      <c r="G545" s="144"/>
      <c r="H545" s="144"/>
      <c r="I545" s="496"/>
      <c r="J545" s="496"/>
      <c r="K545" s="496"/>
      <c r="L545" s="496"/>
      <c r="M545" s="144"/>
      <c r="N545" s="144"/>
      <c r="O545" s="144"/>
      <c r="P545" s="144"/>
      <c r="Q545" s="144"/>
      <c r="R545" s="144"/>
      <c r="S545" s="144"/>
      <c r="T545" s="144"/>
      <c r="U545" s="144"/>
      <c r="V545" s="144"/>
      <c r="W545" s="144"/>
      <c r="X545" s="144"/>
      <c r="Y545" s="144"/>
      <c r="Z545" s="144"/>
      <c r="AA545" s="144"/>
      <c r="AB545" s="144"/>
      <c r="AC545" s="144"/>
      <c r="AD545" s="144"/>
      <c r="AE545" s="144"/>
      <c r="AF545" s="144"/>
    </row>
    <row r="546" ht="16.5" customHeight="1">
      <c r="A546" s="144"/>
      <c r="B546" s="144"/>
      <c r="C546" s="144"/>
      <c r="D546" s="144"/>
      <c r="E546" s="144"/>
      <c r="F546" s="144"/>
      <c r="G546" s="144"/>
      <c r="H546" s="144"/>
      <c r="I546" s="496"/>
      <c r="J546" s="496"/>
      <c r="K546" s="496"/>
      <c r="L546" s="496"/>
      <c r="M546" s="144"/>
      <c r="N546" s="144"/>
      <c r="O546" s="144"/>
      <c r="P546" s="144"/>
      <c r="Q546" s="144"/>
      <c r="R546" s="144"/>
      <c r="S546" s="144"/>
      <c r="T546" s="144"/>
      <c r="U546" s="144"/>
      <c r="V546" s="144"/>
      <c r="W546" s="144"/>
      <c r="X546" s="144"/>
      <c r="Y546" s="144"/>
      <c r="Z546" s="144"/>
      <c r="AA546" s="144"/>
      <c r="AB546" s="144"/>
      <c r="AC546" s="144"/>
      <c r="AD546" s="144"/>
      <c r="AE546" s="144"/>
      <c r="AF546" s="144"/>
    </row>
    <row r="547" ht="16.5" customHeight="1">
      <c r="A547" s="144"/>
      <c r="B547" s="144"/>
      <c r="C547" s="144"/>
      <c r="D547" s="144"/>
      <c r="E547" s="144"/>
      <c r="F547" s="144"/>
      <c r="G547" s="144"/>
      <c r="H547" s="144"/>
      <c r="I547" s="496"/>
      <c r="J547" s="496"/>
      <c r="K547" s="496"/>
      <c r="L547" s="496"/>
      <c r="M547" s="144"/>
      <c r="N547" s="144"/>
      <c r="O547" s="144"/>
      <c r="P547" s="144"/>
      <c r="Q547" s="144"/>
      <c r="R547" s="144"/>
      <c r="S547" s="144"/>
      <c r="T547" s="144"/>
      <c r="U547" s="144"/>
      <c r="V547" s="144"/>
      <c r="W547" s="144"/>
      <c r="X547" s="144"/>
      <c r="Y547" s="144"/>
      <c r="Z547" s="144"/>
      <c r="AA547" s="144"/>
      <c r="AB547" s="144"/>
      <c r="AC547" s="144"/>
      <c r="AD547" s="144"/>
      <c r="AE547" s="144"/>
      <c r="AF547" s="144"/>
    </row>
    <row r="548" ht="16.5" customHeight="1">
      <c r="A548" s="144"/>
      <c r="B548" s="144"/>
      <c r="C548" s="144"/>
      <c r="D548" s="144"/>
      <c r="E548" s="144"/>
      <c r="F548" s="144"/>
      <c r="G548" s="144"/>
      <c r="H548" s="144"/>
      <c r="I548" s="496"/>
      <c r="J548" s="496"/>
      <c r="K548" s="496"/>
      <c r="L548" s="496"/>
      <c r="M548" s="144"/>
      <c r="N548" s="144"/>
      <c r="O548" s="144"/>
      <c r="P548" s="144"/>
      <c r="Q548" s="144"/>
      <c r="R548" s="144"/>
      <c r="S548" s="144"/>
      <c r="T548" s="144"/>
      <c r="U548" s="144"/>
      <c r="V548" s="144"/>
      <c r="W548" s="144"/>
      <c r="X548" s="144"/>
      <c r="Y548" s="144"/>
      <c r="Z548" s="144"/>
      <c r="AA548" s="144"/>
      <c r="AB548" s="144"/>
      <c r="AC548" s="144"/>
      <c r="AD548" s="144"/>
      <c r="AE548" s="144"/>
      <c r="AF548" s="144"/>
    </row>
    <row r="549" ht="16.5" customHeight="1">
      <c r="A549" s="144"/>
      <c r="B549" s="144"/>
      <c r="C549" s="144"/>
      <c r="D549" s="144"/>
      <c r="E549" s="144"/>
      <c r="F549" s="144"/>
      <c r="G549" s="144"/>
      <c r="H549" s="144"/>
      <c r="I549" s="496"/>
      <c r="J549" s="496"/>
      <c r="K549" s="496"/>
      <c r="L549" s="496"/>
      <c r="M549" s="144"/>
      <c r="N549" s="144"/>
      <c r="O549" s="144"/>
      <c r="P549" s="144"/>
      <c r="Q549" s="144"/>
      <c r="R549" s="144"/>
      <c r="S549" s="144"/>
      <c r="T549" s="144"/>
      <c r="U549" s="144"/>
      <c r="V549" s="144"/>
      <c r="W549" s="144"/>
      <c r="X549" s="144"/>
      <c r="Y549" s="144"/>
      <c r="Z549" s="144"/>
      <c r="AA549" s="144"/>
      <c r="AB549" s="144"/>
      <c r="AC549" s="144"/>
      <c r="AD549" s="144"/>
      <c r="AE549" s="144"/>
      <c r="AF549" s="144"/>
    </row>
    <row r="550" ht="16.5" customHeight="1">
      <c r="A550" s="144"/>
      <c r="B550" s="144"/>
      <c r="C550" s="144"/>
      <c r="D550" s="144"/>
      <c r="E550" s="144"/>
      <c r="F550" s="144"/>
      <c r="G550" s="144"/>
      <c r="H550" s="144"/>
      <c r="I550" s="496"/>
      <c r="J550" s="496"/>
      <c r="K550" s="496"/>
      <c r="L550" s="496"/>
      <c r="M550" s="144"/>
      <c r="N550" s="144"/>
      <c r="O550" s="144"/>
      <c r="P550" s="144"/>
      <c r="Q550" s="144"/>
      <c r="R550" s="144"/>
      <c r="S550" s="144"/>
      <c r="T550" s="144"/>
      <c r="U550" s="144"/>
      <c r="V550" s="144"/>
      <c r="W550" s="144"/>
      <c r="X550" s="144"/>
      <c r="Y550" s="144"/>
      <c r="Z550" s="144"/>
      <c r="AA550" s="144"/>
      <c r="AB550" s="144"/>
      <c r="AC550" s="144"/>
      <c r="AD550" s="144"/>
      <c r="AE550" s="144"/>
      <c r="AF550" s="144"/>
    </row>
    <row r="551" ht="16.5" customHeight="1">
      <c r="A551" s="144"/>
      <c r="B551" s="144"/>
      <c r="C551" s="144"/>
      <c r="D551" s="144"/>
      <c r="E551" s="144"/>
      <c r="F551" s="144"/>
      <c r="G551" s="144"/>
      <c r="H551" s="144"/>
      <c r="I551" s="496"/>
      <c r="J551" s="496"/>
      <c r="K551" s="496"/>
      <c r="L551" s="496"/>
      <c r="M551" s="144"/>
      <c r="N551" s="144"/>
      <c r="O551" s="144"/>
      <c r="P551" s="144"/>
      <c r="Q551" s="144"/>
      <c r="R551" s="144"/>
      <c r="S551" s="144"/>
      <c r="T551" s="144"/>
      <c r="U551" s="144"/>
      <c r="V551" s="144"/>
      <c r="W551" s="144"/>
      <c r="X551" s="144"/>
      <c r="Y551" s="144"/>
      <c r="Z551" s="144"/>
      <c r="AA551" s="144"/>
      <c r="AB551" s="144"/>
      <c r="AC551" s="144"/>
      <c r="AD551" s="144"/>
      <c r="AE551" s="144"/>
      <c r="AF551" s="144"/>
    </row>
    <row r="552" ht="16.5" customHeight="1">
      <c r="A552" s="144"/>
      <c r="B552" s="144"/>
      <c r="C552" s="144"/>
      <c r="D552" s="144"/>
      <c r="E552" s="144"/>
      <c r="F552" s="144"/>
      <c r="G552" s="144"/>
      <c r="H552" s="144"/>
      <c r="I552" s="496"/>
      <c r="J552" s="496"/>
      <c r="K552" s="496"/>
      <c r="L552" s="496"/>
      <c r="M552" s="144"/>
      <c r="N552" s="144"/>
      <c r="O552" s="144"/>
      <c r="P552" s="144"/>
      <c r="Q552" s="144"/>
      <c r="R552" s="144"/>
      <c r="S552" s="144"/>
      <c r="T552" s="144"/>
      <c r="U552" s="144"/>
      <c r="V552" s="144"/>
      <c r="W552" s="144"/>
      <c r="X552" s="144"/>
      <c r="Y552" s="144"/>
      <c r="Z552" s="144"/>
      <c r="AA552" s="144"/>
      <c r="AB552" s="144"/>
      <c r="AC552" s="144"/>
      <c r="AD552" s="144"/>
      <c r="AE552" s="144"/>
      <c r="AF552" s="144"/>
    </row>
    <row r="553" ht="16.5" customHeight="1">
      <c r="A553" s="144"/>
      <c r="B553" s="144"/>
      <c r="C553" s="144"/>
      <c r="D553" s="144"/>
      <c r="E553" s="144"/>
      <c r="F553" s="144"/>
      <c r="G553" s="144"/>
      <c r="H553" s="144"/>
      <c r="I553" s="496"/>
      <c r="J553" s="496"/>
      <c r="K553" s="496"/>
      <c r="L553" s="496"/>
      <c r="M553" s="144"/>
      <c r="N553" s="144"/>
      <c r="O553" s="144"/>
      <c r="P553" s="144"/>
      <c r="Q553" s="144"/>
      <c r="R553" s="144"/>
      <c r="S553" s="144"/>
      <c r="T553" s="144"/>
      <c r="U553" s="144"/>
      <c r="V553" s="144"/>
      <c r="W553" s="144"/>
      <c r="X553" s="144"/>
      <c r="Y553" s="144"/>
      <c r="Z553" s="144"/>
      <c r="AA553" s="144"/>
      <c r="AB553" s="144"/>
      <c r="AC553" s="144"/>
      <c r="AD553" s="144"/>
      <c r="AE553" s="144"/>
      <c r="AF553" s="144"/>
    </row>
    <row r="554" ht="16.5" customHeight="1">
      <c r="A554" s="144"/>
      <c r="B554" s="144"/>
      <c r="C554" s="144"/>
      <c r="D554" s="144"/>
      <c r="E554" s="144"/>
      <c r="F554" s="144"/>
      <c r="G554" s="144"/>
      <c r="H554" s="144"/>
      <c r="I554" s="496"/>
      <c r="J554" s="496"/>
      <c r="K554" s="496"/>
      <c r="L554" s="496"/>
      <c r="M554" s="144"/>
      <c r="N554" s="144"/>
      <c r="O554" s="144"/>
      <c r="P554" s="144"/>
      <c r="Q554" s="144"/>
      <c r="R554" s="144"/>
      <c r="S554" s="144"/>
      <c r="T554" s="144"/>
      <c r="U554" s="144"/>
      <c r="V554" s="144"/>
      <c r="W554" s="144"/>
      <c r="X554" s="144"/>
      <c r="Y554" s="144"/>
      <c r="Z554" s="144"/>
      <c r="AA554" s="144"/>
      <c r="AB554" s="144"/>
      <c r="AC554" s="144"/>
      <c r="AD554" s="144"/>
      <c r="AE554" s="144"/>
      <c r="AF554" s="144"/>
    </row>
    <row r="555" ht="16.5" customHeight="1">
      <c r="A555" s="144"/>
      <c r="B555" s="144"/>
      <c r="C555" s="144"/>
      <c r="D555" s="144"/>
      <c r="E555" s="144"/>
      <c r="F555" s="144"/>
      <c r="G555" s="144"/>
      <c r="H555" s="144"/>
      <c r="I555" s="496"/>
      <c r="J555" s="496"/>
      <c r="K555" s="496"/>
      <c r="L555" s="496"/>
      <c r="M555" s="144"/>
      <c r="N555" s="144"/>
      <c r="O555" s="144"/>
      <c r="P555" s="144"/>
      <c r="Q555" s="144"/>
      <c r="R555" s="144"/>
      <c r="S555" s="144"/>
      <c r="T555" s="144"/>
      <c r="U555" s="144"/>
      <c r="V555" s="144"/>
      <c r="W555" s="144"/>
      <c r="X555" s="144"/>
      <c r="Y555" s="144"/>
      <c r="Z555" s="144"/>
      <c r="AA555" s="144"/>
      <c r="AB555" s="144"/>
      <c r="AC555" s="144"/>
      <c r="AD555" s="144"/>
      <c r="AE555" s="144"/>
      <c r="AF555" s="144"/>
    </row>
    <row r="556" ht="16.5" customHeight="1">
      <c r="A556" s="144"/>
      <c r="B556" s="144"/>
      <c r="C556" s="144"/>
      <c r="D556" s="144"/>
      <c r="E556" s="144"/>
      <c r="F556" s="144"/>
      <c r="G556" s="144"/>
      <c r="H556" s="144"/>
      <c r="I556" s="496"/>
      <c r="J556" s="496"/>
      <c r="K556" s="496"/>
      <c r="L556" s="496"/>
      <c r="M556" s="144"/>
      <c r="N556" s="144"/>
      <c r="O556" s="144"/>
      <c r="P556" s="144"/>
      <c r="Q556" s="144"/>
      <c r="R556" s="144"/>
      <c r="S556" s="144"/>
      <c r="T556" s="144"/>
      <c r="U556" s="144"/>
      <c r="V556" s="144"/>
      <c r="W556" s="144"/>
      <c r="X556" s="144"/>
      <c r="Y556" s="144"/>
      <c r="Z556" s="144"/>
      <c r="AA556" s="144"/>
      <c r="AB556" s="144"/>
      <c r="AC556" s="144"/>
      <c r="AD556" s="144"/>
      <c r="AE556" s="144"/>
      <c r="AF556" s="144"/>
    </row>
    <row r="557" ht="16.5" customHeight="1">
      <c r="A557" s="144"/>
      <c r="B557" s="144"/>
      <c r="C557" s="144"/>
      <c r="D557" s="144"/>
      <c r="E557" s="144"/>
      <c r="F557" s="144"/>
      <c r="G557" s="144"/>
      <c r="H557" s="144"/>
      <c r="I557" s="496"/>
      <c r="J557" s="496"/>
      <c r="K557" s="496"/>
      <c r="L557" s="496"/>
      <c r="M557" s="144"/>
      <c r="N557" s="144"/>
      <c r="O557" s="144"/>
      <c r="P557" s="144"/>
      <c r="Q557" s="144"/>
      <c r="R557" s="144"/>
      <c r="S557" s="144"/>
      <c r="T557" s="144"/>
      <c r="U557" s="144"/>
      <c r="V557" s="144"/>
      <c r="W557" s="144"/>
      <c r="X557" s="144"/>
      <c r="Y557" s="144"/>
      <c r="Z557" s="144"/>
      <c r="AA557" s="144"/>
      <c r="AB557" s="144"/>
      <c r="AC557" s="144"/>
      <c r="AD557" s="144"/>
      <c r="AE557" s="144"/>
      <c r="AF557" s="144"/>
    </row>
    <row r="558" ht="16.5" customHeight="1">
      <c r="A558" s="144"/>
      <c r="B558" s="144"/>
      <c r="C558" s="144"/>
      <c r="D558" s="144"/>
      <c r="E558" s="144"/>
      <c r="F558" s="144"/>
      <c r="G558" s="144"/>
      <c r="H558" s="144"/>
      <c r="I558" s="496"/>
      <c r="J558" s="496"/>
      <c r="K558" s="496"/>
      <c r="L558" s="496"/>
      <c r="M558" s="144"/>
      <c r="N558" s="144"/>
      <c r="O558" s="144"/>
      <c r="P558" s="144"/>
      <c r="Q558" s="144"/>
      <c r="R558" s="144"/>
      <c r="S558" s="144"/>
      <c r="T558" s="144"/>
      <c r="U558" s="144"/>
      <c r="V558" s="144"/>
      <c r="W558" s="144"/>
      <c r="X558" s="144"/>
      <c r="Y558" s="144"/>
      <c r="Z558" s="144"/>
      <c r="AA558" s="144"/>
      <c r="AB558" s="144"/>
      <c r="AC558" s="144"/>
      <c r="AD558" s="144"/>
      <c r="AE558" s="144"/>
      <c r="AF558" s="144"/>
    </row>
    <row r="559" ht="16.5" customHeight="1">
      <c r="A559" s="144"/>
      <c r="B559" s="144"/>
      <c r="C559" s="144"/>
      <c r="D559" s="144"/>
      <c r="E559" s="144"/>
      <c r="F559" s="144"/>
      <c r="G559" s="144"/>
      <c r="H559" s="144"/>
      <c r="I559" s="496"/>
      <c r="J559" s="496"/>
      <c r="K559" s="496"/>
      <c r="L559" s="496"/>
      <c r="M559" s="144"/>
      <c r="N559" s="144"/>
      <c r="O559" s="144"/>
      <c r="P559" s="144"/>
      <c r="Q559" s="144"/>
      <c r="R559" s="144"/>
      <c r="S559" s="144"/>
      <c r="T559" s="144"/>
      <c r="U559" s="144"/>
      <c r="V559" s="144"/>
      <c r="W559" s="144"/>
      <c r="X559" s="144"/>
      <c r="Y559" s="144"/>
      <c r="Z559" s="144"/>
      <c r="AA559" s="144"/>
      <c r="AB559" s="144"/>
      <c r="AC559" s="144"/>
      <c r="AD559" s="144"/>
      <c r="AE559" s="144"/>
      <c r="AF559" s="144"/>
    </row>
    <row r="560" ht="16.5" customHeight="1">
      <c r="A560" s="144"/>
      <c r="B560" s="144"/>
      <c r="C560" s="144"/>
      <c r="D560" s="144"/>
      <c r="E560" s="144"/>
      <c r="F560" s="144"/>
      <c r="G560" s="144"/>
      <c r="H560" s="144"/>
      <c r="I560" s="496"/>
      <c r="J560" s="496"/>
      <c r="K560" s="496"/>
      <c r="L560" s="496"/>
      <c r="M560" s="144"/>
      <c r="N560" s="144"/>
      <c r="O560" s="144"/>
      <c r="P560" s="144"/>
      <c r="Q560" s="144"/>
      <c r="R560" s="144"/>
      <c r="S560" s="144"/>
      <c r="T560" s="144"/>
      <c r="U560" s="144"/>
      <c r="V560" s="144"/>
      <c r="W560" s="144"/>
      <c r="X560" s="144"/>
      <c r="Y560" s="144"/>
      <c r="Z560" s="144"/>
      <c r="AA560" s="144"/>
      <c r="AB560" s="144"/>
      <c r="AC560" s="144"/>
      <c r="AD560" s="144"/>
      <c r="AE560" s="144"/>
      <c r="AF560" s="144"/>
    </row>
    <row r="561" ht="16.5" customHeight="1">
      <c r="A561" s="144"/>
      <c r="B561" s="144"/>
      <c r="C561" s="144"/>
      <c r="D561" s="144"/>
      <c r="E561" s="144"/>
      <c r="F561" s="144"/>
      <c r="G561" s="144"/>
      <c r="H561" s="144"/>
      <c r="I561" s="496"/>
      <c r="J561" s="496"/>
      <c r="K561" s="496"/>
      <c r="L561" s="496"/>
      <c r="M561" s="144"/>
      <c r="N561" s="144"/>
      <c r="O561" s="144"/>
      <c r="P561" s="144"/>
      <c r="Q561" s="144"/>
      <c r="R561" s="144"/>
      <c r="S561" s="144"/>
      <c r="T561" s="144"/>
      <c r="U561" s="144"/>
      <c r="V561" s="144"/>
      <c r="W561" s="144"/>
      <c r="X561" s="144"/>
      <c r="Y561" s="144"/>
      <c r="Z561" s="144"/>
      <c r="AA561" s="144"/>
      <c r="AB561" s="144"/>
      <c r="AC561" s="144"/>
      <c r="AD561" s="144"/>
      <c r="AE561" s="144"/>
      <c r="AF561" s="144"/>
    </row>
    <row r="562" ht="16.5" customHeight="1">
      <c r="A562" s="144"/>
      <c r="B562" s="144"/>
      <c r="C562" s="144"/>
      <c r="D562" s="144"/>
      <c r="E562" s="144"/>
      <c r="F562" s="144"/>
      <c r="G562" s="144"/>
      <c r="H562" s="144"/>
      <c r="I562" s="496"/>
      <c r="J562" s="496"/>
      <c r="K562" s="496"/>
      <c r="L562" s="496"/>
      <c r="M562" s="144"/>
      <c r="N562" s="144"/>
      <c r="O562" s="144"/>
      <c r="P562" s="144"/>
      <c r="Q562" s="144"/>
      <c r="R562" s="144"/>
      <c r="S562" s="144"/>
      <c r="T562" s="144"/>
      <c r="U562" s="144"/>
      <c r="V562" s="144"/>
      <c r="W562" s="144"/>
      <c r="X562" s="144"/>
      <c r="Y562" s="144"/>
      <c r="Z562" s="144"/>
      <c r="AA562" s="144"/>
      <c r="AB562" s="144"/>
      <c r="AC562" s="144"/>
      <c r="AD562" s="144"/>
      <c r="AE562" s="144"/>
      <c r="AF562" s="144"/>
    </row>
    <row r="563" ht="16.5" customHeight="1">
      <c r="A563" s="144"/>
      <c r="B563" s="144"/>
      <c r="C563" s="144"/>
      <c r="D563" s="144"/>
      <c r="E563" s="144"/>
      <c r="F563" s="144"/>
      <c r="G563" s="144"/>
      <c r="H563" s="144"/>
      <c r="I563" s="496"/>
      <c r="J563" s="496"/>
      <c r="K563" s="496"/>
      <c r="L563" s="496"/>
      <c r="M563" s="144"/>
      <c r="N563" s="144"/>
      <c r="O563" s="144"/>
      <c r="P563" s="144"/>
      <c r="Q563" s="144"/>
      <c r="R563" s="144"/>
      <c r="S563" s="144"/>
      <c r="T563" s="144"/>
      <c r="U563" s="144"/>
      <c r="V563" s="144"/>
      <c r="W563" s="144"/>
      <c r="X563" s="144"/>
      <c r="Y563" s="144"/>
      <c r="Z563" s="144"/>
      <c r="AA563" s="144"/>
      <c r="AB563" s="144"/>
      <c r="AC563" s="144"/>
      <c r="AD563" s="144"/>
      <c r="AE563" s="144"/>
      <c r="AF563" s="144"/>
    </row>
    <row r="564" ht="16.5" customHeight="1">
      <c r="A564" s="144"/>
      <c r="B564" s="144"/>
      <c r="C564" s="144"/>
      <c r="D564" s="144"/>
      <c r="E564" s="144"/>
      <c r="F564" s="144"/>
      <c r="G564" s="144"/>
      <c r="H564" s="144"/>
      <c r="I564" s="496"/>
      <c r="J564" s="496"/>
      <c r="K564" s="496"/>
      <c r="L564" s="496"/>
      <c r="M564" s="144"/>
      <c r="N564" s="144"/>
      <c r="O564" s="144"/>
      <c r="P564" s="144"/>
      <c r="Q564" s="144"/>
      <c r="R564" s="144"/>
      <c r="S564" s="144"/>
      <c r="T564" s="144"/>
      <c r="U564" s="144"/>
      <c r="V564" s="144"/>
      <c r="W564" s="144"/>
      <c r="X564" s="144"/>
      <c r="Y564" s="144"/>
      <c r="Z564" s="144"/>
      <c r="AA564" s="144"/>
      <c r="AB564" s="144"/>
      <c r="AC564" s="144"/>
      <c r="AD564" s="144"/>
      <c r="AE564" s="144"/>
      <c r="AF564" s="144"/>
    </row>
    <row r="565" ht="16.5" customHeight="1">
      <c r="A565" s="144"/>
      <c r="B565" s="144"/>
      <c r="C565" s="144"/>
      <c r="D565" s="144"/>
      <c r="E565" s="144"/>
      <c r="F565" s="144"/>
      <c r="G565" s="144"/>
      <c r="H565" s="144"/>
      <c r="I565" s="496"/>
      <c r="J565" s="496"/>
      <c r="K565" s="496"/>
      <c r="L565" s="496"/>
      <c r="M565" s="144"/>
      <c r="N565" s="144"/>
      <c r="O565" s="144"/>
      <c r="P565" s="144"/>
      <c r="Q565" s="144"/>
      <c r="R565" s="144"/>
      <c r="S565" s="144"/>
      <c r="T565" s="144"/>
      <c r="U565" s="144"/>
      <c r="V565" s="144"/>
      <c r="W565" s="144"/>
      <c r="X565" s="144"/>
      <c r="Y565" s="144"/>
      <c r="Z565" s="144"/>
      <c r="AA565" s="144"/>
      <c r="AB565" s="144"/>
      <c r="AC565" s="144"/>
      <c r="AD565" s="144"/>
      <c r="AE565" s="144"/>
      <c r="AF565" s="144"/>
    </row>
    <row r="566" ht="16.5" customHeight="1">
      <c r="A566" s="144"/>
      <c r="B566" s="144"/>
      <c r="C566" s="144"/>
      <c r="D566" s="144"/>
      <c r="E566" s="144"/>
      <c r="F566" s="144"/>
      <c r="G566" s="144"/>
      <c r="H566" s="144"/>
      <c r="I566" s="496"/>
      <c r="J566" s="496"/>
      <c r="K566" s="496"/>
      <c r="L566" s="496"/>
      <c r="M566" s="144"/>
      <c r="N566" s="144"/>
      <c r="O566" s="144"/>
      <c r="P566" s="144"/>
      <c r="Q566" s="144"/>
      <c r="R566" s="144"/>
      <c r="S566" s="144"/>
      <c r="T566" s="144"/>
      <c r="U566" s="144"/>
      <c r="V566" s="144"/>
      <c r="W566" s="144"/>
      <c r="X566" s="144"/>
      <c r="Y566" s="144"/>
      <c r="Z566" s="144"/>
      <c r="AA566" s="144"/>
      <c r="AB566" s="144"/>
      <c r="AC566" s="144"/>
      <c r="AD566" s="144"/>
      <c r="AE566" s="144"/>
      <c r="AF566" s="144"/>
    </row>
    <row r="567" ht="16.5" customHeight="1">
      <c r="A567" s="144"/>
      <c r="B567" s="144"/>
      <c r="C567" s="144"/>
      <c r="D567" s="144"/>
      <c r="E567" s="144"/>
      <c r="F567" s="144"/>
      <c r="G567" s="144"/>
      <c r="H567" s="144"/>
      <c r="I567" s="496"/>
      <c r="J567" s="496"/>
      <c r="K567" s="496"/>
      <c r="L567" s="496"/>
      <c r="M567" s="144"/>
      <c r="N567" s="144"/>
      <c r="O567" s="144"/>
      <c r="P567" s="144"/>
      <c r="Q567" s="144"/>
      <c r="R567" s="144"/>
      <c r="S567" s="144"/>
      <c r="T567" s="144"/>
      <c r="U567" s="144"/>
      <c r="V567" s="144"/>
      <c r="W567" s="144"/>
      <c r="X567" s="144"/>
      <c r="Y567" s="144"/>
      <c r="Z567" s="144"/>
      <c r="AA567" s="144"/>
      <c r="AB567" s="144"/>
      <c r="AC567" s="144"/>
      <c r="AD567" s="144"/>
      <c r="AE567" s="144"/>
      <c r="AF567" s="144"/>
    </row>
    <row r="568" ht="16.5" customHeight="1">
      <c r="A568" s="144"/>
      <c r="B568" s="144"/>
      <c r="C568" s="144"/>
      <c r="D568" s="144"/>
      <c r="E568" s="144"/>
      <c r="F568" s="144"/>
      <c r="G568" s="144"/>
      <c r="H568" s="144"/>
      <c r="I568" s="496"/>
      <c r="J568" s="496"/>
      <c r="K568" s="496"/>
      <c r="L568" s="496"/>
      <c r="M568" s="144"/>
      <c r="N568" s="144"/>
      <c r="O568" s="144"/>
      <c r="P568" s="144"/>
      <c r="Q568" s="144"/>
      <c r="R568" s="144"/>
      <c r="S568" s="144"/>
      <c r="T568" s="144"/>
      <c r="U568" s="144"/>
      <c r="V568" s="144"/>
      <c r="W568" s="144"/>
      <c r="X568" s="144"/>
      <c r="Y568" s="144"/>
      <c r="Z568" s="144"/>
      <c r="AA568" s="144"/>
      <c r="AB568" s="144"/>
      <c r="AC568" s="144"/>
      <c r="AD568" s="144"/>
      <c r="AE568" s="144"/>
      <c r="AF568" s="144"/>
    </row>
    <row r="569" ht="16.5" customHeight="1">
      <c r="A569" s="144"/>
      <c r="B569" s="144"/>
      <c r="C569" s="144"/>
      <c r="D569" s="144"/>
      <c r="E569" s="144"/>
      <c r="F569" s="144"/>
      <c r="G569" s="144"/>
      <c r="H569" s="144"/>
      <c r="I569" s="496"/>
      <c r="J569" s="496"/>
      <c r="K569" s="496"/>
      <c r="L569" s="496"/>
      <c r="M569" s="144"/>
      <c r="N569" s="144"/>
      <c r="O569" s="144"/>
      <c r="P569" s="144"/>
      <c r="Q569" s="144"/>
      <c r="R569" s="144"/>
      <c r="S569" s="144"/>
      <c r="T569" s="144"/>
      <c r="U569" s="144"/>
      <c r="V569" s="144"/>
      <c r="W569" s="144"/>
      <c r="X569" s="144"/>
      <c r="Y569" s="144"/>
      <c r="Z569" s="144"/>
      <c r="AA569" s="144"/>
      <c r="AB569" s="144"/>
      <c r="AC569" s="144"/>
      <c r="AD569" s="144"/>
      <c r="AE569" s="144"/>
      <c r="AF569" s="144"/>
    </row>
    <row r="570" ht="16.5" customHeight="1">
      <c r="A570" s="144"/>
      <c r="B570" s="144"/>
      <c r="C570" s="144"/>
      <c r="D570" s="144"/>
      <c r="E570" s="144"/>
      <c r="F570" s="144"/>
      <c r="G570" s="144"/>
      <c r="H570" s="144"/>
      <c r="I570" s="496"/>
      <c r="J570" s="496"/>
      <c r="K570" s="496"/>
      <c r="L570" s="496"/>
      <c r="M570" s="144"/>
      <c r="N570" s="144"/>
      <c r="O570" s="144"/>
      <c r="P570" s="144"/>
      <c r="Q570" s="144"/>
      <c r="R570" s="144"/>
      <c r="S570" s="144"/>
      <c r="T570" s="144"/>
      <c r="U570" s="144"/>
      <c r="V570" s="144"/>
      <c r="W570" s="144"/>
      <c r="X570" s="144"/>
      <c r="Y570" s="144"/>
      <c r="Z570" s="144"/>
      <c r="AA570" s="144"/>
      <c r="AB570" s="144"/>
      <c r="AC570" s="144"/>
      <c r="AD570" s="144"/>
      <c r="AE570" s="144"/>
      <c r="AF570" s="144"/>
    </row>
    <row r="571" ht="16.5" customHeight="1">
      <c r="A571" s="144"/>
      <c r="B571" s="144"/>
      <c r="C571" s="144"/>
      <c r="D571" s="144"/>
      <c r="E571" s="144"/>
      <c r="F571" s="144"/>
      <c r="G571" s="144"/>
      <c r="H571" s="144"/>
      <c r="I571" s="496"/>
      <c r="J571" s="496"/>
      <c r="K571" s="496"/>
      <c r="L571" s="496"/>
      <c r="M571" s="144"/>
      <c r="N571" s="144"/>
      <c r="O571" s="144"/>
      <c r="P571" s="144"/>
      <c r="Q571" s="144"/>
      <c r="R571" s="144"/>
      <c r="S571" s="144"/>
      <c r="T571" s="144"/>
      <c r="U571" s="144"/>
      <c r="V571" s="144"/>
      <c r="W571" s="144"/>
      <c r="X571" s="144"/>
      <c r="Y571" s="144"/>
      <c r="Z571" s="144"/>
      <c r="AA571" s="144"/>
      <c r="AB571" s="144"/>
      <c r="AC571" s="144"/>
      <c r="AD571" s="144"/>
      <c r="AE571" s="144"/>
      <c r="AF571" s="144"/>
    </row>
    <row r="572" ht="16.5" customHeight="1">
      <c r="A572" s="144"/>
      <c r="B572" s="144"/>
      <c r="C572" s="144"/>
      <c r="D572" s="144"/>
      <c r="E572" s="144"/>
      <c r="F572" s="144"/>
      <c r="G572" s="144"/>
      <c r="H572" s="144"/>
      <c r="I572" s="496"/>
      <c r="J572" s="496"/>
      <c r="K572" s="496"/>
      <c r="L572" s="496"/>
      <c r="M572" s="144"/>
      <c r="N572" s="144"/>
      <c r="O572" s="144"/>
      <c r="P572" s="144"/>
      <c r="Q572" s="144"/>
      <c r="R572" s="144"/>
      <c r="S572" s="144"/>
      <c r="T572" s="144"/>
      <c r="U572" s="144"/>
      <c r="V572" s="144"/>
      <c r="W572" s="144"/>
      <c r="X572" s="144"/>
      <c r="Y572" s="144"/>
      <c r="Z572" s="144"/>
      <c r="AA572" s="144"/>
      <c r="AB572" s="144"/>
      <c r="AC572" s="144"/>
      <c r="AD572" s="144"/>
      <c r="AE572" s="144"/>
      <c r="AF572" s="144"/>
    </row>
    <row r="573" ht="16.5" customHeight="1">
      <c r="A573" s="144"/>
      <c r="B573" s="144"/>
      <c r="C573" s="144"/>
      <c r="D573" s="144"/>
      <c r="E573" s="144"/>
      <c r="F573" s="144"/>
      <c r="G573" s="144"/>
      <c r="H573" s="144"/>
      <c r="I573" s="496"/>
      <c r="J573" s="496"/>
      <c r="K573" s="496"/>
      <c r="L573" s="496"/>
      <c r="M573" s="144"/>
      <c r="N573" s="144"/>
      <c r="O573" s="144"/>
      <c r="P573" s="144"/>
      <c r="Q573" s="144"/>
      <c r="R573" s="144"/>
      <c r="S573" s="144"/>
      <c r="T573" s="144"/>
      <c r="U573" s="144"/>
      <c r="V573" s="144"/>
      <c r="W573" s="144"/>
      <c r="X573" s="144"/>
      <c r="Y573" s="144"/>
      <c r="Z573" s="144"/>
      <c r="AA573" s="144"/>
      <c r="AB573" s="144"/>
      <c r="AC573" s="144"/>
      <c r="AD573" s="144"/>
      <c r="AE573" s="144"/>
      <c r="AF573" s="144"/>
    </row>
    <row r="574" ht="16.5" customHeight="1">
      <c r="A574" s="144"/>
      <c r="B574" s="144"/>
      <c r="C574" s="144"/>
      <c r="D574" s="144"/>
      <c r="E574" s="144"/>
      <c r="F574" s="144"/>
      <c r="G574" s="144"/>
      <c r="H574" s="144"/>
      <c r="I574" s="496"/>
      <c r="J574" s="496"/>
      <c r="K574" s="496"/>
      <c r="L574" s="496"/>
      <c r="M574" s="144"/>
      <c r="N574" s="144"/>
      <c r="O574" s="144"/>
      <c r="P574" s="144"/>
      <c r="Q574" s="144"/>
      <c r="R574" s="144"/>
      <c r="S574" s="144"/>
      <c r="T574" s="144"/>
      <c r="U574" s="144"/>
      <c r="V574" s="144"/>
      <c r="W574" s="144"/>
      <c r="X574" s="144"/>
      <c r="Y574" s="144"/>
      <c r="Z574" s="144"/>
      <c r="AA574" s="144"/>
      <c r="AB574" s="144"/>
      <c r="AC574" s="144"/>
      <c r="AD574" s="144"/>
      <c r="AE574" s="144"/>
      <c r="AF574" s="144"/>
    </row>
    <row r="575" ht="16.5" customHeight="1">
      <c r="A575" s="144"/>
      <c r="B575" s="144"/>
      <c r="C575" s="144"/>
      <c r="D575" s="144"/>
      <c r="E575" s="144"/>
      <c r="F575" s="144"/>
      <c r="G575" s="144"/>
      <c r="H575" s="144"/>
      <c r="I575" s="496"/>
      <c r="J575" s="496"/>
      <c r="K575" s="496"/>
      <c r="L575" s="496"/>
      <c r="M575" s="144"/>
      <c r="N575" s="144"/>
      <c r="O575" s="144"/>
      <c r="P575" s="144"/>
      <c r="Q575" s="144"/>
      <c r="R575" s="144"/>
      <c r="S575" s="144"/>
      <c r="T575" s="144"/>
      <c r="U575" s="144"/>
      <c r="V575" s="144"/>
      <c r="W575" s="144"/>
      <c r="X575" s="144"/>
      <c r="Y575" s="144"/>
      <c r="Z575" s="144"/>
      <c r="AA575" s="144"/>
      <c r="AB575" s="144"/>
      <c r="AC575" s="144"/>
      <c r="AD575" s="144"/>
      <c r="AE575" s="144"/>
      <c r="AF575" s="144"/>
    </row>
    <row r="576" ht="16.5" customHeight="1">
      <c r="A576" s="144"/>
      <c r="B576" s="144"/>
      <c r="C576" s="144"/>
      <c r="D576" s="144"/>
      <c r="E576" s="144"/>
      <c r="F576" s="144"/>
      <c r="G576" s="144"/>
      <c r="H576" s="144"/>
      <c r="I576" s="496"/>
      <c r="J576" s="496"/>
      <c r="K576" s="496"/>
      <c r="L576" s="496"/>
      <c r="M576" s="144"/>
      <c r="N576" s="144"/>
      <c r="O576" s="144"/>
      <c r="P576" s="144"/>
      <c r="Q576" s="144"/>
      <c r="R576" s="144"/>
      <c r="S576" s="144"/>
      <c r="T576" s="144"/>
      <c r="U576" s="144"/>
      <c r="V576" s="144"/>
      <c r="W576" s="144"/>
      <c r="X576" s="144"/>
      <c r="Y576" s="144"/>
      <c r="Z576" s="144"/>
      <c r="AA576" s="144"/>
      <c r="AB576" s="144"/>
      <c r="AC576" s="144"/>
      <c r="AD576" s="144"/>
      <c r="AE576" s="144"/>
      <c r="AF576" s="144"/>
    </row>
    <row r="577" ht="16.5" customHeight="1">
      <c r="A577" s="144"/>
      <c r="B577" s="144"/>
      <c r="C577" s="144"/>
      <c r="D577" s="144"/>
      <c r="E577" s="144"/>
      <c r="F577" s="144"/>
      <c r="G577" s="144"/>
      <c r="H577" s="144"/>
      <c r="I577" s="496"/>
      <c r="J577" s="496"/>
      <c r="K577" s="496"/>
      <c r="L577" s="496"/>
      <c r="M577" s="144"/>
      <c r="N577" s="144"/>
      <c r="O577" s="144"/>
      <c r="P577" s="144"/>
      <c r="Q577" s="144"/>
      <c r="R577" s="144"/>
      <c r="S577" s="144"/>
      <c r="T577" s="144"/>
      <c r="U577" s="144"/>
      <c r="V577" s="144"/>
      <c r="W577" s="144"/>
      <c r="X577" s="144"/>
      <c r="Y577" s="144"/>
      <c r="Z577" s="144"/>
      <c r="AA577" s="144"/>
      <c r="AB577" s="144"/>
      <c r="AC577" s="144"/>
      <c r="AD577" s="144"/>
      <c r="AE577" s="144"/>
      <c r="AF577" s="144"/>
    </row>
    <row r="578" ht="16.5" customHeight="1">
      <c r="A578" s="144"/>
      <c r="B578" s="144"/>
      <c r="C578" s="144"/>
      <c r="D578" s="144"/>
      <c r="E578" s="144"/>
      <c r="F578" s="144"/>
      <c r="G578" s="144"/>
      <c r="H578" s="144"/>
      <c r="I578" s="496"/>
      <c r="J578" s="496"/>
      <c r="K578" s="496"/>
      <c r="L578" s="496"/>
      <c r="M578" s="144"/>
      <c r="N578" s="144"/>
      <c r="O578" s="144"/>
      <c r="P578" s="144"/>
      <c r="Q578" s="144"/>
      <c r="R578" s="144"/>
      <c r="S578" s="144"/>
      <c r="T578" s="144"/>
      <c r="U578" s="144"/>
      <c r="V578" s="144"/>
      <c r="W578" s="144"/>
      <c r="X578" s="144"/>
      <c r="Y578" s="144"/>
      <c r="Z578" s="144"/>
      <c r="AA578" s="144"/>
      <c r="AB578" s="144"/>
      <c r="AC578" s="144"/>
      <c r="AD578" s="144"/>
      <c r="AE578" s="144"/>
      <c r="AF578" s="144"/>
    </row>
    <row r="579" ht="16.5" customHeight="1">
      <c r="A579" s="144"/>
      <c r="B579" s="144"/>
      <c r="C579" s="144"/>
      <c r="D579" s="144"/>
      <c r="E579" s="144"/>
      <c r="F579" s="144"/>
      <c r="G579" s="144"/>
      <c r="H579" s="144"/>
      <c r="I579" s="496"/>
      <c r="J579" s="496"/>
      <c r="K579" s="496"/>
      <c r="L579" s="496"/>
      <c r="M579" s="144"/>
      <c r="N579" s="144"/>
      <c r="O579" s="144"/>
      <c r="P579" s="144"/>
      <c r="Q579" s="144"/>
      <c r="R579" s="144"/>
      <c r="S579" s="144"/>
      <c r="T579" s="144"/>
      <c r="U579" s="144"/>
      <c r="V579" s="144"/>
      <c r="W579" s="144"/>
      <c r="X579" s="144"/>
      <c r="Y579" s="144"/>
      <c r="Z579" s="144"/>
      <c r="AA579" s="144"/>
      <c r="AB579" s="144"/>
      <c r="AC579" s="144"/>
      <c r="AD579" s="144"/>
      <c r="AE579" s="144"/>
      <c r="AF579" s="144"/>
    </row>
    <row r="580" ht="16.5" customHeight="1">
      <c r="A580" s="144"/>
      <c r="B580" s="144"/>
      <c r="C580" s="144"/>
      <c r="D580" s="144"/>
      <c r="E580" s="144"/>
      <c r="F580" s="144"/>
      <c r="G580" s="144"/>
      <c r="H580" s="144"/>
      <c r="I580" s="496"/>
      <c r="J580" s="496"/>
      <c r="K580" s="496"/>
      <c r="L580" s="496"/>
      <c r="M580" s="144"/>
      <c r="N580" s="144"/>
      <c r="O580" s="144"/>
      <c r="P580" s="144"/>
      <c r="Q580" s="144"/>
      <c r="R580" s="144"/>
      <c r="S580" s="144"/>
      <c r="T580" s="144"/>
      <c r="U580" s="144"/>
      <c r="V580" s="144"/>
      <c r="W580" s="144"/>
      <c r="X580" s="144"/>
      <c r="Y580" s="144"/>
      <c r="Z580" s="144"/>
      <c r="AA580" s="144"/>
      <c r="AB580" s="144"/>
      <c r="AC580" s="144"/>
      <c r="AD580" s="144"/>
      <c r="AE580" s="144"/>
      <c r="AF580" s="144"/>
    </row>
    <row r="581" ht="16.5" customHeight="1">
      <c r="A581" s="144"/>
      <c r="B581" s="144"/>
      <c r="C581" s="144"/>
      <c r="D581" s="144"/>
      <c r="E581" s="144"/>
      <c r="F581" s="144"/>
      <c r="G581" s="144"/>
      <c r="H581" s="144"/>
      <c r="I581" s="496"/>
      <c r="J581" s="496"/>
      <c r="K581" s="496"/>
      <c r="L581" s="496"/>
      <c r="M581" s="144"/>
      <c r="N581" s="144"/>
      <c r="O581" s="144"/>
      <c r="P581" s="144"/>
      <c r="Q581" s="144"/>
      <c r="R581" s="144"/>
      <c r="S581" s="144"/>
      <c r="T581" s="144"/>
      <c r="U581" s="144"/>
      <c r="V581" s="144"/>
      <c r="W581" s="144"/>
      <c r="X581" s="144"/>
      <c r="Y581" s="144"/>
      <c r="Z581" s="144"/>
      <c r="AA581" s="144"/>
      <c r="AB581" s="144"/>
      <c r="AC581" s="144"/>
      <c r="AD581" s="144"/>
      <c r="AE581" s="144"/>
      <c r="AF581" s="144"/>
    </row>
    <row r="582" ht="16.5" customHeight="1">
      <c r="A582" s="144"/>
      <c r="B582" s="144"/>
      <c r="C582" s="144"/>
      <c r="D582" s="144"/>
      <c r="E582" s="144"/>
      <c r="F582" s="144"/>
      <c r="G582" s="144"/>
      <c r="H582" s="144"/>
      <c r="I582" s="496"/>
      <c r="J582" s="496"/>
      <c r="K582" s="496"/>
      <c r="L582" s="496"/>
      <c r="M582" s="144"/>
      <c r="N582" s="144"/>
      <c r="O582" s="144"/>
      <c r="P582" s="144"/>
      <c r="Q582" s="144"/>
      <c r="R582" s="144"/>
      <c r="S582" s="144"/>
      <c r="T582" s="144"/>
      <c r="U582" s="144"/>
      <c r="V582" s="144"/>
      <c r="W582" s="144"/>
      <c r="X582" s="144"/>
      <c r="Y582" s="144"/>
      <c r="Z582" s="144"/>
      <c r="AA582" s="144"/>
      <c r="AB582" s="144"/>
      <c r="AC582" s="144"/>
      <c r="AD582" s="144"/>
      <c r="AE582" s="144"/>
      <c r="AF582" s="144"/>
    </row>
    <row r="583" ht="16.5" customHeight="1">
      <c r="A583" s="144"/>
      <c r="B583" s="144"/>
      <c r="C583" s="144"/>
      <c r="D583" s="144"/>
      <c r="E583" s="144"/>
      <c r="F583" s="144"/>
      <c r="G583" s="144"/>
      <c r="H583" s="144"/>
      <c r="I583" s="496"/>
      <c r="J583" s="496"/>
      <c r="K583" s="496"/>
      <c r="L583" s="496"/>
      <c r="M583" s="144"/>
      <c r="N583" s="144"/>
      <c r="O583" s="144"/>
      <c r="P583" s="144"/>
      <c r="Q583" s="144"/>
      <c r="R583" s="144"/>
      <c r="S583" s="144"/>
      <c r="T583" s="144"/>
      <c r="U583" s="144"/>
      <c r="V583" s="144"/>
      <c r="W583" s="144"/>
      <c r="X583" s="144"/>
      <c r="Y583" s="144"/>
      <c r="Z583" s="144"/>
      <c r="AA583" s="144"/>
      <c r="AB583" s="144"/>
      <c r="AC583" s="144"/>
      <c r="AD583" s="144"/>
      <c r="AE583" s="144"/>
      <c r="AF583" s="144"/>
    </row>
    <row r="584" ht="16.5" customHeight="1">
      <c r="A584" s="144"/>
      <c r="B584" s="144"/>
      <c r="C584" s="144"/>
      <c r="D584" s="144"/>
      <c r="E584" s="144"/>
      <c r="F584" s="144"/>
      <c r="G584" s="144"/>
      <c r="H584" s="144"/>
      <c r="I584" s="496"/>
      <c r="J584" s="496"/>
      <c r="K584" s="496"/>
      <c r="L584" s="496"/>
      <c r="M584" s="144"/>
      <c r="N584" s="144"/>
      <c r="O584" s="144"/>
      <c r="P584" s="144"/>
      <c r="Q584" s="144"/>
      <c r="R584" s="144"/>
      <c r="S584" s="144"/>
      <c r="T584" s="144"/>
      <c r="U584" s="144"/>
      <c r="V584" s="144"/>
      <c r="W584" s="144"/>
      <c r="X584" s="144"/>
      <c r="Y584" s="144"/>
      <c r="Z584" s="144"/>
      <c r="AA584" s="144"/>
      <c r="AB584" s="144"/>
      <c r="AC584" s="144"/>
      <c r="AD584" s="144"/>
      <c r="AE584" s="144"/>
      <c r="AF584" s="144"/>
    </row>
    <row r="585" ht="16.5" customHeight="1">
      <c r="A585" s="144"/>
      <c r="B585" s="144"/>
      <c r="C585" s="144"/>
      <c r="D585" s="144"/>
      <c r="E585" s="144"/>
      <c r="F585" s="144"/>
      <c r="G585" s="144"/>
      <c r="H585" s="144"/>
      <c r="I585" s="496"/>
      <c r="J585" s="496"/>
      <c r="K585" s="496"/>
      <c r="L585" s="496"/>
      <c r="M585" s="144"/>
      <c r="N585" s="144"/>
      <c r="O585" s="144"/>
      <c r="P585" s="144"/>
      <c r="Q585" s="144"/>
      <c r="R585" s="144"/>
      <c r="S585" s="144"/>
      <c r="T585" s="144"/>
      <c r="U585" s="144"/>
      <c r="V585" s="144"/>
      <c r="W585" s="144"/>
      <c r="X585" s="144"/>
      <c r="Y585" s="144"/>
      <c r="Z585" s="144"/>
      <c r="AA585" s="144"/>
      <c r="AB585" s="144"/>
      <c r="AC585" s="144"/>
      <c r="AD585" s="144"/>
      <c r="AE585" s="144"/>
      <c r="AF585" s="144"/>
    </row>
    <row r="586" ht="16.5" customHeight="1">
      <c r="A586" s="144"/>
      <c r="B586" s="144"/>
      <c r="C586" s="144"/>
      <c r="D586" s="144"/>
      <c r="E586" s="144"/>
      <c r="F586" s="144"/>
      <c r="G586" s="144"/>
      <c r="H586" s="144"/>
      <c r="I586" s="496"/>
      <c r="J586" s="496"/>
      <c r="K586" s="496"/>
      <c r="L586" s="496"/>
      <c r="M586" s="144"/>
      <c r="N586" s="144"/>
      <c r="O586" s="144"/>
      <c r="P586" s="144"/>
      <c r="Q586" s="144"/>
      <c r="R586" s="144"/>
      <c r="S586" s="144"/>
      <c r="T586" s="144"/>
      <c r="U586" s="144"/>
      <c r="V586" s="144"/>
      <c r="W586" s="144"/>
      <c r="X586" s="144"/>
      <c r="Y586" s="144"/>
      <c r="Z586" s="144"/>
      <c r="AA586" s="144"/>
      <c r="AB586" s="144"/>
      <c r="AC586" s="144"/>
      <c r="AD586" s="144"/>
      <c r="AE586" s="144"/>
      <c r="AF586" s="144"/>
    </row>
    <row r="587" ht="16.5" customHeight="1">
      <c r="A587" s="144"/>
      <c r="B587" s="144"/>
      <c r="C587" s="144"/>
      <c r="D587" s="144"/>
      <c r="E587" s="144"/>
      <c r="F587" s="144"/>
      <c r="G587" s="144"/>
      <c r="H587" s="144"/>
      <c r="I587" s="496"/>
      <c r="J587" s="496"/>
      <c r="K587" s="496"/>
      <c r="L587" s="496"/>
      <c r="M587" s="144"/>
      <c r="N587" s="144"/>
      <c r="O587" s="144"/>
      <c r="P587" s="144"/>
      <c r="Q587" s="144"/>
      <c r="R587" s="144"/>
      <c r="S587" s="144"/>
      <c r="T587" s="144"/>
      <c r="U587" s="144"/>
      <c r="V587" s="144"/>
      <c r="W587" s="144"/>
      <c r="X587" s="144"/>
      <c r="Y587" s="144"/>
      <c r="Z587" s="144"/>
      <c r="AA587" s="144"/>
      <c r="AB587" s="144"/>
      <c r="AC587" s="144"/>
      <c r="AD587" s="144"/>
      <c r="AE587" s="144"/>
      <c r="AF587" s="144"/>
    </row>
    <row r="588" ht="16.5" customHeight="1">
      <c r="A588" s="144"/>
      <c r="B588" s="144"/>
      <c r="C588" s="144"/>
      <c r="D588" s="144"/>
      <c r="E588" s="144"/>
      <c r="F588" s="144"/>
      <c r="G588" s="144"/>
      <c r="H588" s="144"/>
      <c r="I588" s="496"/>
      <c r="J588" s="496"/>
      <c r="K588" s="496"/>
      <c r="L588" s="496"/>
      <c r="M588" s="144"/>
      <c r="N588" s="144"/>
      <c r="O588" s="144"/>
      <c r="P588" s="144"/>
      <c r="Q588" s="144"/>
      <c r="R588" s="144"/>
      <c r="S588" s="144"/>
      <c r="T588" s="144"/>
      <c r="U588" s="144"/>
      <c r="V588" s="144"/>
      <c r="W588" s="144"/>
      <c r="X588" s="144"/>
      <c r="Y588" s="144"/>
      <c r="Z588" s="144"/>
      <c r="AA588" s="144"/>
      <c r="AB588" s="144"/>
      <c r="AC588" s="144"/>
      <c r="AD588" s="144"/>
      <c r="AE588" s="144"/>
      <c r="AF588" s="144"/>
    </row>
    <row r="589" ht="16.5" customHeight="1">
      <c r="A589" s="144"/>
      <c r="B589" s="144"/>
      <c r="C589" s="144"/>
      <c r="D589" s="144"/>
      <c r="E589" s="144"/>
      <c r="F589" s="144"/>
      <c r="G589" s="144"/>
      <c r="H589" s="144"/>
      <c r="I589" s="496"/>
      <c r="J589" s="496"/>
      <c r="K589" s="496"/>
      <c r="L589" s="496"/>
      <c r="M589" s="144"/>
      <c r="N589" s="144"/>
      <c r="O589" s="144"/>
      <c r="P589" s="144"/>
      <c r="Q589" s="144"/>
      <c r="R589" s="144"/>
      <c r="S589" s="144"/>
      <c r="T589" s="144"/>
      <c r="U589" s="144"/>
      <c r="V589" s="144"/>
      <c r="W589" s="144"/>
      <c r="X589" s="144"/>
      <c r="Y589" s="144"/>
      <c r="Z589" s="144"/>
      <c r="AA589" s="144"/>
      <c r="AB589" s="144"/>
      <c r="AC589" s="144"/>
      <c r="AD589" s="144"/>
      <c r="AE589" s="144"/>
      <c r="AF589" s="144"/>
    </row>
    <row r="590" ht="16.5" customHeight="1">
      <c r="A590" s="144"/>
      <c r="B590" s="144"/>
      <c r="C590" s="144"/>
      <c r="D590" s="144"/>
      <c r="E590" s="144"/>
      <c r="F590" s="144"/>
      <c r="G590" s="144"/>
      <c r="H590" s="144"/>
      <c r="I590" s="496"/>
      <c r="J590" s="496"/>
      <c r="K590" s="496"/>
      <c r="L590" s="496"/>
      <c r="M590" s="144"/>
      <c r="N590" s="144"/>
      <c r="O590" s="144"/>
      <c r="P590" s="144"/>
      <c r="Q590" s="144"/>
      <c r="R590" s="144"/>
      <c r="S590" s="144"/>
      <c r="T590" s="144"/>
      <c r="U590" s="144"/>
      <c r="V590" s="144"/>
      <c r="W590" s="144"/>
      <c r="X590" s="144"/>
      <c r="Y590" s="144"/>
      <c r="Z590" s="144"/>
      <c r="AA590" s="144"/>
      <c r="AB590" s="144"/>
      <c r="AC590" s="144"/>
      <c r="AD590" s="144"/>
      <c r="AE590" s="144"/>
      <c r="AF590" s="144"/>
    </row>
    <row r="591" ht="16.5" customHeight="1">
      <c r="A591" s="144"/>
      <c r="B591" s="144"/>
      <c r="C591" s="144"/>
      <c r="D591" s="144"/>
      <c r="E591" s="144"/>
      <c r="F591" s="144"/>
      <c r="G591" s="144"/>
      <c r="H591" s="144"/>
      <c r="I591" s="496"/>
      <c r="J591" s="496"/>
      <c r="K591" s="496"/>
      <c r="L591" s="496"/>
      <c r="M591" s="144"/>
      <c r="N591" s="144"/>
      <c r="O591" s="144"/>
      <c r="P591" s="144"/>
      <c r="Q591" s="144"/>
      <c r="R591" s="144"/>
      <c r="S591" s="144"/>
      <c r="T591" s="144"/>
      <c r="U591" s="144"/>
      <c r="V591" s="144"/>
      <c r="W591" s="144"/>
      <c r="X591" s="144"/>
      <c r="Y591" s="144"/>
      <c r="Z591" s="144"/>
      <c r="AA591" s="144"/>
      <c r="AB591" s="144"/>
      <c r="AC591" s="144"/>
      <c r="AD591" s="144"/>
      <c r="AE591" s="144"/>
      <c r="AF591" s="144"/>
    </row>
    <row r="592" ht="16.5" customHeight="1">
      <c r="A592" s="144"/>
      <c r="B592" s="144"/>
      <c r="C592" s="144"/>
      <c r="D592" s="144"/>
      <c r="E592" s="144"/>
      <c r="F592" s="144"/>
      <c r="G592" s="144"/>
      <c r="H592" s="144"/>
      <c r="I592" s="496"/>
      <c r="J592" s="496"/>
      <c r="K592" s="496"/>
      <c r="L592" s="496"/>
      <c r="M592" s="144"/>
      <c r="N592" s="144"/>
      <c r="O592" s="144"/>
      <c r="P592" s="144"/>
      <c r="Q592" s="144"/>
      <c r="R592" s="144"/>
      <c r="S592" s="144"/>
      <c r="T592" s="144"/>
      <c r="U592" s="144"/>
      <c r="V592" s="144"/>
      <c r="W592" s="144"/>
      <c r="X592" s="144"/>
      <c r="Y592" s="144"/>
      <c r="Z592" s="144"/>
      <c r="AA592" s="144"/>
      <c r="AB592" s="144"/>
      <c r="AC592" s="144"/>
      <c r="AD592" s="144"/>
      <c r="AE592" s="144"/>
      <c r="AF592" s="144"/>
    </row>
    <row r="593" ht="16.5" customHeight="1">
      <c r="A593" s="144"/>
      <c r="B593" s="144"/>
      <c r="C593" s="144"/>
      <c r="D593" s="144"/>
      <c r="E593" s="144"/>
      <c r="F593" s="144"/>
      <c r="G593" s="144"/>
      <c r="H593" s="144"/>
      <c r="I593" s="496"/>
      <c r="J593" s="496"/>
      <c r="K593" s="496"/>
      <c r="L593" s="496"/>
      <c r="M593" s="144"/>
      <c r="N593" s="144"/>
      <c r="O593" s="144"/>
      <c r="P593" s="144"/>
      <c r="Q593" s="144"/>
      <c r="R593" s="144"/>
      <c r="S593" s="144"/>
      <c r="T593" s="144"/>
      <c r="U593" s="144"/>
      <c r="V593" s="144"/>
      <c r="W593" s="144"/>
      <c r="X593" s="144"/>
      <c r="Y593" s="144"/>
      <c r="Z593" s="144"/>
      <c r="AA593" s="144"/>
      <c r="AB593" s="144"/>
      <c r="AC593" s="144"/>
      <c r="AD593" s="144"/>
      <c r="AE593" s="144"/>
      <c r="AF593" s="144"/>
    </row>
    <row r="594" ht="16.5" customHeight="1">
      <c r="A594" s="144"/>
      <c r="B594" s="144"/>
      <c r="C594" s="144"/>
      <c r="D594" s="144"/>
      <c r="E594" s="144"/>
      <c r="F594" s="144"/>
      <c r="G594" s="144"/>
      <c r="H594" s="144"/>
      <c r="I594" s="496"/>
      <c r="J594" s="496"/>
      <c r="K594" s="496"/>
      <c r="L594" s="496"/>
      <c r="M594" s="144"/>
      <c r="N594" s="144"/>
      <c r="O594" s="144"/>
      <c r="P594" s="144"/>
      <c r="Q594" s="144"/>
      <c r="R594" s="144"/>
      <c r="S594" s="144"/>
      <c r="T594" s="144"/>
      <c r="U594" s="144"/>
      <c r="V594" s="144"/>
      <c r="W594" s="144"/>
      <c r="X594" s="144"/>
      <c r="Y594" s="144"/>
      <c r="Z594" s="144"/>
      <c r="AA594" s="144"/>
      <c r="AB594" s="144"/>
      <c r="AC594" s="144"/>
      <c r="AD594" s="144"/>
      <c r="AE594" s="144"/>
      <c r="AF594" s="144"/>
    </row>
    <row r="595" ht="16.5" customHeight="1">
      <c r="A595" s="144"/>
      <c r="B595" s="144"/>
      <c r="C595" s="144"/>
      <c r="D595" s="144"/>
      <c r="E595" s="144"/>
      <c r="F595" s="144"/>
      <c r="G595" s="144"/>
      <c r="H595" s="144"/>
      <c r="I595" s="496"/>
      <c r="J595" s="496"/>
      <c r="K595" s="496"/>
      <c r="L595" s="496"/>
      <c r="M595" s="144"/>
      <c r="N595" s="144"/>
      <c r="O595" s="144"/>
      <c r="P595" s="144"/>
      <c r="Q595" s="144"/>
      <c r="R595" s="144"/>
      <c r="S595" s="144"/>
      <c r="T595" s="144"/>
      <c r="U595" s="144"/>
      <c r="V595" s="144"/>
      <c r="W595" s="144"/>
      <c r="X595" s="144"/>
      <c r="Y595" s="144"/>
      <c r="Z595" s="144"/>
      <c r="AA595" s="144"/>
      <c r="AB595" s="144"/>
      <c r="AC595" s="144"/>
      <c r="AD595" s="144"/>
      <c r="AE595" s="144"/>
      <c r="AF595" s="144"/>
    </row>
    <row r="596" ht="16.5" customHeight="1">
      <c r="A596" s="144"/>
      <c r="B596" s="144"/>
      <c r="C596" s="144"/>
      <c r="D596" s="144"/>
      <c r="E596" s="144"/>
      <c r="F596" s="144"/>
      <c r="G596" s="144"/>
      <c r="H596" s="144"/>
      <c r="I596" s="496"/>
      <c r="J596" s="496"/>
      <c r="K596" s="496"/>
      <c r="L596" s="496"/>
      <c r="M596" s="144"/>
      <c r="N596" s="144"/>
      <c r="O596" s="144"/>
      <c r="P596" s="144"/>
      <c r="Q596" s="144"/>
      <c r="R596" s="144"/>
      <c r="S596" s="144"/>
      <c r="T596" s="144"/>
      <c r="U596" s="144"/>
      <c r="V596" s="144"/>
      <c r="W596" s="144"/>
      <c r="X596" s="144"/>
      <c r="Y596" s="144"/>
      <c r="Z596" s="144"/>
      <c r="AA596" s="144"/>
      <c r="AB596" s="144"/>
      <c r="AC596" s="144"/>
      <c r="AD596" s="144"/>
      <c r="AE596" s="144"/>
      <c r="AF596" s="144"/>
    </row>
    <row r="597" ht="16.5" customHeight="1">
      <c r="A597" s="144"/>
      <c r="B597" s="144"/>
      <c r="C597" s="144"/>
      <c r="D597" s="144"/>
      <c r="E597" s="144"/>
      <c r="F597" s="144"/>
      <c r="G597" s="144"/>
      <c r="H597" s="144"/>
      <c r="I597" s="496"/>
      <c r="J597" s="496"/>
      <c r="K597" s="496"/>
      <c r="L597" s="496"/>
      <c r="M597" s="144"/>
      <c r="N597" s="144"/>
      <c r="O597" s="144"/>
      <c r="P597" s="144"/>
      <c r="Q597" s="144"/>
      <c r="R597" s="144"/>
      <c r="S597" s="144"/>
      <c r="T597" s="144"/>
      <c r="U597" s="144"/>
      <c r="V597" s="144"/>
      <c r="W597" s="144"/>
      <c r="X597" s="144"/>
      <c r="Y597" s="144"/>
      <c r="Z597" s="144"/>
      <c r="AA597" s="144"/>
      <c r="AB597" s="144"/>
      <c r="AC597" s="144"/>
      <c r="AD597" s="144"/>
      <c r="AE597" s="144"/>
      <c r="AF597" s="144"/>
    </row>
    <row r="598" ht="16.5" customHeight="1">
      <c r="A598" s="144"/>
      <c r="B598" s="144"/>
      <c r="C598" s="144"/>
      <c r="D598" s="144"/>
      <c r="E598" s="144"/>
      <c r="F598" s="144"/>
      <c r="G598" s="144"/>
      <c r="H598" s="144"/>
      <c r="I598" s="496"/>
      <c r="J598" s="496"/>
      <c r="K598" s="496"/>
      <c r="L598" s="496"/>
      <c r="M598" s="144"/>
      <c r="N598" s="144"/>
      <c r="O598" s="144"/>
      <c r="P598" s="144"/>
      <c r="Q598" s="144"/>
      <c r="R598" s="144"/>
      <c r="S598" s="144"/>
      <c r="T598" s="144"/>
      <c r="U598" s="144"/>
      <c r="V598" s="144"/>
      <c r="W598" s="144"/>
      <c r="X598" s="144"/>
      <c r="Y598" s="144"/>
      <c r="Z598" s="144"/>
      <c r="AA598" s="144"/>
      <c r="AB598" s="144"/>
      <c r="AC598" s="144"/>
      <c r="AD598" s="144"/>
      <c r="AE598" s="144"/>
      <c r="AF598" s="144"/>
    </row>
    <row r="599" ht="16.5" customHeight="1">
      <c r="A599" s="144"/>
      <c r="B599" s="144"/>
      <c r="C599" s="144"/>
      <c r="D599" s="144"/>
      <c r="E599" s="144"/>
      <c r="F599" s="144"/>
      <c r="G599" s="144"/>
      <c r="H599" s="144"/>
      <c r="I599" s="496"/>
      <c r="J599" s="496"/>
      <c r="K599" s="496"/>
      <c r="L599" s="496"/>
      <c r="M599" s="144"/>
      <c r="N599" s="144"/>
      <c r="O599" s="144"/>
      <c r="P599" s="144"/>
      <c r="Q599" s="144"/>
      <c r="R599" s="144"/>
      <c r="S599" s="144"/>
      <c r="T599" s="144"/>
      <c r="U599" s="144"/>
      <c r="V599" s="144"/>
      <c r="W599" s="144"/>
      <c r="X599" s="144"/>
      <c r="Y599" s="144"/>
      <c r="Z599" s="144"/>
      <c r="AA599" s="144"/>
      <c r="AB599" s="144"/>
      <c r="AC599" s="144"/>
      <c r="AD599" s="144"/>
      <c r="AE599" s="144"/>
      <c r="AF599" s="144"/>
    </row>
    <row r="600" ht="16.5" customHeight="1">
      <c r="A600" s="144"/>
      <c r="B600" s="144"/>
      <c r="C600" s="144"/>
      <c r="D600" s="144"/>
      <c r="E600" s="144"/>
      <c r="F600" s="144"/>
      <c r="G600" s="144"/>
      <c r="H600" s="144"/>
      <c r="I600" s="496"/>
      <c r="J600" s="496"/>
      <c r="K600" s="496"/>
      <c r="L600" s="496"/>
      <c r="M600" s="144"/>
      <c r="N600" s="144"/>
      <c r="O600" s="144"/>
      <c r="P600" s="144"/>
      <c r="Q600" s="144"/>
      <c r="R600" s="144"/>
      <c r="S600" s="144"/>
      <c r="T600" s="144"/>
      <c r="U600" s="144"/>
      <c r="V600" s="144"/>
      <c r="W600" s="144"/>
      <c r="X600" s="144"/>
      <c r="Y600" s="144"/>
      <c r="Z600" s="144"/>
      <c r="AA600" s="144"/>
      <c r="AB600" s="144"/>
      <c r="AC600" s="144"/>
      <c r="AD600" s="144"/>
      <c r="AE600" s="144"/>
      <c r="AF600" s="144"/>
    </row>
    <row r="601" ht="16.5" customHeight="1">
      <c r="A601" s="144"/>
      <c r="B601" s="144"/>
      <c r="C601" s="144"/>
      <c r="D601" s="144"/>
      <c r="E601" s="144"/>
      <c r="F601" s="144"/>
      <c r="G601" s="144"/>
      <c r="H601" s="144"/>
      <c r="I601" s="496"/>
      <c r="J601" s="496"/>
      <c r="K601" s="496"/>
      <c r="L601" s="496"/>
      <c r="M601" s="144"/>
      <c r="N601" s="144"/>
      <c r="O601" s="144"/>
      <c r="P601" s="144"/>
      <c r="Q601" s="144"/>
      <c r="R601" s="144"/>
      <c r="S601" s="144"/>
      <c r="T601" s="144"/>
      <c r="U601" s="144"/>
      <c r="V601" s="144"/>
      <c r="W601" s="144"/>
      <c r="X601" s="144"/>
      <c r="Y601" s="144"/>
      <c r="Z601" s="144"/>
      <c r="AA601" s="144"/>
      <c r="AB601" s="144"/>
      <c r="AC601" s="144"/>
      <c r="AD601" s="144"/>
      <c r="AE601" s="144"/>
      <c r="AF601" s="144"/>
    </row>
    <row r="602" ht="16.5" customHeight="1">
      <c r="A602" s="144"/>
      <c r="B602" s="144"/>
      <c r="C602" s="144"/>
      <c r="D602" s="144"/>
      <c r="E602" s="144"/>
      <c r="F602" s="144"/>
      <c r="G602" s="144"/>
      <c r="H602" s="144"/>
      <c r="I602" s="496"/>
      <c r="J602" s="496"/>
      <c r="K602" s="496"/>
      <c r="L602" s="496"/>
      <c r="M602" s="144"/>
      <c r="N602" s="144"/>
      <c r="O602" s="144"/>
      <c r="P602" s="144"/>
      <c r="Q602" s="144"/>
      <c r="R602" s="144"/>
      <c r="S602" s="144"/>
      <c r="T602" s="144"/>
      <c r="U602" s="144"/>
      <c r="V602" s="144"/>
      <c r="W602" s="144"/>
      <c r="X602" s="144"/>
      <c r="Y602" s="144"/>
      <c r="Z602" s="144"/>
      <c r="AA602" s="144"/>
      <c r="AB602" s="144"/>
      <c r="AC602" s="144"/>
      <c r="AD602" s="144"/>
      <c r="AE602" s="144"/>
      <c r="AF602" s="144"/>
    </row>
    <row r="603" ht="16.5" customHeight="1">
      <c r="A603" s="144"/>
      <c r="B603" s="144"/>
      <c r="C603" s="144"/>
      <c r="D603" s="144"/>
      <c r="E603" s="144"/>
      <c r="F603" s="144"/>
      <c r="G603" s="144"/>
      <c r="H603" s="144"/>
      <c r="I603" s="496"/>
      <c r="J603" s="496"/>
      <c r="K603" s="496"/>
      <c r="L603" s="496"/>
      <c r="M603" s="144"/>
      <c r="N603" s="144"/>
      <c r="O603" s="144"/>
      <c r="P603" s="144"/>
      <c r="Q603" s="144"/>
      <c r="R603" s="144"/>
      <c r="S603" s="144"/>
      <c r="T603" s="144"/>
      <c r="U603" s="144"/>
      <c r="V603" s="144"/>
      <c r="W603" s="144"/>
      <c r="X603" s="144"/>
      <c r="Y603" s="144"/>
      <c r="Z603" s="144"/>
      <c r="AA603" s="144"/>
      <c r="AB603" s="144"/>
      <c r="AC603" s="144"/>
      <c r="AD603" s="144"/>
      <c r="AE603" s="144"/>
      <c r="AF603" s="144"/>
    </row>
    <row r="604" ht="16.5" customHeight="1">
      <c r="A604" s="144"/>
      <c r="B604" s="144"/>
      <c r="C604" s="144"/>
      <c r="D604" s="144"/>
      <c r="E604" s="144"/>
      <c r="F604" s="144"/>
      <c r="G604" s="144"/>
      <c r="H604" s="144"/>
      <c r="I604" s="496"/>
      <c r="J604" s="496"/>
      <c r="K604" s="496"/>
      <c r="L604" s="496"/>
      <c r="M604" s="144"/>
      <c r="N604" s="144"/>
      <c r="O604" s="144"/>
      <c r="P604" s="144"/>
      <c r="Q604" s="144"/>
      <c r="R604" s="144"/>
      <c r="S604" s="144"/>
      <c r="T604" s="144"/>
      <c r="U604" s="144"/>
      <c r="V604" s="144"/>
      <c r="W604" s="144"/>
      <c r="X604" s="144"/>
      <c r="Y604" s="144"/>
      <c r="Z604" s="144"/>
      <c r="AA604" s="144"/>
      <c r="AB604" s="144"/>
      <c r="AC604" s="144"/>
      <c r="AD604" s="144"/>
      <c r="AE604" s="144"/>
      <c r="AF604" s="144"/>
    </row>
    <row r="605" ht="16.5" customHeight="1">
      <c r="A605" s="144"/>
      <c r="B605" s="144"/>
      <c r="C605" s="144"/>
      <c r="D605" s="144"/>
      <c r="E605" s="144"/>
      <c r="F605" s="144"/>
      <c r="G605" s="144"/>
      <c r="H605" s="144"/>
      <c r="I605" s="496"/>
      <c r="J605" s="496"/>
      <c r="K605" s="496"/>
      <c r="L605" s="496"/>
      <c r="M605" s="144"/>
      <c r="N605" s="144"/>
      <c r="O605" s="144"/>
      <c r="P605" s="144"/>
      <c r="Q605" s="144"/>
      <c r="R605" s="144"/>
      <c r="S605" s="144"/>
      <c r="T605" s="144"/>
      <c r="U605" s="144"/>
      <c r="V605" s="144"/>
      <c r="W605" s="144"/>
      <c r="X605" s="144"/>
      <c r="Y605" s="144"/>
      <c r="Z605" s="144"/>
      <c r="AA605" s="144"/>
      <c r="AB605" s="144"/>
      <c r="AC605" s="144"/>
      <c r="AD605" s="144"/>
      <c r="AE605" s="144"/>
      <c r="AF605" s="144"/>
    </row>
    <row r="606" ht="16.5" customHeight="1">
      <c r="A606" s="144"/>
      <c r="B606" s="144"/>
      <c r="C606" s="144"/>
      <c r="D606" s="144"/>
      <c r="E606" s="144"/>
      <c r="F606" s="144"/>
      <c r="G606" s="144"/>
      <c r="H606" s="144"/>
      <c r="I606" s="496"/>
      <c r="J606" s="496"/>
      <c r="K606" s="496"/>
      <c r="L606" s="496"/>
      <c r="M606" s="144"/>
      <c r="N606" s="144"/>
      <c r="O606" s="144"/>
      <c r="P606" s="144"/>
      <c r="Q606" s="144"/>
      <c r="R606" s="144"/>
      <c r="S606" s="144"/>
      <c r="T606" s="144"/>
      <c r="U606" s="144"/>
      <c r="V606" s="144"/>
      <c r="W606" s="144"/>
      <c r="X606" s="144"/>
      <c r="Y606" s="144"/>
      <c r="Z606" s="144"/>
      <c r="AA606" s="144"/>
      <c r="AB606" s="144"/>
      <c r="AC606" s="144"/>
      <c r="AD606" s="144"/>
      <c r="AE606" s="144"/>
      <c r="AF606" s="144"/>
    </row>
    <row r="607" ht="16.5" customHeight="1">
      <c r="A607" s="144"/>
      <c r="B607" s="144"/>
      <c r="C607" s="144"/>
      <c r="D607" s="144"/>
      <c r="E607" s="144"/>
      <c r="F607" s="144"/>
      <c r="G607" s="144"/>
      <c r="H607" s="144"/>
      <c r="I607" s="496"/>
      <c r="J607" s="496"/>
      <c r="K607" s="496"/>
      <c r="L607" s="496"/>
      <c r="M607" s="144"/>
      <c r="N607" s="144"/>
      <c r="O607" s="144"/>
      <c r="P607" s="144"/>
      <c r="Q607" s="144"/>
      <c r="R607" s="144"/>
      <c r="S607" s="144"/>
      <c r="T607" s="144"/>
      <c r="U607" s="144"/>
      <c r="V607" s="144"/>
      <c r="W607" s="144"/>
      <c r="X607" s="144"/>
      <c r="Y607" s="144"/>
      <c r="Z607" s="144"/>
      <c r="AA607" s="144"/>
      <c r="AB607" s="144"/>
      <c r="AC607" s="144"/>
      <c r="AD607" s="144"/>
      <c r="AE607" s="144"/>
      <c r="AF607" s="144"/>
    </row>
    <row r="608" ht="16.5" customHeight="1">
      <c r="A608" s="144"/>
      <c r="B608" s="144"/>
      <c r="C608" s="144"/>
      <c r="D608" s="144"/>
      <c r="E608" s="144"/>
      <c r="F608" s="144"/>
      <c r="G608" s="144"/>
      <c r="H608" s="144"/>
      <c r="I608" s="496"/>
      <c r="J608" s="496"/>
      <c r="K608" s="496"/>
      <c r="L608" s="496"/>
      <c r="M608" s="144"/>
      <c r="N608" s="144"/>
      <c r="O608" s="144"/>
      <c r="P608" s="144"/>
      <c r="Q608" s="144"/>
      <c r="R608" s="144"/>
      <c r="S608" s="144"/>
      <c r="T608" s="144"/>
      <c r="U608" s="144"/>
      <c r="V608" s="144"/>
      <c r="W608" s="144"/>
      <c r="X608" s="144"/>
      <c r="Y608" s="144"/>
      <c r="Z608" s="144"/>
      <c r="AA608" s="144"/>
      <c r="AB608" s="144"/>
      <c r="AC608" s="144"/>
      <c r="AD608" s="144"/>
      <c r="AE608" s="144"/>
      <c r="AF608" s="144"/>
    </row>
    <row r="609" ht="16.5" customHeight="1">
      <c r="A609" s="144"/>
      <c r="B609" s="144"/>
      <c r="C609" s="144"/>
      <c r="D609" s="144"/>
      <c r="E609" s="144"/>
      <c r="F609" s="144"/>
      <c r="G609" s="144"/>
      <c r="H609" s="144"/>
      <c r="I609" s="496"/>
      <c r="J609" s="496"/>
      <c r="K609" s="496"/>
      <c r="L609" s="496"/>
      <c r="M609" s="144"/>
      <c r="N609" s="144"/>
      <c r="O609" s="144"/>
      <c r="P609" s="144"/>
      <c r="Q609" s="144"/>
      <c r="R609" s="144"/>
      <c r="S609" s="144"/>
      <c r="T609" s="144"/>
      <c r="U609" s="144"/>
      <c r="V609" s="144"/>
      <c r="W609" s="144"/>
      <c r="X609" s="144"/>
      <c r="Y609" s="144"/>
      <c r="Z609" s="144"/>
      <c r="AA609" s="144"/>
      <c r="AB609" s="144"/>
      <c r="AC609" s="144"/>
      <c r="AD609" s="144"/>
      <c r="AE609" s="144"/>
      <c r="AF609" s="144"/>
    </row>
    <row r="610" ht="16.5" customHeight="1">
      <c r="A610" s="144"/>
      <c r="B610" s="144"/>
      <c r="C610" s="144"/>
      <c r="D610" s="144"/>
      <c r="E610" s="144"/>
      <c r="F610" s="144"/>
      <c r="G610" s="144"/>
      <c r="H610" s="144"/>
      <c r="I610" s="496"/>
      <c r="J610" s="496"/>
      <c r="K610" s="496"/>
      <c r="L610" s="496"/>
      <c r="M610" s="144"/>
      <c r="N610" s="144"/>
      <c r="O610" s="144"/>
      <c r="P610" s="144"/>
      <c r="Q610" s="144"/>
      <c r="R610" s="144"/>
      <c r="S610" s="144"/>
      <c r="T610" s="144"/>
      <c r="U610" s="144"/>
      <c r="V610" s="144"/>
      <c r="W610" s="144"/>
      <c r="X610" s="144"/>
      <c r="Y610" s="144"/>
      <c r="Z610" s="144"/>
      <c r="AA610" s="144"/>
      <c r="AB610" s="144"/>
      <c r="AC610" s="144"/>
      <c r="AD610" s="144"/>
      <c r="AE610" s="144"/>
      <c r="AF610" s="144"/>
    </row>
    <row r="611" ht="16.5" customHeight="1">
      <c r="A611" s="144"/>
      <c r="B611" s="144"/>
      <c r="C611" s="144"/>
      <c r="D611" s="144"/>
      <c r="E611" s="144"/>
      <c r="F611" s="144"/>
      <c r="G611" s="144"/>
      <c r="H611" s="144"/>
      <c r="I611" s="496"/>
      <c r="J611" s="496"/>
      <c r="K611" s="496"/>
      <c r="L611" s="496"/>
      <c r="M611" s="144"/>
      <c r="N611" s="144"/>
      <c r="O611" s="144"/>
      <c r="P611" s="144"/>
      <c r="Q611" s="144"/>
      <c r="R611" s="144"/>
      <c r="S611" s="144"/>
      <c r="T611" s="144"/>
      <c r="U611" s="144"/>
      <c r="V611" s="144"/>
      <c r="W611" s="144"/>
      <c r="X611" s="144"/>
      <c r="Y611" s="144"/>
      <c r="Z611" s="144"/>
      <c r="AA611" s="144"/>
      <c r="AB611" s="144"/>
      <c r="AC611" s="144"/>
      <c r="AD611" s="144"/>
      <c r="AE611" s="144"/>
      <c r="AF611" s="144"/>
    </row>
    <row r="612" ht="16.5" customHeight="1">
      <c r="A612" s="144"/>
      <c r="B612" s="144"/>
      <c r="C612" s="144"/>
      <c r="D612" s="144"/>
      <c r="E612" s="144"/>
      <c r="F612" s="144"/>
      <c r="G612" s="144"/>
      <c r="H612" s="144"/>
      <c r="I612" s="496"/>
      <c r="J612" s="496"/>
      <c r="K612" s="496"/>
      <c r="L612" s="496"/>
      <c r="M612" s="144"/>
      <c r="N612" s="144"/>
      <c r="O612" s="144"/>
      <c r="P612" s="144"/>
      <c r="Q612" s="144"/>
      <c r="R612" s="144"/>
      <c r="S612" s="144"/>
      <c r="T612" s="144"/>
      <c r="U612" s="144"/>
      <c r="V612" s="144"/>
      <c r="W612" s="144"/>
      <c r="X612" s="144"/>
      <c r="Y612" s="144"/>
      <c r="Z612" s="144"/>
      <c r="AA612" s="144"/>
      <c r="AB612" s="144"/>
      <c r="AC612" s="144"/>
      <c r="AD612" s="144"/>
      <c r="AE612" s="144"/>
      <c r="AF612" s="144"/>
    </row>
    <row r="613" ht="16.5" customHeight="1">
      <c r="A613" s="144"/>
      <c r="B613" s="144"/>
      <c r="C613" s="144"/>
      <c r="D613" s="144"/>
      <c r="E613" s="144"/>
      <c r="F613" s="144"/>
      <c r="G613" s="144"/>
      <c r="H613" s="144"/>
      <c r="I613" s="496"/>
      <c r="J613" s="496"/>
      <c r="K613" s="496"/>
      <c r="L613" s="496"/>
      <c r="M613" s="144"/>
      <c r="N613" s="144"/>
      <c r="O613" s="144"/>
      <c r="P613" s="144"/>
      <c r="Q613" s="144"/>
      <c r="R613" s="144"/>
      <c r="S613" s="144"/>
      <c r="T613" s="144"/>
      <c r="U613" s="144"/>
      <c r="V613" s="144"/>
      <c r="W613" s="144"/>
      <c r="X613" s="144"/>
      <c r="Y613" s="144"/>
      <c r="Z613" s="144"/>
      <c r="AA613" s="144"/>
      <c r="AB613" s="144"/>
      <c r="AC613" s="144"/>
      <c r="AD613" s="144"/>
      <c r="AE613" s="144"/>
      <c r="AF613" s="144"/>
    </row>
    <row r="614" ht="16.5" customHeight="1">
      <c r="A614" s="144"/>
      <c r="B614" s="144"/>
      <c r="C614" s="144"/>
      <c r="D614" s="144"/>
      <c r="E614" s="144"/>
      <c r="F614" s="144"/>
      <c r="G614" s="144"/>
      <c r="H614" s="144"/>
      <c r="I614" s="496"/>
      <c r="J614" s="496"/>
      <c r="K614" s="496"/>
      <c r="L614" s="496"/>
      <c r="M614" s="144"/>
      <c r="N614" s="144"/>
      <c r="O614" s="144"/>
      <c r="P614" s="144"/>
      <c r="Q614" s="144"/>
      <c r="R614" s="144"/>
      <c r="S614" s="144"/>
      <c r="T614" s="144"/>
      <c r="U614" s="144"/>
      <c r="V614" s="144"/>
      <c r="W614" s="144"/>
      <c r="X614" s="144"/>
      <c r="Y614" s="144"/>
      <c r="Z614" s="144"/>
      <c r="AA614" s="144"/>
      <c r="AB614" s="144"/>
      <c r="AC614" s="144"/>
      <c r="AD614" s="144"/>
      <c r="AE614" s="144"/>
      <c r="AF614" s="144"/>
    </row>
    <row r="615" ht="16.5" customHeight="1">
      <c r="A615" s="144"/>
      <c r="B615" s="144"/>
      <c r="C615" s="144"/>
      <c r="D615" s="144"/>
      <c r="E615" s="144"/>
      <c r="F615" s="144"/>
      <c r="G615" s="144"/>
      <c r="H615" s="144"/>
      <c r="I615" s="496"/>
      <c r="J615" s="496"/>
      <c r="K615" s="496"/>
      <c r="L615" s="496"/>
      <c r="M615" s="144"/>
      <c r="N615" s="144"/>
      <c r="O615" s="144"/>
      <c r="P615" s="144"/>
      <c r="Q615" s="144"/>
      <c r="R615" s="144"/>
      <c r="S615" s="144"/>
      <c r="T615" s="144"/>
      <c r="U615" s="144"/>
      <c r="V615" s="144"/>
      <c r="W615" s="144"/>
      <c r="X615" s="144"/>
      <c r="Y615" s="144"/>
      <c r="Z615" s="144"/>
      <c r="AA615" s="144"/>
      <c r="AB615" s="144"/>
      <c r="AC615" s="144"/>
      <c r="AD615" s="144"/>
      <c r="AE615" s="144"/>
      <c r="AF615" s="144"/>
    </row>
    <row r="616" ht="16.5" customHeight="1">
      <c r="A616" s="144"/>
      <c r="B616" s="144"/>
      <c r="C616" s="144"/>
      <c r="D616" s="144"/>
      <c r="E616" s="144"/>
      <c r="F616" s="144"/>
      <c r="G616" s="144"/>
      <c r="H616" s="144"/>
      <c r="I616" s="496"/>
      <c r="J616" s="496"/>
      <c r="K616" s="496"/>
      <c r="L616" s="496"/>
      <c r="M616" s="144"/>
      <c r="N616" s="144"/>
      <c r="O616" s="144"/>
      <c r="P616" s="144"/>
      <c r="Q616" s="144"/>
      <c r="R616" s="144"/>
      <c r="S616" s="144"/>
      <c r="T616" s="144"/>
      <c r="U616" s="144"/>
      <c r="V616" s="144"/>
      <c r="W616" s="144"/>
      <c r="X616" s="144"/>
      <c r="Y616" s="144"/>
      <c r="Z616" s="144"/>
      <c r="AA616" s="144"/>
      <c r="AB616" s="144"/>
      <c r="AC616" s="144"/>
      <c r="AD616" s="144"/>
      <c r="AE616" s="144"/>
      <c r="AF616" s="144"/>
    </row>
    <row r="617" ht="16.5" customHeight="1">
      <c r="A617" s="144"/>
      <c r="B617" s="144"/>
      <c r="C617" s="144"/>
      <c r="D617" s="144"/>
      <c r="E617" s="144"/>
      <c r="F617" s="144"/>
      <c r="G617" s="144"/>
      <c r="H617" s="144"/>
      <c r="I617" s="496"/>
      <c r="J617" s="496"/>
      <c r="K617" s="496"/>
      <c r="L617" s="496"/>
      <c r="M617" s="144"/>
      <c r="N617" s="144"/>
      <c r="O617" s="144"/>
      <c r="P617" s="144"/>
      <c r="Q617" s="144"/>
      <c r="R617" s="144"/>
      <c r="S617" s="144"/>
      <c r="T617" s="144"/>
      <c r="U617" s="144"/>
      <c r="V617" s="144"/>
      <c r="W617" s="144"/>
      <c r="X617" s="144"/>
      <c r="Y617" s="144"/>
      <c r="Z617" s="144"/>
      <c r="AA617" s="144"/>
      <c r="AB617" s="144"/>
      <c r="AC617" s="144"/>
      <c r="AD617" s="144"/>
      <c r="AE617" s="144"/>
      <c r="AF617" s="144"/>
    </row>
    <row r="618" ht="16.5" customHeight="1">
      <c r="A618" s="144"/>
      <c r="B618" s="144"/>
      <c r="C618" s="144"/>
      <c r="D618" s="144"/>
      <c r="E618" s="144"/>
      <c r="F618" s="144"/>
      <c r="G618" s="144"/>
      <c r="H618" s="144"/>
      <c r="I618" s="496"/>
      <c r="J618" s="496"/>
      <c r="K618" s="496"/>
      <c r="L618" s="496"/>
      <c r="M618" s="144"/>
      <c r="N618" s="144"/>
      <c r="O618" s="144"/>
      <c r="P618" s="144"/>
      <c r="Q618" s="144"/>
      <c r="R618" s="144"/>
      <c r="S618" s="144"/>
      <c r="T618" s="144"/>
      <c r="U618" s="144"/>
      <c r="V618" s="144"/>
      <c r="W618" s="144"/>
      <c r="X618" s="144"/>
      <c r="Y618" s="144"/>
      <c r="Z618" s="144"/>
      <c r="AA618" s="144"/>
      <c r="AB618" s="144"/>
      <c r="AC618" s="144"/>
      <c r="AD618" s="144"/>
      <c r="AE618" s="144"/>
      <c r="AF618" s="144"/>
    </row>
    <row r="619" ht="16.5" customHeight="1">
      <c r="A619" s="144"/>
      <c r="B619" s="144"/>
      <c r="C619" s="144"/>
      <c r="D619" s="144"/>
      <c r="E619" s="144"/>
      <c r="F619" s="144"/>
      <c r="G619" s="144"/>
      <c r="H619" s="144"/>
      <c r="I619" s="496"/>
      <c r="J619" s="496"/>
      <c r="K619" s="496"/>
      <c r="L619" s="496"/>
      <c r="M619" s="144"/>
      <c r="N619" s="144"/>
      <c r="O619" s="144"/>
      <c r="P619" s="144"/>
      <c r="Q619" s="144"/>
      <c r="R619" s="144"/>
      <c r="S619" s="144"/>
      <c r="T619" s="144"/>
      <c r="U619" s="144"/>
      <c r="V619" s="144"/>
      <c r="W619" s="144"/>
      <c r="X619" s="144"/>
      <c r="Y619" s="144"/>
      <c r="Z619" s="144"/>
      <c r="AA619" s="144"/>
      <c r="AB619" s="144"/>
      <c r="AC619" s="144"/>
      <c r="AD619" s="144"/>
      <c r="AE619" s="144"/>
      <c r="AF619" s="144"/>
    </row>
    <row r="620" ht="16.5" customHeight="1">
      <c r="A620" s="144"/>
      <c r="B620" s="144"/>
      <c r="C620" s="144"/>
      <c r="D620" s="144"/>
      <c r="E620" s="144"/>
      <c r="F620" s="144"/>
      <c r="G620" s="144"/>
      <c r="H620" s="144"/>
      <c r="I620" s="496"/>
      <c r="J620" s="496"/>
      <c r="K620" s="496"/>
      <c r="L620" s="496"/>
      <c r="M620" s="144"/>
      <c r="N620" s="144"/>
      <c r="O620" s="144"/>
      <c r="P620" s="144"/>
      <c r="Q620" s="144"/>
      <c r="R620" s="144"/>
      <c r="S620" s="144"/>
      <c r="T620" s="144"/>
      <c r="U620" s="144"/>
      <c r="V620" s="144"/>
      <c r="W620" s="144"/>
      <c r="X620" s="144"/>
      <c r="Y620" s="144"/>
      <c r="Z620" s="144"/>
      <c r="AA620" s="144"/>
      <c r="AB620" s="144"/>
      <c r="AC620" s="144"/>
      <c r="AD620" s="144"/>
      <c r="AE620" s="144"/>
      <c r="AF620" s="144"/>
    </row>
    <row r="621" ht="16.5" customHeight="1">
      <c r="A621" s="144"/>
      <c r="B621" s="144"/>
      <c r="C621" s="144"/>
      <c r="D621" s="144"/>
      <c r="E621" s="144"/>
      <c r="F621" s="144"/>
      <c r="G621" s="144"/>
      <c r="H621" s="144"/>
      <c r="I621" s="496"/>
      <c r="J621" s="496"/>
      <c r="K621" s="496"/>
      <c r="L621" s="496"/>
      <c r="M621" s="144"/>
      <c r="N621" s="144"/>
      <c r="O621" s="144"/>
      <c r="P621" s="144"/>
      <c r="Q621" s="144"/>
      <c r="R621" s="144"/>
      <c r="S621" s="144"/>
      <c r="T621" s="144"/>
      <c r="U621" s="144"/>
      <c r="V621" s="144"/>
      <c r="W621" s="144"/>
      <c r="X621" s="144"/>
      <c r="Y621" s="144"/>
      <c r="Z621" s="144"/>
      <c r="AA621" s="144"/>
      <c r="AB621" s="144"/>
      <c r="AC621" s="144"/>
      <c r="AD621" s="144"/>
      <c r="AE621" s="144"/>
      <c r="AF621" s="144"/>
    </row>
    <row r="622" ht="16.5" customHeight="1">
      <c r="A622" s="144"/>
      <c r="B622" s="144"/>
      <c r="C622" s="144"/>
      <c r="D622" s="144"/>
      <c r="E622" s="144"/>
      <c r="F622" s="144"/>
      <c r="G622" s="144"/>
      <c r="H622" s="144"/>
      <c r="I622" s="496"/>
      <c r="J622" s="496"/>
      <c r="K622" s="496"/>
      <c r="L622" s="496"/>
      <c r="M622" s="144"/>
      <c r="N622" s="144"/>
      <c r="O622" s="144"/>
      <c r="P622" s="144"/>
      <c r="Q622" s="144"/>
      <c r="R622" s="144"/>
      <c r="S622" s="144"/>
      <c r="T622" s="144"/>
      <c r="U622" s="144"/>
      <c r="V622" s="144"/>
      <c r="W622" s="144"/>
      <c r="X622" s="144"/>
      <c r="Y622" s="144"/>
      <c r="Z622" s="144"/>
      <c r="AA622" s="144"/>
      <c r="AB622" s="144"/>
      <c r="AC622" s="144"/>
      <c r="AD622" s="144"/>
      <c r="AE622" s="144"/>
      <c r="AF622" s="144"/>
    </row>
    <row r="623" ht="16.5" customHeight="1">
      <c r="A623" s="144"/>
      <c r="B623" s="144"/>
      <c r="C623" s="144"/>
      <c r="D623" s="144"/>
      <c r="E623" s="144"/>
      <c r="F623" s="144"/>
      <c r="G623" s="144"/>
      <c r="H623" s="144"/>
      <c r="I623" s="496"/>
      <c r="J623" s="496"/>
      <c r="K623" s="496"/>
      <c r="L623" s="496"/>
      <c r="M623" s="144"/>
      <c r="N623" s="144"/>
      <c r="O623" s="144"/>
      <c r="P623" s="144"/>
      <c r="Q623" s="144"/>
      <c r="R623" s="144"/>
      <c r="S623" s="144"/>
      <c r="T623" s="144"/>
      <c r="U623" s="144"/>
      <c r="V623" s="144"/>
      <c r="W623" s="144"/>
      <c r="X623" s="144"/>
      <c r="Y623" s="144"/>
      <c r="Z623" s="144"/>
      <c r="AA623" s="144"/>
      <c r="AB623" s="144"/>
      <c r="AC623" s="144"/>
      <c r="AD623" s="144"/>
      <c r="AE623" s="144"/>
      <c r="AF623" s="144"/>
    </row>
    <row r="624" ht="16.5" customHeight="1">
      <c r="A624" s="144"/>
      <c r="B624" s="144"/>
      <c r="C624" s="144"/>
      <c r="D624" s="144"/>
      <c r="E624" s="144"/>
      <c r="F624" s="144"/>
      <c r="G624" s="144"/>
      <c r="H624" s="144"/>
      <c r="I624" s="496"/>
      <c r="J624" s="496"/>
      <c r="K624" s="496"/>
      <c r="L624" s="496"/>
      <c r="M624" s="144"/>
      <c r="N624" s="144"/>
      <c r="O624" s="144"/>
      <c r="P624" s="144"/>
      <c r="Q624" s="144"/>
      <c r="R624" s="144"/>
      <c r="S624" s="144"/>
      <c r="T624" s="144"/>
      <c r="U624" s="144"/>
      <c r="V624" s="144"/>
      <c r="W624" s="144"/>
      <c r="X624" s="144"/>
      <c r="Y624" s="144"/>
      <c r="Z624" s="144"/>
      <c r="AA624" s="144"/>
      <c r="AB624" s="144"/>
      <c r="AC624" s="144"/>
      <c r="AD624" s="144"/>
      <c r="AE624" s="144"/>
      <c r="AF624" s="144"/>
    </row>
    <row r="625" ht="16.5" customHeight="1">
      <c r="A625" s="144"/>
      <c r="B625" s="144"/>
      <c r="C625" s="144"/>
      <c r="D625" s="144"/>
      <c r="E625" s="144"/>
      <c r="F625" s="144"/>
      <c r="G625" s="144"/>
      <c r="H625" s="144"/>
      <c r="I625" s="496"/>
      <c r="J625" s="496"/>
      <c r="K625" s="496"/>
      <c r="L625" s="496"/>
      <c r="M625" s="144"/>
      <c r="N625" s="144"/>
      <c r="O625" s="144"/>
      <c r="P625" s="144"/>
      <c r="Q625" s="144"/>
      <c r="R625" s="144"/>
      <c r="S625" s="144"/>
      <c r="T625" s="144"/>
      <c r="U625" s="144"/>
      <c r="V625" s="144"/>
      <c r="W625" s="144"/>
      <c r="X625" s="144"/>
      <c r="Y625" s="144"/>
      <c r="Z625" s="144"/>
      <c r="AA625" s="144"/>
      <c r="AB625" s="144"/>
      <c r="AC625" s="144"/>
      <c r="AD625" s="144"/>
      <c r="AE625" s="144"/>
      <c r="AF625" s="144"/>
    </row>
    <row r="626" ht="16.5" customHeight="1">
      <c r="A626" s="144"/>
      <c r="B626" s="144"/>
      <c r="C626" s="144"/>
      <c r="D626" s="144"/>
      <c r="E626" s="144"/>
      <c r="F626" s="144"/>
      <c r="G626" s="144"/>
      <c r="H626" s="144"/>
      <c r="I626" s="496"/>
      <c r="J626" s="496"/>
      <c r="K626" s="496"/>
      <c r="L626" s="496"/>
      <c r="M626" s="144"/>
      <c r="N626" s="144"/>
      <c r="O626" s="144"/>
      <c r="P626" s="144"/>
      <c r="Q626" s="144"/>
      <c r="R626" s="144"/>
      <c r="S626" s="144"/>
      <c r="T626" s="144"/>
      <c r="U626" s="144"/>
      <c r="V626" s="144"/>
      <c r="W626" s="144"/>
      <c r="X626" s="144"/>
      <c r="Y626" s="144"/>
      <c r="Z626" s="144"/>
      <c r="AA626" s="144"/>
      <c r="AB626" s="144"/>
      <c r="AC626" s="144"/>
      <c r="AD626" s="144"/>
      <c r="AE626" s="144"/>
      <c r="AF626" s="144"/>
    </row>
    <row r="627" ht="16.5" customHeight="1">
      <c r="A627" s="144"/>
      <c r="B627" s="144"/>
      <c r="C627" s="144"/>
      <c r="D627" s="144"/>
      <c r="E627" s="144"/>
      <c r="F627" s="144"/>
      <c r="G627" s="144"/>
      <c r="H627" s="144"/>
      <c r="I627" s="496"/>
      <c r="J627" s="496"/>
      <c r="K627" s="496"/>
      <c r="L627" s="496"/>
      <c r="M627" s="144"/>
      <c r="N627" s="144"/>
      <c r="O627" s="144"/>
      <c r="P627" s="144"/>
      <c r="Q627" s="144"/>
      <c r="R627" s="144"/>
      <c r="S627" s="144"/>
      <c r="T627" s="144"/>
      <c r="U627" s="144"/>
      <c r="V627" s="144"/>
      <c r="W627" s="144"/>
      <c r="X627" s="144"/>
      <c r="Y627" s="144"/>
      <c r="Z627" s="144"/>
      <c r="AA627" s="144"/>
      <c r="AB627" s="144"/>
      <c r="AC627" s="144"/>
      <c r="AD627" s="144"/>
      <c r="AE627" s="144"/>
      <c r="AF627" s="144"/>
    </row>
    <row r="628" ht="16.5" customHeight="1">
      <c r="A628" s="144"/>
      <c r="B628" s="144"/>
      <c r="C628" s="144"/>
      <c r="D628" s="144"/>
      <c r="E628" s="144"/>
      <c r="F628" s="144"/>
      <c r="G628" s="144"/>
      <c r="H628" s="144"/>
      <c r="I628" s="496"/>
      <c r="J628" s="496"/>
      <c r="K628" s="496"/>
      <c r="L628" s="496"/>
      <c r="M628" s="144"/>
      <c r="N628" s="144"/>
      <c r="O628" s="144"/>
      <c r="P628" s="144"/>
      <c r="Q628" s="144"/>
      <c r="R628" s="144"/>
      <c r="S628" s="144"/>
      <c r="T628" s="144"/>
      <c r="U628" s="144"/>
      <c r="V628" s="144"/>
      <c r="W628" s="144"/>
      <c r="X628" s="144"/>
      <c r="Y628" s="144"/>
      <c r="Z628" s="144"/>
      <c r="AA628" s="144"/>
      <c r="AB628" s="144"/>
      <c r="AC628" s="144"/>
      <c r="AD628" s="144"/>
      <c r="AE628" s="144"/>
      <c r="AF628" s="144"/>
    </row>
    <row r="629" ht="16.5" customHeight="1">
      <c r="A629" s="144"/>
      <c r="B629" s="144"/>
      <c r="C629" s="144"/>
      <c r="D629" s="144"/>
      <c r="E629" s="144"/>
      <c r="F629" s="144"/>
      <c r="G629" s="144"/>
      <c r="H629" s="144"/>
      <c r="I629" s="496"/>
      <c r="J629" s="496"/>
      <c r="K629" s="496"/>
      <c r="L629" s="496"/>
      <c r="M629" s="144"/>
      <c r="N629" s="144"/>
      <c r="O629" s="144"/>
      <c r="P629" s="144"/>
      <c r="Q629" s="144"/>
      <c r="R629" s="144"/>
      <c r="S629" s="144"/>
      <c r="T629" s="144"/>
      <c r="U629" s="144"/>
      <c r="V629" s="144"/>
      <c r="W629" s="144"/>
      <c r="X629" s="144"/>
      <c r="Y629" s="144"/>
      <c r="Z629" s="144"/>
      <c r="AA629" s="144"/>
      <c r="AB629" s="144"/>
      <c r="AC629" s="144"/>
      <c r="AD629" s="144"/>
      <c r="AE629" s="144"/>
      <c r="AF629" s="144"/>
    </row>
    <row r="630" ht="16.5" customHeight="1">
      <c r="A630" s="144"/>
      <c r="B630" s="144"/>
      <c r="C630" s="144"/>
      <c r="D630" s="144"/>
      <c r="E630" s="144"/>
      <c r="F630" s="144"/>
      <c r="G630" s="144"/>
      <c r="H630" s="144"/>
      <c r="I630" s="496"/>
      <c r="J630" s="496"/>
      <c r="K630" s="496"/>
      <c r="L630" s="496"/>
      <c r="M630" s="144"/>
      <c r="N630" s="144"/>
      <c r="O630" s="144"/>
      <c r="P630" s="144"/>
      <c r="Q630" s="144"/>
      <c r="R630" s="144"/>
      <c r="S630" s="144"/>
      <c r="T630" s="144"/>
      <c r="U630" s="144"/>
      <c r="V630" s="144"/>
      <c r="W630" s="144"/>
      <c r="X630" s="144"/>
      <c r="Y630" s="144"/>
      <c r="Z630" s="144"/>
      <c r="AA630" s="144"/>
      <c r="AB630" s="144"/>
      <c r="AC630" s="144"/>
      <c r="AD630" s="144"/>
      <c r="AE630" s="144"/>
      <c r="AF630" s="144"/>
    </row>
    <row r="631" ht="16.5" customHeight="1">
      <c r="A631" s="144"/>
      <c r="B631" s="144"/>
      <c r="C631" s="144"/>
      <c r="D631" s="144"/>
      <c r="E631" s="144"/>
      <c r="F631" s="144"/>
      <c r="G631" s="144"/>
      <c r="H631" s="144"/>
      <c r="I631" s="496"/>
      <c r="J631" s="496"/>
      <c r="K631" s="496"/>
      <c r="L631" s="496"/>
      <c r="M631" s="144"/>
      <c r="N631" s="144"/>
      <c r="O631" s="144"/>
      <c r="P631" s="144"/>
      <c r="Q631" s="144"/>
      <c r="R631" s="144"/>
      <c r="S631" s="144"/>
      <c r="T631" s="144"/>
      <c r="U631" s="144"/>
      <c r="V631" s="144"/>
      <c r="W631" s="144"/>
      <c r="X631" s="144"/>
      <c r="Y631" s="144"/>
      <c r="Z631" s="144"/>
      <c r="AA631" s="144"/>
      <c r="AB631" s="144"/>
      <c r="AC631" s="144"/>
      <c r="AD631" s="144"/>
      <c r="AE631" s="144"/>
      <c r="AF631" s="144"/>
    </row>
    <row r="632" ht="16.5" customHeight="1">
      <c r="A632" s="144"/>
      <c r="B632" s="144"/>
      <c r="C632" s="144"/>
      <c r="D632" s="144"/>
      <c r="E632" s="144"/>
      <c r="F632" s="144"/>
      <c r="G632" s="144"/>
      <c r="H632" s="144"/>
      <c r="I632" s="496"/>
      <c r="J632" s="496"/>
      <c r="K632" s="496"/>
      <c r="L632" s="496"/>
      <c r="M632" s="144"/>
      <c r="N632" s="144"/>
      <c r="O632" s="144"/>
      <c r="P632" s="144"/>
      <c r="Q632" s="144"/>
      <c r="R632" s="144"/>
      <c r="S632" s="144"/>
      <c r="T632" s="144"/>
      <c r="U632" s="144"/>
      <c r="V632" s="144"/>
      <c r="W632" s="144"/>
      <c r="X632" s="144"/>
      <c r="Y632" s="144"/>
      <c r="Z632" s="144"/>
      <c r="AA632" s="144"/>
      <c r="AB632" s="144"/>
      <c r="AC632" s="144"/>
      <c r="AD632" s="144"/>
      <c r="AE632" s="144"/>
      <c r="AF632" s="144"/>
    </row>
    <row r="633" ht="16.5" customHeight="1">
      <c r="A633" s="144"/>
      <c r="B633" s="144"/>
      <c r="C633" s="144"/>
      <c r="D633" s="144"/>
      <c r="E633" s="144"/>
      <c r="F633" s="144"/>
      <c r="G633" s="144"/>
      <c r="H633" s="144"/>
      <c r="I633" s="496"/>
      <c r="J633" s="496"/>
      <c r="K633" s="496"/>
      <c r="L633" s="496"/>
      <c r="M633" s="144"/>
      <c r="N633" s="144"/>
      <c r="O633" s="144"/>
      <c r="P633" s="144"/>
      <c r="Q633" s="144"/>
      <c r="R633" s="144"/>
      <c r="S633" s="144"/>
      <c r="T633" s="144"/>
      <c r="U633" s="144"/>
      <c r="V633" s="144"/>
      <c r="W633" s="144"/>
      <c r="X633" s="144"/>
      <c r="Y633" s="144"/>
      <c r="Z633" s="144"/>
      <c r="AA633" s="144"/>
      <c r="AB633" s="144"/>
      <c r="AC633" s="144"/>
      <c r="AD633" s="144"/>
      <c r="AE633" s="144"/>
      <c r="AF633" s="144"/>
    </row>
    <row r="634" ht="16.5" customHeight="1">
      <c r="A634" s="144"/>
      <c r="B634" s="144"/>
      <c r="C634" s="144"/>
      <c r="D634" s="144"/>
      <c r="E634" s="144"/>
      <c r="F634" s="144"/>
      <c r="G634" s="144"/>
      <c r="H634" s="144"/>
      <c r="I634" s="496"/>
      <c r="J634" s="496"/>
      <c r="K634" s="496"/>
      <c r="L634" s="496"/>
      <c r="M634" s="144"/>
      <c r="N634" s="144"/>
      <c r="O634" s="144"/>
      <c r="P634" s="144"/>
      <c r="Q634" s="144"/>
      <c r="R634" s="144"/>
      <c r="S634" s="144"/>
      <c r="T634" s="144"/>
      <c r="U634" s="144"/>
      <c r="V634" s="144"/>
      <c r="W634" s="144"/>
      <c r="X634" s="144"/>
      <c r="Y634" s="144"/>
      <c r="Z634" s="144"/>
      <c r="AA634" s="144"/>
      <c r="AB634" s="144"/>
      <c r="AC634" s="144"/>
      <c r="AD634" s="144"/>
      <c r="AE634" s="144"/>
      <c r="AF634" s="144"/>
    </row>
    <row r="635" ht="16.5" customHeight="1">
      <c r="A635" s="144"/>
      <c r="B635" s="144"/>
      <c r="C635" s="144"/>
      <c r="D635" s="144"/>
      <c r="E635" s="144"/>
      <c r="F635" s="144"/>
      <c r="G635" s="144"/>
      <c r="H635" s="144"/>
      <c r="I635" s="496"/>
      <c r="J635" s="496"/>
      <c r="K635" s="496"/>
      <c r="L635" s="496"/>
      <c r="M635" s="144"/>
      <c r="N635" s="144"/>
      <c r="O635" s="144"/>
      <c r="P635" s="144"/>
      <c r="Q635" s="144"/>
      <c r="R635" s="144"/>
      <c r="S635" s="144"/>
      <c r="T635" s="144"/>
      <c r="U635" s="144"/>
      <c r="V635" s="144"/>
      <c r="W635" s="144"/>
      <c r="X635" s="144"/>
      <c r="Y635" s="144"/>
      <c r="Z635" s="144"/>
      <c r="AA635" s="144"/>
      <c r="AB635" s="144"/>
      <c r="AC635" s="144"/>
      <c r="AD635" s="144"/>
      <c r="AE635" s="144"/>
      <c r="AF635" s="144"/>
    </row>
    <row r="636" ht="16.5" customHeight="1">
      <c r="A636" s="144"/>
      <c r="B636" s="144"/>
      <c r="C636" s="144"/>
      <c r="D636" s="144"/>
      <c r="E636" s="144"/>
      <c r="F636" s="144"/>
      <c r="G636" s="144"/>
      <c r="H636" s="144"/>
      <c r="I636" s="496"/>
      <c r="J636" s="496"/>
      <c r="K636" s="496"/>
      <c r="L636" s="496"/>
      <c r="M636" s="144"/>
      <c r="N636" s="144"/>
      <c r="O636" s="144"/>
      <c r="P636" s="144"/>
      <c r="Q636" s="144"/>
      <c r="R636" s="144"/>
      <c r="S636" s="144"/>
      <c r="T636" s="144"/>
      <c r="U636" s="144"/>
      <c r="V636" s="144"/>
      <c r="W636" s="144"/>
      <c r="X636" s="144"/>
      <c r="Y636" s="144"/>
      <c r="Z636" s="144"/>
      <c r="AA636" s="144"/>
      <c r="AB636" s="144"/>
      <c r="AC636" s="144"/>
      <c r="AD636" s="144"/>
      <c r="AE636" s="144"/>
      <c r="AF636" s="144"/>
    </row>
    <row r="637" ht="16.5" customHeight="1">
      <c r="A637" s="144"/>
      <c r="B637" s="144"/>
      <c r="C637" s="144"/>
      <c r="D637" s="144"/>
      <c r="E637" s="144"/>
      <c r="F637" s="144"/>
      <c r="G637" s="144"/>
      <c r="H637" s="144"/>
      <c r="I637" s="496"/>
      <c r="J637" s="496"/>
      <c r="K637" s="496"/>
      <c r="L637" s="496"/>
      <c r="M637" s="144"/>
      <c r="N637" s="144"/>
      <c r="O637" s="144"/>
      <c r="P637" s="144"/>
      <c r="Q637" s="144"/>
      <c r="R637" s="144"/>
      <c r="S637" s="144"/>
      <c r="T637" s="144"/>
      <c r="U637" s="144"/>
      <c r="V637" s="144"/>
      <c r="W637" s="144"/>
      <c r="X637" s="144"/>
      <c r="Y637" s="144"/>
      <c r="Z637" s="144"/>
      <c r="AA637" s="144"/>
      <c r="AB637" s="144"/>
      <c r="AC637" s="144"/>
      <c r="AD637" s="144"/>
      <c r="AE637" s="144"/>
      <c r="AF637" s="144"/>
    </row>
    <row r="638" ht="16.5" customHeight="1">
      <c r="A638" s="144"/>
      <c r="B638" s="144"/>
      <c r="C638" s="144"/>
      <c r="D638" s="144"/>
      <c r="E638" s="144"/>
      <c r="F638" s="144"/>
      <c r="G638" s="144"/>
      <c r="H638" s="144"/>
      <c r="I638" s="496"/>
      <c r="J638" s="496"/>
      <c r="K638" s="496"/>
      <c r="L638" s="496"/>
      <c r="M638" s="144"/>
      <c r="N638" s="144"/>
      <c r="O638" s="144"/>
      <c r="P638" s="144"/>
      <c r="Q638" s="144"/>
      <c r="R638" s="144"/>
      <c r="S638" s="144"/>
      <c r="T638" s="144"/>
      <c r="U638" s="144"/>
      <c r="V638" s="144"/>
      <c r="W638" s="144"/>
      <c r="X638" s="144"/>
      <c r="Y638" s="144"/>
      <c r="Z638" s="144"/>
      <c r="AA638" s="144"/>
      <c r="AB638" s="144"/>
      <c r="AC638" s="144"/>
      <c r="AD638" s="144"/>
      <c r="AE638" s="144"/>
      <c r="AF638" s="144"/>
    </row>
    <row r="639" ht="16.5" customHeight="1">
      <c r="A639" s="144"/>
      <c r="B639" s="144"/>
      <c r="C639" s="144"/>
      <c r="D639" s="144"/>
      <c r="E639" s="144"/>
      <c r="F639" s="144"/>
      <c r="G639" s="144"/>
      <c r="H639" s="144"/>
      <c r="I639" s="496"/>
      <c r="J639" s="496"/>
      <c r="K639" s="496"/>
      <c r="L639" s="496"/>
      <c r="M639" s="144"/>
      <c r="N639" s="144"/>
      <c r="O639" s="144"/>
      <c r="P639" s="144"/>
      <c r="Q639" s="144"/>
      <c r="R639" s="144"/>
      <c r="S639" s="144"/>
      <c r="T639" s="144"/>
      <c r="U639" s="144"/>
      <c r="V639" s="144"/>
      <c r="W639" s="144"/>
      <c r="X639" s="144"/>
      <c r="Y639" s="144"/>
      <c r="Z639" s="144"/>
      <c r="AA639" s="144"/>
      <c r="AB639" s="144"/>
      <c r="AC639" s="144"/>
      <c r="AD639" s="144"/>
      <c r="AE639" s="144"/>
      <c r="AF639" s="144"/>
    </row>
    <row r="640" ht="16.5" customHeight="1">
      <c r="A640" s="144"/>
      <c r="B640" s="144"/>
      <c r="C640" s="144"/>
      <c r="D640" s="144"/>
      <c r="E640" s="144"/>
      <c r="F640" s="144"/>
      <c r="G640" s="144"/>
      <c r="H640" s="144"/>
      <c r="I640" s="496"/>
      <c r="J640" s="496"/>
      <c r="K640" s="496"/>
      <c r="L640" s="496"/>
      <c r="M640" s="144"/>
      <c r="N640" s="144"/>
      <c r="O640" s="144"/>
      <c r="P640" s="144"/>
      <c r="Q640" s="144"/>
      <c r="R640" s="144"/>
      <c r="S640" s="144"/>
      <c r="T640" s="144"/>
      <c r="U640" s="144"/>
      <c r="V640" s="144"/>
      <c r="W640" s="144"/>
      <c r="X640" s="144"/>
      <c r="Y640" s="144"/>
      <c r="Z640" s="144"/>
      <c r="AA640" s="144"/>
      <c r="AB640" s="144"/>
      <c r="AC640" s="144"/>
      <c r="AD640" s="144"/>
      <c r="AE640" s="144"/>
      <c r="AF640" s="144"/>
    </row>
    <row r="641" ht="16.5" customHeight="1">
      <c r="A641" s="144"/>
      <c r="B641" s="144"/>
      <c r="C641" s="144"/>
      <c r="D641" s="144"/>
      <c r="E641" s="144"/>
      <c r="F641" s="144"/>
      <c r="G641" s="144"/>
      <c r="H641" s="144"/>
      <c r="I641" s="496"/>
      <c r="J641" s="496"/>
      <c r="K641" s="496"/>
      <c r="L641" s="496"/>
      <c r="M641" s="144"/>
      <c r="N641" s="144"/>
      <c r="O641" s="144"/>
      <c r="P641" s="144"/>
      <c r="Q641" s="144"/>
      <c r="R641" s="144"/>
      <c r="S641" s="144"/>
      <c r="T641" s="144"/>
      <c r="U641" s="144"/>
      <c r="V641" s="144"/>
      <c r="W641" s="144"/>
      <c r="X641" s="144"/>
      <c r="Y641" s="144"/>
      <c r="Z641" s="144"/>
      <c r="AA641" s="144"/>
      <c r="AB641" s="144"/>
      <c r="AC641" s="144"/>
      <c r="AD641" s="144"/>
      <c r="AE641" s="144"/>
      <c r="AF641" s="144"/>
    </row>
    <row r="642" ht="16.5" customHeight="1">
      <c r="A642" s="144"/>
      <c r="B642" s="144"/>
      <c r="C642" s="144"/>
      <c r="D642" s="144"/>
      <c r="E642" s="144"/>
      <c r="F642" s="144"/>
      <c r="G642" s="144"/>
      <c r="H642" s="144"/>
      <c r="I642" s="496"/>
      <c r="J642" s="496"/>
      <c r="K642" s="496"/>
      <c r="L642" s="496"/>
      <c r="M642" s="144"/>
      <c r="N642" s="144"/>
      <c r="O642" s="144"/>
      <c r="P642" s="144"/>
      <c r="Q642" s="144"/>
      <c r="R642" s="144"/>
      <c r="S642" s="144"/>
      <c r="T642" s="144"/>
      <c r="U642" s="144"/>
      <c r="V642" s="144"/>
      <c r="W642" s="144"/>
      <c r="X642" s="144"/>
      <c r="Y642" s="144"/>
      <c r="Z642" s="144"/>
      <c r="AA642" s="144"/>
      <c r="AB642" s="144"/>
      <c r="AC642" s="144"/>
      <c r="AD642" s="144"/>
      <c r="AE642" s="144"/>
      <c r="AF642" s="144"/>
    </row>
    <row r="643" ht="16.5" customHeight="1">
      <c r="A643" s="144"/>
      <c r="B643" s="144"/>
      <c r="C643" s="144"/>
      <c r="D643" s="144"/>
      <c r="E643" s="144"/>
      <c r="F643" s="144"/>
      <c r="G643" s="144"/>
      <c r="H643" s="144"/>
      <c r="I643" s="496"/>
      <c r="J643" s="496"/>
      <c r="K643" s="496"/>
      <c r="L643" s="496"/>
      <c r="M643" s="144"/>
      <c r="N643" s="144"/>
      <c r="O643" s="144"/>
      <c r="P643" s="144"/>
      <c r="Q643" s="144"/>
      <c r="R643" s="144"/>
      <c r="S643" s="144"/>
      <c r="T643" s="144"/>
      <c r="U643" s="144"/>
      <c r="V643" s="144"/>
      <c r="W643" s="144"/>
      <c r="X643" s="144"/>
      <c r="Y643" s="144"/>
      <c r="Z643" s="144"/>
      <c r="AA643" s="144"/>
      <c r="AB643" s="144"/>
      <c r="AC643" s="144"/>
      <c r="AD643" s="144"/>
      <c r="AE643" s="144"/>
      <c r="AF643" s="144"/>
    </row>
    <row r="644" ht="16.5" customHeight="1">
      <c r="A644" s="144"/>
      <c r="B644" s="144"/>
      <c r="C644" s="144"/>
      <c r="D644" s="144"/>
      <c r="E644" s="144"/>
      <c r="F644" s="144"/>
      <c r="G644" s="144"/>
      <c r="H644" s="144"/>
      <c r="I644" s="496"/>
      <c r="J644" s="496"/>
      <c r="K644" s="496"/>
      <c r="L644" s="496"/>
      <c r="M644" s="144"/>
      <c r="N644" s="144"/>
      <c r="O644" s="144"/>
      <c r="P644" s="144"/>
      <c r="Q644" s="144"/>
      <c r="R644" s="144"/>
      <c r="S644" s="144"/>
      <c r="T644" s="144"/>
      <c r="U644" s="144"/>
      <c r="V644" s="144"/>
      <c r="W644" s="144"/>
      <c r="X644" s="144"/>
      <c r="Y644" s="144"/>
      <c r="Z644" s="144"/>
      <c r="AA644" s="144"/>
      <c r="AB644" s="144"/>
      <c r="AC644" s="144"/>
      <c r="AD644" s="144"/>
      <c r="AE644" s="144"/>
      <c r="AF644" s="144"/>
    </row>
    <row r="645" ht="16.5" customHeight="1">
      <c r="A645" s="144"/>
      <c r="B645" s="144"/>
      <c r="C645" s="144"/>
      <c r="D645" s="144"/>
      <c r="E645" s="144"/>
      <c r="F645" s="144"/>
      <c r="G645" s="144"/>
      <c r="H645" s="144"/>
      <c r="I645" s="496"/>
      <c r="J645" s="496"/>
      <c r="K645" s="496"/>
      <c r="L645" s="496"/>
      <c r="M645" s="144"/>
      <c r="N645" s="144"/>
      <c r="O645" s="144"/>
      <c r="P645" s="144"/>
      <c r="Q645" s="144"/>
      <c r="R645" s="144"/>
      <c r="S645" s="144"/>
      <c r="T645" s="144"/>
      <c r="U645" s="144"/>
      <c r="V645" s="144"/>
      <c r="W645" s="144"/>
      <c r="X645" s="144"/>
      <c r="Y645" s="144"/>
      <c r="Z645" s="144"/>
      <c r="AA645" s="144"/>
      <c r="AB645" s="144"/>
      <c r="AC645" s="144"/>
      <c r="AD645" s="144"/>
      <c r="AE645" s="144"/>
      <c r="AF645" s="144"/>
    </row>
    <row r="646" ht="16.5" customHeight="1">
      <c r="A646" s="144"/>
      <c r="B646" s="144"/>
      <c r="C646" s="144"/>
      <c r="D646" s="144"/>
      <c r="E646" s="144"/>
      <c r="F646" s="144"/>
      <c r="G646" s="144"/>
      <c r="H646" s="144"/>
      <c r="I646" s="496"/>
      <c r="J646" s="496"/>
      <c r="K646" s="496"/>
      <c r="L646" s="496"/>
      <c r="M646" s="144"/>
      <c r="N646" s="144"/>
      <c r="O646" s="144"/>
      <c r="P646" s="144"/>
      <c r="Q646" s="144"/>
      <c r="R646" s="144"/>
      <c r="S646" s="144"/>
      <c r="T646" s="144"/>
      <c r="U646" s="144"/>
      <c r="V646" s="144"/>
      <c r="W646" s="144"/>
      <c r="X646" s="144"/>
      <c r="Y646" s="144"/>
      <c r="Z646" s="144"/>
      <c r="AA646" s="144"/>
      <c r="AB646" s="144"/>
      <c r="AC646" s="144"/>
      <c r="AD646" s="144"/>
      <c r="AE646" s="144"/>
      <c r="AF646" s="144"/>
    </row>
    <row r="647" ht="16.5" customHeight="1">
      <c r="A647" s="144"/>
      <c r="B647" s="144"/>
      <c r="C647" s="144"/>
      <c r="D647" s="144"/>
      <c r="E647" s="144"/>
      <c r="F647" s="144"/>
      <c r="G647" s="144"/>
      <c r="H647" s="144"/>
      <c r="I647" s="496"/>
      <c r="J647" s="496"/>
      <c r="K647" s="496"/>
      <c r="L647" s="496"/>
      <c r="M647" s="144"/>
      <c r="N647" s="144"/>
      <c r="O647" s="144"/>
      <c r="P647" s="144"/>
      <c r="Q647" s="144"/>
      <c r="R647" s="144"/>
      <c r="S647" s="144"/>
      <c r="T647" s="144"/>
      <c r="U647" s="144"/>
      <c r="V647" s="144"/>
      <c r="W647" s="144"/>
      <c r="X647" s="144"/>
      <c r="Y647" s="144"/>
      <c r="Z647" s="144"/>
      <c r="AA647" s="144"/>
      <c r="AB647" s="144"/>
      <c r="AC647" s="144"/>
      <c r="AD647" s="144"/>
      <c r="AE647" s="144"/>
      <c r="AF647" s="144"/>
    </row>
    <row r="648" ht="16.5" customHeight="1">
      <c r="A648" s="144"/>
      <c r="B648" s="144"/>
      <c r="C648" s="144"/>
      <c r="D648" s="144"/>
      <c r="E648" s="144"/>
      <c r="F648" s="144"/>
      <c r="G648" s="144"/>
      <c r="H648" s="144"/>
      <c r="I648" s="496"/>
      <c r="J648" s="496"/>
      <c r="K648" s="496"/>
      <c r="L648" s="496"/>
      <c r="M648" s="144"/>
      <c r="N648" s="144"/>
      <c r="O648" s="144"/>
      <c r="P648" s="144"/>
      <c r="Q648" s="144"/>
      <c r="R648" s="144"/>
      <c r="S648" s="144"/>
      <c r="T648" s="144"/>
      <c r="U648" s="144"/>
      <c r="V648" s="144"/>
      <c r="W648" s="144"/>
      <c r="X648" s="144"/>
      <c r="Y648" s="144"/>
      <c r="Z648" s="144"/>
      <c r="AA648" s="144"/>
      <c r="AB648" s="144"/>
      <c r="AC648" s="144"/>
      <c r="AD648" s="144"/>
      <c r="AE648" s="144"/>
      <c r="AF648" s="144"/>
    </row>
    <row r="649" ht="16.5" customHeight="1">
      <c r="A649" s="144"/>
      <c r="B649" s="144"/>
      <c r="C649" s="144"/>
      <c r="D649" s="144"/>
      <c r="E649" s="144"/>
      <c r="F649" s="144"/>
      <c r="G649" s="144"/>
      <c r="H649" s="144"/>
      <c r="I649" s="496"/>
      <c r="J649" s="496"/>
      <c r="K649" s="496"/>
      <c r="L649" s="496"/>
      <c r="M649" s="144"/>
      <c r="N649" s="144"/>
      <c r="O649" s="144"/>
      <c r="P649" s="144"/>
      <c r="Q649" s="144"/>
      <c r="R649" s="144"/>
      <c r="S649" s="144"/>
      <c r="T649" s="144"/>
      <c r="U649" s="144"/>
      <c r="V649" s="144"/>
      <c r="W649" s="144"/>
      <c r="X649" s="144"/>
      <c r="Y649" s="144"/>
      <c r="Z649" s="144"/>
      <c r="AA649" s="144"/>
      <c r="AB649" s="144"/>
      <c r="AC649" s="144"/>
      <c r="AD649" s="144"/>
      <c r="AE649" s="144"/>
      <c r="AF649" s="144"/>
    </row>
    <row r="650" ht="16.5" customHeight="1">
      <c r="A650" s="144"/>
      <c r="B650" s="144"/>
      <c r="C650" s="144"/>
      <c r="D650" s="144"/>
      <c r="E650" s="144"/>
      <c r="F650" s="144"/>
      <c r="G650" s="144"/>
      <c r="H650" s="144"/>
      <c r="I650" s="496"/>
      <c r="J650" s="496"/>
      <c r="K650" s="496"/>
      <c r="L650" s="496"/>
      <c r="M650" s="144"/>
      <c r="N650" s="144"/>
      <c r="O650" s="144"/>
      <c r="P650" s="144"/>
      <c r="Q650" s="144"/>
      <c r="R650" s="144"/>
      <c r="S650" s="144"/>
      <c r="T650" s="144"/>
      <c r="U650" s="144"/>
      <c r="V650" s="144"/>
      <c r="W650" s="144"/>
      <c r="X650" s="144"/>
      <c r="Y650" s="144"/>
      <c r="Z650" s="144"/>
      <c r="AA650" s="144"/>
      <c r="AB650" s="144"/>
      <c r="AC650" s="144"/>
      <c r="AD650" s="144"/>
      <c r="AE650" s="144"/>
      <c r="AF650" s="144"/>
    </row>
    <row r="651" ht="16.5" customHeight="1">
      <c r="A651" s="144"/>
      <c r="B651" s="144"/>
      <c r="C651" s="144"/>
      <c r="D651" s="144"/>
      <c r="E651" s="144"/>
      <c r="F651" s="144"/>
      <c r="G651" s="144"/>
      <c r="H651" s="144"/>
      <c r="I651" s="496"/>
      <c r="J651" s="496"/>
      <c r="K651" s="496"/>
      <c r="L651" s="496"/>
      <c r="M651" s="144"/>
      <c r="N651" s="144"/>
      <c r="O651" s="144"/>
      <c r="P651" s="144"/>
      <c r="Q651" s="144"/>
      <c r="R651" s="144"/>
      <c r="S651" s="144"/>
      <c r="T651" s="144"/>
      <c r="U651" s="144"/>
      <c r="V651" s="144"/>
      <c r="W651" s="144"/>
      <c r="X651" s="144"/>
      <c r="Y651" s="144"/>
      <c r="Z651" s="144"/>
      <c r="AA651" s="144"/>
      <c r="AB651" s="144"/>
      <c r="AC651" s="144"/>
      <c r="AD651" s="144"/>
      <c r="AE651" s="144"/>
      <c r="AF651" s="144"/>
    </row>
    <row r="652" ht="16.5" customHeight="1">
      <c r="A652" s="144"/>
      <c r="B652" s="144"/>
      <c r="C652" s="144"/>
      <c r="D652" s="144"/>
      <c r="E652" s="144"/>
      <c r="F652" s="144"/>
      <c r="G652" s="144"/>
      <c r="H652" s="144"/>
      <c r="I652" s="496"/>
      <c r="J652" s="496"/>
      <c r="K652" s="496"/>
      <c r="L652" s="496"/>
      <c r="M652" s="144"/>
      <c r="N652" s="144"/>
      <c r="O652" s="144"/>
      <c r="P652" s="144"/>
      <c r="Q652" s="144"/>
      <c r="R652" s="144"/>
      <c r="S652" s="144"/>
      <c r="T652" s="144"/>
      <c r="U652" s="144"/>
      <c r="V652" s="144"/>
      <c r="W652" s="144"/>
      <c r="X652" s="144"/>
      <c r="Y652" s="144"/>
      <c r="Z652" s="144"/>
      <c r="AA652" s="144"/>
      <c r="AB652" s="144"/>
      <c r="AC652" s="144"/>
      <c r="AD652" s="144"/>
      <c r="AE652" s="144"/>
      <c r="AF652" s="144"/>
    </row>
    <row r="653" ht="16.5" customHeight="1">
      <c r="A653" s="144"/>
      <c r="B653" s="144"/>
      <c r="C653" s="144"/>
      <c r="D653" s="144"/>
      <c r="E653" s="144"/>
      <c r="F653" s="144"/>
      <c r="G653" s="144"/>
      <c r="H653" s="144"/>
      <c r="I653" s="496"/>
      <c r="J653" s="496"/>
      <c r="K653" s="496"/>
      <c r="L653" s="496"/>
      <c r="M653" s="144"/>
      <c r="N653" s="144"/>
      <c r="O653" s="144"/>
      <c r="P653" s="144"/>
      <c r="Q653" s="144"/>
      <c r="R653" s="144"/>
      <c r="S653" s="144"/>
      <c r="T653" s="144"/>
      <c r="U653" s="144"/>
      <c r="V653" s="144"/>
      <c r="W653" s="144"/>
      <c r="X653" s="144"/>
      <c r="Y653" s="144"/>
      <c r="Z653" s="144"/>
      <c r="AA653" s="144"/>
      <c r="AB653" s="144"/>
      <c r="AC653" s="144"/>
      <c r="AD653" s="144"/>
      <c r="AE653" s="144"/>
      <c r="AF653" s="144"/>
    </row>
    <row r="654" ht="16.5" customHeight="1">
      <c r="A654" s="144"/>
      <c r="B654" s="144"/>
      <c r="C654" s="144"/>
      <c r="D654" s="144"/>
      <c r="E654" s="144"/>
      <c r="F654" s="144"/>
      <c r="G654" s="144"/>
      <c r="H654" s="144"/>
      <c r="I654" s="496"/>
      <c r="J654" s="496"/>
      <c r="K654" s="496"/>
      <c r="L654" s="496"/>
      <c r="M654" s="144"/>
      <c r="N654" s="144"/>
      <c r="O654" s="144"/>
      <c r="P654" s="144"/>
      <c r="Q654" s="144"/>
      <c r="R654" s="144"/>
      <c r="S654" s="144"/>
      <c r="T654" s="144"/>
      <c r="U654" s="144"/>
      <c r="V654" s="144"/>
      <c r="W654" s="144"/>
      <c r="X654" s="144"/>
      <c r="Y654" s="144"/>
      <c r="Z654" s="144"/>
      <c r="AA654" s="144"/>
      <c r="AB654" s="144"/>
      <c r="AC654" s="144"/>
      <c r="AD654" s="144"/>
      <c r="AE654" s="144"/>
      <c r="AF654" s="144"/>
    </row>
    <row r="655" ht="16.5" customHeight="1">
      <c r="A655" s="144"/>
      <c r="B655" s="144"/>
      <c r="C655" s="144"/>
      <c r="D655" s="144"/>
      <c r="E655" s="144"/>
      <c r="F655" s="144"/>
      <c r="G655" s="144"/>
      <c r="H655" s="144"/>
      <c r="I655" s="496"/>
      <c r="J655" s="496"/>
      <c r="K655" s="496"/>
      <c r="L655" s="496"/>
      <c r="M655" s="144"/>
      <c r="N655" s="144"/>
      <c r="O655" s="144"/>
      <c r="P655" s="144"/>
      <c r="Q655" s="144"/>
      <c r="R655" s="144"/>
      <c r="S655" s="144"/>
      <c r="T655" s="144"/>
      <c r="U655" s="144"/>
      <c r="V655" s="144"/>
      <c r="W655" s="144"/>
      <c r="X655" s="144"/>
      <c r="Y655" s="144"/>
      <c r="Z655" s="144"/>
      <c r="AA655" s="144"/>
      <c r="AB655" s="144"/>
      <c r="AC655" s="144"/>
      <c r="AD655" s="144"/>
      <c r="AE655" s="144"/>
      <c r="AF655" s="144"/>
    </row>
    <row r="656" ht="16.5" customHeight="1">
      <c r="A656" s="144"/>
      <c r="B656" s="144"/>
      <c r="C656" s="144"/>
      <c r="D656" s="144"/>
      <c r="E656" s="144"/>
      <c r="F656" s="144"/>
      <c r="G656" s="144"/>
      <c r="H656" s="144"/>
      <c r="I656" s="496"/>
      <c r="J656" s="496"/>
      <c r="K656" s="496"/>
      <c r="L656" s="496"/>
      <c r="M656" s="144"/>
      <c r="N656" s="144"/>
      <c r="O656" s="144"/>
      <c r="P656" s="144"/>
      <c r="Q656" s="144"/>
      <c r="R656" s="144"/>
      <c r="S656" s="144"/>
      <c r="T656" s="144"/>
      <c r="U656" s="144"/>
      <c r="V656" s="144"/>
      <c r="W656" s="144"/>
      <c r="X656" s="144"/>
      <c r="Y656" s="144"/>
      <c r="Z656" s="144"/>
      <c r="AA656" s="144"/>
      <c r="AB656" s="144"/>
      <c r="AC656" s="144"/>
      <c r="AD656" s="144"/>
      <c r="AE656" s="144"/>
      <c r="AF656" s="144"/>
    </row>
    <row r="657" ht="16.5" customHeight="1">
      <c r="A657" s="144"/>
      <c r="B657" s="144"/>
      <c r="C657" s="144"/>
      <c r="D657" s="144"/>
      <c r="E657" s="144"/>
      <c r="F657" s="144"/>
      <c r="G657" s="144"/>
      <c r="H657" s="144"/>
      <c r="I657" s="496"/>
      <c r="J657" s="496"/>
      <c r="K657" s="496"/>
      <c r="L657" s="496"/>
      <c r="M657" s="144"/>
      <c r="N657" s="144"/>
      <c r="O657" s="144"/>
      <c r="P657" s="144"/>
      <c r="Q657" s="144"/>
      <c r="R657" s="144"/>
      <c r="S657" s="144"/>
      <c r="T657" s="144"/>
      <c r="U657" s="144"/>
      <c r="V657" s="144"/>
      <c r="W657" s="144"/>
      <c r="X657" s="144"/>
      <c r="Y657" s="144"/>
      <c r="Z657" s="144"/>
      <c r="AA657" s="144"/>
      <c r="AB657" s="144"/>
      <c r="AC657" s="144"/>
      <c r="AD657" s="144"/>
      <c r="AE657" s="144"/>
      <c r="AF657" s="144"/>
    </row>
    <row r="658" ht="16.5" customHeight="1">
      <c r="A658" s="144"/>
      <c r="B658" s="144"/>
      <c r="C658" s="144"/>
      <c r="D658" s="144"/>
      <c r="E658" s="144"/>
      <c r="F658" s="144"/>
      <c r="G658" s="144"/>
      <c r="H658" s="144"/>
      <c r="I658" s="496"/>
      <c r="J658" s="496"/>
      <c r="K658" s="496"/>
      <c r="L658" s="496"/>
      <c r="M658" s="144"/>
      <c r="N658" s="144"/>
      <c r="O658" s="144"/>
      <c r="P658" s="144"/>
      <c r="Q658" s="144"/>
      <c r="R658" s="144"/>
      <c r="S658" s="144"/>
      <c r="T658" s="144"/>
      <c r="U658" s="144"/>
      <c r="V658" s="144"/>
      <c r="W658" s="144"/>
      <c r="X658" s="144"/>
      <c r="Y658" s="144"/>
      <c r="Z658" s="144"/>
      <c r="AA658" s="144"/>
      <c r="AB658" s="144"/>
      <c r="AC658" s="144"/>
      <c r="AD658" s="144"/>
      <c r="AE658" s="144"/>
      <c r="AF658" s="144"/>
    </row>
    <row r="659" ht="16.5" customHeight="1">
      <c r="A659" s="144"/>
      <c r="B659" s="144"/>
      <c r="C659" s="144"/>
      <c r="D659" s="144"/>
      <c r="E659" s="144"/>
      <c r="F659" s="144"/>
      <c r="G659" s="144"/>
      <c r="H659" s="144"/>
      <c r="I659" s="496"/>
      <c r="J659" s="496"/>
      <c r="K659" s="496"/>
      <c r="L659" s="496"/>
      <c r="M659" s="144"/>
      <c r="N659" s="144"/>
      <c r="O659" s="144"/>
      <c r="P659" s="144"/>
      <c r="Q659" s="144"/>
      <c r="R659" s="144"/>
      <c r="S659" s="144"/>
      <c r="T659" s="144"/>
      <c r="U659" s="144"/>
      <c r="V659" s="144"/>
      <c r="W659" s="144"/>
      <c r="X659" s="144"/>
      <c r="Y659" s="144"/>
      <c r="Z659" s="144"/>
      <c r="AA659" s="144"/>
      <c r="AB659" s="144"/>
      <c r="AC659" s="144"/>
      <c r="AD659" s="144"/>
      <c r="AE659" s="144"/>
      <c r="AF659" s="144"/>
    </row>
    <row r="660" ht="16.5" customHeight="1">
      <c r="A660" s="144"/>
      <c r="B660" s="144"/>
      <c r="C660" s="144"/>
      <c r="D660" s="144"/>
      <c r="E660" s="144"/>
      <c r="F660" s="144"/>
      <c r="G660" s="144"/>
      <c r="H660" s="144"/>
      <c r="I660" s="496"/>
      <c r="J660" s="496"/>
      <c r="K660" s="496"/>
      <c r="L660" s="496"/>
      <c r="M660" s="144"/>
      <c r="N660" s="144"/>
      <c r="O660" s="144"/>
      <c r="P660" s="144"/>
      <c r="Q660" s="144"/>
      <c r="R660" s="144"/>
      <c r="S660" s="144"/>
      <c r="T660" s="144"/>
      <c r="U660" s="144"/>
      <c r="V660" s="144"/>
      <c r="W660" s="144"/>
      <c r="X660" s="144"/>
      <c r="Y660" s="144"/>
      <c r="Z660" s="144"/>
      <c r="AA660" s="144"/>
      <c r="AB660" s="144"/>
      <c r="AC660" s="144"/>
      <c r="AD660" s="144"/>
      <c r="AE660" s="144"/>
      <c r="AF660" s="144"/>
    </row>
    <row r="661" ht="16.5" customHeight="1">
      <c r="A661" s="144"/>
      <c r="B661" s="144"/>
      <c r="C661" s="144"/>
      <c r="D661" s="144"/>
      <c r="E661" s="144"/>
      <c r="F661" s="144"/>
      <c r="G661" s="144"/>
      <c r="H661" s="144"/>
      <c r="I661" s="496"/>
      <c r="J661" s="496"/>
      <c r="K661" s="496"/>
      <c r="L661" s="496"/>
      <c r="M661" s="144"/>
      <c r="N661" s="144"/>
      <c r="O661" s="144"/>
      <c r="P661" s="144"/>
      <c r="Q661" s="144"/>
      <c r="R661" s="144"/>
      <c r="S661" s="144"/>
      <c r="T661" s="144"/>
      <c r="U661" s="144"/>
      <c r="V661" s="144"/>
      <c r="W661" s="144"/>
      <c r="X661" s="144"/>
      <c r="Y661" s="144"/>
      <c r="Z661" s="144"/>
      <c r="AA661" s="144"/>
      <c r="AB661" s="144"/>
      <c r="AC661" s="144"/>
      <c r="AD661" s="144"/>
      <c r="AE661" s="144"/>
      <c r="AF661" s="144"/>
    </row>
    <row r="662" ht="16.5" customHeight="1">
      <c r="A662" s="144"/>
      <c r="B662" s="144"/>
      <c r="C662" s="144"/>
      <c r="D662" s="144"/>
      <c r="E662" s="144"/>
      <c r="F662" s="144"/>
      <c r="G662" s="144"/>
      <c r="H662" s="144"/>
      <c r="I662" s="496"/>
      <c r="J662" s="496"/>
      <c r="K662" s="496"/>
      <c r="L662" s="496"/>
      <c r="M662" s="144"/>
      <c r="N662" s="144"/>
      <c r="O662" s="144"/>
      <c r="P662" s="144"/>
      <c r="Q662" s="144"/>
      <c r="R662" s="144"/>
      <c r="S662" s="144"/>
      <c r="T662" s="144"/>
      <c r="U662" s="144"/>
      <c r="V662" s="144"/>
      <c r="W662" s="144"/>
      <c r="X662" s="144"/>
      <c r="Y662" s="144"/>
      <c r="Z662" s="144"/>
      <c r="AA662" s="144"/>
      <c r="AB662" s="144"/>
      <c r="AC662" s="144"/>
      <c r="AD662" s="144"/>
      <c r="AE662" s="144"/>
      <c r="AF662" s="144"/>
    </row>
    <row r="663" ht="16.5" customHeight="1">
      <c r="A663" s="144"/>
      <c r="B663" s="144"/>
      <c r="C663" s="144"/>
      <c r="D663" s="144"/>
      <c r="E663" s="144"/>
      <c r="F663" s="144"/>
      <c r="G663" s="144"/>
      <c r="H663" s="144"/>
      <c r="I663" s="496"/>
      <c r="J663" s="496"/>
      <c r="K663" s="496"/>
      <c r="L663" s="496"/>
      <c r="M663" s="144"/>
      <c r="N663" s="144"/>
      <c r="O663" s="144"/>
      <c r="P663" s="144"/>
      <c r="Q663" s="144"/>
      <c r="R663" s="144"/>
      <c r="S663" s="144"/>
      <c r="T663" s="144"/>
      <c r="U663" s="144"/>
      <c r="V663" s="144"/>
      <c r="W663" s="144"/>
      <c r="X663" s="144"/>
      <c r="Y663" s="144"/>
      <c r="Z663" s="144"/>
      <c r="AA663" s="144"/>
      <c r="AB663" s="144"/>
      <c r="AC663" s="144"/>
      <c r="AD663" s="144"/>
      <c r="AE663" s="144"/>
      <c r="AF663" s="144"/>
    </row>
    <row r="664" ht="16.5" customHeight="1">
      <c r="A664" s="144"/>
      <c r="B664" s="144"/>
      <c r="C664" s="144"/>
      <c r="D664" s="144"/>
      <c r="E664" s="144"/>
      <c r="F664" s="144"/>
      <c r="G664" s="144"/>
      <c r="H664" s="144"/>
      <c r="I664" s="496"/>
      <c r="J664" s="496"/>
      <c r="K664" s="496"/>
      <c r="L664" s="496"/>
      <c r="M664" s="144"/>
      <c r="N664" s="144"/>
      <c r="O664" s="144"/>
      <c r="P664" s="144"/>
      <c r="Q664" s="144"/>
      <c r="R664" s="144"/>
      <c r="S664" s="144"/>
      <c r="T664" s="144"/>
      <c r="U664" s="144"/>
      <c r="V664" s="144"/>
      <c r="W664" s="144"/>
      <c r="X664" s="144"/>
      <c r="Y664" s="144"/>
      <c r="Z664" s="144"/>
      <c r="AA664" s="144"/>
      <c r="AB664" s="144"/>
      <c r="AC664" s="144"/>
      <c r="AD664" s="144"/>
      <c r="AE664" s="144"/>
      <c r="AF664" s="144"/>
    </row>
    <row r="665" ht="16.5" customHeight="1">
      <c r="A665" s="144"/>
      <c r="B665" s="144"/>
      <c r="C665" s="144"/>
      <c r="D665" s="144"/>
      <c r="E665" s="144"/>
      <c r="F665" s="144"/>
      <c r="G665" s="144"/>
      <c r="H665" s="144"/>
      <c r="I665" s="496"/>
      <c r="J665" s="496"/>
      <c r="K665" s="496"/>
      <c r="L665" s="496"/>
      <c r="M665" s="144"/>
      <c r="N665" s="144"/>
      <c r="O665" s="144"/>
      <c r="P665" s="144"/>
      <c r="Q665" s="144"/>
      <c r="R665" s="144"/>
      <c r="S665" s="144"/>
      <c r="T665" s="144"/>
      <c r="U665" s="144"/>
      <c r="V665" s="144"/>
      <c r="W665" s="144"/>
      <c r="X665" s="144"/>
      <c r="Y665" s="144"/>
      <c r="Z665" s="144"/>
      <c r="AA665" s="144"/>
      <c r="AB665" s="144"/>
      <c r="AC665" s="144"/>
      <c r="AD665" s="144"/>
      <c r="AE665" s="144"/>
      <c r="AF665" s="144"/>
    </row>
    <row r="666" ht="16.5" customHeight="1">
      <c r="A666" s="144"/>
      <c r="B666" s="144"/>
      <c r="C666" s="144"/>
      <c r="D666" s="144"/>
      <c r="E666" s="144"/>
      <c r="F666" s="144"/>
      <c r="G666" s="144"/>
      <c r="H666" s="144"/>
      <c r="I666" s="496"/>
      <c r="J666" s="496"/>
      <c r="K666" s="496"/>
      <c r="L666" s="496"/>
      <c r="M666" s="144"/>
      <c r="N666" s="144"/>
      <c r="O666" s="144"/>
      <c r="P666" s="144"/>
      <c r="Q666" s="144"/>
      <c r="R666" s="144"/>
      <c r="S666" s="144"/>
      <c r="T666" s="144"/>
      <c r="U666" s="144"/>
      <c r="V666" s="144"/>
      <c r="W666" s="144"/>
      <c r="X666" s="144"/>
      <c r="Y666" s="144"/>
      <c r="Z666" s="144"/>
      <c r="AA666" s="144"/>
      <c r="AB666" s="144"/>
      <c r="AC666" s="144"/>
      <c r="AD666" s="144"/>
      <c r="AE666" s="144"/>
      <c r="AF666" s="144"/>
    </row>
    <row r="667" ht="16.5" customHeight="1">
      <c r="A667" s="144"/>
      <c r="B667" s="144"/>
      <c r="C667" s="144"/>
      <c r="D667" s="144"/>
      <c r="E667" s="144"/>
      <c r="F667" s="144"/>
      <c r="G667" s="144"/>
      <c r="H667" s="144"/>
      <c r="I667" s="496"/>
      <c r="J667" s="496"/>
      <c r="K667" s="496"/>
      <c r="L667" s="496"/>
      <c r="M667" s="144"/>
      <c r="N667" s="144"/>
      <c r="O667" s="144"/>
      <c r="P667" s="144"/>
      <c r="Q667" s="144"/>
      <c r="R667" s="144"/>
      <c r="S667" s="144"/>
      <c r="T667" s="144"/>
      <c r="U667" s="144"/>
      <c r="V667" s="144"/>
      <c r="W667" s="144"/>
      <c r="X667" s="144"/>
      <c r="Y667" s="144"/>
      <c r="Z667" s="144"/>
      <c r="AA667" s="144"/>
      <c r="AB667" s="144"/>
      <c r="AC667" s="144"/>
      <c r="AD667" s="144"/>
      <c r="AE667" s="144"/>
      <c r="AF667" s="144"/>
    </row>
    <row r="668" ht="16.5" customHeight="1">
      <c r="A668" s="144"/>
      <c r="B668" s="144"/>
      <c r="C668" s="144"/>
      <c r="D668" s="144"/>
      <c r="E668" s="144"/>
      <c r="F668" s="144"/>
      <c r="G668" s="144"/>
      <c r="H668" s="144"/>
      <c r="I668" s="496"/>
      <c r="J668" s="496"/>
      <c r="K668" s="496"/>
      <c r="L668" s="496"/>
      <c r="M668" s="144"/>
      <c r="N668" s="144"/>
      <c r="O668" s="144"/>
      <c r="P668" s="144"/>
      <c r="Q668" s="144"/>
      <c r="R668" s="144"/>
      <c r="S668" s="144"/>
      <c r="T668" s="144"/>
      <c r="U668" s="144"/>
      <c r="V668" s="144"/>
      <c r="W668" s="144"/>
      <c r="X668" s="144"/>
      <c r="Y668" s="144"/>
      <c r="Z668" s="144"/>
      <c r="AA668" s="144"/>
      <c r="AB668" s="144"/>
      <c r="AC668" s="144"/>
      <c r="AD668" s="144"/>
      <c r="AE668" s="144"/>
      <c r="AF668" s="144"/>
    </row>
    <row r="669" ht="16.5" customHeight="1">
      <c r="A669" s="144"/>
      <c r="B669" s="144"/>
      <c r="C669" s="144"/>
      <c r="D669" s="144"/>
      <c r="E669" s="144"/>
      <c r="F669" s="144"/>
      <c r="G669" s="144"/>
      <c r="H669" s="144"/>
      <c r="I669" s="496"/>
      <c r="J669" s="496"/>
      <c r="K669" s="496"/>
      <c r="L669" s="496"/>
      <c r="M669" s="144"/>
      <c r="N669" s="144"/>
      <c r="O669" s="144"/>
      <c r="P669" s="144"/>
      <c r="Q669" s="144"/>
      <c r="R669" s="144"/>
      <c r="S669" s="144"/>
      <c r="T669" s="144"/>
      <c r="U669" s="144"/>
      <c r="V669" s="144"/>
      <c r="W669" s="144"/>
      <c r="X669" s="144"/>
      <c r="Y669" s="144"/>
      <c r="Z669" s="144"/>
      <c r="AA669" s="144"/>
      <c r="AB669" s="144"/>
      <c r="AC669" s="144"/>
      <c r="AD669" s="144"/>
      <c r="AE669" s="144"/>
      <c r="AF669" s="144"/>
    </row>
    <row r="670" ht="16.5" customHeight="1">
      <c r="A670" s="144"/>
      <c r="B670" s="144"/>
      <c r="C670" s="144"/>
      <c r="D670" s="144"/>
      <c r="E670" s="144"/>
      <c r="F670" s="144"/>
      <c r="G670" s="144"/>
      <c r="H670" s="144"/>
      <c r="I670" s="496"/>
      <c r="J670" s="496"/>
      <c r="K670" s="496"/>
      <c r="L670" s="496"/>
      <c r="M670" s="144"/>
      <c r="N670" s="144"/>
      <c r="O670" s="144"/>
      <c r="P670" s="144"/>
      <c r="Q670" s="144"/>
      <c r="R670" s="144"/>
      <c r="S670" s="144"/>
      <c r="T670" s="144"/>
      <c r="U670" s="144"/>
      <c r="V670" s="144"/>
      <c r="W670" s="144"/>
      <c r="X670" s="144"/>
      <c r="Y670" s="144"/>
      <c r="Z670" s="144"/>
      <c r="AA670" s="144"/>
      <c r="AB670" s="144"/>
      <c r="AC670" s="144"/>
      <c r="AD670" s="144"/>
      <c r="AE670" s="144"/>
      <c r="AF670" s="144"/>
    </row>
    <row r="671" ht="16.5" customHeight="1">
      <c r="A671" s="144"/>
      <c r="B671" s="144"/>
      <c r="C671" s="144"/>
      <c r="D671" s="144"/>
      <c r="E671" s="144"/>
      <c r="F671" s="144"/>
      <c r="G671" s="144"/>
      <c r="H671" s="144"/>
      <c r="I671" s="496"/>
      <c r="J671" s="496"/>
      <c r="K671" s="496"/>
      <c r="L671" s="496"/>
      <c r="M671" s="144"/>
      <c r="N671" s="144"/>
      <c r="O671" s="144"/>
      <c r="P671" s="144"/>
      <c r="Q671" s="144"/>
      <c r="R671" s="144"/>
      <c r="S671" s="144"/>
      <c r="T671" s="144"/>
      <c r="U671" s="144"/>
      <c r="V671" s="144"/>
      <c r="W671" s="144"/>
      <c r="X671" s="144"/>
      <c r="Y671" s="144"/>
      <c r="Z671" s="144"/>
      <c r="AA671" s="144"/>
      <c r="AB671" s="144"/>
      <c r="AC671" s="144"/>
      <c r="AD671" s="144"/>
      <c r="AE671" s="144"/>
      <c r="AF671" s="144"/>
    </row>
    <row r="672" ht="16.5" customHeight="1">
      <c r="A672" s="144"/>
      <c r="B672" s="144"/>
      <c r="C672" s="144"/>
      <c r="D672" s="144"/>
      <c r="E672" s="144"/>
      <c r="F672" s="144"/>
      <c r="G672" s="144"/>
      <c r="H672" s="144"/>
      <c r="I672" s="496"/>
      <c r="J672" s="496"/>
      <c r="K672" s="496"/>
      <c r="L672" s="496"/>
      <c r="M672" s="144"/>
      <c r="N672" s="144"/>
      <c r="O672" s="144"/>
      <c r="P672" s="144"/>
      <c r="Q672" s="144"/>
      <c r="R672" s="144"/>
      <c r="S672" s="144"/>
      <c r="T672" s="144"/>
      <c r="U672" s="144"/>
      <c r="V672" s="144"/>
      <c r="W672" s="144"/>
      <c r="X672" s="144"/>
      <c r="Y672" s="144"/>
      <c r="Z672" s="144"/>
      <c r="AA672" s="144"/>
      <c r="AB672" s="144"/>
      <c r="AC672" s="144"/>
      <c r="AD672" s="144"/>
      <c r="AE672" s="144"/>
      <c r="AF672" s="144"/>
    </row>
    <row r="673" ht="16.5" customHeight="1">
      <c r="A673" s="144"/>
      <c r="B673" s="144"/>
      <c r="C673" s="144"/>
      <c r="D673" s="144"/>
      <c r="E673" s="144"/>
      <c r="F673" s="144"/>
      <c r="G673" s="144"/>
      <c r="H673" s="144"/>
      <c r="I673" s="496"/>
      <c r="J673" s="496"/>
      <c r="K673" s="496"/>
      <c r="L673" s="496"/>
      <c r="M673" s="144"/>
      <c r="N673" s="144"/>
      <c r="O673" s="144"/>
      <c r="P673" s="144"/>
      <c r="Q673" s="144"/>
      <c r="R673" s="144"/>
      <c r="S673" s="144"/>
      <c r="T673" s="144"/>
      <c r="U673" s="144"/>
      <c r="V673" s="144"/>
      <c r="W673" s="144"/>
      <c r="X673" s="144"/>
      <c r="Y673" s="144"/>
      <c r="Z673" s="144"/>
      <c r="AA673" s="144"/>
      <c r="AB673" s="144"/>
      <c r="AC673" s="144"/>
      <c r="AD673" s="144"/>
      <c r="AE673" s="144"/>
      <c r="AF673" s="144"/>
    </row>
    <row r="674" ht="16.5" customHeight="1">
      <c r="A674" s="144"/>
      <c r="B674" s="144"/>
      <c r="C674" s="144"/>
      <c r="D674" s="144"/>
      <c r="E674" s="144"/>
      <c r="F674" s="144"/>
      <c r="G674" s="144"/>
      <c r="H674" s="144"/>
      <c r="I674" s="496"/>
      <c r="J674" s="496"/>
      <c r="K674" s="496"/>
      <c r="L674" s="496"/>
      <c r="M674" s="144"/>
      <c r="N674" s="144"/>
      <c r="O674" s="144"/>
      <c r="P674" s="144"/>
      <c r="Q674" s="144"/>
      <c r="R674" s="144"/>
      <c r="S674" s="144"/>
      <c r="T674" s="144"/>
      <c r="U674" s="144"/>
      <c r="V674" s="144"/>
      <c r="W674" s="144"/>
      <c r="X674" s="144"/>
      <c r="Y674" s="144"/>
      <c r="Z674" s="144"/>
      <c r="AA674" s="144"/>
      <c r="AB674" s="144"/>
      <c r="AC674" s="144"/>
      <c r="AD674" s="144"/>
      <c r="AE674" s="144"/>
      <c r="AF674" s="144"/>
    </row>
    <row r="675" ht="16.5" customHeight="1">
      <c r="A675" s="144"/>
      <c r="B675" s="144"/>
      <c r="C675" s="144"/>
      <c r="D675" s="144"/>
      <c r="E675" s="144"/>
      <c r="F675" s="144"/>
      <c r="G675" s="144"/>
      <c r="H675" s="144"/>
      <c r="I675" s="496"/>
      <c r="J675" s="496"/>
      <c r="K675" s="496"/>
      <c r="L675" s="496"/>
      <c r="M675" s="144"/>
      <c r="N675" s="144"/>
      <c r="O675" s="144"/>
      <c r="P675" s="144"/>
      <c r="Q675" s="144"/>
      <c r="R675" s="144"/>
      <c r="S675" s="144"/>
      <c r="T675" s="144"/>
      <c r="U675" s="144"/>
      <c r="V675" s="144"/>
      <c r="W675" s="144"/>
      <c r="X675" s="144"/>
      <c r="Y675" s="144"/>
      <c r="Z675" s="144"/>
      <c r="AA675" s="144"/>
      <c r="AB675" s="144"/>
      <c r="AC675" s="144"/>
      <c r="AD675" s="144"/>
      <c r="AE675" s="144"/>
      <c r="AF675" s="144"/>
    </row>
    <row r="676" ht="16.5" customHeight="1">
      <c r="A676" s="144"/>
      <c r="B676" s="144"/>
      <c r="C676" s="144"/>
      <c r="D676" s="144"/>
      <c r="E676" s="144"/>
      <c r="F676" s="144"/>
      <c r="G676" s="144"/>
      <c r="H676" s="144"/>
      <c r="I676" s="496"/>
      <c r="J676" s="496"/>
      <c r="K676" s="496"/>
      <c r="L676" s="496"/>
      <c r="M676" s="144"/>
      <c r="N676" s="144"/>
      <c r="O676" s="144"/>
      <c r="P676" s="144"/>
      <c r="Q676" s="144"/>
      <c r="R676" s="144"/>
      <c r="S676" s="144"/>
      <c r="T676" s="144"/>
      <c r="U676" s="144"/>
      <c r="V676" s="144"/>
      <c r="W676" s="144"/>
      <c r="X676" s="144"/>
      <c r="Y676" s="144"/>
      <c r="Z676" s="144"/>
      <c r="AA676" s="144"/>
      <c r="AB676" s="144"/>
      <c r="AC676" s="144"/>
      <c r="AD676" s="144"/>
      <c r="AE676" s="144"/>
      <c r="AF676" s="144"/>
    </row>
    <row r="677" ht="16.5" customHeight="1">
      <c r="A677" s="144"/>
      <c r="B677" s="144"/>
      <c r="C677" s="144"/>
      <c r="D677" s="144"/>
      <c r="E677" s="144"/>
      <c r="F677" s="144"/>
      <c r="G677" s="144"/>
      <c r="H677" s="144"/>
      <c r="I677" s="496"/>
      <c r="J677" s="496"/>
      <c r="K677" s="496"/>
      <c r="L677" s="496"/>
      <c r="M677" s="144"/>
      <c r="N677" s="144"/>
      <c r="O677" s="144"/>
      <c r="P677" s="144"/>
      <c r="Q677" s="144"/>
      <c r="R677" s="144"/>
      <c r="S677" s="144"/>
      <c r="T677" s="144"/>
      <c r="U677" s="144"/>
      <c r="V677" s="144"/>
      <c r="W677" s="144"/>
      <c r="X677" s="144"/>
      <c r="Y677" s="144"/>
      <c r="Z677" s="144"/>
      <c r="AA677" s="144"/>
      <c r="AB677" s="144"/>
      <c r="AC677" s="144"/>
      <c r="AD677" s="144"/>
      <c r="AE677" s="144"/>
      <c r="AF677" s="144"/>
    </row>
    <row r="678" ht="16.5" customHeight="1">
      <c r="A678" s="144"/>
      <c r="B678" s="144"/>
      <c r="C678" s="144"/>
      <c r="D678" s="144"/>
      <c r="E678" s="144"/>
      <c r="F678" s="144"/>
      <c r="G678" s="144"/>
      <c r="H678" s="144"/>
      <c r="I678" s="496"/>
      <c r="J678" s="496"/>
      <c r="K678" s="496"/>
      <c r="L678" s="496"/>
      <c r="M678" s="144"/>
      <c r="N678" s="144"/>
      <c r="O678" s="144"/>
      <c r="P678" s="144"/>
      <c r="Q678" s="144"/>
      <c r="R678" s="144"/>
      <c r="S678" s="144"/>
      <c r="T678" s="144"/>
      <c r="U678" s="144"/>
      <c r="V678" s="144"/>
      <c r="W678" s="144"/>
      <c r="X678" s="144"/>
      <c r="Y678" s="144"/>
      <c r="Z678" s="144"/>
      <c r="AA678" s="144"/>
      <c r="AB678" s="144"/>
      <c r="AC678" s="144"/>
      <c r="AD678" s="144"/>
      <c r="AE678" s="144"/>
      <c r="AF678" s="144"/>
    </row>
    <row r="679" ht="16.5" customHeight="1">
      <c r="A679" s="144"/>
      <c r="B679" s="144"/>
      <c r="C679" s="144"/>
      <c r="D679" s="144"/>
      <c r="E679" s="144"/>
      <c r="F679" s="144"/>
      <c r="G679" s="144"/>
      <c r="H679" s="144"/>
      <c r="I679" s="496"/>
      <c r="J679" s="496"/>
      <c r="K679" s="496"/>
      <c r="L679" s="496"/>
      <c r="M679" s="144"/>
      <c r="N679" s="144"/>
      <c r="O679" s="144"/>
      <c r="P679" s="144"/>
      <c r="Q679" s="144"/>
      <c r="R679" s="144"/>
      <c r="S679" s="144"/>
      <c r="T679" s="144"/>
      <c r="U679" s="144"/>
      <c r="V679" s="144"/>
      <c r="W679" s="144"/>
      <c r="X679" s="144"/>
      <c r="Y679" s="144"/>
      <c r="Z679" s="144"/>
      <c r="AA679" s="144"/>
      <c r="AB679" s="144"/>
      <c r="AC679" s="144"/>
      <c r="AD679" s="144"/>
      <c r="AE679" s="144"/>
      <c r="AF679" s="144"/>
    </row>
    <row r="680" ht="16.5" customHeight="1">
      <c r="A680" s="144"/>
      <c r="B680" s="144"/>
      <c r="C680" s="144"/>
      <c r="D680" s="144"/>
      <c r="E680" s="144"/>
      <c r="F680" s="144"/>
      <c r="G680" s="144"/>
      <c r="H680" s="144"/>
      <c r="I680" s="496"/>
      <c r="J680" s="496"/>
      <c r="K680" s="496"/>
      <c r="L680" s="496"/>
      <c r="M680" s="144"/>
      <c r="N680" s="144"/>
      <c r="O680" s="144"/>
      <c r="P680" s="144"/>
      <c r="Q680" s="144"/>
      <c r="R680" s="144"/>
      <c r="S680" s="144"/>
      <c r="T680" s="144"/>
      <c r="U680" s="144"/>
      <c r="V680" s="144"/>
      <c r="W680" s="144"/>
      <c r="X680" s="144"/>
      <c r="Y680" s="144"/>
      <c r="Z680" s="144"/>
      <c r="AA680" s="144"/>
      <c r="AB680" s="144"/>
      <c r="AC680" s="144"/>
      <c r="AD680" s="144"/>
      <c r="AE680" s="144"/>
      <c r="AF680" s="144"/>
    </row>
    <row r="681" ht="16.5" customHeight="1">
      <c r="A681" s="144"/>
      <c r="B681" s="144"/>
      <c r="C681" s="144"/>
      <c r="D681" s="144"/>
      <c r="E681" s="144"/>
      <c r="F681" s="144"/>
      <c r="G681" s="144"/>
      <c r="H681" s="144"/>
      <c r="I681" s="496"/>
      <c r="J681" s="496"/>
      <c r="K681" s="496"/>
      <c r="L681" s="496"/>
      <c r="M681" s="144"/>
      <c r="N681" s="144"/>
      <c r="O681" s="144"/>
      <c r="P681" s="144"/>
      <c r="Q681" s="144"/>
      <c r="R681" s="144"/>
      <c r="S681" s="144"/>
      <c r="T681" s="144"/>
      <c r="U681" s="144"/>
      <c r="V681" s="144"/>
      <c r="W681" s="144"/>
      <c r="X681" s="144"/>
      <c r="Y681" s="144"/>
      <c r="Z681" s="144"/>
      <c r="AA681" s="144"/>
      <c r="AB681" s="144"/>
      <c r="AC681" s="144"/>
      <c r="AD681" s="144"/>
      <c r="AE681" s="144"/>
      <c r="AF681" s="144"/>
    </row>
    <row r="682" ht="16.5" customHeight="1">
      <c r="A682" s="144"/>
      <c r="B682" s="144"/>
      <c r="C682" s="144"/>
      <c r="D682" s="144"/>
      <c r="E682" s="144"/>
      <c r="F682" s="144"/>
      <c r="G682" s="144"/>
      <c r="H682" s="144"/>
      <c r="I682" s="496"/>
      <c r="J682" s="496"/>
      <c r="K682" s="496"/>
      <c r="L682" s="496"/>
      <c r="M682" s="144"/>
      <c r="N682" s="144"/>
      <c r="O682" s="144"/>
      <c r="P682" s="144"/>
      <c r="Q682" s="144"/>
      <c r="R682" s="144"/>
      <c r="S682" s="144"/>
      <c r="T682" s="144"/>
      <c r="U682" s="144"/>
      <c r="V682" s="144"/>
      <c r="W682" s="144"/>
      <c r="X682" s="144"/>
      <c r="Y682" s="144"/>
      <c r="Z682" s="144"/>
      <c r="AA682" s="144"/>
      <c r="AB682" s="144"/>
      <c r="AC682" s="144"/>
      <c r="AD682" s="144"/>
      <c r="AE682" s="144"/>
      <c r="AF682" s="144"/>
    </row>
    <row r="683" ht="16.5" customHeight="1">
      <c r="A683" s="144"/>
      <c r="B683" s="144"/>
      <c r="C683" s="144"/>
      <c r="D683" s="144"/>
      <c r="E683" s="144"/>
      <c r="F683" s="144"/>
      <c r="G683" s="144"/>
      <c r="H683" s="144"/>
      <c r="I683" s="496"/>
      <c r="J683" s="496"/>
      <c r="K683" s="496"/>
      <c r="L683" s="496"/>
      <c r="M683" s="144"/>
      <c r="N683" s="144"/>
      <c r="O683" s="144"/>
      <c r="P683" s="144"/>
      <c r="Q683" s="144"/>
      <c r="R683" s="144"/>
      <c r="S683" s="144"/>
      <c r="T683" s="144"/>
      <c r="U683" s="144"/>
      <c r="V683" s="144"/>
      <c r="W683" s="144"/>
      <c r="X683" s="144"/>
      <c r="Y683" s="144"/>
      <c r="Z683" s="144"/>
      <c r="AA683" s="144"/>
      <c r="AB683" s="144"/>
      <c r="AC683" s="144"/>
      <c r="AD683" s="144"/>
      <c r="AE683" s="144"/>
      <c r="AF683" s="144"/>
    </row>
    <row r="684" ht="16.5" customHeight="1">
      <c r="A684" s="144"/>
      <c r="B684" s="144"/>
      <c r="C684" s="144"/>
      <c r="D684" s="144"/>
      <c r="E684" s="144"/>
      <c r="F684" s="144"/>
      <c r="G684" s="144"/>
      <c r="H684" s="144"/>
      <c r="I684" s="496"/>
      <c r="J684" s="496"/>
      <c r="K684" s="496"/>
      <c r="L684" s="496"/>
      <c r="M684" s="144"/>
      <c r="N684" s="144"/>
      <c r="O684" s="144"/>
      <c r="P684" s="144"/>
      <c r="Q684" s="144"/>
      <c r="R684" s="144"/>
      <c r="S684" s="144"/>
      <c r="T684" s="144"/>
      <c r="U684" s="144"/>
      <c r="V684" s="144"/>
      <c r="W684" s="144"/>
      <c r="X684" s="144"/>
      <c r="Y684" s="144"/>
      <c r="Z684" s="144"/>
      <c r="AA684" s="144"/>
      <c r="AB684" s="144"/>
      <c r="AC684" s="144"/>
      <c r="AD684" s="144"/>
      <c r="AE684" s="144"/>
      <c r="AF684" s="144"/>
    </row>
    <row r="685" ht="16.5" customHeight="1">
      <c r="A685" s="144"/>
      <c r="B685" s="144"/>
      <c r="C685" s="144"/>
      <c r="D685" s="144"/>
      <c r="E685" s="144"/>
      <c r="F685" s="144"/>
      <c r="G685" s="144"/>
      <c r="H685" s="144"/>
      <c r="I685" s="496"/>
      <c r="J685" s="496"/>
      <c r="K685" s="496"/>
      <c r="L685" s="496"/>
      <c r="M685" s="144"/>
      <c r="N685" s="144"/>
      <c r="O685" s="144"/>
      <c r="P685" s="144"/>
      <c r="Q685" s="144"/>
      <c r="R685" s="144"/>
      <c r="S685" s="144"/>
      <c r="T685" s="144"/>
      <c r="U685" s="144"/>
      <c r="V685" s="144"/>
      <c r="W685" s="144"/>
      <c r="X685" s="144"/>
      <c r="Y685" s="144"/>
      <c r="Z685" s="144"/>
      <c r="AA685" s="144"/>
      <c r="AB685" s="144"/>
      <c r="AC685" s="144"/>
      <c r="AD685" s="144"/>
      <c r="AE685" s="144"/>
      <c r="AF685" s="144"/>
    </row>
    <row r="686" ht="16.5" customHeight="1">
      <c r="A686" s="144"/>
      <c r="B686" s="144"/>
      <c r="C686" s="144"/>
      <c r="D686" s="144"/>
      <c r="E686" s="144"/>
      <c r="F686" s="144"/>
      <c r="G686" s="144"/>
      <c r="H686" s="144"/>
      <c r="I686" s="496"/>
      <c r="J686" s="496"/>
      <c r="K686" s="496"/>
      <c r="L686" s="496"/>
      <c r="M686" s="144"/>
      <c r="N686" s="144"/>
      <c r="O686" s="144"/>
      <c r="P686" s="144"/>
      <c r="Q686" s="144"/>
      <c r="R686" s="144"/>
      <c r="S686" s="144"/>
      <c r="T686" s="144"/>
      <c r="U686" s="144"/>
      <c r="V686" s="144"/>
      <c r="W686" s="144"/>
      <c r="X686" s="144"/>
      <c r="Y686" s="144"/>
      <c r="Z686" s="144"/>
      <c r="AA686" s="144"/>
      <c r="AB686" s="144"/>
      <c r="AC686" s="144"/>
      <c r="AD686" s="144"/>
      <c r="AE686" s="144"/>
      <c r="AF686" s="144"/>
    </row>
    <row r="687" ht="16.5" customHeight="1">
      <c r="A687" s="144"/>
      <c r="B687" s="144"/>
      <c r="C687" s="144"/>
      <c r="D687" s="144"/>
      <c r="E687" s="144"/>
      <c r="F687" s="144"/>
      <c r="G687" s="144"/>
      <c r="H687" s="144"/>
      <c r="I687" s="496"/>
      <c r="J687" s="496"/>
      <c r="K687" s="496"/>
      <c r="L687" s="496"/>
      <c r="M687" s="144"/>
      <c r="N687" s="144"/>
      <c r="O687" s="144"/>
      <c r="P687" s="144"/>
      <c r="Q687" s="144"/>
      <c r="R687" s="144"/>
      <c r="S687" s="144"/>
      <c r="T687" s="144"/>
      <c r="U687" s="144"/>
      <c r="V687" s="144"/>
      <c r="W687" s="144"/>
      <c r="X687" s="144"/>
      <c r="Y687" s="144"/>
      <c r="Z687" s="144"/>
      <c r="AA687" s="144"/>
      <c r="AB687" s="144"/>
      <c r="AC687" s="144"/>
      <c r="AD687" s="144"/>
      <c r="AE687" s="144"/>
      <c r="AF687" s="144"/>
    </row>
    <row r="688" ht="16.5" customHeight="1">
      <c r="A688" s="144"/>
      <c r="B688" s="144"/>
      <c r="C688" s="144"/>
      <c r="D688" s="144"/>
      <c r="E688" s="144"/>
      <c r="F688" s="144"/>
      <c r="G688" s="144"/>
      <c r="H688" s="144"/>
      <c r="I688" s="496"/>
      <c r="J688" s="496"/>
      <c r="K688" s="496"/>
      <c r="L688" s="496"/>
      <c r="M688" s="144"/>
      <c r="N688" s="144"/>
      <c r="O688" s="144"/>
      <c r="P688" s="144"/>
      <c r="Q688" s="144"/>
      <c r="R688" s="144"/>
      <c r="S688" s="144"/>
      <c r="T688" s="144"/>
      <c r="U688" s="144"/>
      <c r="V688" s="144"/>
      <c r="W688" s="144"/>
      <c r="X688" s="144"/>
      <c r="Y688" s="144"/>
      <c r="Z688" s="144"/>
      <c r="AA688" s="144"/>
      <c r="AB688" s="144"/>
      <c r="AC688" s="144"/>
      <c r="AD688" s="144"/>
      <c r="AE688" s="144"/>
      <c r="AF688" s="144"/>
    </row>
    <row r="689" ht="16.5" customHeight="1">
      <c r="A689" s="144"/>
      <c r="B689" s="144"/>
      <c r="C689" s="144"/>
      <c r="D689" s="144"/>
      <c r="E689" s="144"/>
      <c r="F689" s="144"/>
      <c r="G689" s="144"/>
      <c r="H689" s="144"/>
      <c r="I689" s="496"/>
      <c r="J689" s="496"/>
      <c r="K689" s="496"/>
      <c r="L689" s="496"/>
      <c r="M689" s="144"/>
      <c r="N689" s="144"/>
      <c r="O689" s="144"/>
      <c r="P689" s="144"/>
      <c r="Q689" s="144"/>
      <c r="R689" s="144"/>
      <c r="S689" s="144"/>
      <c r="T689" s="144"/>
      <c r="U689" s="144"/>
      <c r="V689" s="144"/>
      <c r="W689" s="144"/>
      <c r="X689" s="144"/>
      <c r="Y689" s="144"/>
      <c r="Z689" s="144"/>
      <c r="AA689" s="144"/>
      <c r="AB689" s="144"/>
      <c r="AC689" s="144"/>
      <c r="AD689" s="144"/>
      <c r="AE689" s="144"/>
      <c r="AF689" s="144"/>
    </row>
    <row r="690" ht="16.5" customHeight="1">
      <c r="A690" s="144"/>
      <c r="B690" s="144"/>
      <c r="C690" s="144"/>
      <c r="D690" s="144"/>
      <c r="E690" s="144"/>
      <c r="F690" s="144"/>
      <c r="G690" s="144"/>
      <c r="H690" s="144"/>
      <c r="I690" s="496"/>
      <c r="J690" s="496"/>
      <c r="K690" s="496"/>
      <c r="L690" s="496"/>
      <c r="M690" s="144"/>
      <c r="N690" s="144"/>
      <c r="O690" s="144"/>
      <c r="P690" s="144"/>
      <c r="Q690" s="144"/>
      <c r="R690" s="144"/>
      <c r="S690" s="144"/>
      <c r="T690" s="144"/>
      <c r="U690" s="144"/>
      <c r="V690" s="144"/>
      <c r="W690" s="144"/>
      <c r="X690" s="144"/>
      <c r="Y690" s="144"/>
      <c r="Z690" s="144"/>
      <c r="AA690" s="144"/>
      <c r="AB690" s="144"/>
      <c r="AC690" s="144"/>
      <c r="AD690" s="144"/>
      <c r="AE690" s="144"/>
      <c r="AF690" s="144"/>
    </row>
    <row r="691" ht="16.5" customHeight="1">
      <c r="A691" s="144"/>
      <c r="B691" s="144"/>
      <c r="C691" s="144"/>
      <c r="D691" s="144"/>
      <c r="E691" s="144"/>
      <c r="F691" s="144"/>
      <c r="G691" s="144"/>
      <c r="H691" s="144"/>
      <c r="I691" s="496"/>
      <c r="J691" s="496"/>
      <c r="K691" s="496"/>
      <c r="L691" s="496"/>
      <c r="M691" s="144"/>
      <c r="N691" s="144"/>
      <c r="O691" s="144"/>
      <c r="P691" s="144"/>
      <c r="Q691" s="144"/>
      <c r="R691" s="144"/>
      <c r="S691" s="144"/>
      <c r="T691" s="144"/>
      <c r="U691" s="144"/>
      <c r="V691" s="144"/>
      <c r="W691" s="144"/>
      <c r="X691" s="144"/>
      <c r="Y691" s="144"/>
      <c r="Z691" s="144"/>
      <c r="AA691" s="144"/>
      <c r="AB691" s="144"/>
      <c r="AC691" s="144"/>
      <c r="AD691" s="144"/>
      <c r="AE691" s="144"/>
      <c r="AF691" s="144"/>
    </row>
    <row r="692" ht="16.5" customHeight="1">
      <c r="A692" s="144"/>
      <c r="B692" s="144"/>
      <c r="C692" s="144"/>
      <c r="D692" s="144"/>
      <c r="E692" s="144"/>
      <c r="F692" s="144"/>
      <c r="G692" s="144"/>
      <c r="H692" s="144"/>
      <c r="I692" s="496"/>
      <c r="J692" s="496"/>
      <c r="K692" s="496"/>
      <c r="L692" s="496"/>
      <c r="M692" s="144"/>
      <c r="N692" s="144"/>
      <c r="O692" s="144"/>
      <c r="P692" s="144"/>
      <c r="Q692" s="144"/>
      <c r="R692" s="144"/>
      <c r="S692" s="144"/>
      <c r="T692" s="144"/>
      <c r="U692" s="144"/>
      <c r="V692" s="144"/>
      <c r="W692" s="144"/>
      <c r="X692" s="144"/>
      <c r="Y692" s="144"/>
      <c r="Z692" s="144"/>
      <c r="AA692" s="144"/>
      <c r="AB692" s="144"/>
      <c r="AC692" s="144"/>
      <c r="AD692" s="144"/>
      <c r="AE692" s="144"/>
      <c r="AF692" s="144"/>
    </row>
    <row r="693" ht="16.5" customHeight="1">
      <c r="A693" s="144"/>
      <c r="B693" s="144"/>
      <c r="C693" s="144"/>
      <c r="D693" s="144"/>
      <c r="E693" s="144"/>
      <c r="F693" s="144"/>
      <c r="G693" s="144"/>
      <c r="H693" s="144"/>
      <c r="I693" s="496"/>
      <c r="J693" s="496"/>
      <c r="K693" s="496"/>
      <c r="L693" s="496"/>
      <c r="M693" s="144"/>
      <c r="N693" s="144"/>
      <c r="O693" s="144"/>
      <c r="P693" s="144"/>
      <c r="Q693" s="144"/>
      <c r="R693" s="144"/>
      <c r="S693" s="144"/>
      <c r="T693" s="144"/>
      <c r="U693" s="144"/>
      <c r="V693" s="144"/>
      <c r="W693" s="144"/>
      <c r="X693" s="144"/>
      <c r="Y693" s="144"/>
      <c r="Z693" s="144"/>
      <c r="AA693" s="144"/>
      <c r="AB693" s="144"/>
      <c r="AC693" s="144"/>
      <c r="AD693" s="144"/>
      <c r="AE693" s="144"/>
      <c r="AF693" s="144"/>
    </row>
    <row r="694" ht="16.5" customHeight="1">
      <c r="A694" s="144"/>
      <c r="B694" s="144"/>
      <c r="C694" s="144"/>
      <c r="D694" s="144"/>
      <c r="E694" s="144"/>
      <c r="F694" s="144"/>
      <c r="G694" s="144"/>
      <c r="H694" s="144"/>
      <c r="I694" s="496"/>
      <c r="J694" s="496"/>
      <c r="K694" s="496"/>
      <c r="L694" s="496"/>
      <c r="M694" s="144"/>
      <c r="N694" s="144"/>
      <c r="O694" s="144"/>
      <c r="P694" s="144"/>
      <c r="Q694" s="144"/>
      <c r="R694" s="144"/>
      <c r="S694" s="144"/>
      <c r="T694" s="144"/>
      <c r="U694" s="144"/>
      <c r="V694" s="144"/>
      <c r="W694" s="144"/>
      <c r="X694" s="144"/>
      <c r="Y694" s="144"/>
      <c r="Z694" s="144"/>
      <c r="AA694" s="144"/>
      <c r="AB694" s="144"/>
      <c r="AC694" s="144"/>
      <c r="AD694" s="144"/>
      <c r="AE694" s="144"/>
      <c r="AF694" s="144"/>
    </row>
    <row r="695" ht="16.5" customHeight="1">
      <c r="A695" s="144"/>
      <c r="B695" s="144"/>
      <c r="C695" s="144"/>
      <c r="D695" s="144"/>
      <c r="E695" s="144"/>
      <c r="F695" s="144"/>
      <c r="G695" s="144"/>
      <c r="H695" s="144"/>
      <c r="I695" s="496"/>
      <c r="J695" s="496"/>
      <c r="K695" s="496"/>
      <c r="L695" s="496"/>
      <c r="M695" s="144"/>
      <c r="N695" s="144"/>
      <c r="O695" s="144"/>
      <c r="P695" s="144"/>
      <c r="Q695" s="144"/>
      <c r="R695" s="144"/>
      <c r="S695" s="144"/>
      <c r="T695" s="144"/>
      <c r="U695" s="144"/>
      <c r="V695" s="144"/>
      <c r="W695" s="144"/>
      <c r="X695" s="144"/>
      <c r="Y695" s="144"/>
      <c r="Z695" s="144"/>
      <c r="AA695" s="144"/>
      <c r="AB695" s="144"/>
      <c r="AC695" s="144"/>
      <c r="AD695" s="144"/>
      <c r="AE695" s="144"/>
      <c r="AF695" s="144"/>
    </row>
    <row r="696" ht="16.5" customHeight="1">
      <c r="A696" s="144"/>
      <c r="B696" s="144"/>
      <c r="C696" s="144"/>
      <c r="D696" s="144"/>
      <c r="E696" s="144"/>
      <c r="F696" s="144"/>
      <c r="G696" s="144"/>
      <c r="H696" s="144"/>
      <c r="I696" s="496"/>
      <c r="J696" s="496"/>
      <c r="K696" s="496"/>
      <c r="L696" s="496"/>
      <c r="M696" s="144"/>
      <c r="N696" s="144"/>
      <c r="O696" s="144"/>
      <c r="P696" s="144"/>
      <c r="Q696" s="144"/>
      <c r="R696" s="144"/>
      <c r="S696" s="144"/>
      <c r="T696" s="144"/>
      <c r="U696" s="144"/>
      <c r="V696" s="144"/>
      <c r="W696" s="144"/>
      <c r="X696" s="144"/>
      <c r="Y696" s="144"/>
      <c r="Z696" s="144"/>
      <c r="AA696" s="144"/>
      <c r="AB696" s="144"/>
      <c r="AC696" s="144"/>
      <c r="AD696" s="144"/>
      <c r="AE696" s="144"/>
      <c r="AF696" s="144"/>
    </row>
    <row r="697" ht="16.5" customHeight="1">
      <c r="A697" s="144"/>
      <c r="B697" s="144"/>
      <c r="C697" s="144"/>
      <c r="D697" s="144"/>
      <c r="E697" s="144"/>
      <c r="F697" s="144"/>
      <c r="G697" s="144"/>
      <c r="H697" s="144"/>
      <c r="I697" s="496"/>
      <c r="J697" s="496"/>
      <c r="K697" s="496"/>
      <c r="L697" s="496"/>
      <c r="M697" s="144"/>
      <c r="N697" s="144"/>
      <c r="O697" s="144"/>
      <c r="P697" s="144"/>
      <c r="Q697" s="144"/>
      <c r="R697" s="144"/>
      <c r="S697" s="144"/>
      <c r="T697" s="144"/>
      <c r="U697" s="144"/>
      <c r="V697" s="144"/>
      <c r="W697" s="144"/>
      <c r="X697" s="144"/>
      <c r="Y697" s="144"/>
      <c r="Z697" s="144"/>
      <c r="AA697" s="144"/>
      <c r="AB697" s="144"/>
      <c r="AC697" s="144"/>
      <c r="AD697" s="144"/>
      <c r="AE697" s="144"/>
      <c r="AF697" s="144"/>
    </row>
    <row r="698" ht="16.5" customHeight="1">
      <c r="A698" s="144"/>
      <c r="B698" s="144"/>
      <c r="C698" s="144"/>
      <c r="D698" s="144"/>
      <c r="E698" s="144"/>
      <c r="F698" s="144"/>
      <c r="G698" s="144"/>
      <c r="H698" s="144"/>
      <c r="I698" s="496"/>
      <c r="J698" s="496"/>
      <c r="K698" s="496"/>
      <c r="L698" s="496"/>
      <c r="M698" s="144"/>
      <c r="N698" s="144"/>
      <c r="O698" s="144"/>
      <c r="P698" s="144"/>
      <c r="Q698" s="144"/>
      <c r="R698" s="144"/>
      <c r="S698" s="144"/>
      <c r="T698" s="144"/>
      <c r="U698" s="144"/>
      <c r="V698" s="144"/>
      <c r="W698" s="144"/>
      <c r="X698" s="144"/>
      <c r="Y698" s="144"/>
      <c r="Z698" s="144"/>
      <c r="AA698" s="144"/>
      <c r="AB698" s="144"/>
      <c r="AC698" s="144"/>
      <c r="AD698" s="144"/>
      <c r="AE698" s="144"/>
      <c r="AF698" s="144"/>
    </row>
    <row r="699" ht="16.5" customHeight="1">
      <c r="A699" s="144"/>
      <c r="B699" s="144"/>
      <c r="C699" s="144"/>
      <c r="D699" s="144"/>
      <c r="E699" s="144"/>
      <c r="F699" s="144"/>
      <c r="G699" s="144"/>
      <c r="H699" s="144"/>
      <c r="I699" s="496"/>
      <c r="J699" s="496"/>
      <c r="K699" s="496"/>
      <c r="L699" s="496"/>
      <c r="M699" s="144"/>
      <c r="N699" s="144"/>
      <c r="O699" s="144"/>
      <c r="P699" s="144"/>
      <c r="Q699" s="144"/>
      <c r="R699" s="144"/>
      <c r="S699" s="144"/>
      <c r="T699" s="144"/>
      <c r="U699" s="144"/>
      <c r="V699" s="144"/>
      <c r="W699" s="144"/>
      <c r="X699" s="144"/>
      <c r="Y699" s="144"/>
      <c r="Z699" s="144"/>
      <c r="AA699" s="144"/>
      <c r="AB699" s="144"/>
      <c r="AC699" s="144"/>
      <c r="AD699" s="144"/>
      <c r="AE699" s="144"/>
      <c r="AF699" s="144"/>
    </row>
    <row r="700" ht="16.5" customHeight="1">
      <c r="A700" s="144"/>
      <c r="B700" s="144"/>
      <c r="C700" s="144"/>
      <c r="D700" s="144"/>
      <c r="E700" s="144"/>
      <c r="F700" s="144"/>
      <c r="G700" s="144"/>
      <c r="H700" s="144"/>
      <c r="I700" s="496"/>
      <c r="J700" s="496"/>
      <c r="K700" s="496"/>
      <c r="L700" s="496"/>
      <c r="M700" s="144"/>
      <c r="N700" s="144"/>
      <c r="O700" s="144"/>
      <c r="P700" s="144"/>
      <c r="Q700" s="144"/>
      <c r="R700" s="144"/>
      <c r="S700" s="144"/>
      <c r="T700" s="144"/>
      <c r="U700" s="144"/>
      <c r="V700" s="144"/>
      <c r="W700" s="144"/>
      <c r="X700" s="144"/>
      <c r="Y700" s="144"/>
      <c r="Z700" s="144"/>
      <c r="AA700" s="144"/>
      <c r="AB700" s="144"/>
      <c r="AC700" s="144"/>
      <c r="AD700" s="144"/>
      <c r="AE700" s="144"/>
      <c r="AF700" s="144"/>
    </row>
    <row r="701" ht="16.5" customHeight="1">
      <c r="A701" s="144"/>
      <c r="B701" s="144"/>
      <c r="C701" s="144"/>
      <c r="D701" s="144"/>
      <c r="E701" s="144"/>
      <c r="F701" s="144"/>
      <c r="G701" s="144"/>
      <c r="H701" s="144"/>
      <c r="I701" s="496"/>
      <c r="J701" s="496"/>
      <c r="K701" s="496"/>
      <c r="L701" s="496"/>
      <c r="M701" s="144"/>
      <c r="N701" s="144"/>
      <c r="O701" s="144"/>
      <c r="P701" s="144"/>
      <c r="Q701" s="144"/>
      <c r="R701" s="144"/>
      <c r="S701" s="144"/>
      <c r="T701" s="144"/>
      <c r="U701" s="144"/>
      <c r="V701" s="144"/>
      <c r="W701" s="144"/>
      <c r="X701" s="144"/>
      <c r="Y701" s="144"/>
      <c r="Z701" s="144"/>
      <c r="AA701" s="144"/>
      <c r="AB701" s="144"/>
      <c r="AC701" s="144"/>
      <c r="AD701" s="144"/>
      <c r="AE701" s="144"/>
      <c r="AF701" s="144"/>
    </row>
    <row r="702" ht="16.5" customHeight="1">
      <c r="A702" s="144"/>
      <c r="B702" s="144"/>
      <c r="C702" s="144"/>
      <c r="D702" s="144"/>
      <c r="E702" s="144"/>
      <c r="F702" s="144"/>
      <c r="G702" s="144"/>
      <c r="H702" s="144"/>
      <c r="I702" s="496"/>
      <c r="J702" s="496"/>
      <c r="K702" s="496"/>
      <c r="L702" s="496"/>
      <c r="M702" s="144"/>
      <c r="N702" s="144"/>
      <c r="O702" s="144"/>
      <c r="P702" s="144"/>
      <c r="Q702" s="144"/>
      <c r="R702" s="144"/>
      <c r="S702" s="144"/>
      <c r="T702" s="144"/>
      <c r="U702" s="144"/>
      <c r="V702" s="144"/>
      <c r="W702" s="144"/>
      <c r="X702" s="144"/>
      <c r="Y702" s="144"/>
      <c r="Z702" s="144"/>
      <c r="AA702" s="144"/>
      <c r="AB702" s="144"/>
      <c r="AC702" s="144"/>
      <c r="AD702" s="144"/>
      <c r="AE702" s="144"/>
      <c r="AF702" s="144"/>
    </row>
    <row r="703" ht="16.5" customHeight="1">
      <c r="A703" s="144"/>
      <c r="B703" s="144"/>
      <c r="C703" s="144"/>
      <c r="D703" s="144"/>
      <c r="E703" s="144"/>
      <c r="F703" s="144"/>
      <c r="G703" s="144"/>
      <c r="H703" s="144"/>
      <c r="I703" s="496"/>
      <c r="J703" s="496"/>
      <c r="K703" s="496"/>
      <c r="L703" s="496"/>
      <c r="M703" s="144"/>
      <c r="N703" s="144"/>
      <c r="O703" s="144"/>
      <c r="P703" s="144"/>
      <c r="Q703" s="144"/>
      <c r="R703" s="144"/>
      <c r="S703" s="144"/>
      <c r="T703" s="144"/>
      <c r="U703" s="144"/>
      <c r="V703" s="144"/>
      <c r="W703" s="144"/>
      <c r="X703" s="144"/>
      <c r="Y703" s="144"/>
      <c r="Z703" s="144"/>
      <c r="AA703" s="144"/>
      <c r="AB703" s="144"/>
      <c r="AC703" s="144"/>
      <c r="AD703" s="144"/>
      <c r="AE703" s="144"/>
      <c r="AF703" s="144"/>
    </row>
    <row r="704" ht="16.5" customHeight="1">
      <c r="A704" s="144"/>
      <c r="B704" s="144"/>
      <c r="C704" s="144"/>
      <c r="D704" s="144"/>
      <c r="E704" s="144"/>
      <c r="F704" s="144"/>
      <c r="G704" s="144"/>
      <c r="H704" s="144"/>
      <c r="I704" s="496"/>
      <c r="J704" s="496"/>
      <c r="K704" s="496"/>
      <c r="L704" s="496"/>
      <c r="M704" s="144"/>
      <c r="N704" s="144"/>
      <c r="O704" s="144"/>
      <c r="P704" s="144"/>
      <c r="Q704" s="144"/>
      <c r="R704" s="144"/>
      <c r="S704" s="144"/>
      <c r="T704" s="144"/>
      <c r="U704" s="144"/>
      <c r="V704" s="144"/>
      <c r="W704" s="144"/>
      <c r="X704" s="144"/>
      <c r="Y704" s="144"/>
      <c r="Z704" s="144"/>
      <c r="AA704" s="144"/>
      <c r="AB704" s="144"/>
      <c r="AC704" s="144"/>
      <c r="AD704" s="144"/>
      <c r="AE704" s="144"/>
      <c r="AF704" s="144"/>
    </row>
    <row r="705" ht="16.5" customHeight="1">
      <c r="A705" s="144"/>
      <c r="B705" s="144"/>
      <c r="C705" s="144"/>
      <c r="D705" s="144"/>
      <c r="E705" s="144"/>
      <c r="F705" s="144"/>
      <c r="G705" s="144"/>
      <c r="H705" s="144"/>
      <c r="I705" s="496"/>
      <c r="J705" s="496"/>
      <c r="K705" s="496"/>
      <c r="L705" s="496"/>
      <c r="M705" s="144"/>
      <c r="N705" s="144"/>
      <c r="O705" s="144"/>
      <c r="P705" s="144"/>
      <c r="Q705" s="144"/>
      <c r="R705" s="144"/>
      <c r="S705" s="144"/>
      <c r="T705" s="144"/>
      <c r="U705" s="144"/>
      <c r="V705" s="144"/>
      <c r="W705" s="144"/>
      <c r="X705" s="144"/>
      <c r="Y705" s="144"/>
      <c r="Z705" s="144"/>
      <c r="AA705" s="144"/>
      <c r="AB705" s="144"/>
      <c r="AC705" s="144"/>
      <c r="AD705" s="144"/>
      <c r="AE705" s="144"/>
      <c r="AF705" s="144"/>
    </row>
    <row r="706" ht="16.5" customHeight="1">
      <c r="A706" s="144"/>
      <c r="B706" s="144"/>
      <c r="C706" s="144"/>
      <c r="D706" s="144"/>
      <c r="E706" s="144"/>
      <c r="F706" s="144"/>
      <c r="G706" s="144"/>
      <c r="H706" s="144"/>
      <c r="I706" s="496"/>
      <c r="J706" s="496"/>
      <c r="K706" s="496"/>
      <c r="L706" s="496"/>
      <c r="M706" s="144"/>
      <c r="N706" s="144"/>
      <c r="O706" s="144"/>
      <c r="P706" s="144"/>
      <c r="Q706" s="144"/>
      <c r="R706" s="144"/>
      <c r="S706" s="144"/>
      <c r="T706" s="144"/>
      <c r="U706" s="144"/>
      <c r="V706" s="144"/>
      <c r="W706" s="144"/>
      <c r="X706" s="144"/>
      <c r="Y706" s="144"/>
      <c r="Z706" s="144"/>
      <c r="AA706" s="144"/>
      <c r="AB706" s="144"/>
      <c r="AC706" s="144"/>
      <c r="AD706" s="144"/>
      <c r="AE706" s="144"/>
      <c r="AF706" s="144"/>
    </row>
    <row r="707" ht="16.5" customHeight="1">
      <c r="A707" s="144"/>
      <c r="B707" s="144"/>
      <c r="C707" s="144"/>
      <c r="D707" s="144"/>
      <c r="E707" s="144"/>
      <c r="F707" s="144"/>
      <c r="G707" s="144"/>
      <c r="H707" s="144"/>
      <c r="I707" s="496"/>
      <c r="J707" s="496"/>
      <c r="K707" s="496"/>
      <c r="L707" s="496"/>
      <c r="M707" s="144"/>
      <c r="N707" s="144"/>
      <c r="O707" s="144"/>
      <c r="P707" s="144"/>
      <c r="Q707" s="144"/>
      <c r="R707" s="144"/>
      <c r="S707" s="144"/>
      <c r="T707" s="144"/>
      <c r="U707" s="144"/>
      <c r="V707" s="144"/>
      <c r="W707" s="144"/>
      <c r="X707" s="144"/>
      <c r="Y707" s="144"/>
      <c r="Z707" s="144"/>
      <c r="AA707" s="144"/>
      <c r="AB707" s="144"/>
      <c r="AC707" s="144"/>
      <c r="AD707" s="144"/>
      <c r="AE707" s="144"/>
      <c r="AF707" s="144"/>
    </row>
    <row r="708" ht="16.5" customHeight="1">
      <c r="A708" s="144"/>
      <c r="B708" s="144"/>
      <c r="C708" s="144"/>
      <c r="D708" s="144"/>
      <c r="E708" s="144"/>
      <c r="F708" s="144"/>
      <c r="G708" s="144"/>
      <c r="H708" s="144"/>
      <c r="I708" s="496"/>
      <c r="J708" s="496"/>
      <c r="K708" s="496"/>
      <c r="L708" s="496"/>
      <c r="M708" s="144"/>
      <c r="N708" s="144"/>
      <c r="O708" s="144"/>
      <c r="P708" s="144"/>
      <c r="Q708" s="144"/>
      <c r="R708" s="144"/>
      <c r="S708" s="144"/>
      <c r="T708" s="144"/>
      <c r="U708" s="144"/>
      <c r="V708" s="144"/>
      <c r="W708" s="144"/>
      <c r="X708" s="144"/>
      <c r="Y708" s="144"/>
      <c r="Z708" s="144"/>
      <c r="AA708" s="144"/>
      <c r="AB708" s="144"/>
      <c r="AC708" s="144"/>
      <c r="AD708" s="144"/>
      <c r="AE708" s="144"/>
      <c r="AF708" s="144"/>
    </row>
    <row r="709" ht="16.5" customHeight="1">
      <c r="A709" s="144"/>
      <c r="B709" s="144"/>
      <c r="C709" s="144"/>
      <c r="D709" s="144"/>
      <c r="E709" s="144"/>
      <c r="F709" s="144"/>
      <c r="G709" s="144"/>
      <c r="H709" s="144"/>
      <c r="I709" s="496"/>
      <c r="J709" s="496"/>
      <c r="K709" s="496"/>
      <c r="L709" s="496"/>
      <c r="M709" s="144"/>
      <c r="N709" s="144"/>
      <c r="O709" s="144"/>
      <c r="P709" s="144"/>
      <c r="Q709" s="144"/>
      <c r="R709" s="144"/>
      <c r="S709" s="144"/>
      <c r="T709" s="144"/>
      <c r="U709" s="144"/>
      <c r="V709" s="144"/>
      <c r="W709" s="144"/>
      <c r="X709" s="144"/>
      <c r="Y709" s="144"/>
      <c r="Z709" s="144"/>
      <c r="AA709" s="144"/>
      <c r="AB709" s="144"/>
      <c r="AC709" s="144"/>
      <c r="AD709" s="144"/>
      <c r="AE709" s="144"/>
      <c r="AF709" s="144"/>
    </row>
    <row r="710" ht="16.5" customHeight="1">
      <c r="A710" s="144"/>
      <c r="B710" s="144"/>
      <c r="C710" s="144"/>
      <c r="D710" s="144"/>
      <c r="E710" s="144"/>
      <c r="F710" s="144"/>
      <c r="G710" s="144"/>
      <c r="H710" s="144"/>
      <c r="I710" s="496"/>
      <c r="J710" s="496"/>
      <c r="K710" s="496"/>
      <c r="L710" s="496"/>
      <c r="M710" s="144"/>
      <c r="N710" s="144"/>
      <c r="O710" s="144"/>
      <c r="P710" s="144"/>
      <c r="Q710" s="144"/>
      <c r="R710" s="144"/>
      <c r="S710" s="144"/>
      <c r="T710" s="144"/>
      <c r="U710" s="144"/>
      <c r="V710" s="144"/>
      <c r="W710" s="144"/>
      <c r="X710" s="144"/>
      <c r="Y710" s="144"/>
      <c r="Z710" s="144"/>
      <c r="AA710" s="144"/>
      <c r="AB710" s="144"/>
      <c r="AC710" s="144"/>
      <c r="AD710" s="144"/>
      <c r="AE710" s="144"/>
      <c r="AF710" s="144"/>
    </row>
    <row r="711" ht="16.5" customHeight="1">
      <c r="A711" s="144"/>
      <c r="B711" s="144"/>
      <c r="C711" s="144"/>
      <c r="D711" s="144"/>
      <c r="E711" s="144"/>
      <c r="F711" s="144"/>
      <c r="G711" s="144"/>
      <c r="H711" s="144"/>
      <c r="I711" s="496"/>
      <c r="J711" s="496"/>
      <c r="K711" s="496"/>
      <c r="L711" s="496"/>
      <c r="M711" s="144"/>
      <c r="N711" s="144"/>
      <c r="O711" s="144"/>
      <c r="P711" s="144"/>
      <c r="Q711" s="144"/>
      <c r="R711" s="144"/>
      <c r="S711" s="144"/>
      <c r="T711" s="144"/>
      <c r="U711" s="144"/>
      <c r="V711" s="144"/>
      <c r="W711" s="144"/>
      <c r="X711" s="144"/>
      <c r="Y711" s="144"/>
      <c r="Z711" s="144"/>
      <c r="AA711" s="144"/>
      <c r="AB711" s="144"/>
      <c r="AC711" s="144"/>
      <c r="AD711" s="144"/>
      <c r="AE711" s="144"/>
      <c r="AF711" s="144"/>
    </row>
    <row r="712" ht="16.5" customHeight="1">
      <c r="A712" s="144"/>
      <c r="B712" s="144"/>
      <c r="C712" s="144"/>
      <c r="D712" s="144"/>
      <c r="E712" s="144"/>
      <c r="F712" s="144"/>
      <c r="G712" s="144"/>
      <c r="H712" s="144"/>
      <c r="I712" s="496"/>
      <c r="J712" s="496"/>
      <c r="K712" s="496"/>
      <c r="L712" s="496"/>
      <c r="M712" s="144"/>
      <c r="N712" s="144"/>
      <c r="O712" s="144"/>
      <c r="P712" s="144"/>
      <c r="Q712" s="144"/>
      <c r="R712" s="144"/>
      <c r="S712" s="144"/>
      <c r="T712" s="144"/>
      <c r="U712" s="144"/>
      <c r="V712" s="144"/>
      <c r="W712" s="144"/>
      <c r="X712" s="144"/>
      <c r="Y712" s="144"/>
      <c r="Z712" s="144"/>
      <c r="AA712" s="144"/>
      <c r="AB712" s="144"/>
      <c r="AC712" s="144"/>
      <c r="AD712" s="144"/>
      <c r="AE712" s="144"/>
      <c r="AF712" s="144"/>
    </row>
    <row r="713" ht="16.5" customHeight="1">
      <c r="A713" s="144"/>
      <c r="B713" s="144"/>
      <c r="C713" s="144"/>
      <c r="D713" s="144"/>
      <c r="E713" s="144"/>
      <c r="F713" s="144"/>
      <c r="G713" s="144"/>
      <c r="H713" s="144"/>
      <c r="I713" s="496"/>
      <c r="J713" s="496"/>
      <c r="K713" s="496"/>
      <c r="L713" s="496"/>
      <c r="M713" s="144"/>
      <c r="N713" s="144"/>
      <c r="O713" s="144"/>
      <c r="P713" s="144"/>
      <c r="Q713" s="144"/>
      <c r="R713" s="144"/>
      <c r="S713" s="144"/>
      <c r="T713" s="144"/>
      <c r="U713" s="144"/>
      <c r="V713" s="144"/>
      <c r="W713" s="144"/>
      <c r="X713" s="144"/>
      <c r="Y713" s="144"/>
      <c r="Z713" s="144"/>
      <c r="AA713" s="144"/>
      <c r="AB713" s="144"/>
      <c r="AC713" s="144"/>
      <c r="AD713" s="144"/>
      <c r="AE713" s="144"/>
      <c r="AF713" s="144"/>
    </row>
    <row r="714" ht="16.5" customHeight="1">
      <c r="A714" s="144"/>
      <c r="B714" s="144"/>
      <c r="C714" s="144"/>
      <c r="D714" s="144"/>
      <c r="E714" s="144"/>
      <c r="F714" s="144"/>
      <c r="G714" s="144"/>
      <c r="H714" s="144"/>
      <c r="I714" s="496"/>
      <c r="J714" s="496"/>
      <c r="K714" s="496"/>
      <c r="L714" s="496"/>
      <c r="M714" s="144"/>
      <c r="N714" s="144"/>
      <c r="O714" s="144"/>
      <c r="P714" s="144"/>
      <c r="Q714" s="144"/>
      <c r="R714" s="144"/>
      <c r="S714" s="144"/>
      <c r="T714" s="144"/>
      <c r="U714" s="144"/>
      <c r="V714" s="144"/>
      <c r="W714" s="144"/>
      <c r="X714" s="144"/>
      <c r="Y714" s="144"/>
      <c r="Z714" s="144"/>
      <c r="AA714" s="144"/>
      <c r="AB714" s="144"/>
      <c r="AC714" s="144"/>
      <c r="AD714" s="144"/>
      <c r="AE714" s="144"/>
      <c r="AF714" s="144"/>
    </row>
    <row r="715" ht="16.5" customHeight="1">
      <c r="A715" s="144"/>
      <c r="B715" s="144"/>
      <c r="C715" s="144"/>
      <c r="D715" s="144"/>
      <c r="E715" s="144"/>
      <c r="F715" s="144"/>
      <c r="G715" s="144"/>
      <c r="H715" s="144"/>
      <c r="I715" s="496"/>
      <c r="J715" s="496"/>
      <c r="K715" s="496"/>
      <c r="L715" s="496"/>
      <c r="M715" s="144"/>
      <c r="N715" s="144"/>
      <c r="O715" s="144"/>
      <c r="P715" s="144"/>
      <c r="Q715" s="144"/>
      <c r="R715" s="144"/>
      <c r="S715" s="144"/>
      <c r="T715" s="144"/>
      <c r="U715" s="144"/>
      <c r="V715" s="144"/>
      <c r="W715" s="144"/>
      <c r="X715" s="144"/>
      <c r="Y715" s="144"/>
      <c r="Z715" s="144"/>
      <c r="AA715" s="144"/>
      <c r="AB715" s="144"/>
      <c r="AC715" s="144"/>
      <c r="AD715" s="144"/>
      <c r="AE715" s="144"/>
      <c r="AF715" s="144"/>
    </row>
    <row r="716" ht="16.5" customHeight="1">
      <c r="A716" s="144"/>
      <c r="B716" s="144"/>
      <c r="C716" s="144"/>
      <c r="D716" s="144"/>
      <c r="E716" s="144"/>
      <c r="F716" s="144"/>
      <c r="G716" s="144"/>
      <c r="H716" s="144"/>
      <c r="I716" s="496"/>
      <c r="J716" s="496"/>
      <c r="K716" s="496"/>
      <c r="L716" s="496"/>
      <c r="M716" s="144"/>
      <c r="N716" s="144"/>
      <c r="O716" s="144"/>
      <c r="P716" s="144"/>
      <c r="Q716" s="144"/>
      <c r="R716" s="144"/>
      <c r="S716" s="144"/>
      <c r="T716" s="144"/>
      <c r="U716" s="144"/>
      <c r="V716" s="144"/>
      <c r="W716" s="144"/>
      <c r="X716" s="144"/>
      <c r="Y716" s="144"/>
      <c r="Z716" s="144"/>
      <c r="AA716" s="144"/>
      <c r="AB716" s="144"/>
      <c r="AC716" s="144"/>
      <c r="AD716" s="144"/>
      <c r="AE716" s="144"/>
      <c r="AF716" s="144"/>
    </row>
    <row r="717" ht="16.5" customHeight="1">
      <c r="A717" s="144"/>
      <c r="B717" s="144"/>
      <c r="C717" s="144"/>
      <c r="D717" s="144"/>
      <c r="E717" s="144"/>
      <c r="F717" s="144"/>
      <c r="G717" s="144"/>
      <c r="H717" s="144"/>
      <c r="I717" s="496"/>
      <c r="J717" s="496"/>
      <c r="K717" s="496"/>
      <c r="L717" s="496"/>
      <c r="M717" s="144"/>
      <c r="N717" s="144"/>
      <c r="O717" s="144"/>
      <c r="P717" s="144"/>
      <c r="Q717" s="144"/>
      <c r="R717" s="144"/>
      <c r="S717" s="144"/>
      <c r="T717" s="144"/>
      <c r="U717" s="144"/>
      <c r="V717" s="144"/>
      <c r="W717" s="144"/>
      <c r="X717" s="144"/>
      <c r="Y717" s="144"/>
      <c r="Z717" s="144"/>
      <c r="AA717" s="144"/>
      <c r="AB717" s="144"/>
      <c r="AC717" s="144"/>
      <c r="AD717" s="144"/>
      <c r="AE717" s="144"/>
      <c r="AF717" s="144"/>
    </row>
    <row r="718" ht="16.5" customHeight="1">
      <c r="A718" s="144"/>
      <c r="B718" s="144"/>
      <c r="C718" s="144"/>
      <c r="D718" s="144"/>
      <c r="E718" s="144"/>
      <c r="F718" s="144"/>
      <c r="G718" s="144"/>
      <c r="H718" s="144"/>
      <c r="I718" s="496"/>
      <c r="J718" s="496"/>
      <c r="K718" s="496"/>
      <c r="L718" s="496"/>
      <c r="M718" s="144"/>
      <c r="N718" s="144"/>
      <c r="O718" s="144"/>
      <c r="P718" s="144"/>
      <c r="Q718" s="144"/>
      <c r="R718" s="144"/>
      <c r="S718" s="144"/>
      <c r="T718" s="144"/>
      <c r="U718" s="144"/>
      <c r="V718" s="144"/>
      <c r="W718" s="144"/>
      <c r="X718" s="144"/>
      <c r="Y718" s="144"/>
      <c r="Z718" s="144"/>
      <c r="AA718" s="144"/>
      <c r="AB718" s="144"/>
      <c r="AC718" s="144"/>
      <c r="AD718" s="144"/>
      <c r="AE718" s="144"/>
      <c r="AF718" s="144"/>
    </row>
    <row r="719" ht="16.5" customHeight="1">
      <c r="A719" s="144"/>
      <c r="B719" s="144"/>
      <c r="C719" s="144"/>
      <c r="D719" s="144"/>
      <c r="E719" s="144"/>
      <c r="F719" s="144"/>
      <c r="G719" s="144"/>
      <c r="H719" s="144"/>
      <c r="I719" s="496"/>
      <c r="J719" s="496"/>
      <c r="K719" s="496"/>
      <c r="L719" s="496"/>
      <c r="M719" s="144"/>
      <c r="N719" s="144"/>
      <c r="O719" s="144"/>
      <c r="P719" s="144"/>
      <c r="Q719" s="144"/>
      <c r="R719" s="144"/>
      <c r="S719" s="144"/>
      <c r="T719" s="144"/>
      <c r="U719" s="144"/>
      <c r="V719" s="144"/>
      <c r="W719" s="144"/>
      <c r="X719" s="144"/>
      <c r="Y719" s="144"/>
      <c r="Z719" s="144"/>
      <c r="AA719" s="144"/>
      <c r="AB719" s="144"/>
      <c r="AC719" s="144"/>
      <c r="AD719" s="144"/>
      <c r="AE719" s="144"/>
      <c r="AF719" s="144"/>
    </row>
    <row r="720" ht="16.5" customHeight="1">
      <c r="A720" s="144"/>
      <c r="B720" s="144"/>
      <c r="C720" s="144"/>
      <c r="D720" s="144"/>
      <c r="E720" s="144"/>
      <c r="F720" s="144"/>
      <c r="G720" s="144"/>
      <c r="H720" s="144"/>
      <c r="I720" s="496"/>
      <c r="J720" s="496"/>
      <c r="K720" s="496"/>
      <c r="L720" s="496"/>
      <c r="M720" s="144"/>
      <c r="N720" s="144"/>
      <c r="O720" s="144"/>
      <c r="P720" s="144"/>
      <c r="Q720" s="144"/>
      <c r="R720" s="144"/>
      <c r="S720" s="144"/>
      <c r="T720" s="144"/>
      <c r="U720" s="144"/>
      <c r="V720" s="144"/>
      <c r="W720" s="144"/>
      <c r="X720" s="144"/>
      <c r="Y720" s="144"/>
      <c r="Z720" s="144"/>
      <c r="AA720" s="144"/>
      <c r="AB720" s="144"/>
      <c r="AC720" s="144"/>
      <c r="AD720" s="144"/>
      <c r="AE720" s="144"/>
      <c r="AF720" s="144"/>
    </row>
    <row r="721" ht="16.5" customHeight="1">
      <c r="A721" s="144"/>
      <c r="B721" s="144"/>
      <c r="C721" s="144"/>
      <c r="D721" s="144"/>
      <c r="E721" s="144"/>
      <c r="F721" s="144"/>
      <c r="G721" s="144"/>
      <c r="H721" s="144"/>
      <c r="I721" s="496"/>
      <c r="J721" s="496"/>
      <c r="K721" s="496"/>
      <c r="L721" s="496"/>
      <c r="M721" s="144"/>
      <c r="N721" s="144"/>
      <c r="O721" s="144"/>
      <c r="P721" s="144"/>
      <c r="Q721" s="144"/>
      <c r="R721" s="144"/>
      <c r="S721" s="144"/>
      <c r="T721" s="144"/>
      <c r="U721" s="144"/>
      <c r="V721" s="144"/>
      <c r="W721" s="144"/>
      <c r="X721" s="144"/>
      <c r="Y721" s="144"/>
      <c r="Z721" s="144"/>
      <c r="AA721" s="144"/>
      <c r="AB721" s="144"/>
      <c r="AC721" s="144"/>
      <c r="AD721" s="144"/>
      <c r="AE721" s="144"/>
      <c r="AF721" s="144"/>
    </row>
    <row r="722" ht="16.5" customHeight="1">
      <c r="A722" s="144"/>
      <c r="B722" s="144"/>
      <c r="C722" s="144"/>
      <c r="D722" s="144"/>
      <c r="E722" s="144"/>
      <c r="F722" s="144"/>
      <c r="G722" s="144"/>
      <c r="H722" s="144"/>
      <c r="I722" s="496"/>
      <c r="J722" s="496"/>
      <c r="K722" s="496"/>
      <c r="L722" s="496"/>
      <c r="M722" s="144"/>
      <c r="N722" s="144"/>
      <c r="O722" s="144"/>
      <c r="P722" s="144"/>
      <c r="Q722" s="144"/>
      <c r="R722" s="144"/>
      <c r="S722" s="144"/>
      <c r="T722" s="144"/>
      <c r="U722" s="144"/>
      <c r="V722" s="144"/>
      <c r="W722" s="144"/>
      <c r="X722" s="144"/>
      <c r="Y722" s="144"/>
      <c r="Z722" s="144"/>
      <c r="AA722" s="144"/>
      <c r="AB722" s="144"/>
      <c r="AC722" s="144"/>
      <c r="AD722" s="144"/>
      <c r="AE722" s="144"/>
      <c r="AF722" s="144"/>
    </row>
    <row r="723" ht="16.5" customHeight="1">
      <c r="A723" s="144"/>
      <c r="B723" s="144"/>
      <c r="C723" s="144"/>
      <c r="D723" s="144"/>
      <c r="E723" s="144"/>
      <c r="F723" s="144"/>
      <c r="G723" s="144"/>
      <c r="H723" s="144"/>
      <c r="I723" s="496"/>
      <c r="J723" s="496"/>
      <c r="K723" s="496"/>
      <c r="L723" s="496"/>
      <c r="M723" s="144"/>
      <c r="N723" s="144"/>
      <c r="O723" s="144"/>
      <c r="P723" s="144"/>
      <c r="Q723" s="144"/>
      <c r="R723" s="144"/>
      <c r="S723" s="144"/>
      <c r="T723" s="144"/>
      <c r="U723" s="144"/>
      <c r="V723" s="144"/>
      <c r="W723" s="144"/>
      <c r="X723" s="144"/>
      <c r="Y723" s="144"/>
      <c r="Z723" s="144"/>
      <c r="AA723" s="144"/>
      <c r="AB723" s="144"/>
      <c r="AC723" s="144"/>
      <c r="AD723" s="144"/>
      <c r="AE723" s="144"/>
      <c r="AF723" s="144"/>
    </row>
    <row r="724" ht="16.5" customHeight="1">
      <c r="A724" s="144"/>
      <c r="B724" s="144"/>
      <c r="C724" s="144"/>
      <c r="D724" s="144"/>
      <c r="E724" s="144"/>
      <c r="F724" s="144"/>
      <c r="G724" s="144"/>
      <c r="H724" s="144"/>
      <c r="I724" s="496"/>
      <c r="J724" s="496"/>
      <c r="K724" s="496"/>
      <c r="L724" s="496"/>
      <c r="M724" s="144"/>
      <c r="N724" s="144"/>
      <c r="O724" s="144"/>
      <c r="P724" s="144"/>
      <c r="Q724" s="144"/>
      <c r="R724" s="144"/>
      <c r="S724" s="144"/>
      <c r="T724" s="144"/>
      <c r="U724" s="144"/>
      <c r="V724" s="144"/>
      <c r="W724" s="144"/>
      <c r="X724" s="144"/>
      <c r="Y724" s="144"/>
      <c r="Z724" s="144"/>
      <c r="AA724" s="144"/>
      <c r="AB724" s="144"/>
      <c r="AC724" s="144"/>
      <c r="AD724" s="144"/>
      <c r="AE724" s="144"/>
      <c r="AF724" s="144"/>
    </row>
    <row r="725" ht="16.5" customHeight="1">
      <c r="A725" s="144"/>
      <c r="B725" s="144"/>
      <c r="C725" s="144"/>
      <c r="D725" s="144"/>
      <c r="E725" s="144"/>
      <c r="F725" s="144"/>
      <c r="G725" s="144"/>
      <c r="H725" s="144"/>
      <c r="I725" s="496"/>
      <c r="J725" s="496"/>
      <c r="K725" s="496"/>
      <c r="L725" s="496"/>
      <c r="M725" s="144"/>
      <c r="N725" s="144"/>
      <c r="O725" s="144"/>
      <c r="P725" s="144"/>
      <c r="Q725" s="144"/>
      <c r="R725" s="144"/>
      <c r="S725" s="144"/>
      <c r="T725" s="144"/>
      <c r="U725" s="144"/>
      <c r="V725" s="144"/>
      <c r="W725" s="144"/>
      <c r="X725" s="144"/>
      <c r="Y725" s="144"/>
      <c r="Z725" s="144"/>
      <c r="AA725" s="144"/>
      <c r="AB725" s="144"/>
      <c r="AC725" s="144"/>
      <c r="AD725" s="144"/>
      <c r="AE725" s="144"/>
      <c r="AF725" s="144"/>
    </row>
    <row r="726" ht="16.5" customHeight="1">
      <c r="A726" s="144"/>
      <c r="B726" s="144"/>
      <c r="C726" s="144"/>
      <c r="D726" s="144"/>
      <c r="E726" s="144"/>
      <c r="F726" s="144"/>
      <c r="G726" s="144"/>
      <c r="H726" s="144"/>
      <c r="I726" s="496"/>
      <c r="J726" s="496"/>
      <c r="K726" s="496"/>
      <c r="L726" s="496"/>
      <c r="M726" s="144"/>
      <c r="N726" s="144"/>
      <c r="O726" s="144"/>
      <c r="P726" s="144"/>
      <c r="Q726" s="144"/>
      <c r="R726" s="144"/>
      <c r="S726" s="144"/>
      <c r="T726" s="144"/>
      <c r="U726" s="144"/>
      <c r="V726" s="144"/>
      <c r="W726" s="144"/>
      <c r="X726" s="144"/>
      <c r="Y726" s="144"/>
      <c r="Z726" s="144"/>
      <c r="AA726" s="144"/>
      <c r="AB726" s="144"/>
      <c r="AC726" s="144"/>
      <c r="AD726" s="144"/>
      <c r="AE726" s="144"/>
      <c r="AF726" s="144"/>
    </row>
    <row r="727" ht="16.5" customHeight="1">
      <c r="A727" s="144"/>
      <c r="B727" s="144"/>
      <c r="C727" s="144"/>
      <c r="D727" s="144"/>
      <c r="E727" s="144"/>
      <c r="F727" s="144"/>
      <c r="G727" s="144"/>
      <c r="H727" s="144"/>
      <c r="I727" s="496"/>
      <c r="J727" s="496"/>
      <c r="K727" s="496"/>
      <c r="L727" s="496"/>
      <c r="M727" s="144"/>
      <c r="N727" s="144"/>
      <c r="O727" s="144"/>
      <c r="P727" s="144"/>
      <c r="Q727" s="144"/>
      <c r="R727" s="144"/>
      <c r="S727" s="144"/>
      <c r="T727" s="144"/>
      <c r="U727" s="144"/>
      <c r="V727" s="144"/>
      <c r="W727" s="144"/>
      <c r="X727" s="144"/>
      <c r="Y727" s="144"/>
      <c r="Z727" s="144"/>
      <c r="AA727" s="144"/>
      <c r="AB727" s="144"/>
      <c r="AC727" s="144"/>
      <c r="AD727" s="144"/>
      <c r="AE727" s="144"/>
      <c r="AF727" s="144"/>
    </row>
    <row r="728" ht="16.5" customHeight="1">
      <c r="A728" s="144"/>
      <c r="B728" s="144"/>
      <c r="C728" s="144"/>
      <c r="D728" s="144"/>
      <c r="E728" s="144"/>
      <c r="F728" s="144"/>
      <c r="G728" s="144"/>
      <c r="H728" s="144"/>
      <c r="I728" s="496"/>
      <c r="J728" s="496"/>
      <c r="K728" s="496"/>
      <c r="L728" s="496"/>
      <c r="M728" s="144"/>
      <c r="N728" s="144"/>
      <c r="O728" s="144"/>
      <c r="P728" s="144"/>
      <c r="Q728" s="144"/>
      <c r="R728" s="144"/>
      <c r="S728" s="144"/>
      <c r="T728" s="144"/>
      <c r="U728" s="144"/>
      <c r="V728" s="144"/>
      <c r="W728" s="144"/>
      <c r="X728" s="144"/>
      <c r="Y728" s="144"/>
      <c r="Z728" s="144"/>
      <c r="AA728" s="144"/>
      <c r="AB728" s="144"/>
      <c r="AC728" s="144"/>
      <c r="AD728" s="144"/>
      <c r="AE728" s="144"/>
      <c r="AF728" s="144"/>
    </row>
    <row r="729" ht="16.5" customHeight="1">
      <c r="A729" s="144"/>
      <c r="B729" s="144"/>
      <c r="C729" s="144"/>
      <c r="D729" s="144"/>
      <c r="E729" s="144"/>
      <c r="F729" s="144"/>
      <c r="G729" s="144"/>
      <c r="H729" s="144"/>
      <c r="I729" s="496"/>
      <c r="J729" s="496"/>
      <c r="K729" s="496"/>
      <c r="L729" s="496"/>
      <c r="M729" s="144"/>
      <c r="N729" s="144"/>
      <c r="O729" s="144"/>
      <c r="P729" s="144"/>
      <c r="Q729" s="144"/>
      <c r="R729" s="144"/>
      <c r="S729" s="144"/>
      <c r="T729" s="144"/>
      <c r="U729" s="144"/>
      <c r="V729" s="144"/>
      <c r="W729" s="144"/>
      <c r="X729" s="144"/>
      <c r="Y729" s="144"/>
      <c r="Z729" s="144"/>
      <c r="AA729" s="144"/>
      <c r="AB729" s="144"/>
      <c r="AC729" s="144"/>
      <c r="AD729" s="144"/>
      <c r="AE729" s="144"/>
      <c r="AF729" s="144"/>
    </row>
    <row r="730" ht="16.5" customHeight="1">
      <c r="A730" s="144"/>
      <c r="B730" s="144"/>
      <c r="C730" s="144"/>
      <c r="D730" s="144"/>
      <c r="E730" s="144"/>
      <c r="F730" s="144"/>
      <c r="G730" s="144"/>
      <c r="H730" s="144"/>
      <c r="I730" s="496"/>
      <c r="J730" s="496"/>
      <c r="K730" s="496"/>
      <c r="L730" s="496"/>
      <c r="M730" s="144"/>
      <c r="N730" s="144"/>
      <c r="O730" s="144"/>
      <c r="P730" s="144"/>
      <c r="Q730" s="144"/>
      <c r="R730" s="144"/>
      <c r="S730" s="144"/>
      <c r="T730" s="144"/>
      <c r="U730" s="144"/>
      <c r="V730" s="144"/>
      <c r="W730" s="144"/>
      <c r="X730" s="144"/>
      <c r="Y730" s="144"/>
      <c r="Z730" s="144"/>
      <c r="AA730" s="144"/>
      <c r="AB730" s="144"/>
      <c r="AC730" s="144"/>
      <c r="AD730" s="144"/>
      <c r="AE730" s="144"/>
      <c r="AF730" s="144"/>
    </row>
    <row r="731" ht="16.5" customHeight="1">
      <c r="A731" s="144"/>
      <c r="B731" s="144"/>
      <c r="C731" s="144"/>
      <c r="D731" s="144"/>
      <c r="E731" s="144"/>
      <c r="F731" s="144"/>
      <c r="G731" s="144"/>
      <c r="H731" s="144"/>
      <c r="I731" s="496"/>
      <c r="J731" s="496"/>
      <c r="K731" s="496"/>
      <c r="L731" s="496"/>
      <c r="M731" s="144"/>
      <c r="N731" s="144"/>
      <c r="O731" s="144"/>
      <c r="P731" s="144"/>
      <c r="Q731" s="144"/>
      <c r="R731" s="144"/>
      <c r="S731" s="144"/>
      <c r="T731" s="144"/>
      <c r="U731" s="144"/>
      <c r="V731" s="144"/>
      <c r="W731" s="144"/>
      <c r="X731" s="144"/>
      <c r="Y731" s="144"/>
      <c r="Z731" s="144"/>
      <c r="AA731" s="144"/>
      <c r="AB731" s="144"/>
      <c r="AC731" s="144"/>
      <c r="AD731" s="144"/>
      <c r="AE731" s="144"/>
      <c r="AF731" s="144"/>
    </row>
    <row r="732" ht="16.5" customHeight="1">
      <c r="A732" s="144"/>
      <c r="B732" s="144"/>
      <c r="C732" s="144"/>
      <c r="D732" s="144"/>
      <c r="E732" s="144"/>
      <c r="F732" s="144"/>
      <c r="G732" s="144"/>
      <c r="H732" s="144"/>
      <c r="I732" s="496"/>
      <c r="J732" s="496"/>
      <c r="K732" s="496"/>
      <c r="L732" s="496"/>
      <c r="M732" s="144"/>
      <c r="N732" s="144"/>
      <c r="O732" s="144"/>
      <c r="P732" s="144"/>
      <c r="Q732" s="144"/>
      <c r="R732" s="144"/>
      <c r="S732" s="144"/>
      <c r="T732" s="144"/>
      <c r="U732" s="144"/>
      <c r="V732" s="144"/>
      <c r="W732" s="144"/>
      <c r="X732" s="144"/>
      <c r="Y732" s="144"/>
      <c r="Z732" s="144"/>
      <c r="AA732" s="144"/>
      <c r="AB732" s="144"/>
      <c r="AC732" s="144"/>
      <c r="AD732" s="144"/>
      <c r="AE732" s="144"/>
      <c r="AF732" s="144"/>
    </row>
    <row r="733" ht="16.5" customHeight="1">
      <c r="A733" s="144"/>
      <c r="B733" s="144"/>
      <c r="C733" s="144"/>
      <c r="D733" s="144"/>
      <c r="E733" s="144"/>
      <c r="F733" s="144"/>
      <c r="G733" s="144"/>
      <c r="H733" s="144"/>
      <c r="I733" s="496"/>
      <c r="J733" s="496"/>
      <c r="K733" s="496"/>
      <c r="L733" s="496"/>
      <c r="M733" s="144"/>
      <c r="N733" s="144"/>
      <c r="O733" s="144"/>
      <c r="P733" s="144"/>
      <c r="Q733" s="144"/>
      <c r="R733" s="144"/>
      <c r="S733" s="144"/>
      <c r="T733" s="144"/>
      <c r="U733" s="144"/>
      <c r="V733" s="144"/>
      <c r="W733" s="144"/>
      <c r="X733" s="144"/>
      <c r="Y733" s="144"/>
      <c r="Z733" s="144"/>
      <c r="AA733" s="144"/>
      <c r="AB733" s="144"/>
      <c r="AC733" s="144"/>
      <c r="AD733" s="144"/>
      <c r="AE733" s="144"/>
      <c r="AF733" s="144"/>
    </row>
    <row r="734" ht="16.5" customHeight="1">
      <c r="A734" s="144"/>
      <c r="B734" s="144"/>
      <c r="C734" s="144"/>
      <c r="D734" s="144"/>
      <c r="E734" s="144"/>
      <c r="F734" s="144"/>
      <c r="G734" s="144"/>
      <c r="H734" s="144"/>
      <c r="I734" s="496"/>
      <c r="J734" s="496"/>
      <c r="K734" s="496"/>
      <c r="L734" s="496"/>
      <c r="M734" s="144"/>
      <c r="N734" s="144"/>
      <c r="O734" s="144"/>
      <c r="P734" s="144"/>
      <c r="Q734" s="144"/>
      <c r="R734" s="144"/>
      <c r="S734" s="144"/>
      <c r="T734" s="144"/>
      <c r="U734" s="144"/>
      <c r="V734" s="144"/>
      <c r="W734" s="144"/>
      <c r="X734" s="144"/>
      <c r="Y734" s="144"/>
      <c r="Z734" s="144"/>
      <c r="AA734" s="144"/>
      <c r="AB734" s="144"/>
      <c r="AC734" s="144"/>
      <c r="AD734" s="144"/>
      <c r="AE734" s="144"/>
      <c r="AF734" s="144"/>
    </row>
    <row r="735" ht="16.5" customHeight="1">
      <c r="A735" s="144"/>
      <c r="B735" s="144"/>
      <c r="C735" s="144"/>
      <c r="D735" s="144"/>
      <c r="E735" s="144"/>
      <c r="F735" s="144"/>
      <c r="G735" s="144"/>
      <c r="H735" s="144"/>
      <c r="I735" s="496"/>
      <c r="J735" s="496"/>
      <c r="K735" s="496"/>
      <c r="L735" s="496"/>
      <c r="M735" s="144"/>
      <c r="N735" s="144"/>
      <c r="O735" s="144"/>
      <c r="P735" s="144"/>
      <c r="Q735" s="144"/>
      <c r="R735" s="144"/>
      <c r="S735" s="144"/>
      <c r="T735" s="144"/>
      <c r="U735" s="144"/>
      <c r="V735" s="144"/>
      <c r="W735" s="144"/>
      <c r="X735" s="144"/>
      <c r="Y735" s="144"/>
      <c r="Z735" s="144"/>
      <c r="AA735" s="144"/>
      <c r="AB735" s="144"/>
      <c r="AC735" s="144"/>
      <c r="AD735" s="144"/>
      <c r="AE735" s="144"/>
      <c r="AF735" s="144"/>
    </row>
    <row r="736" ht="16.5" customHeight="1">
      <c r="A736" s="144"/>
      <c r="B736" s="144"/>
      <c r="C736" s="144"/>
      <c r="D736" s="144"/>
      <c r="E736" s="144"/>
      <c r="F736" s="144"/>
      <c r="G736" s="144"/>
      <c r="H736" s="144"/>
      <c r="I736" s="496"/>
      <c r="J736" s="496"/>
      <c r="K736" s="496"/>
      <c r="L736" s="496"/>
      <c r="M736" s="144"/>
      <c r="N736" s="144"/>
      <c r="O736" s="144"/>
      <c r="P736" s="144"/>
      <c r="Q736" s="144"/>
      <c r="R736" s="144"/>
      <c r="S736" s="144"/>
      <c r="T736" s="144"/>
      <c r="U736" s="144"/>
      <c r="V736" s="144"/>
      <c r="W736" s="144"/>
      <c r="X736" s="144"/>
      <c r="Y736" s="144"/>
      <c r="Z736" s="144"/>
      <c r="AA736" s="144"/>
      <c r="AB736" s="144"/>
      <c r="AC736" s="144"/>
      <c r="AD736" s="144"/>
      <c r="AE736" s="144"/>
      <c r="AF736" s="144"/>
    </row>
    <row r="737" ht="16.5" customHeight="1">
      <c r="A737" s="144"/>
      <c r="B737" s="144"/>
      <c r="C737" s="144"/>
      <c r="D737" s="144"/>
      <c r="E737" s="144"/>
      <c r="F737" s="144"/>
      <c r="G737" s="144"/>
      <c r="H737" s="144"/>
      <c r="I737" s="496"/>
      <c r="J737" s="496"/>
      <c r="K737" s="496"/>
      <c r="L737" s="496"/>
      <c r="M737" s="144"/>
      <c r="N737" s="144"/>
      <c r="O737" s="144"/>
      <c r="P737" s="144"/>
      <c r="Q737" s="144"/>
      <c r="R737" s="144"/>
      <c r="S737" s="144"/>
      <c r="T737" s="144"/>
      <c r="U737" s="144"/>
      <c r="V737" s="144"/>
      <c r="W737" s="144"/>
      <c r="X737" s="144"/>
      <c r="Y737" s="144"/>
      <c r="Z737" s="144"/>
      <c r="AA737" s="144"/>
      <c r="AB737" s="144"/>
      <c r="AC737" s="144"/>
      <c r="AD737" s="144"/>
      <c r="AE737" s="144"/>
      <c r="AF737" s="144"/>
    </row>
    <row r="738" ht="16.5" customHeight="1">
      <c r="A738" s="144"/>
      <c r="B738" s="144"/>
      <c r="C738" s="144"/>
      <c r="D738" s="144"/>
      <c r="E738" s="144"/>
      <c r="F738" s="144"/>
      <c r="G738" s="144"/>
      <c r="H738" s="144"/>
      <c r="I738" s="496"/>
      <c r="J738" s="496"/>
      <c r="K738" s="496"/>
      <c r="L738" s="496"/>
      <c r="M738" s="144"/>
      <c r="N738" s="144"/>
      <c r="O738" s="144"/>
      <c r="P738" s="144"/>
      <c r="Q738" s="144"/>
      <c r="R738" s="144"/>
      <c r="S738" s="144"/>
      <c r="T738" s="144"/>
      <c r="U738" s="144"/>
      <c r="V738" s="144"/>
      <c r="W738" s="144"/>
      <c r="X738" s="144"/>
      <c r="Y738" s="144"/>
      <c r="Z738" s="144"/>
      <c r="AA738" s="144"/>
      <c r="AB738" s="144"/>
      <c r="AC738" s="144"/>
      <c r="AD738" s="144"/>
      <c r="AE738" s="144"/>
      <c r="AF738" s="144"/>
    </row>
    <row r="739" ht="16.5" customHeight="1">
      <c r="A739" s="144"/>
      <c r="B739" s="144"/>
      <c r="C739" s="144"/>
      <c r="D739" s="144"/>
      <c r="E739" s="144"/>
      <c r="F739" s="144"/>
      <c r="G739" s="144"/>
      <c r="H739" s="144"/>
      <c r="I739" s="496"/>
      <c r="J739" s="496"/>
      <c r="K739" s="496"/>
      <c r="L739" s="496"/>
      <c r="M739" s="144"/>
      <c r="N739" s="144"/>
      <c r="O739" s="144"/>
      <c r="P739" s="144"/>
      <c r="Q739" s="144"/>
      <c r="R739" s="144"/>
      <c r="S739" s="144"/>
      <c r="T739" s="144"/>
      <c r="U739" s="144"/>
      <c r="V739" s="144"/>
      <c r="W739" s="144"/>
      <c r="X739" s="144"/>
      <c r="Y739" s="144"/>
      <c r="Z739" s="144"/>
      <c r="AA739" s="144"/>
      <c r="AB739" s="144"/>
      <c r="AC739" s="144"/>
      <c r="AD739" s="144"/>
      <c r="AE739" s="144"/>
      <c r="AF739" s="144"/>
    </row>
    <row r="740" ht="16.5" customHeight="1">
      <c r="A740" s="144"/>
      <c r="B740" s="144"/>
      <c r="C740" s="144"/>
      <c r="D740" s="144"/>
      <c r="E740" s="144"/>
      <c r="F740" s="144"/>
      <c r="G740" s="144"/>
      <c r="H740" s="144"/>
      <c r="I740" s="496"/>
      <c r="J740" s="496"/>
      <c r="K740" s="496"/>
      <c r="L740" s="496"/>
      <c r="M740" s="144"/>
      <c r="N740" s="144"/>
      <c r="O740" s="144"/>
      <c r="P740" s="144"/>
      <c r="Q740" s="144"/>
      <c r="R740" s="144"/>
      <c r="S740" s="144"/>
      <c r="T740" s="144"/>
      <c r="U740" s="144"/>
      <c r="V740" s="144"/>
      <c r="W740" s="144"/>
      <c r="X740" s="144"/>
      <c r="Y740" s="144"/>
      <c r="Z740" s="144"/>
      <c r="AA740" s="144"/>
      <c r="AB740" s="144"/>
      <c r="AC740" s="144"/>
      <c r="AD740" s="144"/>
      <c r="AE740" s="144"/>
      <c r="AF740" s="144"/>
    </row>
    <row r="741" ht="16.5" customHeight="1">
      <c r="A741" s="144"/>
      <c r="B741" s="144"/>
      <c r="C741" s="144"/>
      <c r="D741" s="144"/>
      <c r="E741" s="144"/>
      <c r="F741" s="144"/>
      <c r="G741" s="144"/>
      <c r="H741" s="144"/>
      <c r="I741" s="496"/>
      <c r="J741" s="496"/>
      <c r="K741" s="496"/>
      <c r="L741" s="496"/>
      <c r="M741" s="144"/>
      <c r="N741" s="144"/>
      <c r="O741" s="144"/>
      <c r="P741" s="144"/>
      <c r="Q741" s="144"/>
      <c r="R741" s="144"/>
      <c r="S741" s="144"/>
      <c r="T741" s="144"/>
      <c r="U741" s="144"/>
      <c r="V741" s="144"/>
      <c r="W741" s="144"/>
      <c r="X741" s="144"/>
      <c r="Y741" s="144"/>
      <c r="Z741" s="144"/>
      <c r="AA741" s="144"/>
      <c r="AB741" s="144"/>
      <c r="AC741" s="144"/>
      <c r="AD741" s="144"/>
      <c r="AE741" s="144"/>
      <c r="AF741" s="144"/>
    </row>
    <row r="742" ht="16.5" customHeight="1">
      <c r="A742" s="144"/>
      <c r="B742" s="144"/>
      <c r="C742" s="144"/>
      <c r="D742" s="144"/>
      <c r="E742" s="144"/>
      <c r="F742" s="144"/>
      <c r="G742" s="144"/>
      <c r="H742" s="144"/>
      <c r="I742" s="496"/>
      <c r="J742" s="496"/>
      <c r="K742" s="496"/>
      <c r="L742" s="496"/>
      <c r="M742" s="144"/>
      <c r="N742" s="144"/>
      <c r="O742" s="144"/>
      <c r="P742" s="144"/>
      <c r="Q742" s="144"/>
      <c r="R742" s="144"/>
      <c r="S742" s="144"/>
      <c r="T742" s="144"/>
      <c r="U742" s="144"/>
      <c r="V742" s="144"/>
      <c r="W742" s="144"/>
      <c r="X742" s="144"/>
      <c r="Y742" s="144"/>
      <c r="Z742" s="144"/>
      <c r="AA742" s="144"/>
      <c r="AB742" s="144"/>
      <c r="AC742" s="144"/>
      <c r="AD742" s="144"/>
      <c r="AE742" s="144"/>
      <c r="AF742" s="144"/>
    </row>
    <row r="743" ht="16.5" customHeight="1">
      <c r="A743" s="144"/>
      <c r="B743" s="144"/>
      <c r="C743" s="144"/>
      <c r="D743" s="144"/>
      <c r="E743" s="144"/>
      <c r="F743" s="144"/>
      <c r="G743" s="144"/>
      <c r="H743" s="144"/>
      <c r="I743" s="496"/>
      <c r="J743" s="496"/>
      <c r="K743" s="496"/>
      <c r="L743" s="496"/>
      <c r="M743" s="144"/>
      <c r="N743" s="144"/>
      <c r="O743" s="144"/>
      <c r="P743" s="144"/>
      <c r="Q743" s="144"/>
      <c r="R743" s="144"/>
      <c r="S743" s="144"/>
      <c r="T743" s="144"/>
      <c r="U743" s="144"/>
      <c r="V743" s="144"/>
      <c r="W743" s="144"/>
      <c r="X743" s="144"/>
      <c r="Y743" s="144"/>
      <c r="Z743" s="144"/>
      <c r="AA743" s="144"/>
      <c r="AB743" s="144"/>
      <c r="AC743" s="144"/>
      <c r="AD743" s="144"/>
      <c r="AE743" s="144"/>
      <c r="AF743" s="144"/>
    </row>
    <row r="744" ht="16.5" customHeight="1">
      <c r="A744" s="144"/>
      <c r="B744" s="144"/>
      <c r="C744" s="144"/>
      <c r="D744" s="144"/>
      <c r="E744" s="144"/>
      <c r="F744" s="144"/>
      <c r="G744" s="144"/>
      <c r="H744" s="144"/>
      <c r="I744" s="496"/>
      <c r="J744" s="496"/>
      <c r="K744" s="496"/>
      <c r="L744" s="496"/>
      <c r="M744" s="144"/>
      <c r="N744" s="144"/>
      <c r="O744" s="144"/>
      <c r="P744" s="144"/>
      <c r="Q744" s="144"/>
      <c r="R744" s="144"/>
      <c r="S744" s="144"/>
      <c r="T744" s="144"/>
      <c r="U744" s="144"/>
      <c r="V744" s="144"/>
      <c r="W744" s="144"/>
      <c r="X744" s="144"/>
      <c r="Y744" s="144"/>
      <c r="Z744" s="144"/>
      <c r="AA744" s="144"/>
      <c r="AB744" s="144"/>
      <c r="AC744" s="144"/>
      <c r="AD744" s="144"/>
      <c r="AE744" s="144"/>
      <c r="AF744" s="144"/>
    </row>
    <row r="745" ht="16.5" customHeight="1">
      <c r="A745" s="144"/>
      <c r="B745" s="144"/>
      <c r="C745" s="144"/>
      <c r="D745" s="144"/>
      <c r="E745" s="144"/>
      <c r="F745" s="144"/>
      <c r="G745" s="144"/>
      <c r="H745" s="144"/>
      <c r="I745" s="496"/>
      <c r="J745" s="496"/>
      <c r="K745" s="496"/>
      <c r="L745" s="496"/>
      <c r="M745" s="144"/>
      <c r="N745" s="144"/>
      <c r="O745" s="144"/>
      <c r="P745" s="144"/>
      <c r="Q745" s="144"/>
      <c r="R745" s="144"/>
      <c r="S745" s="144"/>
      <c r="T745" s="144"/>
      <c r="U745" s="144"/>
      <c r="V745" s="144"/>
      <c r="W745" s="144"/>
      <c r="X745" s="144"/>
      <c r="Y745" s="144"/>
      <c r="Z745" s="144"/>
      <c r="AA745" s="144"/>
      <c r="AB745" s="144"/>
      <c r="AC745" s="144"/>
      <c r="AD745" s="144"/>
      <c r="AE745" s="144"/>
      <c r="AF745" s="144"/>
    </row>
    <row r="746" ht="16.5" customHeight="1">
      <c r="A746" s="144"/>
      <c r="B746" s="144"/>
      <c r="C746" s="144"/>
      <c r="D746" s="144"/>
      <c r="E746" s="144"/>
      <c r="F746" s="144"/>
      <c r="G746" s="144"/>
      <c r="H746" s="144"/>
      <c r="I746" s="496"/>
      <c r="J746" s="496"/>
      <c r="K746" s="496"/>
      <c r="L746" s="496"/>
      <c r="M746" s="144"/>
      <c r="N746" s="144"/>
      <c r="O746" s="144"/>
      <c r="P746" s="144"/>
      <c r="Q746" s="144"/>
      <c r="R746" s="144"/>
      <c r="S746" s="144"/>
      <c r="T746" s="144"/>
      <c r="U746" s="144"/>
      <c r="V746" s="144"/>
      <c r="W746" s="144"/>
      <c r="X746" s="144"/>
      <c r="Y746" s="144"/>
      <c r="Z746" s="144"/>
      <c r="AA746" s="144"/>
      <c r="AB746" s="144"/>
      <c r="AC746" s="144"/>
      <c r="AD746" s="144"/>
      <c r="AE746" s="144"/>
      <c r="AF746" s="144"/>
    </row>
    <row r="747" ht="16.5" customHeight="1">
      <c r="A747" s="144"/>
      <c r="B747" s="144"/>
      <c r="C747" s="144"/>
      <c r="D747" s="144"/>
      <c r="E747" s="144"/>
      <c r="F747" s="144"/>
      <c r="G747" s="144"/>
      <c r="H747" s="144"/>
      <c r="I747" s="496"/>
      <c r="J747" s="496"/>
      <c r="K747" s="496"/>
      <c r="L747" s="496"/>
      <c r="M747" s="144"/>
      <c r="N747" s="144"/>
      <c r="O747" s="144"/>
      <c r="P747" s="144"/>
      <c r="Q747" s="144"/>
      <c r="R747" s="144"/>
      <c r="S747" s="144"/>
      <c r="T747" s="144"/>
      <c r="U747" s="144"/>
      <c r="V747" s="144"/>
      <c r="W747" s="144"/>
      <c r="X747" s="144"/>
      <c r="Y747" s="144"/>
      <c r="Z747" s="144"/>
      <c r="AA747" s="144"/>
      <c r="AB747" s="144"/>
      <c r="AC747" s="144"/>
      <c r="AD747" s="144"/>
      <c r="AE747" s="144"/>
      <c r="AF747" s="144"/>
    </row>
    <row r="748" ht="16.5" customHeight="1">
      <c r="A748" s="144"/>
      <c r="B748" s="144"/>
      <c r="C748" s="144"/>
      <c r="D748" s="144"/>
      <c r="E748" s="144"/>
      <c r="F748" s="144"/>
      <c r="G748" s="144"/>
      <c r="H748" s="144"/>
      <c r="I748" s="496"/>
      <c r="J748" s="496"/>
      <c r="K748" s="496"/>
      <c r="L748" s="496"/>
      <c r="M748" s="144"/>
      <c r="N748" s="144"/>
      <c r="O748" s="144"/>
      <c r="P748" s="144"/>
      <c r="Q748" s="144"/>
      <c r="R748" s="144"/>
      <c r="S748" s="144"/>
      <c r="T748" s="144"/>
      <c r="U748" s="144"/>
      <c r="V748" s="144"/>
      <c r="W748" s="144"/>
      <c r="X748" s="144"/>
      <c r="Y748" s="144"/>
      <c r="Z748" s="144"/>
      <c r="AA748" s="144"/>
      <c r="AB748" s="144"/>
      <c r="AC748" s="144"/>
      <c r="AD748" s="144"/>
      <c r="AE748" s="144"/>
      <c r="AF748" s="144"/>
    </row>
    <row r="749" ht="16.5" customHeight="1">
      <c r="A749" s="144"/>
      <c r="B749" s="144"/>
      <c r="C749" s="144"/>
      <c r="D749" s="144"/>
      <c r="E749" s="144"/>
      <c r="F749" s="144"/>
      <c r="G749" s="144"/>
      <c r="H749" s="144"/>
      <c r="I749" s="496"/>
      <c r="J749" s="496"/>
      <c r="K749" s="496"/>
      <c r="L749" s="496"/>
      <c r="M749" s="144"/>
      <c r="N749" s="144"/>
      <c r="O749" s="144"/>
      <c r="P749" s="144"/>
      <c r="Q749" s="144"/>
      <c r="R749" s="144"/>
      <c r="S749" s="144"/>
      <c r="T749" s="144"/>
      <c r="U749" s="144"/>
      <c r="V749" s="144"/>
      <c r="W749" s="144"/>
      <c r="X749" s="144"/>
      <c r="Y749" s="144"/>
      <c r="Z749" s="144"/>
      <c r="AA749" s="144"/>
      <c r="AB749" s="144"/>
      <c r="AC749" s="144"/>
      <c r="AD749" s="144"/>
      <c r="AE749" s="144"/>
      <c r="AF749" s="144"/>
    </row>
    <row r="750" ht="16.5" customHeight="1">
      <c r="A750" s="144"/>
      <c r="B750" s="144"/>
      <c r="C750" s="144"/>
      <c r="D750" s="144"/>
      <c r="E750" s="144"/>
      <c r="F750" s="144"/>
      <c r="G750" s="144"/>
      <c r="H750" s="144"/>
      <c r="I750" s="496"/>
      <c r="J750" s="496"/>
      <c r="K750" s="496"/>
      <c r="L750" s="496"/>
      <c r="M750" s="144"/>
      <c r="N750" s="144"/>
      <c r="O750" s="144"/>
      <c r="P750" s="144"/>
      <c r="Q750" s="144"/>
      <c r="R750" s="144"/>
      <c r="S750" s="144"/>
      <c r="T750" s="144"/>
      <c r="U750" s="144"/>
      <c r="V750" s="144"/>
      <c r="W750" s="144"/>
      <c r="X750" s="144"/>
      <c r="Y750" s="144"/>
      <c r="Z750" s="144"/>
      <c r="AA750" s="144"/>
      <c r="AB750" s="144"/>
      <c r="AC750" s="144"/>
      <c r="AD750" s="144"/>
      <c r="AE750" s="144"/>
      <c r="AF750" s="144"/>
    </row>
    <row r="751" ht="16.5" customHeight="1">
      <c r="A751" s="144"/>
      <c r="B751" s="144"/>
      <c r="C751" s="144"/>
      <c r="D751" s="144"/>
      <c r="E751" s="144"/>
      <c r="F751" s="144"/>
      <c r="G751" s="144"/>
      <c r="H751" s="144"/>
      <c r="I751" s="496"/>
      <c r="J751" s="496"/>
      <c r="K751" s="496"/>
      <c r="L751" s="496"/>
      <c r="M751" s="144"/>
      <c r="N751" s="144"/>
      <c r="O751" s="144"/>
      <c r="P751" s="144"/>
      <c r="Q751" s="144"/>
      <c r="R751" s="144"/>
      <c r="S751" s="144"/>
      <c r="T751" s="144"/>
      <c r="U751" s="144"/>
      <c r="V751" s="144"/>
      <c r="W751" s="144"/>
      <c r="X751" s="144"/>
      <c r="Y751" s="144"/>
      <c r="Z751" s="144"/>
      <c r="AA751" s="144"/>
      <c r="AB751" s="144"/>
      <c r="AC751" s="144"/>
      <c r="AD751" s="144"/>
      <c r="AE751" s="144"/>
      <c r="AF751" s="144"/>
    </row>
    <row r="752" ht="16.5" customHeight="1">
      <c r="A752" s="144"/>
      <c r="B752" s="144"/>
      <c r="C752" s="144"/>
      <c r="D752" s="144"/>
      <c r="E752" s="144"/>
      <c r="F752" s="144"/>
      <c r="G752" s="144"/>
      <c r="H752" s="144"/>
      <c r="I752" s="496"/>
      <c r="J752" s="496"/>
      <c r="K752" s="496"/>
      <c r="L752" s="496"/>
      <c r="M752" s="144"/>
      <c r="N752" s="144"/>
      <c r="O752" s="144"/>
      <c r="P752" s="144"/>
      <c r="Q752" s="144"/>
      <c r="R752" s="144"/>
      <c r="S752" s="144"/>
      <c r="T752" s="144"/>
      <c r="U752" s="144"/>
      <c r="V752" s="144"/>
      <c r="W752" s="144"/>
      <c r="X752" s="144"/>
      <c r="Y752" s="144"/>
      <c r="Z752" s="144"/>
      <c r="AA752" s="144"/>
      <c r="AB752" s="144"/>
      <c r="AC752" s="144"/>
      <c r="AD752" s="144"/>
      <c r="AE752" s="144"/>
      <c r="AF752" s="144"/>
    </row>
    <row r="753" ht="16.5" customHeight="1">
      <c r="A753" s="144"/>
      <c r="B753" s="144"/>
      <c r="C753" s="144"/>
      <c r="D753" s="144"/>
      <c r="E753" s="144"/>
      <c r="F753" s="144"/>
      <c r="G753" s="144"/>
      <c r="H753" s="144"/>
      <c r="I753" s="496"/>
      <c r="J753" s="496"/>
      <c r="K753" s="496"/>
      <c r="L753" s="496"/>
      <c r="M753" s="144"/>
      <c r="N753" s="144"/>
      <c r="O753" s="144"/>
      <c r="P753" s="144"/>
      <c r="Q753" s="144"/>
      <c r="R753" s="144"/>
      <c r="S753" s="144"/>
      <c r="T753" s="144"/>
      <c r="U753" s="144"/>
      <c r="V753" s="144"/>
      <c r="W753" s="144"/>
      <c r="X753" s="144"/>
      <c r="Y753" s="144"/>
      <c r="Z753" s="144"/>
      <c r="AA753" s="144"/>
      <c r="AB753" s="144"/>
      <c r="AC753" s="144"/>
      <c r="AD753" s="144"/>
      <c r="AE753" s="144"/>
      <c r="AF753" s="144"/>
    </row>
    <row r="754" ht="16.5" customHeight="1">
      <c r="A754" s="144"/>
      <c r="B754" s="144"/>
      <c r="C754" s="144"/>
      <c r="D754" s="144"/>
      <c r="E754" s="144"/>
      <c r="F754" s="144"/>
      <c r="G754" s="144"/>
      <c r="H754" s="144"/>
      <c r="I754" s="496"/>
      <c r="J754" s="496"/>
      <c r="K754" s="496"/>
      <c r="L754" s="496"/>
      <c r="M754" s="144"/>
      <c r="N754" s="144"/>
      <c r="O754" s="144"/>
      <c r="P754" s="144"/>
      <c r="Q754" s="144"/>
      <c r="R754" s="144"/>
      <c r="S754" s="144"/>
      <c r="T754" s="144"/>
      <c r="U754" s="144"/>
      <c r="V754" s="144"/>
      <c r="W754" s="144"/>
      <c r="X754" s="144"/>
      <c r="Y754" s="144"/>
      <c r="Z754" s="144"/>
      <c r="AA754" s="144"/>
      <c r="AB754" s="144"/>
      <c r="AC754" s="144"/>
      <c r="AD754" s="144"/>
      <c r="AE754" s="144"/>
      <c r="AF754" s="144"/>
    </row>
    <row r="755" ht="16.5" customHeight="1">
      <c r="A755" s="144"/>
      <c r="B755" s="144"/>
      <c r="C755" s="144"/>
      <c r="D755" s="144"/>
      <c r="E755" s="144"/>
      <c r="F755" s="144"/>
      <c r="G755" s="144"/>
      <c r="H755" s="144"/>
      <c r="I755" s="496"/>
      <c r="J755" s="496"/>
      <c r="K755" s="496"/>
      <c r="L755" s="496"/>
      <c r="M755" s="144"/>
      <c r="N755" s="144"/>
      <c r="O755" s="144"/>
      <c r="P755" s="144"/>
      <c r="Q755" s="144"/>
      <c r="R755" s="144"/>
      <c r="S755" s="144"/>
      <c r="T755" s="144"/>
      <c r="U755" s="144"/>
      <c r="V755" s="144"/>
      <c r="W755" s="144"/>
      <c r="X755" s="144"/>
      <c r="Y755" s="144"/>
      <c r="Z755" s="144"/>
      <c r="AA755" s="144"/>
      <c r="AB755" s="144"/>
      <c r="AC755" s="144"/>
      <c r="AD755" s="144"/>
      <c r="AE755" s="144"/>
      <c r="AF755" s="144"/>
    </row>
    <row r="756" ht="16.5" customHeight="1">
      <c r="A756" s="144"/>
      <c r="B756" s="144"/>
      <c r="C756" s="144"/>
      <c r="D756" s="144"/>
      <c r="E756" s="144"/>
      <c r="F756" s="144"/>
      <c r="G756" s="144"/>
      <c r="H756" s="144"/>
      <c r="I756" s="496"/>
      <c r="J756" s="496"/>
      <c r="K756" s="496"/>
      <c r="L756" s="496"/>
      <c r="M756" s="144"/>
      <c r="N756" s="144"/>
      <c r="O756" s="144"/>
      <c r="P756" s="144"/>
      <c r="Q756" s="144"/>
      <c r="R756" s="144"/>
      <c r="S756" s="144"/>
      <c r="T756" s="144"/>
      <c r="U756" s="144"/>
      <c r="V756" s="144"/>
      <c r="W756" s="144"/>
      <c r="X756" s="144"/>
      <c r="Y756" s="144"/>
      <c r="Z756" s="144"/>
      <c r="AA756" s="144"/>
      <c r="AB756" s="144"/>
      <c r="AC756" s="144"/>
      <c r="AD756" s="144"/>
      <c r="AE756" s="144"/>
      <c r="AF756" s="144"/>
    </row>
    <row r="757" ht="16.5" customHeight="1">
      <c r="A757" s="144"/>
      <c r="B757" s="144"/>
      <c r="C757" s="144"/>
      <c r="D757" s="144"/>
      <c r="E757" s="144"/>
      <c r="F757" s="144"/>
      <c r="G757" s="144"/>
      <c r="H757" s="144"/>
      <c r="I757" s="496"/>
      <c r="J757" s="496"/>
      <c r="K757" s="496"/>
      <c r="L757" s="496"/>
      <c r="M757" s="144"/>
      <c r="N757" s="144"/>
      <c r="O757" s="144"/>
      <c r="P757" s="144"/>
      <c r="Q757" s="144"/>
      <c r="R757" s="144"/>
      <c r="S757" s="144"/>
      <c r="T757" s="144"/>
      <c r="U757" s="144"/>
      <c r="V757" s="144"/>
      <c r="W757" s="144"/>
      <c r="X757" s="144"/>
      <c r="Y757" s="144"/>
      <c r="Z757" s="144"/>
      <c r="AA757" s="144"/>
      <c r="AB757" s="144"/>
      <c r="AC757" s="144"/>
      <c r="AD757" s="144"/>
      <c r="AE757" s="144"/>
      <c r="AF757" s="144"/>
    </row>
    <row r="758" ht="16.5" customHeight="1">
      <c r="A758" s="144"/>
      <c r="B758" s="144"/>
      <c r="C758" s="144"/>
      <c r="D758" s="144"/>
      <c r="E758" s="144"/>
      <c r="F758" s="144"/>
      <c r="G758" s="144"/>
      <c r="H758" s="144"/>
      <c r="I758" s="496"/>
      <c r="J758" s="496"/>
      <c r="K758" s="496"/>
      <c r="L758" s="496"/>
      <c r="M758" s="144"/>
      <c r="N758" s="144"/>
      <c r="O758" s="144"/>
      <c r="P758" s="144"/>
      <c r="Q758" s="144"/>
      <c r="R758" s="144"/>
      <c r="S758" s="144"/>
      <c r="T758" s="144"/>
      <c r="U758" s="144"/>
      <c r="V758" s="144"/>
      <c r="W758" s="144"/>
      <c r="X758" s="144"/>
      <c r="Y758" s="144"/>
      <c r="Z758" s="144"/>
      <c r="AA758" s="144"/>
      <c r="AB758" s="144"/>
      <c r="AC758" s="144"/>
      <c r="AD758" s="144"/>
      <c r="AE758" s="144"/>
      <c r="AF758" s="144"/>
    </row>
    <row r="759" ht="16.5" customHeight="1">
      <c r="A759" s="144"/>
      <c r="B759" s="144"/>
      <c r="C759" s="144"/>
      <c r="D759" s="144"/>
      <c r="E759" s="144"/>
      <c r="F759" s="144"/>
      <c r="G759" s="144"/>
      <c r="H759" s="144"/>
      <c r="I759" s="496"/>
      <c r="J759" s="496"/>
      <c r="K759" s="496"/>
      <c r="L759" s="496"/>
      <c r="M759" s="144"/>
      <c r="N759" s="144"/>
      <c r="O759" s="144"/>
      <c r="P759" s="144"/>
      <c r="Q759" s="144"/>
      <c r="R759" s="144"/>
      <c r="S759" s="144"/>
      <c r="T759" s="144"/>
      <c r="U759" s="144"/>
      <c r="V759" s="144"/>
      <c r="W759" s="144"/>
      <c r="X759" s="144"/>
      <c r="Y759" s="144"/>
      <c r="Z759" s="144"/>
      <c r="AA759" s="144"/>
      <c r="AB759" s="144"/>
      <c r="AC759" s="144"/>
      <c r="AD759" s="144"/>
      <c r="AE759" s="144"/>
      <c r="AF759" s="144"/>
    </row>
    <row r="760" ht="16.5" customHeight="1">
      <c r="A760" s="144"/>
      <c r="B760" s="144"/>
      <c r="C760" s="144"/>
      <c r="D760" s="144"/>
      <c r="E760" s="144"/>
      <c r="F760" s="144"/>
      <c r="G760" s="144"/>
      <c r="H760" s="144"/>
      <c r="I760" s="496"/>
      <c r="J760" s="496"/>
      <c r="K760" s="496"/>
      <c r="L760" s="496"/>
      <c r="M760" s="144"/>
      <c r="N760" s="144"/>
      <c r="O760" s="144"/>
      <c r="P760" s="144"/>
      <c r="Q760" s="144"/>
      <c r="R760" s="144"/>
      <c r="S760" s="144"/>
      <c r="T760" s="144"/>
      <c r="U760" s="144"/>
      <c r="V760" s="144"/>
      <c r="W760" s="144"/>
      <c r="X760" s="144"/>
      <c r="Y760" s="144"/>
      <c r="Z760" s="144"/>
      <c r="AA760" s="144"/>
      <c r="AB760" s="144"/>
      <c r="AC760" s="144"/>
      <c r="AD760" s="144"/>
      <c r="AE760" s="144"/>
      <c r="AF760" s="144"/>
    </row>
    <row r="761" ht="16.5" customHeight="1">
      <c r="A761" s="144"/>
      <c r="B761" s="144"/>
      <c r="C761" s="144"/>
      <c r="D761" s="144"/>
      <c r="E761" s="144"/>
      <c r="F761" s="144"/>
      <c r="G761" s="144"/>
      <c r="H761" s="144"/>
      <c r="I761" s="496"/>
      <c r="J761" s="496"/>
      <c r="K761" s="496"/>
      <c r="L761" s="496"/>
      <c r="M761" s="144"/>
      <c r="N761" s="144"/>
      <c r="O761" s="144"/>
      <c r="P761" s="144"/>
      <c r="Q761" s="144"/>
      <c r="R761" s="144"/>
      <c r="S761" s="144"/>
      <c r="T761" s="144"/>
      <c r="U761" s="144"/>
      <c r="V761" s="144"/>
      <c r="W761" s="144"/>
      <c r="X761" s="144"/>
      <c r="Y761" s="144"/>
      <c r="Z761" s="144"/>
      <c r="AA761" s="144"/>
      <c r="AB761" s="144"/>
      <c r="AC761" s="144"/>
      <c r="AD761" s="144"/>
      <c r="AE761" s="144"/>
      <c r="AF761" s="144"/>
    </row>
    <row r="762" ht="16.5" customHeight="1">
      <c r="A762" s="144"/>
      <c r="B762" s="144"/>
      <c r="C762" s="144"/>
      <c r="D762" s="144"/>
      <c r="E762" s="144"/>
      <c r="F762" s="144"/>
      <c r="G762" s="144"/>
      <c r="H762" s="144"/>
      <c r="I762" s="496"/>
      <c r="J762" s="496"/>
      <c r="K762" s="496"/>
      <c r="L762" s="496"/>
      <c r="M762" s="144"/>
      <c r="N762" s="144"/>
      <c r="O762" s="144"/>
      <c r="P762" s="144"/>
      <c r="Q762" s="144"/>
      <c r="R762" s="144"/>
      <c r="S762" s="144"/>
      <c r="T762" s="144"/>
      <c r="U762" s="144"/>
      <c r="V762" s="144"/>
      <c r="W762" s="144"/>
      <c r="X762" s="144"/>
      <c r="Y762" s="144"/>
      <c r="Z762" s="144"/>
      <c r="AA762" s="144"/>
      <c r="AB762" s="144"/>
      <c r="AC762" s="144"/>
      <c r="AD762" s="144"/>
      <c r="AE762" s="144"/>
      <c r="AF762" s="144"/>
    </row>
    <row r="763" ht="16.5" customHeight="1">
      <c r="A763" s="144"/>
      <c r="B763" s="144"/>
      <c r="C763" s="144"/>
      <c r="D763" s="144"/>
      <c r="E763" s="144"/>
      <c r="F763" s="144"/>
      <c r="G763" s="144"/>
      <c r="H763" s="144"/>
      <c r="I763" s="496"/>
      <c r="J763" s="496"/>
      <c r="K763" s="496"/>
      <c r="L763" s="496"/>
      <c r="M763" s="144"/>
      <c r="N763" s="144"/>
      <c r="O763" s="144"/>
      <c r="P763" s="144"/>
      <c r="Q763" s="144"/>
      <c r="R763" s="144"/>
      <c r="S763" s="144"/>
      <c r="T763" s="144"/>
      <c r="U763" s="144"/>
      <c r="V763" s="144"/>
      <c r="W763" s="144"/>
      <c r="X763" s="144"/>
      <c r="Y763" s="144"/>
      <c r="Z763" s="144"/>
      <c r="AA763" s="144"/>
      <c r="AB763" s="144"/>
      <c r="AC763" s="144"/>
      <c r="AD763" s="144"/>
      <c r="AE763" s="144"/>
      <c r="AF763" s="144"/>
    </row>
    <row r="764" ht="16.5" customHeight="1">
      <c r="A764" s="144"/>
      <c r="B764" s="144"/>
      <c r="C764" s="144"/>
      <c r="D764" s="144"/>
      <c r="E764" s="144"/>
      <c r="F764" s="144"/>
      <c r="G764" s="144"/>
      <c r="H764" s="144"/>
      <c r="I764" s="496"/>
      <c r="J764" s="496"/>
      <c r="K764" s="496"/>
      <c r="L764" s="496"/>
      <c r="M764" s="144"/>
      <c r="N764" s="144"/>
      <c r="O764" s="144"/>
      <c r="P764" s="144"/>
      <c r="Q764" s="144"/>
      <c r="R764" s="144"/>
      <c r="S764" s="144"/>
      <c r="T764" s="144"/>
      <c r="U764" s="144"/>
      <c r="V764" s="144"/>
      <c r="W764" s="144"/>
      <c r="X764" s="144"/>
      <c r="Y764" s="144"/>
      <c r="Z764" s="144"/>
      <c r="AA764" s="144"/>
      <c r="AB764" s="144"/>
      <c r="AC764" s="144"/>
      <c r="AD764" s="144"/>
      <c r="AE764" s="144"/>
      <c r="AF764" s="144"/>
    </row>
    <row r="765" ht="16.5" customHeight="1">
      <c r="A765" s="144"/>
      <c r="B765" s="144"/>
      <c r="C765" s="144"/>
      <c r="D765" s="144"/>
      <c r="E765" s="144"/>
      <c r="F765" s="144"/>
      <c r="G765" s="144"/>
      <c r="H765" s="144"/>
      <c r="I765" s="496"/>
      <c r="J765" s="496"/>
      <c r="K765" s="496"/>
      <c r="L765" s="496"/>
      <c r="M765" s="144"/>
      <c r="N765" s="144"/>
      <c r="O765" s="144"/>
      <c r="P765" s="144"/>
      <c r="Q765" s="144"/>
      <c r="R765" s="144"/>
      <c r="S765" s="144"/>
      <c r="T765" s="144"/>
      <c r="U765" s="144"/>
      <c r="V765" s="144"/>
      <c r="W765" s="144"/>
      <c r="X765" s="144"/>
      <c r="Y765" s="144"/>
      <c r="Z765" s="144"/>
      <c r="AA765" s="144"/>
      <c r="AB765" s="144"/>
      <c r="AC765" s="144"/>
      <c r="AD765" s="144"/>
      <c r="AE765" s="144"/>
      <c r="AF765" s="144"/>
    </row>
    <row r="766" ht="16.5" customHeight="1">
      <c r="A766" s="144"/>
      <c r="B766" s="144"/>
      <c r="C766" s="144"/>
      <c r="D766" s="144"/>
      <c r="E766" s="144"/>
      <c r="F766" s="144"/>
      <c r="G766" s="144"/>
      <c r="H766" s="144"/>
      <c r="I766" s="496"/>
      <c r="J766" s="496"/>
      <c r="K766" s="496"/>
      <c r="L766" s="496"/>
      <c r="M766" s="144"/>
      <c r="N766" s="144"/>
      <c r="O766" s="144"/>
      <c r="P766" s="144"/>
      <c r="Q766" s="144"/>
      <c r="R766" s="144"/>
      <c r="S766" s="144"/>
      <c r="T766" s="144"/>
      <c r="U766" s="144"/>
      <c r="V766" s="144"/>
      <c r="W766" s="144"/>
      <c r="X766" s="144"/>
      <c r="Y766" s="144"/>
      <c r="Z766" s="144"/>
      <c r="AA766" s="144"/>
      <c r="AB766" s="144"/>
      <c r="AC766" s="144"/>
      <c r="AD766" s="144"/>
      <c r="AE766" s="144"/>
      <c r="AF766" s="144"/>
    </row>
    <row r="767" ht="16.5" customHeight="1">
      <c r="A767" s="144"/>
      <c r="B767" s="144"/>
      <c r="C767" s="144"/>
      <c r="D767" s="144"/>
      <c r="E767" s="144"/>
      <c r="F767" s="144"/>
      <c r="G767" s="144"/>
      <c r="H767" s="144"/>
      <c r="I767" s="496"/>
      <c r="J767" s="496"/>
      <c r="K767" s="496"/>
      <c r="L767" s="496"/>
      <c r="M767" s="144"/>
      <c r="N767" s="144"/>
      <c r="O767" s="144"/>
      <c r="P767" s="144"/>
      <c r="Q767" s="144"/>
      <c r="R767" s="144"/>
      <c r="S767" s="144"/>
      <c r="T767" s="144"/>
      <c r="U767" s="144"/>
      <c r="V767" s="144"/>
      <c r="W767" s="144"/>
      <c r="X767" s="144"/>
      <c r="Y767" s="144"/>
      <c r="Z767" s="144"/>
      <c r="AA767" s="144"/>
      <c r="AB767" s="144"/>
      <c r="AC767" s="144"/>
      <c r="AD767" s="144"/>
      <c r="AE767" s="144"/>
      <c r="AF767" s="144"/>
    </row>
    <row r="768" ht="16.5" customHeight="1">
      <c r="A768" s="144"/>
      <c r="B768" s="144"/>
      <c r="C768" s="144"/>
      <c r="D768" s="144"/>
      <c r="E768" s="144"/>
      <c r="F768" s="144"/>
      <c r="G768" s="144"/>
      <c r="H768" s="144"/>
      <c r="I768" s="496"/>
      <c r="J768" s="496"/>
      <c r="K768" s="496"/>
      <c r="L768" s="496"/>
      <c r="M768" s="144"/>
      <c r="N768" s="144"/>
      <c r="O768" s="144"/>
      <c r="P768" s="144"/>
      <c r="Q768" s="144"/>
      <c r="R768" s="144"/>
      <c r="S768" s="144"/>
      <c r="T768" s="144"/>
      <c r="U768" s="144"/>
      <c r="V768" s="144"/>
      <c r="W768" s="144"/>
      <c r="X768" s="144"/>
      <c r="Y768" s="144"/>
      <c r="Z768" s="144"/>
      <c r="AA768" s="144"/>
      <c r="AB768" s="144"/>
      <c r="AC768" s="144"/>
      <c r="AD768" s="144"/>
      <c r="AE768" s="144"/>
      <c r="AF768" s="144"/>
    </row>
    <row r="769" ht="16.5" customHeight="1">
      <c r="A769" s="144"/>
      <c r="B769" s="144"/>
      <c r="C769" s="144"/>
      <c r="D769" s="144"/>
      <c r="E769" s="144"/>
      <c r="F769" s="144"/>
      <c r="G769" s="144"/>
      <c r="H769" s="144"/>
      <c r="I769" s="496"/>
      <c r="J769" s="496"/>
      <c r="K769" s="496"/>
      <c r="L769" s="496"/>
      <c r="M769" s="144"/>
      <c r="N769" s="144"/>
      <c r="O769" s="144"/>
      <c r="P769" s="144"/>
      <c r="Q769" s="144"/>
      <c r="R769" s="144"/>
      <c r="S769" s="144"/>
      <c r="T769" s="144"/>
      <c r="U769" s="144"/>
      <c r="V769" s="144"/>
      <c r="W769" s="144"/>
      <c r="X769" s="144"/>
      <c r="Y769" s="144"/>
      <c r="Z769" s="144"/>
      <c r="AA769" s="144"/>
      <c r="AB769" s="144"/>
      <c r="AC769" s="144"/>
      <c r="AD769" s="144"/>
      <c r="AE769" s="144"/>
      <c r="AF769" s="144"/>
    </row>
    <row r="770" ht="16.5" customHeight="1">
      <c r="A770" s="144"/>
      <c r="B770" s="144"/>
      <c r="C770" s="144"/>
      <c r="D770" s="144"/>
      <c r="E770" s="144"/>
      <c r="F770" s="144"/>
      <c r="G770" s="144"/>
      <c r="H770" s="144"/>
      <c r="I770" s="496"/>
      <c r="J770" s="496"/>
      <c r="K770" s="496"/>
      <c r="L770" s="496"/>
      <c r="M770" s="144"/>
      <c r="N770" s="144"/>
      <c r="O770" s="144"/>
      <c r="P770" s="144"/>
      <c r="Q770" s="144"/>
      <c r="R770" s="144"/>
      <c r="S770" s="144"/>
      <c r="T770" s="144"/>
      <c r="U770" s="144"/>
      <c r="V770" s="144"/>
      <c r="W770" s="144"/>
      <c r="X770" s="144"/>
      <c r="Y770" s="144"/>
      <c r="Z770" s="144"/>
      <c r="AA770" s="144"/>
      <c r="AB770" s="144"/>
      <c r="AC770" s="144"/>
      <c r="AD770" s="144"/>
      <c r="AE770" s="144"/>
      <c r="AF770" s="144"/>
    </row>
    <row r="771" ht="16.5" customHeight="1">
      <c r="A771" s="144"/>
      <c r="B771" s="144"/>
      <c r="C771" s="144"/>
      <c r="D771" s="144"/>
      <c r="E771" s="144"/>
      <c r="F771" s="144"/>
      <c r="G771" s="144"/>
      <c r="H771" s="144"/>
      <c r="I771" s="496"/>
      <c r="J771" s="496"/>
      <c r="K771" s="496"/>
      <c r="L771" s="496"/>
      <c r="M771" s="144"/>
      <c r="N771" s="144"/>
      <c r="O771" s="144"/>
      <c r="P771" s="144"/>
      <c r="Q771" s="144"/>
      <c r="R771" s="144"/>
      <c r="S771" s="144"/>
      <c r="T771" s="144"/>
      <c r="U771" s="144"/>
      <c r="V771" s="144"/>
      <c r="W771" s="144"/>
      <c r="X771" s="144"/>
      <c r="Y771" s="144"/>
      <c r="Z771" s="144"/>
      <c r="AA771" s="144"/>
      <c r="AB771" s="144"/>
      <c r="AC771" s="144"/>
      <c r="AD771" s="144"/>
      <c r="AE771" s="144"/>
      <c r="AF771" s="144"/>
    </row>
    <row r="772" ht="16.5" customHeight="1">
      <c r="A772" s="144"/>
      <c r="B772" s="144"/>
      <c r="C772" s="144"/>
      <c r="D772" s="144"/>
      <c r="E772" s="144"/>
      <c r="F772" s="144"/>
      <c r="G772" s="144"/>
      <c r="H772" s="144"/>
      <c r="I772" s="496"/>
      <c r="J772" s="496"/>
      <c r="K772" s="496"/>
      <c r="L772" s="496"/>
      <c r="M772" s="144"/>
      <c r="N772" s="144"/>
      <c r="O772" s="144"/>
      <c r="P772" s="144"/>
      <c r="Q772" s="144"/>
      <c r="R772" s="144"/>
      <c r="S772" s="144"/>
      <c r="T772" s="144"/>
      <c r="U772" s="144"/>
      <c r="V772" s="144"/>
      <c r="W772" s="144"/>
      <c r="X772" s="144"/>
      <c r="Y772" s="144"/>
      <c r="Z772" s="144"/>
      <c r="AA772" s="144"/>
      <c r="AB772" s="144"/>
      <c r="AC772" s="144"/>
      <c r="AD772" s="144"/>
      <c r="AE772" s="144"/>
      <c r="AF772" s="144"/>
    </row>
    <row r="773" ht="16.5" customHeight="1">
      <c r="A773" s="144"/>
      <c r="B773" s="144"/>
      <c r="C773" s="144"/>
      <c r="D773" s="144"/>
      <c r="E773" s="144"/>
      <c r="F773" s="144"/>
      <c r="G773" s="144"/>
      <c r="H773" s="144"/>
      <c r="I773" s="496"/>
      <c r="J773" s="496"/>
      <c r="K773" s="496"/>
      <c r="L773" s="496"/>
      <c r="M773" s="144"/>
      <c r="N773" s="144"/>
      <c r="O773" s="144"/>
      <c r="P773" s="144"/>
      <c r="Q773" s="144"/>
      <c r="R773" s="144"/>
      <c r="S773" s="144"/>
      <c r="T773" s="144"/>
      <c r="U773" s="144"/>
      <c r="V773" s="144"/>
      <c r="W773" s="144"/>
      <c r="X773" s="144"/>
      <c r="Y773" s="144"/>
      <c r="Z773" s="144"/>
      <c r="AA773" s="144"/>
      <c r="AB773" s="144"/>
      <c r="AC773" s="144"/>
      <c r="AD773" s="144"/>
      <c r="AE773" s="144"/>
      <c r="AF773" s="144"/>
    </row>
    <row r="774" ht="16.5" customHeight="1">
      <c r="A774" s="144"/>
      <c r="B774" s="144"/>
      <c r="C774" s="144"/>
      <c r="D774" s="144"/>
      <c r="E774" s="144"/>
      <c r="F774" s="144"/>
      <c r="G774" s="144"/>
      <c r="H774" s="144"/>
      <c r="I774" s="496"/>
      <c r="J774" s="496"/>
      <c r="K774" s="496"/>
      <c r="L774" s="496"/>
      <c r="M774" s="144"/>
      <c r="N774" s="144"/>
      <c r="O774" s="144"/>
      <c r="P774" s="144"/>
      <c r="Q774" s="144"/>
      <c r="R774" s="144"/>
      <c r="S774" s="144"/>
      <c r="T774" s="144"/>
      <c r="U774" s="144"/>
      <c r="V774" s="144"/>
      <c r="W774" s="144"/>
      <c r="X774" s="144"/>
      <c r="Y774" s="144"/>
      <c r="Z774" s="144"/>
      <c r="AA774" s="144"/>
      <c r="AB774" s="144"/>
      <c r="AC774" s="144"/>
      <c r="AD774" s="144"/>
      <c r="AE774" s="144"/>
      <c r="AF774" s="144"/>
    </row>
    <row r="775" ht="16.5" customHeight="1">
      <c r="A775" s="144"/>
      <c r="B775" s="144"/>
      <c r="C775" s="144"/>
      <c r="D775" s="144"/>
      <c r="E775" s="144"/>
      <c r="F775" s="144"/>
      <c r="G775" s="144"/>
      <c r="H775" s="144"/>
      <c r="I775" s="496"/>
      <c r="J775" s="496"/>
      <c r="K775" s="496"/>
      <c r="L775" s="496"/>
      <c r="M775" s="144"/>
      <c r="N775" s="144"/>
      <c r="O775" s="144"/>
      <c r="P775" s="144"/>
      <c r="Q775" s="144"/>
      <c r="R775" s="144"/>
      <c r="S775" s="144"/>
      <c r="T775" s="144"/>
      <c r="U775" s="144"/>
      <c r="V775" s="144"/>
      <c r="W775" s="144"/>
      <c r="X775" s="144"/>
      <c r="Y775" s="144"/>
      <c r="Z775" s="144"/>
      <c r="AA775" s="144"/>
      <c r="AB775" s="144"/>
      <c r="AC775" s="144"/>
      <c r="AD775" s="144"/>
      <c r="AE775" s="144"/>
      <c r="AF775" s="144"/>
    </row>
    <row r="776" ht="16.5" customHeight="1">
      <c r="A776" s="144"/>
      <c r="B776" s="144"/>
      <c r="C776" s="144"/>
      <c r="D776" s="144"/>
      <c r="E776" s="144"/>
      <c r="F776" s="144"/>
      <c r="G776" s="144"/>
      <c r="H776" s="144"/>
      <c r="I776" s="496"/>
      <c r="J776" s="496"/>
      <c r="K776" s="496"/>
      <c r="L776" s="496"/>
      <c r="M776" s="144"/>
      <c r="N776" s="144"/>
      <c r="O776" s="144"/>
      <c r="P776" s="144"/>
      <c r="Q776" s="144"/>
      <c r="R776" s="144"/>
      <c r="S776" s="144"/>
      <c r="T776" s="144"/>
      <c r="U776" s="144"/>
      <c r="V776" s="144"/>
      <c r="W776" s="144"/>
      <c r="X776" s="144"/>
      <c r="Y776" s="144"/>
      <c r="Z776" s="144"/>
      <c r="AA776" s="144"/>
      <c r="AB776" s="144"/>
      <c r="AC776" s="144"/>
      <c r="AD776" s="144"/>
      <c r="AE776" s="144"/>
      <c r="AF776" s="144"/>
    </row>
    <row r="777" ht="16.5" customHeight="1">
      <c r="A777" s="144"/>
      <c r="B777" s="144"/>
      <c r="C777" s="144"/>
      <c r="D777" s="144"/>
      <c r="E777" s="144"/>
      <c r="F777" s="144"/>
      <c r="G777" s="144"/>
      <c r="H777" s="144"/>
      <c r="I777" s="496"/>
      <c r="J777" s="496"/>
      <c r="K777" s="496"/>
      <c r="L777" s="496"/>
      <c r="M777" s="144"/>
      <c r="N777" s="144"/>
      <c r="O777" s="144"/>
      <c r="P777" s="144"/>
      <c r="Q777" s="144"/>
      <c r="R777" s="144"/>
      <c r="S777" s="144"/>
      <c r="T777" s="144"/>
      <c r="U777" s="144"/>
      <c r="V777" s="144"/>
      <c r="W777" s="144"/>
      <c r="X777" s="144"/>
      <c r="Y777" s="144"/>
      <c r="Z777" s="144"/>
      <c r="AA777" s="144"/>
      <c r="AB777" s="144"/>
      <c r="AC777" s="144"/>
      <c r="AD777" s="144"/>
      <c r="AE777" s="144"/>
      <c r="AF777" s="144"/>
    </row>
    <row r="778" ht="16.5" customHeight="1">
      <c r="A778" s="144"/>
      <c r="B778" s="144"/>
      <c r="C778" s="144"/>
      <c r="D778" s="144"/>
      <c r="E778" s="144"/>
      <c r="F778" s="144"/>
      <c r="G778" s="144"/>
      <c r="H778" s="144"/>
      <c r="I778" s="496"/>
      <c r="J778" s="496"/>
      <c r="K778" s="496"/>
      <c r="L778" s="496"/>
      <c r="M778" s="144"/>
      <c r="N778" s="144"/>
      <c r="O778" s="144"/>
      <c r="P778" s="144"/>
      <c r="Q778" s="144"/>
      <c r="R778" s="144"/>
      <c r="S778" s="144"/>
      <c r="T778" s="144"/>
      <c r="U778" s="144"/>
      <c r="V778" s="144"/>
      <c r="W778" s="144"/>
      <c r="X778" s="144"/>
      <c r="Y778" s="144"/>
      <c r="Z778" s="144"/>
      <c r="AA778" s="144"/>
      <c r="AB778" s="144"/>
      <c r="AC778" s="144"/>
      <c r="AD778" s="144"/>
      <c r="AE778" s="144"/>
      <c r="AF778" s="144"/>
    </row>
    <row r="779" ht="16.5" customHeight="1">
      <c r="A779" s="144"/>
      <c r="B779" s="144"/>
      <c r="C779" s="144"/>
      <c r="D779" s="144"/>
      <c r="E779" s="144"/>
      <c r="F779" s="144"/>
      <c r="G779" s="144"/>
      <c r="H779" s="144"/>
      <c r="I779" s="496"/>
      <c r="J779" s="496"/>
      <c r="K779" s="496"/>
      <c r="L779" s="496"/>
      <c r="M779" s="144"/>
      <c r="N779" s="144"/>
      <c r="O779" s="144"/>
      <c r="P779" s="144"/>
      <c r="Q779" s="144"/>
      <c r="R779" s="144"/>
      <c r="S779" s="144"/>
      <c r="T779" s="144"/>
      <c r="U779" s="144"/>
      <c r="V779" s="144"/>
      <c r="W779" s="144"/>
      <c r="X779" s="144"/>
      <c r="Y779" s="144"/>
      <c r="Z779" s="144"/>
      <c r="AA779" s="144"/>
      <c r="AB779" s="144"/>
      <c r="AC779" s="144"/>
      <c r="AD779" s="144"/>
      <c r="AE779" s="144"/>
      <c r="AF779" s="144"/>
    </row>
    <row r="780" ht="16.5" customHeight="1">
      <c r="A780" s="144"/>
      <c r="B780" s="144"/>
      <c r="C780" s="144"/>
      <c r="D780" s="144"/>
      <c r="E780" s="144"/>
      <c r="F780" s="144"/>
      <c r="G780" s="144"/>
      <c r="H780" s="144"/>
      <c r="I780" s="496"/>
      <c r="J780" s="496"/>
      <c r="K780" s="496"/>
      <c r="L780" s="496"/>
      <c r="M780" s="144"/>
      <c r="N780" s="144"/>
      <c r="O780" s="144"/>
      <c r="P780" s="144"/>
      <c r="Q780" s="144"/>
      <c r="R780" s="144"/>
      <c r="S780" s="144"/>
      <c r="T780" s="144"/>
      <c r="U780" s="144"/>
      <c r="V780" s="144"/>
      <c r="W780" s="144"/>
      <c r="X780" s="144"/>
      <c r="Y780" s="144"/>
      <c r="Z780" s="144"/>
      <c r="AA780" s="144"/>
      <c r="AB780" s="144"/>
      <c r="AC780" s="144"/>
      <c r="AD780" s="144"/>
      <c r="AE780" s="144"/>
      <c r="AF780" s="144"/>
    </row>
    <row r="781" ht="16.5" customHeight="1">
      <c r="A781" s="144"/>
      <c r="B781" s="144"/>
      <c r="C781" s="144"/>
      <c r="D781" s="144"/>
      <c r="E781" s="144"/>
      <c r="F781" s="144"/>
      <c r="G781" s="144"/>
      <c r="H781" s="144"/>
      <c r="I781" s="496"/>
      <c r="J781" s="496"/>
      <c r="K781" s="496"/>
      <c r="L781" s="496"/>
      <c r="M781" s="144"/>
      <c r="N781" s="144"/>
      <c r="O781" s="144"/>
      <c r="P781" s="144"/>
      <c r="Q781" s="144"/>
      <c r="R781" s="144"/>
      <c r="S781" s="144"/>
      <c r="T781" s="144"/>
      <c r="U781" s="144"/>
      <c r="V781" s="144"/>
      <c r="W781" s="144"/>
      <c r="X781" s="144"/>
      <c r="Y781" s="144"/>
      <c r="Z781" s="144"/>
      <c r="AA781" s="144"/>
      <c r="AB781" s="144"/>
      <c r="AC781" s="144"/>
      <c r="AD781" s="144"/>
      <c r="AE781" s="144"/>
      <c r="AF781" s="144"/>
    </row>
    <row r="782" ht="16.5" customHeight="1">
      <c r="A782" s="144"/>
      <c r="B782" s="144"/>
      <c r="C782" s="144"/>
      <c r="D782" s="144"/>
      <c r="E782" s="144"/>
      <c r="F782" s="144"/>
      <c r="G782" s="144"/>
      <c r="H782" s="144"/>
      <c r="I782" s="496"/>
      <c r="J782" s="496"/>
      <c r="K782" s="496"/>
      <c r="L782" s="496"/>
      <c r="M782" s="144"/>
      <c r="N782" s="144"/>
      <c r="O782" s="144"/>
      <c r="P782" s="144"/>
      <c r="Q782" s="144"/>
      <c r="R782" s="144"/>
      <c r="S782" s="144"/>
      <c r="T782" s="144"/>
      <c r="U782" s="144"/>
      <c r="V782" s="144"/>
      <c r="W782" s="144"/>
      <c r="X782" s="144"/>
      <c r="Y782" s="144"/>
      <c r="Z782" s="144"/>
      <c r="AA782" s="144"/>
      <c r="AB782" s="144"/>
      <c r="AC782" s="144"/>
      <c r="AD782" s="144"/>
      <c r="AE782" s="144"/>
      <c r="AF782" s="144"/>
    </row>
    <row r="783" ht="16.5" customHeight="1">
      <c r="A783" s="144"/>
      <c r="B783" s="144"/>
      <c r="C783" s="144"/>
      <c r="D783" s="144"/>
      <c r="E783" s="144"/>
      <c r="F783" s="144"/>
      <c r="G783" s="144"/>
      <c r="H783" s="144"/>
      <c r="I783" s="496"/>
      <c r="J783" s="496"/>
      <c r="K783" s="496"/>
      <c r="L783" s="496"/>
      <c r="M783" s="144"/>
      <c r="N783" s="144"/>
      <c r="O783" s="144"/>
      <c r="P783" s="144"/>
      <c r="Q783" s="144"/>
      <c r="R783" s="144"/>
      <c r="S783" s="144"/>
      <c r="T783" s="144"/>
      <c r="U783" s="144"/>
      <c r="V783" s="144"/>
      <c r="W783" s="144"/>
      <c r="X783" s="144"/>
      <c r="Y783" s="144"/>
      <c r="Z783" s="144"/>
      <c r="AA783" s="144"/>
      <c r="AB783" s="144"/>
      <c r="AC783" s="144"/>
      <c r="AD783" s="144"/>
      <c r="AE783" s="144"/>
      <c r="AF783" s="144"/>
    </row>
    <row r="784" ht="16.5" customHeight="1">
      <c r="A784" s="144"/>
      <c r="B784" s="144"/>
      <c r="C784" s="144"/>
      <c r="D784" s="144"/>
      <c r="E784" s="144"/>
      <c r="F784" s="144"/>
      <c r="G784" s="144"/>
      <c r="H784" s="144"/>
      <c r="I784" s="496"/>
      <c r="J784" s="496"/>
      <c r="K784" s="496"/>
      <c r="L784" s="496"/>
      <c r="M784" s="144"/>
      <c r="N784" s="144"/>
      <c r="O784" s="144"/>
      <c r="P784" s="144"/>
      <c r="Q784" s="144"/>
      <c r="R784" s="144"/>
      <c r="S784" s="144"/>
      <c r="T784" s="144"/>
      <c r="U784" s="144"/>
      <c r="V784" s="144"/>
      <c r="W784" s="144"/>
      <c r="X784" s="144"/>
      <c r="Y784" s="144"/>
      <c r="Z784" s="144"/>
      <c r="AA784" s="144"/>
      <c r="AB784" s="144"/>
      <c r="AC784" s="144"/>
      <c r="AD784" s="144"/>
      <c r="AE784" s="144"/>
      <c r="AF784" s="144"/>
    </row>
    <row r="785" ht="16.5" customHeight="1">
      <c r="A785" s="144"/>
      <c r="B785" s="144"/>
      <c r="C785" s="144"/>
      <c r="D785" s="144"/>
      <c r="E785" s="144"/>
      <c r="F785" s="144"/>
      <c r="G785" s="144"/>
      <c r="H785" s="144"/>
      <c r="I785" s="496"/>
      <c r="J785" s="496"/>
      <c r="K785" s="496"/>
      <c r="L785" s="496"/>
      <c r="M785" s="144"/>
      <c r="N785" s="144"/>
      <c r="O785" s="144"/>
      <c r="P785" s="144"/>
      <c r="Q785" s="144"/>
      <c r="R785" s="144"/>
      <c r="S785" s="144"/>
      <c r="T785" s="144"/>
      <c r="U785" s="144"/>
      <c r="V785" s="144"/>
      <c r="W785" s="144"/>
      <c r="X785" s="144"/>
      <c r="Y785" s="144"/>
      <c r="Z785" s="144"/>
      <c r="AA785" s="144"/>
      <c r="AB785" s="144"/>
      <c r="AC785" s="144"/>
      <c r="AD785" s="144"/>
      <c r="AE785" s="144"/>
      <c r="AF785" s="144"/>
    </row>
    <row r="786" ht="16.5" customHeight="1">
      <c r="A786" s="144"/>
      <c r="B786" s="144"/>
      <c r="C786" s="144"/>
      <c r="D786" s="144"/>
      <c r="E786" s="144"/>
      <c r="F786" s="144"/>
      <c r="G786" s="144"/>
      <c r="H786" s="144"/>
      <c r="I786" s="496"/>
      <c r="J786" s="496"/>
      <c r="K786" s="496"/>
      <c r="L786" s="496"/>
      <c r="M786" s="144"/>
      <c r="N786" s="144"/>
      <c r="O786" s="144"/>
      <c r="P786" s="144"/>
      <c r="Q786" s="144"/>
      <c r="R786" s="144"/>
      <c r="S786" s="144"/>
      <c r="T786" s="144"/>
      <c r="U786" s="144"/>
      <c r="V786" s="144"/>
      <c r="W786" s="144"/>
      <c r="X786" s="144"/>
      <c r="Y786" s="144"/>
      <c r="Z786" s="144"/>
      <c r="AA786" s="144"/>
      <c r="AB786" s="144"/>
      <c r="AC786" s="144"/>
      <c r="AD786" s="144"/>
      <c r="AE786" s="144"/>
      <c r="AF786" s="144"/>
    </row>
    <row r="787" ht="16.5" customHeight="1">
      <c r="A787" s="144"/>
      <c r="B787" s="144"/>
      <c r="C787" s="144"/>
      <c r="D787" s="144"/>
      <c r="E787" s="144"/>
      <c r="F787" s="144"/>
      <c r="G787" s="144"/>
      <c r="H787" s="144"/>
      <c r="I787" s="496"/>
      <c r="J787" s="496"/>
      <c r="K787" s="496"/>
      <c r="L787" s="496"/>
      <c r="M787" s="144"/>
      <c r="N787" s="144"/>
      <c r="O787" s="144"/>
      <c r="P787" s="144"/>
      <c r="Q787" s="144"/>
      <c r="R787" s="144"/>
      <c r="S787" s="144"/>
      <c r="T787" s="144"/>
      <c r="U787" s="144"/>
      <c r="V787" s="144"/>
      <c r="W787" s="144"/>
      <c r="X787" s="144"/>
      <c r="Y787" s="144"/>
      <c r="Z787" s="144"/>
      <c r="AA787" s="144"/>
      <c r="AB787" s="144"/>
      <c r="AC787" s="144"/>
      <c r="AD787" s="144"/>
      <c r="AE787" s="144"/>
      <c r="AF787" s="144"/>
    </row>
    <row r="788" ht="16.5" customHeight="1">
      <c r="A788" s="144"/>
      <c r="B788" s="144"/>
      <c r="C788" s="144"/>
      <c r="D788" s="144"/>
      <c r="E788" s="144"/>
      <c r="F788" s="144"/>
      <c r="G788" s="144"/>
      <c r="H788" s="144"/>
      <c r="I788" s="496"/>
      <c r="J788" s="496"/>
      <c r="K788" s="496"/>
      <c r="L788" s="496"/>
      <c r="M788" s="144"/>
      <c r="N788" s="144"/>
      <c r="O788" s="144"/>
      <c r="P788" s="144"/>
      <c r="Q788" s="144"/>
      <c r="R788" s="144"/>
      <c r="S788" s="144"/>
      <c r="T788" s="144"/>
      <c r="U788" s="144"/>
      <c r="V788" s="144"/>
      <c r="W788" s="144"/>
      <c r="X788" s="144"/>
      <c r="Y788" s="144"/>
      <c r="Z788" s="144"/>
      <c r="AA788" s="144"/>
      <c r="AB788" s="144"/>
      <c r="AC788" s="144"/>
      <c r="AD788" s="144"/>
      <c r="AE788" s="144"/>
      <c r="AF788" s="144"/>
    </row>
    <row r="789" ht="16.5" customHeight="1">
      <c r="A789" s="144"/>
      <c r="B789" s="144"/>
      <c r="C789" s="144"/>
      <c r="D789" s="144"/>
      <c r="E789" s="144"/>
      <c r="F789" s="144"/>
      <c r="G789" s="144"/>
      <c r="H789" s="144"/>
      <c r="I789" s="496"/>
      <c r="J789" s="496"/>
      <c r="K789" s="496"/>
      <c r="L789" s="496"/>
      <c r="M789" s="144"/>
      <c r="N789" s="144"/>
      <c r="O789" s="144"/>
      <c r="P789" s="144"/>
      <c r="Q789" s="144"/>
      <c r="R789" s="144"/>
      <c r="S789" s="144"/>
      <c r="T789" s="144"/>
      <c r="U789" s="144"/>
      <c r="V789" s="144"/>
      <c r="W789" s="144"/>
      <c r="X789" s="144"/>
      <c r="Y789" s="144"/>
      <c r="Z789" s="144"/>
      <c r="AA789" s="144"/>
      <c r="AB789" s="144"/>
      <c r="AC789" s="144"/>
      <c r="AD789" s="144"/>
      <c r="AE789" s="144"/>
      <c r="AF789" s="144"/>
    </row>
    <row r="790" ht="16.5" customHeight="1">
      <c r="A790" s="144"/>
      <c r="B790" s="144"/>
      <c r="C790" s="144"/>
      <c r="D790" s="144"/>
      <c r="E790" s="144"/>
      <c r="F790" s="144"/>
      <c r="G790" s="144"/>
      <c r="H790" s="144"/>
      <c r="I790" s="496"/>
      <c r="J790" s="496"/>
      <c r="K790" s="496"/>
      <c r="L790" s="496"/>
      <c r="M790" s="144"/>
      <c r="N790" s="144"/>
      <c r="O790" s="144"/>
      <c r="P790" s="144"/>
      <c r="Q790" s="144"/>
      <c r="R790" s="144"/>
      <c r="S790" s="144"/>
      <c r="T790" s="144"/>
      <c r="U790" s="144"/>
      <c r="V790" s="144"/>
      <c r="W790" s="144"/>
      <c r="X790" s="144"/>
      <c r="Y790" s="144"/>
      <c r="Z790" s="144"/>
      <c r="AA790" s="144"/>
      <c r="AB790" s="144"/>
      <c r="AC790" s="144"/>
      <c r="AD790" s="144"/>
      <c r="AE790" s="144"/>
      <c r="AF790" s="144"/>
    </row>
    <row r="791" ht="16.5" customHeight="1">
      <c r="A791" s="144"/>
      <c r="B791" s="144"/>
      <c r="C791" s="144"/>
      <c r="D791" s="144"/>
      <c r="E791" s="144"/>
      <c r="F791" s="144"/>
      <c r="G791" s="144"/>
      <c r="H791" s="144"/>
      <c r="I791" s="496"/>
      <c r="J791" s="496"/>
      <c r="K791" s="496"/>
      <c r="L791" s="496"/>
      <c r="M791" s="144"/>
      <c r="N791" s="144"/>
      <c r="O791" s="144"/>
      <c r="P791" s="144"/>
      <c r="Q791" s="144"/>
      <c r="R791" s="144"/>
      <c r="S791" s="144"/>
      <c r="T791" s="144"/>
      <c r="U791" s="144"/>
      <c r="V791" s="144"/>
      <c r="W791" s="144"/>
      <c r="X791" s="144"/>
      <c r="Y791" s="144"/>
      <c r="Z791" s="144"/>
      <c r="AA791" s="144"/>
      <c r="AB791" s="144"/>
      <c r="AC791" s="144"/>
      <c r="AD791" s="144"/>
      <c r="AE791" s="144"/>
      <c r="AF791" s="144"/>
    </row>
    <row r="792" ht="16.5" customHeight="1">
      <c r="A792" s="144"/>
      <c r="B792" s="144"/>
      <c r="C792" s="144"/>
      <c r="D792" s="144"/>
      <c r="E792" s="144"/>
      <c r="F792" s="144"/>
      <c r="G792" s="144"/>
      <c r="H792" s="144"/>
      <c r="I792" s="496"/>
      <c r="J792" s="496"/>
      <c r="K792" s="496"/>
      <c r="L792" s="496"/>
      <c r="M792" s="144"/>
      <c r="N792" s="144"/>
      <c r="O792" s="144"/>
      <c r="P792" s="144"/>
      <c r="Q792" s="144"/>
      <c r="R792" s="144"/>
      <c r="S792" s="144"/>
      <c r="T792" s="144"/>
      <c r="U792" s="144"/>
      <c r="V792" s="144"/>
      <c r="W792" s="144"/>
      <c r="X792" s="144"/>
      <c r="Y792" s="144"/>
      <c r="Z792" s="144"/>
      <c r="AA792" s="144"/>
      <c r="AB792" s="144"/>
      <c r="AC792" s="144"/>
      <c r="AD792" s="144"/>
      <c r="AE792" s="144"/>
      <c r="AF792" s="144"/>
    </row>
    <row r="793" ht="16.5" customHeight="1">
      <c r="A793" s="144"/>
      <c r="B793" s="144"/>
      <c r="C793" s="144"/>
      <c r="D793" s="144"/>
      <c r="E793" s="144"/>
      <c r="F793" s="144"/>
      <c r="G793" s="144"/>
      <c r="H793" s="144"/>
      <c r="I793" s="496"/>
      <c r="J793" s="496"/>
      <c r="K793" s="496"/>
      <c r="L793" s="496"/>
      <c r="M793" s="144"/>
      <c r="N793" s="144"/>
      <c r="O793" s="144"/>
      <c r="P793" s="144"/>
      <c r="Q793" s="144"/>
      <c r="R793" s="144"/>
      <c r="S793" s="144"/>
      <c r="T793" s="144"/>
      <c r="U793" s="144"/>
      <c r="V793" s="144"/>
      <c r="W793" s="144"/>
      <c r="X793" s="144"/>
      <c r="Y793" s="144"/>
      <c r="Z793" s="144"/>
      <c r="AA793" s="144"/>
      <c r="AB793" s="144"/>
      <c r="AC793" s="144"/>
      <c r="AD793" s="144"/>
      <c r="AE793" s="144"/>
      <c r="AF793" s="144"/>
    </row>
    <row r="794" ht="16.5" customHeight="1">
      <c r="A794" s="144"/>
      <c r="B794" s="144"/>
      <c r="C794" s="144"/>
      <c r="D794" s="144"/>
      <c r="E794" s="144"/>
      <c r="F794" s="144"/>
      <c r="G794" s="144"/>
      <c r="H794" s="144"/>
      <c r="I794" s="496"/>
      <c r="J794" s="496"/>
      <c r="K794" s="496"/>
      <c r="L794" s="496"/>
      <c r="M794" s="144"/>
      <c r="N794" s="144"/>
      <c r="O794" s="144"/>
      <c r="P794" s="144"/>
      <c r="Q794" s="144"/>
      <c r="R794" s="144"/>
      <c r="S794" s="144"/>
      <c r="T794" s="144"/>
      <c r="U794" s="144"/>
      <c r="V794" s="144"/>
      <c r="W794" s="144"/>
      <c r="X794" s="144"/>
      <c r="Y794" s="144"/>
      <c r="Z794" s="144"/>
      <c r="AA794" s="144"/>
      <c r="AB794" s="144"/>
      <c r="AC794" s="144"/>
      <c r="AD794" s="144"/>
      <c r="AE794" s="144"/>
      <c r="AF794" s="144"/>
    </row>
    <row r="795" ht="16.5" customHeight="1">
      <c r="A795" s="144"/>
      <c r="B795" s="144"/>
      <c r="C795" s="144"/>
      <c r="D795" s="144"/>
      <c r="E795" s="144"/>
      <c r="F795" s="144"/>
      <c r="G795" s="144"/>
      <c r="H795" s="144"/>
      <c r="I795" s="496"/>
      <c r="J795" s="496"/>
      <c r="K795" s="496"/>
      <c r="L795" s="496"/>
      <c r="M795" s="144"/>
      <c r="N795" s="144"/>
      <c r="O795" s="144"/>
      <c r="P795" s="144"/>
      <c r="Q795" s="144"/>
      <c r="R795" s="144"/>
      <c r="S795" s="144"/>
      <c r="T795" s="144"/>
      <c r="U795" s="144"/>
      <c r="V795" s="144"/>
      <c r="W795" s="144"/>
      <c r="X795" s="144"/>
      <c r="Y795" s="144"/>
      <c r="Z795" s="144"/>
      <c r="AA795" s="144"/>
      <c r="AB795" s="144"/>
      <c r="AC795" s="144"/>
      <c r="AD795" s="144"/>
      <c r="AE795" s="144"/>
      <c r="AF795" s="144"/>
    </row>
    <row r="796" ht="16.5" customHeight="1">
      <c r="A796" s="144"/>
      <c r="B796" s="144"/>
      <c r="C796" s="144"/>
      <c r="D796" s="144"/>
      <c r="E796" s="144"/>
      <c r="F796" s="144"/>
      <c r="G796" s="144"/>
      <c r="H796" s="144"/>
      <c r="I796" s="496"/>
      <c r="J796" s="496"/>
      <c r="K796" s="496"/>
      <c r="L796" s="496"/>
      <c r="M796" s="144"/>
      <c r="N796" s="144"/>
      <c r="O796" s="144"/>
      <c r="P796" s="144"/>
      <c r="Q796" s="144"/>
      <c r="R796" s="144"/>
      <c r="S796" s="144"/>
      <c r="T796" s="144"/>
      <c r="U796" s="144"/>
      <c r="V796" s="144"/>
      <c r="W796" s="144"/>
      <c r="X796" s="144"/>
      <c r="Y796" s="144"/>
      <c r="Z796" s="144"/>
      <c r="AA796" s="144"/>
      <c r="AB796" s="144"/>
      <c r="AC796" s="144"/>
      <c r="AD796" s="144"/>
      <c r="AE796" s="144"/>
      <c r="AF796" s="144"/>
    </row>
    <row r="797" ht="16.5" customHeight="1">
      <c r="A797" s="144"/>
      <c r="B797" s="144"/>
      <c r="C797" s="144"/>
      <c r="D797" s="144"/>
      <c r="E797" s="144"/>
      <c r="F797" s="144"/>
      <c r="G797" s="144"/>
      <c r="H797" s="144"/>
      <c r="I797" s="496"/>
      <c r="J797" s="496"/>
      <c r="K797" s="496"/>
      <c r="L797" s="496"/>
      <c r="M797" s="144"/>
      <c r="N797" s="144"/>
      <c r="O797" s="144"/>
      <c r="P797" s="144"/>
      <c r="Q797" s="144"/>
      <c r="R797" s="144"/>
      <c r="S797" s="144"/>
      <c r="T797" s="144"/>
      <c r="U797" s="144"/>
      <c r="V797" s="144"/>
      <c r="W797" s="144"/>
      <c r="X797" s="144"/>
      <c r="Y797" s="144"/>
      <c r="Z797" s="144"/>
      <c r="AA797" s="144"/>
      <c r="AB797" s="144"/>
      <c r="AC797" s="144"/>
      <c r="AD797" s="144"/>
      <c r="AE797" s="144"/>
      <c r="AF797" s="144"/>
    </row>
    <row r="798" ht="16.5" customHeight="1">
      <c r="A798" s="144"/>
      <c r="B798" s="144"/>
      <c r="C798" s="144"/>
      <c r="D798" s="144"/>
      <c r="E798" s="144"/>
      <c r="F798" s="144"/>
      <c r="G798" s="144"/>
      <c r="H798" s="144"/>
      <c r="I798" s="496"/>
      <c r="J798" s="496"/>
      <c r="K798" s="496"/>
      <c r="L798" s="496"/>
      <c r="M798" s="144"/>
      <c r="N798" s="144"/>
      <c r="O798" s="144"/>
      <c r="P798" s="144"/>
      <c r="Q798" s="144"/>
      <c r="R798" s="144"/>
      <c r="S798" s="144"/>
      <c r="T798" s="144"/>
      <c r="U798" s="144"/>
      <c r="V798" s="144"/>
      <c r="W798" s="144"/>
      <c r="X798" s="144"/>
      <c r="Y798" s="144"/>
      <c r="Z798" s="144"/>
      <c r="AA798" s="144"/>
      <c r="AB798" s="144"/>
      <c r="AC798" s="144"/>
      <c r="AD798" s="144"/>
      <c r="AE798" s="144"/>
      <c r="AF798" s="144"/>
    </row>
    <row r="799" ht="16.5" customHeight="1">
      <c r="A799" s="144"/>
      <c r="B799" s="144"/>
      <c r="C799" s="144"/>
      <c r="D799" s="144"/>
      <c r="E799" s="144"/>
      <c r="F799" s="144"/>
      <c r="G799" s="144"/>
      <c r="H799" s="144"/>
      <c r="I799" s="496"/>
      <c r="J799" s="496"/>
      <c r="K799" s="496"/>
      <c r="L799" s="496"/>
      <c r="M799" s="144"/>
      <c r="N799" s="144"/>
      <c r="O799" s="144"/>
      <c r="P799" s="144"/>
      <c r="Q799" s="144"/>
      <c r="R799" s="144"/>
      <c r="S799" s="144"/>
      <c r="T799" s="144"/>
      <c r="U799" s="144"/>
      <c r="V799" s="144"/>
      <c r="W799" s="144"/>
      <c r="X799" s="144"/>
      <c r="Y799" s="144"/>
      <c r="Z799" s="144"/>
      <c r="AA799" s="144"/>
      <c r="AB799" s="144"/>
      <c r="AC799" s="144"/>
      <c r="AD799" s="144"/>
      <c r="AE799" s="144"/>
      <c r="AF799" s="144"/>
    </row>
    <row r="800" ht="16.5" customHeight="1">
      <c r="A800" s="144"/>
      <c r="B800" s="144"/>
      <c r="C800" s="144"/>
      <c r="D800" s="144"/>
      <c r="E800" s="144"/>
      <c r="F800" s="144"/>
      <c r="G800" s="144"/>
      <c r="H800" s="144"/>
      <c r="I800" s="496"/>
      <c r="J800" s="496"/>
      <c r="K800" s="496"/>
      <c r="L800" s="496"/>
      <c r="M800" s="144"/>
      <c r="N800" s="144"/>
      <c r="O800" s="144"/>
      <c r="P800" s="144"/>
      <c r="Q800" s="144"/>
      <c r="R800" s="144"/>
      <c r="S800" s="144"/>
      <c r="T800" s="144"/>
      <c r="U800" s="144"/>
      <c r="V800" s="144"/>
      <c r="W800" s="144"/>
      <c r="X800" s="144"/>
      <c r="Y800" s="144"/>
      <c r="Z800" s="144"/>
      <c r="AA800" s="144"/>
      <c r="AB800" s="144"/>
      <c r="AC800" s="144"/>
      <c r="AD800" s="144"/>
      <c r="AE800" s="144"/>
      <c r="AF800" s="144"/>
    </row>
    <row r="801" ht="16.5" customHeight="1">
      <c r="A801" s="144"/>
      <c r="B801" s="144"/>
      <c r="C801" s="144"/>
      <c r="D801" s="144"/>
      <c r="E801" s="144"/>
      <c r="F801" s="144"/>
      <c r="G801" s="144"/>
      <c r="H801" s="144"/>
      <c r="I801" s="496"/>
      <c r="J801" s="496"/>
      <c r="K801" s="496"/>
      <c r="L801" s="496"/>
      <c r="M801" s="144"/>
      <c r="N801" s="144"/>
      <c r="O801" s="144"/>
      <c r="P801" s="144"/>
      <c r="Q801" s="144"/>
      <c r="R801" s="144"/>
      <c r="S801" s="144"/>
      <c r="T801" s="144"/>
      <c r="U801" s="144"/>
      <c r="V801" s="144"/>
      <c r="W801" s="144"/>
      <c r="X801" s="144"/>
      <c r="Y801" s="144"/>
      <c r="Z801" s="144"/>
      <c r="AA801" s="144"/>
      <c r="AB801" s="144"/>
      <c r="AC801" s="144"/>
      <c r="AD801" s="144"/>
      <c r="AE801" s="144"/>
      <c r="AF801" s="144"/>
    </row>
    <row r="802" ht="16.5" customHeight="1">
      <c r="A802" s="144"/>
      <c r="B802" s="144"/>
      <c r="C802" s="144"/>
      <c r="D802" s="144"/>
      <c r="E802" s="144"/>
      <c r="F802" s="144"/>
      <c r="G802" s="144"/>
      <c r="H802" s="144"/>
      <c r="I802" s="496"/>
      <c r="J802" s="496"/>
      <c r="K802" s="496"/>
      <c r="L802" s="496"/>
      <c r="M802" s="144"/>
      <c r="N802" s="144"/>
      <c r="O802" s="144"/>
      <c r="P802" s="144"/>
      <c r="Q802" s="144"/>
      <c r="R802" s="144"/>
      <c r="S802" s="144"/>
      <c r="T802" s="144"/>
      <c r="U802" s="144"/>
      <c r="V802" s="144"/>
      <c r="W802" s="144"/>
      <c r="X802" s="144"/>
      <c r="Y802" s="144"/>
      <c r="Z802" s="144"/>
      <c r="AA802" s="144"/>
      <c r="AB802" s="144"/>
      <c r="AC802" s="144"/>
      <c r="AD802" s="144"/>
      <c r="AE802" s="144"/>
      <c r="AF802" s="144"/>
    </row>
    <row r="803" ht="16.5" customHeight="1">
      <c r="A803" s="144"/>
      <c r="B803" s="144"/>
      <c r="C803" s="144"/>
      <c r="D803" s="144"/>
      <c r="E803" s="144"/>
      <c r="F803" s="144"/>
      <c r="G803" s="144"/>
      <c r="H803" s="144"/>
      <c r="I803" s="496"/>
      <c r="J803" s="496"/>
      <c r="K803" s="496"/>
      <c r="L803" s="496"/>
      <c r="M803" s="144"/>
      <c r="N803" s="144"/>
      <c r="O803" s="144"/>
      <c r="P803" s="144"/>
      <c r="Q803" s="144"/>
      <c r="R803" s="144"/>
      <c r="S803" s="144"/>
      <c r="T803" s="144"/>
      <c r="U803" s="144"/>
      <c r="V803" s="144"/>
      <c r="W803" s="144"/>
      <c r="X803" s="144"/>
      <c r="Y803" s="144"/>
      <c r="Z803" s="144"/>
      <c r="AA803" s="144"/>
      <c r="AB803" s="144"/>
      <c r="AC803" s="144"/>
      <c r="AD803" s="144"/>
      <c r="AE803" s="144"/>
      <c r="AF803" s="144"/>
    </row>
    <row r="804" ht="16.5" customHeight="1">
      <c r="A804" s="144"/>
      <c r="B804" s="144"/>
      <c r="C804" s="144"/>
      <c r="D804" s="144"/>
      <c r="E804" s="144"/>
      <c r="F804" s="144"/>
      <c r="G804" s="144"/>
      <c r="H804" s="144"/>
      <c r="I804" s="496"/>
      <c r="J804" s="496"/>
      <c r="K804" s="496"/>
      <c r="L804" s="496"/>
      <c r="M804" s="144"/>
      <c r="N804" s="144"/>
      <c r="O804" s="144"/>
      <c r="P804" s="144"/>
      <c r="Q804" s="144"/>
      <c r="R804" s="144"/>
      <c r="S804" s="144"/>
      <c r="T804" s="144"/>
      <c r="U804" s="144"/>
      <c r="V804" s="144"/>
      <c r="W804" s="144"/>
      <c r="X804" s="144"/>
      <c r="Y804" s="144"/>
      <c r="Z804" s="144"/>
      <c r="AA804" s="144"/>
      <c r="AB804" s="144"/>
      <c r="AC804" s="144"/>
      <c r="AD804" s="144"/>
      <c r="AE804" s="144"/>
      <c r="AF804" s="144"/>
    </row>
    <row r="805" ht="16.5" customHeight="1">
      <c r="A805" s="144"/>
      <c r="B805" s="144"/>
      <c r="C805" s="144"/>
      <c r="D805" s="144"/>
      <c r="E805" s="144"/>
      <c r="F805" s="144"/>
      <c r="G805" s="144"/>
      <c r="H805" s="144"/>
      <c r="I805" s="496"/>
      <c r="J805" s="496"/>
      <c r="K805" s="496"/>
      <c r="L805" s="496"/>
      <c r="M805" s="144"/>
      <c r="N805" s="144"/>
      <c r="O805" s="144"/>
      <c r="P805" s="144"/>
      <c r="Q805" s="144"/>
      <c r="R805" s="144"/>
      <c r="S805" s="144"/>
      <c r="T805" s="144"/>
      <c r="U805" s="144"/>
      <c r="V805" s="144"/>
      <c r="W805" s="144"/>
      <c r="X805" s="144"/>
      <c r="Y805" s="144"/>
      <c r="Z805" s="144"/>
      <c r="AA805" s="144"/>
      <c r="AB805" s="144"/>
      <c r="AC805" s="144"/>
      <c r="AD805" s="144"/>
      <c r="AE805" s="144"/>
      <c r="AF805" s="144"/>
    </row>
    <row r="806" ht="16.5" customHeight="1">
      <c r="A806" s="144"/>
      <c r="B806" s="144"/>
      <c r="C806" s="144"/>
      <c r="D806" s="144"/>
      <c r="E806" s="144"/>
      <c r="F806" s="144"/>
      <c r="G806" s="144"/>
      <c r="H806" s="144"/>
      <c r="I806" s="496"/>
      <c r="J806" s="496"/>
      <c r="K806" s="496"/>
      <c r="L806" s="496"/>
      <c r="M806" s="144"/>
      <c r="N806" s="144"/>
      <c r="O806" s="144"/>
      <c r="P806" s="144"/>
      <c r="Q806" s="144"/>
      <c r="R806" s="144"/>
      <c r="S806" s="144"/>
      <c r="T806" s="144"/>
      <c r="U806" s="144"/>
      <c r="V806" s="144"/>
      <c r="W806" s="144"/>
      <c r="X806" s="144"/>
      <c r="Y806" s="144"/>
      <c r="Z806" s="144"/>
      <c r="AA806" s="144"/>
      <c r="AB806" s="144"/>
      <c r="AC806" s="144"/>
      <c r="AD806" s="144"/>
      <c r="AE806" s="144"/>
      <c r="AF806" s="144"/>
    </row>
    <row r="807" ht="16.5" customHeight="1">
      <c r="A807" s="144"/>
      <c r="B807" s="144"/>
      <c r="C807" s="144"/>
      <c r="D807" s="144"/>
      <c r="E807" s="144"/>
      <c r="F807" s="144"/>
      <c r="G807" s="144"/>
      <c r="H807" s="144"/>
      <c r="I807" s="496"/>
      <c r="J807" s="496"/>
      <c r="K807" s="496"/>
      <c r="L807" s="496"/>
      <c r="M807" s="144"/>
      <c r="N807" s="144"/>
      <c r="O807" s="144"/>
      <c r="P807" s="144"/>
      <c r="Q807" s="144"/>
      <c r="R807" s="144"/>
      <c r="S807" s="144"/>
      <c r="T807" s="144"/>
      <c r="U807" s="144"/>
      <c r="V807" s="144"/>
      <c r="W807" s="144"/>
      <c r="X807" s="144"/>
      <c r="Y807" s="144"/>
      <c r="Z807" s="144"/>
      <c r="AA807" s="144"/>
      <c r="AB807" s="144"/>
      <c r="AC807" s="144"/>
      <c r="AD807" s="144"/>
      <c r="AE807" s="144"/>
      <c r="AF807" s="144"/>
    </row>
    <row r="808" ht="16.5" customHeight="1">
      <c r="A808" s="144"/>
      <c r="B808" s="144"/>
      <c r="C808" s="144"/>
      <c r="D808" s="144"/>
      <c r="E808" s="144"/>
      <c r="F808" s="144"/>
      <c r="G808" s="144"/>
      <c r="H808" s="144"/>
      <c r="I808" s="496"/>
      <c r="J808" s="496"/>
      <c r="K808" s="496"/>
      <c r="L808" s="496"/>
      <c r="M808" s="144"/>
      <c r="N808" s="144"/>
      <c r="O808" s="144"/>
      <c r="P808" s="144"/>
      <c r="Q808" s="144"/>
      <c r="R808" s="144"/>
      <c r="S808" s="144"/>
      <c r="T808" s="144"/>
      <c r="U808" s="144"/>
      <c r="V808" s="144"/>
      <c r="W808" s="144"/>
      <c r="X808" s="144"/>
      <c r="Y808" s="144"/>
      <c r="Z808" s="144"/>
      <c r="AA808" s="144"/>
      <c r="AB808" s="144"/>
      <c r="AC808" s="144"/>
      <c r="AD808" s="144"/>
      <c r="AE808" s="144"/>
      <c r="AF808" s="144"/>
    </row>
    <row r="809" ht="16.5" customHeight="1">
      <c r="A809" s="144"/>
      <c r="B809" s="144"/>
      <c r="C809" s="144"/>
      <c r="D809" s="144"/>
      <c r="E809" s="144"/>
      <c r="F809" s="144"/>
      <c r="G809" s="144"/>
      <c r="H809" s="144"/>
      <c r="I809" s="496"/>
      <c r="J809" s="496"/>
      <c r="K809" s="496"/>
      <c r="L809" s="496"/>
      <c r="M809" s="144"/>
      <c r="N809" s="144"/>
      <c r="O809" s="144"/>
      <c r="P809" s="144"/>
      <c r="Q809" s="144"/>
      <c r="R809" s="144"/>
      <c r="S809" s="144"/>
      <c r="T809" s="144"/>
      <c r="U809" s="144"/>
      <c r="V809" s="144"/>
      <c r="W809" s="144"/>
      <c r="X809" s="144"/>
      <c r="Y809" s="144"/>
      <c r="Z809" s="144"/>
      <c r="AA809" s="144"/>
      <c r="AB809" s="144"/>
      <c r="AC809" s="144"/>
      <c r="AD809" s="144"/>
      <c r="AE809" s="144"/>
      <c r="AF809" s="144"/>
    </row>
    <row r="810" ht="16.5" customHeight="1">
      <c r="A810" s="144"/>
      <c r="B810" s="144"/>
      <c r="C810" s="144"/>
      <c r="D810" s="144"/>
      <c r="E810" s="144"/>
      <c r="F810" s="144"/>
      <c r="G810" s="144"/>
      <c r="H810" s="144"/>
      <c r="I810" s="496"/>
      <c r="J810" s="496"/>
      <c r="K810" s="496"/>
      <c r="L810" s="496"/>
      <c r="M810" s="144"/>
      <c r="N810" s="144"/>
      <c r="O810" s="144"/>
      <c r="P810" s="144"/>
      <c r="Q810" s="144"/>
      <c r="R810" s="144"/>
      <c r="S810" s="144"/>
      <c r="T810" s="144"/>
      <c r="U810" s="144"/>
      <c r="V810" s="144"/>
      <c r="W810" s="144"/>
      <c r="X810" s="144"/>
      <c r="Y810" s="144"/>
      <c r="Z810" s="144"/>
      <c r="AA810" s="144"/>
      <c r="AB810" s="144"/>
      <c r="AC810" s="144"/>
      <c r="AD810" s="144"/>
      <c r="AE810" s="144"/>
      <c r="AF810" s="144"/>
    </row>
    <row r="811" ht="16.5" customHeight="1">
      <c r="A811" s="144"/>
      <c r="B811" s="144"/>
      <c r="C811" s="144"/>
      <c r="D811" s="144"/>
      <c r="E811" s="144"/>
      <c r="F811" s="144"/>
      <c r="G811" s="144"/>
      <c r="H811" s="144"/>
      <c r="I811" s="496"/>
      <c r="J811" s="496"/>
      <c r="K811" s="496"/>
      <c r="L811" s="496"/>
      <c r="M811" s="144"/>
      <c r="N811" s="144"/>
      <c r="O811" s="144"/>
      <c r="P811" s="144"/>
      <c r="Q811" s="144"/>
      <c r="R811" s="144"/>
      <c r="S811" s="144"/>
      <c r="T811" s="144"/>
      <c r="U811" s="144"/>
      <c r="V811" s="144"/>
      <c r="W811" s="144"/>
      <c r="X811" s="144"/>
      <c r="Y811" s="144"/>
      <c r="Z811" s="144"/>
      <c r="AA811" s="144"/>
      <c r="AB811" s="144"/>
      <c r="AC811" s="144"/>
      <c r="AD811" s="144"/>
      <c r="AE811" s="144"/>
      <c r="AF811" s="144"/>
    </row>
    <row r="812" ht="16.5" customHeight="1">
      <c r="A812" s="144"/>
      <c r="B812" s="144"/>
      <c r="C812" s="144"/>
      <c r="D812" s="144"/>
      <c r="E812" s="144"/>
      <c r="F812" s="144"/>
      <c r="G812" s="144"/>
      <c r="H812" s="144"/>
      <c r="I812" s="496"/>
      <c r="J812" s="496"/>
      <c r="K812" s="496"/>
      <c r="L812" s="496"/>
      <c r="M812" s="144"/>
      <c r="N812" s="144"/>
      <c r="O812" s="144"/>
      <c r="P812" s="144"/>
      <c r="Q812" s="144"/>
      <c r="R812" s="144"/>
      <c r="S812" s="144"/>
      <c r="T812" s="144"/>
      <c r="U812" s="144"/>
      <c r="V812" s="144"/>
      <c r="W812" s="144"/>
      <c r="X812" s="144"/>
      <c r="Y812" s="144"/>
      <c r="Z812" s="144"/>
      <c r="AA812" s="144"/>
      <c r="AB812" s="144"/>
      <c r="AC812" s="144"/>
      <c r="AD812" s="144"/>
      <c r="AE812" s="144"/>
      <c r="AF812" s="144"/>
    </row>
    <row r="813" ht="16.5" customHeight="1">
      <c r="A813" s="144"/>
      <c r="B813" s="144"/>
      <c r="C813" s="144"/>
      <c r="D813" s="144"/>
      <c r="E813" s="144"/>
      <c r="F813" s="144"/>
      <c r="G813" s="144"/>
      <c r="H813" s="144"/>
      <c r="I813" s="496"/>
      <c r="J813" s="496"/>
      <c r="K813" s="496"/>
      <c r="L813" s="496"/>
      <c r="M813" s="144"/>
      <c r="N813" s="144"/>
      <c r="O813" s="144"/>
      <c r="P813" s="144"/>
      <c r="Q813" s="144"/>
      <c r="R813" s="144"/>
      <c r="S813" s="144"/>
      <c r="T813" s="144"/>
      <c r="U813" s="144"/>
      <c r="V813" s="144"/>
      <c r="W813" s="144"/>
      <c r="X813" s="144"/>
      <c r="Y813" s="144"/>
      <c r="Z813" s="144"/>
      <c r="AA813" s="144"/>
      <c r="AB813" s="144"/>
      <c r="AC813" s="144"/>
      <c r="AD813" s="144"/>
      <c r="AE813" s="144"/>
      <c r="AF813" s="144"/>
    </row>
    <row r="814" ht="16.5" customHeight="1">
      <c r="A814" s="144"/>
      <c r="B814" s="144"/>
      <c r="C814" s="144"/>
      <c r="D814" s="144"/>
      <c r="E814" s="144"/>
      <c r="F814" s="144"/>
      <c r="G814" s="144"/>
      <c r="H814" s="144"/>
      <c r="I814" s="496"/>
      <c r="J814" s="496"/>
      <c r="K814" s="496"/>
      <c r="L814" s="496"/>
      <c r="M814" s="144"/>
      <c r="N814" s="144"/>
      <c r="O814" s="144"/>
      <c r="P814" s="144"/>
      <c r="Q814" s="144"/>
      <c r="R814" s="144"/>
      <c r="S814" s="144"/>
      <c r="T814" s="144"/>
      <c r="U814" s="144"/>
      <c r="V814" s="144"/>
      <c r="W814" s="144"/>
      <c r="X814" s="144"/>
      <c r="Y814" s="144"/>
      <c r="Z814" s="144"/>
      <c r="AA814" s="144"/>
      <c r="AB814" s="144"/>
      <c r="AC814" s="144"/>
      <c r="AD814" s="144"/>
      <c r="AE814" s="144"/>
      <c r="AF814" s="144"/>
    </row>
    <row r="815" ht="16.5" customHeight="1">
      <c r="A815" s="144"/>
      <c r="B815" s="144"/>
      <c r="C815" s="144"/>
      <c r="D815" s="144"/>
      <c r="E815" s="144"/>
      <c r="F815" s="144"/>
      <c r="G815" s="144"/>
      <c r="H815" s="144"/>
      <c r="I815" s="496"/>
      <c r="J815" s="496"/>
      <c r="K815" s="496"/>
      <c r="L815" s="496"/>
      <c r="M815" s="144"/>
      <c r="N815" s="144"/>
      <c r="O815" s="144"/>
      <c r="P815" s="144"/>
      <c r="Q815" s="144"/>
      <c r="R815" s="144"/>
      <c r="S815" s="144"/>
      <c r="T815" s="144"/>
      <c r="U815" s="144"/>
      <c r="V815" s="144"/>
      <c r="W815" s="144"/>
      <c r="X815" s="144"/>
      <c r="Y815" s="144"/>
      <c r="Z815" s="144"/>
      <c r="AA815" s="144"/>
      <c r="AB815" s="144"/>
      <c r="AC815" s="144"/>
      <c r="AD815" s="144"/>
      <c r="AE815" s="144"/>
      <c r="AF815" s="144"/>
    </row>
    <row r="816" ht="16.5" customHeight="1">
      <c r="A816" s="144"/>
      <c r="B816" s="144"/>
      <c r="C816" s="144"/>
      <c r="D816" s="144"/>
      <c r="E816" s="144"/>
      <c r="F816" s="144"/>
      <c r="G816" s="144"/>
      <c r="H816" s="144"/>
      <c r="I816" s="496"/>
      <c r="J816" s="496"/>
      <c r="K816" s="496"/>
      <c r="L816" s="496"/>
      <c r="M816" s="144"/>
      <c r="N816" s="144"/>
      <c r="O816" s="144"/>
      <c r="P816" s="144"/>
      <c r="Q816" s="144"/>
      <c r="R816" s="144"/>
      <c r="S816" s="144"/>
      <c r="T816" s="144"/>
      <c r="U816" s="144"/>
      <c r="V816" s="144"/>
      <c r="W816" s="144"/>
      <c r="X816" s="144"/>
      <c r="Y816" s="144"/>
      <c r="Z816" s="144"/>
      <c r="AA816" s="144"/>
      <c r="AB816" s="144"/>
      <c r="AC816" s="144"/>
      <c r="AD816" s="144"/>
      <c r="AE816" s="144"/>
      <c r="AF816" s="144"/>
    </row>
    <row r="817" ht="16.5" customHeight="1">
      <c r="A817" s="144"/>
      <c r="B817" s="144"/>
      <c r="C817" s="144"/>
      <c r="D817" s="144"/>
      <c r="E817" s="144"/>
      <c r="F817" s="144"/>
      <c r="G817" s="144"/>
      <c r="H817" s="144"/>
      <c r="I817" s="496"/>
      <c r="J817" s="496"/>
      <c r="K817" s="496"/>
      <c r="L817" s="496"/>
      <c r="M817" s="144"/>
      <c r="N817" s="144"/>
      <c r="O817" s="144"/>
      <c r="P817" s="144"/>
      <c r="Q817" s="144"/>
      <c r="R817" s="144"/>
      <c r="S817" s="144"/>
      <c r="T817" s="144"/>
      <c r="U817" s="144"/>
      <c r="V817" s="144"/>
      <c r="W817" s="144"/>
      <c r="X817" s="144"/>
      <c r="Y817" s="144"/>
      <c r="Z817" s="144"/>
      <c r="AA817" s="144"/>
      <c r="AB817" s="144"/>
      <c r="AC817" s="144"/>
      <c r="AD817" s="144"/>
      <c r="AE817" s="144"/>
      <c r="AF817" s="144"/>
    </row>
    <row r="818" ht="16.5" customHeight="1">
      <c r="A818" s="144"/>
      <c r="B818" s="144"/>
      <c r="C818" s="144"/>
      <c r="D818" s="144"/>
      <c r="E818" s="144"/>
      <c r="F818" s="144"/>
      <c r="G818" s="144"/>
      <c r="H818" s="144"/>
      <c r="I818" s="496"/>
      <c r="J818" s="496"/>
      <c r="K818" s="496"/>
      <c r="L818" s="496"/>
      <c r="M818" s="144"/>
      <c r="N818" s="144"/>
      <c r="O818" s="144"/>
      <c r="P818" s="144"/>
      <c r="Q818" s="144"/>
      <c r="R818" s="144"/>
      <c r="S818" s="144"/>
      <c r="T818" s="144"/>
      <c r="U818" s="144"/>
      <c r="V818" s="144"/>
      <c r="W818" s="144"/>
      <c r="X818" s="144"/>
      <c r="Y818" s="144"/>
      <c r="Z818" s="144"/>
      <c r="AA818" s="144"/>
      <c r="AB818" s="144"/>
      <c r="AC818" s="144"/>
      <c r="AD818" s="144"/>
      <c r="AE818" s="144"/>
      <c r="AF818" s="144"/>
    </row>
    <row r="819" ht="16.5" customHeight="1">
      <c r="A819" s="144"/>
      <c r="B819" s="144"/>
      <c r="C819" s="144"/>
      <c r="D819" s="144"/>
      <c r="E819" s="144"/>
      <c r="F819" s="144"/>
      <c r="G819" s="144"/>
      <c r="H819" s="144"/>
      <c r="I819" s="496"/>
      <c r="J819" s="496"/>
      <c r="K819" s="496"/>
      <c r="L819" s="496"/>
      <c r="M819" s="144"/>
      <c r="N819" s="144"/>
      <c r="O819" s="144"/>
      <c r="P819" s="144"/>
      <c r="Q819" s="144"/>
      <c r="R819" s="144"/>
      <c r="S819" s="144"/>
      <c r="T819" s="144"/>
      <c r="U819" s="144"/>
      <c r="V819" s="144"/>
      <c r="W819" s="144"/>
      <c r="X819" s="144"/>
      <c r="Y819" s="144"/>
      <c r="Z819" s="144"/>
      <c r="AA819" s="144"/>
      <c r="AB819" s="144"/>
      <c r="AC819" s="144"/>
      <c r="AD819" s="144"/>
      <c r="AE819" s="144"/>
      <c r="AF819" s="144"/>
    </row>
    <row r="820" ht="16.5" customHeight="1">
      <c r="A820" s="144"/>
      <c r="B820" s="144"/>
      <c r="C820" s="144"/>
      <c r="D820" s="144"/>
      <c r="E820" s="144"/>
      <c r="F820" s="144"/>
      <c r="G820" s="144"/>
      <c r="H820" s="144"/>
      <c r="I820" s="496"/>
      <c r="J820" s="496"/>
      <c r="K820" s="496"/>
      <c r="L820" s="496"/>
      <c r="M820" s="144"/>
      <c r="N820" s="144"/>
      <c r="O820" s="144"/>
      <c r="P820" s="144"/>
      <c r="Q820" s="144"/>
      <c r="R820" s="144"/>
      <c r="S820" s="144"/>
      <c r="T820" s="144"/>
      <c r="U820" s="144"/>
      <c r="V820" s="144"/>
      <c r="W820" s="144"/>
      <c r="X820" s="144"/>
      <c r="Y820" s="144"/>
      <c r="Z820" s="144"/>
      <c r="AA820" s="144"/>
      <c r="AB820" s="144"/>
      <c r="AC820" s="144"/>
      <c r="AD820" s="144"/>
      <c r="AE820" s="144"/>
      <c r="AF820" s="144"/>
    </row>
    <row r="821" ht="16.5" customHeight="1">
      <c r="A821" s="144"/>
      <c r="B821" s="144"/>
      <c r="C821" s="144"/>
      <c r="D821" s="144"/>
      <c r="E821" s="144"/>
      <c r="F821" s="144"/>
      <c r="G821" s="144"/>
      <c r="H821" s="144"/>
      <c r="I821" s="496"/>
      <c r="J821" s="496"/>
      <c r="K821" s="496"/>
      <c r="L821" s="496"/>
      <c r="M821" s="144"/>
      <c r="N821" s="144"/>
      <c r="O821" s="144"/>
      <c r="P821" s="144"/>
      <c r="Q821" s="144"/>
      <c r="R821" s="144"/>
      <c r="S821" s="144"/>
      <c r="T821" s="144"/>
      <c r="U821" s="144"/>
      <c r="V821" s="144"/>
      <c r="W821" s="144"/>
      <c r="X821" s="144"/>
      <c r="Y821" s="144"/>
      <c r="Z821" s="144"/>
      <c r="AA821" s="144"/>
      <c r="AB821" s="144"/>
      <c r="AC821" s="144"/>
      <c r="AD821" s="144"/>
      <c r="AE821" s="144"/>
      <c r="AF821" s="144"/>
    </row>
    <row r="822" ht="16.5" customHeight="1">
      <c r="A822" s="144"/>
      <c r="B822" s="144"/>
      <c r="C822" s="144"/>
      <c r="D822" s="144"/>
      <c r="E822" s="144"/>
      <c r="F822" s="144"/>
      <c r="G822" s="144"/>
      <c r="H822" s="144"/>
      <c r="I822" s="496"/>
      <c r="J822" s="496"/>
      <c r="K822" s="496"/>
      <c r="L822" s="496"/>
      <c r="M822" s="144"/>
      <c r="N822" s="144"/>
      <c r="O822" s="144"/>
      <c r="P822" s="144"/>
      <c r="Q822" s="144"/>
      <c r="R822" s="144"/>
      <c r="S822" s="144"/>
      <c r="T822" s="144"/>
      <c r="U822" s="144"/>
      <c r="V822" s="144"/>
      <c r="W822" s="144"/>
      <c r="X822" s="144"/>
      <c r="Y822" s="144"/>
      <c r="Z822" s="144"/>
      <c r="AA822" s="144"/>
      <c r="AB822" s="144"/>
      <c r="AC822" s="144"/>
      <c r="AD822" s="144"/>
      <c r="AE822" s="144"/>
      <c r="AF822" s="144"/>
    </row>
    <row r="823" ht="16.5" customHeight="1">
      <c r="A823" s="144"/>
      <c r="B823" s="144"/>
      <c r="C823" s="144"/>
      <c r="D823" s="144"/>
      <c r="E823" s="144"/>
      <c r="F823" s="144"/>
      <c r="G823" s="144"/>
      <c r="H823" s="144"/>
      <c r="I823" s="496"/>
      <c r="J823" s="496"/>
      <c r="K823" s="496"/>
      <c r="L823" s="496"/>
      <c r="M823" s="144"/>
      <c r="N823" s="144"/>
      <c r="O823" s="144"/>
      <c r="P823" s="144"/>
      <c r="Q823" s="144"/>
      <c r="R823" s="144"/>
      <c r="S823" s="144"/>
      <c r="T823" s="144"/>
      <c r="U823" s="144"/>
      <c r="V823" s="144"/>
      <c r="W823" s="144"/>
      <c r="X823" s="144"/>
      <c r="Y823" s="144"/>
      <c r="Z823" s="144"/>
      <c r="AA823" s="144"/>
      <c r="AB823" s="144"/>
      <c r="AC823" s="144"/>
      <c r="AD823" s="144"/>
      <c r="AE823" s="144"/>
      <c r="AF823" s="144"/>
    </row>
    <row r="824" ht="16.5" customHeight="1">
      <c r="A824" s="144"/>
      <c r="B824" s="144"/>
      <c r="C824" s="144"/>
      <c r="D824" s="144"/>
      <c r="E824" s="144"/>
      <c r="F824" s="144"/>
      <c r="G824" s="144"/>
      <c r="H824" s="144"/>
      <c r="I824" s="496"/>
      <c r="J824" s="496"/>
      <c r="K824" s="496"/>
      <c r="L824" s="496"/>
      <c r="M824" s="144"/>
      <c r="N824" s="144"/>
      <c r="O824" s="144"/>
      <c r="P824" s="144"/>
      <c r="Q824" s="144"/>
      <c r="R824" s="144"/>
      <c r="S824" s="144"/>
      <c r="T824" s="144"/>
      <c r="U824" s="144"/>
      <c r="V824" s="144"/>
      <c r="W824" s="144"/>
      <c r="X824" s="144"/>
      <c r="Y824" s="144"/>
      <c r="Z824" s="144"/>
      <c r="AA824" s="144"/>
      <c r="AB824" s="144"/>
      <c r="AC824" s="144"/>
      <c r="AD824" s="144"/>
      <c r="AE824" s="144"/>
      <c r="AF824" s="144"/>
    </row>
    <row r="825" ht="16.5" customHeight="1">
      <c r="A825" s="144"/>
      <c r="B825" s="144"/>
      <c r="C825" s="144"/>
      <c r="D825" s="144"/>
      <c r="E825" s="144"/>
      <c r="F825" s="144"/>
      <c r="G825" s="144"/>
      <c r="H825" s="144"/>
      <c r="I825" s="496"/>
      <c r="J825" s="496"/>
      <c r="K825" s="496"/>
      <c r="L825" s="496"/>
      <c r="M825" s="144"/>
      <c r="N825" s="144"/>
      <c r="O825" s="144"/>
      <c r="P825" s="144"/>
      <c r="Q825" s="144"/>
      <c r="R825" s="144"/>
      <c r="S825" s="144"/>
      <c r="T825" s="144"/>
      <c r="U825" s="144"/>
      <c r="V825" s="144"/>
      <c r="W825" s="144"/>
      <c r="X825" s="144"/>
      <c r="Y825" s="144"/>
      <c r="Z825" s="144"/>
      <c r="AA825" s="144"/>
      <c r="AB825" s="144"/>
      <c r="AC825" s="144"/>
      <c r="AD825" s="144"/>
      <c r="AE825" s="144"/>
      <c r="AF825" s="144"/>
    </row>
    <row r="826" ht="16.5" customHeight="1">
      <c r="A826" s="144"/>
      <c r="B826" s="144"/>
      <c r="C826" s="144"/>
      <c r="D826" s="144"/>
      <c r="E826" s="144"/>
      <c r="F826" s="144"/>
      <c r="G826" s="144"/>
      <c r="H826" s="144"/>
      <c r="I826" s="496"/>
      <c r="J826" s="496"/>
      <c r="K826" s="496"/>
      <c r="L826" s="496"/>
      <c r="M826" s="144"/>
      <c r="N826" s="144"/>
      <c r="O826" s="144"/>
      <c r="P826" s="144"/>
      <c r="Q826" s="144"/>
      <c r="R826" s="144"/>
      <c r="S826" s="144"/>
      <c r="T826" s="144"/>
      <c r="U826" s="144"/>
      <c r="V826" s="144"/>
      <c r="W826" s="144"/>
      <c r="X826" s="144"/>
      <c r="Y826" s="144"/>
      <c r="Z826" s="144"/>
      <c r="AA826" s="144"/>
      <c r="AB826" s="144"/>
      <c r="AC826" s="144"/>
      <c r="AD826" s="144"/>
      <c r="AE826" s="144"/>
      <c r="AF826" s="144"/>
    </row>
    <row r="827" ht="16.5" customHeight="1">
      <c r="A827" s="144"/>
      <c r="B827" s="144"/>
      <c r="C827" s="144"/>
      <c r="D827" s="144"/>
      <c r="E827" s="144"/>
      <c r="F827" s="144"/>
      <c r="G827" s="144"/>
      <c r="H827" s="144"/>
      <c r="I827" s="496"/>
      <c r="J827" s="496"/>
      <c r="K827" s="496"/>
      <c r="L827" s="496"/>
      <c r="M827" s="144"/>
      <c r="N827" s="144"/>
      <c r="O827" s="144"/>
      <c r="P827" s="144"/>
      <c r="Q827" s="144"/>
      <c r="R827" s="144"/>
      <c r="S827" s="144"/>
      <c r="T827" s="144"/>
      <c r="U827" s="144"/>
      <c r="V827" s="144"/>
      <c r="W827" s="144"/>
      <c r="X827" s="144"/>
      <c r="Y827" s="144"/>
      <c r="Z827" s="144"/>
      <c r="AA827" s="144"/>
      <c r="AB827" s="144"/>
      <c r="AC827" s="144"/>
      <c r="AD827" s="144"/>
      <c r="AE827" s="144"/>
      <c r="AF827" s="144"/>
    </row>
    <row r="828" ht="16.5" customHeight="1">
      <c r="A828" s="144"/>
      <c r="B828" s="144"/>
      <c r="C828" s="144"/>
      <c r="D828" s="144"/>
      <c r="E828" s="144"/>
      <c r="F828" s="144"/>
      <c r="G828" s="144"/>
      <c r="H828" s="144"/>
      <c r="I828" s="496"/>
      <c r="J828" s="496"/>
      <c r="K828" s="496"/>
      <c r="L828" s="496"/>
      <c r="M828" s="144"/>
      <c r="N828" s="144"/>
      <c r="O828" s="144"/>
      <c r="P828" s="144"/>
      <c r="Q828" s="144"/>
      <c r="R828" s="144"/>
      <c r="S828" s="144"/>
      <c r="T828" s="144"/>
      <c r="U828" s="144"/>
      <c r="V828" s="144"/>
      <c r="W828" s="144"/>
      <c r="X828" s="144"/>
      <c r="Y828" s="144"/>
      <c r="Z828" s="144"/>
      <c r="AA828" s="144"/>
      <c r="AB828" s="144"/>
      <c r="AC828" s="144"/>
      <c r="AD828" s="144"/>
      <c r="AE828" s="144"/>
      <c r="AF828" s="144"/>
    </row>
    <row r="829" ht="16.5" customHeight="1">
      <c r="A829" s="144"/>
      <c r="B829" s="144"/>
      <c r="C829" s="144"/>
      <c r="D829" s="144"/>
      <c r="E829" s="144"/>
      <c r="F829" s="144"/>
      <c r="G829" s="144"/>
      <c r="H829" s="144"/>
      <c r="I829" s="496"/>
      <c r="J829" s="496"/>
      <c r="K829" s="496"/>
      <c r="L829" s="496"/>
      <c r="M829" s="144"/>
      <c r="N829" s="144"/>
      <c r="O829" s="144"/>
      <c r="P829" s="144"/>
      <c r="Q829" s="144"/>
      <c r="R829" s="144"/>
      <c r="S829" s="144"/>
      <c r="T829" s="144"/>
      <c r="U829" s="144"/>
      <c r="V829" s="144"/>
      <c r="W829" s="144"/>
      <c r="X829" s="144"/>
      <c r="Y829" s="144"/>
      <c r="Z829" s="144"/>
      <c r="AA829" s="144"/>
      <c r="AB829" s="144"/>
      <c r="AC829" s="144"/>
      <c r="AD829" s="144"/>
      <c r="AE829" s="144"/>
      <c r="AF829" s="144"/>
    </row>
    <row r="830" ht="16.5" customHeight="1">
      <c r="A830" s="144"/>
      <c r="B830" s="144"/>
      <c r="C830" s="144"/>
      <c r="D830" s="144"/>
      <c r="E830" s="144"/>
      <c r="F830" s="144"/>
      <c r="G830" s="144"/>
      <c r="H830" s="144"/>
      <c r="I830" s="496"/>
      <c r="J830" s="496"/>
      <c r="K830" s="496"/>
      <c r="L830" s="496"/>
      <c r="M830" s="144"/>
      <c r="N830" s="144"/>
      <c r="O830" s="144"/>
      <c r="P830" s="144"/>
      <c r="Q830" s="144"/>
      <c r="R830" s="144"/>
      <c r="S830" s="144"/>
      <c r="T830" s="144"/>
      <c r="U830" s="144"/>
      <c r="V830" s="144"/>
      <c r="W830" s="144"/>
      <c r="X830" s="144"/>
      <c r="Y830" s="144"/>
      <c r="Z830" s="144"/>
      <c r="AA830" s="144"/>
      <c r="AB830" s="144"/>
      <c r="AC830" s="144"/>
      <c r="AD830" s="144"/>
      <c r="AE830" s="144"/>
      <c r="AF830" s="144"/>
    </row>
    <row r="831" ht="16.5" customHeight="1">
      <c r="A831" s="144"/>
      <c r="B831" s="144"/>
      <c r="C831" s="144"/>
      <c r="D831" s="144"/>
      <c r="E831" s="144"/>
      <c r="F831" s="144"/>
      <c r="G831" s="144"/>
      <c r="H831" s="144"/>
      <c r="I831" s="496"/>
      <c r="J831" s="496"/>
      <c r="K831" s="496"/>
      <c r="L831" s="496"/>
      <c r="M831" s="144"/>
      <c r="N831" s="144"/>
      <c r="O831" s="144"/>
      <c r="P831" s="144"/>
      <c r="Q831" s="144"/>
      <c r="R831" s="144"/>
      <c r="S831" s="144"/>
      <c r="T831" s="144"/>
      <c r="U831" s="144"/>
      <c r="V831" s="144"/>
      <c r="W831" s="144"/>
      <c r="X831" s="144"/>
      <c r="Y831" s="144"/>
      <c r="Z831" s="144"/>
      <c r="AA831" s="144"/>
      <c r="AB831" s="144"/>
      <c r="AC831" s="144"/>
      <c r="AD831" s="144"/>
      <c r="AE831" s="144"/>
      <c r="AF831" s="144"/>
    </row>
    <row r="832" ht="16.5" customHeight="1">
      <c r="A832" s="144"/>
      <c r="B832" s="144"/>
      <c r="C832" s="144"/>
      <c r="D832" s="144"/>
      <c r="E832" s="144"/>
      <c r="F832" s="144"/>
      <c r="G832" s="144"/>
      <c r="H832" s="144"/>
      <c r="I832" s="496"/>
      <c r="J832" s="496"/>
      <c r="K832" s="496"/>
      <c r="L832" s="496"/>
      <c r="M832" s="144"/>
      <c r="N832" s="144"/>
      <c r="O832" s="144"/>
      <c r="P832" s="144"/>
      <c r="Q832" s="144"/>
      <c r="R832" s="144"/>
      <c r="S832" s="144"/>
      <c r="T832" s="144"/>
      <c r="U832" s="144"/>
      <c r="V832" s="144"/>
      <c r="W832" s="144"/>
      <c r="X832" s="144"/>
      <c r="Y832" s="144"/>
      <c r="Z832" s="144"/>
      <c r="AA832" s="144"/>
      <c r="AB832" s="144"/>
      <c r="AC832" s="144"/>
      <c r="AD832" s="144"/>
      <c r="AE832" s="144"/>
      <c r="AF832" s="144"/>
    </row>
    <row r="833" ht="16.5" customHeight="1">
      <c r="A833" s="144"/>
      <c r="B833" s="144"/>
      <c r="C833" s="144"/>
      <c r="D833" s="144"/>
      <c r="E833" s="144"/>
      <c r="F833" s="144"/>
      <c r="G833" s="144"/>
      <c r="H833" s="144"/>
      <c r="I833" s="496"/>
      <c r="J833" s="496"/>
      <c r="K833" s="496"/>
      <c r="L833" s="496"/>
      <c r="M833" s="144"/>
      <c r="N833" s="144"/>
      <c r="O833" s="144"/>
      <c r="P833" s="144"/>
      <c r="Q833" s="144"/>
      <c r="R833" s="144"/>
      <c r="S833" s="144"/>
      <c r="T833" s="144"/>
      <c r="U833" s="144"/>
      <c r="V833" s="144"/>
      <c r="W833" s="144"/>
      <c r="X833" s="144"/>
      <c r="Y833" s="144"/>
      <c r="Z833" s="144"/>
      <c r="AA833" s="144"/>
      <c r="AB833" s="144"/>
      <c r="AC833" s="144"/>
      <c r="AD833" s="144"/>
      <c r="AE833" s="144"/>
      <c r="AF833" s="144"/>
    </row>
    <row r="834" ht="16.5" customHeight="1">
      <c r="A834" s="144"/>
      <c r="B834" s="144"/>
      <c r="C834" s="144"/>
      <c r="D834" s="144"/>
      <c r="E834" s="144"/>
      <c r="F834" s="144"/>
      <c r="G834" s="144"/>
      <c r="H834" s="144"/>
      <c r="I834" s="496"/>
      <c r="J834" s="496"/>
      <c r="K834" s="496"/>
      <c r="L834" s="496"/>
      <c r="M834" s="144"/>
      <c r="N834" s="144"/>
      <c r="O834" s="144"/>
      <c r="P834" s="144"/>
      <c r="Q834" s="144"/>
      <c r="R834" s="144"/>
      <c r="S834" s="144"/>
      <c r="T834" s="144"/>
      <c r="U834" s="144"/>
      <c r="V834" s="144"/>
      <c r="W834" s="144"/>
      <c r="X834" s="144"/>
      <c r="Y834" s="144"/>
      <c r="Z834" s="144"/>
      <c r="AA834" s="144"/>
      <c r="AB834" s="144"/>
      <c r="AC834" s="144"/>
      <c r="AD834" s="144"/>
      <c r="AE834" s="144"/>
      <c r="AF834" s="144"/>
    </row>
    <row r="835" ht="16.5" customHeight="1">
      <c r="A835" s="144"/>
      <c r="B835" s="144"/>
      <c r="C835" s="144"/>
      <c r="D835" s="144"/>
      <c r="E835" s="144"/>
      <c r="F835" s="144"/>
      <c r="G835" s="144"/>
      <c r="H835" s="144"/>
      <c r="I835" s="496"/>
      <c r="J835" s="496"/>
      <c r="K835" s="496"/>
      <c r="L835" s="496"/>
      <c r="M835" s="144"/>
      <c r="N835" s="144"/>
      <c r="O835" s="144"/>
      <c r="P835" s="144"/>
      <c r="Q835" s="144"/>
      <c r="R835" s="144"/>
      <c r="S835" s="144"/>
      <c r="T835" s="144"/>
      <c r="U835" s="144"/>
      <c r="V835" s="144"/>
      <c r="W835" s="144"/>
      <c r="X835" s="144"/>
      <c r="Y835" s="144"/>
      <c r="Z835" s="144"/>
      <c r="AA835" s="144"/>
      <c r="AB835" s="144"/>
      <c r="AC835" s="144"/>
      <c r="AD835" s="144"/>
      <c r="AE835" s="144"/>
      <c r="AF835" s="144"/>
    </row>
    <row r="836" ht="16.5" customHeight="1">
      <c r="A836" s="144"/>
      <c r="B836" s="144"/>
      <c r="C836" s="144"/>
      <c r="D836" s="144"/>
      <c r="E836" s="144"/>
      <c r="F836" s="144"/>
      <c r="G836" s="144"/>
      <c r="H836" s="144"/>
      <c r="I836" s="496"/>
      <c r="J836" s="496"/>
      <c r="K836" s="496"/>
      <c r="L836" s="496"/>
      <c r="M836" s="144"/>
      <c r="N836" s="144"/>
      <c r="O836" s="144"/>
      <c r="P836" s="144"/>
      <c r="Q836" s="144"/>
      <c r="R836" s="144"/>
      <c r="S836" s="144"/>
      <c r="T836" s="144"/>
      <c r="U836" s="144"/>
      <c r="V836" s="144"/>
      <c r="W836" s="144"/>
      <c r="X836" s="144"/>
      <c r="Y836" s="144"/>
      <c r="Z836" s="144"/>
      <c r="AA836" s="144"/>
      <c r="AB836" s="144"/>
      <c r="AC836" s="144"/>
      <c r="AD836" s="144"/>
      <c r="AE836" s="144"/>
      <c r="AF836" s="144"/>
    </row>
    <row r="837" ht="16.5" customHeight="1">
      <c r="A837" s="144"/>
      <c r="B837" s="144"/>
      <c r="C837" s="144"/>
      <c r="D837" s="144"/>
      <c r="E837" s="144"/>
      <c r="F837" s="144"/>
      <c r="G837" s="144"/>
      <c r="H837" s="144"/>
      <c r="I837" s="496"/>
      <c r="J837" s="496"/>
      <c r="K837" s="496"/>
      <c r="L837" s="496"/>
      <c r="M837" s="144"/>
      <c r="N837" s="144"/>
      <c r="O837" s="144"/>
      <c r="P837" s="144"/>
      <c r="Q837" s="144"/>
      <c r="R837" s="144"/>
      <c r="S837" s="144"/>
      <c r="T837" s="144"/>
      <c r="U837" s="144"/>
      <c r="V837" s="144"/>
      <c r="W837" s="144"/>
      <c r="X837" s="144"/>
      <c r="Y837" s="144"/>
      <c r="Z837" s="144"/>
      <c r="AA837" s="144"/>
      <c r="AB837" s="144"/>
      <c r="AC837" s="144"/>
      <c r="AD837" s="144"/>
      <c r="AE837" s="144"/>
      <c r="AF837" s="144"/>
    </row>
    <row r="838" ht="16.5" customHeight="1">
      <c r="A838" s="144"/>
      <c r="B838" s="144"/>
      <c r="C838" s="144"/>
      <c r="D838" s="144"/>
      <c r="E838" s="144"/>
      <c r="F838" s="144"/>
      <c r="G838" s="144"/>
      <c r="H838" s="144"/>
      <c r="I838" s="496"/>
      <c r="J838" s="496"/>
      <c r="K838" s="496"/>
      <c r="L838" s="496"/>
      <c r="M838" s="144"/>
      <c r="N838" s="144"/>
      <c r="O838" s="144"/>
      <c r="P838" s="144"/>
      <c r="Q838" s="144"/>
      <c r="R838" s="144"/>
      <c r="S838" s="144"/>
      <c r="T838" s="144"/>
      <c r="U838" s="144"/>
      <c r="V838" s="144"/>
      <c r="W838" s="144"/>
      <c r="X838" s="144"/>
      <c r="Y838" s="144"/>
      <c r="Z838" s="144"/>
      <c r="AA838" s="144"/>
      <c r="AB838" s="144"/>
      <c r="AC838" s="144"/>
      <c r="AD838" s="144"/>
      <c r="AE838" s="144"/>
      <c r="AF838" s="144"/>
    </row>
    <row r="839" ht="16.5" customHeight="1">
      <c r="A839" s="144"/>
      <c r="B839" s="144"/>
      <c r="C839" s="144"/>
      <c r="D839" s="144"/>
      <c r="E839" s="144"/>
      <c r="F839" s="144"/>
      <c r="G839" s="144"/>
      <c r="H839" s="144"/>
      <c r="I839" s="496"/>
      <c r="J839" s="496"/>
      <c r="K839" s="496"/>
      <c r="L839" s="496"/>
      <c r="M839" s="144"/>
      <c r="N839" s="144"/>
      <c r="O839" s="144"/>
      <c r="P839" s="144"/>
      <c r="Q839" s="144"/>
      <c r="R839" s="144"/>
      <c r="S839" s="144"/>
      <c r="T839" s="144"/>
      <c r="U839" s="144"/>
      <c r="V839" s="144"/>
      <c r="W839" s="144"/>
      <c r="X839" s="144"/>
      <c r="Y839" s="144"/>
      <c r="Z839" s="144"/>
      <c r="AA839" s="144"/>
      <c r="AB839" s="144"/>
      <c r="AC839" s="144"/>
      <c r="AD839" s="144"/>
      <c r="AE839" s="144"/>
      <c r="AF839" s="144"/>
    </row>
    <row r="840" ht="16.5" customHeight="1">
      <c r="A840" s="144"/>
      <c r="B840" s="144"/>
      <c r="C840" s="144"/>
      <c r="D840" s="144"/>
      <c r="E840" s="144"/>
      <c r="F840" s="144"/>
      <c r="G840" s="144"/>
      <c r="H840" s="144"/>
      <c r="I840" s="496"/>
      <c r="J840" s="496"/>
      <c r="K840" s="496"/>
      <c r="L840" s="496"/>
      <c r="M840" s="144"/>
      <c r="N840" s="144"/>
      <c r="O840" s="144"/>
      <c r="P840" s="144"/>
      <c r="Q840" s="144"/>
      <c r="R840" s="144"/>
      <c r="S840" s="144"/>
      <c r="T840" s="144"/>
      <c r="U840" s="144"/>
      <c r="V840" s="144"/>
      <c r="W840" s="144"/>
      <c r="X840" s="144"/>
      <c r="Y840" s="144"/>
      <c r="Z840" s="144"/>
      <c r="AA840" s="144"/>
      <c r="AB840" s="144"/>
      <c r="AC840" s="144"/>
      <c r="AD840" s="144"/>
      <c r="AE840" s="144"/>
      <c r="AF840" s="144"/>
    </row>
    <row r="841" ht="16.5" customHeight="1">
      <c r="A841" s="144"/>
      <c r="B841" s="144"/>
      <c r="C841" s="144"/>
      <c r="D841" s="144"/>
      <c r="E841" s="144"/>
      <c r="F841" s="144"/>
      <c r="G841" s="144"/>
      <c r="H841" s="144"/>
      <c r="I841" s="496"/>
      <c r="J841" s="496"/>
      <c r="K841" s="496"/>
      <c r="L841" s="496"/>
      <c r="M841" s="144"/>
      <c r="N841" s="144"/>
      <c r="O841" s="144"/>
      <c r="P841" s="144"/>
      <c r="Q841" s="144"/>
      <c r="R841" s="144"/>
      <c r="S841" s="144"/>
      <c r="T841" s="144"/>
      <c r="U841" s="144"/>
      <c r="V841" s="144"/>
      <c r="W841" s="144"/>
      <c r="X841" s="144"/>
      <c r="Y841" s="144"/>
      <c r="Z841" s="144"/>
      <c r="AA841" s="144"/>
      <c r="AB841" s="144"/>
      <c r="AC841" s="144"/>
      <c r="AD841" s="144"/>
      <c r="AE841" s="144"/>
      <c r="AF841" s="144"/>
    </row>
    <row r="842" ht="16.5" customHeight="1">
      <c r="A842" s="144"/>
      <c r="B842" s="144"/>
      <c r="C842" s="144"/>
      <c r="D842" s="144"/>
      <c r="E842" s="144"/>
      <c r="F842" s="144"/>
      <c r="G842" s="144"/>
      <c r="H842" s="144"/>
      <c r="I842" s="496"/>
      <c r="J842" s="496"/>
      <c r="K842" s="496"/>
      <c r="L842" s="496"/>
      <c r="M842" s="144"/>
      <c r="N842" s="144"/>
      <c r="O842" s="144"/>
      <c r="P842" s="144"/>
      <c r="Q842" s="144"/>
      <c r="R842" s="144"/>
      <c r="S842" s="144"/>
      <c r="T842" s="144"/>
      <c r="U842" s="144"/>
      <c r="V842" s="144"/>
      <c r="W842" s="144"/>
      <c r="X842" s="144"/>
      <c r="Y842" s="144"/>
      <c r="Z842" s="144"/>
      <c r="AA842" s="144"/>
      <c r="AB842" s="144"/>
      <c r="AC842" s="144"/>
      <c r="AD842" s="144"/>
      <c r="AE842" s="144"/>
      <c r="AF842" s="144"/>
    </row>
    <row r="843" ht="16.5" customHeight="1">
      <c r="A843" s="144"/>
      <c r="B843" s="144"/>
      <c r="C843" s="144"/>
      <c r="D843" s="144"/>
      <c r="E843" s="144"/>
      <c r="F843" s="144"/>
      <c r="G843" s="144"/>
      <c r="H843" s="144"/>
      <c r="I843" s="496"/>
      <c r="J843" s="496"/>
      <c r="K843" s="496"/>
      <c r="L843" s="496"/>
      <c r="M843" s="144"/>
      <c r="N843" s="144"/>
      <c r="O843" s="144"/>
      <c r="P843" s="144"/>
      <c r="Q843" s="144"/>
      <c r="R843" s="144"/>
      <c r="S843" s="144"/>
      <c r="T843" s="144"/>
      <c r="U843" s="144"/>
      <c r="V843" s="144"/>
      <c r="W843" s="144"/>
      <c r="X843" s="144"/>
      <c r="Y843" s="144"/>
      <c r="Z843" s="144"/>
      <c r="AA843" s="144"/>
      <c r="AB843" s="144"/>
      <c r="AC843" s="144"/>
      <c r="AD843" s="144"/>
      <c r="AE843" s="144"/>
      <c r="AF843" s="144"/>
    </row>
    <row r="844" ht="16.5" customHeight="1">
      <c r="A844" s="144"/>
      <c r="B844" s="144"/>
      <c r="C844" s="144"/>
      <c r="D844" s="144"/>
      <c r="E844" s="144"/>
      <c r="F844" s="144"/>
      <c r="G844" s="144"/>
      <c r="H844" s="144"/>
      <c r="I844" s="496"/>
      <c r="J844" s="496"/>
      <c r="K844" s="496"/>
      <c r="L844" s="496"/>
      <c r="M844" s="144"/>
      <c r="N844" s="144"/>
      <c r="O844" s="144"/>
      <c r="P844" s="144"/>
      <c r="Q844" s="144"/>
      <c r="R844" s="144"/>
      <c r="S844" s="144"/>
      <c r="T844" s="144"/>
      <c r="U844" s="144"/>
      <c r="V844" s="144"/>
      <c r="W844" s="144"/>
      <c r="X844" s="144"/>
      <c r="Y844" s="144"/>
      <c r="Z844" s="144"/>
      <c r="AA844" s="144"/>
      <c r="AB844" s="144"/>
      <c r="AC844" s="144"/>
      <c r="AD844" s="144"/>
      <c r="AE844" s="144"/>
      <c r="AF844" s="144"/>
    </row>
    <row r="845" ht="16.5" customHeight="1">
      <c r="A845" s="144"/>
      <c r="B845" s="144"/>
      <c r="C845" s="144"/>
      <c r="D845" s="144"/>
      <c r="E845" s="144"/>
      <c r="F845" s="144"/>
      <c r="G845" s="144"/>
      <c r="H845" s="144"/>
      <c r="I845" s="496"/>
      <c r="J845" s="496"/>
      <c r="K845" s="496"/>
      <c r="L845" s="496"/>
      <c r="M845" s="144"/>
      <c r="N845" s="144"/>
      <c r="O845" s="144"/>
      <c r="P845" s="144"/>
      <c r="Q845" s="144"/>
      <c r="R845" s="144"/>
      <c r="S845" s="144"/>
      <c r="T845" s="144"/>
      <c r="U845" s="144"/>
      <c r="V845" s="144"/>
      <c r="W845" s="144"/>
      <c r="X845" s="144"/>
      <c r="Y845" s="144"/>
      <c r="Z845" s="144"/>
      <c r="AA845" s="144"/>
      <c r="AB845" s="144"/>
      <c r="AC845" s="144"/>
      <c r="AD845" s="144"/>
      <c r="AE845" s="144"/>
      <c r="AF845" s="144"/>
    </row>
    <row r="846" ht="16.5" customHeight="1">
      <c r="A846" s="144"/>
      <c r="B846" s="144"/>
      <c r="C846" s="144"/>
      <c r="D846" s="144"/>
      <c r="E846" s="144"/>
      <c r="F846" s="144"/>
      <c r="G846" s="144"/>
      <c r="H846" s="144"/>
      <c r="I846" s="496"/>
      <c r="J846" s="496"/>
      <c r="K846" s="496"/>
      <c r="L846" s="496"/>
      <c r="M846" s="144"/>
      <c r="N846" s="144"/>
      <c r="O846" s="144"/>
      <c r="P846" s="144"/>
      <c r="Q846" s="144"/>
      <c r="R846" s="144"/>
      <c r="S846" s="144"/>
      <c r="T846" s="144"/>
      <c r="U846" s="144"/>
      <c r="V846" s="144"/>
      <c r="W846" s="144"/>
      <c r="X846" s="144"/>
      <c r="Y846" s="144"/>
      <c r="Z846" s="144"/>
      <c r="AA846" s="144"/>
      <c r="AB846" s="144"/>
      <c r="AC846" s="144"/>
      <c r="AD846" s="144"/>
      <c r="AE846" s="144"/>
      <c r="AF846" s="144"/>
    </row>
    <row r="847" ht="16.5" customHeight="1">
      <c r="A847" s="144"/>
      <c r="B847" s="144"/>
      <c r="C847" s="144"/>
      <c r="D847" s="144"/>
      <c r="E847" s="144"/>
      <c r="F847" s="144"/>
      <c r="G847" s="144"/>
      <c r="H847" s="144"/>
      <c r="I847" s="496"/>
      <c r="J847" s="496"/>
      <c r="K847" s="496"/>
      <c r="L847" s="496"/>
      <c r="M847" s="144"/>
      <c r="N847" s="144"/>
      <c r="O847" s="144"/>
      <c r="P847" s="144"/>
      <c r="Q847" s="144"/>
      <c r="R847" s="144"/>
      <c r="S847" s="144"/>
      <c r="T847" s="144"/>
      <c r="U847" s="144"/>
      <c r="V847" s="144"/>
      <c r="W847" s="144"/>
      <c r="X847" s="144"/>
      <c r="Y847" s="144"/>
      <c r="Z847" s="144"/>
      <c r="AA847" s="144"/>
      <c r="AB847" s="144"/>
      <c r="AC847" s="144"/>
      <c r="AD847" s="144"/>
      <c r="AE847" s="144"/>
      <c r="AF847" s="144"/>
    </row>
    <row r="848" ht="16.5" customHeight="1">
      <c r="A848" s="144"/>
      <c r="B848" s="144"/>
      <c r="C848" s="144"/>
      <c r="D848" s="144"/>
      <c r="E848" s="144"/>
      <c r="F848" s="144"/>
      <c r="G848" s="144"/>
      <c r="H848" s="144"/>
      <c r="I848" s="496"/>
      <c r="J848" s="496"/>
      <c r="K848" s="496"/>
      <c r="L848" s="496"/>
      <c r="M848" s="144"/>
      <c r="N848" s="144"/>
      <c r="O848" s="144"/>
      <c r="P848" s="144"/>
      <c r="Q848" s="144"/>
      <c r="R848" s="144"/>
      <c r="S848" s="144"/>
      <c r="T848" s="144"/>
      <c r="U848" s="144"/>
      <c r="V848" s="144"/>
      <c r="W848" s="144"/>
      <c r="X848" s="144"/>
      <c r="Y848" s="144"/>
      <c r="Z848" s="144"/>
      <c r="AA848" s="144"/>
      <c r="AB848" s="144"/>
      <c r="AC848" s="144"/>
      <c r="AD848" s="144"/>
      <c r="AE848" s="144"/>
      <c r="AF848" s="144"/>
    </row>
    <row r="849" ht="16.5" customHeight="1">
      <c r="A849" s="144"/>
      <c r="B849" s="144"/>
      <c r="C849" s="144"/>
      <c r="D849" s="144"/>
      <c r="E849" s="144"/>
      <c r="F849" s="144"/>
      <c r="G849" s="144"/>
      <c r="H849" s="144"/>
      <c r="I849" s="496"/>
      <c r="J849" s="496"/>
      <c r="K849" s="496"/>
      <c r="L849" s="496"/>
      <c r="M849" s="144"/>
      <c r="N849" s="144"/>
      <c r="O849" s="144"/>
      <c r="P849" s="144"/>
      <c r="Q849" s="144"/>
      <c r="R849" s="144"/>
      <c r="S849" s="144"/>
      <c r="T849" s="144"/>
      <c r="U849" s="144"/>
      <c r="V849" s="144"/>
      <c r="W849" s="144"/>
      <c r="X849" s="144"/>
      <c r="Y849" s="144"/>
      <c r="Z849" s="144"/>
      <c r="AA849" s="144"/>
      <c r="AB849" s="144"/>
      <c r="AC849" s="144"/>
      <c r="AD849" s="144"/>
      <c r="AE849" s="144"/>
      <c r="AF849" s="144"/>
    </row>
    <row r="850" ht="16.5" customHeight="1">
      <c r="A850" s="144"/>
      <c r="B850" s="144"/>
      <c r="C850" s="144"/>
      <c r="D850" s="144"/>
      <c r="E850" s="144"/>
      <c r="F850" s="144"/>
      <c r="G850" s="144"/>
      <c r="H850" s="144"/>
      <c r="I850" s="496"/>
      <c r="J850" s="496"/>
      <c r="K850" s="496"/>
      <c r="L850" s="496"/>
      <c r="M850" s="144"/>
      <c r="N850" s="144"/>
      <c r="O850" s="144"/>
      <c r="P850" s="144"/>
      <c r="Q850" s="144"/>
      <c r="R850" s="144"/>
      <c r="S850" s="144"/>
      <c r="T850" s="144"/>
      <c r="U850" s="144"/>
      <c r="V850" s="144"/>
      <c r="W850" s="144"/>
      <c r="X850" s="144"/>
      <c r="Y850" s="144"/>
      <c r="Z850" s="144"/>
      <c r="AA850" s="144"/>
      <c r="AB850" s="144"/>
      <c r="AC850" s="144"/>
      <c r="AD850" s="144"/>
      <c r="AE850" s="144"/>
      <c r="AF850" s="144"/>
    </row>
    <row r="851" ht="16.5" customHeight="1">
      <c r="A851" s="144"/>
      <c r="B851" s="144"/>
      <c r="C851" s="144"/>
      <c r="D851" s="144"/>
      <c r="E851" s="144"/>
      <c r="F851" s="144"/>
      <c r="G851" s="144"/>
      <c r="H851" s="144"/>
      <c r="I851" s="496"/>
      <c r="J851" s="496"/>
      <c r="K851" s="496"/>
      <c r="L851" s="496"/>
      <c r="M851" s="144"/>
      <c r="N851" s="144"/>
      <c r="O851" s="144"/>
      <c r="P851" s="144"/>
      <c r="Q851" s="144"/>
      <c r="R851" s="144"/>
      <c r="S851" s="144"/>
      <c r="T851" s="144"/>
      <c r="U851" s="144"/>
      <c r="V851" s="144"/>
      <c r="W851" s="144"/>
      <c r="X851" s="144"/>
      <c r="Y851" s="144"/>
      <c r="Z851" s="144"/>
      <c r="AA851" s="144"/>
      <c r="AB851" s="144"/>
      <c r="AC851" s="144"/>
      <c r="AD851" s="144"/>
      <c r="AE851" s="144"/>
      <c r="AF851" s="144"/>
    </row>
    <row r="852" ht="16.5" customHeight="1">
      <c r="A852" s="144"/>
      <c r="B852" s="144"/>
      <c r="C852" s="144"/>
      <c r="D852" s="144"/>
      <c r="E852" s="144"/>
      <c r="F852" s="144"/>
      <c r="G852" s="144"/>
      <c r="H852" s="144"/>
      <c r="I852" s="496"/>
      <c r="J852" s="496"/>
      <c r="K852" s="496"/>
      <c r="L852" s="496"/>
      <c r="M852" s="144"/>
      <c r="N852" s="144"/>
      <c r="O852" s="144"/>
      <c r="P852" s="144"/>
      <c r="Q852" s="144"/>
      <c r="R852" s="144"/>
      <c r="S852" s="144"/>
      <c r="T852" s="144"/>
      <c r="U852" s="144"/>
      <c r="V852" s="144"/>
      <c r="W852" s="144"/>
      <c r="X852" s="144"/>
      <c r="Y852" s="144"/>
      <c r="Z852" s="144"/>
      <c r="AA852" s="144"/>
      <c r="AB852" s="144"/>
      <c r="AC852" s="144"/>
      <c r="AD852" s="144"/>
      <c r="AE852" s="144"/>
      <c r="AF852" s="144"/>
    </row>
    <row r="853" ht="16.5" customHeight="1">
      <c r="A853" s="144"/>
      <c r="B853" s="144"/>
      <c r="C853" s="144"/>
      <c r="D853" s="144"/>
      <c r="E853" s="144"/>
      <c r="F853" s="144"/>
      <c r="G853" s="144"/>
      <c r="H853" s="144"/>
      <c r="I853" s="496"/>
      <c r="J853" s="496"/>
      <c r="K853" s="496"/>
      <c r="L853" s="496"/>
      <c r="M853" s="144"/>
      <c r="N853" s="144"/>
      <c r="O853" s="144"/>
      <c r="P853" s="144"/>
      <c r="Q853" s="144"/>
      <c r="R853" s="144"/>
      <c r="S853" s="144"/>
      <c r="T853" s="144"/>
      <c r="U853" s="144"/>
      <c r="V853" s="144"/>
      <c r="W853" s="144"/>
      <c r="X853" s="144"/>
      <c r="Y853" s="144"/>
      <c r="Z853" s="144"/>
      <c r="AA853" s="144"/>
      <c r="AB853" s="144"/>
      <c r="AC853" s="144"/>
      <c r="AD853" s="144"/>
      <c r="AE853" s="144"/>
      <c r="AF853" s="144"/>
    </row>
    <row r="854" ht="16.5" customHeight="1">
      <c r="A854" s="144"/>
      <c r="B854" s="144"/>
      <c r="C854" s="144"/>
      <c r="D854" s="144"/>
      <c r="E854" s="144"/>
      <c r="F854" s="144"/>
      <c r="G854" s="144"/>
      <c r="H854" s="144"/>
      <c r="I854" s="496"/>
      <c r="J854" s="496"/>
      <c r="K854" s="496"/>
      <c r="L854" s="496"/>
      <c r="M854" s="144"/>
      <c r="N854" s="144"/>
      <c r="O854" s="144"/>
      <c r="P854" s="144"/>
      <c r="Q854" s="144"/>
      <c r="R854" s="144"/>
      <c r="S854" s="144"/>
      <c r="T854" s="144"/>
      <c r="U854" s="144"/>
      <c r="V854" s="144"/>
      <c r="W854" s="144"/>
      <c r="X854" s="144"/>
      <c r="Y854" s="144"/>
      <c r="Z854" s="144"/>
      <c r="AA854" s="144"/>
      <c r="AB854" s="144"/>
      <c r="AC854" s="144"/>
      <c r="AD854" s="144"/>
      <c r="AE854" s="144"/>
      <c r="AF854" s="144"/>
    </row>
    <row r="855" ht="16.5" customHeight="1">
      <c r="A855" s="144"/>
      <c r="B855" s="144"/>
      <c r="C855" s="144"/>
      <c r="D855" s="144"/>
      <c r="E855" s="144"/>
      <c r="F855" s="144"/>
      <c r="G855" s="144"/>
      <c r="H855" s="144"/>
      <c r="I855" s="496"/>
      <c r="J855" s="496"/>
      <c r="K855" s="496"/>
      <c r="L855" s="496"/>
      <c r="M855" s="144"/>
      <c r="N855" s="144"/>
      <c r="O855" s="144"/>
      <c r="P855" s="144"/>
      <c r="Q855" s="144"/>
      <c r="R855" s="144"/>
      <c r="S855" s="144"/>
      <c r="T855" s="144"/>
      <c r="U855" s="144"/>
      <c r="V855" s="144"/>
      <c r="W855" s="144"/>
      <c r="X855" s="144"/>
      <c r="Y855" s="144"/>
      <c r="Z855" s="144"/>
      <c r="AA855" s="144"/>
      <c r="AB855" s="144"/>
      <c r="AC855" s="144"/>
      <c r="AD855" s="144"/>
      <c r="AE855" s="144"/>
      <c r="AF855" s="144"/>
    </row>
    <row r="856" ht="16.5" customHeight="1">
      <c r="A856" s="144"/>
      <c r="B856" s="144"/>
      <c r="C856" s="144"/>
      <c r="D856" s="144"/>
      <c r="E856" s="144"/>
      <c r="F856" s="144"/>
      <c r="G856" s="144"/>
      <c r="H856" s="144"/>
      <c r="I856" s="496"/>
      <c r="J856" s="496"/>
      <c r="K856" s="496"/>
      <c r="L856" s="496"/>
      <c r="M856" s="144"/>
      <c r="N856" s="144"/>
      <c r="O856" s="144"/>
      <c r="P856" s="144"/>
      <c r="Q856" s="144"/>
      <c r="R856" s="144"/>
      <c r="S856" s="144"/>
      <c r="T856" s="144"/>
      <c r="U856" s="144"/>
      <c r="V856" s="144"/>
      <c r="W856" s="144"/>
      <c r="X856" s="144"/>
      <c r="Y856" s="144"/>
      <c r="Z856" s="144"/>
      <c r="AA856" s="144"/>
      <c r="AB856" s="144"/>
      <c r="AC856" s="144"/>
      <c r="AD856" s="144"/>
      <c r="AE856" s="144"/>
      <c r="AF856" s="144"/>
    </row>
    <row r="857" ht="16.5" customHeight="1">
      <c r="A857" s="144"/>
      <c r="B857" s="144"/>
      <c r="C857" s="144"/>
      <c r="D857" s="144"/>
      <c r="E857" s="144"/>
      <c r="F857" s="144"/>
      <c r="G857" s="144"/>
      <c r="H857" s="144"/>
      <c r="I857" s="496"/>
      <c r="J857" s="496"/>
      <c r="K857" s="496"/>
      <c r="L857" s="496"/>
      <c r="M857" s="144"/>
      <c r="N857" s="144"/>
      <c r="O857" s="144"/>
      <c r="P857" s="144"/>
      <c r="Q857" s="144"/>
      <c r="R857" s="144"/>
      <c r="S857" s="144"/>
      <c r="T857" s="144"/>
      <c r="U857" s="144"/>
      <c r="V857" s="144"/>
      <c r="W857" s="144"/>
      <c r="X857" s="144"/>
      <c r="Y857" s="144"/>
      <c r="Z857" s="144"/>
      <c r="AA857" s="144"/>
      <c r="AB857" s="144"/>
      <c r="AC857" s="144"/>
      <c r="AD857" s="144"/>
      <c r="AE857" s="144"/>
      <c r="AF857" s="144"/>
    </row>
    <row r="858" ht="16.5" customHeight="1">
      <c r="A858" s="144"/>
      <c r="B858" s="144"/>
      <c r="C858" s="144"/>
      <c r="D858" s="144"/>
      <c r="E858" s="144"/>
      <c r="F858" s="144"/>
      <c r="G858" s="144"/>
      <c r="H858" s="144"/>
      <c r="I858" s="496"/>
      <c r="J858" s="496"/>
      <c r="K858" s="496"/>
      <c r="L858" s="496"/>
      <c r="M858" s="144"/>
      <c r="N858" s="144"/>
      <c r="O858" s="144"/>
      <c r="P858" s="144"/>
      <c r="Q858" s="144"/>
      <c r="R858" s="144"/>
      <c r="S858" s="144"/>
      <c r="T858" s="144"/>
      <c r="U858" s="144"/>
      <c r="V858" s="144"/>
      <c r="W858" s="144"/>
      <c r="X858" s="144"/>
      <c r="Y858" s="144"/>
      <c r="Z858" s="144"/>
      <c r="AA858" s="144"/>
      <c r="AB858" s="144"/>
      <c r="AC858" s="144"/>
      <c r="AD858" s="144"/>
      <c r="AE858" s="144"/>
      <c r="AF858" s="144"/>
    </row>
    <row r="859" ht="16.5" customHeight="1">
      <c r="A859" s="144"/>
      <c r="B859" s="144"/>
      <c r="C859" s="144"/>
      <c r="D859" s="144"/>
      <c r="E859" s="144"/>
      <c r="F859" s="144"/>
      <c r="G859" s="144"/>
      <c r="H859" s="144"/>
      <c r="I859" s="496"/>
      <c r="J859" s="496"/>
      <c r="K859" s="496"/>
      <c r="L859" s="496"/>
      <c r="M859" s="144"/>
      <c r="N859" s="144"/>
      <c r="O859" s="144"/>
      <c r="P859" s="144"/>
      <c r="Q859" s="144"/>
      <c r="R859" s="144"/>
      <c r="S859" s="144"/>
      <c r="T859" s="144"/>
      <c r="U859" s="144"/>
      <c r="V859" s="144"/>
      <c r="W859" s="144"/>
      <c r="X859" s="144"/>
      <c r="Y859" s="144"/>
      <c r="Z859" s="144"/>
      <c r="AA859" s="144"/>
      <c r="AB859" s="144"/>
      <c r="AC859" s="144"/>
      <c r="AD859" s="144"/>
      <c r="AE859" s="144"/>
      <c r="AF859" s="144"/>
    </row>
  </sheetData>
  <mergeCells count="7">
    <mergeCell ref="C3:I3"/>
    <mergeCell ref="B6:B14"/>
    <mergeCell ref="C6:C14"/>
    <mergeCell ref="D6:D14"/>
    <mergeCell ref="B15:B24"/>
    <mergeCell ref="C15:C24"/>
    <mergeCell ref="D15:D24"/>
  </mergeCells>
  <dataValidations>
    <dataValidation type="list" allowBlank="1" sqref="F12 F21">
      <formula1>"Allocate,Reallocate,CleanUp,SaveCalculatedPreferences,CloseCalculatedPreferences,CloseAllocation,SaveCloseMFPreference,ModifyMFPrefGeneralRuleValues,ClearPrefetchFilters,ExpandCollapseAllUnallocated,ExpandCollapseAllAllocated,SaveAllocation,CheckAllocated"&amp;"Groups,GetDataAllocation,SelectAllocatedGroup,EditTradesAllocated,EditTradesUnallocated,EditUnallocatedGroupSidePanel,TradeAttributeBulkChange,ApplyBulkUpdateOnGroups,ApplyPrefetchFilters,GeneralPreferencesDefaultRule,GeneralPrefCompanyUserWise,RenameTrad"&amp;"eAttributes,SetGroupingRules,SetMasterFundRatio,CheckFixedPreference,GetFixedPreference,BulkChangeCalculatedPreferences,AddCalculatedPreferences,DeleteCalculatedPreferences,RenameCalculatedPreferences,CopyCalculatedPreferences,RunAutoGroup,BookOrUpdateSwa"&amp;"p,RunProrata,SetDefaultRuleCalculatedPref,SetAccountValueCalculatedPref,TradeAttributeBulkChangeGroups,TradeAttributeBulkChangeTaxlots,AddCalculatedPreferenceToolbar,SetStrategyValueCalculatedPref,ApplyBulkUpdateOnTaxlots,CommissionBulkChangeOnGroups,Comm"&amp;"issionBulkChangeOnTaxlots,SelectUnallocatedGroup,EnterAccountValuesToAllocate,EnterAllocatePreference,UnallocateWithOutSave,GenerateCashTransaction,EnterStrategyValuesToAllocate,CopyCalculatedPreferenceToolbar,SetGeneralRuleCalculatedPref,ExportAllCalcula"&amp;"tedPreferences,SetMFPrefFundDefaultRule,SetMFPreferencesDefaultRule,SetMFPrefFundDistribution,SetMFPrefGeneralRule,SetMFPrefStrategyValues,SetMFPrefAccountValues,RenameMFPreferences,ExportCalculatedPreference,DeleteMFPreferenceToolbar,DeleteMFPreferences,"&amp;"AddMFPreferenceToolbar,AddMFPreferences,ModifyGRPreferenceValues,ImportCalculatedPreferences,OpenAuditTrailUnallocatedGroup,DeleteCalculatedPreferencesTool,ImportCalculatedPreferencesTool,ExportAllCalculatedPreferTool,OpenAuditTrailAllocatedGroup,OpenSymb"&amp;"olLookupUnallocateGroup,OpenSymbolLookupAllocatedGroup,DeleteFixedPreference,UpdateGRDefaultRule,UpdateGeneralRulePref,EditAllocatedGroupSidePanel,UpdateGRStrategyValue,UpdateGRAccountValue,CheckUnallocatedGroups,SetGeneralPreferences,UngroupTrades,GroupT"&amp;"rades,DeleteGroup,Unallocate,UpdateGeneralRulePref,CloseOrder,CheckUnallocatedGroups,EditAllocatedGroupSidePanel,DeleteFixedPreference,ExportCalculatedPreference,,,,,,,,,,,,,,,,,,,,,,,,,,,,,,,,,,,,,,,,,,,,,,,,,,,,,,,,,,,,,,,,,,,,,,,,,,,,,,,,,,,,,,,,,,,,,,"&amp;",,,,,,,,,,,,,,,,,,,,,,,,,,,,,,,,,,,,,,,,,,,,,,,,,,,,,,,,,,,,,,,,,,,,,,,,,,,,,,,,,,,,,,,,,,,,,,,,,,,,,,,,,,,,,,,,,,,,,,,,,,,,,,,,,,,,,,,,,,,,,,,,,,,,,,,,,,,,,,,,,,,,,,,,,,,,,,,,,,,,,,,,,,,,,,,,,,,,,,,,,,,,,,,,,,,,,,,,,,,,,,,,,,,,,,,,,,,,,,,,,,,,,,,,,,,,,,,"&amp;",,,,,,,,,,,,,,,,,,,,,,,,,,,,,,,,,,,,,,,,,,,,,,,,,,,,,,,"</formula1>
    </dataValidation>
    <dataValidation type="list" allowBlank="1" sqref="H16:K16">
      <formula1>"TradeNewSubOrder,CreateStageOrder,CheckAllocatedGroups,CheckPortfolioManagement,TradeNewSubOrder1,CreateDoneAwayOrder,CreateDoneAwayOrder1,VerifyLongPositionsGrid,GetDataClosing,Copy of Data"</formula1>
    </dataValidation>
    <dataValidation type="list" allowBlank="1" sqref="H18:K18">
      <formula1>"TradeNewSubOrder,CreateStageOrder,CheckAllocatedGroups,CheckPortfolioManagement,TradeNewSubOrder1,CreateDoneAwayOrder,CreateDoneAwayOrder1,VerifyLongPositionsGrid,GetDataClosing,Copy of Data,Copy of Data 1,Copy of Data 2"</formula1>
    </dataValidation>
    <dataValidation type="list" allowBlank="1" sqref="F7 F9 F11 F16 F18">
      <formula1>"OpenTTFromPST,EnterDetailsOnTT,ValidateSymbolTT,VerifyDataTT,SetUIPreferencesTT,SetBrokerWisePreferencesTT,TradeNewSub,SetBrokerWisePreferencesTT,TradeNewSub,CreateStageOrder,CreateReplaceOrder,SetGeneralPreference,CreateDoneAwayOrder,ClickSymbolLookup,Tr"&amp;"adeBloomberg,CreateNewSubOrder,,,,,,,,,,,,,,,,,,,,,,,,,,,,,,,,,,,,,,,,,,,,,,,,,,,,,,,,,,,,,,,,,,,,,,,,,,,,,,,,,,,,,,,,,,,,,,,,,,,,,,,,,,,,,,,,,,,,,,,,,,,,,,,,,,,,,,,,,,,,,,,,,,,,,,,,,,,,,,,,,,,,,,,,,,,,,,,,,,,,,,,,,,,,,,,,,,,,,,,,,,,,,,,,,,,,,,,,,,,,,,,,,"&amp;",,,,,,,,,,,,,,,,,,,,,,,,,,,,,,,,,,,,,,,,,,,,,,,,,,,,,,,,,,,,,,,,,,,,,,,,,,,,,,,,,,,,,,,,,,,,,,,,,,,,,,,,,,,,,,,,,,,,,,,,,,,,,,,,,,,,,,,,,,,,,,,,,,,,,,,,,,,,,,,,,,,,,,,,,,,,,,,,,,,,,,,,,,,,,,,,,,,,,,,,,,,,,,,,,,,,,,,,,,,,,,,,,,,,,,,,,,,,,,,,,,,,,,,,,,,,,,,"&amp;","</formula1>
    </dataValidation>
    <dataValidation type="list" allowBlank="1" sqref="F8 F10 F17 F19">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SubOrder,RemoveSelectedOrders,VerifyOrder,CancelAllSelectedSubs,MultiTradingTicket,TradeNewSubOrder,RemoveStageOrder,Audit"&amp;"TrailOrderBlotter,MultiTradingTicketFromBlotter,TransferToUserSubOrder,DetailsForAlgoTradeOrder,AddFillsSubOrder,ViewAllocationDetailsSubOrder,CancelAllSubs,CancelSubOrder,EditStageOrder,ReplaceSubOrder,SelectTradeWorkingSubsBlotter,VerifyAlgoDetails,Veri"&amp;"fyTransferToUserSubOdr,VerifyTransferToUserOrder,VerifyTransferToUserWorkSub,SaveLayoutOrderGrid,ReplaceStageOrder,,,,,,,,,,,,,,,,,,,,,,,,,,,,,,,,,,,,,,,,,,,,,,,,,,,,,,,,,,,,,,,,,,,,,,,,,,,,,,,,,,,,,,,,,,,,,,,,,,,,,,,,,,,,,,,,,,,,,,,,,,,,,,,,,,,,,,,,,,,,,"&amp;",,,,,,,,,,,,,,,,,,,,,,,,,,,,,,,,,,,,,,,,,,,,,,,,,,,,,,,,,,,,,,,,,,,,,,,,,,,,,,,,,,,,,,,,,,,,,,,,,,,,,,,,,,,,,,,,,,,,,,,,,,,,,,,,,,,,,,,,,,,,,,,,,,,,,,,,,,,,,,,,,,,,,,,,,,,,,,,,,,,,,,,,,,,,,,,,,,,,,,,,,,,,,,,,,,,,,,,,,,,,,,,,,,,,,,,,,,,,,,,,,,,,,,,,,,,,,,,"&amp;",,,,,,,,,,,,,,,,,,,,,,,,,,,,,,,,,,,,,,,,,,,,,,,,,,,,,,,,,,,,"</formula1>
    </dataValidation>
    <dataValidation type="list" allowBlank="1" sqref="F13 F22:F23">
      <formula1>"GetDataClosing,ManualClosing,UnwindClosing,VerifyClosedTrades,VerifyLongPositionsGrid,VerifyShortPositionsGrid,SelectTradeUnexpiredUnsettled,CashSettlementAtCost,CashSettlementAtZeroPrice,CashSettlementAtClosingDtSpotPx,PhysicalSettlement,AutomaticClosing"&amp;",Expire,ExerciseAssignment,ExerciseAssignmentAtZero,SwapExpireAndRollover,SwapExpire,VerifyExpiredSettledGrid,VerifyUnExpiredUnSettledGrid,UnWindTradeSettlement,CloseOrder,VerifyCloseOrder,UnWindCloseOrder,ClosingCleanUp,CloseClosingUI,,,,,,,,,,,,,,,,,,,,"&amp;",,,,,,,,,,,,,,,,,,,,,,,,,,,,,,,,,,,,,,,,,,,,,,,,,,,,,,,,,,,,,,,,,,,,,,,,,,,,,,,,,,,,,,,,,,,,,,,,,,,,,,,,,,,,,,,,,,,,,,,,,,,,,,,,,,,,,,,,,,,,,,,,,,,,,,,,,,,,,,,,,,,,,,,,,,,,,,,,,,,,,,,,,,,,,,,,,,,,,,,,,,,,,,,,,,,,,,,,,,,,,,,,,,,,,,,,,,,,,,,,,,,,,,,,,,,,,,,"&amp;",,,,,,,,,,,,,,,,,,,,,,,,,,,,,,,,,,,,,,,,,,,,,,,,,,,,,,,,,,,,,,,,,,,,,,,,,,,,,,,,,,,,,,,,,,,,,,,,,,,,,,,,,,,,,,,,,,,,,,,,,,,,,,,,,,,,,,,,,,,,,,,,,,,,,,,,,,,,,,,,,,,,,,,,,,,,,,,,,,,,,,,,,,,,,,,,,,,,,"</formula1>
    </dataValidation>
    <dataValidation type="list" allowBlank="1" sqref="H17:K17">
      <formula1>"TradeNewSubOrder,CreateStageOrder,CheckAllocatedGroups,CheckPortfolioManagement,TradeNewSubOrder1,CreateDoneAwayOrder,CreateDoneAwayOrder1,VerifyLongPositionsGrid,GetDataClosing,Copy of Data,Copy of Data 1"</formula1>
    </dataValidation>
    <dataValidation type="list" allowBlank="1" sqref="H23:K23">
      <formula1>"TradeNewSubOrder,CreateStageOrder,CheckAllocatedGroups,CheckPortfolioManagement,TradeNewSubOrder1,CreateDoneAwayOrder,CreateDoneAwayOrder1,VerifyLongPositionsGrid,GetDataClosing,Copy of Data,Copy of Data 1,Copy of Data 2,Copy of Data 3,Copy of Data 4,Copy"&amp;" of Data 5,Copy of Data 6,Copy of Data 7"</formula1>
    </dataValidation>
    <dataValidation type="list" allowBlank="1" sqref="H20:K20">
      <formula1>"TradeNewSubOrder,CreateStageOrder,CheckAllocatedGroups,CheckPortfolioManagement,TradeNewSubOrder1,CreateDoneAwayOrder,CreateDoneAwayOrder1,VerifyLongPositionsGrid,GetDataClosing,Copy of Data,Copy of Data 1,Copy of Data 2,Copy of Data 3,Copy of Data 4"</formula1>
    </dataValidation>
    <dataValidation type="list" allowBlank="1" sqref="H22:K22">
      <formula1>"TradeNewSubOrder,CreateStageOrder,CheckAllocatedGroups,CheckPortfolioManagement,TradeNewSubOrder1,CreateDoneAwayOrder,CreateDoneAwayOrder1,VerifyLongPositionsGrid,GetDataClosing,Copy of Data,Copy of Data 1,Copy of Data 2,Copy of Data 3,Copy of Data 4,Copy"&amp;" of Data 5,Copy of Data 6"</formula1>
    </dataValidation>
    <dataValidation type="list" allowBlank="1" sqref="H12:K12">
      <formula1>"CreateStageOrder,CheckAllocatedGroups,CheckPortfolioManagement,TradeNewSubOrder,TradeNewSubOrder1,CreateDoneAwayOrder,CreateDoneAwayOrder1,VerifyLongPositionsGrid,Copy of Data,Copy of Data 1,Copy of Data 2,Copy of Data 3,Copy of Data 4,Copy of Data 5"</formula1>
    </dataValidation>
    <dataValidation type="list" allowBlank="1" sqref="H21:K21">
      <formula1>"TradeNewSubOrder,CreateStageOrder,CheckAllocatedGroups,CheckPortfolioManagement,TradeNewSubOrder1,CreateDoneAwayOrder,CreateDoneAwayOrder1,VerifyLongPositionsGrid,GetDataClosing,Copy of Data,Copy of Data 1,Copy of Data 2,Copy of Data 3,Copy of Data 4,Copy"&amp;" of Data 5"</formula1>
    </dataValidation>
    <dataValidation type="list" allowBlank="1" sqref="E6:E859">
      <formula1>'_Modules'!$A$4:$A859</formula1>
    </dataValidation>
    <dataValidation type="list" allowBlank="1" sqref="H9:K9">
      <formula1>"CreateStageOrder,CheckAllocatedGroups,CheckPortfolioManagement,TradeNewSubOrder,TradeNewSubOrder1,CreateDoneAwayOrder,CreateDoneAwayOrder1,VerifyLongPositionsGrid,Copy of Data,Copy of Data 1,Copy of Data 2"</formula1>
    </dataValidation>
    <dataValidation type="list" allowBlank="1" sqref="D6 D15 D25:D859">
      <formula1>'_Categories'!$A$4:$A859</formula1>
    </dataValidation>
    <dataValidation type="list" allowBlank="1" sqref="H7:K7">
      <formula1>"CreateStageOrder,CheckAllocatedGroups,CheckPortfolioManagement,TradeNewSubOrder,TradeNewSubOrder1,CreateDoneAwayOrder,CreateDoneAwayOrder1,VerifyLongPositionsGrid,Copy of Data"</formula1>
    </dataValidation>
    <dataValidation type="list" allowBlank="1" sqref="H8:K8">
      <formula1>"CreateStageOrder,CheckAllocatedGroups,CheckPortfolioManagement,TradeNewSubOrder,TradeNewSubOrder1,CreateDoneAwayOrder,CreateDoneAwayOrder1,VerifyLongPositionsGrid,Copy of Data,Copy of Data 1"</formula1>
    </dataValidation>
    <dataValidation type="list" allowBlank="1" sqref="F14 F24">
      <formula1>"CheckDashboardPM,CheckPortfolioManagement,OpenPSTFromPM,ClosePM,OpenPTTFromPM,FilterPM,GroupRowPM,CheckDashboardWithPM,RemoveFilterPM,CheckSummaryRows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H10:K11 H14:K14">
      <formula1>"CreateStageOrder,CheckAllocatedGroups,CheckPortfolioManagement,TradeNewSubOrder,TradeNewSubOrder1,CreateDoneAwayOrder,CreateDoneAwayOrder1,VerifyLongPositionsGrid,Copy of Data,Copy of Data 1,Copy of Data 2,Copy of Data 3,Copy of Data 4,Copy of Data 5,Copy"&amp;" of Data 6,Copy of Data 7"</formula1>
    </dataValidation>
    <dataValidation type="list" allowBlank="1" sqref="H13:K13">
      <formula1>"CreateStageOrder,CheckAllocatedGroups,CheckPortfolioManagement,TradeNewSubOrder,TradeNewSubOrder1,CreateDoneAwayOrder,CreateDoneAwayOrder1,VerifyLongPositionsGrid,Copy of Data,Copy of Data 1,Copy of Data 2,Copy of Data 3,Copy of Data 4,Copy of Data 5,Copy"&amp;" of Data 6"</formula1>
    </dataValidation>
    <dataValidation type="list" allowBlank="1" sqref="H19:K19">
      <formula1>"TradeNewSubOrder,CreateStageOrder,CheckAllocatedGroups,CheckPortfolioManagement,TradeNewSubOrder1,CreateDoneAwayOrder,CreateDoneAwayOrder1,VerifyLongPositionsGrid,GetDataClosing,Copy of Data,Copy of Data 1,Copy of Data 2,Copy of Data 3"</formula1>
    </dataValidation>
  </dataValidations>
  <hyperlinks>
    <hyperlink r:id="rId1" location="gid=1700740665" ref="G7"/>
    <hyperlink r:id="rId2" location="gid=1782854335" ref="G8"/>
    <hyperlink r:id="rId3" location="gid=2031465382" ref="G9"/>
    <hyperlink r:id="rId4" location="gid=1363713883" ref="G10"/>
    <hyperlink r:id="rId5" location="gid=1537097839" ref="G11"/>
    <hyperlink r:id="rId6" location="gid=755672072" ref="G12"/>
    <hyperlink r:id="rId7" location="gid=1970046637" ref="G13"/>
    <hyperlink r:id="rId8" location="gid=1282417779" ref="G14"/>
    <hyperlink r:id="rId9" location="gid=250978788" ref="G16"/>
    <hyperlink r:id="rId10" location="gid=792449327" ref="G17"/>
    <hyperlink r:id="rId11" location="gid=1718383536" ref="G18"/>
    <hyperlink r:id="rId12" location="gid=426341568" ref="G19"/>
    <hyperlink r:id="rId13" location="gid=1058742493" ref="G20"/>
    <hyperlink r:id="rId14" location="gid=860889866" ref="G21"/>
    <hyperlink r:id="rId15" location="gid=1782813306" ref="G22"/>
    <hyperlink r:id="rId16" location="gid=529187138" ref="G23"/>
    <hyperlink r:id="rId17" location="gid=959525915" ref="G24"/>
  </hyperlinks>
  <drawing r:id="rId1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2.14"/>
    <col customWidth="1" min="2" max="2" width="13.86"/>
    <col customWidth="1" min="3" max="3" width="21.14"/>
    <col customWidth="1" min="4" max="4" width="15.43"/>
    <col customWidth="1" min="5" max="5" width="20.57"/>
    <col customWidth="1" min="6" max="6" width="27.43"/>
    <col customWidth="1" min="7" max="7" width="79.86"/>
    <col customWidth="1" min="8" max="8" width="26.29"/>
    <col customWidth="1" min="9" max="12" width="18.0"/>
    <col customWidth="1" min="13" max="32" width="14.43"/>
  </cols>
  <sheetData>
    <row r="1" ht="1.5" customHeight="1">
      <c r="A1" s="492"/>
      <c r="B1" s="492"/>
      <c r="C1" s="139"/>
      <c r="D1" s="139"/>
      <c r="E1" s="139"/>
      <c r="F1" s="139"/>
      <c r="G1" s="139"/>
      <c r="H1" s="139"/>
      <c r="I1" s="139"/>
      <c r="J1" s="492"/>
      <c r="K1" s="492"/>
      <c r="L1" s="492"/>
      <c r="M1" s="144"/>
      <c r="N1" s="144"/>
      <c r="O1" s="144"/>
      <c r="P1" s="144"/>
      <c r="Q1" s="144"/>
      <c r="R1" s="144"/>
      <c r="S1" s="144"/>
      <c r="T1" s="144"/>
      <c r="U1" s="144"/>
      <c r="V1" s="144"/>
      <c r="W1" s="144"/>
      <c r="X1" s="144"/>
      <c r="Y1" s="144"/>
      <c r="Z1" s="144"/>
      <c r="AA1" s="144"/>
      <c r="AB1" s="144"/>
      <c r="AC1" s="144"/>
      <c r="AD1" s="144"/>
      <c r="AE1" s="144"/>
      <c r="AF1" s="144"/>
    </row>
    <row r="2" ht="1.5" customHeight="1">
      <c r="A2" s="492"/>
      <c r="B2" s="492"/>
      <c r="C2" s="139"/>
      <c r="D2" s="139"/>
      <c r="E2" s="139"/>
      <c r="F2" s="139"/>
      <c r="G2" s="139"/>
      <c r="H2" s="139"/>
      <c r="I2" s="139"/>
      <c r="J2" s="492"/>
      <c r="K2" s="492"/>
      <c r="L2" s="492"/>
      <c r="M2" s="144"/>
      <c r="N2" s="144"/>
      <c r="O2" s="144"/>
      <c r="P2" s="144"/>
      <c r="Q2" s="144"/>
      <c r="R2" s="144"/>
      <c r="S2" s="144"/>
      <c r="T2" s="144"/>
      <c r="U2" s="144"/>
      <c r="V2" s="144"/>
      <c r="W2" s="144"/>
      <c r="X2" s="144"/>
      <c r="Y2" s="144"/>
      <c r="Z2" s="144"/>
      <c r="AA2" s="144"/>
      <c r="AB2" s="144"/>
      <c r="AC2" s="144"/>
      <c r="AD2" s="144"/>
      <c r="AE2" s="144"/>
      <c r="AF2" s="144"/>
    </row>
    <row r="3" ht="1.5" customHeight="1">
      <c r="A3" s="139" t="s">
        <v>5</v>
      </c>
      <c r="B3" s="139" t="s">
        <v>5</v>
      </c>
      <c r="C3" s="139" t="s">
        <v>6</v>
      </c>
      <c r="J3" s="492"/>
      <c r="K3" s="492"/>
      <c r="L3" s="492"/>
      <c r="M3" s="144"/>
      <c r="N3" s="144"/>
      <c r="O3" s="144"/>
      <c r="P3" s="144"/>
      <c r="Q3" s="144"/>
      <c r="R3" s="144"/>
      <c r="S3" s="144"/>
      <c r="T3" s="144"/>
      <c r="U3" s="144"/>
      <c r="V3" s="144"/>
      <c r="W3" s="144"/>
      <c r="X3" s="144"/>
      <c r="Y3" s="144"/>
      <c r="Z3" s="144"/>
      <c r="AA3" s="144"/>
      <c r="AB3" s="144"/>
      <c r="AC3" s="144"/>
      <c r="AD3" s="144"/>
      <c r="AE3" s="144"/>
      <c r="AF3" s="144"/>
    </row>
    <row r="4" ht="17.25" customHeight="1">
      <c r="A4" s="144"/>
      <c r="B4" s="144"/>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row>
    <row r="5" ht="16.5" customHeight="1">
      <c r="A5" s="493" t="s">
        <v>5</v>
      </c>
      <c r="B5" s="493" t="s">
        <v>7</v>
      </c>
      <c r="C5" s="493" t="s">
        <v>8</v>
      </c>
      <c r="D5" s="493" t="s">
        <v>9</v>
      </c>
      <c r="E5" s="493" t="s">
        <v>10</v>
      </c>
      <c r="F5" s="493" t="s">
        <v>11</v>
      </c>
      <c r="G5" s="494" t="s">
        <v>12</v>
      </c>
      <c r="H5" s="145" t="s">
        <v>13</v>
      </c>
      <c r="I5" s="493" t="s">
        <v>14</v>
      </c>
      <c r="J5" s="493" t="s">
        <v>15</v>
      </c>
      <c r="K5" s="493" t="s">
        <v>16</v>
      </c>
      <c r="L5" s="22" t="s">
        <v>17</v>
      </c>
      <c r="M5" s="144"/>
      <c r="N5" s="144"/>
      <c r="O5" s="144"/>
      <c r="P5" s="144"/>
      <c r="Q5" s="144"/>
      <c r="R5" s="144"/>
      <c r="S5" s="144"/>
      <c r="T5" s="144"/>
      <c r="U5" s="144"/>
      <c r="V5" s="144"/>
      <c r="W5" s="144"/>
      <c r="X5" s="144"/>
      <c r="Y5" s="144"/>
      <c r="Z5" s="144"/>
      <c r="AA5" s="144"/>
      <c r="AB5" s="144"/>
      <c r="AC5" s="144"/>
      <c r="AD5" s="144"/>
      <c r="AE5" s="144"/>
      <c r="AF5" s="144"/>
    </row>
    <row r="6" ht="16.5" customHeight="1">
      <c r="A6" s="164"/>
      <c r="B6" s="8" t="s">
        <v>5662</v>
      </c>
      <c r="C6" s="87" t="s">
        <v>5663</v>
      </c>
      <c r="D6" s="8" t="s">
        <v>20</v>
      </c>
      <c r="E6" s="8" t="s">
        <v>21</v>
      </c>
      <c r="F6" s="8" t="s">
        <v>74</v>
      </c>
      <c r="G6" s="34" t="str">
        <f>HYPERLINK("https://docs.google.com/spreadsheets/d/1jIplptBtNoF61lTSTpvK7G7z-OOlBaQQPFbG6GEKapA/edit#gid=2099581149", "https://docs.google.com/spreadsheets/d/1jIplptBtNoF61lTSTpvK7G7z-OOlBaQQPFbG6GEKapA/edit#gid=2099581149")</f>
        <v>https://docs.google.com/spreadsheets/d/1jIplptBtNoF61lTSTpvK7G7z-OOlBaQQPFbG6GEKapA/edit#gid=2099581149</v>
      </c>
      <c r="H6" s="35" t="s">
        <v>74</v>
      </c>
      <c r="L6" s="496"/>
      <c r="M6" s="144"/>
      <c r="N6" s="144"/>
      <c r="O6" s="144"/>
      <c r="P6" s="144"/>
      <c r="Q6" s="144"/>
      <c r="R6" s="144"/>
      <c r="S6" s="144"/>
      <c r="T6" s="144"/>
      <c r="U6" s="144"/>
      <c r="V6" s="144"/>
      <c r="W6" s="144"/>
      <c r="X6" s="144"/>
      <c r="Y6" s="144"/>
      <c r="Z6" s="144"/>
      <c r="AA6" s="144"/>
      <c r="AB6" s="144"/>
      <c r="AC6" s="144"/>
      <c r="AD6" s="144"/>
      <c r="AE6" s="144"/>
      <c r="AF6" s="144"/>
    </row>
    <row r="7" ht="16.5" customHeight="1">
      <c r="A7" s="164" t="s">
        <v>5</v>
      </c>
      <c r="E7" s="8" t="s">
        <v>43</v>
      </c>
      <c r="F7" s="8" t="s">
        <v>132</v>
      </c>
      <c r="G7" s="34" t="str">
        <f>HYPERLINK("https://docs.google.com/spreadsheets/d/1jIplptBtNoF61lTSTpvK7G7z-OOlBaQQPFbG6GEKapA/edit#gid=1989711868", "https://docs.google.com/spreadsheets/d/1jIplptBtNoF61lTSTpvK7G7z-OOlBaQQPFbG6GEKapA/edit#gid=1989711868")</f>
        <v>https://docs.google.com/spreadsheets/d/1jIplptBtNoF61lTSTpvK7G7z-OOlBaQQPFbG6GEKapA/edit#gid=1989711868</v>
      </c>
      <c r="H7" s="35" t="s">
        <v>132</v>
      </c>
      <c r="L7" s="496"/>
      <c r="M7" s="144"/>
      <c r="N7" s="144"/>
      <c r="O7" s="144"/>
      <c r="P7" s="144"/>
      <c r="Q7" s="144"/>
      <c r="R7" s="144"/>
      <c r="S7" s="144"/>
      <c r="T7" s="144"/>
      <c r="U7" s="144"/>
      <c r="V7" s="144"/>
      <c r="W7" s="144"/>
      <c r="X7" s="144"/>
      <c r="Y7" s="144"/>
      <c r="Z7" s="144"/>
      <c r="AA7" s="144"/>
      <c r="AB7" s="144"/>
      <c r="AC7" s="144"/>
      <c r="AD7" s="144"/>
      <c r="AE7" s="144"/>
      <c r="AF7" s="144"/>
    </row>
    <row r="8" ht="16.5" customHeight="1">
      <c r="A8" s="164" t="s">
        <v>5</v>
      </c>
      <c r="E8" s="8" t="s">
        <v>43</v>
      </c>
      <c r="F8" s="8" t="s">
        <v>77</v>
      </c>
      <c r="G8" s="34" t="str">
        <f>HYPERLINK("https://docs.google.com/spreadsheets/d/1jIplptBtNoF61lTSTpvK7G7z-OOlBaQQPFbG6GEKapA/edit#gid=1731169189", "https://docs.google.com/spreadsheets/d/1jIplptBtNoF61lTSTpvK7G7z-OOlBaQQPFbG6GEKapA/edit#gid=1731169189")</f>
        <v>https://docs.google.com/spreadsheets/d/1jIplptBtNoF61lTSTpvK7G7z-OOlBaQQPFbG6GEKapA/edit#gid=1731169189</v>
      </c>
      <c r="H8" s="35" t="s">
        <v>77</v>
      </c>
      <c r="L8" s="496"/>
      <c r="M8" s="144"/>
      <c r="N8" s="144"/>
      <c r="O8" s="144"/>
      <c r="P8" s="144"/>
      <c r="Q8" s="144"/>
      <c r="R8" s="144"/>
      <c r="S8" s="144"/>
      <c r="T8" s="144"/>
      <c r="U8" s="144"/>
      <c r="V8" s="144"/>
      <c r="W8" s="144"/>
      <c r="X8" s="144"/>
      <c r="Y8" s="144"/>
      <c r="Z8" s="144"/>
      <c r="AA8" s="144"/>
      <c r="AB8" s="144"/>
      <c r="AC8" s="144"/>
      <c r="AD8" s="144"/>
      <c r="AE8" s="144"/>
      <c r="AF8" s="144"/>
    </row>
    <row r="9" ht="16.5" customHeight="1">
      <c r="A9" s="164" t="s">
        <v>5</v>
      </c>
      <c r="B9" s="8" t="s">
        <v>5664</v>
      </c>
      <c r="C9" s="87" t="s">
        <v>5665</v>
      </c>
      <c r="D9" s="8" t="s">
        <v>20</v>
      </c>
      <c r="E9" s="8" t="s">
        <v>21</v>
      </c>
      <c r="F9" s="8" t="s">
        <v>74</v>
      </c>
      <c r="G9" s="34" t="str">
        <f>HYPERLINK("https://docs.google.com/spreadsheets/d/14esnYZBruTn4LEDai1Gt0pgvbAC5h4ECqTI3HgdD6iY/edit#gid=50095390", "https://docs.google.com/spreadsheets/d/14esnYZBruTn4LEDai1Gt0pgvbAC5h4ECqTI3HgdD6iY/edit#gid=50095390")</f>
        <v>https://docs.google.com/spreadsheets/d/14esnYZBruTn4LEDai1Gt0pgvbAC5h4ECqTI3HgdD6iY/edit#gid=50095390</v>
      </c>
      <c r="H9" s="35" t="s">
        <v>74</v>
      </c>
      <c r="L9" s="496"/>
      <c r="M9" s="144"/>
      <c r="N9" s="144"/>
      <c r="O9" s="144"/>
      <c r="P9" s="144"/>
      <c r="Q9" s="144"/>
      <c r="R9" s="144"/>
      <c r="S9" s="144"/>
      <c r="T9" s="144"/>
      <c r="U9" s="144"/>
      <c r="V9" s="144"/>
      <c r="W9" s="144"/>
      <c r="X9" s="144"/>
      <c r="Y9" s="144"/>
      <c r="Z9" s="144"/>
      <c r="AA9" s="144"/>
      <c r="AB9" s="144"/>
      <c r="AC9" s="144"/>
      <c r="AD9" s="144"/>
      <c r="AE9" s="144"/>
      <c r="AF9" s="144"/>
    </row>
    <row r="10" ht="16.5" customHeight="1">
      <c r="A10" s="164" t="s">
        <v>5</v>
      </c>
      <c r="B10" s="8"/>
      <c r="C10" s="87"/>
      <c r="D10" s="8"/>
      <c r="E10" s="8" t="s">
        <v>72</v>
      </c>
      <c r="F10" s="8" t="s">
        <v>76</v>
      </c>
      <c r="G10" s="60" t="str">
        <f>HYPERLINK("https://docs.google.com/spreadsheets/d/14esnYZBruTn4LEDai1Gt0pgvbAC5h4ECqTI3HgdD6iY/edit#gid=1802641878", "https://docs.google.com/spreadsheets/d/14esnYZBruTn4LEDai1Gt0pgvbAC5h4ECqTI3HgdD6iY/edit#gid=1802641878")</f>
        <v>https://docs.google.com/spreadsheets/d/14esnYZBruTn4LEDai1Gt0pgvbAC5h4ECqTI3HgdD6iY/edit#gid=1802641878</v>
      </c>
      <c r="H10" s="8" t="s">
        <v>76</v>
      </c>
      <c r="I10" s="352"/>
      <c r="J10" s="497"/>
      <c r="K10" s="496"/>
      <c r="L10" s="496"/>
      <c r="M10" s="144"/>
      <c r="N10" s="144"/>
      <c r="O10" s="144"/>
      <c r="P10" s="144"/>
      <c r="Q10" s="144"/>
      <c r="R10" s="144"/>
      <c r="S10" s="144"/>
      <c r="T10" s="144"/>
      <c r="U10" s="144"/>
      <c r="V10" s="144"/>
      <c r="W10" s="144"/>
      <c r="X10" s="144"/>
      <c r="Y10" s="144"/>
      <c r="Z10" s="144"/>
      <c r="AA10" s="144"/>
      <c r="AB10" s="144"/>
      <c r="AC10" s="144"/>
      <c r="AD10" s="144"/>
      <c r="AE10" s="144"/>
      <c r="AF10" s="144"/>
    </row>
    <row r="11" ht="16.5" customHeight="1">
      <c r="A11" s="164" t="s">
        <v>5</v>
      </c>
      <c r="B11" s="8"/>
      <c r="C11" s="87"/>
      <c r="D11" s="8"/>
      <c r="E11" s="8" t="s">
        <v>72</v>
      </c>
      <c r="F11" s="8" t="s">
        <v>326</v>
      </c>
      <c r="G11" s="34" t="str">
        <f>HYPERLINK("https://docs.google.com/spreadsheets/d/14esnYZBruTn4LEDai1Gt0pgvbAC5h4ECqTI3HgdD6iY/edit#gid=1012268065", "https://docs.google.com/spreadsheets/d/14esnYZBruTn4LEDai1Gt0pgvbAC5h4ECqTI3HgdD6iY/edit#gid=1012268065")</f>
        <v>https://docs.google.com/spreadsheets/d/14esnYZBruTn4LEDai1Gt0pgvbAC5h4ECqTI3HgdD6iY/edit#gid=1012268065</v>
      </c>
      <c r="H11" s="8" t="s">
        <v>326</v>
      </c>
      <c r="I11" s="497"/>
      <c r="J11" s="497"/>
      <c r="K11" s="496"/>
      <c r="L11" s="496"/>
      <c r="M11" s="144"/>
      <c r="N11" s="144"/>
      <c r="O11" s="144"/>
      <c r="P11" s="144"/>
      <c r="Q11" s="144"/>
      <c r="R11" s="144"/>
      <c r="S11" s="144"/>
      <c r="T11" s="144"/>
      <c r="U11" s="144"/>
      <c r="V11" s="144"/>
      <c r="W11" s="144"/>
      <c r="X11" s="144"/>
      <c r="Y11" s="144"/>
      <c r="Z11" s="144"/>
      <c r="AA11" s="144"/>
      <c r="AB11" s="144"/>
      <c r="AC11" s="144"/>
      <c r="AD11" s="144"/>
      <c r="AE11" s="144"/>
      <c r="AF11" s="144"/>
    </row>
    <row r="12" ht="16.5" customHeight="1">
      <c r="A12" s="164"/>
      <c r="B12" s="8"/>
      <c r="C12" s="87"/>
      <c r="D12" s="8"/>
      <c r="E12" s="8" t="s">
        <v>72</v>
      </c>
      <c r="F12" s="8" t="s">
        <v>75</v>
      </c>
      <c r="G12" s="34" t="str">
        <f>HYPERLINK("https://docs.google.com/spreadsheets/d/14esnYZBruTn4LEDai1Gt0pgvbAC5h4ECqTI3HgdD6iY/edit#gid=1018006836", "https://docs.google.com/spreadsheets/d/14esnYZBruTn4LEDai1Gt0pgvbAC5h4ECqTI3HgdD6iY/edit#gid=1018006836")</f>
        <v>https://docs.google.com/spreadsheets/d/14esnYZBruTn4LEDai1Gt0pgvbAC5h4ECqTI3HgdD6iY/edit#gid=1018006836</v>
      </c>
      <c r="H12" s="8" t="s">
        <v>75</v>
      </c>
      <c r="I12" s="497"/>
      <c r="J12" s="497"/>
      <c r="K12" s="496"/>
      <c r="L12" s="496"/>
      <c r="M12" s="144"/>
      <c r="N12" s="144"/>
      <c r="O12" s="144"/>
      <c r="P12" s="144"/>
      <c r="Q12" s="144"/>
      <c r="R12" s="144"/>
      <c r="S12" s="144"/>
      <c r="T12" s="144"/>
      <c r="U12" s="144"/>
      <c r="V12" s="144"/>
      <c r="W12" s="144"/>
      <c r="X12" s="144"/>
      <c r="Y12" s="144"/>
      <c r="Z12" s="144"/>
      <c r="AA12" s="144"/>
      <c r="AB12" s="144"/>
      <c r="AC12" s="144"/>
      <c r="AD12" s="144"/>
      <c r="AE12" s="144"/>
      <c r="AF12" s="144"/>
    </row>
    <row r="13" ht="16.5" customHeight="1">
      <c r="A13" s="164" t="s">
        <v>5</v>
      </c>
      <c r="B13" s="8"/>
      <c r="C13" s="87"/>
      <c r="D13" s="8"/>
      <c r="E13" s="8" t="s">
        <v>72</v>
      </c>
      <c r="F13" s="8" t="s">
        <v>81</v>
      </c>
      <c r="G13" s="34" t="str">
        <f>HYPERLINK("https://docs.google.com/spreadsheets/d/14esnYZBruTn4LEDai1Gt0pgvbAC5h4ECqTI3HgdD6iY/edit#gid=456732826", "https://docs.google.com/spreadsheets/d/14esnYZBruTn4LEDai1Gt0pgvbAC5h4ECqTI3HgdD6iY/edit#gid=456732826")</f>
        <v>https://docs.google.com/spreadsheets/d/14esnYZBruTn4LEDai1Gt0pgvbAC5h4ECqTI3HgdD6iY/edit#gid=456732826</v>
      </c>
      <c r="H13" s="8" t="s">
        <v>81</v>
      </c>
      <c r="I13" s="497"/>
      <c r="J13" s="497"/>
      <c r="K13" s="496"/>
      <c r="L13" s="496"/>
      <c r="M13" s="144"/>
      <c r="N13" s="144"/>
      <c r="O13" s="144"/>
      <c r="P13" s="144"/>
      <c r="Q13" s="144"/>
      <c r="R13" s="144"/>
      <c r="S13" s="144"/>
      <c r="T13" s="144"/>
      <c r="U13" s="144"/>
      <c r="V13" s="144"/>
      <c r="W13" s="144"/>
      <c r="X13" s="144"/>
      <c r="Y13" s="144"/>
      <c r="Z13" s="144"/>
      <c r="AA13" s="144"/>
      <c r="AB13" s="144"/>
      <c r="AC13" s="144"/>
      <c r="AD13" s="144"/>
      <c r="AE13" s="144"/>
      <c r="AF13" s="144"/>
    </row>
    <row r="14" ht="16.5" customHeight="1">
      <c r="A14" s="164"/>
      <c r="B14" s="8"/>
      <c r="C14" s="87"/>
      <c r="D14" s="8"/>
      <c r="E14" s="8" t="s">
        <v>72</v>
      </c>
      <c r="F14" s="8" t="s">
        <v>76</v>
      </c>
      <c r="G14" s="34" t="str">
        <f>HYPERLINK("https://docs.google.com/spreadsheets/d/14esnYZBruTn4LEDai1Gt0pgvbAC5h4ECqTI3HgdD6iY/edit#gid=287349307", "https://docs.google.com/spreadsheets/d/14esnYZBruTn4LEDai1Gt0pgvbAC5h4ECqTI3HgdD6iY/edit#gid=287349307")</f>
        <v>https://docs.google.com/spreadsheets/d/14esnYZBruTn4LEDai1Gt0pgvbAC5h4ECqTI3HgdD6iY/edit#gid=287349307</v>
      </c>
      <c r="H14" s="35" t="s">
        <v>2391</v>
      </c>
      <c r="L14" s="496"/>
      <c r="M14" s="144"/>
      <c r="N14" s="144"/>
      <c r="O14" s="144"/>
      <c r="P14" s="144"/>
      <c r="Q14" s="144"/>
      <c r="R14" s="144"/>
      <c r="S14" s="144"/>
      <c r="T14" s="144"/>
      <c r="U14" s="144"/>
      <c r="V14" s="144"/>
      <c r="W14" s="144"/>
      <c r="X14" s="144"/>
      <c r="Y14" s="144"/>
      <c r="Z14" s="144"/>
      <c r="AA14" s="144"/>
      <c r="AB14" s="144"/>
      <c r="AC14" s="144"/>
      <c r="AD14" s="144"/>
      <c r="AE14" s="144"/>
      <c r="AF14" s="144"/>
    </row>
    <row r="15" ht="16.5" customHeight="1">
      <c r="A15" s="164" t="s">
        <v>5</v>
      </c>
      <c r="B15" s="8"/>
      <c r="C15" s="87"/>
      <c r="D15" s="8"/>
      <c r="E15" s="8" t="s">
        <v>72</v>
      </c>
      <c r="F15" s="8" t="s">
        <v>75</v>
      </c>
      <c r="G15" s="34" t="str">
        <f>HYPERLINK("https://docs.google.com/spreadsheets/d/14esnYZBruTn4LEDai1Gt0pgvbAC5h4ECqTI3HgdD6iY/edit#gid=741553480", "https://docs.google.com/spreadsheets/d/14esnYZBruTn4LEDai1Gt0pgvbAC5h4ECqTI3HgdD6iY/edit#gid=741553480")</f>
        <v>https://docs.google.com/spreadsheets/d/14esnYZBruTn4LEDai1Gt0pgvbAC5h4ECqTI3HgdD6iY/edit#gid=741553480</v>
      </c>
      <c r="H15" s="35" t="s">
        <v>80</v>
      </c>
      <c r="L15" s="496"/>
      <c r="M15" s="144"/>
      <c r="N15" s="144"/>
      <c r="O15" s="144"/>
      <c r="P15" s="144"/>
      <c r="Q15" s="144"/>
      <c r="R15" s="144"/>
      <c r="S15" s="144"/>
      <c r="T15" s="144"/>
      <c r="U15" s="144"/>
      <c r="V15" s="144"/>
      <c r="W15" s="144"/>
      <c r="X15" s="144"/>
      <c r="Y15" s="144"/>
      <c r="Z15" s="144"/>
      <c r="AA15" s="144"/>
      <c r="AB15" s="144"/>
      <c r="AC15" s="144"/>
      <c r="AD15" s="144"/>
      <c r="AE15" s="144"/>
      <c r="AF15" s="144"/>
    </row>
    <row r="16" ht="16.5" customHeight="1">
      <c r="A16" s="164" t="s">
        <v>5</v>
      </c>
      <c r="B16" s="8"/>
      <c r="C16" s="87"/>
      <c r="D16" s="8"/>
      <c r="E16" s="8" t="s">
        <v>72</v>
      </c>
      <c r="F16" s="8" t="s">
        <v>81</v>
      </c>
      <c r="G16" s="34" t="str">
        <f>HYPERLINK("https://docs.google.com/spreadsheets/d/14esnYZBruTn4LEDai1Gt0pgvbAC5h4ECqTI3HgdD6iY/edit#gid=1100928934", "https://docs.google.com/spreadsheets/d/14esnYZBruTn4LEDai1Gt0pgvbAC5h4ECqTI3HgdD6iY/edit#gid=1100928934")</f>
        <v>https://docs.google.com/spreadsheets/d/14esnYZBruTn4LEDai1Gt0pgvbAC5h4ECqTI3HgdD6iY/edit#gid=1100928934</v>
      </c>
      <c r="H16" s="35" t="s">
        <v>2411</v>
      </c>
      <c r="L16" s="496"/>
      <c r="M16" s="144"/>
      <c r="N16" s="144"/>
      <c r="O16" s="144"/>
      <c r="P16" s="144"/>
      <c r="Q16" s="144"/>
      <c r="R16" s="144"/>
      <c r="S16" s="144"/>
      <c r="T16" s="144"/>
      <c r="U16" s="144"/>
      <c r="V16" s="144"/>
      <c r="W16" s="144"/>
      <c r="X16" s="144"/>
      <c r="Y16" s="144"/>
      <c r="Z16" s="144"/>
      <c r="AA16" s="144"/>
      <c r="AB16" s="144"/>
      <c r="AC16" s="144"/>
      <c r="AD16" s="144"/>
      <c r="AE16" s="144"/>
      <c r="AF16" s="144"/>
    </row>
    <row r="17" ht="16.5" customHeight="1">
      <c r="A17" s="164" t="s">
        <v>5</v>
      </c>
      <c r="B17" s="8" t="s">
        <v>5666</v>
      </c>
      <c r="C17" s="87" t="s">
        <v>5667</v>
      </c>
      <c r="D17" s="8" t="s">
        <v>20</v>
      </c>
      <c r="E17" s="8" t="s">
        <v>21</v>
      </c>
      <c r="F17" s="8" t="s">
        <v>22</v>
      </c>
      <c r="G17" s="34" t="str">
        <f>HYPERLINK("https://docs.google.com/spreadsheets/d/13DisaVYuAaWVk_2Cn7Mn-Xl9fmogXMPKmKvd4xlAvjs/edit#gid=1947116997", "https://docs.google.com/spreadsheets/d/13DisaVYuAaWVk_2Cn7Mn-Xl9fmogXMPKmKvd4xlAvjs/edit#gid=1947116997")</f>
        <v>https://docs.google.com/spreadsheets/d/13DisaVYuAaWVk_2Cn7Mn-Xl9fmogXMPKmKvd4xlAvjs/edit#gid=1947116997</v>
      </c>
      <c r="H17" s="8" t="s">
        <v>22</v>
      </c>
      <c r="I17" s="497"/>
      <c r="J17" s="497"/>
      <c r="K17" s="496"/>
      <c r="L17" s="496"/>
      <c r="M17" s="144"/>
      <c r="N17" s="144"/>
      <c r="O17" s="144"/>
      <c r="P17" s="144"/>
      <c r="Q17" s="144"/>
      <c r="R17" s="144"/>
      <c r="S17" s="144"/>
      <c r="T17" s="144"/>
      <c r="U17" s="144"/>
      <c r="V17" s="144"/>
      <c r="W17" s="144"/>
      <c r="X17" s="144"/>
      <c r="Y17" s="144"/>
      <c r="Z17" s="144"/>
      <c r="AA17" s="144"/>
      <c r="AB17" s="144"/>
      <c r="AC17" s="144"/>
      <c r="AD17" s="144"/>
      <c r="AE17" s="144"/>
      <c r="AF17" s="144"/>
    </row>
    <row r="18" ht="16.5" customHeight="1">
      <c r="A18" s="164" t="s">
        <v>5</v>
      </c>
      <c r="B18" s="8"/>
      <c r="C18" s="87"/>
      <c r="D18" s="8"/>
      <c r="E18" s="8" t="s">
        <v>43</v>
      </c>
      <c r="F18" s="8" t="s">
        <v>109</v>
      </c>
      <c r="G18" s="34" t="str">
        <f>HYPERLINK("https://docs.google.com/spreadsheets/d/13DisaVYuAaWVk_2Cn7Mn-Xl9fmogXMPKmKvd4xlAvjs/edit#gid=1922683642", "https://docs.google.com/spreadsheets/d/13DisaVYuAaWVk_2Cn7Mn-Xl9fmogXMPKmKvd4xlAvjs/edit#gid=1922683642")</f>
        <v>https://docs.google.com/spreadsheets/d/13DisaVYuAaWVk_2Cn7Mn-Xl9fmogXMPKmKvd4xlAvjs/edit#gid=1922683642</v>
      </c>
      <c r="H18" s="8" t="s">
        <v>109</v>
      </c>
      <c r="I18" s="352"/>
      <c r="J18" s="497"/>
      <c r="K18" s="496"/>
      <c r="L18" s="496"/>
      <c r="M18" s="144"/>
      <c r="N18" s="144"/>
      <c r="O18" s="144"/>
      <c r="P18" s="144"/>
      <c r="Q18" s="144"/>
      <c r="R18" s="144"/>
      <c r="S18" s="144"/>
      <c r="T18" s="144"/>
      <c r="U18" s="144"/>
      <c r="V18" s="144"/>
      <c r="W18" s="144"/>
      <c r="X18" s="144"/>
      <c r="Y18" s="144"/>
      <c r="Z18" s="144"/>
      <c r="AA18" s="144"/>
      <c r="AB18" s="144"/>
      <c r="AC18" s="144"/>
      <c r="AD18" s="144"/>
      <c r="AE18" s="144"/>
      <c r="AF18" s="144"/>
    </row>
    <row r="19" ht="16.5" customHeight="1">
      <c r="A19" s="164" t="s">
        <v>5</v>
      </c>
      <c r="B19" s="8"/>
      <c r="C19" s="87"/>
      <c r="D19" s="8"/>
      <c r="E19" s="8" t="s">
        <v>21</v>
      </c>
      <c r="F19" s="8" t="s">
        <v>74</v>
      </c>
      <c r="G19" s="34" t="str">
        <f>HYPERLINK("https://docs.google.com/spreadsheets/d/13DisaVYuAaWVk_2Cn7Mn-Xl9fmogXMPKmKvd4xlAvjs/edit#gid=1948056507", "https://docs.google.com/spreadsheets/d/13DisaVYuAaWVk_2Cn7Mn-Xl9fmogXMPKmKvd4xlAvjs/edit#gid=1948056507")</f>
        <v>https://docs.google.com/spreadsheets/d/13DisaVYuAaWVk_2Cn7Mn-Xl9fmogXMPKmKvd4xlAvjs/edit#gid=1948056507</v>
      </c>
      <c r="H19" s="8" t="s">
        <v>74</v>
      </c>
      <c r="I19" s="352"/>
      <c r="J19" s="497"/>
      <c r="K19" s="496"/>
      <c r="L19" s="496"/>
      <c r="M19" s="144"/>
      <c r="N19" s="144"/>
      <c r="O19" s="144"/>
      <c r="P19" s="144"/>
      <c r="Q19" s="144"/>
      <c r="R19" s="144"/>
      <c r="S19" s="144"/>
      <c r="T19" s="144"/>
      <c r="U19" s="144"/>
      <c r="V19" s="144"/>
      <c r="W19" s="144"/>
      <c r="X19" s="144"/>
      <c r="Y19" s="144"/>
      <c r="Z19" s="144"/>
      <c r="AA19" s="144"/>
      <c r="AB19" s="144"/>
      <c r="AC19" s="144"/>
      <c r="AD19" s="144"/>
      <c r="AE19" s="144"/>
      <c r="AF19" s="144"/>
    </row>
    <row r="20" ht="16.5" customHeight="1">
      <c r="A20" s="164" t="s">
        <v>5</v>
      </c>
      <c r="B20" s="8"/>
      <c r="C20" s="87"/>
      <c r="D20" s="8"/>
      <c r="E20" s="8" t="s">
        <v>43</v>
      </c>
      <c r="F20" s="8" t="s">
        <v>132</v>
      </c>
      <c r="G20" s="34" t="str">
        <f>HYPERLINK("https://docs.google.com/spreadsheets/d/13DisaVYuAaWVk_2Cn7Mn-Xl9fmogXMPKmKvd4xlAvjs/edit#gid=116174255", "https://docs.google.com/spreadsheets/d/13DisaVYuAaWVk_2Cn7Mn-Xl9fmogXMPKmKvd4xlAvjs/edit#gid=116174255")</f>
        <v>https://docs.google.com/spreadsheets/d/13DisaVYuAaWVk_2Cn7Mn-Xl9fmogXMPKmKvd4xlAvjs/edit#gid=116174255</v>
      </c>
      <c r="H20" s="8" t="s">
        <v>132</v>
      </c>
      <c r="I20" s="497"/>
      <c r="J20" s="497"/>
      <c r="K20" s="496"/>
      <c r="L20" s="496"/>
      <c r="M20" s="144"/>
      <c r="N20" s="144"/>
      <c r="O20" s="144"/>
      <c r="P20" s="144"/>
      <c r="Q20" s="144"/>
      <c r="R20" s="144"/>
      <c r="S20" s="144"/>
      <c r="T20" s="144"/>
      <c r="U20" s="144"/>
      <c r="V20" s="144"/>
      <c r="W20" s="144"/>
      <c r="X20" s="144"/>
      <c r="Y20" s="144"/>
      <c r="Z20" s="144"/>
      <c r="AA20" s="144"/>
      <c r="AB20" s="144"/>
      <c r="AC20" s="144"/>
      <c r="AD20" s="144"/>
      <c r="AE20" s="144"/>
      <c r="AF20" s="144"/>
    </row>
    <row r="21" ht="16.5" customHeight="1">
      <c r="A21" s="144"/>
      <c r="B21" s="559"/>
      <c r="C21" s="352"/>
      <c r="D21" s="352"/>
      <c r="E21" s="83" t="s">
        <v>43</v>
      </c>
      <c r="F21" s="83" t="s">
        <v>77</v>
      </c>
      <c r="G21" s="498" t="str">
        <f>HYPERLINK("https://docs.google.com/spreadsheets/d/13DisaVYuAaWVk_2Cn7Mn-Xl9fmogXMPKmKvd4xlAvjs/edit#gid=1243447322", "https://docs.google.com/spreadsheets/d/13DisaVYuAaWVk_2Cn7Mn-Xl9fmogXMPKmKvd4xlAvjs/edit#gid=1243447322")</f>
        <v>https://docs.google.com/spreadsheets/d/13DisaVYuAaWVk_2Cn7Mn-Xl9fmogXMPKmKvd4xlAvjs/edit#gid=1243447322</v>
      </c>
      <c r="H21" s="83" t="s">
        <v>77</v>
      </c>
      <c r="I21" s="497"/>
      <c r="J21" s="497"/>
      <c r="K21" s="496"/>
      <c r="L21" s="496"/>
      <c r="M21" s="144"/>
      <c r="N21" s="144"/>
      <c r="O21" s="144"/>
      <c r="P21" s="144"/>
      <c r="Q21" s="144"/>
      <c r="R21" s="144"/>
      <c r="S21" s="144"/>
      <c r="T21" s="144"/>
      <c r="U21" s="144"/>
      <c r="V21" s="144"/>
      <c r="W21" s="144"/>
      <c r="X21" s="144"/>
      <c r="Y21" s="144"/>
      <c r="Z21" s="144"/>
      <c r="AA21" s="144"/>
      <c r="AB21" s="144"/>
      <c r="AC21" s="144"/>
      <c r="AD21" s="144"/>
      <c r="AE21" s="144"/>
      <c r="AF21" s="144"/>
    </row>
    <row r="22" ht="16.5" customHeight="1">
      <c r="A22" s="144"/>
      <c r="B22" s="83"/>
      <c r="C22" s="352"/>
      <c r="D22" s="352"/>
      <c r="E22" s="83" t="s">
        <v>43</v>
      </c>
      <c r="F22" s="83" t="s">
        <v>79</v>
      </c>
      <c r="G22" s="571" t="str">
        <f>HYPERLINK("https://docs.google.com/spreadsheets/d/13DisaVYuAaWVk_2Cn7Mn-Xl9fmogXMPKmKvd4xlAvjs/edit#gid=1634703396", "https://docs.google.com/spreadsheets/d/13DisaVYuAaWVk_2Cn7Mn-Xl9fmogXMPKmKvd4xlAvjs/edit#gid=1634703396")</f>
        <v>https://docs.google.com/spreadsheets/d/13DisaVYuAaWVk_2Cn7Mn-Xl9fmogXMPKmKvd4xlAvjs/edit#gid=1634703396</v>
      </c>
      <c r="H22" s="83" t="s">
        <v>79</v>
      </c>
      <c r="I22" s="497"/>
      <c r="J22" s="497"/>
      <c r="K22" s="496"/>
      <c r="L22" s="496"/>
      <c r="M22" s="144"/>
      <c r="N22" s="144"/>
      <c r="O22" s="144"/>
      <c r="P22" s="144"/>
      <c r="Q22" s="144"/>
      <c r="R22" s="144"/>
      <c r="S22" s="144"/>
      <c r="T22" s="144"/>
      <c r="U22" s="144"/>
      <c r="V22" s="144"/>
      <c r="W22" s="144"/>
      <c r="X22" s="144"/>
      <c r="Y22" s="144"/>
      <c r="Z22" s="144"/>
      <c r="AA22" s="144"/>
      <c r="AB22" s="144"/>
      <c r="AC22" s="144"/>
      <c r="AD22" s="144"/>
      <c r="AE22" s="144"/>
      <c r="AF22" s="144"/>
    </row>
    <row r="23" ht="16.5" customHeight="1">
      <c r="A23" s="144"/>
      <c r="B23" s="559"/>
      <c r="C23" s="352"/>
      <c r="D23" s="352"/>
      <c r="E23" s="83" t="s">
        <v>43</v>
      </c>
      <c r="F23" s="83" t="s">
        <v>53</v>
      </c>
      <c r="G23" s="560" t="str">
        <f>HYPERLINK("https://docs.google.com/spreadsheets/d/13DisaVYuAaWVk_2Cn7Mn-Xl9fmogXMPKmKvd4xlAvjs/edit#gid=220141153", "https://docs.google.com/spreadsheets/d/13DisaVYuAaWVk_2Cn7Mn-Xl9fmogXMPKmKvd4xlAvjs/edit#gid=220141153")</f>
        <v>https://docs.google.com/spreadsheets/d/13DisaVYuAaWVk_2Cn7Mn-Xl9fmogXMPKmKvd4xlAvjs/edit#gid=220141153</v>
      </c>
      <c r="H23" s="83" t="s">
        <v>53</v>
      </c>
      <c r="I23" s="497"/>
      <c r="J23" s="497"/>
      <c r="K23" s="496"/>
      <c r="L23" s="496"/>
      <c r="M23" s="144"/>
      <c r="N23" s="144"/>
      <c r="O23" s="144"/>
      <c r="P23" s="144"/>
      <c r="Q23" s="144"/>
      <c r="R23" s="144"/>
      <c r="S23" s="144"/>
      <c r="T23" s="144"/>
      <c r="U23" s="144"/>
      <c r="V23" s="144"/>
      <c r="W23" s="144"/>
      <c r="X23" s="144"/>
      <c r="Y23" s="144"/>
      <c r="Z23" s="144"/>
      <c r="AA23" s="144"/>
      <c r="AB23" s="144"/>
      <c r="AC23" s="144"/>
      <c r="AD23" s="144"/>
      <c r="AE23" s="144"/>
      <c r="AF23" s="144"/>
    </row>
    <row r="24" ht="16.5" customHeight="1">
      <c r="A24" s="144"/>
      <c r="B24" s="559"/>
      <c r="C24" s="352"/>
      <c r="D24" s="352"/>
      <c r="E24" s="83" t="s">
        <v>72</v>
      </c>
      <c r="F24" s="83" t="s">
        <v>75</v>
      </c>
      <c r="G24" s="560" t="str">
        <f>HYPERLINK("https://docs.google.com/spreadsheets/d/13DisaVYuAaWVk_2Cn7Mn-Xl9fmogXMPKmKvd4xlAvjs/edit#gid=180255656", "https://docs.google.com/spreadsheets/d/13DisaVYuAaWVk_2Cn7Mn-Xl9fmogXMPKmKvd4xlAvjs/edit#gid=180255656")</f>
        <v>https://docs.google.com/spreadsheets/d/13DisaVYuAaWVk_2Cn7Mn-Xl9fmogXMPKmKvd4xlAvjs/edit#gid=180255656</v>
      </c>
      <c r="H24" s="83" t="s">
        <v>75</v>
      </c>
      <c r="I24" s="497"/>
      <c r="J24" s="497"/>
      <c r="K24" s="496"/>
      <c r="L24" s="496"/>
      <c r="M24" s="144"/>
      <c r="N24" s="144"/>
      <c r="O24" s="144"/>
      <c r="P24" s="144"/>
      <c r="Q24" s="144"/>
      <c r="R24" s="144"/>
      <c r="S24" s="144"/>
      <c r="T24" s="144"/>
      <c r="U24" s="144"/>
      <c r="V24" s="144"/>
      <c r="W24" s="144"/>
      <c r="X24" s="144"/>
      <c r="Y24" s="144"/>
      <c r="Z24" s="144"/>
      <c r="AA24" s="144"/>
      <c r="AB24" s="144"/>
      <c r="AC24" s="144"/>
      <c r="AD24" s="144"/>
      <c r="AE24" s="144"/>
      <c r="AF24" s="144"/>
    </row>
    <row r="25" ht="16.5" customHeight="1">
      <c r="A25" s="144"/>
      <c r="B25" s="559"/>
      <c r="C25" s="352"/>
      <c r="D25" s="352"/>
      <c r="E25" s="83" t="s">
        <v>72</v>
      </c>
      <c r="F25" s="83" t="s">
        <v>81</v>
      </c>
      <c r="G25" s="560" t="str">
        <f>HYPERLINK("https://docs.google.com/spreadsheets/d/13DisaVYuAaWVk_2Cn7Mn-Xl9fmogXMPKmKvd4xlAvjs/edit#gid=904137764", "https://docs.google.com/spreadsheets/d/13DisaVYuAaWVk_2Cn7Mn-Xl9fmogXMPKmKvd4xlAvjs/edit#gid=904137764")</f>
        <v>https://docs.google.com/spreadsheets/d/13DisaVYuAaWVk_2Cn7Mn-Xl9fmogXMPKmKvd4xlAvjs/edit#gid=904137764</v>
      </c>
      <c r="H25" s="83" t="s">
        <v>81</v>
      </c>
      <c r="I25" s="497"/>
      <c r="J25" s="497"/>
      <c r="K25" s="496"/>
      <c r="L25" s="496"/>
      <c r="M25" s="144"/>
      <c r="N25" s="144"/>
      <c r="O25" s="144"/>
      <c r="P25" s="144"/>
      <c r="Q25" s="144"/>
      <c r="R25" s="144"/>
      <c r="S25" s="144"/>
      <c r="T25" s="144"/>
      <c r="U25" s="144"/>
      <c r="V25" s="144"/>
      <c r="W25" s="144"/>
      <c r="X25" s="144"/>
      <c r="Y25" s="144"/>
      <c r="Z25" s="144"/>
      <c r="AA25" s="144"/>
      <c r="AB25" s="144"/>
      <c r="AC25" s="144"/>
      <c r="AD25" s="144"/>
      <c r="AE25" s="144"/>
      <c r="AF25" s="144"/>
    </row>
    <row r="26" ht="16.5" customHeight="1">
      <c r="A26" s="144"/>
      <c r="B26" s="559"/>
      <c r="C26" s="352"/>
      <c r="D26" s="352"/>
      <c r="E26" s="83" t="s">
        <v>43</v>
      </c>
      <c r="F26" s="83" t="s">
        <v>79</v>
      </c>
      <c r="G26" s="560" t="str">
        <f>HYPERLINK("https://docs.google.com/spreadsheets/d/13DisaVYuAaWVk_2Cn7Mn-Xl9fmogXMPKmKvd4xlAvjs/edit#gid=1379539777", "https://docs.google.com/spreadsheets/d/13DisaVYuAaWVk_2Cn7Mn-Xl9fmogXMPKmKvd4xlAvjs/edit#gid=1379539777")</f>
        <v>https://docs.google.com/spreadsheets/d/13DisaVYuAaWVk_2Cn7Mn-Xl9fmogXMPKmKvd4xlAvjs/edit#gid=1379539777</v>
      </c>
      <c r="H26" s="83" t="s">
        <v>83</v>
      </c>
      <c r="I26" s="352"/>
      <c r="J26" s="497"/>
      <c r="K26" s="496"/>
      <c r="L26" s="496"/>
      <c r="M26" s="144"/>
      <c r="N26" s="144"/>
      <c r="O26" s="144"/>
      <c r="P26" s="144"/>
      <c r="Q26" s="144"/>
      <c r="R26" s="144"/>
      <c r="S26" s="144"/>
      <c r="T26" s="144"/>
      <c r="U26" s="144"/>
      <c r="V26" s="144"/>
      <c r="W26" s="144"/>
      <c r="X26" s="144"/>
      <c r="Y26" s="144"/>
      <c r="Z26" s="144"/>
      <c r="AA26" s="144"/>
      <c r="AB26" s="144"/>
      <c r="AC26" s="144"/>
      <c r="AD26" s="144"/>
      <c r="AE26" s="144"/>
      <c r="AF26" s="144"/>
    </row>
    <row r="27" ht="16.5" customHeight="1">
      <c r="A27" s="144"/>
      <c r="B27" s="559"/>
      <c r="C27" s="352"/>
      <c r="D27" s="352"/>
      <c r="E27" s="83" t="s">
        <v>43</v>
      </c>
      <c r="F27" s="501" t="s">
        <v>77</v>
      </c>
      <c r="G27" s="560" t="str">
        <f>HYPERLINK("https://docs.google.com/spreadsheets/d/13DisaVYuAaWVk_2Cn7Mn-Xl9fmogXMPKmKvd4xlAvjs/edit#gid=2106678182", "https://docs.google.com/spreadsheets/d/13DisaVYuAaWVk_2Cn7Mn-Xl9fmogXMPKmKvd4xlAvjs/edit#gid=2106678182")</f>
        <v>https://docs.google.com/spreadsheets/d/13DisaVYuAaWVk_2Cn7Mn-Xl9fmogXMPKmKvd4xlAvjs/edit#gid=2106678182</v>
      </c>
      <c r="H27" s="501" t="s">
        <v>78</v>
      </c>
      <c r="I27" s="352"/>
      <c r="J27" s="497"/>
      <c r="K27" s="496"/>
      <c r="L27" s="496"/>
      <c r="M27" s="144"/>
      <c r="N27" s="144"/>
      <c r="O27" s="144"/>
      <c r="P27" s="144"/>
      <c r="Q27" s="144"/>
      <c r="R27" s="144"/>
      <c r="S27" s="144"/>
      <c r="T27" s="144"/>
      <c r="U27" s="144"/>
      <c r="V27" s="144"/>
      <c r="W27" s="144"/>
      <c r="X27" s="144"/>
      <c r="Y27" s="144"/>
      <c r="Z27" s="144"/>
      <c r="AA27" s="144"/>
      <c r="AB27" s="144"/>
      <c r="AC27" s="144"/>
      <c r="AD27" s="144"/>
      <c r="AE27" s="144"/>
      <c r="AF27" s="144"/>
    </row>
    <row r="28" ht="16.5" customHeight="1">
      <c r="A28" s="144"/>
      <c r="B28" s="559"/>
      <c r="C28" s="352"/>
      <c r="D28" s="352"/>
      <c r="E28" s="83" t="s">
        <v>43</v>
      </c>
      <c r="F28" s="83" t="s">
        <v>53</v>
      </c>
      <c r="G28" s="560" t="str">
        <f>HYPERLINK("https://docs.google.com/spreadsheets/d/13DisaVYuAaWVk_2Cn7Mn-Xl9fmogXMPKmKvd4xlAvjs/edit#gid=1107469385", "https://docs.google.com/spreadsheets/d/13DisaVYuAaWVk_2Cn7Mn-Xl9fmogXMPKmKvd4xlAvjs/edit#gid=1107469385")</f>
        <v>https://docs.google.com/spreadsheets/d/13DisaVYuAaWVk_2Cn7Mn-Xl9fmogXMPKmKvd4xlAvjs/edit#gid=1107469385</v>
      </c>
      <c r="H28" s="501" t="s">
        <v>325</v>
      </c>
      <c r="I28" s="497"/>
      <c r="J28" s="497"/>
      <c r="K28" s="496"/>
      <c r="L28" s="496"/>
      <c r="M28" s="144"/>
      <c r="N28" s="144"/>
      <c r="O28" s="144"/>
      <c r="P28" s="144"/>
      <c r="Q28" s="144"/>
      <c r="R28" s="144"/>
      <c r="S28" s="144"/>
      <c r="T28" s="144"/>
      <c r="U28" s="144"/>
      <c r="V28" s="144"/>
      <c r="W28" s="144"/>
      <c r="X28" s="144"/>
      <c r="Y28" s="144"/>
      <c r="Z28" s="144"/>
      <c r="AA28" s="144"/>
      <c r="AB28" s="144"/>
      <c r="AC28" s="144"/>
      <c r="AD28" s="144"/>
      <c r="AE28" s="144"/>
      <c r="AF28" s="144"/>
    </row>
    <row r="29" ht="16.5" customHeight="1">
      <c r="A29" s="144"/>
      <c r="B29" s="559"/>
      <c r="C29" s="352"/>
      <c r="D29" s="352"/>
      <c r="E29" s="83" t="s">
        <v>43</v>
      </c>
      <c r="F29" s="83" t="s">
        <v>109</v>
      </c>
      <c r="G29" s="560" t="str">
        <f>HYPERLINK("https://docs.google.com/spreadsheets/d/13DisaVYuAaWVk_2Cn7Mn-Xl9fmogXMPKmKvd4xlAvjs/edit#gid=1962698149", "https://docs.google.com/spreadsheets/d/13DisaVYuAaWVk_2Cn7Mn-Xl9fmogXMPKmKvd4xlAvjs/edit#gid=1962698149")</f>
        <v>https://docs.google.com/spreadsheets/d/13DisaVYuAaWVk_2Cn7Mn-Xl9fmogXMPKmKvd4xlAvjs/edit#gid=1962698149</v>
      </c>
      <c r="H29" s="83" t="s">
        <v>2395</v>
      </c>
      <c r="I29" s="497"/>
      <c r="J29" s="497"/>
      <c r="K29" s="496"/>
      <c r="L29" s="496"/>
      <c r="M29" s="144"/>
      <c r="N29" s="144"/>
      <c r="O29" s="144"/>
      <c r="P29" s="144"/>
      <c r="Q29" s="144"/>
      <c r="R29" s="144"/>
      <c r="S29" s="144"/>
      <c r="T29" s="144"/>
      <c r="U29" s="144"/>
      <c r="V29" s="144"/>
      <c r="W29" s="144"/>
      <c r="X29" s="144"/>
      <c r="Y29" s="144"/>
      <c r="Z29" s="144"/>
      <c r="AA29" s="144"/>
      <c r="AB29" s="144"/>
      <c r="AC29" s="144"/>
      <c r="AD29" s="144"/>
      <c r="AE29" s="144"/>
      <c r="AF29" s="144"/>
    </row>
    <row r="30" ht="16.5" customHeight="1">
      <c r="A30" s="144"/>
      <c r="B30" s="559"/>
      <c r="C30" s="352"/>
      <c r="D30" s="352"/>
      <c r="E30" s="83" t="s">
        <v>21</v>
      </c>
      <c r="F30" s="83" t="s">
        <v>74</v>
      </c>
      <c r="G30" s="560" t="str">
        <f>HYPERLINK("https://docs.google.com/spreadsheets/d/13DisaVYuAaWVk_2Cn7Mn-Xl9fmogXMPKmKvd4xlAvjs/edit#gid=36193169", "https://docs.google.com/spreadsheets/d/13DisaVYuAaWVk_2Cn7Mn-Xl9fmogXMPKmKvd4xlAvjs/edit#gid=36193169")</f>
        <v>https://docs.google.com/spreadsheets/d/13DisaVYuAaWVk_2Cn7Mn-Xl9fmogXMPKmKvd4xlAvjs/edit#gid=36193169</v>
      </c>
      <c r="H30" s="83" t="s">
        <v>2390</v>
      </c>
      <c r="I30" s="497"/>
      <c r="J30" s="497"/>
      <c r="K30" s="496"/>
      <c r="L30" s="496"/>
      <c r="M30" s="144"/>
      <c r="N30" s="144"/>
      <c r="O30" s="144"/>
      <c r="P30" s="144"/>
      <c r="Q30" s="144"/>
      <c r="R30" s="144"/>
      <c r="S30" s="144"/>
      <c r="T30" s="144"/>
      <c r="U30" s="144"/>
      <c r="V30" s="144"/>
      <c r="W30" s="144"/>
      <c r="X30" s="144"/>
      <c r="Y30" s="144"/>
      <c r="Z30" s="144"/>
      <c r="AA30" s="144"/>
      <c r="AB30" s="144"/>
      <c r="AC30" s="144"/>
      <c r="AD30" s="144"/>
      <c r="AE30" s="144"/>
      <c r="AF30" s="144"/>
    </row>
    <row r="31" ht="16.5" customHeight="1">
      <c r="A31" s="144"/>
      <c r="B31" s="559"/>
      <c r="C31" s="352"/>
      <c r="D31" s="352"/>
      <c r="E31" s="83" t="s">
        <v>43</v>
      </c>
      <c r="F31" s="83" t="s">
        <v>77</v>
      </c>
      <c r="G31" s="560" t="str">
        <f>HYPERLINK("https://docs.google.com/spreadsheets/d/13DisaVYuAaWVk_2Cn7Mn-Xl9fmogXMPKmKvd4xlAvjs/edit#gid=1714048701", "https://docs.google.com/spreadsheets/d/13DisaVYuAaWVk_2Cn7Mn-Xl9fmogXMPKmKvd4xlAvjs/edit#gid=1714048701")</f>
        <v>https://docs.google.com/spreadsheets/d/13DisaVYuAaWVk_2Cn7Mn-Xl9fmogXMPKmKvd4xlAvjs/edit#gid=1714048701</v>
      </c>
      <c r="H31" s="83" t="s">
        <v>82</v>
      </c>
      <c r="I31" s="497"/>
      <c r="J31" s="497"/>
      <c r="K31" s="496"/>
      <c r="L31" s="496"/>
      <c r="M31" s="144"/>
      <c r="N31" s="144"/>
      <c r="O31" s="144"/>
      <c r="P31" s="144"/>
      <c r="Q31" s="144"/>
      <c r="R31" s="144"/>
      <c r="S31" s="144"/>
      <c r="T31" s="144"/>
      <c r="U31" s="144"/>
      <c r="V31" s="144"/>
      <c r="W31" s="144"/>
      <c r="X31" s="144"/>
      <c r="Y31" s="144"/>
      <c r="Z31" s="144"/>
      <c r="AA31" s="144"/>
      <c r="AB31" s="144"/>
      <c r="AC31" s="144"/>
      <c r="AD31" s="144"/>
      <c r="AE31" s="144"/>
      <c r="AF31" s="144"/>
    </row>
    <row r="32" ht="16.5" customHeight="1">
      <c r="A32" s="144"/>
      <c r="B32" s="559"/>
      <c r="C32" s="352"/>
      <c r="D32" s="352"/>
      <c r="E32" s="83" t="s">
        <v>43</v>
      </c>
      <c r="F32" s="83" t="s">
        <v>79</v>
      </c>
      <c r="G32" s="560" t="str">
        <f>HYPERLINK("https://docs.google.com/spreadsheets/d/13DisaVYuAaWVk_2Cn7Mn-Xl9fmogXMPKmKvd4xlAvjs/edit#gid=125361263", "https://docs.google.com/spreadsheets/d/13DisaVYuAaWVk_2Cn7Mn-Xl9fmogXMPKmKvd4xlAvjs/edit#gid=125361263")</f>
        <v>https://docs.google.com/spreadsheets/d/13DisaVYuAaWVk_2Cn7Mn-Xl9fmogXMPKmKvd4xlAvjs/edit#gid=125361263</v>
      </c>
      <c r="H32" s="83" t="s">
        <v>2460</v>
      </c>
      <c r="I32" s="497"/>
      <c r="J32" s="497"/>
      <c r="K32" s="496"/>
      <c r="L32" s="496"/>
      <c r="M32" s="144"/>
      <c r="N32" s="144"/>
      <c r="O32" s="144"/>
      <c r="P32" s="144"/>
      <c r="Q32" s="144"/>
      <c r="R32" s="144"/>
      <c r="S32" s="144"/>
      <c r="T32" s="144"/>
      <c r="U32" s="144"/>
      <c r="V32" s="144"/>
      <c r="W32" s="144"/>
      <c r="X32" s="144"/>
      <c r="Y32" s="144"/>
      <c r="Z32" s="144"/>
      <c r="AA32" s="144"/>
      <c r="AB32" s="144"/>
      <c r="AC32" s="144"/>
      <c r="AD32" s="144"/>
      <c r="AE32" s="144"/>
      <c r="AF32" s="144"/>
    </row>
    <row r="33" ht="16.5" customHeight="1">
      <c r="A33" s="144"/>
      <c r="B33" s="559"/>
      <c r="C33" s="352"/>
      <c r="D33" s="352"/>
      <c r="E33" s="83" t="s">
        <v>43</v>
      </c>
      <c r="F33" s="83" t="s">
        <v>53</v>
      </c>
      <c r="G33" s="560" t="str">
        <f>HYPERLINK("https://docs.google.com/spreadsheets/d/13DisaVYuAaWVk_2Cn7Mn-Xl9fmogXMPKmKvd4xlAvjs/edit#gid=1600115261", "https://docs.google.com/spreadsheets/d/13DisaVYuAaWVk_2Cn7Mn-Xl9fmogXMPKmKvd4xlAvjs/edit#gid=1600115261")</f>
        <v>https://docs.google.com/spreadsheets/d/13DisaVYuAaWVk_2Cn7Mn-Xl9fmogXMPKmKvd4xlAvjs/edit#gid=1600115261</v>
      </c>
      <c r="H33" s="83" t="s">
        <v>328</v>
      </c>
      <c r="I33" s="497"/>
      <c r="J33" s="497"/>
      <c r="K33" s="496"/>
      <c r="L33" s="496"/>
      <c r="M33" s="144"/>
      <c r="N33" s="144"/>
      <c r="O33" s="144"/>
      <c r="P33" s="144"/>
      <c r="Q33" s="144"/>
      <c r="R33" s="144"/>
      <c r="S33" s="144"/>
      <c r="T33" s="144"/>
      <c r="U33" s="144"/>
      <c r="V33" s="144"/>
      <c r="W33" s="144"/>
      <c r="X33" s="144"/>
      <c r="Y33" s="144"/>
      <c r="Z33" s="144"/>
      <c r="AA33" s="144"/>
      <c r="AB33" s="144"/>
      <c r="AC33" s="144"/>
      <c r="AD33" s="144"/>
      <c r="AE33" s="144"/>
      <c r="AF33" s="144"/>
    </row>
    <row r="34" ht="16.5" customHeight="1">
      <c r="A34" s="144"/>
      <c r="B34" s="559"/>
      <c r="C34" s="352"/>
      <c r="D34" s="352"/>
      <c r="E34" s="83" t="s">
        <v>72</v>
      </c>
      <c r="F34" s="83" t="s">
        <v>75</v>
      </c>
      <c r="G34" s="560" t="str">
        <f>HYPERLINK("https://docs.google.com/spreadsheets/d/13DisaVYuAaWVk_2Cn7Mn-Xl9fmogXMPKmKvd4xlAvjs/edit#gid=1270848540", "https://docs.google.com/spreadsheets/d/13DisaVYuAaWVk_2Cn7Mn-Xl9fmogXMPKmKvd4xlAvjs/edit#gid=1270848540")</f>
        <v>https://docs.google.com/spreadsheets/d/13DisaVYuAaWVk_2Cn7Mn-Xl9fmogXMPKmKvd4xlAvjs/edit#gid=1270848540</v>
      </c>
      <c r="H34" s="83" t="s">
        <v>80</v>
      </c>
      <c r="I34" s="352"/>
      <c r="J34" s="497"/>
      <c r="K34" s="496"/>
      <c r="L34" s="496"/>
      <c r="M34" s="144"/>
      <c r="N34" s="144"/>
      <c r="O34" s="144"/>
      <c r="P34" s="144"/>
      <c r="Q34" s="144"/>
      <c r="R34" s="144"/>
      <c r="S34" s="144"/>
      <c r="T34" s="144"/>
      <c r="U34" s="144"/>
      <c r="V34" s="144"/>
      <c r="W34" s="144"/>
      <c r="X34" s="144"/>
      <c r="Y34" s="144"/>
      <c r="Z34" s="144"/>
      <c r="AA34" s="144"/>
      <c r="AB34" s="144"/>
      <c r="AC34" s="144"/>
      <c r="AD34" s="144"/>
      <c r="AE34" s="144"/>
      <c r="AF34" s="144"/>
    </row>
    <row r="35" ht="16.5" customHeight="1">
      <c r="A35" s="144"/>
      <c r="B35" s="559"/>
      <c r="C35" s="352"/>
      <c r="D35" s="352"/>
      <c r="E35" s="83" t="s">
        <v>72</v>
      </c>
      <c r="F35" s="501" t="s">
        <v>81</v>
      </c>
      <c r="G35" s="560" t="str">
        <f>HYPERLINK("https://docs.google.com/spreadsheets/d/13DisaVYuAaWVk_2Cn7Mn-Xl9fmogXMPKmKvd4xlAvjs/edit#gid=1481663484", "https://docs.google.com/spreadsheets/d/13DisaVYuAaWVk_2Cn7Mn-Xl9fmogXMPKmKvd4xlAvjs/edit#gid=1481663484")</f>
        <v>https://docs.google.com/spreadsheets/d/13DisaVYuAaWVk_2Cn7Mn-Xl9fmogXMPKmKvd4xlAvjs/edit#gid=1481663484</v>
      </c>
      <c r="H35" s="501" t="s">
        <v>2411</v>
      </c>
      <c r="I35" s="352"/>
      <c r="J35" s="497"/>
      <c r="K35" s="496"/>
      <c r="L35" s="496"/>
      <c r="M35" s="144"/>
      <c r="N35" s="144"/>
      <c r="O35" s="144"/>
      <c r="P35" s="144"/>
      <c r="Q35" s="144"/>
      <c r="R35" s="144"/>
      <c r="S35" s="144"/>
      <c r="T35" s="144"/>
      <c r="U35" s="144"/>
      <c r="V35" s="144"/>
      <c r="W35" s="144"/>
      <c r="X35" s="144"/>
      <c r="Y35" s="144"/>
      <c r="Z35" s="144"/>
      <c r="AA35" s="144"/>
      <c r="AB35" s="144"/>
      <c r="AC35" s="144"/>
      <c r="AD35" s="144"/>
      <c r="AE35" s="144"/>
      <c r="AF35" s="144"/>
    </row>
    <row r="36" ht="16.5" customHeight="1">
      <c r="A36" s="144"/>
      <c r="B36" s="559"/>
      <c r="C36" s="352"/>
      <c r="D36" s="352"/>
      <c r="E36" s="83" t="s">
        <v>43</v>
      </c>
      <c r="F36" s="83" t="s">
        <v>77</v>
      </c>
      <c r="G36" s="560" t="str">
        <f>HYPERLINK("https://docs.google.com/spreadsheets/d/13DisaVYuAaWVk_2Cn7Mn-Xl9fmogXMPKmKvd4xlAvjs/edit#gid=24106355", "https://docs.google.com/spreadsheets/d/13DisaVYuAaWVk_2Cn7Mn-Xl9fmogXMPKmKvd4xlAvjs/edit#gid=24106355")</f>
        <v>https://docs.google.com/spreadsheets/d/13DisaVYuAaWVk_2Cn7Mn-Xl9fmogXMPKmKvd4xlAvjs/edit#gid=24106355</v>
      </c>
      <c r="H36" s="501" t="s">
        <v>332</v>
      </c>
      <c r="I36" s="497"/>
      <c r="J36" s="497"/>
      <c r="K36" s="496"/>
      <c r="L36" s="496"/>
      <c r="M36" s="144"/>
      <c r="N36" s="144"/>
      <c r="O36" s="144"/>
      <c r="P36" s="144"/>
      <c r="Q36" s="144"/>
      <c r="R36" s="144"/>
      <c r="S36" s="144"/>
      <c r="T36" s="144"/>
      <c r="U36" s="144"/>
      <c r="V36" s="144"/>
      <c r="W36" s="144"/>
      <c r="X36" s="144"/>
      <c r="Y36" s="144"/>
      <c r="Z36" s="144"/>
      <c r="AA36" s="144"/>
      <c r="AB36" s="144"/>
      <c r="AC36" s="144"/>
      <c r="AD36" s="144"/>
      <c r="AE36" s="144"/>
      <c r="AF36" s="144"/>
    </row>
    <row r="37" ht="16.5" customHeight="1">
      <c r="A37" s="144"/>
      <c r="B37" s="559"/>
      <c r="C37" s="352"/>
      <c r="D37" s="352"/>
      <c r="E37" s="83" t="s">
        <v>43</v>
      </c>
      <c r="F37" s="83" t="s">
        <v>79</v>
      </c>
      <c r="G37" s="560" t="str">
        <f>HYPERLINK("https://docs.google.com/spreadsheets/d/13DisaVYuAaWVk_2Cn7Mn-Xl9fmogXMPKmKvd4xlAvjs/edit#gid=868851312", "https://docs.google.com/spreadsheets/d/13DisaVYuAaWVk_2Cn7Mn-Xl9fmogXMPKmKvd4xlAvjs/edit#gid=868851312")</f>
        <v>https://docs.google.com/spreadsheets/d/13DisaVYuAaWVk_2Cn7Mn-Xl9fmogXMPKmKvd4xlAvjs/edit#gid=868851312</v>
      </c>
      <c r="H37" s="83" t="s">
        <v>5668</v>
      </c>
      <c r="I37" s="497"/>
      <c r="J37" s="497"/>
      <c r="K37" s="496"/>
      <c r="L37" s="496"/>
      <c r="M37" s="144"/>
      <c r="N37" s="144"/>
      <c r="O37" s="144"/>
      <c r="P37" s="144"/>
      <c r="Q37" s="144"/>
      <c r="R37" s="144"/>
      <c r="S37" s="144"/>
      <c r="T37" s="144"/>
      <c r="U37" s="144"/>
      <c r="V37" s="144"/>
      <c r="W37" s="144"/>
      <c r="X37" s="144"/>
      <c r="Y37" s="144"/>
      <c r="Z37" s="144"/>
      <c r="AA37" s="144"/>
      <c r="AB37" s="144"/>
      <c r="AC37" s="144"/>
      <c r="AD37" s="144"/>
      <c r="AE37" s="144"/>
      <c r="AF37" s="144"/>
    </row>
    <row r="38" ht="16.5" customHeight="1">
      <c r="A38" s="144"/>
      <c r="B38" s="559"/>
      <c r="C38" s="352"/>
      <c r="D38" s="352"/>
      <c r="E38" s="83" t="s">
        <v>43</v>
      </c>
      <c r="F38" s="83" t="s">
        <v>53</v>
      </c>
      <c r="G38" s="560" t="str">
        <f>HYPERLINK("https://docs.google.com/spreadsheets/d/13DisaVYuAaWVk_2Cn7Mn-Xl9fmogXMPKmKvd4xlAvjs/edit#gid=1361500940", "https://docs.google.com/spreadsheets/d/13DisaVYuAaWVk_2Cn7Mn-Xl9fmogXMPKmKvd4xlAvjs/edit#gid=1361500940")</f>
        <v>https://docs.google.com/spreadsheets/d/13DisaVYuAaWVk_2Cn7Mn-Xl9fmogXMPKmKvd4xlAvjs/edit#gid=1361500940</v>
      </c>
      <c r="H38" s="83" t="s">
        <v>333</v>
      </c>
      <c r="I38" s="497"/>
      <c r="J38" s="497"/>
      <c r="K38" s="496"/>
      <c r="L38" s="496"/>
      <c r="M38" s="144"/>
      <c r="N38" s="144"/>
      <c r="O38" s="144"/>
      <c r="P38" s="144"/>
      <c r="Q38" s="144"/>
      <c r="R38" s="144"/>
      <c r="S38" s="144"/>
      <c r="T38" s="144"/>
      <c r="U38" s="144"/>
      <c r="V38" s="144"/>
      <c r="W38" s="144"/>
      <c r="X38" s="144"/>
      <c r="Y38" s="144"/>
      <c r="Z38" s="144"/>
      <c r="AA38" s="144"/>
      <c r="AB38" s="144"/>
      <c r="AC38" s="144"/>
      <c r="AD38" s="144"/>
      <c r="AE38" s="144"/>
      <c r="AF38" s="144"/>
    </row>
    <row r="39" ht="16.5" customHeight="1">
      <c r="A39" s="144"/>
      <c r="B39" s="559"/>
      <c r="C39" s="352"/>
      <c r="D39" s="352"/>
      <c r="E39" s="83" t="s">
        <v>43</v>
      </c>
      <c r="F39" s="83" t="s">
        <v>132</v>
      </c>
      <c r="G39" s="560" t="str">
        <f>HYPERLINK("https://docs.google.com/spreadsheets/d/13DisaVYuAaWVk_2Cn7Mn-Xl9fmogXMPKmKvd4xlAvjs/edit#gid=806188638", "https://docs.google.com/spreadsheets/d/13DisaVYuAaWVk_2Cn7Mn-Xl9fmogXMPKmKvd4xlAvjs/edit#gid=806188638")</f>
        <v>https://docs.google.com/spreadsheets/d/13DisaVYuAaWVk_2Cn7Mn-Xl9fmogXMPKmKvd4xlAvjs/edit#gid=806188638</v>
      </c>
      <c r="H39" s="83" t="s">
        <v>327</v>
      </c>
      <c r="I39" s="497"/>
      <c r="J39" s="497"/>
      <c r="K39" s="496"/>
      <c r="L39" s="496"/>
      <c r="M39" s="144"/>
      <c r="N39" s="144"/>
      <c r="O39" s="144"/>
      <c r="P39" s="144"/>
      <c r="Q39" s="144"/>
      <c r="R39" s="144"/>
      <c r="S39" s="144"/>
      <c r="T39" s="144"/>
      <c r="U39" s="144"/>
      <c r="V39" s="144"/>
      <c r="W39" s="144"/>
      <c r="X39" s="144"/>
      <c r="Y39" s="144"/>
      <c r="Z39" s="144"/>
      <c r="AA39" s="144"/>
      <c r="AB39" s="144"/>
      <c r="AC39" s="144"/>
      <c r="AD39" s="144"/>
      <c r="AE39" s="144"/>
      <c r="AF39" s="144"/>
    </row>
    <row r="40" ht="16.5" customHeight="1">
      <c r="A40" s="144"/>
      <c r="B40" s="559"/>
      <c r="C40" s="352"/>
      <c r="D40" s="352"/>
      <c r="E40" s="83" t="s">
        <v>43</v>
      </c>
      <c r="F40" s="83" t="s">
        <v>248</v>
      </c>
      <c r="G40" s="560" t="str">
        <f>HYPERLINK("https://docs.google.com/spreadsheets/d/13DisaVYuAaWVk_2Cn7Mn-Xl9fmogXMPKmKvd4xlAvjs/edit#gid=458909951", "https://docs.google.com/spreadsheets/d/13DisaVYuAaWVk_2Cn7Mn-Xl9fmogXMPKmKvd4xlAvjs/edit#gid=458909951")</f>
        <v>https://docs.google.com/spreadsheets/d/13DisaVYuAaWVk_2Cn7Mn-Xl9fmogXMPKmKvd4xlAvjs/edit#gid=458909951</v>
      </c>
      <c r="H40" s="83" t="s">
        <v>248</v>
      </c>
      <c r="I40" s="497"/>
      <c r="J40" s="497"/>
      <c r="K40" s="496"/>
      <c r="L40" s="496"/>
      <c r="M40" s="144"/>
      <c r="N40" s="144"/>
      <c r="O40" s="144"/>
      <c r="P40" s="144"/>
      <c r="Q40" s="144"/>
      <c r="R40" s="144"/>
      <c r="S40" s="144"/>
      <c r="T40" s="144"/>
      <c r="U40" s="144"/>
      <c r="V40" s="144"/>
      <c r="W40" s="144"/>
      <c r="X40" s="144"/>
      <c r="Y40" s="144"/>
      <c r="Z40" s="144"/>
      <c r="AA40" s="144"/>
      <c r="AB40" s="144"/>
      <c r="AC40" s="144"/>
      <c r="AD40" s="144"/>
      <c r="AE40" s="144"/>
      <c r="AF40" s="144"/>
    </row>
    <row r="41" ht="16.5" customHeight="1">
      <c r="A41" s="144"/>
      <c r="B41" s="559"/>
      <c r="C41" s="352"/>
      <c r="D41" s="352"/>
      <c r="E41" s="83" t="s">
        <v>21</v>
      </c>
      <c r="F41" s="83" t="s">
        <v>249</v>
      </c>
      <c r="G41" s="560" t="str">
        <f>HYPERLINK("https://docs.google.com/spreadsheets/d/13DisaVYuAaWVk_2Cn7Mn-Xl9fmogXMPKmKvd4xlAvjs/edit#gid=1967020767", "https://docs.google.com/spreadsheets/d/13DisaVYuAaWVk_2Cn7Mn-Xl9fmogXMPKmKvd4xlAvjs/edit#gid=1967020767")</f>
        <v>https://docs.google.com/spreadsheets/d/13DisaVYuAaWVk_2Cn7Mn-Xl9fmogXMPKmKvd4xlAvjs/edit#gid=1967020767</v>
      </c>
      <c r="H41" s="83" t="s">
        <v>249</v>
      </c>
      <c r="I41" s="497"/>
      <c r="J41" s="497"/>
      <c r="K41" s="496"/>
      <c r="L41" s="496"/>
      <c r="M41" s="144"/>
      <c r="N41" s="144"/>
      <c r="O41" s="144"/>
      <c r="P41" s="144"/>
      <c r="Q41" s="144"/>
      <c r="R41" s="144"/>
      <c r="S41" s="144"/>
      <c r="T41" s="144"/>
      <c r="U41" s="144"/>
      <c r="V41" s="144"/>
      <c r="W41" s="144"/>
      <c r="X41" s="144"/>
      <c r="Y41" s="144"/>
      <c r="Z41" s="144"/>
      <c r="AA41" s="144"/>
      <c r="AB41" s="144"/>
      <c r="AC41" s="144"/>
      <c r="AD41" s="144"/>
      <c r="AE41" s="144"/>
      <c r="AF41" s="144"/>
    </row>
    <row r="42" ht="16.5" customHeight="1">
      <c r="A42" s="144"/>
      <c r="B42" s="559"/>
      <c r="C42" s="352"/>
      <c r="D42" s="352"/>
      <c r="E42" s="83" t="s">
        <v>72</v>
      </c>
      <c r="F42" s="83" t="s">
        <v>76</v>
      </c>
      <c r="G42" s="560" t="str">
        <f>HYPERLINK("https://docs.google.com/spreadsheets/d/13DisaVYuAaWVk_2Cn7Mn-Xl9fmogXMPKmKvd4xlAvjs/edit#gid=1089539562", "https://docs.google.com/spreadsheets/d/13DisaVYuAaWVk_2Cn7Mn-Xl9fmogXMPKmKvd4xlAvjs/edit#gid=1089539562")</f>
        <v>https://docs.google.com/spreadsheets/d/13DisaVYuAaWVk_2Cn7Mn-Xl9fmogXMPKmKvd4xlAvjs/edit#gid=1089539562</v>
      </c>
      <c r="H42" s="83" t="s">
        <v>76</v>
      </c>
      <c r="I42" s="497"/>
      <c r="J42" s="497"/>
      <c r="K42" s="496"/>
      <c r="L42" s="496"/>
      <c r="M42" s="144"/>
      <c r="N42" s="144"/>
      <c r="O42" s="144"/>
      <c r="P42" s="144"/>
      <c r="Q42" s="144"/>
      <c r="R42" s="144"/>
      <c r="S42" s="144"/>
      <c r="T42" s="144"/>
      <c r="U42" s="144"/>
      <c r="V42" s="144"/>
      <c r="W42" s="144"/>
      <c r="X42" s="144"/>
      <c r="Y42" s="144"/>
      <c r="Z42" s="144"/>
      <c r="AA42" s="144"/>
      <c r="AB42" s="144"/>
      <c r="AC42" s="144"/>
      <c r="AD42" s="144"/>
      <c r="AE42" s="144"/>
      <c r="AF42" s="144"/>
    </row>
    <row r="43" ht="16.5" customHeight="1">
      <c r="A43" s="144"/>
      <c r="B43" s="559"/>
      <c r="C43" s="352"/>
      <c r="D43" s="352"/>
      <c r="E43" s="83" t="s">
        <v>43</v>
      </c>
      <c r="F43" s="83" t="s">
        <v>53</v>
      </c>
      <c r="G43" s="560" t="str">
        <f>HYPERLINK("https://docs.google.com/spreadsheets/d/13DisaVYuAaWVk_2Cn7Mn-Xl9fmogXMPKmKvd4xlAvjs/edit#gid=1342374718", "https://docs.google.com/spreadsheets/d/13DisaVYuAaWVk_2Cn7Mn-Xl9fmogXMPKmKvd4xlAvjs/edit#gid=1342374718")</f>
        <v>https://docs.google.com/spreadsheets/d/13DisaVYuAaWVk_2Cn7Mn-Xl9fmogXMPKmKvd4xlAvjs/edit#gid=1342374718</v>
      </c>
      <c r="H43" s="83" t="s">
        <v>5669</v>
      </c>
      <c r="I43" s="497"/>
      <c r="J43" s="497"/>
      <c r="K43" s="496"/>
      <c r="L43" s="496"/>
      <c r="M43" s="144"/>
      <c r="N43" s="144"/>
      <c r="O43" s="144"/>
      <c r="P43" s="144"/>
      <c r="Q43" s="144"/>
      <c r="R43" s="144"/>
      <c r="S43" s="144"/>
      <c r="T43" s="144"/>
      <c r="U43" s="144"/>
      <c r="V43" s="144"/>
      <c r="W43" s="144"/>
      <c r="X43" s="144"/>
      <c r="Y43" s="144"/>
      <c r="Z43" s="144"/>
      <c r="AA43" s="144"/>
      <c r="AB43" s="144"/>
      <c r="AC43" s="144"/>
      <c r="AD43" s="144"/>
      <c r="AE43" s="144"/>
      <c r="AF43" s="144"/>
    </row>
    <row r="44" ht="16.5" customHeight="1">
      <c r="A44" s="144"/>
      <c r="B44" s="559"/>
      <c r="C44" s="352"/>
      <c r="D44" s="352"/>
      <c r="E44" s="83" t="s">
        <v>43</v>
      </c>
      <c r="F44" s="83" t="s">
        <v>79</v>
      </c>
      <c r="G44" s="560" t="str">
        <f>HYPERLINK("https://docs.google.com/spreadsheets/d/13DisaVYuAaWVk_2Cn7Mn-Xl9fmogXMPKmKvd4xlAvjs/edit#gid=1688245258", "https://docs.google.com/spreadsheets/d/13DisaVYuAaWVk_2Cn7Mn-Xl9fmogXMPKmKvd4xlAvjs/edit#gid=1688245258")</f>
        <v>https://docs.google.com/spreadsheets/d/13DisaVYuAaWVk_2Cn7Mn-Xl9fmogXMPKmKvd4xlAvjs/edit#gid=1688245258</v>
      </c>
      <c r="H44" s="83" t="s">
        <v>5670</v>
      </c>
      <c r="I44" s="497"/>
      <c r="J44" s="497"/>
      <c r="K44" s="496"/>
      <c r="L44" s="496"/>
      <c r="M44" s="144"/>
      <c r="N44" s="144"/>
      <c r="O44" s="144"/>
      <c r="P44" s="144"/>
      <c r="Q44" s="144"/>
      <c r="R44" s="144"/>
      <c r="S44" s="144"/>
      <c r="T44" s="144"/>
      <c r="U44" s="144"/>
      <c r="V44" s="144"/>
      <c r="W44" s="144"/>
      <c r="X44" s="144"/>
      <c r="Y44" s="144"/>
      <c r="Z44" s="144"/>
      <c r="AA44" s="144"/>
      <c r="AB44" s="144"/>
      <c r="AC44" s="144"/>
      <c r="AD44" s="144"/>
      <c r="AE44" s="144"/>
      <c r="AF44" s="144"/>
    </row>
    <row r="45" ht="16.5" customHeight="1">
      <c r="A45" s="144"/>
      <c r="B45" s="559"/>
      <c r="C45" s="352"/>
      <c r="D45" s="352"/>
      <c r="E45" s="83" t="s">
        <v>43</v>
      </c>
      <c r="F45" s="83" t="s">
        <v>77</v>
      </c>
      <c r="G45" s="560" t="str">
        <f>HYPERLINK("https://docs.google.com/spreadsheets/d/13DisaVYuAaWVk_2Cn7Mn-Xl9fmogXMPKmKvd4xlAvjs/edit#gid=955874300", "https://docs.google.com/spreadsheets/d/13DisaVYuAaWVk_2Cn7Mn-Xl9fmogXMPKmKvd4xlAvjs/edit#gid=955874300")</f>
        <v>https://docs.google.com/spreadsheets/d/13DisaVYuAaWVk_2Cn7Mn-Xl9fmogXMPKmKvd4xlAvjs/edit#gid=955874300</v>
      </c>
      <c r="H45" s="83" t="s">
        <v>5671</v>
      </c>
      <c r="I45" s="497"/>
      <c r="J45" s="497"/>
      <c r="K45" s="496"/>
      <c r="L45" s="496"/>
      <c r="M45" s="144"/>
      <c r="N45" s="144"/>
      <c r="O45" s="144"/>
      <c r="P45" s="144"/>
      <c r="Q45" s="144"/>
      <c r="R45" s="144"/>
      <c r="S45" s="144"/>
      <c r="T45" s="144"/>
      <c r="U45" s="144"/>
      <c r="V45" s="144"/>
      <c r="W45" s="144"/>
      <c r="X45" s="144"/>
      <c r="Y45" s="144"/>
      <c r="Z45" s="144"/>
      <c r="AA45" s="144"/>
      <c r="AB45" s="144"/>
      <c r="AC45" s="144"/>
      <c r="AD45" s="144"/>
      <c r="AE45" s="144"/>
      <c r="AF45" s="144"/>
    </row>
    <row r="46" ht="16.5" customHeight="1">
      <c r="A46" s="144"/>
      <c r="B46" s="559"/>
      <c r="C46" s="352"/>
      <c r="D46" s="352"/>
      <c r="E46" s="83" t="s">
        <v>43</v>
      </c>
      <c r="F46" s="83" t="s">
        <v>132</v>
      </c>
      <c r="G46" s="560" t="str">
        <f>HYPERLINK("https://docs.google.com/spreadsheets/d/13DisaVYuAaWVk_2Cn7Mn-Xl9fmogXMPKmKvd4xlAvjs/edit#gid=73733577", "https://docs.google.com/spreadsheets/d/13DisaVYuAaWVk_2Cn7Mn-Xl9fmogXMPKmKvd4xlAvjs/edit#gid=73733577")</f>
        <v>https://docs.google.com/spreadsheets/d/13DisaVYuAaWVk_2Cn7Mn-Xl9fmogXMPKmKvd4xlAvjs/edit#gid=73733577</v>
      </c>
      <c r="H46" s="83" t="s">
        <v>331</v>
      </c>
      <c r="I46" s="497"/>
      <c r="J46" s="497"/>
      <c r="K46" s="496"/>
      <c r="L46" s="496"/>
      <c r="M46" s="144"/>
      <c r="N46" s="144"/>
      <c r="O46" s="144"/>
      <c r="P46" s="144"/>
      <c r="Q46" s="144"/>
      <c r="R46" s="144"/>
      <c r="S46" s="144"/>
      <c r="T46" s="144"/>
      <c r="U46" s="144"/>
      <c r="V46" s="144"/>
      <c r="W46" s="144"/>
      <c r="X46" s="144"/>
      <c r="Y46" s="144"/>
      <c r="Z46" s="144"/>
      <c r="AA46" s="144"/>
      <c r="AB46" s="144"/>
      <c r="AC46" s="144"/>
      <c r="AD46" s="144"/>
      <c r="AE46" s="144"/>
      <c r="AF46" s="144"/>
    </row>
    <row r="47" ht="16.5" customHeight="1">
      <c r="A47" s="144"/>
      <c r="B47" s="559"/>
      <c r="C47" s="352"/>
      <c r="D47" s="352"/>
      <c r="E47" s="83" t="s">
        <v>43</v>
      </c>
      <c r="F47" s="83" t="s">
        <v>714</v>
      </c>
      <c r="G47" s="560" t="str">
        <f>HYPERLINK("https://docs.google.com/spreadsheets/d/13DisaVYuAaWVk_2Cn7Mn-Xl9fmogXMPKmKvd4xlAvjs/edit#gid=1793018822", "https://docs.google.com/spreadsheets/d/13DisaVYuAaWVk_2Cn7Mn-Xl9fmogXMPKmKvd4xlAvjs/edit#gid=1793018822")</f>
        <v>https://docs.google.com/spreadsheets/d/13DisaVYuAaWVk_2Cn7Mn-Xl9fmogXMPKmKvd4xlAvjs/edit#gid=1793018822</v>
      </c>
      <c r="H47" s="83" t="s">
        <v>714</v>
      </c>
      <c r="I47" s="497"/>
      <c r="J47" s="497"/>
      <c r="K47" s="496"/>
      <c r="L47" s="496"/>
      <c r="M47" s="144"/>
      <c r="N47" s="144"/>
      <c r="O47" s="144"/>
      <c r="P47" s="144"/>
      <c r="Q47" s="144"/>
      <c r="R47" s="144"/>
      <c r="S47" s="144"/>
      <c r="T47" s="144"/>
      <c r="U47" s="144"/>
      <c r="V47" s="144"/>
      <c r="W47" s="144"/>
      <c r="X47" s="144"/>
      <c r="Y47" s="144"/>
      <c r="Z47" s="144"/>
      <c r="AA47" s="144"/>
      <c r="AB47" s="144"/>
      <c r="AC47" s="144"/>
      <c r="AD47" s="144"/>
      <c r="AE47" s="144"/>
      <c r="AF47" s="144"/>
    </row>
    <row r="48" ht="16.5" customHeight="1">
      <c r="A48" s="144"/>
      <c r="B48" s="559"/>
      <c r="C48" s="352"/>
      <c r="D48" s="352"/>
      <c r="E48" s="83" t="s">
        <v>43</v>
      </c>
      <c r="F48" s="83" t="s">
        <v>79</v>
      </c>
      <c r="G48" s="560" t="str">
        <f>HYPERLINK("https://docs.google.com/spreadsheets/d/13DisaVYuAaWVk_2Cn7Mn-Xl9fmogXMPKmKvd4xlAvjs/edit#gid=93973331", "https://docs.google.com/spreadsheets/d/13DisaVYuAaWVk_2Cn7Mn-Xl9fmogXMPKmKvd4xlAvjs/edit#gid=93973331")</f>
        <v>https://docs.google.com/spreadsheets/d/13DisaVYuAaWVk_2Cn7Mn-Xl9fmogXMPKmKvd4xlAvjs/edit#gid=93973331</v>
      </c>
      <c r="H48" s="83" t="s">
        <v>5672</v>
      </c>
      <c r="I48" s="352"/>
      <c r="J48" s="497"/>
      <c r="K48" s="496"/>
      <c r="L48" s="496"/>
      <c r="M48" s="144"/>
      <c r="N48" s="144"/>
      <c r="O48" s="144"/>
      <c r="P48" s="144"/>
      <c r="Q48" s="144"/>
      <c r="R48" s="144"/>
      <c r="S48" s="144"/>
      <c r="T48" s="144"/>
      <c r="U48" s="144"/>
      <c r="V48" s="144"/>
      <c r="W48" s="144"/>
      <c r="X48" s="144"/>
      <c r="Y48" s="144"/>
      <c r="Z48" s="144"/>
      <c r="AA48" s="144"/>
      <c r="AB48" s="144"/>
      <c r="AC48" s="144"/>
      <c r="AD48" s="144"/>
      <c r="AE48" s="144"/>
      <c r="AF48" s="144"/>
    </row>
    <row r="49" ht="16.5" customHeight="1">
      <c r="A49" s="144"/>
      <c r="B49" s="559"/>
      <c r="C49" s="352"/>
      <c r="D49" s="352"/>
      <c r="E49" s="83" t="s">
        <v>43</v>
      </c>
      <c r="F49" s="501" t="s">
        <v>77</v>
      </c>
      <c r="G49" s="560" t="str">
        <f>HYPERLINK("https://docs.google.com/spreadsheets/d/13DisaVYuAaWVk_2Cn7Mn-Xl9fmogXMPKmKvd4xlAvjs/edit#gid=1679325201", "https://docs.google.com/spreadsheets/d/13DisaVYuAaWVk_2Cn7Mn-Xl9fmogXMPKmKvd4xlAvjs/edit#gid=1679325201")</f>
        <v>https://docs.google.com/spreadsheets/d/13DisaVYuAaWVk_2Cn7Mn-Xl9fmogXMPKmKvd4xlAvjs/edit#gid=1679325201</v>
      </c>
      <c r="H49" s="501" t="s">
        <v>5673</v>
      </c>
      <c r="I49" s="497"/>
      <c r="J49" s="497"/>
      <c r="K49" s="496"/>
      <c r="L49" s="496"/>
      <c r="M49" s="144"/>
      <c r="N49" s="144"/>
      <c r="O49" s="144"/>
      <c r="P49" s="144"/>
      <c r="Q49" s="144"/>
      <c r="R49" s="144"/>
      <c r="S49" s="144"/>
      <c r="T49" s="144"/>
      <c r="U49" s="144"/>
      <c r="V49" s="144"/>
      <c r="W49" s="144"/>
      <c r="X49" s="144"/>
      <c r="Y49" s="144"/>
      <c r="Z49" s="144"/>
      <c r="AA49" s="144"/>
      <c r="AB49" s="144"/>
      <c r="AC49" s="144"/>
      <c r="AD49" s="144"/>
      <c r="AE49" s="144"/>
      <c r="AF49" s="144"/>
    </row>
    <row r="50" ht="16.5" customHeight="1">
      <c r="A50" s="144"/>
      <c r="B50" s="559"/>
      <c r="C50" s="352"/>
      <c r="D50" s="352"/>
      <c r="E50" s="83" t="s">
        <v>43</v>
      </c>
      <c r="F50" s="83" t="s">
        <v>53</v>
      </c>
      <c r="G50" s="560" t="str">
        <f>HYPERLINK("https://docs.google.com/spreadsheets/d/13DisaVYuAaWVk_2Cn7Mn-Xl9fmogXMPKmKvd4xlAvjs/edit#gid=541052621", "https://docs.google.com/spreadsheets/d/13DisaVYuAaWVk_2Cn7Mn-Xl9fmogXMPKmKvd4xlAvjs/edit#gid=541052621")</f>
        <v>https://docs.google.com/spreadsheets/d/13DisaVYuAaWVk_2Cn7Mn-Xl9fmogXMPKmKvd4xlAvjs/edit#gid=541052621</v>
      </c>
      <c r="H50" s="501" t="s">
        <v>5674</v>
      </c>
      <c r="I50" s="497"/>
      <c r="J50" s="497"/>
      <c r="K50" s="496"/>
      <c r="L50" s="496"/>
      <c r="M50" s="144"/>
      <c r="N50" s="144"/>
      <c r="O50" s="144"/>
      <c r="P50" s="144"/>
      <c r="Q50" s="144"/>
      <c r="R50" s="144"/>
      <c r="S50" s="144"/>
      <c r="T50" s="144"/>
      <c r="U50" s="144"/>
      <c r="V50" s="144"/>
      <c r="W50" s="144"/>
      <c r="X50" s="144"/>
      <c r="Y50" s="144"/>
      <c r="Z50" s="144"/>
      <c r="AA50" s="144"/>
      <c r="AB50" s="144"/>
      <c r="AC50" s="144"/>
      <c r="AD50" s="144"/>
      <c r="AE50" s="144"/>
      <c r="AF50" s="144"/>
    </row>
    <row r="51" ht="16.5" customHeight="1">
      <c r="A51" s="144"/>
      <c r="B51" s="559"/>
      <c r="C51" s="352"/>
      <c r="D51" s="352"/>
      <c r="E51" s="83" t="s">
        <v>72</v>
      </c>
      <c r="F51" s="83" t="s">
        <v>76</v>
      </c>
      <c r="G51" s="560" t="str">
        <f>HYPERLINK("https://docs.google.com/spreadsheets/d/13DisaVYuAaWVk_2Cn7Mn-Xl9fmogXMPKmKvd4xlAvjs/edit#gid=1018167080", "https://docs.google.com/spreadsheets/d/13DisaVYuAaWVk_2Cn7Mn-Xl9fmogXMPKmKvd4xlAvjs/edit#gid=1018167080")</f>
        <v>https://docs.google.com/spreadsheets/d/13DisaVYuAaWVk_2Cn7Mn-Xl9fmogXMPKmKvd4xlAvjs/edit#gid=1018167080</v>
      </c>
      <c r="H51" s="83" t="s">
        <v>2391</v>
      </c>
      <c r="I51" s="497"/>
      <c r="J51" s="497"/>
      <c r="K51" s="496"/>
      <c r="L51" s="496"/>
      <c r="M51" s="144"/>
      <c r="N51" s="144"/>
      <c r="O51" s="144"/>
      <c r="P51" s="144"/>
      <c r="Q51" s="144"/>
      <c r="R51" s="144"/>
      <c r="S51" s="144"/>
      <c r="T51" s="144"/>
      <c r="U51" s="144"/>
      <c r="V51" s="144"/>
      <c r="W51" s="144"/>
      <c r="X51" s="144"/>
      <c r="Y51" s="144"/>
      <c r="Z51" s="144"/>
      <c r="AA51" s="144"/>
      <c r="AB51" s="144"/>
      <c r="AC51" s="144"/>
      <c r="AD51" s="144"/>
      <c r="AE51" s="144"/>
      <c r="AF51" s="144"/>
    </row>
    <row r="52" ht="16.5" customHeight="1">
      <c r="A52" s="144"/>
      <c r="B52" s="559"/>
      <c r="C52" s="352"/>
      <c r="D52" s="352"/>
      <c r="E52" s="352"/>
      <c r="F52" s="352"/>
      <c r="G52" s="560"/>
      <c r="H52" s="352"/>
      <c r="I52" s="497"/>
      <c r="J52" s="497"/>
      <c r="K52" s="496"/>
      <c r="L52" s="496"/>
      <c r="M52" s="144"/>
      <c r="N52" s="144"/>
      <c r="O52" s="144"/>
      <c r="P52" s="144"/>
      <c r="Q52" s="144"/>
      <c r="R52" s="144"/>
      <c r="S52" s="144"/>
      <c r="T52" s="144"/>
      <c r="U52" s="144"/>
      <c r="V52" s="144"/>
      <c r="W52" s="144"/>
      <c r="X52" s="144"/>
      <c r="Y52" s="144"/>
      <c r="Z52" s="144"/>
      <c r="AA52" s="144"/>
      <c r="AB52" s="144"/>
      <c r="AC52" s="144"/>
      <c r="AD52" s="144"/>
      <c r="AE52" s="144"/>
      <c r="AF52" s="144"/>
    </row>
    <row r="53" ht="16.5" customHeight="1">
      <c r="A53" s="144"/>
      <c r="B53" s="559"/>
      <c r="C53" s="352"/>
      <c r="D53" s="352"/>
      <c r="E53" s="352"/>
      <c r="F53" s="352"/>
      <c r="G53" s="560"/>
      <c r="H53" s="352"/>
      <c r="I53" s="497"/>
      <c r="J53" s="497"/>
      <c r="K53" s="496"/>
      <c r="L53" s="496"/>
      <c r="M53" s="144"/>
      <c r="N53" s="144"/>
      <c r="O53" s="144"/>
      <c r="P53" s="144"/>
      <c r="Q53" s="144"/>
      <c r="R53" s="144"/>
      <c r="S53" s="144"/>
      <c r="T53" s="144"/>
      <c r="U53" s="144"/>
      <c r="V53" s="144"/>
      <c r="W53" s="144"/>
      <c r="X53" s="144"/>
      <c r="Y53" s="144"/>
      <c r="Z53" s="144"/>
      <c r="AA53" s="144"/>
      <c r="AB53" s="144"/>
      <c r="AC53" s="144"/>
      <c r="AD53" s="144"/>
      <c r="AE53" s="144"/>
      <c r="AF53" s="144"/>
    </row>
    <row r="54" ht="16.5" customHeight="1">
      <c r="A54" s="144"/>
      <c r="B54" s="559"/>
      <c r="C54" s="352"/>
      <c r="D54" s="352"/>
      <c r="E54" s="352"/>
      <c r="F54" s="352"/>
      <c r="G54" s="560"/>
      <c r="H54" s="352"/>
      <c r="I54" s="352"/>
      <c r="J54" s="497"/>
      <c r="K54" s="496"/>
      <c r="L54" s="496"/>
      <c r="M54" s="144"/>
      <c r="N54" s="144"/>
      <c r="O54" s="144"/>
      <c r="P54" s="144"/>
      <c r="Q54" s="144"/>
      <c r="R54" s="144"/>
      <c r="S54" s="144"/>
      <c r="T54" s="144"/>
      <c r="U54" s="144"/>
      <c r="V54" s="144"/>
      <c r="W54" s="144"/>
      <c r="X54" s="144"/>
      <c r="Y54" s="144"/>
      <c r="Z54" s="144"/>
      <c r="AA54" s="144"/>
      <c r="AB54" s="144"/>
      <c r="AC54" s="144"/>
      <c r="AD54" s="144"/>
      <c r="AE54" s="144"/>
      <c r="AF54" s="144"/>
    </row>
    <row r="55" ht="16.5" customHeight="1">
      <c r="A55" s="144"/>
      <c r="B55" s="559"/>
      <c r="C55" s="352"/>
      <c r="D55" s="352"/>
      <c r="E55" s="352"/>
      <c r="F55" s="505"/>
      <c r="G55" s="560"/>
      <c r="H55" s="505"/>
      <c r="I55" s="352"/>
      <c r="J55" s="497"/>
      <c r="K55" s="496"/>
      <c r="L55" s="496"/>
      <c r="M55" s="144"/>
      <c r="N55" s="144"/>
      <c r="O55" s="144"/>
      <c r="P55" s="144"/>
      <c r="Q55" s="144"/>
      <c r="R55" s="144"/>
      <c r="S55" s="144"/>
      <c r="T55" s="144"/>
      <c r="U55" s="144"/>
      <c r="V55" s="144"/>
      <c r="W55" s="144"/>
      <c r="X55" s="144"/>
      <c r="Y55" s="144"/>
      <c r="Z55" s="144"/>
      <c r="AA55" s="144"/>
      <c r="AB55" s="144"/>
      <c r="AC55" s="144"/>
      <c r="AD55" s="144"/>
      <c r="AE55" s="144"/>
      <c r="AF55" s="144"/>
    </row>
    <row r="56" ht="16.5" customHeight="1">
      <c r="A56" s="144"/>
      <c r="B56" s="559"/>
      <c r="C56" s="352"/>
      <c r="D56" s="352"/>
      <c r="E56" s="352"/>
      <c r="F56" s="352"/>
      <c r="G56" s="560"/>
      <c r="H56" s="505"/>
      <c r="I56" s="497"/>
      <c r="J56" s="497"/>
      <c r="K56" s="496"/>
      <c r="L56" s="496"/>
      <c r="M56" s="144"/>
      <c r="N56" s="144"/>
      <c r="O56" s="144"/>
      <c r="P56" s="144"/>
      <c r="Q56" s="144"/>
      <c r="R56" s="144"/>
      <c r="S56" s="144"/>
      <c r="T56" s="144"/>
      <c r="U56" s="144"/>
      <c r="V56" s="144"/>
      <c r="W56" s="144"/>
      <c r="X56" s="144"/>
      <c r="Y56" s="144"/>
      <c r="Z56" s="144"/>
      <c r="AA56" s="144"/>
      <c r="AB56" s="144"/>
      <c r="AC56" s="144"/>
      <c r="AD56" s="144"/>
      <c r="AE56" s="144"/>
      <c r="AF56" s="144"/>
    </row>
    <row r="57" ht="16.5" customHeight="1">
      <c r="A57" s="144"/>
      <c r="B57" s="559"/>
      <c r="C57" s="352"/>
      <c r="D57" s="352"/>
      <c r="E57" s="352"/>
      <c r="F57" s="352"/>
      <c r="G57" s="560"/>
      <c r="H57" s="352"/>
      <c r="I57" s="497"/>
      <c r="J57" s="497"/>
      <c r="K57" s="496"/>
      <c r="L57" s="496"/>
      <c r="M57" s="144"/>
      <c r="N57" s="144"/>
      <c r="O57" s="144"/>
      <c r="P57" s="144"/>
      <c r="Q57" s="144"/>
      <c r="R57" s="144"/>
      <c r="S57" s="144"/>
      <c r="T57" s="144"/>
      <c r="U57" s="144"/>
      <c r="V57" s="144"/>
      <c r="W57" s="144"/>
      <c r="X57" s="144"/>
      <c r="Y57" s="144"/>
      <c r="Z57" s="144"/>
      <c r="AA57" s="144"/>
      <c r="AB57" s="144"/>
      <c r="AC57" s="144"/>
      <c r="AD57" s="144"/>
      <c r="AE57" s="144"/>
      <c r="AF57" s="144"/>
    </row>
    <row r="58" ht="16.5" customHeight="1">
      <c r="A58" s="144"/>
      <c r="B58" s="559"/>
      <c r="C58" s="352"/>
      <c r="D58" s="352"/>
      <c r="E58" s="352"/>
      <c r="F58" s="352"/>
      <c r="G58" s="560"/>
      <c r="H58" s="352"/>
      <c r="I58" s="497"/>
      <c r="J58" s="497"/>
      <c r="K58" s="496"/>
      <c r="L58" s="496"/>
      <c r="M58" s="144"/>
      <c r="N58" s="144"/>
      <c r="O58" s="144"/>
      <c r="P58" s="144"/>
      <c r="Q58" s="144"/>
      <c r="R58" s="144"/>
      <c r="S58" s="144"/>
      <c r="T58" s="144"/>
      <c r="U58" s="144"/>
      <c r="V58" s="144"/>
      <c r="W58" s="144"/>
      <c r="X58" s="144"/>
      <c r="Y58" s="144"/>
      <c r="Z58" s="144"/>
      <c r="AA58" s="144"/>
      <c r="AB58" s="144"/>
      <c r="AC58" s="144"/>
      <c r="AD58" s="144"/>
      <c r="AE58" s="144"/>
      <c r="AF58" s="144"/>
    </row>
    <row r="59" ht="16.5" customHeight="1">
      <c r="A59" s="144"/>
      <c r="B59" s="559"/>
      <c r="C59" s="352"/>
      <c r="D59" s="352"/>
      <c r="E59" s="352"/>
      <c r="F59" s="352"/>
      <c r="G59" s="560"/>
      <c r="H59" s="352"/>
      <c r="I59" s="497"/>
      <c r="J59" s="497"/>
      <c r="K59" s="496"/>
      <c r="L59" s="496"/>
      <c r="M59" s="144"/>
      <c r="N59" s="144"/>
      <c r="O59" s="144"/>
      <c r="P59" s="144"/>
      <c r="Q59" s="144"/>
      <c r="R59" s="144"/>
      <c r="S59" s="144"/>
      <c r="T59" s="144"/>
      <c r="U59" s="144"/>
      <c r="V59" s="144"/>
      <c r="W59" s="144"/>
      <c r="X59" s="144"/>
      <c r="Y59" s="144"/>
      <c r="Z59" s="144"/>
      <c r="AA59" s="144"/>
      <c r="AB59" s="144"/>
      <c r="AC59" s="144"/>
      <c r="AD59" s="144"/>
      <c r="AE59" s="144"/>
      <c r="AF59" s="144"/>
    </row>
    <row r="60" ht="16.5" customHeight="1">
      <c r="A60" s="144"/>
      <c r="B60" s="559"/>
      <c r="C60" s="352"/>
      <c r="D60" s="352"/>
      <c r="E60" s="352"/>
      <c r="F60" s="352"/>
      <c r="G60" s="560"/>
      <c r="H60" s="352"/>
      <c r="I60" s="497"/>
      <c r="J60" s="497"/>
      <c r="K60" s="496"/>
      <c r="L60" s="496"/>
      <c r="M60" s="144"/>
      <c r="N60" s="144"/>
      <c r="O60" s="144"/>
      <c r="P60" s="144"/>
      <c r="Q60" s="144"/>
      <c r="R60" s="144"/>
      <c r="S60" s="144"/>
      <c r="T60" s="144"/>
      <c r="U60" s="144"/>
      <c r="V60" s="144"/>
      <c r="W60" s="144"/>
      <c r="X60" s="144"/>
      <c r="Y60" s="144"/>
      <c r="Z60" s="144"/>
      <c r="AA60" s="144"/>
      <c r="AB60" s="144"/>
      <c r="AC60" s="144"/>
      <c r="AD60" s="144"/>
      <c r="AE60" s="144"/>
      <c r="AF60" s="144"/>
    </row>
    <row r="61" ht="16.5" customHeight="1">
      <c r="A61" s="144"/>
      <c r="B61" s="559"/>
      <c r="C61" s="352"/>
      <c r="D61" s="352"/>
      <c r="E61" s="352"/>
      <c r="F61" s="352"/>
      <c r="G61" s="560"/>
      <c r="H61" s="352"/>
      <c r="I61" s="497"/>
      <c r="J61" s="497"/>
      <c r="K61" s="496"/>
      <c r="L61" s="496"/>
      <c r="M61" s="144"/>
      <c r="N61" s="144"/>
      <c r="O61" s="144"/>
      <c r="P61" s="144"/>
      <c r="Q61" s="144"/>
      <c r="R61" s="144"/>
      <c r="S61" s="144"/>
      <c r="T61" s="144"/>
      <c r="U61" s="144"/>
      <c r="V61" s="144"/>
      <c r="W61" s="144"/>
      <c r="X61" s="144"/>
      <c r="Y61" s="144"/>
      <c r="Z61" s="144"/>
      <c r="AA61" s="144"/>
      <c r="AB61" s="144"/>
      <c r="AC61" s="144"/>
      <c r="AD61" s="144"/>
      <c r="AE61" s="144"/>
      <c r="AF61" s="144"/>
    </row>
    <row r="62" ht="16.5" customHeight="1">
      <c r="A62" s="144"/>
      <c r="B62" s="559"/>
      <c r="C62" s="352"/>
      <c r="D62" s="352"/>
      <c r="E62" s="352"/>
      <c r="F62" s="352"/>
      <c r="G62" s="560"/>
      <c r="H62" s="352"/>
      <c r="I62" s="352"/>
      <c r="J62" s="497"/>
      <c r="K62" s="496"/>
      <c r="L62" s="496"/>
      <c r="M62" s="144"/>
      <c r="N62" s="144"/>
      <c r="O62" s="144"/>
      <c r="P62" s="144"/>
      <c r="Q62" s="144"/>
      <c r="R62" s="144"/>
      <c r="S62" s="144"/>
      <c r="T62" s="144"/>
      <c r="U62" s="144"/>
      <c r="V62" s="144"/>
      <c r="W62" s="144"/>
      <c r="X62" s="144"/>
      <c r="Y62" s="144"/>
      <c r="Z62" s="144"/>
      <c r="AA62" s="144"/>
      <c r="AB62" s="144"/>
      <c r="AC62" s="144"/>
      <c r="AD62" s="144"/>
      <c r="AE62" s="144"/>
      <c r="AF62" s="144"/>
    </row>
    <row r="63" ht="16.5" customHeight="1">
      <c r="A63" s="144"/>
      <c r="B63" s="559"/>
      <c r="C63" s="352"/>
      <c r="D63" s="352"/>
      <c r="E63" s="352"/>
      <c r="F63" s="505"/>
      <c r="G63" s="560"/>
      <c r="H63" s="505"/>
      <c r="I63" s="352"/>
      <c r="J63" s="497"/>
      <c r="K63" s="496"/>
      <c r="L63" s="496"/>
      <c r="M63" s="144"/>
      <c r="N63" s="144"/>
      <c r="O63" s="144"/>
      <c r="P63" s="144"/>
      <c r="Q63" s="144"/>
      <c r="R63" s="144"/>
      <c r="S63" s="144"/>
      <c r="T63" s="144"/>
      <c r="U63" s="144"/>
      <c r="V63" s="144"/>
      <c r="W63" s="144"/>
      <c r="X63" s="144"/>
      <c r="Y63" s="144"/>
      <c r="Z63" s="144"/>
      <c r="AA63" s="144"/>
      <c r="AB63" s="144"/>
      <c r="AC63" s="144"/>
      <c r="AD63" s="144"/>
      <c r="AE63" s="144"/>
      <c r="AF63" s="144"/>
    </row>
    <row r="64" ht="16.5" customHeight="1">
      <c r="A64" s="144"/>
      <c r="B64" s="559"/>
      <c r="C64" s="352"/>
      <c r="D64" s="352"/>
      <c r="E64" s="352"/>
      <c r="F64" s="352"/>
      <c r="G64" s="560"/>
      <c r="H64" s="505"/>
      <c r="I64" s="497"/>
      <c r="J64" s="497"/>
      <c r="K64" s="496"/>
      <c r="L64" s="496"/>
      <c r="M64" s="144"/>
      <c r="N64" s="144"/>
      <c r="O64" s="144"/>
      <c r="P64" s="144"/>
      <c r="Q64" s="144"/>
      <c r="R64" s="144"/>
      <c r="S64" s="144"/>
      <c r="T64" s="144"/>
      <c r="U64" s="144"/>
      <c r="V64" s="144"/>
      <c r="W64" s="144"/>
      <c r="X64" s="144"/>
      <c r="Y64" s="144"/>
      <c r="Z64" s="144"/>
      <c r="AA64" s="144"/>
      <c r="AB64" s="144"/>
      <c r="AC64" s="144"/>
      <c r="AD64" s="144"/>
      <c r="AE64" s="144"/>
      <c r="AF64" s="144"/>
    </row>
    <row r="65" ht="16.5" customHeight="1">
      <c r="A65" s="144"/>
      <c r="B65" s="559"/>
      <c r="C65" s="352"/>
      <c r="D65" s="352"/>
      <c r="E65" s="352"/>
      <c r="F65" s="352"/>
      <c r="G65" s="560"/>
      <c r="H65" s="352"/>
      <c r="I65" s="497"/>
      <c r="J65" s="497"/>
      <c r="K65" s="496"/>
      <c r="L65" s="496"/>
      <c r="M65" s="144"/>
      <c r="N65" s="144"/>
      <c r="O65" s="144"/>
      <c r="P65" s="144"/>
      <c r="Q65" s="144"/>
      <c r="R65" s="144"/>
      <c r="S65" s="144"/>
      <c r="T65" s="144"/>
      <c r="U65" s="144"/>
      <c r="V65" s="144"/>
      <c r="W65" s="144"/>
      <c r="X65" s="144"/>
      <c r="Y65" s="144"/>
      <c r="Z65" s="144"/>
      <c r="AA65" s="144"/>
      <c r="AB65" s="144"/>
      <c r="AC65" s="144"/>
      <c r="AD65" s="144"/>
      <c r="AE65" s="144"/>
      <c r="AF65" s="144"/>
    </row>
    <row r="66" ht="16.5" customHeight="1">
      <c r="A66" s="144"/>
      <c r="B66" s="559"/>
      <c r="C66" s="352"/>
      <c r="D66" s="352"/>
      <c r="E66" s="352"/>
      <c r="F66" s="352"/>
      <c r="G66" s="560"/>
      <c r="H66" s="352"/>
      <c r="I66" s="497"/>
      <c r="J66" s="497"/>
      <c r="K66" s="496"/>
      <c r="L66" s="496"/>
      <c r="M66" s="144"/>
      <c r="N66" s="144"/>
      <c r="O66" s="144"/>
      <c r="P66" s="144"/>
      <c r="Q66" s="144"/>
      <c r="R66" s="144"/>
      <c r="S66" s="144"/>
      <c r="T66" s="144"/>
      <c r="U66" s="144"/>
      <c r="V66" s="144"/>
      <c r="W66" s="144"/>
      <c r="X66" s="144"/>
      <c r="Y66" s="144"/>
      <c r="Z66" s="144"/>
      <c r="AA66" s="144"/>
      <c r="AB66" s="144"/>
      <c r="AC66" s="144"/>
      <c r="AD66" s="144"/>
      <c r="AE66" s="144"/>
      <c r="AF66" s="144"/>
    </row>
    <row r="67" ht="16.5" customHeight="1">
      <c r="A67" s="144"/>
      <c r="B67" s="559"/>
      <c r="C67" s="352"/>
      <c r="D67" s="352"/>
      <c r="E67" s="352"/>
      <c r="F67" s="352"/>
      <c r="G67" s="560"/>
      <c r="H67" s="352"/>
      <c r="I67" s="497"/>
      <c r="J67" s="497"/>
      <c r="K67" s="496"/>
      <c r="L67" s="496"/>
      <c r="M67" s="144"/>
      <c r="N67" s="144"/>
      <c r="O67" s="144"/>
      <c r="P67" s="144"/>
      <c r="Q67" s="144"/>
      <c r="R67" s="144"/>
      <c r="S67" s="144"/>
      <c r="T67" s="144"/>
      <c r="U67" s="144"/>
      <c r="V67" s="144"/>
      <c r="W67" s="144"/>
      <c r="X67" s="144"/>
      <c r="Y67" s="144"/>
      <c r="Z67" s="144"/>
      <c r="AA67" s="144"/>
      <c r="AB67" s="144"/>
      <c r="AC67" s="144"/>
      <c r="AD67" s="144"/>
      <c r="AE67" s="144"/>
      <c r="AF67" s="144"/>
    </row>
    <row r="68" ht="16.5" customHeight="1">
      <c r="A68" s="144"/>
      <c r="B68" s="559"/>
      <c r="C68" s="352"/>
      <c r="D68" s="352"/>
      <c r="E68" s="352"/>
      <c r="F68" s="352"/>
      <c r="G68" s="560"/>
      <c r="H68" s="352"/>
      <c r="I68" s="497"/>
      <c r="J68" s="497"/>
      <c r="K68" s="496"/>
      <c r="L68" s="496"/>
      <c r="M68" s="144"/>
      <c r="N68" s="144"/>
      <c r="O68" s="144"/>
      <c r="P68" s="144"/>
      <c r="Q68" s="144"/>
      <c r="R68" s="144"/>
      <c r="S68" s="144"/>
      <c r="T68" s="144"/>
      <c r="U68" s="144"/>
      <c r="V68" s="144"/>
      <c r="W68" s="144"/>
      <c r="X68" s="144"/>
      <c r="Y68" s="144"/>
      <c r="Z68" s="144"/>
      <c r="AA68" s="144"/>
      <c r="AB68" s="144"/>
      <c r="AC68" s="144"/>
      <c r="AD68" s="144"/>
      <c r="AE68" s="144"/>
      <c r="AF68" s="144"/>
    </row>
    <row r="69" ht="16.5" customHeight="1">
      <c r="A69" s="144"/>
      <c r="B69" s="559"/>
      <c r="C69" s="352"/>
      <c r="D69" s="352"/>
      <c r="E69" s="352"/>
      <c r="F69" s="352"/>
      <c r="G69" s="560"/>
      <c r="H69" s="352"/>
      <c r="I69" s="497"/>
      <c r="J69" s="497"/>
      <c r="K69" s="496"/>
      <c r="L69" s="496"/>
      <c r="M69" s="144"/>
      <c r="N69" s="144"/>
      <c r="O69" s="144"/>
      <c r="P69" s="144"/>
      <c r="Q69" s="144"/>
      <c r="R69" s="144"/>
      <c r="S69" s="144"/>
      <c r="T69" s="144"/>
      <c r="U69" s="144"/>
      <c r="V69" s="144"/>
      <c r="W69" s="144"/>
      <c r="X69" s="144"/>
      <c r="Y69" s="144"/>
      <c r="Z69" s="144"/>
      <c r="AA69" s="144"/>
      <c r="AB69" s="144"/>
      <c r="AC69" s="144"/>
      <c r="AD69" s="144"/>
      <c r="AE69" s="144"/>
      <c r="AF69" s="144"/>
    </row>
    <row r="70" ht="16.5" customHeight="1">
      <c r="A70" s="144"/>
      <c r="B70" s="559"/>
      <c r="C70" s="352"/>
      <c r="D70" s="352"/>
      <c r="E70" s="352"/>
      <c r="F70" s="352"/>
      <c r="G70" s="560"/>
      <c r="H70" s="352"/>
      <c r="I70" s="352"/>
      <c r="J70" s="497"/>
      <c r="K70" s="496"/>
      <c r="L70" s="496"/>
      <c r="M70" s="144"/>
      <c r="N70" s="144"/>
      <c r="O70" s="144"/>
      <c r="P70" s="144"/>
      <c r="Q70" s="144"/>
      <c r="R70" s="144"/>
      <c r="S70" s="144"/>
      <c r="T70" s="144"/>
      <c r="U70" s="144"/>
      <c r="V70" s="144"/>
      <c r="W70" s="144"/>
      <c r="X70" s="144"/>
      <c r="Y70" s="144"/>
      <c r="Z70" s="144"/>
      <c r="AA70" s="144"/>
      <c r="AB70" s="144"/>
      <c r="AC70" s="144"/>
      <c r="AD70" s="144"/>
      <c r="AE70" s="144"/>
      <c r="AF70" s="144"/>
    </row>
    <row r="71" ht="16.5" customHeight="1">
      <c r="A71" s="144"/>
      <c r="B71" s="559"/>
      <c r="C71" s="352"/>
      <c r="D71" s="352"/>
      <c r="E71" s="352"/>
      <c r="F71" s="505"/>
      <c r="G71" s="560"/>
      <c r="H71" s="505"/>
      <c r="I71" s="352"/>
      <c r="J71" s="497"/>
      <c r="K71" s="496"/>
      <c r="L71" s="496"/>
      <c r="M71" s="144"/>
      <c r="N71" s="144"/>
      <c r="O71" s="144"/>
      <c r="P71" s="144"/>
      <c r="Q71" s="144"/>
      <c r="R71" s="144"/>
      <c r="S71" s="144"/>
      <c r="T71" s="144"/>
      <c r="U71" s="144"/>
      <c r="V71" s="144"/>
      <c r="W71" s="144"/>
      <c r="X71" s="144"/>
      <c r="Y71" s="144"/>
      <c r="Z71" s="144"/>
      <c r="AA71" s="144"/>
      <c r="AB71" s="144"/>
      <c r="AC71" s="144"/>
      <c r="AD71" s="144"/>
      <c r="AE71" s="144"/>
      <c r="AF71" s="144"/>
    </row>
    <row r="72" ht="16.5" customHeight="1">
      <c r="A72" s="144"/>
      <c r="B72" s="559"/>
      <c r="C72" s="352"/>
      <c r="D72" s="352"/>
      <c r="E72" s="352"/>
      <c r="F72" s="352"/>
      <c r="G72" s="560"/>
      <c r="H72" s="505"/>
      <c r="I72" s="497"/>
      <c r="J72" s="497"/>
      <c r="K72" s="496"/>
      <c r="L72" s="496"/>
      <c r="M72" s="144"/>
      <c r="N72" s="144"/>
      <c r="O72" s="144"/>
      <c r="P72" s="144"/>
      <c r="Q72" s="144"/>
      <c r="R72" s="144"/>
      <c r="S72" s="144"/>
      <c r="T72" s="144"/>
      <c r="U72" s="144"/>
      <c r="V72" s="144"/>
      <c r="W72" s="144"/>
      <c r="X72" s="144"/>
      <c r="Y72" s="144"/>
      <c r="Z72" s="144"/>
      <c r="AA72" s="144"/>
      <c r="AB72" s="144"/>
      <c r="AC72" s="144"/>
      <c r="AD72" s="144"/>
      <c r="AE72" s="144"/>
      <c r="AF72" s="144"/>
    </row>
    <row r="73" ht="16.5" customHeight="1">
      <c r="A73" s="144"/>
      <c r="B73" s="559"/>
      <c r="C73" s="352"/>
      <c r="D73" s="352"/>
      <c r="E73" s="352"/>
      <c r="F73" s="352"/>
      <c r="G73" s="560"/>
      <c r="H73" s="352"/>
      <c r="I73" s="497"/>
      <c r="J73" s="497"/>
      <c r="K73" s="496"/>
      <c r="L73" s="496"/>
      <c r="M73" s="144"/>
      <c r="N73" s="144"/>
      <c r="O73" s="144"/>
      <c r="P73" s="144"/>
      <c r="Q73" s="144"/>
      <c r="R73" s="144"/>
      <c r="S73" s="144"/>
      <c r="T73" s="144"/>
      <c r="U73" s="144"/>
      <c r="V73" s="144"/>
      <c r="W73" s="144"/>
      <c r="X73" s="144"/>
      <c r="Y73" s="144"/>
      <c r="Z73" s="144"/>
      <c r="AA73" s="144"/>
      <c r="AB73" s="144"/>
      <c r="AC73" s="144"/>
      <c r="AD73" s="144"/>
      <c r="AE73" s="144"/>
      <c r="AF73" s="144"/>
    </row>
    <row r="74" ht="16.5" customHeight="1">
      <c r="A74" s="144"/>
      <c r="B74" s="559"/>
      <c r="C74" s="352"/>
      <c r="D74" s="352"/>
      <c r="E74" s="352"/>
      <c r="F74" s="352"/>
      <c r="G74" s="560"/>
      <c r="H74" s="352"/>
      <c r="I74" s="497"/>
      <c r="J74" s="497"/>
      <c r="K74" s="496"/>
      <c r="L74" s="496"/>
      <c r="M74" s="144"/>
      <c r="N74" s="144"/>
      <c r="O74" s="144"/>
      <c r="P74" s="144"/>
      <c r="Q74" s="144"/>
      <c r="R74" s="144"/>
      <c r="S74" s="144"/>
      <c r="T74" s="144"/>
      <c r="U74" s="144"/>
      <c r="V74" s="144"/>
      <c r="W74" s="144"/>
      <c r="X74" s="144"/>
      <c r="Y74" s="144"/>
      <c r="Z74" s="144"/>
      <c r="AA74" s="144"/>
      <c r="AB74" s="144"/>
      <c r="AC74" s="144"/>
      <c r="AD74" s="144"/>
      <c r="AE74" s="144"/>
      <c r="AF74" s="144"/>
    </row>
    <row r="75" ht="16.5" customHeight="1">
      <c r="A75" s="144"/>
      <c r="B75" s="559"/>
      <c r="C75" s="352"/>
      <c r="D75" s="352"/>
      <c r="E75" s="352"/>
      <c r="F75" s="352"/>
      <c r="G75" s="560"/>
      <c r="H75" s="352"/>
      <c r="I75" s="497"/>
      <c r="J75" s="497"/>
      <c r="K75" s="496"/>
      <c r="L75" s="496"/>
      <c r="M75" s="144"/>
      <c r="N75" s="144"/>
      <c r="O75" s="144"/>
      <c r="P75" s="144"/>
      <c r="Q75" s="144"/>
      <c r="R75" s="144"/>
      <c r="S75" s="144"/>
      <c r="T75" s="144"/>
      <c r="U75" s="144"/>
      <c r="V75" s="144"/>
      <c r="W75" s="144"/>
      <c r="X75" s="144"/>
      <c r="Y75" s="144"/>
      <c r="Z75" s="144"/>
      <c r="AA75" s="144"/>
      <c r="AB75" s="144"/>
      <c r="AC75" s="144"/>
      <c r="AD75" s="144"/>
      <c r="AE75" s="144"/>
      <c r="AF75" s="144"/>
    </row>
    <row r="76" ht="16.5" customHeight="1">
      <c r="A76" s="144"/>
      <c r="B76" s="559"/>
      <c r="C76" s="352"/>
      <c r="D76" s="352"/>
      <c r="E76" s="352"/>
      <c r="F76" s="352"/>
      <c r="G76" s="560"/>
      <c r="H76" s="352"/>
      <c r="I76" s="497"/>
      <c r="J76" s="497"/>
      <c r="K76" s="496"/>
      <c r="L76" s="496"/>
      <c r="M76" s="144"/>
      <c r="N76" s="144"/>
      <c r="O76" s="144"/>
      <c r="P76" s="144"/>
      <c r="Q76" s="144"/>
      <c r="R76" s="144"/>
      <c r="S76" s="144"/>
      <c r="T76" s="144"/>
      <c r="U76" s="144"/>
      <c r="V76" s="144"/>
      <c r="W76" s="144"/>
      <c r="X76" s="144"/>
      <c r="Y76" s="144"/>
      <c r="Z76" s="144"/>
      <c r="AA76" s="144"/>
      <c r="AB76" s="144"/>
      <c r="AC76" s="144"/>
      <c r="AD76" s="144"/>
      <c r="AE76" s="144"/>
      <c r="AF76" s="144"/>
    </row>
    <row r="77" ht="16.5" customHeight="1">
      <c r="A77" s="144"/>
      <c r="B77" s="559"/>
      <c r="C77" s="352"/>
      <c r="D77" s="352"/>
      <c r="E77" s="352"/>
      <c r="F77" s="352"/>
      <c r="G77" s="560"/>
      <c r="H77" s="352"/>
      <c r="I77" s="497"/>
      <c r="J77" s="497"/>
      <c r="K77" s="496"/>
      <c r="L77" s="496"/>
      <c r="M77" s="144"/>
      <c r="N77" s="144"/>
      <c r="O77" s="144"/>
      <c r="P77" s="144"/>
      <c r="Q77" s="144"/>
      <c r="R77" s="144"/>
      <c r="S77" s="144"/>
      <c r="T77" s="144"/>
      <c r="U77" s="144"/>
      <c r="V77" s="144"/>
      <c r="W77" s="144"/>
      <c r="X77" s="144"/>
      <c r="Y77" s="144"/>
      <c r="Z77" s="144"/>
      <c r="AA77" s="144"/>
      <c r="AB77" s="144"/>
      <c r="AC77" s="144"/>
      <c r="AD77" s="144"/>
      <c r="AE77" s="144"/>
      <c r="AF77" s="144"/>
    </row>
    <row r="78" ht="16.5" customHeight="1">
      <c r="A78" s="144"/>
      <c r="B78" s="559"/>
      <c r="C78" s="352"/>
      <c r="D78" s="352"/>
      <c r="E78" s="352"/>
      <c r="F78" s="352"/>
      <c r="G78" s="560"/>
      <c r="H78" s="352"/>
      <c r="I78" s="497"/>
      <c r="J78" s="497"/>
      <c r="K78" s="496"/>
      <c r="L78" s="496"/>
      <c r="M78" s="144"/>
      <c r="N78" s="144"/>
      <c r="O78" s="144"/>
      <c r="P78" s="144"/>
      <c r="Q78" s="144"/>
      <c r="R78" s="144"/>
      <c r="S78" s="144"/>
      <c r="T78" s="144"/>
      <c r="U78" s="144"/>
      <c r="V78" s="144"/>
      <c r="W78" s="144"/>
      <c r="X78" s="144"/>
      <c r="Y78" s="144"/>
      <c r="Z78" s="144"/>
      <c r="AA78" s="144"/>
      <c r="AB78" s="144"/>
      <c r="AC78" s="144"/>
      <c r="AD78" s="144"/>
      <c r="AE78" s="144"/>
      <c r="AF78" s="144"/>
    </row>
    <row r="79" ht="16.5" customHeight="1">
      <c r="A79" s="144"/>
      <c r="B79" s="559"/>
      <c r="C79" s="352"/>
      <c r="D79" s="352"/>
      <c r="E79" s="352"/>
      <c r="F79" s="505"/>
      <c r="G79" s="560"/>
      <c r="H79" s="505"/>
      <c r="I79" s="497"/>
      <c r="J79" s="497"/>
      <c r="K79" s="496"/>
      <c r="L79" s="496"/>
      <c r="M79" s="144"/>
      <c r="N79" s="144"/>
      <c r="O79" s="144"/>
      <c r="P79" s="144"/>
      <c r="Q79" s="144"/>
      <c r="R79" s="144"/>
      <c r="S79" s="144"/>
      <c r="T79" s="144"/>
      <c r="U79" s="144"/>
      <c r="V79" s="144"/>
      <c r="W79" s="144"/>
      <c r="X79" s="144"/>
      <c r="Y79" s="144"/>
      <c r="Z79" s="144"/>
      <c r="AA79" s="144"/>
      <c r="AB79" s="144"/>
      <c r="AC79" s="144"/>
      <c r="AD79" s="144"/>
      <c r="AE79" s="144"/>
      <c r="AF79" s="144"/>
    </row>
    <row r="80" ht="16.5" customHeight="1">
      <c r="A80" s="144"/>
      <c r="B80" s="559"/>
      <c r="C80" s="352"/>
      <c r="D80" s="352"/>
      <c r="E80" s="352"/>
      <c r="F80" s="352"/>
      <c r="G80" s="560"/>
      <c r="H80" s="505"/>
      <c r="I80" s="497"/>
      <c r="J80" s="497"/>
      <c r="K80" s="496"/>
      <c r="L80" s="496"/>
      <c r="M80" s="144"/>
      <c r="N80" s="144"/>
      <c r="O80" s="144"/>
      <c r="P80" s="144"/>
      <c r="Q80" s="144"/>
      <c r="R80" s="144"/>
      <c r="S80" s="144"/>
      <c r="T80" s="144"/>
      <c r="U80" s="144"/>
      <c r="V80" s="144"/>
      <c r="W80" s="144"/>
      <c r="X80" s="144"/>
      <c r="Y80" s="144"/>
      <c r="Z80" s="144"/>
      <c r="AA80" s="144"/>
      <c r="AB80" s="144"/>
      <c r="AC80" s="144"/>
      <c r="AD80" s="144"/>
      <c r="AE80" s="144"/>
      <c r="AF80" s="144"/>
    </row>
    <row r="81" ht="16.5" customHeight="1">
      <c r="A81" s="144"/>
      <c r="B81" s="559"/>
      <c r="C81" s="352"/>
      <c r="D81" s="352"/>
      <c r="E81" s="352"/>
      <c r="F81" s="352"/>
      <c r="G81" s="560"/>
      <c r="H81" s="352"/>
      <c r="I81" s="497"/>
      <c r="J81" s="497"/>
      <c r="K81" s="496"/>
      <c r="L81" s="496"/>
      <c r="M81" s="144"/>
      <c r="N81" s="144"/>
      <c r="O81" s="144"/>
      <c r="P81" s="144"/>
      <c r="Q81" s="144"/>
      <c r="R81" s="144"/>
      <c r="S81" s="144"/>
      <c r="T81" s="144"/>
      <c r="U81" s="144"/>
      <c r="V81" s="144"/>
      <c r="W81" s="144"/>
      <c r="X81" s="144"/>
      <c r="Y81" s="144"/>
      <c r="Z81" s="144"/>
      <c r="AA81" s="144"/>
      <c r="AB81" s="144"/>
      <c r="AC81" s="144"/>
      <c r="AD81" s="144"/>
      <c r="AE81" s="144"/>
      <c r="AF81" s="144"/>
    </row>
    <row r="82" ht="16.5" customHeight="1">
      <c r="A82" s="144"/>
      <c r="B82" s="559"/>
      <c r="C82" s="352"/>
      <c r="D82" s="352"/>
      <c r="E82" s="352"/>
      <c r="F82" s="352"/>
      <c r="G82" s="560"/>
      <c r="H82" s="352"/>
      <c r="I82" s="497"/>
      <c r="J82" s="497"/>
      <c r="K82" s="496"/>
      <c r="L82" s="496"/>
      <c r="M82" s="144"/>
      <c r="N82" s="144"/>
      <c r="O82" s="144"/>
      <c r="P82" s="144"/>
      <c r="Q82" s="144"/>
      <c r="R82" s="144"/>
      <c r="S82" s="144"/>
      <c r="T82" s="144"/>
      <c r="U82" s="144"/>
      <c r="V82" s="144"/>
      <c r="W82" s="144"/>
      <c r="X82" s="144"/>
      <c r="Y82" s="144"/>
      <c r="Z82" s="144"/>
      <c r="AA82" s="144"/>
      <c r="AB82" s="144"/>
      <c r="AC82" s="144"/>
      <c r="AD82" s="144"/>
      <c r="AE82" s="144"/>
      <c r="AF82" s="144"/>
    </row>
    <row r="83" ht="16.5" customHeight="1">
      <c r="A83" s="144"/>
      <c r="B83" s="559"/>
      <c r="C83" s="352"/>
      <c r="D83" s="352"/>
      <c r="E83" s="352"/>
      <c r="F83" s="352"/>
      <c r="G83" s="560"/>
      <c r="H83" s="352"/>
      <c r="I83" s="497"/>
      <c r="J83" s="497"/>
      <c r="K83" s="496"/>
      <c r="L83" s="496"/>
      <c r="M83" s="144"/>
      <c r="N83" s="144"/>
      <c r="O83" s="144"/>
      <c r="P83" s="144"/>
      <c r="Q83" s="144"/>
      <c r="R83" s="144"/>
      <c r="S83" s="144"/>
      <c r="T83" s="144"/>
      <c r="U83" s="144"/>
      <c r="V83" s="144"/>
      <c r="W83" s="144"/>
      <c r="X83" s="144"/>
      <c r="Y83" s="144"/>
      <c r="Z83" s="144"/>
      <c r="AA83" s="144"/>
      <c r="AB83" s="144"/>
      <c r="AC83" s="144"/>
      <c r="AD83" s="144"/>
      <c r="AE83" s="144"/>
      <c r="AF83" s="144"/>
    </row>
    <row r="84" ht="16.5" customHeight="1">
      <c r="A84" s="144"/>
      <c r="B84" s="559"/>
      <c r="C84" s="352"/>
      <c r="D84" s="352"/>
      <c r="E84" s="352"/>
      <c r="F84" s="352"/>
      <c r="G84" s="560"/>
      <c r="H84" s="352"/>
      <c r="I84" s="497"/>
      <c r="J84" s="497"/>
      <c r="K84" s="496"/>
      <c r="L84" s="496"/>
      <c r="M84" s="144"/>
      <c r="N84" s="144"/>
      <c r="O84" s="144"/>
      <c r="P84" s="144"/>
      <c r="Q84" s="144"/>
      <c r="R84" s="144"/>
      <c r="S84" s="144"/>
      <c r="T84" s="144"/>
      <c r="U84" s="144"/>
      <c r="V84" s="144"/>
      <c r="W84" s="144"/>
      <c r="X84" s="144"/>
      <c r="Y84" s="144"/>
      <c r="Z84" s="144"/>
      <c r="AA84" s="144"/>
      <c r="AB84" s="144"/>
      <c r="AC84" s="144"/>
      <c r="AD84" s="144"/>
      <c r="AE84" s="144"/>
      <c r="AF84" s="144"/>
    </row>
    <row r="85" ht="16.5" customHeight="1">
      <c r="A85" s="144"/>
      <c r="B85" s="559"/>
      <c r="C85" s="352"/>
      <c r="D85" s="352"/>
      <c r="E85" s="352"/>
      <c r="F85" s="352"/>
      <c r="G85" s="560"/>
      <c r="H85" s="352"/>
      <c r="I85" s="352"/>
      <c r="J85" s="497"/>
      <c r="K85" s="496"/>
      <c r="L85" s="496"/>
      <c r="M85" s="144"/>
      <c r="N85" s="144"/>
      <c r="O85" s="144"/>
      <c r="P85" s="144"/>
      <c r="Q85" s="144"/>
      <c r="R85" s="144"/>
      <c r="S85" s="144"/>
      <c r="T85" s="144"/>
      <c r="U85" s="144"/>
      <c r="V85" s="144"/>
      <c r="W85" s="144"/>
      <c r="X85" s="144"/>
      <c r="Y85" s="144"/>
      <c r="Z85" s="144"/>
      <c r="AA85" s="144"/>
      <c r="AB85" s="144"/>
      <c r="AC85" s="144"/>
      <c r="AD85" s="144"/>
      <c r="AE85" s="144"/>
      <c r="AF85" s="144"/>
    </row>
    <row r="86" ht="16.5" customHeight="1">
      <c r="A86" s="144"/>
      <c r="B86" s="559"/>
      <c r="C86" s="352"/>
      <c r="D86" s="352"/>
      <c r="E86" s="352"/>
      <c r="F86" s="505"/>
      <c r="G86" s="560"/>
      <c r="H86" s="505"/>
      <c r="I86" s="352"/>
      <c r="J86" s="497"/>
      <c r="K86" s="496"/>
      <c r="L86" s="496"/>
      <c r="M86" s="144"/>
      <c r="N86" s="144"/>
      <c r="O86" s="144"/>
      <c r="P86" s="144"/>
      <c r="Q86" s="144"/>
      <c r="R86" s="144"/>
      <c r="S86" s="144"/>
      <c r="T86" s="144"/>
      <c r="U86" s="144"/>
      <c r="V86" s="144"/>
      <c r="W86" s="144"/>
      <c r="X86" s="144"/>
      <c r="Y86" s="144"/>
      <c r="Z86" s="144"/>
      <c r="AA86" s="144"/>
      <c r="AB86" s="144"/>
      <c r="AC86" s="144"/>
      <c r="AD86" s="144"/>
      <c r="AE86" s="144"/>
      <c r="AF86" s="144"/>
    </row>
    <row r="87" ht="16.5" customHeight="1">
      <c r="A87" s="144"/>
      <c r="B87" s="559"/>
      <c r="C87" s="352"/>
      <c r="D87" s="352"/>
      <c r="E87" s="352"/>
      <c r="F87" s="352"/>
      <c r="G87" s="560"/>
      <c r="H87" s="505"/>
      <c r="I87" s="497"/>
      <c r="J87" s="497"/>
      <c r="K87" s="496"/>
      <c r="L87" s="496"/>
      <c r="M87" s="144"/>
      <c r="N87" s="144"/>
      <c r="O87" s="144"/>
      <c r="P87" s="144"/>
      <c r="Q87" s="144"/>
      <c r="R87" s="144"/>
      <c r="S87" s="144"/>
      <c r="T87" s="144"/>
      <c r="U87" s="144"/>
      <c r="V87" s="144"/>
      <c r="W87" s="144"/>
      <c r="X87" s="144"/>
      <c r="Y87" s="144"/>
      <c r="Z87" s="144"/>
      <c r="AA87" s="144"/>
      <c r="AB87" s="144"/>
      <c r="AC87" s="144"/>
      <c r="AD87" s="144"/>
      <c r="AE87" s="144"/>
      <c r="AF87" s="144"/>
    </row>
    <row r="88" ht="16.5" customHeight="1">
      <c r="A88" s="144"/>
      <c r="B88" s="559"/>
      <c r="C88" s="352"/>
      <c r="D88" s="352"/>
      <c r="E88" s="352"/>
      <c r="F88" s="352"/>
      <c r="G88" s="560"/>
      <c r="H88" s="352"/>
      <c r="I88" s="497"/>
      <c r="J88" s="497"/>
      <c r="K88" s="496"/>
      <c r="L88" s="496"/>
      <c r="M88" s="144"/>
      <c r="N88" s="144"/>
      <c r="O88" s="144"/>
      <c r="P88" s="144"/>
      <c r="Q88" s="144"/>
      <c r="R88" s="144"/>
      <c r="S88" s="144"/>
      <c r="T88" s="144"/>
      <c r="U88" s="144"/>
      <c r="V88" s="144"/>
      <c r="W88" s="144"/>
      <c r="X88" s="144"/>
      <c r="Y88" s="144"/>
      <c r="Z88" s="144"/>
      <c r="AA88" s="144"/>
      <c r="AB88" s="144"/>
      <c r="AC88" s="144"/>
      <c r="AD88" s="144"/>
      <c r="AE88" s="144"/>
      <c r="AF88" s="144"/>
    </row>
    <row r="89" ht="16.5" customHeight="1">
      <c r="A89" s="144"/>
      <c r="B89" s="559"/>
      <c r="C89" s="352"/>
      <c r="D89" s="352"/>
      <c r="E89" s="352"/>
      <c r="F89" s="352"/>
      <c r="G89" s="560"/>
      <c r="H89" s="352"/>
      <c r="I89" s="497"/>
      <c r="J89" s="497"/>
      <c r="K89" s="496"/>
      <c r="L89" s="496"/>
      <c r="M89" s="144"/>
      <c r="N89" s="144"/>
      <c r="O89" s="144"/>
      <c r="P89" s="144"/>
      <c r="Q89" s="144"/>
      <c r="R89" s="144"/>
      <c r="S89" s="144"/>
      <c r="T89" s="144"/>
      <c r="U89" s="144"/>
      <c r="V89" s="144"/>
      <c r="W89" s="144"/>
      <c r="X89" s="144"/>
      <c r="Y89" s="144"/>
      <c r="Z89" s="144"/>
      <c r="AA89" s="144"/>
      <c r="AB89" s="144"/>
      <c r="AC89" s="144"/>
      <c r="AD89" s="144"/>
      <c r="AE89" s="144"/>
      <c r="AF89" s="144"/>
    </row>
    <row r="90" ht="16.5" customHeight="1">
      <c r="A90" s="144"/>
      <c r="B90" s="559"/>
      <c r="C90" s="352"/>
      <c r="D90" s="352"/>
      <c r="E90" s="352"/>
      <c r="F90" s="352"/>
      <c r="G90" s="560"/>
      <c r="H90" s="352"/>
      <c r="I90" s="497"/>
      <c r="J90" s="497"/>
      <c r="K90" s="496"/>
      <c r="L90" s="496"/>
      <c r="M90" s="144"/>
      <c r="N90" s="144"/>
      <c r="O90" s="144"/>
      <c r="P90" s="144"/>
      <c r="Q90" s="144"/>
      <c r="R90" s="144"/>
      <c r="S90" s="144"/>
      <c r="T90" s="144"/>
      <c r="U90" s="144"/>
      <c r="V90" s="144"/>
      <c r="W90" s="144"/>
      <c r="X90" s="144"/>
      <c r="Y90" s="144"/>
      <c r="Z90" s="144"/>
      <c r="AA90" s="144"/>
      <c r="AB90" s="144"/>
      <c r="AC90" s="144"/>
      <c r="AD90" s="144"/>
      <c r="AE90" s="144"/>
      <c r="AF90" s="144"/>
    </row>
    <row r="91" ht="16.5" customHeight="1">
      <c r="A91" s="144"/>
      <c r="B91" s="559"/>
      <c r="C91" s="352"/>
      <c r="D91" s="352"/>
      <c r="E91" s="352"/>
      <c r="F91" s="352"/>
      <c r="G91" s="560"/>
      <c r="H91" s="352"/>
      <c r="I91" s="497"/>
      <c r="J91" s="497"/>
      <c r="K91" s="496"/>
      <c r="L91" s="496"/>
      <c r="M91" s="144"/>
      <c r="N91" s="144"/>
      <c r="O91" s="144"/>
      <c r="P91" s="144"/>
      <c r="Q91" s="144"/>
      <c r="R91" s="144"/>
      <c r="S91" s="144"/>
      <c r="T91" s="144"/>
      <c r="U91" s="144"/>
      <c r="V91" s="144"/>
      <c r="W91" s="144"/>
      <c r="X91" s="144"/>
      <c r="Y91" s="144"/>
      <c r="Z91" s="144"/>
      <c r="AA91" s="144"/>
      <c r="AB91" s="144"/>
      <c r="AC91" s="144"/>
      <c r="AD91" s="144"/>
      <c r="AE91" s="144"/>
      <c r="AF91" s="144"/>
    </row>
    <row r="92" ht="16.5" customHeight="1">
      <c r="A92" s="144"/>
      <c r="B92" s="559"/>
      <c r="C92" s="352"/>
      <c r="D92" s="352"/>
      <c r="E92" s="352"/>
      <c r="F92" s="352"/>
      <c r="G92" s="560"/>
      <c r="H92" s="352"/>
      <c r="I92" s="497"/>
      <c r="J92" s="497"/>
      <c r="K92" s="496"/>
      <c r="L92" s="496"/>
      <c r="M92" s="144"/>
      <c r="N92" s="144"/>
      <c r="O92" s="144"/>
      <c r="P92" s="144"/>
      <c r="Q92" s="144"/>
      <c r="R92" s="144"/>
      <c r="S92" s="144"/>
      <c r="T92" s="144"/>
      <c r="U92" s="144"/>
      <c r="V92" s="144"/>
      <c r="W92" s="144"/>
      <c r="X92" s="144"/>
      <c r="Y92" s="144"/>
      <c r="Z92" s="144"/>
      <c r="AA92" s="144"/>
      <c r="AB92" s="144"/>
      <c r="AC92" s="144"/>
      <c r="AD92" s="144"/>
      <c r="AE92" s="144"/>
      <c r="AF92" s="144"/>
    </row>
    <row r="93" ht="16.5" customHeight="1">
      <c r="A93" s="144"/>
      <c r="B93" s="559"/>
      <c r="C93" s="352"/>
      <c r="D93" s="352"/>
      <c r="E93" s="352"/>
      <c r="F93" s="352"/>
      <c r="G93" s="560"/>
      <c r="H93" s="352"/>
      <c r="I93" s="352"/>
      <c r="J93" s="497"/>
      <c r="K93" s="496"/>
      <c r="L93" s="496"/>
      <c r="M93" s="144"/>
      <c r="N93" s="144"/>
      <c r="O93" s="144"/>
      <c r="P93" s="144"/>
      <c r="Q93" s="144"/>
      <c r="R93" s="144"/>
      <c r="S93" s="144"/>
      <c r="T93" s="144"/>
      <c r="U93" s="144"/>
      <c r="V93" s="144"/>
      <c r="W93" s="144"/>
      <c r="X93" s="144"/>
      <c r="Y93" s="144"/>
      <c r="Z93" s="144"/>
      <c r="AA93" s="144"/>
      <c r="AB93" s="144"/>
      <c r="AC93" s="144"/>
      <c r="AD93" s="144"/>
      <c r="AE93" s="144"/>
      <c r="AF93" s="144"/>
    </row>
    <row r="94" ht="16.5" customHeight="1">
      <c r="A94" s="144"/>
      <c r="B94" s="559"/>
      <c r="C94" s="352"/>
      <c r="D94" s="352"/>
      <c r="E94" s="352"/>
      <c r="F94" s="505"/>
      <c r="G94" s="560"/>
      <c r="H94" s="505"/>
      <c r="I94" s="352"/>
      <c r="J94" s="497"/>
      <c r="K94" s="496"/>
      <c r="L94" s="496"/>
      <c r="M94" s="144"/>
      <c r="N94" s="144"/>
      <c r="O94" s="144"/>
      <c r="P94" s="144"/>
      <c r="Q94" s="144"/>
      <c r="R94" s="144"/>
      <c r="S94" s="144"/>
      <c r="T94" s="144"/>
      <c r="U94" s="144"/>
      <c r="V94" s="144"/>
      <c r="W94" s="144"/>
      <c r="X94" s="144"/>
      <c r="Y94" s="144"/>
      <c r="Z94" s="144"/>
      <c r="AA94" s="144"/>
      <c r="AB94" s="144"/>
      <c r="AC94" s="144"/>
      <c r="AD94" s="144"/>
      <c r="AE94" s="144"/>
      <c r="AF94" s="144"/>
    </row>
    <row r="95" ht="16.5" customHeight="1">
      <c r="A95" s="144"/>
      <c r="B95" s="559"/>
      <c r="C95" s="352"/>
      <c r="D95" s="352"/>
      <c r="E95" s="497"/>
      <c r="F95" s="497"/>
      <c r="G95" s="561"/>
      <c r="H95" s="562"/>
      <c r="I95" s="497"/>
      <c r="J95" s="497"/>
      <c r="K95" s="496"/>
      <c r="L95" s="496"/>
      <c r="M95" s="144"/>
      <c r="N95" s="144"/>
      <c r="O95" s="144"/>
      <c r="P95" s="144"/>
      <c r="Q95" s="144"/>
      <c r="R95" s="144"/>
      <c r="S95" s="144"/>
      <c r="T95" s="144"/>
      <c r="U95" s="144"/>
      <c r="V95" s="144"/>
      <c r="W95" s="144"/>
      <c r="X95" s="144"/>
      <c r="Y95" s="144"/>
      <c r="Z95" s="144"/>
      <c r="AA95" s="144"/>
      <c r="AB95" s="144"/>
      <c r="AC95" s="144"/>
      <c r="AD95" s="144"/>
      <c r="AE95" s="144"/>
      <c r="AF95" s="144"/>
    </row>
    <row r="96" ht="16.5" customHeight="1">
      <c r="A96" s="144"/>
      <c r="B96" s="559"/>
      <c r="C96" s="352"/>
      <c r="D96" s="352"/>
      <c r="E96" s="497"/>
      <c r="F96" s="497"/>
      <c r="G96" s="561"/>
      <c r="H96" s="497"/>
      <c r="I96" s="497"/>
      <c r="J96" s="497"/>
      <c r="K96" s="496"/>
      <c r="L96" s="496"/>
      <c r="M96" s="144"/>
      <c r="N96" s="144"/>
      <c r="O96" s="144"/>
      <c r="P96" s="144"/>
      <c r="Q96" s="144"/>
      <c r="R96" s="144"/>
      <c r="S96" s="144"/>
      <c r="T96" s="144"/>
      <c r="U96" s="144"/>
      <c r="V96" s="144"/>
      <c r="W96" s="144"/>
      <c r="X96" s="144"/>
      <c r="Y96" s="144"/>
      <c r="Z96" s="144"/>
      <c r="AA96" s="144"/>
      <c r="AB96" s="144"/>
      <c r="AC96" s="144"/>
      <c r="AD96" s="144"/>
      <c r="AE96" s="144"/>
      <c r="AF96" s="144"/>
    </row>
    <row r="97" ht="16.5" customHeight="1">
      <c r="A97" s="144"/>
      <c r="B97" s="559"/>
      <c r="C97" s="352"/>
      <c r="D97" s="352"/>
      <c r="E97" s="497"/>
      <c r="F97" s="497"/>
      <c r="G97" s="561"/>
      <c r="H97" s="497"/>
      <c r="I97" s="497"/>
      <c r="J97" s="497"/>
      <c r="K97" s="496"/>
      <c r="L97" s="496"/>
      <c r="M97" s="144"/>
      <c r="N97" s="144"/>
      <c r="O97" s="144"/>
      <c r="P97" s="144"/>
      <c r="Q97" s="144"/>
      <c r="R97" s="144"/>
      <c r="S97" s="144"/>
      <c r="T97" s="144"/>
      <c r="U97" s="144"/>
      <c r="V97" s="144"/>
      <c r="W97" s="144"/>
      <c r="X97" s="144"/>
      <c r="Y97" s="144"/>
      <c r="Z97" s="144"/>
      <c r="AA97" s="144"/>
      <c r="AB97" s="144"/>
      <c r="AC97" s="144"/>
      <c r="AD97" s="144"/>
      <c r="AE97" s="144"/>
      <c r="AF97" s="144"/>
    </row>
    <row r="98" ht="16.5" customHeight="1">
      <c r="A98" s="144"/>
      <c r="B98" s="563"/>
      <c r="C98" s="497"/>
      <c r="D98" s="497"/>
      <c r="E98" s="497"/>
      <c r="F98" s="497"/>
      <c r="G98" s="497"/>
      <c r="H98" s="497"/>
      <c r="I98" s="497"/>
      <c r="J98" s="497"/>
      <c r="K98" s="496"/>
      <c r="L98" s="496"/>
      <c r="M98" s="144"/>
      <c r="N98" s="144"/>
      <c r="O98" s="144"/>
      <c r="P98" s="144"/>
      <c r="Q98" s="144"/>
      <c r="R98" s="144"/>
      <c r="S98" s="144"/>
      <c r="T98" s="144"/>
      <c r="U98" s="144"/>
      <c r="V98" s="144"/>
      <c r="W98" s="144"/>
      <c r="X98" s="144"/>
      <c r="Y98" s="144"/>
      <c r="Z98" s="144"/>
      <c r="AA98" s="144"/>
      <c r="AB98" s="144"/>
      <c r="AC98" s="144"/>
      <c r="AD98" s="144"/>
      <c r="AE98" s="144"/>
      <c r="AF98" s="144"/>
    </row>
    <row r="99" ht="16.5" customHeight="1">
      <c r="A99" s="144"/>
      <c r="B99" s="563"/>
      <c r="C99" s="497"/>
      <c r="D99" s="497"/>
      <c r="E99" s="497"/>
      <c r="F99" s="497"/>
      <c r="G99" s="497"/>
      <c r="H99" s="497"/>
      <c r="I99" s="497"/>
      <c r="J99" s="497"/>
      <c r="K99" s="496"/>
      <c r="L99" s="496"/>
      <c r="M99" s="144"/>
      <c r="N99" s="144"/>
      <c r="O99" s="144"/>
      <c r="P99" s="144"/>
      <c r="Q99" s="144"/>
      <c r="R99" s="144"/>
      <c r="S99" s="144"/>
      <c r="T99" s="144"/>
      <c r="U99" s="144"/>
      <c r="V99" s="144"/>
      <c r="W99" s="144"/>
      <c r="X99" s="144"/>
      <c r="Y99" s="144"/>
      <c r="Z99" s="144"/>
      <c r="AA99" s="144"/>
      <c r="AB99" s="144"/>
      <c r="AC99" s="144"/>
      <c r="AD99" s="144"/>
      <c r="AE99" s="144"/>
      <c r="AF99" s="144"/>
    </row>
    <row r="100" ht="16.5" customHeight="1">
      <c r="A100" s="144"/>
      <c r="B100" s="563"/>
      <c r="C100" s="497"/>
      <c r="D100" s="497"/>
      <c r="E100" s="497"/>
      <c r="F100" s="497"/>
      <c r="G100" s="497"/>
      <c r="H100" s="497"/>
      <c r="I100" s="497"/>
      <c r="J100" s="497"/>
      <c r="K100" s="496"/>
      <c r="L100" s="496"/>
      <c r="M100" s="144"/>
      <c r="N100" s="144"/>
      <c r="O100" s="144"/>
      <c r="P100" s="144"/>
      <c r="Q100" s="144"/>
      <c r="R100" s="144"/>
      <c r="S100" s="144"/>
      <c r="T100" s="144"/>
      <c r="U100" s="144"/>
      <c r="V100" s="144"/>
      <c r="W100" s="144"/>
      <c r="X100" s="144"/>
      <c r="Y100" s="144"/>
      <c r="Z100" s="144"/>
      <c r="AA100" s="144"/>
      <c r="AB100" s="144"/>
      <c r="AC100" s="144"/>
      <c r="AD100" s="144"/>
      <c r="AE100" s="144"/>
      <c r="AF100" s="144"/>
    </row>
    <row r="101" ht="16.5" customHeight="1">
      <c r="A101" s="144"/>
      <c r="B101" s="563"/>
      <c r="C101" s="497"/>
      <c r="D101" s="497"/>
      <c r="E101" s="497"/>
      <c r="F101" s="497"/>
      <c r="G101" s="497"/>
      <c r="H101" s="497"/>
      <c r="I101" s="497"/>
      <c r="J101" s="497"/>
      <c r="K101" s="496"/>
      <c r="L101" s="496"/>
      <c r="M101" s="144"/>
      <c r="N101" s="144"/>
      <c r="O101" s="144"/>
      <c r="P101" s="144"/>
      <c r="Q101" s="144"/>
      <c r="R101" s="144"/>
      <c r="S101" s="144"/>
      <c r="T101" s="144"/>
      <c r="U101" s="144"/>
      <c r="V101" s="144"/>
      <c r="W101" s="144"/>
      <c r="X101" s="144"/>
      <c r="Y101" s="144"/>
      <c r="Z101" s="144"/>
      <c r="AA101" s="144"/>
      <c r="AB101" s="144"/>
      <c r="AC101" s="144"/>
      <c r="AD101" s="144"/>
      <c r="AE101" s="144"/>
      <c r="AF101" s="144"/>
    </row>
    <row r="102" ht="16.5" customHeight="1">
      <c r="A102" s="144"/>
      <c r="B102" s="563"/>
      <c r="C102" s="497"/>
      <c r="D102" s="497"/>
      <c r="E102" s="497"/>
      <c r="F102" s="497"/>
      <c r="G102" s="497"/>
      <c r="H102" s="497"/>
      <c r="I102" s="497"/>
      <c r="J102" s="497"/>
      <c r="K102" s="496"/>
      <c r="L102" s="496"/>
      <c r="M102" s="144"/>
      <c r="N102" s="144"/>
      <c r="O102" s="144"/>
      <c r="P102" s="144"/>
      <c r="Q102" s="144"/>
      <c r="R102" s="144"/>
      <c r="S102" s="144"/>
      <c r="T102" s="144"/>
      <c r="U102" s="144"/>
      <c r="V102" s="144"/>
      <c r="W102" s="144"/>
      <c r="X102" s="144"/>
      <c r="Y102" s="144"/>
      <c r="Z102" s="144"/>
      <c r="AA102" s="144"/>
      <c r="AB102" s="144"/>
      <c r="AC102" s="144"/>
      <c r="AD102" s="144"/>
      <c r="AE102" s="144"/>
      <c r="AF102" s="144"/>
    </row>
    <row r="103" ht="16.5" customHeight="1">
      <c r="A103" s="144"/>
      <c r="B103" s="563"/>
      <c r="C103" s="564"/>
      <c r="D103" s="564"/>
      <c r="E103" s="497"/>
      <c r="F103" s="497"/>
      <c r="G103" s="561"/>
      <c r="H103" s="497"/>
      <c r="I103" s="497"/>
      <c r="J103" s="497"/>
      <c r="K103" s="496"/>
      <c r="L103" s="496"/>
      <c r="M103" s="144"/>
      <c r="N103" s="144"/>
      <c r="O103" s="144"/>
      <c r="P103" s="144"/>
      <c r="Q103" s="144"/>
      <c r="R103" s="144"/>
      <c r="S103" s="144"/>
      <c r="T103" s="144"/>
      <c r="U103" s="144"/>
      <c r="V103" s="144"/>
      <c r="W103" s="144"/>
      <c r="X103" s="144"/>
      <c r="Y103" s="144"/>
      <c r="Z103" s="144"/>
      <c r="AA103" s="144"/>
      <c r="AB103" s="144"/>
      <c r="AC103" s="144"/>
      <c r="AD103" s="144"/>
      <c r="AE103" s="144"/>
      <c r="AF103" s="144"/>
    </row>
    <row r="104" ht="16.5" customHeight="1">
      <c r="A104" s="144"/>
      <c r="B104" s="563"/>
      <c r="C104" s="564"/>
      <c r="D104" s="564"/>
      <c r="E104" s="497"/>
      <c r="F104" s="497"/>
      <c r="G104" s="561"/>
      <c r="H104" s="497"/>
      <c r="I104" s="497"/>
      <c r="J104" s="497"/>
      <c r="K104" s="496"/>
      <c r="L104" s="496"/>
      <c r="M104" s="144"/>
      <c r="N104" s="144"/>
      <c r="O104" s="144"/>
      <c r="P104" s="144"/>
      <c r="Q104" s="144"/>
      <c r="R104" s="144"/>
      <c r="S104" s="144"/>
      <c r="T104" s="144"/>
      <c r="U104" s="144"/>
      <c r="V104" s="144"/>
      <c r="W104" s="144"/>
      <c r="X104" s="144"/>
      <c r="Y104" s="144"/>
      <c r="Z104" s="144"/>
      <c r="AA104" s="144"/>
      <c r="AB104" s="144"/>
      <c r="AC104" s="144"/>
      <c r="AD104" s="144"/>
      <c r="AE104" s="144"/>
      <c r="AF104" s="144"/>
    </row>
    <row r="105" ht="16.5" customHeight="1">
      <c r="A105" s="144"/>
      <c r="B105" s="563"/>
      <c r="C105" s="564"/>
      <c r="D105" s="564"/>
      <c r="E105" s="497"/>
      <c r="F105" s="497"/>
      <c r="G105" s="561"/>
      <c r="H105" s="497"/>
      <c r="I105" s="497"/>
      <c r="J105" s="497"/>
      <c r="K105" s="496"/>
      <c r="L105" s="496"/>
      <c r="M105" s="144"/>
      <c r="N105" s="144"/>
      <c r="O105" s="144"/>
      <c r="P105" s="144"/>
      <c r="Q105" s="144"/>
      <c r="R105" s="144"/>
      <c r="S105" s="144"/>
      <c r="T105" s="144"/>
      <c r="U105" s="144"/>
      <c r="V105" s="144"/>
      <c r="W105" s="144"/>
      <c r="X105" s="144"/>
      <c r="Y105" s="144"/>
      <c r="Z105" s="144"/>
      <c r="AA105" s="144"/>
      <c r="AB105" s="144"/>
      <c r="AC105" s="144"/>
      <c r="AD105" s="144"/>
      <c r="AE105" s="144"/>
      <c r="AF105" s="144"/>
    </row>
    <row r="106" ht="16.5" customHeight="1">
      <c r="A106" s="144"/>
      <c r="B106" s="563"/>
      <c r="C106" s="564"/>
      <c r="D106" s="564"/>
      <c r="E106" s="497"/>
      <c r="F106" s="497"/>
      <c r="G106" s="561"/>
      <c r="H106" s="497"/>
      <c r="I106" s="497"/>
      <c r="J106" s="497"/>
      <c r="K106" s="496"/>
      <c r="L106" s="496"/>
      <c r="M106" s="144"/>
      <c r="N106" s="144"/>
      <c r="O106" s="144"/>
      <c r="P106" s="144"/>
      <c r="Q106" s="144"/>
      <c r="R106" s="144"/>
      <c r="S106" s="144"/>
      <c r="T106" s="144"/>
      <c r="U106" s="144"/>
      <c r="V106" s="144"/>
      <c r="W106" s="144"/>
      <c r="X106" s="144"/>
      <c r="Y106" s="144"/>
      <c r="Z106" s="144"/>
      <c r="AA106" s="144"/>
      <c r="AB106" s="144"/>
      <c r="AC106" s="144"/>
      <c r="AD106" s="144"/>
      <c r="AE106" s="144"/>
      <c r="AF106" s="144"/>
    </row>
    <row r="107" ht="16.5" customHeight="1">
      <c r="A107" s="144"/>
      <c r="B107" s="563"/>
      <c r="C107" s="564"/>
      <c r="D107" s="564"/>
      <c r="E107" s="497"/>
      <c r="F107" s="562"/>
      <c r="G107" s="561"/>
      <c r="H107" s="562"/>
      <c r="I107" s="497"/>
      <c r="J107" s="497"/>
      <c r="K107" s="496"/>
      <c r="L107" s="496"/>
      <c r="M107" s="144"/>
      <c r="N107" s="144"/>
      <c r="O107" s="144"/>
      <c r="P107" s="144"/>
      <c r="Q107" s="144"/>
      <c r="R107" s="144"/>
      <c r="S107" s="144"/>
      <c r="T107" s="144"/>
      <c r="U107" s="144"/>
      <c r="V107" s="144"/>
      <c r="W107" s="144"/>
      <c r="X107" s="144"/>
      <c r="Y107" s="144"/>
      <c r="Z107" s="144"/>
      <c r="AA107" s="144"/>
      <c r="AB107" s="144"/>
      <c r="AC107" s="144"/>
      <c r="AD107" s="144"/>
      <c r="AE107" s="144"/>
      <c r="AF107" s="144"/>
    </row>
    <row r="108" ht="16.5" customHeight="1">
      <c r="A108" s="144"/>
      <c r="B108" s="563"/>
      <c r="C108" s="564"/>
      <c r="D108" s="564"/>
      <c r="E108" s="497"/>
      <c r="F108" s="497"/>
      <c r="G108" s="561"/>
      <c r="H108" s="562"/>
      <c r="I108" s="497"/>
      <c r="J108" s="497"/>
      <c r="K108" s="496"/>
      <c r="L108" s="496"/>
      <c r="M108" s="144"/>
      <c r="N108" s="144"/>
      <c r="O108" s="144"/>
      <c r="P108" s="144"/>
      <c r="Q108" s="144"/>
      <c r="R108" s="144"/>
      <c r="S108" s="144"/>
      <c r="T108" s="144"/>
      <c r="U108" s="144"/>
      <c r="V108" s="144"/>
      <c r="W108" s="144"/>
      <c r="X108" s="144"/>
      <c r="Y108" s="144"/>
      <c r="Z108" s="144"/>
      <c r="AA108" s="144"/>
      <c r="AB108" s="144"/>
      <c r="AC108" s="144"/>
      <c r="AD108" s="144"/>
      <c r="AE108" s="144"/>
      <c r="AF108" s="144"/>
    </row>
    <row r="109" ht="16.5" customHeight="1">
      <c r="A109" s="144"/>
      <c r="B109" s="563"/>
      <c r="C109" s="564"/>
      <c r="D109" s="564"/>
      <c r="E109" s="497"/>
      <c r="F109" s="497"/>
      <c r="G109" s="561"/>
      <c r="H109" s="497"/>
      <c r="I109" s="497"/>
      <c r="J109" s="497"/>
      <c r="K109" s="496"/>
      <c r="L109" s="496"/>
      <c r="M109" s="144"/>
      <c r="N109" s="144"/>
      <c r="O109" s="144"/>
      <c r="P109" s="144"/>
      <c r="Q109" s="144"/>
      <c r="R109" s="144"/>
      <c r="S109" s="144"/>
      <c r="T109" s="144"/>
      <c r="U109" s="144"/>
      <c r="V109" s="144"/>
      <c r="W109" s="144"/>
      <c r="X109" s="144"/>
      <c r="Y109" s="144"/>
      <c r="Z109" s="144"/>
      <c r="AA109" s="144"/>
      <c r="AB109" s="144"/>
      <c r="AC109" s="144"/>
      <c r="AD109" s="144"/>
      <c r="AE109" s="144"/>
      <c r="AF109" s="144"/>
    </row>
    <row r="110" ht="16.5" customHeight="1">
      <c r="A110" s="144"/>
      <c r="B110" s="563"/>
      <c r="C110" s="564"/>
      <c r="D110" s="564"/>
      <c r="E110" s="497"/>
      <c r="F110" s="497"/>
      <c r="G110" s="561"/>
      <c r="H110" s="497"/>
      <c r="I110" s="497"/>
      <c r="J110" s="497"/>
      <c r="K110" s="496"/>
      <c r="L110" s="496"/>
      <c r="M110" s="144"/>
      <c r="N110" s="144"/>
      <c r="O110" s="144"/>
      <c r="P110" s="144"/>
      <c r="Q110" s="144"/>
      <c r="R110" s="144"/>
      <c r="S110" s="144"/>
      <c r="T110" s="144"/>
      <c r="U110" s="144"/>
      <c r="V110" s="144"/>
      <c r="W110" s="144"/>
      <c r="X110" s="144"/>
      <c r="Y110" s="144"/>
      <c r="Z110" s="144"/>
      <c r="AA110" s="144"/>
      <c r="AB110" s="144"/>
      <c r="AC110" s="144"/>
      <c r="AD110" s="144"/>
      <c r="AE110" s="144"/>
      <c r="AF110" s="144"/>
    </row>
    <row r="111" ht="16.5" customHeight="1">
      <c r="A111" s="144"/>
      <c r="B111" s="563"/>
      <c r="C111" s="564"/>
      <c r="D111" s="564"/>
      <c r="E111" s="497"/>
      <c r="F111" s="497"/>
      <c r="G111" s="561"/>
      <c r="H111" s="497"/>
      <c r="I111" s="497"/>
      <c r="J111" s="497"/>
      <c r="K111" s="496"/>
      <c r="L111" s="496"/>
      <c r="M111" s="144"/>
      <c r="N111" s="144"/>
      <c r="O111" s="144"/>
      <c r="P111" s="144"/>
      <c r="Q111" s="144"/>
      <c r="R111" s="144"/>
      <c r="S111" s="144"/>
      <c r="T111" s="144"/>
      <c r="U111" s="144"/>
      <c r="V111" s="144"/>
      <c r="W111" s="144"/>
      <c r="X111" s="144"/>
      <c r="Y111" s="144"/>
      <c r="Z111" s="144"/>
      <c r="AA111" s="144"/>
      <c r="AB111" s="144"/>
      <c r="AC111" s="144"/>
      <c r="AD111" s="144"/>
      <c r="AE111" s="144"/>
      <c r="AF111" s="144"/>
    </row>
    <row r="112" ht="16.5" customHeight="1">
      <c r="A112" s="144"/>
      <c r="B112" s="563"/>
      <c r="C112" s="564"/>
      <c r="D112" s="564"/>
      <c r="E112" s="497"/>
      <c r="F112" s="497"/>
      <c r="G112" s="561"/>
      <c r="H112" s="497"/>
      <c r="I112" s="497"/>
      <c r="J112" s="497"/>
      <c r="K112" s="496"/>
      <c r="L112" s="496"/>
      <c r="M112" s="144"/>
      <c r="N112" s="144"/>
      <c r="O112" s="144"/>
      <c r="P112" s="144"/>
      <c r="Q112" s="144"/>
      <c r="R112" s="144"/>
      <c r="S112" s="144"/>
      <c r="T112" s="144"/>
      <c r="U112" s="144"/>
      <c r="V112" s="144"/>
      <c r="W112" s="144"/>
      <c r="X112" s="144"/>
      <c r="Y112" s="144"/>
      <c r="Z112" s="144"/>
      <c r="AA112" s="144"/>
      <c r="AB112" s="144"/>
      <c r="AC112" s="144"/>
      <c r="AD112" s="144"/>
      <c r="AE112" s="144"/>
      <c r="AF112" s="144"/>
    </row>
    <row r="113" ht="16.5" customHeight="1">
      <c r="A113" s="144"/>
      <c r="B113" s="563"/>
      <c r="C113" s="564"/>
      <c r="D113" s="564"/>
      <c r="E113" s="497"/>
      <c r="F113" s="497"/>
      <c r="G113" s="561"/>
      <c r="H113" s="497"/>
      <c r="I113" s="497"/>
      <c r="J113" s="497"/>
      <c r="K113" s="496"/>
      <c r="L113" s="496"/>
      <c r="M113" s="144"/>
      <c r="N113" s="144"/>
      <c r="O113" s="144"/>
      <c r="P113" s="144"/>
      <c r="Q113" s="144"/>
      <c r="R113" s="144"/>
      <c r="S113" s="144"/>
      <c r="T113" s="144"/>
      <c r="U113" s="144"/>
      <c r="V113" s="144"/>
      <c r="W113" s="144"/>
      <c r="X113" s="144"/>
      <c r="Y113" s="144"/>
      <c r="Z113" s="144"/>
      <c r="AA113" s="144"/>
      <c r="AB113" s="144"/>
      <c r="AC113" s="144"/>
      <c r="AD113" s="144"/>
      <c r="AE113" s="144"/>
      <c r="AF113" s="144"/>
    </row>
    <row r="114" ht="16.5" customHeight="1">
      <c r="A114" s="144"/>
      <c r="B114" s="563"/>
      <c r="C114" s="564"/>
      <c r="D114" s="564"/>
      <c r="E114" s="497"/>
      <c r="F114" s="497"/>
      <c r="G114" s="561"/>
      <c r="H114" s="497"/>
      <c r="I114" s="497"/>
      <c r="J114" s="497"/>
      <c r="K114" s="496"/>
      <c r="L114" s="496"/>
      <c r="M114" s="144"/>
      <c r="N114" s="144"/>
      <c r="O114" s="144"/>
      <c r="P114" s="144"/>
      <c r="Q114" s="144"/>
      <c r="R114" s="144"/>
      <c r="S114" s="144"/>
      <c r="T114" s="144"/>
      <c r="U114" s="144"/>
      <c r="V114" s="144"/>
      <c r="W114" s="144"/>
      <c r="X114" s="144"/>
      <c r="Y114" s="144"/>
      <c r="Z114" s="144"/>
      <c r="AA114" s="144"/>
      <c r="AB114" s="144"/>
      <c r="AC114" s="144"/>
      <c r="AD114" s="144"/>
      <c r="AE114" s="144"/>
      <c r="AF114" s="144"/>
    </row>
    <row r="115" ht="16.5" customHeight="1">
      <c r="A115" s="144"/>
      <c r="B115" s="563"/>
      <c r="C115" s="564"/>
      <c r="D115" s="564"/>
      <c r="E115" s="497"/>
      <c r="F115" s="562"/>
      <c r="G115" s="561"/>
      <c r="H115" s="562"/>
      <c r="I115" s="497"/>
      <c r="J115" s="497"/>
      <c r="K115" s="496"/>
      <c r="L115" s="496"/>
      <c r="M115" s="144"/>
      <c r="N115" s="144"/>
      <c r="O115" s="144"/>
      <c r="P115" s="144"/>
      <c r="Q115" s="144"/>
      <c r="R115" s="144"/>
      <c r="S115" s="144"/>
      <c r="T115" s="144"/>
      <c r="U115" s="144"/>
      <c r="V115" s="144"/>
      <c r="W115" s="144"/>
      <c r="X115" s="144"/>
      <c r="Y115" s="144"/>
      <c r="Z115" s="144"/>
      <c r="AA115" s="144"/>
      <c r="AB115" s="144"/>
      <c r="AC115" s="144"/>
      <c r="AD115" s="144"/>
      <c r="AE115" s="144"/>
      <c r="AF115" s="144"/>
    </row>
    <row r="116" ht="16.5" customHeight="1">
      <c r="A116" s="144"/>
      <c r="B116" s="563"/>
      <c r="C116" s="564"/>
      <c r="D116" s="564"/>
      <c r="E116" s="497"/>
      <c r="F116" s="497"/>
      <c r="G116" s="561"/>
      <c r="H116" s="562"/>
      <c r="I116" s="497"/>
      <c r="J116" s="497"/>
      <c r="K116" s="496"/>
      <c r="L116" s="496"/>
      <c r="M116" s="144"/>
      <c r="N116" s="144"/>
      <c r="O116" s="144"/>
      <c r="P116" s="144"/>
      <c r="Q116" s="144"/>
      <c r="R116" s="144"/>
      <c r="S116" s="144"/>
      <c r="T116" s="144"/>
      <c r="U116" s="144"/>
      <c r="V116" s="144"/>
      <c r="W116" s="144"/>
      <c r="X116" s="144"/>
      <c r="Y116" s="144"/>
      <c r="Z116" s="144"/>
      <c r="AA116" s="144"/>
      <c r="AB116" s="144"/>
      <c r="AC116" s="144"/>
      <c r="AD116" s="144"/>
      <c r="AE116" s="144"/>
      <c r="AF116" s="144"/>
    </row>
    <row r="117" ht="16.5" customHeight="1">
      <c r="A117" s="144"/>
      <c r="B117" s="563"/>
      <c r="C117" s="564"/>
      <c r="D117" s="564"/>
      <c r="E117" s="497"/>
      <c r="F117" s="497"/>
      <c r="G117" s="561"/>
      <c r="H117" s="497"/>
      <c r="I117" s="497"/>
      <c r="J117" s="497"/>
      <c r="K117" s="496"/>
      <c r="L117" s="496"/>
      <c r="M117" s="144"/>
      <c r="N117" s="144"/>
      <c r="O117" s="144"/>
      <c r="P117" s="144"/>
      <c r="Q117" s="144"/>
      <c r="R117" s="144"/>
      <c r="S117" s="144"/>
      <c r="T117" s="144"/>
      <c r="U117" s="144"/>
      <c r="V117" s="144"/>
      <c r="W117" s="144"/>
      <c r="X117" s="144"/>
      <c r="Y117" s="144"/>
      <c r="Z117" s="144"/>
      <c r="AA117" s="144"/>
      <c r="AB117" s="144"/>
      <c r="AC117" s="144"/>
      <c r="AD117" s="144"/>
      <c r="AE117" s="144"/>
      <c r="AF117" s="144"/>
    </row>
    <row r="118" ht="16.5" customHeight="1">
      <c r="A118" s="144"/>
      <c r="B118" s="563"/>
      <c r="C118" s="564"/>
      <c r="D118" s="564"/>
      <c r="E118" s="497"/>
      <c r="F118" s="497"/>
      <c r="G118" s="561"/>
      <c r="H118" s="497"/>
      <c r="I118" s="497"/>
      <c r="J118" s="497"/>
      <c r="K118" s="496"/>
      <c r="L118" s="496"/>
      <c r="M118" s="144"/>
      <c r="N118" s="144"/>
      <c r="O118" s="144"/>
      <c r="P118" s="144"/>
      <c r="Q118" s="144"/>
      <c r="R118" s="144"/>
      <c r="S118" s="144"/>
      <c r="T118" s="144"/>
      <c r="U118" s="144"/>
      <c r="V118" s="144"/>
      <c r="W118" s="144"/>
      <c r="X118" s="144"/>
      <c r="Y118" s="144"/>
      <c r="Z118" s="144"/>
      <c r="AA118" s="144"/>
      <c r="AB118" s="144"/>
      <c r="AC118" s="144"/>
      <c r="AD118" s="144"/>
      <c r="AE118" s="144"/>
      <c r="AF118" s="144"/>
    </row>
    <row r="119" ht="16.5" customHeight="1">
      <c r="A119" s="144"/>
      <c r="B119" s="563"/>
      <c r="C119" s="564"/>
      <c r="D119" s="564"/>
      <c r="E119" s="497"/>
      <c r="F119" s="497"/>
      <c r="G119" s="561"/>
      <c r="H119" s="497"/>
      <c r="I119" s="497"/>
      <c r="J119" s="497"/>
      <c r="K119" s="496"/>
      <c r="L119" s="496"/>
      <c r="M119" s="144"/>
      <c r="N119" s="144"/>
      <c r="O119" s="144"/>
      <c r="P119" s="144"/>
      <c r="Q119" s="144"/>
      <c r="R119" s="144"/>
      <c r="S119" s="144"/>
      <c r="T119" s="144"/>
      <c r="U119" s="144"/>
      <c r="V119" s="144"/>
      <c r="W119" s="144"/>
      <c r="X119" s="144"/>
      <c r="Y119" s="144"/>
      <c r="Z119" s="144"/>
      <c r="AA119" s="144"/>
      <c r="AB119" s="144"/>
      <c r="AC119" s="144"/>
      <c r="AD119" s="144"/>
      <c r="AE119" s="144"/>
      <c r="AF119" s="144"/>
    </row>
    <row r="120" ht="16.5" customHeight="1">
      <c r="A120" s="144"/>
      <c r="B120" s="563"/>
      <c r="C120" s="564"/>
      <c r="D120" s="564"/>
      <c r="E120" s="497"/>
      <c r="F120" s="497"/>
      <c r="G120" s="561"/>
      <c r="H120" s="497"/>
      <c r="I120" s="497"/>
      <c r="J120" s="497"/>
      <c r="K120" s="496"/>
      <c r="L120" s="496"/>
      <c r="M120" s="144"/>
      <c r="N120" s="144"/>
      <c r="O120" s="144"/>
      <c r="P120" s="144"/>
      <c r="Q120" s="144"/>
      <c r="R120" s="144"/>
      <c r="S120" s="144"/>
      <c r="T120" s="144"/>
      <c r="U120" s="144"/>
      <c r="V120" s="144"/>
      <c r="W120" s="144"/>
      <c r="X120" s="144"/>
      <c r="Y120" s="144"/>
      <c r="Z120" s="144"/>
      <c r="AA120" s="144"/>
      <c r="AB120" s="144"/>
      <c r="AC120" s="144"/>
      <c r="AD120" s="144"/>
      <c r="AE120" s="144"/>
      <c r="AF120" s="144"/>
    </row>
    <row r="121" ht="16.5" customHeight="1">
      <c r="A121" s="144"/>
      <c r="B121" s="563"/>
      <c r="C121" s="564"/>
      <c r="D121" s="564"/>
      <c r="E121" s="497"/>
      <c r="F121" s="497"/>
      <c r="G121" s="561"/>
      <c r="H121" s="497"/>
      <c r="I121" s="497"/>
      <c r="J121" s="497"/>
      <c r="K121" s="496"/>
      <c r="L121" s="496"/>
      <c r="M121" s="144"/>
      <c r="N121" s="144"/>
      <c r="O121" s="144"/>
      <c r="P121" s="144"/>
      <c r="Q121" s="144"/>
      <c r="R121" s="144"/>
      <c r="S121" s="144"/>
      <c r="T121" s="144"/>
      <c r="U121" s="144"/>
      <c r="V121" s="144"/>
      <c r="W121" s="144"/>
      <c r="X121" s="144"/>
      <c r="Y121" s="144"/>
      <c r="Z121" s="144"/>
      <c r="AA121" s="144"/>
      <c r="AB121" s="144"/>
      <c r="AC121" s="144"/>
      <c r="AD121" s="144"/>
      <c r="AE121" s="144"/>
      <c r="AF121" s="144"/>
    </row>
    <row r="122" ht="16.5" customHeight="1">
      <c r="A122" s="144"/>
      <c r="B122" s="563"/>
      <c r="C122" s="564"/>
      <c r="D122" s="564"/>
      <c r="E122" s="497"/>
      <c r="F122" s="497"/>
      <c r="G122" s="561"/>
      <c r="H122" s="497"/>
      <c r="I122" s="497"/>
      <c r="J122" s="497"/>
      <c r="K122" s="496"/>
      <c r="L122" s="496"/>
      <c r="M122" s="144"/>
      <c r="N122" s="144"/>
      <c r="O122" s="144"/>
      <c r="P122" s="144"/>
      <c r="Q122" s="144"/>
      <c r="R122" s="144"/>
      <c r="S122" s="144"/>
      <c r="T122" s="144"/>
      <c r="U122" s="144"/>
      <c r="V122" s="144"/>
      <c r="W122" s="144"/>
      <c r="X122" s="144"/>
      <c r="Y122" s="144"/>
      <c r="Z122" s="144"/>
      <c r="AA122" s="144"/>
      <c r="AB122" s="144"/>
      <c r="AC122" s="144"/>
      <c r="AD122" s="144"/>
      <c r="AE122" s="144"/>
      <c r="AF122" s="144"/>
    </row>
    <row r="123" ht="16.5" customHeight="1">
      <c r="A123" s="144"/>
      <c r="B123" s="563"/>
      <c r="C123" s="564"/>
      <c r="D123" s="564"/>
      <c r="E123" s="497"/>
      <c r="F123" s="562"/>
      <c r="G123" s="561"/>
      <c r="H123" s="562"/>
      <c r="I123" s="497"/>
      <c r="J123" s="497"/>
      <c r="K123" s="496"/>
      <c r="L123" s="496"/>
      <c r="M123" s="144"/>
      <c r="N123" s="144"/>
      <c r="O123" s="144"/>
      <c r="P123" s="144"/>
      <c r="Q123" s="144"/>
      <c r="R123" s="144"/>
      <c r="S123" s="144"/>
      <c r="T123" s="144"/>
      <c r="U123" s="144"/>
      <c r="V123" s="144"/>
      <c r="W123" s="144"/>
      <c r="X123" s="144"/>
      <c r="Y123" s="144"/>
      <c r="Z123" s="144"/>
      <c r="AA123" s="144"/>
      <c r="AB123" s="144"/>
      <c r="AC123" s="144"/>
      <c r="AD123" s="144"/>
      <c r="AE123" s="144"/>
      <c r="AF123" s="144"/>
    </row>
    <row r="124" ht="16.5" customHeight="1">
      <c r="A124" s="144"/>
      <c r="B124" s="563"/>
      <c r="C124" s="564"/>
      <c r="D124" s="564"/>
      <c r="E124" s="352"/>
      <c r="F124" s="352"/>
      <c r="G124" s="560"/>
      <c r="H124" s="505"/>
      <c r="I124" s="497"/>
      <c r="J124" s="497"/>
      <c r="K124" s="496"/>
      <c r="L124" s="496"/>
      <c r="M124" s="144"/>
      <c r="N124" s="144"/>
      <c r="O124" s="144"/>
      <c r="P124" s="144"/>
      <c r="Q124" s="144"/>
      <c r="R124" s="144"/>
      <c r="S124" s="144"/>
      <c r="T124" s="144"/>
      <c r="U124" s="144"/>
      <c r="V124" s="144"/>
      <c r="W124" s="144"/>
      <c r="X124" s="144"/>
      <c r="Y124" s="144"/>
      <c r="Z124" s="144"/>
      <c r="AA124" s="144"/>
      <c r="AB124" s="144"/>
      <c r="AC124" s="144"/>
      <c r="AD124" s="144"/>
      <c r="AE124" s="144"/>
      <c r="AF124" s="144"/>
    </row>
    <row r="125" ht="16.5" customHeight="1">
      <c r="A125" s="144"/>
      <c r="B125" s="563"/>
      <c r="C125" s="564"/>
      <c r="D125" s="564"/>
      <c r="E125" s="352"/>
      <c r="F125" s="352"/>
      <c r="G125" s="560"/>
      <c r="H125" s="352"/>
      <c r="I125" s="497"/>
      <c r="J125" s="497"/>
      <c r="K125" s="496"/>
      <c r="L125" s="496"/>
      <c r="M125" s="144"/>
      <c r="N125" s="144"/>
      <c r="O125" s="144"/>
      <c r="P125" s="144"/>
      <c r="Q125" s="144"/>
      <c r="R125" s="144"/>
      <c r="S125" s="144"/>
      <c r="T125" s="144"/>
      <c r="U125" s="144"/>
      <c r="V125" s="144"/>
      <c r="W125" s="144"/>
      <c r="X125" s="144"/>
      <c r="Y125" s="144"/>
      <c r="Z125" s="144"/>
      <c r="AA125" s="144"/>
      <c r="AB125" s="144"/>
      <c r="AC125" s="144"/>
      <c r="AD125" s="144"/>
      <c r="AE125" s="144"/>
      <c r="AF125" s="144"/>
    </row>
    <row r="126" ht="16.5" customHeight="1">
      <c r="A126" s="144"/>
      <c r="B126" s="563"/>
      <c r="C126" s="564"/>
      <c r="D126" s="564"/>
      <c r="E126" s="352"/>
      <c r="F126" s="352"/>
      <c r="G126" s="560"/>
      <c r="H126" s="352"/>
      <c r="I126" s="497"/>
      <c r="J126" s="497"/>
      <c r="K126" s="496"/>
      <c r="L126" s="496"/>
      <c r="M126" s="144"/>
      <c r="N126" s="144"/>
      <c r="O126" s="144"/>
      <c r="P126" s="144"/>
      <c r="Q126" s="144"/>
      <c r="R126" s="144"/>
      <c r="S126" s="144"/>
      <c r="T126" s="144"/>
      <c r="U126" s="144"/>
      <c r="V126" s="144"/>
      <c r="W126" s="144"/>
      <c r="X126" s="144"/>
      <c r="Y126" s="144"/>
      <c r="Z126" s="144"/>
      <c r="AA126" s="144"/>
      <c r="AB126" s="144"/>
      <c r="AC126" s="144"/>
      <c r="AD126" s="144"/>
      <c r="AE126" s="144"/>
      <c r="AF126" s="144"/>
    </row>
    <row r="127" ht="16.5" customHeight="1">
      <c r="A127" s="144"/>
      <c r="B127" s="559"/>
      <c r="C127" s="352"/>
      <c r="D127" s="352"/>
      <c r="E127" s="352"/>
      <c r="F127" s="352"/>
      <c r="G127" s="560"/>
      <c r="H127" s="352"/>
      <c r="I127" s="497"/>
      <c r="J127" s="497"/>
      <c r="K127" s="496"/>
      <c r="L127" s="496"/>
      <c r="M127" s="144"/>
      <c r="N127" s="144"/>
      <c r="O127" s="144"/>
      <c r="P127" s="144"/>
      <c r="Q127" s="144"/>
      <c r="R127" s="144"/>
      <c r="S127" s="144"/>
      <c r="T127" s="144"/>
      <c r="U127" s="144"/>
      <c r="V127" s="144"/>
      <c r="W127" s="144"/>
      <c r="X127" s="144"/>
      <c r="Y127" s="144"/>
      <c r="Z127" s="144"/>
      <c r="AA127" s="144"/>
      <c r="AB127" s="144"/>
      <c r="AC127" s="144"/>
      <c r="AD127" s="144"/>
      <c r="AE127" s="144"/>
      <c r="AF127" s="144"/>
    </row>
    <row r="128" ht="16.5" customHeight="1">
      <c r="A128" s="144"/>
      <c r="B128" s="559"/>
      <c r="C128" s="352"/>
      <c r="D128" s="352"/>
      <c r="E128" s="352"/>
      <c r="F128" s="352"/>
      <c r="G128" s="560"/>
      <c r="H128" s="352"/>
      <c r="I128" s="497"/>
      <c r="J128" s="497"/>
      <c r="K128" s="496"/>
      <c r="L128" s="496"/>
      <c r="M128" s="144"/>
      <c r="N128" s="144"/>
      <c r="O128" s="144"/>
      <c r="P128" s="144"/>
      <c r="Q128" s="144"/>
      <c r="R128" s="144"/>
      <c r="S128" s="144"/>
      <c r="T128" s="144"/>
      <c r="U128" s="144"/>
      <c r="V128" s="144"/>
      <c r="W128" s="144"/>
      <c r="X128" s="144"/>
      <c r="Y128" s="144"/>
      <c r="Z128" s="144"/>
      <c r="AA128" s="144"/>
      <c r="AB128" s="144"/>
      <c r="AC128" s="144"/>
      <c r="AD128" s="144"/>
      <c r="AE128" s="144"/>
      <c r="AF128" s="144"/>
    </row>
    <row r="129" ht="16.5" customHeight="1">
      <c r="A129" s="144"/>
      <c r="B129" s="559"/>
      <c r="C129" s="352"/>
      <c r="D129" s="352"/>
      <c r="E129" s="352"/>
      <c r="F129" s="352"/>
      <c r="G129" s="560"/>
      <c r="H129" s="352"/>
      <c r="I129" s="497"/>
      <c r="J129" s="497"/>
      <c r="K129" s="496"/>
      <c r="L129" s="496"/>
      <c r="M129" s="144"/>
      <c r="N129" s="144"/>
      <c r="O129" s="144"/>
      <c r="P129" s="144"/>
      <c r="Q129" s="144"/>
      <c r="R129" s="144"/>
      <c r="S129" s="144"/>
      <c r="T129" s="144"/>
      <c r="U129" s="144"/>
      <c r="V129" s="144"/>
      <c r="W129" s="144"/>
      <c r="X129" s="144"/>
      <c r="Y129" s="144"/>
      <c r="Z129" s="144"/>
      <c r="AA129" s="144"/>
      <c r="AB129" s="144"/>
      <c r="AC129" s="144"/>
      <c r="AD129" s="144"/>
      <c r="AE129" s="144"/>
      <c r="AF129" s="144"/>
    </row>
    <row r="130" ht="16.5" customHeight="1">
      <c r="A130" s="144"/>
      <c r="B130" s="559"/>
      <c r="C130" s="352"/>
      <c r="D130" s="352"/>
      <c r="E130" s="352"/>
      <c r="F130" s="352"/>
      <c r="G130" s="560"/>
      <c r="H130" s="352"/>
      <c r="I130" s="497"/>
      <c r="J130" s="497"/>
      <c r="K130" s="496"/>
      <c r="L130" s="496"/>
      <c r="M130" s="144"/>
      <c r="N130" s="144"/>
      <c r="O130" s="144"/>
      <c r="P130" s="144"/>
      <c r="Q130" s="144"/>
      <c r="R130" s="144"/>
      <c r="S130" s="144"/>
      <c r="T130" s="144"/>
      <c r="U130" s="144"/>
      <c r="V130" s="144"/>
      <c r="W130" s="144"/>
      <c r="X130" s="144"/>
      <c r="Y130" s="144"/>
      <c r="Z130" s="144"/>
      <c r="AA130" s="144"/>
      <c r="AB130" s="144"/>
      <c r="AC130" s="144"/>
      <c r="AD130" s="144"/>
      <c r="AE130" s="144"/>
      <c r="AF130" s="144"/>
    </row>
    <row r="131" ht="16.5" customHeight="1">
      <c r="A131" s="144"/>
      <c r="B131" s="559"/>
      <c r="C131" s="352"/>
      <c r="D131" s="352"/>
      <c r="E131" s="352"/>
      <c r="F131" s="505"/>
      <c r="G131" s="560"/>
      <c r="H131" s="505"/>
      <c r="I131" s="497"/>
      <c r="J131" s="497"/>
      <c r="K131" s="496"/>
      <c r="L131" s="496"/>
      <c r="M131" s="144"/>
      <c r="N131" s="144"/>
      <c r="O131" s="144"/>
      <c r="P131" s="144"/>
      <c r="Q131" s="144"/>
      <c r="R131" s="144"/>
      <c r="S131" s="144"/>
      <c r="T131" s="144"/>
      <c r="U131" s="144"/>
      <c r="V131" s="144"/>
      <c r="W131" s="144"/>
      <c r="X131" s="144"/>
      <c r="Y131" s="144"/>
      <c r="Z131" s="144"/>
      <c r="AA131" s="144"/>
      <c r="AB131" s="144"/>
      <c r="AC131" s="144"/>
      <c r="AD131" s="144"/>
      <c r="AE131" s="144"/>
      <c r="AF131" s="144"/>
    </row>
    <row r="132" ht="16.5" customHeight="1">
      <c r="A132" s="144"/>
      <c r="B132" s="559"/>
      <c r="C132" s="352"/>
      <c r="D132" s="352"/>
      <c r="E132" s="352"/>
      <c r="F132" s="352"/>
      <c r="G132" s="560"/>
      <c r="H132" s="505"/>
      <c r="I132" s="352"/>
      <c r="J132" s="497"/>
      <c r="K132" s="496"/>
      <c r="L132" s="496"/>
      <c r="M132" s="144"/>
      <c r="N132" s="144"/>
      <c r="O132" s="144"/>
      <c r="P132" s="144"/>
      <c r="Q132" s="144"/>
      <c r="R132" s="144"/>
      <c r="S132" s="144"/>
      <c r="T132" s="144"/>
      <c r="U132" s="144"/>
      <c r="V132" s="144"/>
      <c r="W132" s="144"/>
      <c r="X132" s="144"/>
      <c r="Y132" s="144"/>
      <c r="Z132" s="144"/>
      <c r="AA132" s="144"/>
      <c r="AB132" s="144"/>
      <c r="AC132" s="144"/>
      <c r="AD132" s="144"/>
      <c r="AE132" s="144"/>
      <c r="AF132" s="144"/>
    </row>
    <row r="133" ht="16.5" customHeight="1">
      <c r="A133" s="144"/>
      <c r="B133" s="559"/>
      <c r="C133" s="352"/>
      <c r="D133" s="352"/>
      <c r="E133" s="352"/>
      <c r="F133" s="352"/>
      <c r="G133" s="560"/>
      <c r="H133" s="352"/>
      <c r="I133" s="352"/>
      <c r="J133" s="497"/>
      <c r="K133" s="496"/>
      <c r="L133" s="496"/>
      <c r="M133" s="144"/>
      <c r="N133" s="144"/>
      <c r="O133" s="144"/>
      <c r="P133" s="144"/>
      <c r="Q133" s="144"/>
      <c r="R133" s="144"/>
      <c r="S133" s="144"/>
      <c r="T133" s="144"/>
      <c r="U133" s="144"/>
      <c r="V133" s="144"/>
      <c r="W133" s="144"/>
      <c r="X133" s="144"/>
      <c r="Y133" s="144"/>
      <c r="Z133" s="144"/>
      <c r="AA133" s="144"/>
      <c r="AB133" s="144"/>
      <c r="AC133" s="144"/>
      <c r="AD133" s="144"/>
      <c r="AE133" s="144"/>
      <c r="AF133" s="144"/>
    </row>
    <row r="134" ht="16.5" customHeight="1">
      <c r="A134" s="144"/>
      <c r="B134" s="559"/>
      <c r="C134" s="346"/>
      <c r="D134" s="346"/>
      <c r="E134" s="352"/>
      <c r="F134" s="352"/>
      <c r="G134" s="560"/>
      <c r="H134" s="352"/>
      <c r="I134" s="497"/>
      <c r="J134" s="497"/>
      <c r="K134" s="496"/>
      <c r="L134" s="496"/>
      <c r="M134" s="144"/>
      <c r="N134" s="144"/>
      <c r="O134" s="144"/>
      <c r="P134" s="144"/>
      <c r="Q134" s="144"/>
      <c r="R134" s="144"/>
      <c r="S134" s="144"/>
      <c r="T134" s="144"/>
      <c r="U134" s="144"/>
      <c r="V134" s="144"/>
      <c r="W134" s="144"/>
      <c r="X134" s="144"/>
      <c r="Y134" s="144"/>
      <c r="Z134" s="144"/>
      <c r="AA134" s="144"/>
      <c r="AB134" s="144"/>
      <c r="AC134" s="144"/>
      <c r="AD134" s="144"/>
      <c r="AE134" s="144"/>
      <c r="AF134" s="144"/>
    </row>
    <row r="135" ht="16.5" customHeight="1">
      <c r="A135" s="144"/>
      <c r="B135" s="559"/>
      <c r="C135" s="346"/>
      <c r="D135" s="346"/>
      <c r="E135" s="352"/>
      <c r="F135" s="352"/>
      <c r="G135" s="560"/>
      <c r="H135" s="352"/>
      <c r="I135" s="497"/>
      <c r="J135" s="497"/>
      <c r="K135" s="496"/>
      <c r="L135" s="496"/>
      <c r="M135" s="144"/>
      <c r="N135" s="144"/>
      <c r="O135" s="144"/>
      <c r="P135" s="144"/>
      <c r="Q135" s="144"/>
      <c r="R135" s="144"/>
      <c r="S135" s="144"/>
      <c r="T135" s="144"/>
      <c r="U135" s="144"/>
      <c r="V135" s="144"/>
      <c r="W135" s="144"/>
      <c r="X135" s="144"/>
      <c r="Y135" s="144"/>
      <c r="Z135" s="144"/>
      <c r="AA135" s="144"/>
      <c r="AB135" s="144"/>
      <c r="AC135" s="144"/>
      <c r="AD135" s="144"/>
      <c r="AE135" s="144"/>
      <c r="AF135" s="144"/>
    </row>
    <row r="136" ht="16.5" customHeight="1">
      <c r="A136" s="144"/>
      <c r="B136" s="559"/>
      <c r="C136" s="346"/>
      <c r="D136" s="346"/>
      <c r="E136" s="352"/>
      <c r="F136" s="352"/>
      <c r="G136" s="560"/>
      <c r="H136" s="352"/>
      <c r="I136" s="497"/>
      <c r="J136" s="497"/>
      <c r="K136" s="496"/>
      <c r="L136" s="496"/>
      <c r="M136" s="144"/>
      <c r="N136" s="144"/>
      <c r="O136" s="144"/>
      <c r="P136" s="144"/>
      <c r="Q136" s="144"/>
      <c r="R136" s="144"/>
      <c r="S136" s="144"/>
      <c r="T136" s="144"/>
      <c r="U136" s="144"/>
      <c r="V136" s="144"/>
      <c r="W136" s="144"/>
      <c r="X136" s="144"/>
      <c r="Y136" s="144"/>
      <c r="Z136" s="144"/>
      <c r="AA136" s="144"/>
      <c r="AB136" s="144"/>
      <c r="AC136" s="144"/>
      <c r="AD136" s="144"/>
      <c r="AE136" s="144"/>
      <c r="AF136" s="144"/>
    </row>
    <row r="137" ht="16.5" customHeight="1">
      <c r="A137" s="144"/>
      <c r="B137" s="559"/>
      <c r="C137" s="346"/>
      <c r="D137" s="346"/>
      <c r="E137" s="352"/>
      <c r="F137" s="352"/>
      <c r="G137" s="560"/>
      <c r="H137" s="352"/>
      <c r="I137" s="497"/>
      <c r="J137" s="497"/>
      <c r="K137" s="496"/>
      <c r="L137" s="496"/>
      <c r="M137" s="144"/>
      <c r="N137" s="144"/>
      <c r="O137" s="144"/>
      <c r="P137" s="144"/>
      <c r="Q137" s="144"/>
      <c r="R137" s="144"/>
      <c r="S137" s="144"/>
      <c r="T137" s="144"/>
      <c r="U137" s="144"/>
      <c r="V137" s="144"/>
      <c r="W137" s="144"/>
      <c r="X137" s="144"/>
      <c r="Y137" s="144"/>
      <c r="Z137" s="144"/>
      <c r="AA137" s="144"/>
      <c r="AB137" s="144"/>
      <c r="AC137" s="144"/>
      <c r="AD137" s="144"/>
      <c r="AE137" s="144"/>
      <c r="AF137" s="144"/>
    </row>
    <row r="138" ht="16.5" customHeight="1">
      <c r="A138" s="144"/>
      <c r="B138" s="559"/>
      <c r="C138" s="346"/>
      <c r="D138" s="346"/>
      <c r="E138" s="352"/>
      <c r="F138" s="505"/>
      <c r="G138" s="560"/>
      <c r="H138" s="505"/>
      <c r="I138" s="497"/>
      <c r="J138" s="497"/>
      <c r="K138" s="496"/>
      <c r="L138" s="496"/>
      <c r="M138" s="144"/>
      <c r="N138" s="144"/>
      <c r="O138" s="144"/>
      <c r="P138" s="144"/>
      <c r="Q138" s="144"/>
      <c r="R138" s="144"/>
      <c r="S138" s="144"/>
      <c r="T138" s="144"/>
      <c r="U138" s="144"/>
      <c r="V138" s="144"/>
      <c r="W138" s="144"/>
      <c r="X138" s="144"/>
      <c r="Y138" s="144"/>
      <c r="Z138" s="144"/>
      <c r="AA138" s="144"/>
      <c r="AB138" s="144"/>
      <c r="AC138" s="144"/>
      <c r="AD138" s="144"/>
      <c r="AE138" s="144"/>
      <c r="AF138" s="144"/>
    </row>
    <row r="139" ht="16.5" customHeight="1">
      <c r="A139" s="144"/>
      <c r="B139" s="559"/>
      <c r="C139" s="346"/>
      <c r="D139" s="346"/>
      <c r="E139" s="352"/>
      <c r="F139" s="352"/>
      <c r="G139" s="560"/>
      <c r="H139" s="505"/>
      <c r="I139" s="497"/>
      <c r="J139" s="497"/>
      <c r="K139" s="496"/>
      <c r="L139" s="496"/>
      <c r="M139" s="144"/>
      <c r="N139" s="144"/>
      <c r="O139" s="144"/>
      <c r="P139" s="144"/>
      <c r="Q139" s="144"/>
      <c r="R139" s="144"/>
      <c r="S139" s="144"/>
      <c r="T139" s="144"/>
      <c r="U139" s="144"/>
      <c r="V139" s="144"/>
      <c r="W139" s="144"/>
      <c r="X139" s="144"/>
      <c r="Y139" s="144"/>
      <c r="Z139" s="144"/>
      <c r="AA139" s="144"/>
      <c r="AB139" s="144"/>
      <c r="AC139" s="144"/>
      <c r="AD139" s="144"/>
      <c r="AE139" s="144"/>
      <c r="AF139" s="144"/>
    </row>
    <row r="140" ht="16.5" customHeight="1">
      <c r="A140" s="144"/>
      <c r="B140" s="559"/>
      <c r="C140" s="346"/>
      <c r="D140" s="346"/>
      <c r="E140" s="352"/>
      <c r="F140" s="352"/>
      <c r="G140" s="560"/>
      <c r="H140" s="352"/>
      <c r="I140" s="352"/>
      <c r="J140" s="497"/>
      <c r="K140" s="496"/>
      <c r="L140" s="496"/>
      <c r="M140" s="144"/>
      <c r="N140" s="144"/>
      <c r="O140" s="144"/>
      <c r="P140" s="144"/>
      <c r="Q140" s="144"/>
      <c r="R140" s="144"/>
      <c r="S140" s="144"/>
      <c r="T140" s="144"/>
      <c r="U140" s="144"/>
      <c r="V140" s="144"/>
      <c r="W140" s="144"/>
      <c r="X140" s="144"/>
      <c r="Y140" s="144"/>
      <c r="Z140" s="144"/>
      <c r="AA140" s="144"/>
      <c r="AB140" s="144"/>
      <c r="AC140" s="144"/>
      <c r="AD140" s="144"/>
      <c r="AE140" s="144"/>
      <c r="AF140" s="144"/>
    </row>
    <row r="141" ht="16.5" customHeight="1">
      <c r="A141" s="144"/>
      <c r="B141" s="559"/>
      <c r="C141" s="346"/>
      <c r="D141" s="346"/>
      <c r="E141" s="352"/>
      <c r="F141" s="352"/>
      <c r="G141" s="560"/>
      <c r="H141" s="352"/>
      <c r="I141" s="352"/>
      <c r="J141" s="497"/>
      <c r="K141" s="496"/>
      <c r="L141" s="496"/>
      <c r="M141" s="144"/>
      <c r="N141" s="144"/>
      <c r="O141" s="144"/>
      <c r="P141" s="144"/>
      <c r="Q141" s="144"/>
      <c r="R141" s="144"/>
      <c r="S141" s="144"/>
      <c r="T141" s="144"/>
      <c r="U141" s="144"/>
      <c r="V141" s="144"/>
      <c r="W141" s="144"/>
      <c r="X141" s="144"/>
      <c r="Y141" s="144"/>
      <c r="Z141" s="144"/>
      <c r="AA141" s="144"/>
      <c r="AB141" s="144"/>
      <c r="AC141" s="144"/>
      <c r="AD141" s="144"/>
      <c r="AE141" s="144"/>
      <c r="AF141" s="144"/>
    </row>
    <row r="142" ht="16.5" customHeight="1">
      <c r="A142" s="144"/>
      <c r="B142" s="559"/>
      <c r="C142" s="346"/>
      <c r="D142" s="346"/>
      <c r="E142" s="352"/>
      <c r="F142" s="352"/>
      <c r="G142" s="560"/>
      <c r="H142" s="352"/>
      <c r="I142" s="497"/>
      <c r="J142" s="497"/>
      <c r="K142" s="496"/>
      <c r="L142" s="496"/>
      <c r="M142" s="144"/>
      <c r="N142" s="144"/>
      <c r="O142" s="144"/>
      <c r="P142" s="144"/>
      <c r="Q142" s="144"/>
      <c r="R142" s="144"/>
      <c r="S142" s="144"/>
      <c r="T142" s="144"/>
      <c r="U142" s="144"/>
      <c r="V142" s="144"/>
      <c r="W142" s="144"/>
      <c r="X142" s="144"/>
      <c r="Y142" s="144"/>
      <c r="Z142" s="144"/>
      <c r="AA142" s="144"/>
      <c r="AB142" s="144"/>
      <c r="AC142" s="144"/>
      <c r="AD142" s="144"/>
      <c r="AE142" s="144"/>
      <c r="AF142" s="144"/>
    </row>
    <row r="143" ht="16.5" customHeight="1">
      <c r="A143" s="144"/>
      <c r="B143" s="559"/>
      <c r="C143" s="346"/>
      <c r="D143" s="346"/>
      <c r="E143" s="352"/>
      <c r="F143" s="352"/>
      <c r="G143" s="560"/>
      <c r="H143" s="352"/>
      <c r="I143" s="497"/>
      <c r="J143" s="497"/>
      <c r="K143" s="496"/>
      <c r="L143" s="496"/>
      <c r="M143" s="144"/>
      <c r="N143" s="144"/>
      <c r="O143" s="144"/>
      <c r="P143" s="144"/>
      <c r="Q143" s="144"/>
      <c r="R143" s="144"/>
      <c r="S143" s="144"/>
      <c r="T143" s="144"/>
      <c r="U143" s="144"/>
      <c r="V143" s="144"/>
      <c r="W143" s="144"/>
      <c r="X143" s="144"/>
      <c r="Y143" s="144"/>
      <c r="Z143" s="144"/>
      <c r="AA143" s="144"/>
      <c r="AB143" s="144"/>
      <c r="AC143" s="144"/>
      <c r="AD143" s="144"/>
      <c r="AE143" s="144"/>
      <c r="AF143" s="144"/>
    </row>
    <row r="144" ht="16.5" customHeight="1">
      <c r="A144" s="144"/>
      <c r="B144" s="559"/>
      <c r="C144" s="346"/>
      <c r="D144" s="346"/>
      <c r="E144" s="352"/>
      <c r="F144" s="352"/>
      <c r="G144" s="560"/>
      <c r="H144" s="352"/>
      <c r="I144" s="497"/>
      <c r="J144" s="497"/>
      <c r="K144" s="496"/>
      <c r="L144" s="496"/>
      <c r="M144" s="144"/>
      <c r="N144" s="144"/>
      <c r="O144" s="144"/>
      <c r="P144" s="144"/>
      <c r="Q144" s="144"/>
      <c r="R144" s="144"/>
      <c r="S144" s="144"/>
      <c r="T144" s="144"/>
      <c r="U144" s="144"/>
      <c r="V144" s="144"/>
      <c r="W144" s="144"/>
      <c r="X144" s="144"/>
      <c r="Y144" s="144"/>
      <c r="Z144" s="144"/>
      <c r="AA144" s="144"/>
      <c r="AB144" s="144"/>
      <c r="AC144" s="144"/>
      <c r="AD144" s="144"/>
      <c r="AE144" s="144"/>
      <c r="AF144" s="144"/>
    </row>
    <row r="145" ht="16.5" customHeight="1">
      <c r="A145" s="144"/>
      <c r="B145" s="559"/>
      <c r="C145" s="346"/>
      <c r="D145" s="346"/>
      <c r="E145" s="352"/>
      <c r="F145" s="352"/>
      <c r="G145" s="560"/>
      <c r="H145" s="352"/>
      <c r="I145" s="497"/>
      <c r="J145" s="497"/>
      <c r="K145" s="496"/>
      <c r="L145" s="496"/>
      <c r="M145" s="144"/>
      <c r="N145" s="144"/>
      <c r="O145" s="144"/>
      <c r="P145" s="144"/>
      <c r="Q145" s="144"/>
      <c r="R145" s="144"/>
      <c r="S145" s="144"/>
      <c r="T145" s="144"/>
      <c r="U145" s="144"/>
      <c r="V145" s="144"/>
      <c r="W145" s="144"/>
      <c r="X145" s="144"/>
      <c r="Y145" s="144"/>
      <c r="Z145" s="144"/>
      <c r="AA145" s="144"/>
      <c r="AB145" s="144"/>
      <c r="AC145" s="144"/>
      <c r="AD145" s="144"/>
      <c r="AE145" s="144"/>
      <c r="AF145" s="144"/>
    </row>
    <row r="146" ht="16.5" customHeight="1">
      <c r="A146" s="144"/>
      <c r="B146" s="559"/>
      <c r="C146" s="346"/>
      <c r="D146" s="346"/>
      <c r="E146" s="352"/>
      <c r="F146" s="505"/>
      <c r="G146" s="560"/>
      <c r="H146" s="505"/>
      <c r="I146" s="497"/>
      <c r="J146" s="497"/>
      <c r="K146" s="496"/>
      <c r="L146" s="496"/>
      <c r="M146" s="144"/>
      <c r="N146" s="144"/>
      <c r="O146" s="144"/>
      <c r="P146" s="144"/>
      <c r="Q146" s="144"/>
      <c r="R146" s="144"/>
      <c r="S146" s="144"/>
      <c r="T146" s="144"/>
      <c r="U146" s="144"/>
      <c r="V146" s="144"/>
      <c r="W146" s="144"/>
      <c r="X146" s="144"/>
      <c r="Y146" s="144"/>
      <c r="Z146" s="144"/>
      <c r="AA146" s="144"/>
      <c r="AB146" s="144"/>
      <c r="AC146" s="144"/>
      <c r="AD146" s="144"/>
      <c r="AE146" s="144"/>
      <c r="AF146" s="144"/>
    </row>
    <row r="147" ht="16.5" customHeight="1">
      <c r="A147" s="144"/>
      <c r="B147" s="559"/>
      <c r="C147" s="346"/>
      <c r="D147" s="346"/>
      <c r="E147" s="352"/>
      <c r="F147" s="352"/>
      <c r="G147" s="560"/>
      <c r="H147" s="505"/>
      <c r="I147" s="497"/>
      <c r="J147" s="497"/>
      <c r="K147" s="496"/>
      <c r="L147" s="496"/>
      <c r="M147" s="144"/>
      <c r="N147" s="144"/>
      <c r="O147" s="144"/>
      <c r="P147" s="144"/>
      <c r="Q147" s="144"/>
      <c r="R147" s="144"/>
      <c r="S147" s="144"/>
      <c r="T147" s="144"/>
      <c r="U147" s="144"/>
      <c r="V147" s="144"/>
      <c r="W147" s="144"/>
      <c r="X147" s="144"/>
      <c r="Y147" s="144"/>
      <c r="Z147" s="144"/>
      <c r="AA147" s="144"/>
      <c r="AB147" s="144"/>
      <c r="AC147" s="144"/>
      <c r="AD147" s="144"/>
      <c r="AE147" s="144"/>
      <c r="AF147" s="144"/>
    </row>
    <row r="148" ht="16.5" customHeight="1">
      <c r="A148" s="144"/>
      <c r="B148" s="559"/>
      <c r="C148" s="346"/>
      <c r="D148" s="346"/>
      <c r="E148" s="352"/>
      <c r="F148" s="352"/>
      <c r="G148" s="560"/>
      <c r="H148" s="352"/>
      <c r="I148" s="352"/>
      <c r="J148" s="497"/>
      <c r="K148" s="496"/>
      <c r="L148" s="496"/>
      <c r="M148" s="144"/>
      <c r="N148" s="144"/>
      <c r="O148" s="144"/>
      <c r="P148" s="144"/>
      <c r="Q148" s="144"/>
      <c r="R148" s="144"/>
      <c r="S148" s="144"/>
      <c r="T148" s="144"/>
      <c r="U148" s="144"/>
      <c r="V148" s="144"/>
      <c r="W148" s="144"/>
      <c r="X148" s="144"/>
      <c r="Y148" s="144"/>
      <c r="Z148" s="144"/>
      <c r="AA148" s="144"/>
      <c r="AB148" s="144"/>
      <c r="AC148" s="144"/>
      <c r="AD148" s="144"/>
      <c r="AE148" s="144"/>
      <c r="AF148" s="144"/>
    </row>
    <row r="149" ht="16.5" customHeight="1">
      <c r="A149" s="144"/>
      <c r="B149" s="559"/>
      <c r="C149" s="346"/>
      <c r="D149" s="346"/>
      <c r="E149" s="352"/>
      <c r="F149" s="352"/>
      <c r="G149" s="560"/>
      <c r="H149" s="352"/>
      <c r="I149" s="352"/>
      <c r="J149" s="497"/>
      <c r="K149" s="496"/>
      <c r="L149" s="496"/>
      <c r="M149" s="144"/>
      <c r="N149" s="144"/>
      <c r="O149" s="144"/>
      <c r="P149" s="144"/>
      <c r="Q149" s="144"/>
      <c r="R149" s="144"/>
      <c r="S149" s="144"/>
      <c r="T149" s="144"/>
      <c r="U149" s="144"/>
      <c r="V149" s="144"/>
      <c r="W149" s="144"/>
      <c r="X149" s="144"/>
      <c r="Y149" s="144"/>
      <c r="Z149" s="144"/>
      <c r="AA149" s="144"/>
      <c r="AB149" s="144"/>
      <c r="AC149" s="144"/>
      <c r="AD149" s="144"/>
      <c r="AE149" s="144"/>
      <c r="AF149" s="144"/>
    </row>
    <row r="150" ht="16.5" customHeight="1">
      <c r="A150" s="144"/>
      <c r="B150" s="559"/>
      <c r="C150" s="352"/>
      <c r="D150" s="352"/>
      <c r="E150" s="352"/>
      <c r="F150" s="352"/>
      <c r="G150" s="560"/>
      <c r="H150" s="352"/>
      <c r="I150" s="497"/>
      <c r="J150" s="497"/>
      <c r="K150" s="496"/>
      <c r="L150" s="496"/>
      <c r="M150" s="144"/>
      <c r="N150" s="144"/>
      <c r="O150" s="144"/>
      <c r="P150" s="144"/>
      <c r="Q150" s="144"/>
      <c r="R150" s="144"/>
      <c r="S150" s="144"/>
      <c r="T150" s="144"/>
      <c r="U150" s="144"/>
      <c r="V150" s="144"/>
      <c r="W150" s="144"/>
      <c r="X150" s="144"/>
      <c r="Y150" s="144"/>
      <c r="Z150" s="144"/>
      <c r="AA150" s="144"/>
      <c r="AB150" s="144"/>
      <c r="AC150" s="144"/>
      <c r="AD150" s="144"/>
      <c r="AE150" s="144"/>
      <c r="AF150" s="144"/>
    </row>
    <row r="151" ht="16.5" customHeight="1">
      <c r="A151" s="144"/>
      <c r="B151" s="559"/>
      <c r="C151" s="352"/>
      <c r="D151" s="352"/>
      <c r="E151" s="352"/>
      <c r="F151" s="352"/>
      <c r="G151" s="560"/>
      <c r="H151" s="352"/>
      <c r="I151" s="497"/>
      <c r="J151" s="497"/>
      <c r="K151" s="496"/>
      <c r="L151" s="496"/>
      <c r="M151" s="144"/>
      <c r="N151" s="144"/>
      <c r="O151" s="144"/>
      <c r="P151" s="144"/>
      <c r="Q151" s="144"/>
      <c r="R151" s="144"/>
      <c r="S151" s="144"/>
      <c r="T151" s="144"/>
      <c r="U151" s="144"/>
      <c r="V151" s="144"/>
      <c r="W151" s="144"/>
      <c r="X151" s="144"/>
      <c r="Y151" s="144"/>
      <c r="Z151" s="144"/>
      <c r="AA151" s="144"/>
      <c r="AB151" s="144"/>
      <c r="AC151" s="144"/>
      <c r="AD151" s="144"/>
      <c r="AE151" s="144"/>
      <c r="AF151" s="144"/>
    </row>
    <row r="152" ht="16.5" customHeight="1">
      <c r="A152" s="144"/>
      <c r="B152" s="559"/>
      <c r="C152" s="352"/>
      <c r="D152" s="352"/>
      <c r="E152" s="352"/>
      <c r="F152" s="352"/>
      <c r="G152" s="560"/>
      <c r="H152" s="352"/>
      <c r="I152" s="497"/>
      <c r="J152" s="497"/>
      <c r="K152" s="496"/>
      <c r="L152" s="496"/>
      <c r="M152" s="144"/>
      <c r="N152" s="144"/>
      <c r="O152" s="144"/>
      <c r="P152" s="144"/>
      <c r="Q152" s="144"/>
      <c r="R152" s="144"/>
      <c r="S152" s="144"/>
      <c r="T152" s="144"/>
      <c r="U152" s="144"/>
      <c r="V152" s="144"/>
      <c r="W152" s="144"/>
      <c r="X152" s="144"/>
      <c r="Y152" s="144"/>
      <c r="Z152" s="144"/>
      <c r="AA152" s="144"/>
      <c r="AB152" s="144"/>
      <c r="AC152" s="144"/>
      <c r="AD152" s="144"/>
      <c r="AE152" s="144"/>
      <c r="AF152" s="144"/>
    </row>
    <row r="153" ht="16.5" customHeight="1">
      <c r="A153" s="144"/>
      <c r="B153" s="559"/>
      <c r="C153" s="352"/>
      <c r="D153" s="352"/>
      <c r="E153" s="352"/>
      <c r="F153" s="352"/>
      <c r="G153" s="560"/>
      <c r="H153" s="352"/>
      <c r="I153" s="497"/>
      <c r="J153" s="497"/>
      <c r="K153" s="496"/>
      <c r="L153" s="496"/>
      <c r="M153" s="144"/>
      <c r="N153" s="144"/>
      <c r="O153" s="144"/>
      <c r="P153" s="144"/>
      <c r="Q153" s="144"/>
      <c r="R153" s="144"/>
      <c r="S153" s="144"/>
      <c r="T153" s="144"/>
      <c r="U153" s="144"/>
      <c r="V153" s="144"/>
      <c r="W153" s="144"/>
      <c r="X153" s="144"/>
      <c r="Y153" s="144"/>
      <c r="Z153" s="144"/>
      <c r="AA153" s="144"/>
      <c r="AB153" s="144"/>
      <c r="AC153" s="144"/>
      <c r="AD153" s="144"/>
      <c r="AE153" s="144"/>
      <c r="AF153" s="144"/>
    </row>
    <row r="154" ht="16.5" customHeight="1">
      <c r="A154" s="144"/>
      <c r="B154" s="559"/>
      <c r="C154" s="352"/>
      <c r="D154" s="352"/>
      <c r="E154" s="352"/>
      <c r="F154" s="505"/>
      <c r="G154" s="560"/>
      <c r="H154" s="505"/>
      <c r="I154" s="497"/>
      <c r="J154" s="497"/>
      <c r="K154" s="496"/>
      <c r="L154" s="496"/>
      <c r="M154" s="144"/>
      <c r="N154" s="144"/>
      <c r="O154" s="144"/>
      <c r="P154" s="144"/>
      <c r="Q154" s="144"/>
      <c r="R154" s="144"/>
      <c r="S154" s="144"/>
      <c r="T154" s="144"/>
      <c r="U154" s="144"/>
      <c r="V154" s="144"/>
      <c r="W154" s="144"/>
      <c r="X154" s="144"/>
      <c r="Y154" s="144"/>
      <c r="Z154" s="144"/>
      <c r="AA154" s="144"/>
      <c r="AB154" s="144"/>
      <c r="AC154" s="144"/>
      <c r="AD154" s="144"/>
      <c r="AE154" s="144"/>
      <c r="AF154" s="144"/>
    </row>
    <row r="155" ht="16.5" customHeight="1">
      <c r="A155" s="144"/>
      <c r="B155" s="559"/>
      <c r="C155" s="352"/>
      <c r="D155" s="352"/>
      <c r="E155" s="352"/>
      <c r="F155" s="352"/>
      <c r="G155" s="560"/>
      <c r="H155" s="505"/>
      <c r="I155" s="497"/>
      <c r="J155" s="497"/>
      <c r="K155" s="496"/>
      <c r="L155" s="496"/>
      <c r="M155" s="144"/>
      <c r="N155" s="144"/>
      <c r="O155" s="144"/>
      <c r="P155" s="144"/>
      <c r="Q155" s="144"/>
      <c r="R155" s="144"/>
      <c r="S155" s="144"/>
      <c r="T155" s="144"/>
      <c r="U155" s="144"/>
      <c r="V155" s="144"/>
      <c r="W155" s="144"/>
      <c r="X155" s="144"/>
      <c r="Y155" s="144"/>
      <c r="Z155" s="144"/>
      <c r="AA155" s="144"/>
      <c r="AB155" s="144"/>
      <c r="AC155" s="144"/>
      <c r="AD155" s="144"/>
      <c r="AE155" s="144"/>
      <c r="AF155" s="144"/>
    </row>
    <row r="156" ht="16.5" customHeight="1">
      <c r="A156" s="144"/>
      <c r="B156" s="559"/>
      <c r="C156" s="352"/>
      <c r="D156" s="352"/>
      <c r="E156" s="352"/>
      <c r="F156" s="352"/>
      <c r="G156" s="560"/>
      <c r="H156" s="352"/>
      <c r="I156" s="497"/>
      <c r="J156" s="497"/>
      <c r="K156" s="496"/>
      <c r="L156" s="496"/>
      <c r="M156" s="144"/>
      <c r="N156" s="144"/>
      <c r="O156" s="144"/>
      <c r="P156" s="144"/>
      <c r="Q156" s="144"/>
      <c r="R156" s="144"/>
      <c r="S156" s="144"/>
      <c r="T156" s="144"/>
      <c r="U156" s="144"/>
      <c r="V156" s="144"/>
      <c r="W156" s="144"/>
      <c r="X156" s="144"/>
      <c r="Y156" s="144"/>
      <c r="Z156" s="144"/>
      <c r="AA156" s="144"/>
      <c r="AB156" s="144"/>
      <c r="AC156" s="144"/>
      <c r="AD156" s="144"/>
      <c r="AE156" s="144"/>
      <c r="AF156" s="144"/>
    </row>
    <row r="157" ht="16.5" customHeight="1">
      <c r="A157" s="144"/>
      <c r="B157" s="559"/>
      <c r="C157" s="346"/>
      <c r="D157" s="346"/>
      <c r="E157" s="352"/>
      <c r="F157" s="352"/>
      <c r="G157" s="560"/>
      <c r="H157" s="352"/>
      <c r="I157" s="497"/>
      <c r="J157" s="497"/>
      <c r="K157" s="496"/>
      <c r="L157" s="496"/>
      <c r="M157" s="144"/>
      <c r="N157" s="144"/>
      <c r="O157" s="144"/>
      <c r="P157" s="144"/>
      <c r="Q157" s="144"/>
      <c r="R157" s="144"/>
      <c r="S157" s="144"/>
      <c r="T157" s="144"/>
      <c r="U157" s="144"/>
      <c r="V157" s="144"/>
      <c r="W157" s="144"/>
      <c r="X157" s="144"/>
      <c r="Y157" s="144"/>
      <c r="Z157" s="144"/>
      <c r="AA157" s="144"/>
      <c r="AB157" s="144"/>
      <c r="AC157" s="144"/>
      <c r="AD157" s="144"/>
      <c r="AE157" s="144"/>
      <c r="AF157" s="144"/>
    </row>
    <row r="158" ht="16.5" customHeight="1">
      <c r="A158" s="144"/>
      <c r="B158" s="559"/>
      <c r="C158" s="346"/>
      <c r="D158" s="346"/>
      <c r="E158" s="352"/>
      <c r="F158" s="352"/>
      <c r="G158" s="560"/>
      <c r="H158" s="352"/>
      <c r="I158" s="497"/>
      <c r="J158" s="497"/>
      <c r="K158" s="496"/>
      <c r="L158" s="496"/>
      <c r="M158" s="144"/>
      <c r="N158" s="144"/>
      <c r="O158" s="144"/>
      <c r="P158" s="144"/>
      <c r="Q158" s="144"/>
      <c r="R158" s="144"/>
      <c r="S158" s="144"/>
      <c r="T158" s="144"/>
      <c r="U158" s="144"/>
      <c r="V158" s="144"/>
      <c r="W158" s="144"/>
      <c r="X158" s="144"/>
      <c r="Y158" s="144"/>
      <c r="Z158" s="144"/>
      <c r="AA158" s="144"/>
      <c r="AB158" s="144"/>
      <c r="AC158" s="144"/>
      <c r="AD158" s="144"/>
      <c r="AE158" s="144"/>
      <c r="AF158" s="144"/>
    </row>
    <row r="159" ht="16.5" customHeight="1">
      <c r="A159" s="144"/>
      <c r="B159" s="559"/>
      <c r="C159" s="346"/>
      <c r="D159" s="346"/>
      <c r="E159" s="352"/>
      <c r="F159" s="352"/>
      <c r="G159" s="560"/>
      <c r="H159" s="352"/>
      <c r="I159" s="497"/>
      <c r="J159" s="497"/>
      <c r="K159" s="496"/>
      <c r="L159" s="496"/>
      <c r="M159" s="144"/>
      <c r="N159" s="144"/>
      <c r="O159" s="144"/>
      <c r="P159" s="144"/>
      <c r="Q159" s="144"/>
      <c r="R159" s="144"/>
      <c r="S159" s="144"/>
      <c r="T159" s="144"/>
      <c r="U159" s="144"/>
      <c r="V159" s="144"/>
      <c r="W159" s="144"/>
      <c r="X159" s="144"/>
      <c r="Y159" s="144"/>
      <c r="Z159" s="144"/>
      <c r="AA159" s="144"/>
      <c r="AB159" s="144"/>
      <c r="AC159" s="144"/>
      <c r="AD159" s="144"/>
      <c r="AE159" s="144"/>
      <c r="AF159" s="144"/>
    </row>
    <row r="160" ht="16.5" customHeight="1">
      <c r="A160" s="144"/>
      <c r="B160" s="559"/>
      <c r="C160" s="346"/>
      <c r="D160" s="346"/>
      <c r="E160" s="352"/>
      <c r="F160" s="352"/>
      <c r="G160" s="560"/>
      <c r="H160" s="352"/>
      <c r="I160" s="497"/>
      <c r="J160" s="497"/>
      <c r="K160" s="496"/>
      <c r="L160" s="496"/>
      <c r="M160" s="144"/>
      <c r="N160" s="144"/>
      <c r="O160" s="144"/>
      <c r="P160" s="144"/>
      <c r="Q160" s="144"/>
      <c r="R160" s="144"/>
      <c r="S160" s="144"/>
      <c r="T160" s="144"/>
      <c r="U160" s="144"/>
      <c r="V160" s="144"/>
      <c r="W160" s="144"/>
      <c r="X160" s="144"/>
      <c r="Y160" s="144"/>
      <c r="Z160" s="144"/>
      <c r="AA160" s="144"/>
      <c r="AB160" s="144"/>
      <c r="AC160" s="144"/>
      <c r="AD160" s="144"/>
      <c r="AE160" s="144"/>
      <c r="AF160" s="144"/>
    </row>
    <row r="161" ht="16.5" customHeight="1">
      <c r="A161" s="144"/>
      <c r="B161" s="559"/>
      <c r="C161" s="346"/>
      <c r="D161" s="346"/>
      <c r="E161" s="352"/>
      <c r="F161" s="505"/>
      <c r="G161" s="560"/>
      <c r="H161" s="505"/>
      <c r="I161" s="497"/>
      <c r="J161" s="497"/>
      <c r="K161" s="496"/>
      <c r="L161" s="496"/>
      <c r="M161" s="144"/>
      <c r="N161" s="144"/>
      <c r="O161" s="144"/>
      <c r="P161" s="144"/>
      <c r="Q161" s="144"/>
      <c r="R161" s="144"/>
      <c r="S161" s="144"/>
      <c r="T161" s="144"/>
      <c r="U161" s="144"/>
      <c r="V161" s="144"/>
      <c r="W161" s="144"/>
      <c r="X161" s="144"/>
      <c r="Y161" s="144"/>
      <c r="Z161" s="144"/>
      <c r="AA161" s="144"/>
      <c r="AB161" s="144"/>
      <c r="AC161" s="144"/>
      <c r="AD161" s="144"/>
      <c r="AE161" s="144"/>
      <c r="AF161" s="144"/>
    </row>
    <row r="162" ht="16.5" customHeight="1">
      <c r="A162" s="144"/>
      <c r="B162" s="559"/>
      <c r="C162" s="346"/>
      <c r="D162" s="346"/>
      <c r="E162" s="352"/>
      <c r="F162" s="352"/>
      <c r="G162" s="560"/>
      <c r="H162" s="505"/>
      <c r="I162" s="497"/>
      <c r="J162" s="497"/>
      <c r="K162" s="496"/>
      <c r="L162" s="496"/>
      <c r="M162" s="144"/>
      <c r="N162" s="144"/>
      <c r="O162" s="144"/>
      <c r="P162" s="144"/>
      <c r="Q162" s="144"/>
      <c r="R162" s="144"/>
      <c r="S162" s="144"/>
      <c r="T162" s="144"/>
      <c r="U162" s="144"/>
      <c r="V162" s="144"/>
      <c r="W162" s="144"/>
      <c r="X162" s="144"/>
      <c r="Y162" s="144"/>
      <c r="Z162" s="144"/>
      <c r="AA162" s="144"/>
      <c r="AB162" s="144"/>
      <c r="AC162" s="144"/>
      <c r="AD162" s="144"/>
      <c r="AE162" s="144"/>
      <c r="AF162" s="144"/>
    </row>
    <row r="163" ht="16.5" customHeight="1">
      <c r="A163" s="144"/>
      <c r="B163" s="559"/>
      <c r="C163" s="346"/>
      <c r="D163" s="346"/>
      <c r="E163" s="352"/>
      <c r="F163" s="352"/>
      <c r="G163" s="560"/>
      <c r="H163" s="352"/>
      <c r="I163" s="352"/>
      <c r="J163" s="497"/>
      <c r="K163" s="496"/>
      <c r="L163" s="496"/>
      <c r="M163" s="144"/>
      <c r="N163" s="144"/>
      <c r="O163" s="144"/>
      <c r="P163" s="144"/>
      <c r="Q163" s="144"/>
      <c r="R163" s="144"/>
      <c r="S163" s="144"/>
      <c r="T163" s="144"/>
      <c r="U163" s="144"/>
      <c r="V163" s="144"/>
      <c r="W163" s="144"/>
      <c r="X163" s="144"/>
      <c r="Y163" s="144"/>
      <c r="Z163" s="144"/>
      <c r="AA163" s="144"/>
      <c r="AB163" s="144"/>
      <c r="AC163" s="144"/>
      <c r="AD163" s="144"/>
      <c r="AE163" s="144"/>
      <c r="AF163" s="144"/>
    </row>
    <row r="164" ht="16.5" customHeight="1">
      <c r="A164" s="144"/>
      <c r="B164" s="559"/>
      <c r="C164" s="346"/>
      <c r="D164" s="346"/>
      <c r="E164" s="352"/>
      <c r="F164" s="352"/>
      <c r="G164" s="560"/>
      <c r="H164" s="352"/>
      <c r="I164" s="352"/>
      <c r="J164" s="497"/>
      <c r="K164" s="496"/>
      <c r="L164" s="496"/>
      <c r="M164" s="144"/>
      <c r="N164" s="144"/>
      <c r="O164" s="144"/>
      <c r="P164" s="144"/>
      <c r="Q164" s="144"/>
      <c r="R164" s="144"/>
      <c r="S164" s="144"/>
      <c r="T164" s="144"/>
      <c r="U164" s="144"/>
      <c r="V164" s="144"/>
      <c r="W164" s="144"/>
      <c r="X164" s="144"/>
      <c r="Y164" s="144"/>
      <c r="Z164" s="144"/>
      <c r="AA164" s="144"/>
      <c r="AB164" s="144"/>
      <c r="AC164" s="144"/>
      <c r="AD164" s="144"/>
      <c r="AE164" s="144"/>
      <c r="AF164" s="144"/>
    </row>
    <row r="165" ht="16.5" customHeight="1">
      <c r="A165" s="144"/>
      <c r="B165" s="559"/>
      <c r="C165" s="346"/>
      <c r="D165" s="346"/>
      <c r="E165" s="352"/>
      <c r="F165" s="352"/>
      <c r="G165" s="560"/>
      <c r="H165" s="352"/>
      <c r="I165" s="497"/>
      <c r="J165" s="497"/>
      <c r="K165" s="496"/>
      <c r="L165" s="496"/>
      <c r="M165" s="144"/>
      <c r="N165" s="144"/>
      <c r="O165" s="144"/>
      <c r="P165" s="144"/>
      <c r="Q165" s="144"/>
      <c r="R165" s="144"/>
      <c r="S165" s="144"/>
      <c r="T165" s="144"/>
      <c r="U165" s="144"/>
      <c r="V165" s="144"/>
      <c r="W165" s="144"/>
      <c r="X165" s="144"/>
      <c r="Y165" s="144"/>
      <c r="Z165" s="144"/>
      <c r="AA165" s="144"/>
      <c r="AB165" s="144"/>
      <c r="AC165" s="144"/>
      <c r="AD165" s="144"/>
      <c r="AE165" s="144"/>
      <c r="AF165" s="144"/>
    </row>
    <row r="166" ht="16.5" customHeight="1">
      <c r="A166" s="144"/>
      <c r="B166" s="559"/>
      <c r="C166" s="346"/>
      <c r="D166" s="346"/>
      <c r="E166" s="352"/>
      <c r="F166" s="352"/>
      <c r="G166" s="560"/>
      <c r="H166" s="352"/>
      <c r="I166" s="497"/>
      <c r="J166" s="497"/>
      <c r="K166" s="496"/>
      <c r="L166" s="496"/>
      <c r="M166" s="144"/>
      <c r="N166" s="144"/>
      <c r="O166" s="144"/>
      <c r="P166" s="144"/>
      <c r="Q166" s="144"/>
      <c r="R166" s="144"/>
      <c r="S166" s="144"/>
      <c r="T166" s="144"/>
      <c r="U166" s="144"/>
      <c r="V166" s="144"/>
      <c r="W166" s="144"/>
      <c r="X166" s="144"/>
      <c r="Y166" s="144"/>
      <c r="Z166" s="144"/>
      <c r="AA166" s="144"/>
      <c r="AB166" s="144"/>
      <c r="AC166" s="144"/>
      <c r="AD166" s="144"/>
      <c r="AE166" s="144"/>
      <c r="AF166" s="144"/>
    </row>
    <row r="167" ht="16.5" customHeight="1">
      <c r="A167" s="144"/>
      <c r="B167" s="559"/>
      <c r="C167" s="346"/>
      <c r="D167" s="346"/>
      <c r="E167" s="352"/>
      <c r="F167" s="352"/>
      <c r="G167" s="560"/>
      <c r="H167" s="352"/>
      <c r="I167" s="497"/>
      <c r="J167" s="497"/>
      <c r="K167" s="496"/>
      <c r="L167" s="496"/>
      <c r="M167" s="144"/>
      <c r="N167" s="144"/>
      <c r="O167" s="144"/>
      <c r="P167" s="144"/>
      <c r="Q167" s="144"/>
      <c r="R167" s="144"/>
      <c r="S167" s="144"/>
      <c r="T167" s="144"/>
      <c r="U167" s="144"/>
      <c r="V167" s="144"/>
      <c r="W167" s="144"/>
      <c r="X167" s="144"/>
      <c r="Y167" s="144"/>
      <c r="Z167" s="144"/>
      <c r="AA167" s="144"/>
      <c r="AB167" s="144"/>
      <c r="AC167" s="144"/>
      <c r="AD167" s="144"/>
      <c r="AE167" s="144"/>
      <c r="AF167" s="144"/>
    </row>
    <row r="168" ht="16.5" customHeight="1">
      <c r="A168" s="144"/>
      <c r="B168" s="559"/>
      <c r="C168" s="346"/>
      <c r="D168" s="346"/>
      <c r="E168" s="352"/>
      <c r="F168" s="352"/>
      <c r="G168" s="560"/>
      <c r="H168" s="352"/>
      <c r="I168" s="497"/>
      <c r="J168" s="497"/>
      <c r="K168" s="496"/>
      <c r="L168" s="496"/>
      <c r="M168" s="144"/>
      <c r="N168" s="144"/>
      <c r="O168" s="144"/>
      <c r="P168" s="144"/>
      <c r="Q168" s="144"/>
      <c r="R168" s="144"/>
      <c r="S168" s="144"/>
      <c r="T168" s="144"/>
      <c r="U168" s="144"/>
      <c r="V168" s="144"/>
      <c r="W168" s="144"/>
      <c r="X168" s="144"/>
      <c r="Y168" s="144"/>
      <c r="Z168" s="144"/>
      <c r="AA168" s="144"/>
      <c r="AB168" s="144"/>
      <c r="AC168" s="144"/>
      <c r="AD168" s="144"/>
      <c r="AE168" s="144"/>
      <c r="AF168" s="144"/>
    </row>
    <row r="169" ht="16.5" customHeight="1">
      <c r="A169" s="144"/>
      <c r="B169" s="559"/>
      <c r="C169" s="346"/>
      <c r="D169" s="346"/>
      <c r="E169" s="352"/>
      <c r="F169" s="505"/>
      <c r="G169" s="560"/>
      <c r="H169" s="505"/>
      <c r="I169" s="497"/>
      <c r="J169" s="497"/>
      <c r="K169" s="496"/>
      <c r="L169" s="496"/>
      <c r="M169" s="144"/>
      <c r="N169" s="144"/>
      <c r="O169" s="144"/>
      <c r="P169" s="144"/>
      <c r="Q169" s="144"/>
      <c r="R169" s="144"/>
      <c r="S169" s="144"/>
      <c r="T169" s="144"/>
      <c r="U169" s="144"/>
      <c r="V169" s="144"/>
      <c r="W169" s="144"/>
      <c r="X169" s="144"/>
      <c r="Y169" s="144"/>
      <c r="Z169" s="144"/>
      <c r="AA169" s="144"/>
      <c r="AB169" s="144"/>
      <c r="AC169" s="144"/>
      <c r="AD169" s="144"/>
      <c r="AE169" s="144"/>
      <c r="AF169" s="144"/>
    </row>
    <row r="170" ht="16.5" customHeight="1">
      <c r="A170" s="144"/>
      <c r="B170" s="559"/>
      <c r="C170" s="346"/>
      <c r="D170" s="346"/>
      <c r="E170" s="352"/>
      <c r="F170" s="352"/>
      <c r="G170" s="560"/>
      <c r="H170" s="505"/>
      <c r="I170" s="497"/>
      <c r="J170" s="497"/>
      <c r="K170" s="496"/>
      <c r="L170" s="496"/>
      <c r="M170" s="144"/>
      <c r="N170" s="144"/>
      <c r="O170" s="144"/>
      <c r="P170" s="144"/>
      <c r="Q170" s="144"/>
      <c r="R170" s="144"/>
      <c r="S170" s="144"/>
      <c r="T170" s="144"/>
      <c r="U170" s="144"/>
      <c r="V170" s="144"/>
      <c r="W170" s="144"/>
      <c r="X170" s="144"/>
      <c r="Y170" s="144"/>
      <c r="Z170" s="144"/>
      <c r="AA170" s="144"/>
      <c r="AB170" s="144"/>
      <c r="AC170" s="144"/>
      <c r="AD170" s="144"/>
      <c r="AE170" s="144"/>
      <c r="AF170" s="144"/>
    </row>
    <row r="171" ht="16.5" customHeight="1">
      <c r="A171" s="144"/>
      <c r="B171" s="559"/>
      <c r="C171" s="346"/>
      <c r="D171" s="346"/>
      <c r="E171" s="352"/>
      <c r="F171" s="352"/>
      <c r="G171" s="560"/>
      <c r="H171" s="352"/>
      <c r="I171" s="352"/>
      <c r="J171" s="497"/>
      <c r="K171" s="496"/>
      <c r="L171" s="496"/>
      <c r="M171" s="144"/>
      <c r="N171" s="144"/>
      <c r="O171" s="144"/>
      <c r="P171" s="144"/>
      <c r="Q171" s="144"/>
      <c r="R171" s="144"/>
      <c r="S171" s="144"/>
      <c r="T171" s="144"/>
      <c r="U171" s="144"/>
      <c r="V171" s="144"/>
      <c r="W171" s="144"/>
      <c r="X171" s="144"/>
      <c r="Y171" s="144"/>
      <c r="Z171" s="144"/>
      <c r="AA171" s="144"/>
      <c r="AB171" s="144"/>
      <c r="AC171" s="144"/>
      <c r="AD171" s="144"/>
      <c r="AE171" s="144"/>
      <c r="AF171" s="144"/>
    </row>
    <row r="172" ht="16.5" customHeight="1">
      <c r="A172" s="144"/>
      <c r="B172" s="559"/>
      <c r="C172" s="346"/>
      <c r="D172" s="346"/>
      <c r="E172" s="352"/>
      <c r="F172" s="352"/>
      <c r="G172" s="560"/>
      <c r="H172" s="352"/>
      <c r="I172" s="352"/>
      <c r="J172" s="497"/>
      <c r="K172" s="496"/>
      <c r="L172" s="496"/>
      <c r="M172" s="144"/>
      <c r="N172" s="144"/>
      <c r="O172" s="144"/>
      <c r="P172" s="144"/>
      <c r="Q172" s="144"/>
      <c r="R172" s="144"/>
      <c r="S172" s="144"/>
      <c r="T172" s="144"/>
      <c r="U172" s="144"/>
      <c r="V172" s="144"/>
      <c r="W172" s="144"/>
      <c r="X172" s="144"/>
      <c r="Y172" s="144"/>
      <c r="Z172" s="144"/>
      <c r="AA172" s="144"/>
      <c r="AB172" s="144"/>
      <c r="AC172" s="144"/>
      <c r="AD172" s="144"/>
      <c r="AE172" s="144"/>
      <c r="AF172" s="144"/>
    </row>
    <row r="173" ht="16.5" customHeight="1">
      <c r="A173" s="144"/>
      <c r="B173" s="559"/>
      <c r="C173" s="346"/>
      <c r="D173" s="346"/>
      <c r="E173" s="352"/>
      <c r="F173" s="352"/>
      <c r="G173" s="560"/>
      <c r="H173" s="352"/>
      <c r="I173" s="497"/>
      <c r="J173" s="497"/>
      <c r="K173" s="496"/>
      <c r="L173" s="496"/>
      <c r="M173" s="144"/>
      <c r="N173" s="144"/>
      <c r="O173" s="144"/>
      <c r="P173" s="144"/>
      <c r="Q173" s="144"/>
      <c r="R173" s="144"/>
      <c r="S173" s="144"/>
      <c r="T173" s="144"/>
      <c r="U173" s="144"/>
      <c r="V173" s="144"/>
      <c r="W173" s="144"/>
      <c r="X173" s="144"/>
      <c r="Y173" s="144"/>
      <c r="Z173" s="144"/>
      <c r="AA173" s="144"/>
      <c r="AB173" s="144"/>
      <c r="AC173" s="144"/>
      <c r="AD173" s="144"/>
      <c r="AE173" s="144"/>
      <c r="AF173" s="144"/>
    </row>
    <row r="174" ht="16.5" customHeight="1">
      <c r="A174" s="144"/>
      <c r="B174" s="559"/>
      <c r="C174" s="346"/>
      <c r="D174" s="346"/>
      <c r="E174" s="352"/>
      <c r="F174" s="352"/>
      <c r="G174" s="560"/>
      <c r="H174" s="352"/>
      <c r="I174" s="497"/>
      <c r="J174" s="497"/>
      <c r="K174" s="496"/>
      <c r="L174" s="496"/>
      <c r="M174" s="144"/>
      <c r="N174" s="144"/>
      <c r="O174" s="144"/>
      <c r="P174" s="144"/>
      <c r="Q174" s="144"/>
      <c r="R174" s="144"/>
      <c r="S174" s="144"/>
      <c r="T174" s="144"/>
      <c r="U174" s="144"/>
      <c r="V174" s="144"/>
      <c r="W174" s="144"/>
      <c r="X174" s="144"/>
      <c r="Y174" s="144"/>
      <c r="Z174" s="144"/>
      <c r="AA174" s="144"/>
      <c r="AB174" s="144"/>
      <c r="AC174" s="144"/>
      <c r="AD174" s="144"/>
      <c r="AE174" s="144"/>
      <c r="AF174" s="144"/>
    </row>
    <row r="175" ht="16.5" customHeight="1">
      <c r="A175" s="144"/>
      <c r="B175" s="559"/>
      <c r="C175" s="346"/>
      <c r="D175" s="346"/>
      <c r="E175" s="352"/>
      <c r="F175" s="352"/>
      <c r="G175" s="560"/>
      <c r="H175" s="352"/>
      <c r="I175" s="497"/>
      <c r="J175" s="497"/>
      <c r="K175" s="496"/>
      <c r="L175" s="496"/>
      <c r="M175" s="144"/>
      <c r="N175" s="144"/>
      <c r="O175" s="144"/>
      <c r="P175" s="144"/>
      <c r="Q175" s="144"/>
      <c r="R175" s="144"/>
      <c r="S175" s="144"/>
      <c r="T175" s="144"/>
      <c r="U175" s="144"/>
      <c r="V175" s="144"/>
      <c r="W175" s="144"/>
      <c r="X175" s="144"/>
      <c r="Y175" s="144"/>
      <c r="Z175" s="144"/>
      <c r="AA175" s="144"/>
      <c r="AB175" s="144"/>
      <c r="AC175" s="144"/>
      <c r="AD175" s="144"/>
      <c r="AE175" s="144"/>
      <c r="AF175" s="144"/>
    </row>
    <row r="176" ht="16.5" customHeight="1">
      <c r="A176" s="144"/>
      <c r="B176" s="559"/>
      <c r="C176" s="346"/>
      <c r="D176" s="346"/>
      <c r="E176" s="352"/>
      <c r="F176" s="352"/>
      <c r="G176" s="560"/>
      <c r="H176" s="352"/>
      <c r="I176" s="497"/>
      <c r="J176" s="497"/>
      <c r="K176" s="496"/>
      <c r="L176" s="496"/>
      <c r="M176" s="144"/>
      <c r="N176" s="144"/>
      <c r="O176" s="144"/>
      <c r="P176" s="144"/>
      <c r="Q176" s="144"/>
      <c r="R176" s="144"/>
      <c r="S176" s="144"/>
      <c r="T176" s="144"/>
      <c r="U176" s="144"/>
      <c r="V176" s="144"/>
      <c r="W176" s="144"/>
      <c r="X176" s="144"/>
      <c r="Y176" s="144"/>
      <c r="Z176" s="144"/>
      <c r="AA176" s="144"/>
      <c r="AB176" s="144"/>
      <c r="AC176" s="144"/>
      <c r="AD176" s="144"/>
      <c r="AE176" s="144"/>
      <c r="AF176" s="144"/>
    </row>
    <row r="177" ht="16.5" customHeight="1">
      <c r="A177" s="144"/>
      <c r="B177" s="559"/>
      <c r="C177" s="346"/>
      <c r="D177" s="346"/>
      <c r="E177" s="352"/>
      <c r="F177" s="505"/>
      <c r="G177" s="560"/>
      <c r="H177" s="505"/>
      <c r="I177" s="497"/>
      <c r="J177" s="497"/>
      <c r="K177" s="496"/>
      <c r="L177" s="496"/>
      <c r="M177" s="144"/>
      <c r="N177" s="144"/>
      <c r="O177" s="144"/>
      <c r="P177" s="144"/>
      <c r="Q177" s="144"/>
      <c r="R177" s="144"/>
      <c r="S177" s="144"/>
      <c r="T177" s="144"/>
      <c r="U177" s="144"/>
      <c r="V177" s="144"/>
      <c r="W177" s="144"/>
      <c r="X177" s="144"/>
      <c r="Y177" s="144"/>
      <c r="Z177" s="144"/>
      <c r="AA177" s="144"/>
      <c r="AB177" s="144"/>
      <c r="AC177" s="144"/>
      <c r="AD177" s="144"/>
      <c r="AE177" s="144"/>
      <c r="AF177" s="144"/>
    </row>
    <row r="178" ht="16.5" customHeight="1">
      <c r="A178" s="144"/>
      <c r="B178" s="559"/>
      <c r="C178" s="346"/>
      <c r="D178" s="346"/>
      <c r="E178" s="352"/>
      <c r="F178" s="352"/>
      <c r="G178" s="560"/>
      <c r="H178" s="505"/>
      <c r="I178" s="497"/>
      <c r="J178" s="497"/>
      <c r="K178" s="496"/>
      <c r="L178" s="496"/>
      <c r="M178" s="144"/>
      <c r="N178" s="144"/>
      <c r="O178" s="144"/>
      <c r="P178" s="144"/>
      <c r="Q178" s="144"/>
      <c r="R178" s="144"/>
      <c r="S178" s="144"/>
      <c r="T178" s="144"/>
      <c r="U178" s="144"/>
      <c r="V178" s="144"/>
      <c r="W178" s="144"/>
      <c r="X178" s="144"/>
      <c r="Y178" s="144"/>
      <c r="Z178" s="144"/>
      <c r="AA178" s="144"/>
      <c r="AB178" s="144"/>
      <c r="AC178" s="144"/>
      <c r="AD178" s="144"/>
      <c r="AE178" s="144"/>
      <c r="AF178" s="144"/>
    </row>
    <row r="179" ht="16.5" customHeight="1">
      <c r="A179" s="144"/>
      <c r="B179" s="559"/>
      <c r="C179" s="346"/>
      <c r="D179" s="346"/>
      <c r="E179" s="352"/>
      <c r="F179" s="352"/>
      <c r="G179" s="560"/>
      <c r="H179" s="352"/>
      <c r="I179" s="497"/>
      <c r="J179" s="497"/>
      <c r="K179" s="496"/>
      <c r="L179" s="496"/>
      <c r="M179" s="144"/>
      <c r="N179" s="144"/>
      <c r="O179" s="144"/>
      <c r="P179" s="144"/>
      <c r="Q179" s="144"/>
      <c r="R179" s="144"/>
      <c r="S179" s="144"/>
      <c r="T179" s="144"/>
      <c r="U179" s="144"/>
      <c r="V179" s="144"/>
      <c r="W179" s="144"/>
      <c r="X179" s="144"/>
      <c r="Y179" s="144"/>
      <c r="Z179" s="144"/>
      <c r="AA179" s="144"/>
      <c r="AB179" s="144"/>
      <c r="AC179" s="144"/>
      <c r="AD179" s="144"/>
      <c r="AE179" s="144"/>
      <c r="AF179" s="144"/>
    </row>
    <row r="180" ht="16.5" customHeight="1">
      <c r="A180" s="144"/>
      <c r="B180" s="559"/>
      <c r="C180" s="346"/>
      <c r="D180" s="346"/>
      <c r="E180" s="352"/>
      <c r="F180" s="352"/>
      <c r="G180" s="560"/>
      <c r="H180" s="352"/>
      <c r="I180" s="497"/>
      <c r="J180" s="497"/>
      <c r="K180" s="496"/>
      <c r="L180" s="496"/>
      <c r="M180" s="144"/>
      <c r="N180" s="144"/>
      <c r="O180" s="144"/>
      <c r="P180" s="144"/>
      <c r="Q180" s="144"/>
      <c r="R180" s="144"/>
      <c r="S180" s="144"/>
      <c r="T180" s="144"/>
      <c r="U180" s="144"/>
      <c r="V180" s="144"/>
      <c r="W180" s="144"/>
      <c r="X180" s="144"/>
      <c r="Y180" s="144"/>
      <c r="Z180" s="144"/>
      <c r="AA180" s="144"/>
      <c r="AB180" s="144"/>
      <c r="AC180" s="144"/>
      <c r="AD180" s="144"/>
      <c r="AE180" s="144"/>
      <c r="AF180" s="144"/>
    </row>
    <row r="181" ht="16.5" customHeight="1">
      <c r="A181" s="144"/>
      <c r="B181" s="559"/>
      <c r="C181" s="346"/>
      <c r="D181" s="346"/>
      <c r="E181" s="352"/>
      <c r="F181" s="352"/>
      <c r="G181" s="560"/>
      <c r="H181" s="352"/>
      <c r="I181" s="497"/>
      <c r="J181" s="497"/>
      <c r="K181" s="496"/>
      <c r="L181" s="496"/>
      <c r="M181" s="144"/>
      <c r="N181" s="144"/>
      <c r="O181" s="144"/>
      <c r="P181" s="144"/>
      <c r="Q181" s="144"/>
      <c r="R181" s="144"/>
      <c r="S181" s="144"/>
      <c r="T181" s="144"/>
      <c r="U181" s="144"/>
      <c r="V181" s="144"/>
      <c r="W181" s="144"/>
      <c r="X181" s="144"/>
      <c r="Y181" s="144"/>
      <c r="Z181" s="144"/>
      <c r="AA181" s="144"/>
      <c r="AB181" s="144"/>
      <c r="AC181" s="144"/>
      <c r="AD181" s="144"/>
      <c r="AE181" s="144"/>
      <c r="AF181" s="144"/>
    </row>
    <row r="182" ht="16.5" customHeight="1">
      <c r="A182" s="144"/>
      <c r="B182" s="559"/>
      <c r="C182" s="346"/>
      <c r="D182" s="346"/>
      <c r="E182" s="352"/>
      <c r="F182" s="352"/>
      <c r="G182" s="560"/>
      <c r="H182" s="352"/>
      <c r="I182" s="497"/>
      <c r="J182" s="497"/>
      <c r="K182" s="496"/>
      <c r="L182" s="496"/>
      <c r="M182" s="144"/>
      <c r="N182" s="144"/>
      <c r="O182" s="144"/>
      <c r="P182" s="144"/>
      <c r="Q182" s="144"/>
      <c r="R182" s="144"/>
      <c r="S182" s="144"/>
      <c r="T182" s="144"/>
      <c r="U182" s="144"/>
      <c r="V182" s="144"/>
      <c r="W182" s="144"/>
      <c r="X182" s="144"/>
      <c r="Y182" s="144"/>
      <c r="Z182" s="144"/>
      <c r="AA182" s="144"/>
      <c r="AB182" s="144"/>
      <c r="AC182" s="144"/>
      <c r="AD182" s="144"/>
      <c r="AE182" s="144"/>
      <c r="AF182" s="144"/>
    </row>
    <row r="183" ht="16.5" customHeight="1">
      <c r="A183" s="144"/>
      <c r="B183" s="559"/>
      <c r="C183" s="346"/>
      <c r="D183" s="346"/>
      <c r="E183" s="352"/>
      <c r="F183" s="352"/>
      <c r="G183" s="560"/>
      <c r="H183" s="352"/>
      <c r="I183" s="497"/>
      <c r="J183" s="497"/>
      <c r="K183" s="496"/>
      <c r="L183" s="496"/>
      <c r="M183" s="144"/>
      <c r="N183" s="144"/>
      <c r="O183" s="144"/>
      <c r="P183" s="144"/>
      <c r="Q183" s="144"/>
      <c r="R183" s="144"/>
      <c r="S183" s="144"/>
      <c r="T183" s="144"/>
      <c r="U183" s="144"/>
      <c r="V183" s="144"/>
      <c r="W183" s="144"/>
      <c r="X183" s="144"/>
      <c r="Y183" s="144"/>
      <c r="Z183" s="144"/>
      <c r="AA183" s="144"/>
      <c r="AB183" s="144"/>
      <c r="AC183" s="144"/>
      <c r="AD183" s="144"/>
      <c r="AE183" s="144"/>
      <c r="AF183" s="144"/>
    </row>
    <row r="184" ht="16.5" customHeight="1">
      <c r="A184" s="144"/>
      <c r="B184" s="559"/>
      <c r="C184" s="346"/>
      <c r="D184" s="346"/>
      <c r="E184" s="352"/>
      <c r="F184" s="352"/>
      <c r="G184" s="560"/>
      <c r="H184" s="352"/>
      <c r="I184" s="497"/>
      <c r="J184" s="497"/>
      <c r="K184" s="496"/>
      <c r="L184" s="496"/>
      <c r="M184" s="144"/>
      <c r="N184" s="144"/>
      <c r="O184" s="144"/>
      <c r="P184" s="144"/>
      <c r="Q184" s="144"/>
      <c r="R184" s="144"/>
      <c r="S184" s="144"/>
      <c r="T184" s="144"/>
      <c r="U184" s="144"/>
      <c r="V184" s="144"/>
      <c r="W184" s="144"/>
      <c r="X184" s="144"/>
      <c r="Y184" s="144"/>
      <c r="Z184" s="144"/>
      <c r="AA184" s="144"/>
      <c r="AB184" s="144"/>
      <c r="AC184" s="144"/>
      <c r="AD184" s="144"/>
      <c r="AE184" s="144"/>
      <c r="AF184" s="144"/>
    </row>
    <row r="185" ht="16.5" customHeight="1">
      <c r="A185" s="144"/>
      <c r="B185" s="559"/>
      <c r="C185" s="346"/>
      <c r="D185" s="346"/>
      <c r="E185" s="352"/>
      <c r="F185" s="505"/>
      <c r="G185" s="560"/>
      <c r="H185" s="505"/>
      <c r="I185" s="497"/>
      <c r="J185" s="497"/>
      <c r="K185" s="496"/>
      <c r="L185" s="496"/>
      <c r="M185" s="144"/>
      <c r="N185" s="144"/>
      <c r="O185" s="144"/>
      <c r="P185" s="144"/>
      <c r="Q185" s="144"/>
      <c r="R185" s="144"/>
      <c r="S185" s="144"/>
      <c r="T185" s="144"/>
      <c r="U185" s="144"/>
      <c r="V185" s="144"/>
      <c r="W185" s="144"/>
      <c r="X185" s="144"/>
      <c r="Y185" s="144"/>
      <c r="Z185" s="144"/>
      <c r="AA185" s="144"/>
      <c r="AB185" s="144"/>
      <c r="AC185" s="144"/>
      <c r="AD185" s="144"/>
      <c r="AE185" s="144"/>
      <c r="AF185" s="144"/>
    </row>
    <row r="186" ht="16.5" customHeight="1">
      <c r="A186" s="144"/>
      <c r="B186" s="559"/>
      <c r="C186" s="346"/>
      <c r="D186" s="346"/>
      <c r="E186" s="352"/>
      <c r="F186" s="352"/>
      <c r="G186" s="560"/>
      <c r="H186" s="505"/>
      <c r="I186" s="352"/>
      <c r="J186" s="497"/>
      <c r="K186" s="496"/>
      <c r="L186" s="496"/>
      <c r="M186" s="144"/>
      <c r="N186" s="144"/>
      <c r="O186" s="144"/>
      <c r="P186" s="144"/>
      <c r="Q186" s="144"/>
      <c r="R186" s="144"/>
      <c r="S186" s="144"/>
      <c r="T186" s="144"/>
      <c r="U186" s="144"/>
      <c r="V186" s="144"/>
      <c r="W186" s="144"/>
      <c r="X186" s="144"/>
      <c r="Y186" s="144"/>
      <c r="Z186" s="144"/>
      <c r="AA186" s="144"/>
      <c r="AB186" s="144"/>
      <c r="AC186" s="144"/>
      <c r="AD186" s="144"/>
      <c r="AE186" s="144"/>
      <c r="AF186" s="144"/>
    </row>
    <row r="187" ht="16.5" customHeight="1">
      <c r="A187" s="144"/>
      <c r="B187" s="559"/>
      <c r="C187" s="346"/>
      <c r="D187" s="346"/>
      <c r="E187" s="352"/>
      <c r="F187" s="352"/>
      <c r="G187" s="560"/>
      <c r="H187" s="352"/>
      <c r="I187" s="352"/>
      <c r="J187" s="497"/>
      <c r="K187" s="496"/>
      <c r="L187" s="496"/>
      <c r="M187" s="144"/>
      <c r="N187" s="144"/>
      <c r="O187" s="144"/>
      <c r="P187" s="144"/>
      <c r="Q187" s="144"/>
      <c r="R187" s="144"/>
      <c r="S187" s="144"/>
      <c r="T187" s="144"/>
      <c r="U187" s="144"/>
      <c r="V187" s="144"/>
      <c r="W187" s="144"/>
      <c r="X187" s="144"/>
      <c r="Y187" s="144"/>
      <c r="Z187" s="144"/>
      <c r="AA187" s="144"/>
      <c r="AB187" s="144"/>
      <c r="AC187" s="144"/>
      <c r="AD187" s="144"/>
      <c r="AE187" s="144"/>
      <c r="AF187" s="144"/>
    </row>
    <row r="188" ht="16.5" customHeight="1">
      <c r="A188" s="144"/>
      <c r="B188" s="559"/>
      <c r="C188" s="346"/>
      <c r="D188" s="346"/>
      <c r="E188" s="352"/>
      <c r="F188" s="352"/>
      <c r="G188" s="560"/>
      <c r="H188" s="352"/>
      <c r="I188" s="497"/>
      <c r="J188" s="497"/>
      <c r="K188" s="496"/>
      <c r="L188" s="496"/>
      <c r="M188" s="144"/>
      <c r="N188" s="144"/>
      <c r="O188" s="144"/>
      <c r="P188" s="144"/>
      <c r="Q188" s="144"/>
      <c r="R188" s="144"/>
      <c r="S188" s="144"/>
      <c r="T188" s="144"/>
      <c r="U188" s="144"/>
      <c r="V188" s="144"/>
      <c r="W188" s="144"/>
      <c r="X188" s="144"/>
      <c r="Y188" s="144"/>
      <c r="Z188" s="144"/>
      <c r="AA188" s="144"/>
      <c r="AB188" s="144"/>
      <c r="AC188" s="144"/>
      <c r="AD188" s="144"/>
      <c r="AE188" s="144"/>
      <c r="AF188" s="144"/>
    </row>
    <row r="189" ht="16.5" customHeight="1">
      <c r="A189" s="144"/>
      <c r="B189" s="559"/>
      <c r="C189" s="352"/>
      <c r="D189" s="352"/>
      <c r="E189" s="352"/>
      <c r="F189" s="352"/>
      <c r="G189" s="560"/>
      <c r="H189" s="352"/>
      <c r="I189" s="497"/>
      <c r="J189" s="497"/>
      <c r="K189" s="496"/>
      <c r="L189" s="496"/>
      <c r="M189" s="144"/>
      <c r="N189" s="144"/>
      <c r="O189" s="144"/>
      <c r="P189" s="144"/>
      <c r="Q189" s="144"/>
      <c r="R189" s="144"/>
      <c r="S189" s="144"/>
      <c r="T189" s="144"/>
      <c r="U189" s="144"/>
      <c r="V189" s="144"/>
      <c r="W189" s="144"/>
      <c r="X189" s="144"/>
      <c r="Y189" s="144"/>
      <c r="Z189" s="144"/>
      <c r="AA189" s="144"/>
      <c r="AB189" s="144"/>
      <c r="AC189" s="144"/>
      <c r="AD189" s="144"/>
      <c r="AE189" s="144"/>
      <c r="AF189" s="144"/>
    </row>
    <row r="190" ht="16.5" customHeight="1">
      <c r="A190" s="144"/>
      <c r="B190" s="559"/>
      <c r="C190" s="352"/>
      <c r="D190" s="352"/>
      <c r="E190" s="352"/>
      <c r="F190" s="352"/>
      <c r="G190" s="560"/>
      <c r="H190" s="352"/>
      <c r="I190" s="497"/>
      <c r="J190" s="497"/>
      <c r="K190" s="496"/>
      <c r="L190" s="496"/>
      <c r="M190" s="144"/>
      <c r="N190" s="144"/>
      <c r="O190" s="144"/>
      <c r="P190" s="144"/>
      <c r="Q190" s="144"/>
      <c r="R190" s="144"/>
      <c r="S190" s="144"/>
      <c r="T190" s="144"/>
      <c r="U190" s="144"/>
      <c r="V190" s="144"/>
      <c r="W190" s="144"/>
      <c r="X190" s="144"/>
      <c r="Y190" s="144"/>
      <c r="Z190" s="144"/>
      <c r="AA190" s="144"/>
      <c r="AB190" s="144"/>
      <c r="AC190" s="144"/>
      <c r="AD190" s="144"/>
      <c r="AE190" s="144"/>
      <c r="AF190" s="144"/>
    </row>
    <row r="191" ht="16.5" customHeight="1">
      <c r="A191" s="144"/>
      <c r="B191" s="559"/>
      <c r="C191" s="352"/>
      <c r="D191" s="352"/>
      <c r="E191" s="352"/>
      <c r="F191" s="352"/>
      <c r="G191" s="560"/>
      <c r="H191" s="352"/>
      <c r="I191" s="497"/>
      <c r="J191" s="497"/>
      <c r="K191" s="496"/>
      <c r="L191" s="496"/>
      <c r="M191" s="144"/>
      <c r="N191" s="144"/>
      <c r="O191" s="144"/>
      <c r="P191" s="144"/>
      <c r="Q191" s="144"/>
      <c r="R191" s="144"/>
      <c r="S191" s="144"/>
      <c r="T191" s="144"/>
      <c r="U191" s="144"/>
      <c r="V191" s="144"/>
      <c r="W191" s="144"/>
      <c r="X191" s="144"/>
      <c r="Y191" s="144"/>
      <c r="Z191" s="144"/>
      <c r="AA191" s="144"/>
      <c r="AB191" s="144"/>
      <c r="AC191" s="144"/>
      <c r="AD191" s="144"/>
      <c r="AE191" s="144"/>
      <c r="AF191" s="144"/>
    </row>
    <row r="192" ht="16.5" customHeight="1">
      <c r="A192" s="144"/>
      <c r="B192" s="559"/>
      <c r="C192" s="352"/>
      <c r="D192" s="352"/>
      <c r="E192" s="352"/>
      <c r="F192" s="352"/>
      <c r="G192" s="560"/>
      <c r="H192" s="352"/>
      <c r="I192" s="497"/>
      <c r="J192" s="497"/>
      <c r="K192" s="496"/>
      <c r="L192" s="496"/>
      <c r="M192" s="144"/>
      <c r="N192" s="144"/>
      <c r="O192" s="144"/>
      <c r="P192" s="144"/>
      <c r="Q192" s="144"/>
      <c r="R192" s="144"/>
      <c r="S192" s="144"/>
      <c r="T192" s="144"/>
      <c r="U192" s="144"/>
      <c r="V192" s="144"/>
      <c r="W192" s="144"/>
      <c r="X192" s="144"/>
      <c r="Y192" s="144"/>
      <c r="Z192" s="144"/>
      <c r="AA192" s="144"/>
      <c r="AB192" s="144"/>
      <c r="AC192" s="144"/>
      <c r="AD192" s="144"/>
      <c r="AE192" s="144"/>
      <c r="AF192" s="144"/>
    </row>
    <row r="193" ht="16.5" customHeight="1">
      <c r="A193" s="144"/>
      <c r="B193" s="559"/>
      <c r="C193" s="352"/>
      <c r="D193" s="352"/>
      <c r="E193" s="352"/>
      <c r="F193" s="505"/>
      <c r="G193" s="560"/>
      <c r="H193" s="505"/>
      <c r="I193" s="497"/>
      <c r="J193" s="497"/>
      <c r="K193" s="496"/>
      <c r="L193" s="496"/>
      <c r="M193" s="144"/>
      <c r="N193" s="144"/>
      <c r="O193" s="144"/>
      <c r="P193" s="144"/>
      <c r="Q193" s="144"/>
      <c r="R193" s="144"/>
      <c r="S193" s="144"/>
      <c r="T193" s="144"/>
      <c r="U193" s="144"/>
      <c r="V193" s="144"/>
      <c r="W193" s="144"/>
      <c r="X193" s="144"/>
      <c r="Y193" s="144"/>
      <c r="Z193" s="144"/>
      <c r="AA193" s="144"/>
      <c r="AB193" s="144"/>
      <c r="AC193" s="144"/>
      <c r="AD193" s="144"/>
      <c r="AE193" s="144"/>
      <c r="AF193" s="144"/>
    </row>
    <row r="194" ht="16.5" customHeight="1">
      <c r="A194" s="144"/>
      <c r="B194" s="559"/>
      <c r="C194" s="352"/>
      <c r="D194" s="352"/>
      <c r="E194" s="352"/>
      <c r="F194" s="352"/>
      <c r="G194" s="560"/>
      <c r="H194" s="505"/>
      <c r="I194" s="352"/>
      <c r="J194" s="497"/>
      <c r="K194" s="496"/>
      <c r="L194" s="496"/>
      <c r="M194" s="144"/>
      <c r="N194" s="144"/>
      <c r="O194" s="144"/>
      <c r="P194" s="144"/>
      <c r="Q194" s="144"/>
      <c r="R194" s="144"/>
      <c r="S194" s="144"/>
      <c r="T194" s="144"/>
      <c r="U194" s="144"/>
      <c r="V194" s="144"/>
      <c r="W194" s="144"/>
      <c r="X194" s="144"/>
      <c r="Y194" s="144"/>
      <c r="Z194" s="144"/>
      <c r="AA194" s="144"/>
      <c r="AB194" s="144"/>
      <c r="AC194" s="144"/>
      <c r="AD194" s="144"/>
      <c r="AE194" s="144"/>
      <c r="AF194" s="144"/>
    </row>
    <row r="195" ht="16.5" customHeight="1">
      <c r="A195" s="144"/>
      <c r="B195" s="559"/>
      <c r="C195" s="352"/>
      <c r="D195" s="352"/>
      <c r="E195" s="352"/>
      <c r="F195" s="352"/>
      <c r="G195" s="560"/>
      <c r="H195" s="352"/>
      <c r="I195" s="352"/>
      <c r="J195" s="497"/>
      <c r="K195" s="496"/>
      <c r="L195" s="496"/>
      <c r="M195" s="144"/>
      <c r="N195" s="144"/>
      <c r="O195" s="144"/>
      <c r="P195" s="144"/>
      <c r="Q195" s="144"/>
      <c r="R195" s="144"/>
      <c r="S195" s="144"/>
      <c r="T195" s="144"/>
      <c r="U195" s="144"/>
      <c r="V195" s="144"/>
      <c r="W195" s="144"/>
      <c r="X195" s="144"/>
      <c r="Y195" s="144"/>
      <c r="Z195" s="144"/>
      <c r="AA195" s="144"/>
      <c r="AB195" s="144"/>
      <c r="AC195" s="144"/>
      <c r="AD195" s="144"/>
      <c r="AE195" s="144"/>
      <c r="AF195" s="144"/>
    </row>
    <row r="196" ht="16.5" customHeight="1">
      <c r="A196" s="144"/>
      <c r="B196" s="559"/>
      <c r="C196" s="346"/>
      <c r="D196" s="346"/>
      <c r="E196" s="352"/>
      <c r="F196" s="352"/>
      <c r="G196" s="560"/>
      <c r="H196" s="352"/>
      <c r="I196" s="497"/>
      <c r="J196" s="497"/>
      <c r="K196" s="496"/>
      <c r="L196" s="496"/>
      <c r="M196" s="144"/>
      <c r="N196" s="144"/>
      <c r="O196" s="144"/>
      <c r="P196" s="144"/>
      <c r="Q196" s="144"/>
      <c r="R196" s="144"/>
      <c r="S196" s="144"/>
      <c r="T196" s="144"/>
      <c r="U196" s="144"/>
      <c r="V196" s="144"/>
      <c r="W196" s="144"/>
      <c r="X196" s="144"/>
      <c r="Y196" s="144"/>
      <c r="Z196" s="144"/>
      <c r="AA196" s="144"/>
      <c r="AB196" s="144"/>
      <c r="AC196" s="144"/>
      <c r="AD196" s="144"/>
      <c r="AE196" s="144"/>
      <c r="AF196" s="144"/>
    </row>
    <row r="197" ht="16.5" customHeight="1">
      <c r="A197" s="144"/>
      <c r="B197" s="559"/>
      <c r="C197" s="346"/>
      <c r="D197" s="346"/>
      <c r="E197" s="352"/>
      <c r="F197" s="352"/>
      <c r="G197" s="560"/>
      <c r="H197" s="352"/>
      <c r="I197" s="497"/>
      <c r="J197" s="497"/>
      <c r="K197" s="496"/>
      <c r="L197" s="496"/>
      <c r="M197" s="144"/>
      <c r="N197" s="144"/>
      <c r="O197" s="144"/>
      <c r="P197" s="144"/>
      <c r="Q197" s="144"/>
      <c r="R197" s="144"/>
      <c r="S197" s="144"/>
      <c r="T197" s="144"/>
      <c r="U197" s="144"/>
      <c r="V197" s="144"/>
      <c r="W197" s="144"/>
      <c r="X197" s="144"/>
      <c r="Y197" s="144"/>
      <c r="Z197" s="144"/>
      <c r="AA197" s="144"/>
      <c r="AB197" s="144"/>
      <c r="AC197" s="144"/>
      <c r="AD197" s="144"/>
      <c r="AE197" s="144"/>
      <c r="AF197" s="144"/>
    </row>
    <row r="198" ht="16.5" customHeight="1">
      <c r="A198" s="144"/>
      <c r="B198" s="559"/>
      <c r="C198" s="346"/>
      <c r="D198" s="346"/>
      <c r="E198" s="352"/>
      <c r="F198" s="352"/>
      <c r="G198" s="560"/>
      <c r="H198" s="352"/>
      <c r="I198" s="497"/>
      <c r="J198" s="497"/>
      <c r="K198" s="496"/>
      <c r="L198" s="496"/>
      <c r="M198" s="144"/>
      <c r="N198" s="144"/>
      <c r="O198" s="144"/>
      <c r="P198" s="144"/>
      <c r="Q198" s="144"/>
      <c r="R198" s="144"/>
      <c r="S198" s="144"/>
      <c r="T198" s="144"/>
      <c r="U198" s="144"/>
      <c r="V198" s="144"/>
      <c r="W198" s="144"/>
      <c r="X198" s="144"/>
      <c r="Y198" s="144"/>
      <c r="Z198" s="144"/>
      <c r="AA198" s="144"/>
      <c r="AB198" s="144"/>
      <c r="AC198" s="144"/>
      <c r="AD198" s="144"/>
      <c r="AE198" s="144"/>
      <c r="AF198" s="144"/>
    </row>
    <row r="199" ht="16.5" customHeight="1">
      <c r="A199" s="144"/>
      <c r="B199" s="559"/>
      <c r="C199" s="346"/>
      <c r="D199" s="346"/>
      <c r="E199" s="352"/>
      <c r="F199" s="352"/>
      <c r="G199" s="560"/>
      <c r="H199" s="352"/>
      <c r="I199" s="497"/>
      <c r="J199" s="497"/>
      <c r="K199" s="496"/>
      <c r="L199" s="496"/>
      <c r="M199" s="144"/>
      <c r="N199" s="144"/>
      <c r="O199" s="144"/>
      <c r="P199" s="144"/>
      <c r="Q199" s="144"/>
      <c r="R199" s="144"/>
      <c r="S199" s="144"/>
      <c r="T199" s="144"/>
      <c r="U199" s="144"/>
      <c r="V199" s="144"/>
      <c r="W199" s="144"/>
      <c r="X199" s="144"/>
      <c r="Y199" s="144"/>
      <c r="Z199" s="144"/>
      <c r="AA199" s="144"/>
      <c r="AB199" s="144"/>
      <c r="AC199" s="144"/>
      <c r="AD199" s="144"/>
      <c r="AE199" s="144"/>
      <c r="AF199" s="144"/>
    </row>
    <row r="200" ht="16.5" customHeight="1">
      <c r="A200" s="144"/>
      <c r="B200" s="559"/>
      <c r="C200" s="346"/>
      <c r="D200" s="346"/>
      <c r="E200" s="352"/>
      <c r="F200" s="505"/>
      <c r="G200" s="560"/>
      <c r="H200" s="505"/>
      <c r="I200" s="497"/>
      <c r="J200" s="497"/>
      <c r="K200" s="496"/>
      <c r="L200" s="496"/>
      <c r="M200" s="144"/>
      <c r="N200" s="144"/>
      <c r="O200" s="144"/>
      <c r="P200" s="144"/>
      <c r="Q200" s="144"/>
      <c r="R200" s="144"/>
      <c r="S200" s="144"/>
      <c r="T200" s="144"/>
      <c r="U200" s="144"/>
      <c r="V200" s="144"/>
      <c r="W200" s="144"/>
      <c r="X200" s="144"/>
      <c r="Y200" s="144"/>
      <c r="Z200" s="144"/>
      <c r="AA200" s="144"/>
      <c r="AB200" s="144"/>
      <c r="AC200" s="144"/>
      <c r="AD200" s="144"/>
      <c r="AE200" s="144"/>
      <c r="AF200" s="144"/>
    </row>
    <row r="201" ht="16.5" customHeight="1">
      <c r="A201" s="144"/>
      <c r="B201" s="559"/>
      <c r="C201" s="346"/>
      <c r="D201" s="346"/>
      <c r="E201" s="352"/>
      <c r="F201" s="352"/>
      <c r="G201" s="560"/>
      <c r="H201" s="505"/>
      <c r="I201" s="497"/>
      <c r="J201" s="497"/>
      <c r="K201" s="496"/>
      <c r="L201" s="496"/>
      <c r="M201" s="144"/>
      <c r="N201" s="144"/>
      <c r="O201" s="144"/>
      <c r="P201" s="144"/>
      <c r="Q201" s="144"/>
      <c r="R201" s="144"/>
      <c r="S201" s="144"/>
      <c r="T201" s="144"/>
      <c r="U201" s="144"/>
      <c r="V201" s="144"/>
      <c r="W201" s="144"/>
      <c r="X201" s="144"/>
      <c r="Y201" s="144"/>
      <c r="Z201" s="144"/>
      <c r="AA201" s="144"/>
      <c r="AB201" s="144"/>
      <c r="AC201" s="144"/>
      <c r="AD201" s="144"/>
      <c r="AE201" s="144"/>
      <c r="AF201" s="144"/>
    </row>
    <row r="202" ht="16.5" customHeight="1">
      <c r="A202" s="144"/>
      <c r="B202" s="559"/>
      <c r="C202" s="346"/>
      <c r="D202" s="346"/>
      <c r="E202" s="352"/>
      <c r="F202" s="352"/>
      <c r="G202" s="560"/>
      <c r="H202" s="352"/>
      <c r="I202" s="352"/>
      <c r="J202" s="497"/>
      <c r="K202" s="496"/>
      <c r="L202" s="496"/>
      <c r="M202" s="144"/>
      <c r="N202" s="144"/>
      <c r="O202" s="144"/>
      <c r="P202" s="144"/>
      <c r="Q202" s="144"/>
      <c r="R202" s="144"/>
      <c r="S202" s="144"/>
      <c r="T202" s="144"/>
      <c r="U202" s="144"/>
      <c r="V202" s="144"/>
      <c r="W202" s="144"/>
      <c r="X202" s="144"/>
      <c r="Y202" s="144"/>
      <c r="Z202" s="144"/>
      <c r="AA202" s="144"/>
      <c r="AB202" s="144"/>
      <c r="AC202" s="144"/>
      <c r="AD202" s="144"/>
      <c r="AE202" s="144"/>
      <c r="AF202" s="144"/>
    </row>
    <row r="203" ht="16.5" customHeight="1">
      <c r="A203" s="144"/>
      <c r="B203" s="559"/>
      <c r="C203" s="346"/>
      <c r="D203" s="346"/>
      <c r="E203" s="352"/>
      <c r="F203" s="352"/>
      <c r="G203" s="560"/>
      <c r="H203" s="352"/>
      <c r="I203" s="352"/>
      <c r="J203" s="497"/>
      <c r="K203" s="496"/>
      <c r="L203" s="496"/>
      <c r="M203" s="144"/>
      <c r="N203" s="144"/>
      <c r="O203" s="144"/>
      <c r="P203" s="144"/>
      <c r="Q203" s="144"/>
      <c r="R203" s="144"/>
      <c r="S203" s="144"/>
      <c r="T203" s="144"/>
      <c r="U203" s="144"/>
      <c r="V203" s="144"/>
      <c r="W203" s="144"/>
      <c r="X203" s="144"/>
      <c r="Y203" s="144"/>
      <c r="Z203" s="144"/>
      <c r="AA203" s="144"/>
      <c r="AB203" s="144"/>
      <c r="AC203" s="144"/>
      <c r="AD203" s="144"/>
      <c r="AE203" s="144"/>
      <c r="AF203" s="144"/>
    </row>
    <row r="204" ht="16.5" customHeight="1">
      <c r="A204" s="144"/>
      <c r="B204" s="559"/>
      <c r="C204" s="346"/>
      <c r="D204" s="346"/>
      <c r="E204" s="352"/>
      <c r="F204" s="352"/>
      <c r="G204" s="560"/>
      <c r="H204" s="352"/>
      <c r="I204" s="497"/>
      <c r="J204" s="497"/>
      <c r="K204" s="496"/>
      <c r="L204" s="496"/>
      <c r="M204" s="144"/>
      <c r="N204" s="144"/>
      <c r="O204" s="144"/>
      <c r="P204" s="144"/>
      <c r="Q204" s="144"/>
      <c r="R204" s="144"/>
      <c r="S204" s="144"/>
      <c r="T204" s="144"/>
      <c r="U204" s="144"/>
      <c r="V204" s="144"/>
      <c r="W204" s="144"/>
      <c r="X204" s="144"/>
      <c r="Y204" s="144"/>
      <c r="Z204" s="144"/>
      <c r="AA204" s="144"/>
      <c r="AB204" s="144"/>
      <c r="AC204" s="144"/>
      <c r="AD204" s="144"/>
      <c r="AE204" s="144"/>
      <c r="AF204" s="144"/>
    </row>
    <row r="205" ht="16.5" customHeight="1">
      <c r="A205" s="144"/>
      <c r="B205" s="559"/>
      <c r="C205" s="346"/>
      <c r="D205" s="346"/>
      <c r="E205" s="352"/>
      <c r="F205" s="352"/>
      <c r="G205" s="560"/>
      <c r="H205" s="352"/>
      <c r="I205" s="497"/>
      <c r="J205" s="497"/>
      <c r="K205" s="496"/>
      <c r="L205" s="496"/>
      <c r="M205" s="144"/>
      <c r="N205" s="144"/>
      <c r="O205" s="144"/>
      <c r="P205" s="144"/>
      <c r="Q205" s="144"/>
      <c r="R205" s="144"/>
      <c r="S205" s="144"/>
      <c r="T205" s="144"/>
      <c r="U205" s="144"/>
      <c r="V205" s="144"/>
      <c r="W205" s="144"/>
      <c r="X205" s="144"/>
      <c r="Y205" s="144"/>
      <c r="Z205" s="144"/>
      <c r="AA205" s="144"/>
      <c r="AB205" s="144"/>
      <c r="AC205" s="144"/>
      <c r="AD205" s="144"/>
      <c r="AE205" s="144"/>
      <c r="AF205" s="144"/>
    </row>
    <row r="206" ht="16.5" customHeight="1">
      <c r="A206" s="144"/>
      <c r="B206" s="559"/>
      <c r="C206" s="346"/>
      <c r="D206" s="346"/>
      <c r="E206" s="352"/>
      <c r="F206" s="352"/>
      <c r="G206" s="560"/>
      <c r="H206" s="352"/>
      <c r="I206" s="497"/>
      <c r="J206" s="497"/>
      <c r="K206" s="496"/>
      <c r="L206" s="496"/>
      <c r="M206" s="144"/>
      <c r="N206" s="144"/>
      <c r="O206" s="144"/>
      <c r="P206" s="144"/>
      <c r="Q206" s="144"/>
      <c r="R206" s="144"/>
      <c r="S206" s="144"/>
      <c r="T206" s="144"/>
      <c r="U206" s="144"/>
      <c r="V206" s="144"/>
      <c r="W206" s="144"/>
      <c r="X206" s="144"/>
      <c r="Y206" s="144"/>
      <c r="Z206" s="144"/>
      <c r="AA206" s="144"/>
      <c r="AB206" s="144"/>
      <c r="AC206" s="144"/>
      <c r="AD206" s="144"/>
      <c r="AE206" s="144"/>
      <c r="AF206" s="144"/>
    </row>
    <row r="207" ht="16.5" customHeight="1">
      <c r="A207" s="144"/>
      <c r="B207" s="559"/>
      <c r="C207" s="346"/>
      <c r="D207" s="346"/>
      <c r="E207" s="352"/>
      <c r="F207" s="352"/>
      <c r="G207" s="560"/>
      <c r="H207" s="352"/>
      <c r="I207" s="497"/>
      <c r="J207" s="497"/>
      <c r="K207" s="496"/>
      <c r="L207" s="496"/>
      <c r="M207" s="144"/>
      <c r="N207" s="144"/>
      <c r="O207" s="144"/>
      <c r="P207" s="144"/>
      <c r="Q207" s="144"/>
      <c r="R207" s="144"/>
      <c r="S207" s="144"/>
      <c r="T207" s="144"/>
      <c r="U207" s="144"/>
      <c r="V207" s="144"/>
      <c r="W207" s="144"/>
      <c r="X207" s="144"/>
      <c r="Y207" s="144"/>
      <c r="Z207" s="144"/>
      <c r="AA207" s="144"/>
      <c r="AB207" s="144"/>
      <c r="AC207" s="144"/>
      <c r="AD207" s="144"/>
      <c r="AE207" s="144"/>
      <c r="AF207" s="144"/>
    </row>
    <row r="208" ht="16.5" customHeight="1">
      <c r="A208" s="144"/>
      <c r="B208" s="559"/>
      <c r="C208" s="346"/>
      <c r="D208" s="346"/>
      <c r="E208" s="352"/>
      <c r="F208" s="505"/>
      <c r="G208" s="560"/>
      <c r="H208" s="505"/>
      <c r="I208" s="497"/>
      <c r="J208" s="497"/>
      <c r="K208" s="496"/>
      <c r="L208" s="496"/>
      <c r="M208" s="144"/>
      <c r="N208" s="144"/>
      <c r="O208" s="144"/>
      <c r="P208" s="144"/>
      <c r="Q208" s="144"/>
      <c r="R208" s="144"/>
      <c r="S208" s="144"/>
      <c r="T208" s="144"/>
      <c r="U208" s="144"/>
      <c r="V208" s="144"/>
      <c r="W208" s="144"/>
      <c r="X208" s="144"/>
      <c r="Y208" s="144"/>
      <c r="Z208" s="144"/>
      <c r="AA208" s="144"/>
      <c r="AB208" s="144"/>
      <c r="AC208" s="144"/>
      <c r="AD208" s="144"/>
      <c r="AE208" s="144"/>
      <c r="AF208" s="144"/>
    </row>
    <row r="209" ht="16.5" customHeight="1">
      <c r="A209" s="144"/>
      <c r="B209" s="559"/>
      <c r="C209" s="346"/>
      <c r="D209" s="346"/>
      <c r="E209" s="352"/>
      <c r="F209" s="352"/>
      <c r="G209" s="560"/>
      <c r="H209" s="505"/>
      <c r="I209" s="497"/>
      <c r="J209" s="497"/>
      <c r="K209" s="496"/>
      <c r="L209" s="496"/>
      <c r="M209" s="144"/>
      <c r="N209" s="144"/>
      <c r="O209" s="144"/>
      <c r="P209" s="144"/>
      <c r="Q209" s="144"/>
      <c r="R209" s="144"/>
      <c r="S209" s="144"/>
      <c r="T209" s="144"/>
      <c r="U209" s="144"/>
      <c r="V209" s="144"/>
      <c r="W209" s="144"/>
      <c r="X209" s="144"/>
      <c r="Y209" s="144"/>
      <c r="Z209" s="144"/>
      <c r="AA209" s="144"/>
      <c r="AB209" s="144"/>
      <c r="AC209" s="144"/>
      <c r="AD209" s="144"/>
      <c r="AE209" s="144"/>
      <c r="AF209" s="144"/>
    </row>
    <row r="210" ht="16.5" customHeight="1">
      <c r="A210" s="144"/>
      <c r="B210" s="559"/>
      <c r="C210" s="346"/>
      <c r="D210" s="346"/>
      <c r="E210" s="352"/>
      <c r="F210" s="352"/>
      <c r="G210" s="560"/>
      <c r="H210" s="352"/>
      <c r="I210" s="352"/>
      <c r="J210" s="497"/>
      <c r="K210" s="496"/>
      <c r="L210" s="496"/>
      <c r="M210" s="144"/>
      <c r="N210" s="144"/>
      <c r="O210" s="144"/>
      <c r="P210" s="144"/>
      <c r="Q210" s="144"/>
      <c r="R210" s="144"/>
      <c r="S210" s="144"/>
      <c r="T210" s="144"/>
      <c r="U210" s="144"/>
      <c r="V210" s="144"/>
      <c r="W210" s="144"/>
      <c r="X210" s="144"/>
      <c r="Y210" s="144"/>
      <c r="Z210" s="144"/>
      <c r="AA210" s="144"/>
      <c r="AB210" s="144"/>
      <c r="AC210" s="144"/>
      <c r="AD210" s="144"/>
      <c r="AE210" s="144"/>
      <c r="AF210" s="144"/>
    </row>
    <row r="211" ht="16.5" customHeight="1">
      <c r="A211" s="144"/>
      <c r="B211" s="559"/>
      <c r="C211" s="346"/>
      <c r="D211" s="346"/>
      <c r="E211" s="352"/>
      <c r="F211" s="352"/>
      <c r="G211" s="560"/>
      <c r="H211" s="352"/>
      <c r="I211" s="352"/>
      <c r="J211" s="497"/>
      <c r="K211" s="496"/>
      <c r="L211" s="496"/>
      <c r="M211" s="144"/>
      <c r="N211" s="144"/>
      <c r="O211" s="144"/>
      <c r="P211" s="144"/>
      <c r="Q211" s="144"/>
      <c r="R211" s="144"/>
      <c r="S211" s="144"/>
      <c r="T211" s="144"/>
      <c r="U211" s="144"/>
      <c r="V211" s="144"/>
      <c r="W211" s="144"/>
      <c r="X211" s="144"/>
      <c r="Y211" s="144"/>
      <c r="Z211" s="144"/>
      <c r="AA211" s="144"/>
      <c r="AB211" s="144"/>
      <c r="AC211" s="144"/>
      <c r="AD211" s="144"/>
      <c r="AE211" s="144"/>
      <c r="AF211" s="144"/>
    </row>
    <row r="212" ht="16.5" customHeight="1">
      <c r="A212" s="144"/>
      <c r="B212" s="559"/>
      <c r="C212" s="346"/>
      <c r="D212" s="346"/>
      <c r="E212" s="352"/>
      <c r="F212" s="352"/>
      <c r="G212" s="560"/>
      <c r="H212" s="352"/>
      <c r="I212" s="497"/>
      <c r="J212" s="497"/>
      <c r="K212" s="496"/>
      <c r="L212" s="496"/>
      <c r="M212" s="144"/>
      <c r="N212" s="144"/>
      <c r="O212" s="144"/>
      <c r="P212" s="144"/>
      <c r="Q212" s="144"/>
      <c r="R212" s="144"/>
      <c r="S212" s="144"/>
      <c r="T212" s="144"/>
      <c r="U212" s="144"/>
      <c r="V212" s="144"/>
      <c r="W212" s="144"/>
      <c r="X212" s="144"/>
      <c r="Y212" s="144"/>
      <c r="Z212" s="144"/>
      <c r="AA212" s="144"/>
      <c r="AB212" s="144"/>
      <c r="AC212" s="144"/>
      <c r="AD212" s="144"/>
      <c r="AE212" s="144"/>
      <c r="AF212" s="144"/>
    </row>
    <row r="213" ht="16.5" customHeight="1">
      <c r="A213" s="144"/>
      <c r="B213" s="559"/>
      <c r="C213" s="346"/>
      <c r="D213" s="346"/>
      <c r="E213" s="352"/>
      <c r="F213" s="352"/>
      <c r="G213" s="560"/>
      <c r="H213" s="352"/>
      <c r="I213" s="497"/>
      <c r="J213" s="497"/>
      <c r="K213" s="496"/>
      <c r="L213" s="496"/>
      <c r="M213" s="144"/>
      <c r="N213" s="144"/>
      <c r="O213" s="144"/>
      <c r="P213" s="144"/>
      <c r="Q213" s="144"/>
      <c r="R213" s="144"/>
      <c r="S213" s="144"/>
      <c r="T213" s="144"/>
      <c r="U213" s="144"/>
      <c r="V213" s="144"/>
      <c r="W213" s="144"/>
      <c r="X213" s="144"/>
      <c r="Y213" s="144"/>
      <c r="Z213" s="144"/>
      <c r="AA213" s="144"/>
      <c r="AB213" s="144"/>
      <c r="AC213" s="144"/>
      <c r="AD213" s="144"/>
      <c r="AE213" s="144"/>
      <c r="AF213" s="144"/>
    </row>
    <row r="214" ht="16.5" customHeight="1">
      <c r="A214" s="144"/>
      <c r="B214" s="559"/>
      <c r="C214" s="346"/>
      <c r="D214" s="346"/>
      <c r="E214" s="352"/>
      <c r="F214" s="352"/>
      <c r="G214" s="560"/>
      <c r="H214" s="352"/>
      <c r="I214" s="497"/>
      <c r="J214" s="497"/>
      <c r="K214" s="496"/>
      <c r="L214" s="496"/>
      <c r="M214" s="144"/>
      <c r="N214" s="144"/>
      <c r="O214" s="144"/>
      <c r="P214" s="144"/>
      <c r="Q214" s="144"/>
      <c r="R214" s="144"/>
      <c r="S214" s="144"/>
      <c r="T214" s="144"/>
      <c r="U214" s="144"/>
      <c r="V214" s="144"/>
      <c r="W214" s="144"/>
      <c r="X214" s="144"/>
      <c r="Y214" s="144"/>
      <c r="Z214" s="144"/>
      <c r="AA214" s="144"/>
      <c r="AB214" s="144"/>
      <c r="AC214" s="144"/>
      <c r="AD214" s="144"/>
      <c r="AE214" s="144"/>
      <c r="AF214" s="144"/>
    </row>
    <row r="215" ht="16.5" customHeight="1">
      <c r="A215" s="144"/>
      <c r="B215" s="559"/>
      <c r="C215" s="346"/>
      <c r="D215" s="346"/>
      <c r="E215" s="352"/>
      <c r="F215" s="352"/>
      <c r="G215" s="560"/>
      <c r="H215" s="352"/>
      <c r="I215" s="497"/>
      <c r="J215" s="497"/>
      <c r="K215" s="496"/>
      <c r="L215" s="496"/>
      <c r="M215" s="144"/>
      <c r="N215" s="144"/>
      <c r="O215" s="144"/>
      <c r="P215" s="144"/>
      <c r="Q215" s="144"/>
      <c r="R215" s="144"/>
      <c r="S215" s="144"/>
      <c r="T215" s="144"/>
      <c r="U215" s="144"/>
      <c r="V215" s="144"/>
      <c r="W215" s="144"/>
      <c r="X215" s="144"/>
      <c r="Y215" s="144"/>
      <c r="Z215" s="144"/>
      <c r="AA215" s="144"/>
      <c r="AB215" s="144"/>
      <c r="AC215" s="144"/>
      <c r="AD215" s="144"/>
      <c r="AE215" s="144"/>
      <c r="AF215" s="144"/>
    </row>
    <row r="216" ht="16.5" customHeight="1">
      <c r="A216" s="144"/>
      <c r="B216" s="559"/>
      <c r="C216" s="346"/>
      <c r="D216" s="346"/>
      <c r="E216" s="352"/>
      <c r="F216" s="505"/>
      <c r="G216" s="560"/>
      <c r="H216" s="505"/>
      <c r="I216" s="497"/>
      <c r="J216" s="497"/>
      <c r="K216" s="496"/>
      <c r="L216" s="496"/>
      <c r="M216" s="144"/>
      <c r="N216" s="144"/>
      <c r="O216" s="144"/>
      <c r="P216" s="144"/>
      <c r="Q216" s="144"/>
      <c r="R216" s="144"/>
      <c r="S216" s="144"/>
      <c r="T216" s="144"/>
      <c r="U216" s="144"/>
      <c r="V216" s="144"/>
      <c r="W216" s="144"/>
      <c r="X216" s="144"/>
      <c r="Y216" s="144"/>
      <c r="Z216" s="144"/>
      <c r="AA216" s="144"/>
      <c r="AB216" s="144"/>
      <c r="AC216" s="144"/>
      <c r="AD216" s="144"/>
      <c r="AE216" s="144"/>
      <c r="AF216" s="144"/>
    </row>
    <row r="217" ht="16.5" customHeight="1">
      <c r="A217" s="144"/>
      <c r="B217" s="559"/>
      <c r="C217" s="346"/>
      <c r="D217" s="346"/>
      <c r="E217" s="352"/>
      <c r="F217" s="352"/>
      <c r="G217" s="560"/>
      <c r="H217" s="505"/>
      <c r="I217" s="497"/>
      <c r="J217" s="497"/>
      <c r="K217" s="496"/>
      <c r="L217" s="496"/>
      <c r="M217" s="144"/>
      <c r="N217" s="144"/>
      <c r="O217" s="144"/>
      <c r="P217" s="144"/>
      <c r="Q217" s="144"/>
      <c r="R217" s="144"/>
      <c r="S217" s="144"/>
      <c r="T217" s="144"/>
      <c r="U217" s="144"/>
      <c r="V217" s="144"/>
      <c r="W217" s="144"/>
      <c r="X217" s="144"/>
      <c r="Y217" s="144"/>
      <c r="Z217" s="144"/>
      <c r="AA217" s="144"/>
      <c r="AB217" s="144"/>
      <c r="AC217" s="144"/>
      <c r="AD217" s="144"/>
      <c r="AE217" s="144"/>
      <c r="AF217" s="144"/>
    </row>
    <row r="218" ht="16.5" customHeight="1">
      <c r="A218" s="144"/>
      <c r="B218" s="559"/>
      <c r="C218" s="346"/>
      <c r="D218" s="346"/>
      <c r="E218" s="352"/>
      <c r="F218" s="352"/>
      <c r="G218" s="560"/>
      <c r="H218" s="352"/>
      <c r="I218" s="497"/>
      <c r="J218" s="497"/>
      <c r="K218" s="496"/>
      <c r="L218" s="496"/>
      <c r="M218" s="144"/>
      <c r="N218" s="144"/>
      <c r="O218" s="144"/>
      <c r="P218" s="144"/>
      <c r="Q218" s="144"/>
      <c r="R218" s="144"/>
      <c r="S218" s="144"/>
      <c r="T218" s="144"/>
      <c r="U218" s="144"/>
      <c r="V218" s="144"/>
      <c r="W218" s="144"/>
      <c r="X218" s="144"/>
      <c r="Y218" s="144"/>
      <c r="Z218" s="144"/>
      <c r="AA218" s="144"/>
      <c r="AB218" s="144"/>
      <c r="AC218" s="144"/>
      <c r="AD218" s="144"/>
      <c r="AE218" s="144"/>
      <c r="AF218" s="144"/>
    </row>
    <row r="219" ht="16.5" customHeight="1">
      <c r="A219" s="144"/>
      <c r="B219" s="559"/>
      <c r="C219" s="346"/>
      <c r="D219" s="346"/>
      <c r="E219" s="352"/>
      <c r="F219" s="352"/>
      <c r="G219" s="560"/>
      <c r="H219" s="352"/>
      <c r="I219" s="497"/>
      <c r="J219" s="497"/>
      <c r="K219" s="496"/>
      <c r="L219" s="496"/>
      <c r="M219" s="144"/>
      <c r="N219" s="144"/>
      <c r="O219" s="144"/>
      <c r="P219" s="144"/>
      <c r="Q219" s="144"/>
      <c r="R219" s="144"/>
      <c r="S219" s="144"/>
      <c r="T219" s="144"/>
      <c r="U219" s="144"/>
      <c r="V219" s="144"/>
      <c r="W219" s="144"/>
      <c r="X219" s="144"/>
      <c r="Y219" s="144"/>
      <c r="Z219" s="144"/>
      <c r="AA219" s="144"/>
      <c r="AB219" s="144"/>
      <c r="AC219" s="144"/>
      <c r="AD219" s="144"/>
      <c r="AE219" s="144"/>
      <c r="AF219" s="144"/>
    </row>
    <row r="220" ht="16.5" customHeight="1">
      <c r="A220" s="144"/>
      <c r="B220" s="559"/>
      <c r="C220" s="346"/>
      <c r="D220" s="346"/>
      <c r="E220" s="352"/>
      <c r="F220" s="352"/>
      <c r="G220" s="560"/>
      <c r="H220" s="352"/>
      <c r="I220" s="497"/>
      <c r="J220" s="497"/>
      <c r="K220" s="496"/>
      <c r="L220" s="496"/>
      <c r="M220" s="144"/>
      <c r="N220" s="144"/>
      <c r="O220" s="144"/>
      <c r="P220" s="144"/>
      <c r="Q220" s="144"/>
      <c r="R220" s="144"/>
      <c r="S220" s="144"/>
      <c r="T220" s="144"/>
      <c r="U220" s="144"/>
      <c r="V220" s="144"/>
      <c r="W220" s="144"/>
      <c r="X220" s="144"/>
      <c r="Y220" s="144"/>
      <c r="Z220" s="144"/>
      <c r="AA220" s="144"/>
      <c r="AB220" s="144"/>
      <c r="AC220" s="144"/>
      <c r="AD220" s="144"/>
      <c r="AE220" s="144"/>
      <c r="AF220" s="144"/>
    </row>
    <row r="221" ht="16.5" customHeight="1">
      <c r="A221" s="144"/>
      <c r="B221" s="559"/>
      <c r="C221" s="346"/>
      <c r="D221" s="346"/>
      <c r="E221" s="352"/>
      <c r="F221" s="352"/>
      <c r="G221" s="560"/>
      <c r="H221" s="352"/>
      <c r="I221" s="497"/>
      <c r="J221" s="497"/>
      <c r="K221" s="496"/>
      <c r="L221" s="496"/>
      <c r="M221" s="144"/>
      <c r="N221" s="144"/>
      <c r="O221" s="144"/>
      <c r="P221" s="144"/>
      <c r="Q221" s="144"/>
      <c r="R221" s="144"/>
      <c r="S221" s="144"/>
      <c r="T221" s="144"/>
      <c r="U221" s="144"/>
      <c r="V221" s="144"/>
      <c r="W221" s="144"/>
      <c r="X221" s="144"/>
      <c r="Y221" s="144"/>
      <c r="Z221" s="144"/>
      <c r="AA221" s="144"/>
      <c r="AB221" s="144"/>
      <c r="AC221" s="144"/>
      <c r="AD221" s="144"/>
      <c r="AE221" s="144"/>
      <c r="AF221" s="144"/>
    </row>
    <row r="222" ht="16.5" customHeight="1">
      <c r="A222" s="144"/>
      <c r="B222" s="559"/>
      <c r="C222" s="346"/>
      <c r="D222" s="346"/>
      <c r="E222" s="352"/>
      <c r="F222" s="352"/>
      <c r="G222" s="560"/>
      <c r="H222" s="352"/>
      <c r="I222" s="497"/>
      <c r="J222" s="497"/>
      <c r="K222" s="496"/>
      <c r="L222" s="496"/>
      <c r="M222" s="144"/>
      <c r="N222" s="144"/>
      <c r="O222" s="144"/>
      <c r="P222" s="144"/>
      <c r="Q222" s="144"/>
      <c r="R222" s="144"/>
      <c r="S222" s="144"/>
      <c r="T222" s="144"/>
      <c r="U222" s="144"/>
      <c r="V222" s="144"/>
      <c r="W222" s="144"/>
      <c r="X222" s="144"/>
      <c r="Y222" s="144"/>
      <c r="Z222" s="144"/>
      <c r="AA222" s="144"/>
      <c r="AB222" s="144"/>
      <c r="AC222" s="144"/>
      <c r="AD222" s="144"/>
      <c r="AE222" s="144"/>
      <c r="AF222" s="144"/>
    </row>
    <row r="223" ht="16.5" customHeight="1">
      <c r="A223" s="144"/>
      <c r="B223" s="559"/>
      <c r="C223" s="346"/>
      <c r="D223" s="346"/>
      <c r="E223" s="352"/>
      <c r="F223" s="352"/>
      <c r="G223" s="560"/>
      <c r="H223" s="352"/>
      <c r="I223" s="497"/>
      <c r="J223" s="497"/>
      <c r="K223" s="496"/>
      <c r="L223" s="496"/>
      <c r="M223" s="144"/>
      <c r="N223" s="144"/>
      <c r="O223" s="144"/>
      <c r="P223" s="144"/>
      <c r="Q223" s="144"/>
      <c r="R223" s="144"/>
      <c r="S223" s="144"/>
      <c r="T223" s="144"/>
      <c r="U223" s="144"/>
      <c r="V223" s="144"/>
      <c r="W223" s="144"/>
      <c r="X223" s="144"/>
      <c r="Y223" s="144"/>
      <c r="Z223" s="144"/>
      <c r="AA223" s="144"/>
      <c r="AB223" s="144"/>
      <c r="AC223" s="144"/>
      <c r="AD223" s="144"/>
      <c r="AE223" s="144"/>
      <c r="AF223" s="144"/>
    </row>
    <row r="224" ht="16.5" customHeight="1">
      <c r="A224" s="144"/>
      <c r="B224" s="559"/>
      <c r="C224" s="346"/>
      <c r="D224" s="346"/>
      <c r="E224" s="352"/>
      <c r="F224" s="352"/>
      <c r="G224" s="560"/>
      <c r="H224" s="352"/>
      <c r="I224" s="497"/>
      <c r="J224" s="497"/>
      <c r="K224" s="496"/>
      <c r="L224" s="496"/>
      <c r="M224" s="144"/>
      <c r="N224" s="144"/>
      <c r="O224" s="144"/>
      <c r="P224" s="144"/>
      <c r="Q224" s="144"/>
      <c r="R224" s="144"/>
      <c r="S224" s="144"/>
      <c r="T224" s="144"/>
      <c r="U224" s="144"/>
      <c r="V224" s="144"/>
      <c r="W224" s="144"/>
      <c r="X224" s="144"/>
      <c r="Y224" s="144"/>
      <c r="Z224" s="144"/>
      <c r="AA224" s="144"/>
      <c r="AB224" s="144"/>
      <c r="AC224" s="144"/>
      <c r="AD224" s="144"/>
      <c r="AE224" s="144"/>
      <c r="AF224" s="144"/>
    </row>
    <row r="225" ht="16.5" customHeight="1">
      <c r="A225" s="144"/>
      <c r="B225" s="559"/>
      <c r="C225" s="346"/>
      <c r="D225" s="346"/>
      <c r="E225" s="352"/>
      <c r="F225" s="505"/>
      <c r="G225" s="560"/>
      <c r="H225" s="505"/>
      <c r="I225" s="352"/>
      <c r="J225" s="497"/>
      <c r="K225" s="496"/>
      <c r="L225" s="496"/>
      <c r="M225" s="144"/>
      <c r="N225" s="144"/>
      <c r="O225" s="144"/>
      <c r="P225" s="144"/>
      <c r="Q225" s="144"/>
      <c r="R225" s="144"/>
      <c r="S225" s="144"/>
      <c r="T225" s="144"/>
      <c r="U225" s="144"/>
      <c r="V225" s="144"/>
      <c r="W225" s="144"/>
      <c r="X225" s="144"/>
      <c r="Y225" s="144"/>
      <c r="Z225" s="144"/>
      <c r="AA225" s="144"/>
      <c r="AB225" s="144"/>
      <c r="AC225" s="144"/>
      <c r="AD225" s="144"/>
      <c r="AE225" s="144"/>
      <c r="AF225" s="144"/>
    </row>
    <row r="226" ht="16.5" customHeight="1">
      <c r="A226" s="144"/>
      <c r="B226" s="559"/>
      <c r="C226" s="346"/>
      <c r="D226" s="346"/>
      <c r="E226" s="352"/>
      <c r="F226" s="352"/>
      <c r="G226" s="560"/>
      <c r="H226" s="505"/>
      <c r="I226" s="352"/>
      <c r="J226" s="497"/>
      <c r="K226" s="496"/>
      <c r="L226" s="496"/>
      <c r="M226" s="144"/>
      <c r="N226" s="144"/>
      <c r="O226" s="144"/>
      <c r="P226" s="144"/>
      <c r="Q226" s="144"/>
      <c r="R226" s="144"/>
      <c r="S226" s="144"/>
      <c r="T226" s="144"/>
      <c r="U226" s="144"/>
      <c r="V226" s="144"/>
      <c r="W226" s="144"/>
      <c r="X226" s="144"/>
      <c r="Y226" s="144"/>
      <c r="Z226" s="144"/>
      <c r="AA226" s="144"/>
      <c r="AB226" s="144"/>
      <c r="AC226" s="144"/>
      <c r="AD226" s="144"/>
      <c r="AE226" s="144"/>
      <c r="AF226" s="144"/>
    </row>
    <row r="227" ht="16.5" customHeight="1">
      <c r="A227" s="144"/>
      <c r="B227" s="559"/>
      <c r="C227" s="346"/>
      <c r="D227" s="346"/>
      <c r="E227" s="352"/>
      <c r="F227" s="565"/>
      <c r="G227" s="560"/>
      <c r="H227" s="565"/>
      <c r="I227" s="497"/>
      <c r="J227" s="497"/>
      <c r="K227" s="496"/>
      <c r="L227" s="496"/>
      <c r="M227" s="144"/>
      <c r="N227" s="144"/>
      <c r="O227" s="144"/>
      <c r="P227" s="144"/>
      <c r="Q227" s="144"/>
      <c r="R227" s="144"/>
      <c r="S227" s="144"/>
      <c r="T227" s="144"/>
      <c r="U227" s="144"/>
      <c r="V227" s="144"/>
      <c r="W227" s="144"/>
      <c r="X227" s="144"/>
      <c r="Y227" s="144"/>
      <c r="Z227" s="144"/>
      <c r="AA227" s="144"/>
      <c r="AB227" s="144"/>
      <c r="AC227" s="144"/>
      <c r="AD227" s="144"/>
      <c r="AE227" s="144"/>
      <c r="AF227" s="144"/>
    </row>
    <row r="228" ht="16.5" customHeight="1">
      <c r="A228" s="144"/>
      <c r="B228" s="559"/>
      <c r="C228" s="346"/>
      <c r="D228" s="346"/>
      <c r="E228" s="352"/>
      <c r="F228" s="352"/>
      <c r="G228" s="560"/>
      <c r="H228" s="352"/>
      <c r="I228" s="497"/>
      <c r="J228" s="497"/>
      <c r="K228" s="496"/>
      <c r="L228" s="496"/>
      <c r="M228" s="144"/>
      <c r="N228" s="144"/>
      <c r="O228" s="144"/>
      <c r="P228" s="144"/>
      <c r="Q228" s="144"/>
      <c r="R228" s="144"/>
      <c r="S228" s="144"/>
      <c r="T228" s="144"/>
      <c r="U228" s="144"/>
      <c r="V228" s="144"/>
      <c r="W228" s="144"/>
      <c r="X228" s="144"/>
      <c r="Y228" s="144"/>
      <c r="Z228" s="144"/>
      <c r="AA228" s="144"/>
      <c r="AB228" s="144"/>
      <c r="AC228" s="144"/>
      <c r="AD228" s="144"/>
      <c r="AE228" s="144"/>
      <c r="AF228" s="144"/>
    </row>
    <row r="229" ht="16.5" customHeight="1">
      <c r="A229" s="144"/>
      <c r="B229" s="559"/>
      <c r="C229" s="352"/>
      <c r="D229" s="352"/>
      <c r="E229" s="352"/>
      <c r="F229" s="352"/>
      <c r="G229" s="560"/>
      <c r="H229" s="352"/>
      <c r="I229" s="497"/>
      <c r="J229" s="497"/>
      <c r="K229" s="496"/>
      <c r="L229" s="496"/>
      <c r="M229" s="144"/>
      <c r="N229" s="144"/>
      <c r="O229" s="144"/>
      <c r="P229" s="144"/>
      <c r="Q229" s="144"/>
      <c r="R229" s="144"/>
      <c r="S229" s="144"/>
      <c r="T229" s="144"/>
      <c r="U229" s="144"/>
      <c r="V229" s="144"/>
      <c r="W229" s="144"/>
      <c r="X229" s="144"/>
      <c r="Y229" s="144"/>
      <c r="Z229" s="144"/>
      <c r="AA229" s="144"/>
      <c r="AB229" s="144"/>
      <c r="AC229" s="144"/>
      <c r="AD229" s="144"/>
      <c r="AE229" s="144"/>
      <c r="AF229" s="144"/>
    </row>
    <row r="230" ht="16.5" customHeight="1">
      <c r="A230" s="144"/>
      <c r="B230" s="559"/>
      <c r="C230" s="352"/>
      <c r="D230" s="352"/>
      <c r="E230" s="352"/>
      <c r="F230" s="352"/>
      <c r="G230" s="560"/>
      <c r="H230" s="352"/>
      <c r="I230" s="497"/>
      <c r="J230" s="497"/>
      <c r="K230" s="496"/>
      <c r="L230" s="496"/>
      <c r="M230" s="144"/>
      <c r="N230" s="144"/>
      <c r="O230" s="144"/>
      <c r="P230" s="144"/>
      <c r="Q230" s="144"/>
      <c r="R230" s="144"/>
      <c r="S230" s="144"/>
      <c r="T230" s="144"/>
      <c r="U230" s="144"/>
      <c r="V230" s="144"/>
      <c r="W230" s="144"/>
      <c r="X230" s="144"/>
      <c r="Y230" s="144"/>
      <c r="Z230" s="144"/>
      <c r="AA230" s="144"/>
      <c r="AB230" s="144"/>
      <c r="AC230" s="144"/>
      <c r="AD230" s="144"/>
      <c r="AE230" s="144"/>
      <c r="AF230" s="144"/>
    </row>
    <row r="231" ht="16.5" customHeight="1">
      <c r="A231" s="144"/>
      <c r="B231" s="559"/>
      <c r="C231" s="352"/>
      <c r="D231" s="352"/>
      <c r="E231" s="352"/>
      <c r="F231" s="352"/>
      <c r="G231" s="560"/>
      <c r="H231" s="352"/>
      <c r="I231" s="497"/>
      <c r="J231" s="497"/>
      <c r="K231" s="496"/>
      <c r="L231" s="496"/>
      <c r="M231" s="144"/>
      <c r="N231" s="144"/>
      <c r="O231" s="144"/>
      <c r="P231" s="144"/>
      <c r="Q231" s="144"/>
      <c r="R231" s="144"/>
      <c r="S231" s="144"/>
      <c r="T231" s="144"/>
      <c r="U231" s="144"/>
      <c r="V231" s="144"/>
      <c r="W231" s="144"/>
      <c r="X231" s="144"/>
      <c r="Y231" s="144"/>
      <c r="Z231" s="144"/>
      <c r="AA231" s="144"/>
      <c r="AB231" s="144"/>
      <c r="AC231" s="144"/>
      <c r="AD231" s="144"/>
      <c r="AE231" s="144"/>
      <c r="AF231" s="144"/>
    </row>
    <row r="232" ht="16.5" customHeight="1">
      <c r="A232" s="144"/>
      <c r="B232" s="559"/>
      <c r="C232" s="352"/>
      <c r="D232" s="352"/>
      <c r="E232" s="352"/>
      <c r="F232" s="352"/>
      <c r="G232" s="560"/>
      <c r="H232" s="352"/>
      <c r="I232" s="352"/>
      <c r="J232" s="497"/>
      <c r="K232" s="496"/>
      <c r="L232" s="496"/>
      <c r="M232" s="144"/>
      <c r="N232" s="144"/>
      <c r="O232" s="144"/>
      <c r="P232" s="144"/>
      <c r="Q232" s="144"/>
      <c r="R232" s="144"/>
      <c r="S232" s="144"/>
      <c r="T232" s="144"/>
      <c r="U232" s="144"/>
      <c r="V232" s="144"/>
      <c r="W232" s="144"/>
      <c r="X232" s="144"/>
      <c r="Y232" s="144"/>
      <c r="Z232" s="144"/>
      <c r="AA232" s="144"/>
      <c r="AB232" s="144"/>
      <c r="AC232" s="144"/>
      <c r="AD232" s="144"/>
      <c r="AE232" s="144"/>
      <c r="AF232" s="144"/>
    </row>
    <row r="233" ht="16.5" customHeight="1">
      <c r="A233" s="144"/>
      <c r="B233" s="559"/>
      <c r="C233" s="352"/>
      <c r="D233" s="352"/>
      <c r="E233" s="352"/>
      <c r="F233" s="352"/>
      <c r="G233" s="560"/>
      <c r="H233" s="352"/>
      <c r="I233" s="352"/>
      <c r="J233" s="497"/>
      <c r="K233" s="496"/>
      <c r="L233" s="496"/>
      <c r="M233" s="144"/>
      <c r="N233" s="144"/>
      <c r="O233" s="144"/>
      <c r="P233" s="144"/>
      <c r="Q233" s="144"/>
      <c r="R233" s="144"/>
      <c r="S233" s="144"/>
      <c r="T233" s="144"/>
      <c r="U233" s="144"/>
      <c r="V233" s="144"/>
      <c r="W233" s="144"/>
      <c r="X233" s="144"/>
      <c r="Y233" s="144"/>
      <c r="Z233" s="144"/>
      <c r="AA233" s="144"/>
      <c r="AB233" s="144"/>
      <c r="AC233" s="144"/>
      <c r="AD233" s="144"/>
      <c r="AE233" s="144"/>
      <c r="AF233" s="144"/>
    </row>
    <row r="234" ht="16.5" customHeight="1">
      <c r="A234" s="144"/>
      <c r="B234" s="559"/>
      <c r="C234" s="352"/>
      <c r="D234" s="352"/>
      <c r="E234" s="352"/>
      <c r="F234" s="505"/>
      <c r="G234" s="560"/>
      <c r="H234" s="505"/>
      <c r="I234" s="497"/>
      <c r="J234" s="497"/>
      <c r="K234" s="496"/>
      <c r="L234" s="496"/>
      <c r="M234" s="144"/>
      <c r="N234" s="144"/>
      <c r="O234" s="144"/>
      <c r="P234" s="144"/>
      <c r="Q234" s="144"/>
      <c r="R234" s="144"/>
      <c r="S234" s="144"/>
      <c r="T234" s="144"/>
      <c r="U234" s="144"/>
      <c r="V234" s="144"/>
      <c r="W234" s="144"/>
      <c r="X234" s="144"/>
      <c r="Y234" s="144"/>
      <c r="Z234" s="144"/>
      <c r="AA234" s="144"/>
      <c r="AB234" s="144"/>
      <c r="AC234" s="144"/>
      <c r="AD234" s="144"/>
      <c r="AE234" s="144"/>
      <c r="AF234" s="144"/>
    </row>
    <row r="235" ht="16.5" customHeight="1">
      <c r="A235" s="144"/>
      <c r="B235" s="559"/>
      <c r="C235" s="352"/>
      <c r="D235" s="352"/>
      <c r="E235" s="352"/>
      <c r="F235" s="352"/>
      <c r="G235" s="560"/>
      <c r="H235" s="505"/>
      <c r="I235" s="497"/>
      <c r="J235" s="497"/>
      <c r="K235" s="496"/>
      <c r="L235" s="496"/>
      <c r="M235" s="144"/>
      <c r="N235" s="144"/>
      <c r="O235" s="144"/>
      <c r="P235" s="144"/>
      <c r="Q235" s="144"/>
      <c r="R235" s="144"/>
      <c r="S235" s="144"/>
      <c r="T235" s="144"/>
      <c r="U235" s="144"/>
      <c r="V235" s="144"/>
      <c r="W235" s="144"/>
      <c r="X235" s="144"/>
      <c r="Y235" s="144"/>
      <c r="Z235" s="144"/>
      <c r="AA235" s="144"/>
      <c r="AB235" s="144"/>
      <c r="AC235" s="144"/>
      <c r="AD235" s="144"/>
      <c r="AE235" s="144"/>
      <c r="AF235" s="144"/>
    </row>
    <row r="236" ht="16.5" customHeight="1">
      <c r="A236" s="144"/>
      <c r="B236" s="559"/>
      <c r="C236" s="352"/>
      <c r="D236" s="352"/>
      <c r="E236" s="352"/>
      <c r="F236" s="565"/>
      <c r="G236" s="560"/>
      <c r="H236" s="565"/>
      <c r="I236" s="497"/>
      <c r="J236" s="497"/>
      <c r="K236" s="496"/>
      <c r="L236" s="496"/>
      <c r="M236" s="144"/>
      <c r="N236" s="144"/>
      <c r="O236" s="144"/>
      <c r="P236" s="144"/>
      <c r="Q236" s="144"/>
      <c r="R236" s="144"/>
      <c r="S236" s="144"/>
      <c r="T236" s="144"/>
      <c r="U236" s="144"/>
      <c r="V236" s="144"/>
      <c r="W236" s="144"/>
      <c r="X236" s="144"/>
      <c r="Y236" s="144"/>
      <c r="Z236" s="144"/>
      <c r="AA236" s="144"/>
      <c r="AB236" s="144"/>
      <c r="AC236" s="144"/>
      <c r="AD236" s="144"/>
      <c r="AE236" s="144"/>
      <c r="AF236" s="144"/>
    </row>
    <row r="237" ht="16.5" customHeight="1">
      <c r="A237" s="144"/>
      <c r="B237" s="559"/>
      <c r="C237" s="346"/>
      <c r="D237" s="346"/>
      <c r="E237" s="352"/>
      <c r="F237" s="352"/>
      <c r="G237" s="560"/>
      <c r="H237" s="352"/>
      <c r="I237" s="497"/>
      <c r="J237" s="497"/>
      <c r="K237" s="496"/>
      <c r="L237" s="496"/>
      <c r="M237" s="144"/>
      <c r="N237" s="144"/>
      <c r="O237" s="144"/>
      <c r="P237" s="144"/>
      <c r="Q237" s="144"/>
      <c r="R237" s="144"/>
      <c r="S237" s="144"/>
      <c r="T237" s="144"/>
      <c r="U237" s="144"/>
      <c r="V237" s="144"/>
      <c r="W237" s="144"/>
      <c r="X237" s="144"/>
      <c r="Y237" s="144"/>
      <c r="Z237" s="144"/>
      <c r="AA237" s="144"/>
      <c r="AB237" s="144"/>
      <c r="AC237" s="144"/>
      <c r="AD237" s="144"/>
      <c r="AE237" s="144"/>
      <c r="AF237" s="144"/>
    </row>
    <row r="238" ht="16.5" customHeight="1">
      <c r="A238" s="144"/>
      <c r="B238" s="559"/>
      <c r="C238" s="346"/>
      <c r="D238" s="346"/>
      <c r="E238" s="352"/>
      <c r="F238" s="352"/>
      <c r="G238" s="560"/>
      <c r="H238" s="352"/>
      <c r="I238" s="497"/>
      <c r="J238" s="497"/>
      <c r="K238" s="496"/>
      <c r="L238" s="496"/>
      <c r="M238" s="144"/>
      <c r="N238" s="144"/>
      <c r="O238" s="144"/>
      <c r="P238" s="144"/>
      <c r="Q238" s="144"/>
      <c r="R238" s="144"/>
      <c r="S238" s="144"/>
      <c r="T238" s="144"/>
      <c r="U238" s="144"/>
      <c r="V238" s="144"/>
      <c r="W238" s="144"/>
      <c r="X238" s="144"/>
      <c r="Y238" s="144"/>
      <c r="Z238" s="144"/>
      <c r="AA238" s="144"/>
      <c r="AB238" s="144"/>
      <c r="AC238" s="144"/>
      <c r="AD238" s="144"/>
      <c r="AE238" s="144"/>
      <c r="AF238" s="144"/>
    </row>
    <row r="239" ht="16.5" customHeight="1">
      <c r="A239" s="144"/>
      <c r="B239" s="559"/>
      <c r="C239" s="346"/>
      <c r="D239" s="346"/>
      <c r="E239" s="352"/>
      <c r="F239" s="352"/>
      <c r="G239" s="560"/>
      <c r="H239" s="352"/>
      <c r="I239" s="352"/>
      <c r="J239" s="497"/>
      <c r="K239" s="496"/>
      <c r="L239" s="496"/>
      <c r="M239" s="144"/>
      <c r="N239" s="144"/>
      <c r="O239" s="144"/>
      <c r="P239" s="144"/>
      <c r="Q239" s="144"/>
      <c r="R239" s="144"/>
      <c r="S239" s="144"/>
      <c r="T239" s="144"/>
      <c r="U239" s="144"/>
      <c r="V239" s="144"/>
      <c r="W239" s="144"/>
      <c r="X239" s="144"/>
      <c r="Y239" s="144"/>
      <c r="Z239" s="144"/>
      <c r="AA239" s="144"/>
      <c r="AB239" s="144"/>
      <c r="AC239" s="144"/>
      <c r="AD239" s="144"/>
      <c r="AE239" s="144"/>
      <c r="AF239" s="144"/>
    </row>
    <row r="240" ht="16.5" customHeight="1">
      <c r="A240" s="144"/>
      <c r="B240" s="559"/>
      <c r="C240" s="346"/>
      <c r="D240" s="346"/>
      <c r="E240" s="352"/>
      <c r="F240" s="352"/>
      <c r="G240" s="560"/>
      <c r="H240" s="352"/>
      <c r="I240" s="352"/>
      <c r="J240" s="497"/>
      <c r="K240" s="496"/>
      <c r="L240" s="496"/>
      <c r="M240" s="144"/>
      <c r="N240" s="144"/>
      <c r="O240" s="144"/>
      <c r="P240" s="144"/>
      <c r="Q240" s="144"/>
      <c r="R240" s="144"/>
      <c r="S240" s="144"/>
      <c r="T240" s="144"/>
      <c r="U240" s="144"/>
      <c r="V240" s="144"/>
      <c r="W240" s="144"/>
      <c r="X240" s="144"/>
      <c r="Y240" s="144"/>
      <c r="Z240" s="144"/>
      <c r="AA240" s="144"/>
      <c r="AB240" s="144"/>
      <c r="AC240" s="144"/>
      <c r="AD240" s="144"/>
      <c r="AE240" s="144"/>
      <c r="AF240" s="144"/>
    </row>
    <row r="241" ht="16.5" customHeight="1">
      <c r="A241" s="144"/>
      <c r="B241" s="559"/>
      <c r="C241" s="346"/>
      <c r="D241" s="346"/>
      <c r="E241" s="352"/>
      <c r="F241" s="352"/>
      <c r="G241" s="560"/>
      <c r="H241" s="352"/>
      <c r="I241" s="497"/>
      <c r="J241" s="497"/>
      <c r="K241" s="496"/>
      <c r="L241" s="496"/>
      <c r="M241" s="144"/>
      <c r="N241" s="144"/>
      <c r="O241" s="144"/>
      <c r="P241" s="144"/>
      <c r="Q241" s="144"/>
      <c r="R241" s="144"/>
      <c r="S241" s="144"/>
      <c r="T241" s="144"/>
      <c r="U241" s="144"/>
      <c r="V241" s="144"/>
      <c r="W241" s="144"/>
      <c r="X241" s="144"/>
      <c r="Y241" s="144"/>
      <c r="Z241" s="144"/>
      <c r="AA241" s="144"/>
      <c r="AB241" s="144"/>
      <c r="AC241" s="144"/>
      <c r="AD241" s="144"/>
      <c r="AE241" s="144"/>
      <c r="AF241" s="144"/>
    </row>
    <row r="242" ht="16.5" customHeight="1">
      <c r="A242" s="144"/>
      <c r="B242" s="559"/>
      <c r="C242" s="346"/>
      <c r="D242" s="346"/>
      <c r="E242" s="352"/>
      <c r="F242" s="505"/>
      <c r="G242" s="560"/>
      <c r="H242" s="505"/>
      <c r="I242" s="497"/>
      <c r="J242" s="497"/>
      <c r="K242" s="496"/>
      <c r="L242" s="496"/>
      <c r="M242" s="144"/>
      <c r="N242" s="144"/>
      <c r="O242" s="144"/>
      <c r="P242" s="144"/>
      <c r="Q242" s="144"/>
      <c r="R242" s="144"/>
      <c r="S242" s="144"/>
      <c r="T242" s="144"/>
      <c r="U242" s="144"/>
      <c r="V242" s="144"/>
      <c r="W242" s="144"/>
      <c r="X242" s="144"/>
      <c r="Y242" s="144"/>
      <c r="Z242" s="144"/>
      <c r="AA242" s="144"/>
      <c r="AB242" s="144"/>
      <c r="AC242" s="144"/>
      <c r="AD242" s="144"/>
      <c r="AE242" s="144"/>
      <c r="AF242" s="144"/>
    </row>
    <row r="243" ht="16.5" customHeight="1">
      <c r="A243" s="144"/>
      <c r="B243" s="559"/>
      <c r="C243" s="346"/>
      <c r="D243" s="346"/>
      <c r="E243" s="352"/>
      <c r="F243" s="352"/>
      <c r="G243" s="560"/>
      <c r="H243" s="505"/>
      <c r="I243" s="497"/>
      <c r="J243" s="497"/>
      <c r="K243" s="496"/>
      <c r="L243" s="496"/>
      <c r="M243" s="144"/>
      <c r="N243" s="144"/>
      <c r="O243" s="144"/>
      <c r="P243" s="144"/>
      <c r="Q243" s="144"/>
      <c r="R243" s="144"/>
      <c r="S243" s="144"/>
      <c r="T243" s="144"/>
      <c r="U243" s="144"/>
      <c r="V243" s="144"/>
      <c r="W243" s="144"/>
      <c r="X243" s="144"/>
      <c r="Y243" s="144"/>
      <c r="Z243" s="144"/>
      <c r="AA243" s="144"/>
      <c r="AB243" s="144"/>
      <c r="AC243" s="144"/>
      <c r="AD243" s="144"/>
      <c r="AE243" s="144"/>
      <c r="AF243" s="144"/>
    </row>
    <row r="244" ht="16.5" customHeight="1">
      <c r="A244" s="144"/>
      <c r="B244" s="559"/>
      <c r="C244" s="346"/>
      <c r="D244" s="346"/>
      <c r="E244" s="352"/>
      <c r="F244" s="565"/>
      <c r="G244" s="560"/>
      <c r="H244" s="565"/>
      <c r="I244" s="497"/>
      <c r="J244" s="497"/>
      <c r="K244" s="496"/>
      <c r="L244" s="496"/>
      <c r="M244" s="144"/>
      <c r="N244" s="144"/>
      <c r="O244" s="144"/>
      <c r="P244" s="144"/>
      <c r="Q244" s="144"/>
      <c r="R244" s="144"/>
      <c r="S244" s="144"/>
      <c r="T244" s="144"/>
      <c r="U244" s="144"/>
      <c r="V244" s="144"/>
      <c r="W244" s="144"/>
      <c r="X244" s="144"/>
      <c r="Y244" s="144"/>
      <c r="Z244" s="144"/>
      <c r="AA244" s="144"/>
      <c r="AB244" s="144"/>
      <c r="AC244" s="144"/>
      <c r="AD244" s="144"/>
      <c r="AE244" s="144"/>
      <c r="AF244" s="144"/>
    </row>
    <row r="245" ht="16.5" customHeight="1">
      <c r="A245" s="144"/>
      <c r="B245" s="559"/>
      <c r="C245" s="352"/>
      <c r="D245" s="352"/>
      <c r="E245" s="352"/>
      <c r="F245" s="352"/>
      <c r="G245" s="352"/>
      <c r="H245" s="352"/>
      <c r="I245" s="497"/>
      <c r="J245" s="497"/>
      <c r="K245" s="496"/>
      <c r="L245" s="496"/>
      <c r="M245" s="144"/>
      <c r="N245" s="144"/>
      <c r="O245" s="144"/>
      <c r="P245" s="144"/>
      <c r="Q245" s="144"/>
      <c r="R245" s="144"/>
      <c r="S245" s="144"/>
      <c r="T245" s="144"/>
      <c r="U245" s="144"/>
      <c r="V245" s="144"/>
      <c r="W245" s="144"/>
      <c r="X245" s="144"/>
      <c r="Y245" s="144"/>
      <c r="Z245" s="144"/>
      <c r="AA245" s="144"/>
      <c r="AB245" s="144"/>
      <c r="AC245" s="144"/>
      <c r="AD245" s="144"/>
      <c r="AE245" s="144"/>
      <c r="AF245" s="144"/>
    </row>
    <row r="246" ht="16.5" customHeight="1">
      <c r="A246" s="144"/>
      <c r="B246" s="552"/>
      <c r="C246" s="346"/>
      <c r="D246" s="346"/>
      <c r="E246" s="352"/>
      <c r="F246" s="352"/>
      <c r="G246" s="566"/>
      <c r="H246" s="352"/>
      <c r="I246" s="497"/>
      <c r="J246" s="497"/>
      <c r="K246" s="496"/>
      <c r="L246" s="496"/>
      <c r="M246" s="144"/>
      <c r="N246" s="144"/>
      <c r="O246" s="144"/>
      <c r="P246" s="144"/>
      <c r="Q246" s="144"/>
      <c r="R246" s="144"/>
      <c r="S246" s="144"/>
      <c r="T246" s="144"/>
      <c r="U246" s="144"/>
      <c r="V246" s="144"/>
      <c r="W246" s="144"/>
      <c r="X246" s="144"/>
      <c r="Y246" s="144"/>
      <c r="Z246" s="144"/>
      <c r="AA246" s="144"/>
      <c r="AB246" s="144"/>
      <c r="AC246" s="144"/>
      <c r="AD246" s="144"/>
      <c r="AE246" s="144"/>
      <c r="AF246" s="144"/>
    </row>
    <row r="247" ht="16.5" customHeight="1">
      <c r="A247" s="144"/>
      <c r="B247" s="552"/>
      <c r="C247" s="346"/>
      <c r="D247" s="346"/>
      <c r="E247" s="352"/>
      <c r="F247" s="352"/>
      <c r="G247" s="566"/>
      <c r="H247" s="352"/>
      <c r="I247" s="497"/>
      <c r="J247" s="497"/>
      <c r="K247" s="567"/>
      <c r="L247" s="496"/>
      <c r="M247" s="144"/>
      <c r="N247" s="144"/>
      <c r="O247" s="144"/>
      <c r="P247" s="144"/>
      <c r="Q247" s="144"/>
      <c r="R247" s="144"/>
      <c r="S247" s="144"/>
      <c r="T247" s="144"/>
      <c r="U247" s="144"/>
      <c r="V247" s="144"/>
      <c r="W247" s="144"/>
      <c r="X247" s="144"/>
      <c r="Y247" s="144"/>
      <c r="Z247" s="144"/>
      <c r="AA247" s="144"/>
      <c r="AB247" s="144"/>
      <c r="AC247" s="144"/>
      <c r="AD247" s="144"/>
      <c r="AE247" s="144"/>
      <c r="AF247" s="144"/>
    </row>
    <row r="248" ht="16.5" customHeight="1">
      <c r="A248" s="144"/>
      <c r="B248" s="552"/>
      <c r="C248" s="346"/>
      <c r="D248" s="346"/>
      <c r="E248" s="352"/>
      <c r="F248" s="352"/>
      <c r="G248" s="566"/>
      <c r="H248" s="352"/>
      <c r="I248" s="352"/>
      <c r="J248" s="497"/>
      <c r="K248" s="496"/>
      <c r="L248" s="496"/>
      <c r="M248" s="144"/>
      <c r="N248" s="144"/>
      <c r="O248" s="144"/>
      <c r="P248" s="144"/>
      <c r="Q248" s="144"/>
      <c r="R248" s="144"/>
      <c r="S248" s="144"/>
      <c r="T248" s="144"/>
      <c r="U248" s="144"/>
      <c r="V248" s="144"/>
      <c r="W248" s="144"/>
      <c r="X248" s="144"/>
      <c r="Y248" s="144"/>
      <c r="Z248" s="144"/>
      <c r="AA248" s="144"/>
      <c r="AB248" s="144"/>
      <c r="AC248" s="144"/>
      <c r="AD248" s="144"/>
      <c r="AE248" s="144"/>
      <c r="AF248" s="144"/>
    </row>
    <row r="249" ht="16.5" customHeight="1">
      <c r="A249" s="144"/>
      <c r="B249" s="552"/>
      <c r="C249" s="346"/>
      <c r="D249" s="346"/>
      <c r="E249" s="352"/>
      <c r="F249" s="352"/>
      <c r="G249" s="566"/>
      <c r="H249" s="352"/>
      <c r="I249" s="497"/>
      <c r="J249" s="497"/>
      <c r="K249" s="496"/>
      <c r="L249" s="496"/>
      <c r="M249" s="144"/>
      <c r="N249" s="144"/>
      <c r="O249" s="144"/>
      <c r="P249" s="144"/>
      <c r="Q249" s="144"/>
      <c r="R249" s="144"/>
      <c r="S249" s="144"/>
      <c r="T249" s="144"/>
      <c r="U249" s="144"/>
      <c r="V249" s="144"/>
      <c r="W249" s="144"/>
      <c r="X249" s="144"/>
      <c r="Y249" s="144"/>
      <c r="Z249" s="144"/>
      <c r="AA249" s="144"/>
      <c r="AB249" s="144"/>
      <c r="AC249" s="144"/>
      <c r="AD249" s="144"/>
      <c r="AE249" s="144"/>
      <c r="AF249" s="144"/>
    </row>
    <row r="250" ht="16.5" customHeight="1">
      <c r="A250" s="144"/>
      <c r="B250" s="552"/>
      <c r="C250" s="346"/>
      <c r="D250" s="346"/>
      <c r="E250" s="352"/>
      <c r="F250" s="505"/>
      <c r="G250" s="566"/>
      <c r="H250" s="505"/>
      <c r="I250" s="352"/>
      <c r="J250" s="497"/>
      <c r="K250" s="496"/>
      <c r="L250" s="496"/>
      <c r="M250" s="144"/>
      <c r="N250" s="144"/>
      <c r="O250" s="144"/>
      <c r="P250" s="144"/>
      <c r="Q250" s="144"/>
      <c r="R250" s="144"/>
      <c r="S250" s="144"/>
      <c r="T250" s="144"/>
      <c r="U250" s="144"/>
      <c r="V250" s="144"/>
      <c r="W250" s="144"/>
      <c r="X250" s="144"/>
      <c r="Y250" s="144"/>
      <c r="Z250" s="144"/>
      <c r="AA250" s="144"/>
      <c r="AB250" s="144"/>
      <c r="AC250" s="144"/>
      <c r="AD250" s="144"/>
      <c r="AE250" s="144"/>
      <c r="AF250" s="144"/>
    </row>
    <row r="251" ht="16.5" customHeight="1">
      <c r="A251" s="144"/>
      <c r="B251" s="552"/>
      <c r="C251" s="346"/>
      <c r="D251" s="346"/>
      <c r="E251" s="352"/>
      <c r="F251" s="352"/>
      <c r="G251" s="566"/>
      <c r="H251" s="505"/>
      <c r="I251" s="497"/>
      <c r="J251" s="497"/>
      <c r="K251" s="496"/>
      <c r="L251" s="496"/>
      <c r="M251" s="144"/>
      <c r="N251" s="144"/>
      <c r="O251" s="144"/>
      <c r="P251" s="144"/>
      <c r="Q251" s="144"/>
      <c r="R251" s="144"/>
      <c r="S251" s="144"/>
      <c r="T251" s="144"/>
      <c r="U251" s="144"/>
      <c r="V251" s="144"/>
      <c r="W251" s="144"/>
      <c r="X251" s="144"/>
      <c r="Y251" s="144"/>
      <c r="Z251" s="144"/>
      <c r="AA251" s="144"/>
      <c r="AB251" s="144"/>
      <c r="AC251" s="144"/>
      <c r="AD251" s="144"/>
      <c r="AE251" s="144"/>
      <c r="AF251" s="144"/>
    </row>
    <row r="252" ht="16.5" customHeight="1">
      <c r="A252" s="144"/>
      <c r="B252" s="552"/>
      <c r="C252" s="346"/>
      <c r="D252" s="346"/>
      <c r="E252" s="352"/>
      <c r="F252" s="352"/>
      <c r="G252" s="566"/>
      <c r="H252" s="352"/>
      <c r="I252" s="497"/>
      <c r="J252" s="497"/>
      <c r="K252" s="496"/>
      <c r="L252" s="496"/>
      <c r="M252" s="144"/>
      <c r="N252" s="144"/>
      <c r="O252" s="144"/>
      <c r="P252" s="144"/>
      <c r="Q252" s="144"/>
      <c r="R252" s="144"/>
      <c r="S252" s="144"/>
      <c r="T252" s="144"/>
      <c r="U252" s="144"/>
      <c r="V252" s="144"/>
      <c r="W252" s="144"/>
      <c r="X252" s="144"/>
      <c r="Y252" s="144"/>
      <c r="Z252" s="144"/>
      <c r="AA252" s="144"/>
      <c r="AB252" s="144"/>
      <c r="AC252" s="144"/>
      <c r="AD252" s="144"/>
      <c r="AE252" s="144"/>
      <c r="AF252" s="144"/>
    </row>
    <row r="253" ht="16.5" customHeight="1">
      <c r="A253" s="144"/>
      <c r="B253" s="552"/>
      <c r="C253" s="346"/>
      <c r="D253" s="346"/>
      <c r="E253" s="352"/>
      <c r="F253" s="568"/>
      <c r="G253" s="566"/>
      <c r="H253" s="568"/>
      <c r="I253" s="569"/>
      <c r="J253" s="497"/>
      <c r="K253" s="496"/>
      <c r="L253" s="496"/>
      <c r="M253" s="144"/>
      <c r="N253" s="144"/>
      <c r="O253" s="144"/>
      <c r="P253" s="144"/>
      <c r="Q253" s="144"/>
      <c r="R253" s="144"/>
      <c r="S253" s="144"/>
      <c r="T253" s="144"/>
      <c r="U253" s="144"/>
      <c r="V253" s="144"/>
      <c r="W253" s="144"/>
      <c r="X253" s="144"/>
      <c r="Y253" s="144"/>
      <c r="Z253" s="144"/>
      <c r="AA253" s="144"/>
      <c r="AB253" s="144"/>
      <c r="AC253" s="144"/>
      <c r="AD253" s="144"/>
      <c r="AE253" s="144"/>
      <c r="AF253" s="144"/>
    </row>
    <row r="254" ht="16.5" customHeight="1">
      <c r="A254" s="144"/>
      <c r="B254" s="552"/>
      <c r="C254" s="346"/>
      <c r="D254" s="346"/>
      <c r="E254" s="352"/>
      <c r="F254" s="352"/>
      <c r="G254" s="566"/>
      <c r="H254" s="352"/>
      <c r="I254" s="497"/>
      <c r="J254" s="497"/>
      <c r="K254" s="496"/>
      <c r="L254" s="496"/>
      <c r="M254" s="144"/>
      <c r="N254" s="144"/>
      <c r="O254" s="144"/>
      <c r="P254" s="144"/>
      <c r="Q254" s="144"/>
      <c r="R254" s="144"/>
      <c r="S254" s="144"/>
      <c r="T254" s="144"/>
      <c r="U254" s="144"/>
      <c r="V254" s="144"/>
      <c r="W254" s="144"/>
      <c r="X254" s="144"/>
      <c r="Y254" s="144"/>
      <c r="Z254" s="144"/>
      <c r="AA254" s="144"/>
      <c r="AB254" s="144"/>
      <c r="AC254" s="144"/>
      <c r="AD254" s="144"/>
      <c r="AE254" s="144"/>
      <c r="AF254" s="144"/>
    </row>
    <row r="255" ht="16.5" customHeight="1">
      <c r="A255" s="144"/>
      <c r="B255" s="552"/>
      <c r="C255" s="352"/>
      <c r="D255" s="352"/>
      <c r="E255" s="352"/>
      <c r="F255" s="352"/>
      <c r="G255" s="566"/>
      <c r="H255" s="352"/>
      <c r="I255" s="497"/>
      <c r="J255" s="497"/>
      <c r="K255" s="496"/>
      <c r="L255" s="496"/>
      <c r="M255" s="144"/>
      <c r="N255" s="144"/>
      <c r="O255" s="144"/>
      <c r="P255" s="144"/>
      <c r="Q255" s="144"/>
      <c r="R255" s="144"/>
      <c r="S255" s="144"/>
      <c r="T255" s="144"/>
      <c r="U255" s="144"/>
      <c r="V255" s="144"/>
      <c r="W255" s="144"/>
      <c r="X255" s="144"/>
      <c r="Y255" s="144"/>
      <c r="Z255" s="144"/>
      <c r="AA255" s="144"/>
      <c r="AB255" s="144"/>
      <c r="AC255" s="144"/>
      <c r="AD255" s="144"/>
      <c r="AE255" s="144"/>
      <c r="AF255" s="144"/>
    </row>
    <row r="256" ht="16.5" customHeight="1">
      <c r="A256" s="144"/>
      <c r="B256" s="552"/>
      <c r="C256" s="352"/>
      <c r="D256" s="352"/>
      <c r="E256" s="352"/>
      <c r="F256" s="352"/>
      <c r="G256" s="566"/>
      <c r="H256" s="352"/>
      <c r="I256" s="497"/>
      <c r="J256" s="497"/>
      <c r="K256" s="496"/>
      <c r="L256" s="496"/>
      <c r="M256" s="144"/>
      <c r="N256" s="144"/>
      <c r="O256" s="144"/>
      <c r="P256" s="144"/>
      <c r="Q256" s="144"/>
      <c r="R256" s="144"/>
      <c r="S256" s="144"/>
      <c r="T256" s="144"/>
      <c r="U256" s="144"/>
      <c r="V256" s="144"/>
      <c r="W256" s="144"/>
      <c r="X256" s="144"/>
      <c r="Y256" s="144"/>
      <c r="Z256" s="144"/>
      <c r="AA256" s="144"/>
      <c r="AB256" s="144"/>
      <c r="AC256" s="144"/>
      <c r="AD256" s="144"/>
      <c r="AE256" s="144"/>
      <c r="AF256" s="144"/>
    </row>
    <row r="257" ht="16.5" customHeight="1">
      <c r="A257" s="144"/>
      <c r="B257" s="552"/>
      <c r="C257" s="352"/>
      <c r="D257" s="352"/>
      <c r="E257" s="352"/>
      <c r="F257" s="352"/>
      <c r="G257" s="566"/>
      <c r="H257" s="352"/>
      <c r="I257" s="497"/>
      <c r="J257" s="497"/>
      <c r="K257" s="496"/>
      <c r="L257" s="496"/>
      <c r="M257" s="144"/>
      <c r="N257" s="144"/>
      <c r="O257" s="144"/>
      <c r="P257" s="144"/>
      <c r="Q257" s="144"/>
      <c r="R257" s="144"/>
      <c r="S257" s="144"/>
      <c r="T257" s="144"/>
      <c r="U257" s="144"/>
      <c r="V257" s="144"/>
      <c r="W257" s="144"/>
      <c r="X257" s="144"/>
      <c r="Y257" s="144"/>
      <c r="Z257" s="144"/>
      <c r="AA257" s="144"/>
      <c r="AB257" s="144"/>
      <c r="AC257" s="144"/>
      <c r="AD257" s="144"/>
      <c r="AE257" s="144"/>
      <c r="AF257" s="144"/>
    </row>
    <row r="258" ht="16.5" customHeight="1">
      <c r="A258" s="144"/>
      <c r="B258" s="552"/>
      <c r="C258" s="352"/>
      <c r="D258" s="352"/>
      <c r="E258" s="352"/>
      <c r="F258" s="352"/>
      <c r="G258" s="566"/>
      <c r="H258" s="352"/>
      <c r="I258" s="497"/>
      <c r="J258" s="497"/>
      <c r="K258" s="496"/>
      <c r="L258" s="496"/>
      <c r="M258" s="144"/>
      <c r="N258" s="144"/>
      <c r="O258" s="144"/>
      <c r="P258" s="144"/>
      <c r="Q258" s="144"/>
      <c r="R258" s="144"/>
      <c r="S258" s="144"/>
      <c r="T258" s="144"/>
      <c r="U258" s="144"/>
      <c r="V258" s="144"/>
      <c r="W258" s="144"/>
      <c r="X258" s="144"/>
      <c r="Y258" s="144"/>
      <c r="Z258" s="144"/>
      <c r="AA258" s="144"/>
      <c r="AB258" s="144"/>
      <c r="AC258" s="144"/>
      <c r="AD258" s="144"/>
      <c r="AE258" s="144"/>
      <c r="AF258" s="144"/>
    </row>
    <row r="259" ht="16.5" customHeight="1">
      <c r="A259" s="144"/>
      <c r="B259" s="552"/>
      <c r="C259" s="352"/>
      <c r="D259" s="352"/>
      <c r="E259" s="352"/>
      <c r="F259" s="505"/>
      <c r="G259" s="566"/>
      <c r="H259" s="505"/>
      <c r="I259" s="497"/>
      <c r="J259" s="497"/>
      <c r="K259" s="496"/>
      <c r="L259" s="496"/>
      <c r="M259" s="144"/>
      <c r="N259" s="144"/>
      <c r="O259" s="144"/>
      <c r="P259" s="144"/>
      <c r="Q259" s="144"/>
      <c r="R259" s="144"/>
      <c r="S259" s="144"/>
      <c r="T259" s="144"/>
      <c r="U259" s="144"/>
      <c r="V259" s="144"/>
      <c r="W259" s="144"/>
      <c r="X259" s="144"/>
      <c r="Y259" s="144"/>
      <c r="Z259" s="144"/>
      <c r="AA259" s="144"/>
      <c r="AB259" s="144"/>
      <c r="AC259" s="144"/>
      <c r="AD259" s="144"/>
      <c r="AE259" s="144"/>
      <c r="AF259" s="144"/>
    </row>
    <row r="260" ht="16.5" customHeight="1">
      <c r="A260" s="144"/>
      <c r="B260" s="552"/>
      <c r="C260" s="352"/>
      <c r="D260" s="352"/>
      <c r="E260" s="352"/>
      <c r="F260" s="352"/>
      <c r="G260" s="566"/>
      <c r="H260" s="505"/>
      <c r="I260" s="497"/>
      <c r="J260" s="497"/>
      <c r="K260" s="496"/>
      <c r="L260" s="496"/>
      <c r="M260" s="144"/>
      <c r="N260" s="144"/>
      <c r="O260" s="144"/>
      <c r="P260" s="144"/>
      <c r="Q260" s="144"/>
      <c r="R260" s="144"/>
      <c r="S260" s="144"/>
      <c r="T260" s="144"/>
      <c r="U260" s="144"/>
      <c r="V260" s="144"/>
      <c r="W260" s="144"/>
      <c r="X260" s="144"/>
      <c r="Y260" s="144"/>
      <c r="Z260" s="144"/>
      <c r="AA260" s="144"/>
      <c r="AB260" s="144"/>
      <c r="AC260" s="144"/>
      <c r="AD260" s="144"/>
      <c r="AE260" s="144"/>
      <c r="AF260" s="144"/>
    </row>
    <row r="261" ht="16.5" customHeight="1">
      <c r="A261" s="144"/>
      <c r="B261" s="552"/>
      <c r="C261" s="352"/>
      <c r="D261" s="352"/>
      <c r="E261" s="352"/>
      <c r="F261" s="352"/>
      <c r="G261" s="566"/>
      <c r="H261" s="352"/>
      <c r="I261" s="497"/>
      <c r="J261" s="497"/>
      <c r="K261" s="496"/>
      <c r="L261" s="496"/>
      <c r="M261" s="144"/>
      <c r="N261" s="144"/>
      <c r="O261" s="144"/>
      <c r="P261" s="144"/>
      <c r="Q261" s="144"/>
      <c r="R261" s="144"/>
      <c r="S261" s="144"/>
      <c r="T261" s="144"/>
      <c r="U261" s="144"/>
      <c r="V261" s="144"/>
      <c r="W261" s="144"/>
      <c r="X261" s="144"/>
      <c r="Y261" s="144"/>
      <c r="Z261" s="144"/>
      <c r="AA261" s="144"/>
      <c r="AB261" s="144"/>
      <c r="AC261" s="144"/>
      <c r="AD261" s="144"/>
      <c r="AE261" s="144"/>
      <c r="AF261" s="144"/>
    </row>
    <row r="262" ht="16.5" customHeight="1">
      <c r="A262" s="144"/>
      <c r="B262" s="552"/>
      <c r="C262" s="352"/>
      <c r="D262" s="352"/>
      <c r="E262" s="352"/>
      <c r="F262" s="568"/>
      <c r="G262" s="566"/>
      <c r="H262" s="568"/>
      <c r="I262" s="569"/>
      <c r="J262" s="497"/>
      <c r="K262" s="496"/>
      <c r="L262" s="496"/>
      <c r="M262" s="144"/>
      <c r="N262" s="144"/>
      <c r="O262" s="144"/>
      <c r="P262" s="144"/>
      <c r="Q262" s="144"/>
      <c r="R262" s="144"/>
      <c r="S262" s="144"/>
      <c r="T262" s="144"/>
      <c r="U262" s="144"/>
      <c r="V262" s="144"/>
      <c r="W262" s="144"/>
      <c r="X262" s="144"/>
      <c r="Y262" s="144"/>
      <c r="Z262" s="144"/>
      <c r="AA262" s="144"/>
      <c r="AB262" s="144"/>
      <c r="AC262" s="144"/>
      <c r="AD262" s="144"/>
      <c r="AE262" s="144"/>
      <c r="AF262" s="144"/>
    </row>
    <row r="263" ht="16.5" customHeight="1">
      <c r="A263" s="144"/>
      <c r="B263" s="552"/>
      <c r="C263" s="352"/>
      <c r="D263" s="352"/>
      <c r="E263" s="352"/>
      <c r="F263" s="352"/>
      <c r="G263" s="566"/>
      <c r="H263" s="352"/>
      <c r="I263" s="497"/>
      <c r="J263" s="497"/>
      <c r="K263" s="496"/>
      <c r="L263" s="496"/>
      <c r="M263" s="144"/>
      <c r="N263" s="144"/>
      <c r="O263" s="144"/>
      <c r="P263" s="144"/>
      <c r="Q263" s="144"/>
      <c r="R263" s="144"/>
      <c r="S263" s="144"/>
      <c r="T263" s="144"/>
      <c r="U263" s="144"/>
      <c r="V263" s="144"/>
      <c r="W263" s="144"/>
      <c r="X263" s="144"/>
      <c r="Y263" s="144"/>
      <c r="Z263" s="144"/>
      <c r="AA263" s="144"/>
      <c r="AB263" s="144"/>
      <c r="AC263" s="144"/>
      <c r="AD263" s="144"/>
      <c r="AE263" s="144"/>
      <c r="AF263" s="144"/>
    </row>
    <row r="264" ht="16.5" customHeight="1">
      <c r="A264" s="144"/>
      <c r="B264" s="552"/>
      <c r="C264" s="352"/>
      <c r="D264" s="352"/>
      <c r="E264" s="352"/>
      <c r="F264" s="352"/>
      <c r="G264" s="566"/>
      <c r="H264" s="352"/>
      <c r="I264" s="497"/>
      <c r="J264" s="497"/>
      <c r="K264" s="496"/>
      <c r="L264" s="496"/>
      <c r="M264" s="144"/>
      <c r="N264" s="144"/>
      <c r="O264" s="144"/>
      <c r="P264" s="144"/>
      <c r="Q264" s="144"/>
      <c r="R264" s="144"/>
      <c r="S264" s="144"/>
      <c r="T264" s="144"/>
      <c r="U264" s="144"/>
      <c r="V264" s="144"/>
      <c r="W264" s="144"/>
      <c r="X264" s="144"/>
      <c r="Y264" s="144"/>
      <c r="Z264" s="144"/>
      <c r="AA264" s="144"/>
      <c r="AB264" s="144"/>
      <c r="AC264" s="144"/>
      <c r="AD264" s="144"/>
      <c r="AE264" s="144"/>
      <c r="AF264" s="144"/>
    </row>
    <row r="265" ht="16.5" customHeight="1">
      <c r="A265" s="144"/>
      <c r="B265" s="552"/>
      <c r="C265" s="352"/>
      <c r="D265" s="352"/>
      <c r="E265" s="352"/>
      <c r="F265" s="352"/>
      <c r="G265" s="566"/>
      <c r="H265" s="352"/>
      <c r="I265" s="497"/>
      <c r="J265" s="497"/>
      <c r="K265" s="496"/>
      <c r="L265" s="496"/>
      <c r="M265" s="144"/>
      <c r="N265" s="144"/>
      <c r="O265" s="144"/>
      <c r="P265" s="144"/>
      <c r="Q265" s="144"/>
      <c r="R265" s="144"/>
      <c r="S265" s="144"/>
      <c r="T265" s="144"/>
      <c r="U265" s="144"/>
      <c r="V265" s="144"/>
      <c r="W265" s="144"/>
      <c r="X265" s="144"/>
      <c r="Y265" s="144"/>
      <c r="Z265" s="144"/>
      <c r="AA265" s="144"/>
      <c r="AB265" s="144"/>
      <c r="AC265" s="144"/>
      <c r="AD265" s="144"/>
      <c r="AE265" s="144"/>
      <c r="AF265" s="144"/>
    </row>
    <row r="266" ht="16.5" customHeight="1">
      <c r="A266" s="144"/>
      <c r="B266" s="552"/>
      <c r="C266" s="352"/>
      <c r="D266" s="352"/>
      <c r="E266" s="352"/>
      <c r="F266" s="352"/>
      <c r="G266" s="566"/>
      <c r="H266" s="352"/>
      <c r="I266" s="569"/>
      <c r="J266" s="497"/>
      <c r="K266" s="496"/>
      <c r="L266" s="496"/>
      <c r="M266" s="144"/>
      <c r="N266" s="144"/>
      <c r="O266" s="144"/>
      <c r="P266" s="144"/>
      <c r="Q266" s="144"/>
      <c r="R266" s="144"/>
      <c r="S266" s="144"/>
      <c r="T266" s="144"/>
      <c r="U266" s="144"/>
      <c r="V266" s="144"/>
      <c r="W266" s="144"/>
      <c r="X266" s="144"/>
      <c r="Y266" s="144"/>
      <c r="Z266" s="144"/>
      <c r="AA266" s="144"/>
      <c r="AB266" s="144"/>
      <c r="AC266" s="144"/>
      <c r="AD266" s="144"/>
      <c r="AE266" s="144"/>
      <c r="AF266" s="144"/>
    </row>
    <row r="267" ht="16.5" customHeight="1">
      <c r="A267" s="144"/>
      <c r="B267" s="552"/>
      <c r="C267" s="352"/>
      <c r="D267" s="352"/>
      <c r="E267" s="352"/>
      <c r="F267" s="352"/>
      <c r="G267" s="566"/>
      <c r="H267" s="352"/>
      <c r="I267" s="497"/>
      <c r="J267" s="497"/>
      <c r="K267" s="496"/>
      <c r="L267" s="496"/>
      <c r="M267" s="144"/>
      <c r="N267" s="144"/>
      <c r="O267" s="144"/>
      <c r="P267" s="144"/>
      <c r="Q267" s="144"/>
      <c r="R267" s="144"/>
      <c r="S267" s="144"/>
      <c r="T267" s="144"/>
      <c r="U267" s="144"/>
      <c r="V267" s="144"/>
      <c r="W267" s="144"/>
      <c r="X267" s="144"/>
      <c r="Y267" s="144"/>
      <c r="Z267" s="144"/>
      <c r="AA267" s="144"/>
      <c r="AB267" s="144"/>
      <c r="AC267" s="144"/>
      <c r="AD267" s="144"/>
      <c r="AE267" s="144"/>
      <c r="AF267" s="144"/>
    </row>
    <row r="268" ht="16.5" customHeight="1">
      <c r="A268" s="144"/>
      <c r="B268" s="552"/>
      <c r="C268" s="352"/>
      <c r="D268" s="352"/>
      <c r="E268" s="352"/>
      <c r="F268" s="505"/>
      <c r="G268" s="566"/>
      <c r="H268" s="505"/>
      <c r="I268" s="497"/>
      <c r="J268" s="497"/>
      <c r="K268" s="496"/>
      <c r="L268" s="496"/>
      <c r="M268" s="144"/>
      <c r="N268" s="144"/>
      <c r="O268" s="144"/>
      <c r="P268" s="144"/>
      <c r="Q268" s="144"/>
      <c r="R268" s="144"/>
      <c r="S268" s="144"/>
      <c r="T268" s="144"/>
      <c r="U268" s="144"/>
      <c r="V268" s="144"/>
      <c r="W268" s="144"/>
      <c r="X268" s="144"/>
      <c r="Y268" s="144"/>
      <c r="Z268" s="144"/>
      <c r="AA268" s="144"/>
      <c r="AB268" s="144"/>
      <c r="AC268" s="144"/>
      <c r="AD268" s="144"/>
      <c r="AE268" s="144"/>
      <c r="AF268" s="144"/>
    </row>
    <row r="269" ht="16.5" customHeight="1">
      <c r="A269" s="144"/>
      <c r="B269" s="552"/>
      <c r="C269" s="352"/>
      <c r="D269" s="352"/>
      <c r="E269" s="352"/>
      <c r="F269" s="352"/>
      <c r="G269" s="566"/>
      <c r="H269" s="505"/>
      <c r="I269" s="497"/>
      <c r="J269" s="497"/>
      <c r="K269" s="496"/>
      <c r="L269" s="496"/>
      <c r="M269" s="144"/>
      <c r="N269" s="144"/>
      <c r="O269" s="144"/>
      <c r="P269" s="144"/>
      <c r="Q269" s="144"/>
      <c r="R269" s="144"/>
      <c r="S269" s="144"/>
      <c r="T269" s="144"/>
      <c r="U269" s="144"/>
      <c r="V269" s="144"/>
      <c r="W269" s="144"/>
      <c r="X269" s="144"/>
      <c r="Y269" s="144"/>
      <c r="Z269" s="144"/>
      <c r="AA269" s="144"/>
      <c r="AB269" s="144"/>
      <c r="AC269" s="144"/>
      <c r="AD269" s="144"/>
      <c r="AE269" s="144"/>
      <c r="AF269" s="144"/>
    </row>
    <row r="270" ht="16.5" customHeight="1">
      <c r="A270" s="144"/>
      <c r="B270" s="552"/>
      <c r="C270" s="352"/>
      <c r="D270" s="352"/>
      <c r="E270" s="352"/>
      <c r="F270" s="352"/>
      <c r="G270" s="566"/>
      <c r="H270" s="352"/>
      <c r="I270" s="497"/>
      <c r="J270" s="497"/>
      <c r="K270" s="496"/>
      <c r="L270" s="496"/>
      <c r="M270" s="144"/>
      <c r="N270" s="144"/>
      <c r="O270" s="144"/>
      <c r="P270" s="144"/>
      <c r="Q270" s="144"/>
      <c r="R270" s="144"/>
      <c r="S270" s="144"/>
      <c r="T270" s="144"/>
      <c r="U270" s="144"/>
      <c r="V270" s="144"/>
      <c r="W270" s="144"/>
      <c r="X270" s="144"/>
      <c r="Y270" s="144"/>
      <c r="Z270" s="144"/>
      <c r="AA270" s="144"/>
      <c r="AB270" s="144"/>
      <c r="AC270" s="144"/>
      <c r="AD270" s="144"/>
      <c r="AE270" s="144"/>
      <c r="AF270" s="144"/>
    </row>
    <row r="271" ht="16.5" customHeight="1">
      <c r="A271" s="144"/>
      <c r="B271" s="552"/>
      <c r="C271" s="352"/>
      <c r="D271" s="352"/>
      <c r="E271" s="352"/>
      <c r="F271" s="568"/>
      <c r="G271" s="566"/>
      <c r="H271" s="568"/>
      <c r="I271" s="497"/>
      <c r="J271" s="497"/>
      <c r="K271" s="496"/>
      <c r="L271" s="496"/>
      <c r="M271" s="144"/>
      <c r="N271" s="144"/>
      <c r="O271" s="144"/>
      <c r="P271" s="144"/>
      <c r="Q271" s="144"/>
      <c r="R271" s="144"/>
      <c r="S271" s="144"/>
      <c r="T271" s="144"/>
      <c r="U271" s="144"/>
      <c r="V271" s="144"/>
      <c r="W271" s="144"/>
      <c r="X271" s="144"/>
      <c r="Y271" s="144"/>
      <c r="Z271" s="144"/>
      <c r="AA271" s="144"/>
      <c r="AB271" s="144"/>
      <c r="AC271" s="144"/>
      <c r="AD271" s="144"/>
      <c r="AE271" s="144"/>
      <c r="AF271" s="144"/>
    </row>
    <row r="272" ht="16.5" customHeight="1">
      <c r="A272" s="144"/>
      <c r="B272" s="552"/>
      <c r="C272" s="83"/>
      <c r="D272" s="352"/>
      <c r="E272" s="352"/>
      <c r="F272" s="352"/>
      <c r="G272" s="566"/>
      <c r="H272" s="352"/>
      <c r="I272" s="497"/>
      <c r="J272" s="497"/>
      <c r="K272" s="496"/>
      <c r="L272" s="496"/>
      <c r="M272" s="144"/>
      <c r="N272" s="144"/>
      <c r="O272" s="144"/>
      <c r="P272" s="144"/>
      <c r="Q272" s="144"/>
      <c r="R272" s="144"/>
      <c r="S272" s="144"/>
      <c r="T272" s="144"/>
      <c r="U272" s="144"/>
      <c r="V272" s="144"/>
      <c r="W272" s="144"/>
      <c r="X272" s="144"/>
      <c r="Y272" s="144"/>
      <c r="Z272" s="144"/>
      <c r="AA272" s="144"/>
      <c r="AB272" s="144"/>
      <c r="AC272" s="144"/>
      <c r="AD272" s="144"/>
      <c r="AE272" s="144"/>
      <c r="AF272" s="144"/>
    </row>
    <row r="273" ht="16.5" customHeight="1">
      <c r="A273" s="144"/>
      <c r="B273" s="552"/>
      <c r="C273" s="83"/>
      <c r="D273" s="352"/>
      <c r="E273" s="352"/>
      <c r="F273" s="352"/>
      <c r="G273" s="566"/>
      <c r="H273" s="352"/>
      <c r="I273" s="497"/>
      <c r="J273" s="497"/>
      <c r="K273" s="496"/>
      <c r="L273" s="496"/>
      <c r="M273" s="144"/>
      <c r="N273" s="144"/>
      <c r="O273" s="144"/>
      <c r="P273" s="144"/>
      <c r="Q273" s="144"/>
      <c r="R273" s="144"/>
      <c r="S273" s="144"/>
      <c r="T273" s="144"/>
      <c r="U273" s="144"/>
      <c r="V273" s="144"/>
      <c r="W273" s="144"/>
      <c r="X273" s="144"/>
      <c r="Y273" s="144"/>
      <c r="Z273" s="144"/>
      <c r="AA273" s="144"/>
      <c r="AB273" s="144"/>
      <c r="AC273" s="144"/>
      <c r="AD273" s="144"/>
      <c r="AE273" s="144"/>
      <c r="AF273" s="144"/>
    </row>
    <row r="274" ht="16.5" customHeight="1">
      <c r="A274" s="144"/>
      <c r="B274" s="552"/>
      <c r="C274" s="83"/>
      <c r="D274" s="352"/>
      <c r="E274" s="352"/>
      <c r="F274" s="352"/>
      <c r="G274" s="566"/>
      <c r="H274" s="352"/>
      <c r="I274" s="497"/>
      <c r="J274" s="497"/>
      <c r="K274" s="496"/>
      <c r="L274" s="496"/>
      <c r="M274" s="144"/>
      <c r="N274" s="144"/>
      <c r="O274" s="144"/>
      <c r="P274" s="144"/>
      <c r="Q274" s="144"/>
      <c r="R274" s="144"/>
      <c r="S274" s="144"/>
      <c r="T274" s="144"/>
      <c r="U274" s="144"/>
      <c r="V274" s="144"/>
      <c r="W274" s="144"/>
      <c r="X274" s="144"/>
      <c r="Y274" s="144"/>
      <c r="Z274" s="144"/>
      <c r="AA274" s="144"/>
      <c r="AB274" s="144"/>
      <c r="AC274" s="144"/>
      <c r="AD274" s="144"/>
      <c r="AE274" s="144"/>
      <c r="AF274" s="144"/>
    </row>
    <row r="275" ht="16.5" customHeight="1">
      <c r="A275" s="144"/>
      <c r="B275" s="552"/>
      <c r="C275" s="83"/>
      <c r="D275" s="352"/>
      <c r="E275" s="352"/>
      <c r="F275" s="352"/>
      <c r="G275" s="566"/>
      <c r="H275" s="352"/>
      <c r="I275" s="569"/>
      <c r="J275" s="497"/>
      <c r="K275" s="496"/>
      <c r="L275" s="496"/>
      <c r="M275" s="144"/>
      <c r="N275" s="144"/>
      <c r="O275" s="144"/>
      <c r="P275" s="144"/>
      <c r="Q275" s="144"/>
      <c r="R275" s="144"/>
      <c r="S275" s="144"/>
      <c r="T275" s="144"/>
      <c r="U275" s="144"/>
      <c r="V275" s="144"/>
      <c r="W275" s="144"/>
      <c r="X275" s="144"/>
      <c r="Y275" s="144"/>
      <c r="Z275" s="144"/>
      <c r="AA275" s="144"/>
      <c r="AB275" s="144"/>
      <c r="AC275" s="144"/>
      <c r="AD275" s="144"/>
      <c r="AE275" s="144"/>
      <c r="AF275" s="144"/>
    </row>
    <row r="276" ht="16.5" customHeight="1">
      <c r="A276" s="144"/>
      <c r="B276" s="552"/>
      <c r="C276" s="83"/>
      <c r="D276" s="352"/>
      <c r="E276" s="352"/>
      <c r="F276" s="352"/>
      <c r="G276" s="566"/>
      <c r="H276" s="352"/>
      <c r="I276" s="497"/>
      <c r="J276" s="497"/>
      <c r="K276" s="496"/>
      <c r="L276" s="496"/>
      <c r="M276" s="144"/>
      <c r="N276" s="144"/>
      <c r="O276" s="144"/>
      <c r="P276" s="144"/>
      <c r="Q276" s="144"/>
      <c r="R276" s="144"/>
      <c r="S276" s="144"/>
      <c r="T276" s="144"/>
      <c r="U276" s="144"/>
      <c r="V276" s="144"/>
      <c r="W276" s="144"/>
      <c r="X276" s="144"/>
      <c r="Y276" s="144"/>
      <c r="Z276" s="144"/>
      <c r="AA276" s="144"/>
      <c r="AB276" s="144"/>
      <c r="AC276" s="144"/>
      <c r="AD276" s="144"/>
      <c r="AE276" s="144"/>
      <c r="AF276" s="144"/>
    </row>
    <row r="277" ht="16.5" customHeight="1">
      <c r="A277" s="144"/>
      <c r="B277" s="552"/>
      <c r="C277" s="83"/>
      <c r="D277" s="352"/>
      <c r="E277" s="352"/>
      <c r="F277" s="505"/>
      <c r="G277" s="566"/>
      <c r="H277" s="505"/>
      <c r="I277" s="497"/>
      <c r="J277" s="497"/>
      <c r="K277" s="496"/>
      <c r="L277" s="496"/>
      <c r="M277" s="144"/>
      <c r="N277" s="144"/>
      <c r="O277" s="144"/>
      <c r="P277" s="144"/>
      <c r="Q277" s="144"/>
      <c r="R277" s="144"/>
      <c r="S277" s="144"/>
      <c r="T277" s="144"/>
      <c r="U277" s="144"/>
      <c r="V277" s="144"/>
      <c r="W277" s="144"/>
      <c r="X277" s="144"/>
      <c r="Y277" s="144"/>
      <c r="Z277" s="144"/>
      <c r="AA277" s="144"/>
      <c r="AB277" s="144"/>
      <c r="AC277" s="144"/>
      <c r="AD277" s="144"/>
      <c r="AE277" s="144"/>
      <c r="AF277" s="144"/>
    </row>
    <row r="278" ht="16.5" customHeight="1">
      <c r="A278" s="144"/>
      <c r="B278" s="552"/>
      <c r="C278" s="83"/>
      <c r="D278" s="352"/>
      <c r="E278" s="352"/>
      <c r="F278" s="352"/>
      <c r="G278" s="566"/>
      <c r="H278" s="505"/>
      <c r="I278" s="497"/>
      <c r="J278" s="497"/>
      <c r="K278" s="496"/>
      <c r="L278" s="496"/>
      <c r="M278" s="144"/>
      <c r="N278" s="144"/>
      <c r="O278" s="144"/>
      <c r="P278" s="144"/>
      <c r="Q278" s="144"/>
      <c r="R278" s="144"/>
      <c r="S278" s="144"/>
      <c r="T278" s="144"/>
      <c r="U278" s="144"/>
      <c r="V278" s="144"/>
      <c r="W278" s="144"/>
      <c r="X278" s="144"/>
      <c r="Y278" s="144"/>
      <c r="Z278" s="144"/>
      <c r="AA278" s="144"/>
      <c r="AB278" s="144"/>
      <c r="AC278" s="144"/>
      <c r="AD278" s="144"/>
      <c r="AE278" s="144"/>
      <c r="AF278" s="144"/>
    </row>
    <row r="279" ht="16.5" customHeight="1">
      <c r="A279" s="144"/>
      <c r="B279" s="552"/>
      <c r="C279" s="83"/>
      <c r="D279" s="352"/>
      <c r="E279" s="352"/>
      <c r="F279" s="352"/>
      <c r="G279" s="566"/>
      <c r="H279" s="352"/>
      <c r="I279" s="497"/>
      <c r="J279" s="496"/>
      <c r="K279" s="496"/>
      <c r="L279" s="496"/>
      <c r="M279" s="144"/>
      <c r="N279" s="144"/>
      <c r="O279" s="144"/>
      <c r="P279" s="144"/>
      <c r="Q279" s="144"/>
      <c r="R279" s="144"/>
      <c r="S279" s="144"/>
      <c r="T279" s="144"/>
      <c r="U279" s="144"/>
      <c r="V279" s="144"/>
      <c r="W279" s="144"/>
      <c r="X279" s="144"/>
      <c r="Y279" s="144"/>
      <c r="Z279" s="144"/>
      <c r="AA279" s="144"/>
      <c r="AB279" s="144"/>
      <c r="AC279" s="144"/>
      <c r="AD279" s="144"/>
      <c r="AE279" s="144"/>
      <c r="AF279" s="144"/>
    </row>
    <row r="280" ht="16.5" customHeight="1">
      <c r="A280" s="144"/>
      <c r="B280" s="552"/>
      <c r="C280" s="83"/>
      <c r="D280" s="352"/>
      <c r="E280" s="352"/>
      <c r="F280" s="568"/>
      <c r="G280" s="566"/>
      <c r="H280" s="568"/>
      <c r="I280" s="497"/>
      <c r="J280" s="496"/>
      <c r="K280" s="496"/>
      <c r="L280" s="496"/>
      <c r="M280" s="144"/>
      <c r="N280" s="144"/>
      <c r="O280" s="144"/>
      <c r="P280" s="144"/>
      <c r="Q280" s="144"/>
      <c r="R280" s="144"/>
      <c r="S280" s="144"/>
      <c r="T280" s="144"/>
      <c r="U280" s="144"/>
      <c r="V280" s="144"/>
      <c r="W280" s="144"/>
      <c r="X280" s="144"/>
      <c r="Y280" s="144"/>
      <c r="Z280" s="144"/>
      <c r="AA280" s="144"/>
      <c r="AB280" s="144"/>
      <c r="AC280" s="144"/>
      <c r="AD280" s="144"/>
      <c r="AE280" s="144"/>
      <c r="AF280" s="144"/>
    </row>
    <row r="281" ht="16.5" customHeight="1">
      <c r="A281" s="144"/>
      <c r="B281" s="552"/>
      <c r="C281" s="497"/>
      <c r="D281" s="497"/>
      <c r="E281" s="497"/>
      <c r="F281" s="497"/>
      <c r="G281" s="497"/>
      <c r="H281" s="497"/>
      <c r="I281" s="497"/>
      <c r="J281" s="496"/>
      <c r="K281" s="496"/>
      <c r="L281" s="496"/>
      <c r="M281" s="144"/>
      <c r="N281" s="144"/>
      <c r="O281" s="144"/>
      <c r="P281" s="144"/>
      <c r="Q281" s="144"/>
      <c r="R281" s="144"/>
      <c r="S281" s="144"/>
      <c r="T281" s="144"/>
      <c r="U281" s="144"/>
      <c r="V281" s="144"/>
      <c r="W281" s="144"/>
      <c r="X281" s="144"/>
      <c r="Y281" s="144"/>
      <c r="Z281" s="144"/>
      <c r="AA281" s="144"/>
      <c r="AB281" s="144"/>
      <c r="AC281" s="144"/>
      <c r="AD281" s="144"/>
      <c r="AE281" s="144"/>
      <c r="AF281" s="144"/>
    </row>
    <row r="282" ht="16.5" customHeight="1">
      <c r="A282" s="144"/>
      <c r="B282" s="156"/>
      <c r="C282" s="569"/>
      <c r="D282" s="569"/>
      <c r="E282" s="569"/>
      <c r="F282" s="569"/>
      <c r="G282" s="569"/>
      <c r="H282" s="569"/>
      <c r="I282" s="496"/>
      <c r="J282" s="496"/>
      <c r="K282" s="496"/>
      <c r="L282" s="496"/>
      <c r="M282" s="144"/>
      <c r="N282" s="144"/>
      <c r="O282" s="144"/>
      <c r="P282" s="144"/>
      <c r="Q282" s="144"/>
      <c r="R282" s="144"/>
      <c r="S282" s="144"/>
      <c r="T282" s="144"/>
      <c r="U282" s="144"/>
      <c r="V282" s="144"/>
      <c r="W282" s="144"/>
      <c r="X282" s="144"/>
      <c r="Y282" s="144"/>
      <c r="Z282" s="144"/>
      <c r="AA282" s="144"/>
      <c r="AB282" s="144"/>
      <c r="AC282" s="144"/>
      <c r="AD282" s="144"/>
      <c r="AE282" s="144"/>
      <c r="AF282" s="144"/>
    </row>
    <row r="283" ht="16.5" customHeight="1">
      <c r="A283" s="144"/>
      <c r="B283" s="552"/>
      <c r="C283" s="569"/>
      <c r="D283" s="569"/>
      <c r="E283" s="569"/>
      <c r="F283" s="569"/>
      <c r="G283" s="569"/>
      <c r="H283" s="569"/>
      <c r="I283" s="496"/>
      <c r="J283" s="496"/>
      <c r="K283" s="496"/>
      <c r="L283" s="496"/>
      <c r="M283" s="144"/>
      <c r="N283" s="144"/>
      <c r="O283" s="144"/>
      <c r="P283" s="144"/>
      <c r="Q283" s="144"/>
      <c r="R283" s="144"/>
      <c r="S283" s="144"/>
      <c r="T283" s="144"/>
      <c r="U283" s="144"/>
      <c r="V283" s="144"/>
      <c r="W283" s="144"/>
      <c r="X283" s="144"/>
      <c r="Y283" s="144"/>
      <c r="Z283" s="144"/>
      <c r="AA283" s="144"/>
      <c r="AB283" s="144"/>
      <c r="AC283" s="144"/>
      <c r="AD283" s="144"/>
      <c r="AE283" s="144"/>
      <c r="AF283" s="144"/>
    </row>
    <row r="284" ht="16.5" customHeight="1">
      <c r="A284" s="144"/>
      <c r="B284" s="156"/>
      <c r="C284" s="569"/>
      <c r="D284" s="569"/>
      <c r="E284" s="569"/>
      <c r="F284" s="569"/>
      <c r="G284" s="569"/>
      <c r="H284" s="569"/>
      <c r="I284" s="496"/>
      <c r="J284" s="496"/>
      <c r="K284" s="496"/>
      <c r="L284" s="496"/>
      <c r="M284" s="144"/>
      <c r="N284" s="144"/>
      <c r="O284" s="144"/>
      <c r="P284" s="144"/>
      <c r="Q284" s="144"/>
      <c r="R284" s="144"/>
      <c r="S284" s="144"/>
      <c r="T284" s="144"/>
      <c r="U284" s="144"/>
      <c r="V284" s="144"/>
      <c r="W284" s="144"/>
      <c r="X284" s="144"/>
      <c r="Y284" s="144"/>
      <c r="Z284" s="144"/>
      <c r="AA284" s="144"/>
      <c r="AB284" s="144"/>
      <c r="AC284" s="144"/>
      <c r="AD284" s="144"/>
      <c r="AE284" s="144"/>
      <c r="AF284" s="144"/>
    </row>
    <row r="285" ht="16.5" customHeight="1">
      <c r="A285" s="144"/>
      <c r="B285" s="552"/>
      <c r="C285" s="569"/>
      <c r="D285" s="569"/>
      <c r="E285" s="569"/>
      <c r="F285" s="569"/>
      <c r="G285" s="569"/>
      <c r="H285" s="569"/>
      <c r="I285" s="496"/>
      <c r="J285" s="496"/>
      <c r="K285" s="496"/>
      <c r="L285" s="496"/>
      <c r="M285" s="144"/>
      <c r="N285" s="144"/>
      <c r="O285" s="144"/>
      <c r="P285" s="144"/>
      <c r="Q285" s="144"/>
      <c r="R285" s="144"/>
      <c r="S285" s="144"/>
      <c r="T285" s="144"/>
      <c r="U285" s="144"/>
      <c r="V285" s="144"/>
      <c r="W285" s="144"/>
      <c r="X285" s="144"/>
      <c r="Y285" s="144"/>
      <c r="Z285" s="144"/>
      <c r="AA285" s="144"/>
      <c r="AB285" s="144"/>
      <c r="AC285" s="144"/>
      <c r="AD285" s="144"/>
      <c r="AE285" s="144"/>
      <c r="AF285" s="144"/>
    </row>
    <row r="286" ht="16.5" customHeight="1">
      <c r="A286" s="144"/>
      <c r="B286" s="156"/>
      <c r="C286" s="352"/>
      <c r="D286" s="352"/>
      <c r="E286" s="352"/>
      <c r="F286" s="352"/>
      <c r="G286" s="566"/>
      <c r="H286" s="497"/>
      <c r="I286" s="496"/>
      <c r="J286" s="496"/>
      <c r="K286" s="496"/>
      <c r="L286" s="496"/>
      <c r="M286" s="144"/>
      <c r="N286" s="144"/>
      <c r="O286" s="144"/>
      <c r="P286" s="144"/>
      <c r="Q286" s="144"/>
      <c r="R286" s="144"/>
      <c r="S286" s="144"/>
      <c r="T286" s="144"/>
      <c r="U286" s="144"/>
      <c r="V286" s="144"/>
      <c r="W286" s="144"/>
      <c r="X286" s="144"/>
      <c r="Y286" s="144"/>
      <c r="Z286" s="144"/>
      <c r="AA286" s="144"/>
      <c r="AB286" s="144"/>
      <c r="AC286" s="144"/>
      <c r="AD286" s="144"/>
      <c r="AE286" s="144"/>
      <c r="AF286" s="144"/>
    </row>
    <row r="287" ht="16.5" customHeight="1">
      <c r="A287" s="144"/>
      <c r="B287" s="552"/>
      <c r="C287" s="352"/>
      <c r="D287" s="352"/>
      <c r="E287" s="352"/>
      <c r="F287" s="352"/>
      <c r="G287" s="566"/>
      <c r="H287" s="352"/>
      <c r="I287" s="496"/>
      <c r="J287" s="496"/>
      <c r="K287" s="496"/>
      <c r="L287" s="496"/>
      <c r="M287" s="144"/>
      <c r="N287" s="144"/>
      <c r="O287" s="144"/>
      <c r="P287" s="144"/>
      <c r="Q287" s="144"/>
      <c r="R287" s="144"/>
      <c r="S287" s="144"/>
      <c r="T287" s="144"/>
      <c r="U287" s="144"/>
      <c r="V287" s="144"/>
      <c r="W287" s="144"/>
      <c r="X287" s="144"/>
      <c r="Y287" s="144"/>
      <c r="Z287" s="144"/>
      <c r="AA287" s="144"/>
      <c r="AB287" s="144"/>
      <c r="AC287" s="144"/>
      <c r="AD287" s="144"/>
      <c r="AE287" s="144"/>
      <c r="AF287" s="144"/>
    </row>
    <row r="288" ht="16.5" customHeight="1">
      <c r="A288" s="144"/>
      <c r="B288" s="552"/>
      <c r="C288" s="352"/>
      <c r="D288" s="352"/>
      <c r="E288" s="352"/>
      <c r="F288" s="352"/>
      <c r="G288" s="566"/>
      <c r="H288" s="352"/>
      <c r="I288" s="496"/>
      <c r="J288" s="496"/>
      <c r="K288" s="496"/>
      <c r="L288" s="496"/>
      <c r="M288" s="144"/>
      <c r="N288" s="144"/>
      <c r="O288" s="144"/>
      <c r="P288" s="144"/>
      <c r="Q288" s="144"/>
      <c r="R288" s="144"/>
      <c r="S288" s="144"/>
      <c r="T288" s="144"/>
      <c r="U288" s="144"/>
      <c r="V288" s="144"/>
      <c r="W288" s="144"/>
      <c r="X288" s="144"/>
      <c r="Y288" s="144"/>
      <c r="Z288" s="144"/>
      <c r="AA288" s="144"/>
      <c r="AB288" s="144"/>
      <c r="AC288" s="144"/>
      <c r="AD288" s="144"/>
      <c r="AE288" s="144"/>
      <c r="AF288" s="144"/>
    </row>
    <row r="289" ht="16.5" customHeight="1">
      <c r="A289" s="144"/>
      <c r="B289" s="156"/>
      <c r="C289" s="352"/>
      <c r="D289" s="352"/>
      <c r="E289" s="352"/>
      <c r="F289" s="352"/>
      <c r="G289" s="566"/>
      <c r="H289" s="352"/>
      <c r="I289" s="496"/>
      <c r="J289" s="496"/>
      <c r="K289" s="496"/>
      <c r="L289" s="496"/>
      <c r="M289" s="144"/>
      <c r="N289" s="144"/>
      <c r="O289" s="144"/>
      <c r="P289" s="144"/>
      <c r="Q289" s="144"/>
      <c r="R289" s="144"/>
      <c r="S289" s="144"/>
      <c r="T289" s="144"/>
      <c r="U289" s="144"/>
      <c r="V289" s="144"/>
      <c r="W289" s="144"/>
      <c r="X289" s="144"/>
      <c r="Y289" s="144"/>
      <c r="Z289" s="144"/>
      <c r="AA289" s="144"/>
      <c r="AB289" s="144"/>
      <c r="AC289" s="144"/>
      <c r="AD289" s="144"/>
      <c r="AE289" s="144"/>
      <c r="AF289" s="144"/>
    </row>
    <row r="290" ht="16.5" customHeight="1">
      <c r="A290" s="144"/>
      <c r="B290" s="552"/>
      <c r="C290" s="352"/>
      <c r="D290" s="352"/>
      <c r="E290" s="352"/>
      <c r="F290" s="505"/>
      <c r="G290" s="566"/>
      <c r="H290" s="505"/>
      <c r="I290" s="496"/>
      <c r="J290" s="496"/>
      <c r="K290" s="496"/>
      <c r="L290" s="496"/>
      <c r="M290" s="144"/>
      <c r="N290" s="144"/>
      <c r="O290" s="144"/>
      <c r="P290" s="144"/>
      <c r="Q290" s="144"/>
      <c r="R290" s="144"/>
      <c r="S290" s="144"/>
      <c r="T290" s="144"/>
      <c r="U290" s="144"/>
      <c r="V290" s="144"/>
      <c r="W290" s="144"/>
      <c r="X290" s="144"/>
      <c r="Y290" s="144"/>
      <c r="Z290" s="144"/>
      <c r="AA290" s="144"/>
      <c r="AB290" s="144"/>
      <c r="AC290" s="144"/>
      <c r="AD290" s="144"/>
      <c r="AE290" s="144"/>
      <c r="AF290" s="144"/>
    </row>
    <row r="291" ht="16.5" customHeight="1">
      <c r="A291" s="144"/>
      <c r="B291" s="552"/>
      <c r="C291" s="83"/>
      <c r="D291" s="83"/>
      <c r="E291" s="83"/>
      <c r="F291" s="501"/>
      <c r="G291" s="566"/>
      <c r="H291" s="156"/>
      <c r="I291" s="496"/>
      <c r="J291" s="496"/>
      <c r="K291" s="496"/>
      <c r="L291" s="496"/>
      <c r="M291" s="144"/>
      <c r="N291" s="144"/>
      <c r="O291" s="144"/>
      <c r="P291" s="144"/>
      <c r="Q291" s="144"/>
      <c r="R291" s="144"/>
      <c r="S291" s="144"/>
      <c r="T291" s="144"/>
      <c r="U291" s="144"/>
      <c r="V291" s="144"/>
      <c r="W291" s="144"/>
      <c r="X291" s="144"/>
      <c r="Y291" s="144"/>
      <c r="Z291" s="144"/>
      <c r="AA291" s="144"/>
      <c r="AB291" s="144"/>
      <c r="AC291" s="144"/>
      <c r="AD291" s="144"/>
      <c r="AE291" s="144"/>
      <c r="AF291" s="144"/>
    </row>
    <row r="292" ht="16.5" customHeight="1">
      <c r="A292" s="144"/>
      <c r="B292" s="552"/>
      <c r="C292" s="83"/>
      <c r="D292" s="83"/>
      <c r="E292" s="83"/>
      <c r="F292" s="501"/>
      <c r="G292" s="566"/>
      <c r="H292" s="156"/>
      <c r="I292" s="496"/>
      <c r="J292" s="496"/>
      <c r="K292" s="496"/>
      <c r="L292" s="496"/>
      <c r="M292" s="144"/>
      <c r="N292" s="144"/>
      <c r="O292" s="144"/>
      <c r="P292" s="144"/>
      <c r="Q292" s="144"/>
      <c r="R292" s="144"/>
      <c r="S292" s="144"/>
      <c r="T292" s="144"/>
      <c r="U292" s="144"/>
      <c r="V292" s="144"/>
      <c r="W292" s="144"/>
      <c r="X292" s="144"/>
      <c r="Y292" s="144"/>
      <c r="Z292" s="144"/>
      <c r="AA292" s="144"/>
      <c r="AB292" s="144"/>
      <c r="AC292" s="144"/>
      <c r="AD292" s="144"/>
      <c r="AE292" s="144"/>
      <c r="AF292" s="144"/>
    </row>
    <row r="293" ht="16.5" customHeight="1">
      <c r="A293" s="144"/>
      <c r="B293" s="552"/>
      <c r="C293" s="83"/>
      <c r="D293" s="83"/>
      <c r="E293" s="156"/>
      <c r="F293" s="156"/>
      <c r="G293" s="566"/>
      <c r="H293" s="156"/>
      <c r="I293" s="496"/>
      <c r="J293" s="496"/>
      <c r="K293" s="496"/>
      <c r="L293" s="496"/>
      <c r="M293" s="144"/>
      <c r="N293" s="144"/>
      <c r="O293" s="144"/>
      <c r="P293" s="144"/>
      <c r="Q293" s="144"/>
      <c r="R293" s="144"/>
      <c r="S293" s="144"/>
      <c r="T293" s="144"/>
      <c r="U293" s="144"/>
      <c r="V293" s="144"/>
      <c r="W293" s="144"/>
      <c r="X293" s="144"/>
      <c r="Y293" s="144"/>
      <c r="Z293" s="144"/>
      <c r="AA293" s="144"/>
      <c r="AB293" s="144"/>
      <c r="AC293" s="144"/>
      <c r="AD293" s="144"/>
      <c r="AE293" s="144"/>
      <c r="AF293" s="144"/>
    </row>
    <row r="294" ht="16.5" customHeight="1">
      <c r="A294" s="144"/>
      <c r="B294" s="552"/>
      <c r="C294" s="83"/>
      <c r="D294" s="83"/>
      <c r="E294" s="164"/>
      <c r="F294" s="156"/>
      <c r="G294" s="566"/>
      <c r="H294" s="568"/>
      <c r="I294" s="496"/>
      <c r="J294" s="496"/>
      <c r="K294" s="496"/>
      <c r="L294" s="496"/>
      <c r="M294" s="144"/>
      <c r="N294" s="144"/>
      <c r="O294" s="144"/>
      <c r="P294" s="144"/>
      <c r="Q294" s="144"/>
      <c r="R294" s="144"/>
      <c r="S294" s="144"/>
      <c r="T294" s="144"/>
      <c r="U294" s="144"/>
      <c r="V294" s="144"/>
      <c r="W294" s="144"/>
      <c r="X294" s="144"/>
      <c r="Y294" s="144"/>
      <c r="Z294" s="144"/>
      <c r="AA294" s="144"/>
      <c r="AB294" s="144"/>
      <c r="AC294" s="144"/>
      <c r="AD294" s="144"/>
      <c r="AE294" s="144"/>
      <c r="AF294" s="144"/>
    </row>
    <row r="295" ht="16.5" customHeight="1">
      <c r="A295" s="144"/>
      <c r="B295" s="164"/>
      <c r="C295" s="164"/>
      <c r="D295" s="164"/>
      <c r="E295" s="164"/>
      <c r="F295" s="156"/>
      <c r="G295" s="156"/>
      <c r="H295" s="156"/>
      <c r="I295" s="496"/>
      <c r="J295" s="496"/>
      <c r="K295" s="496"/>
      <c r="L295" s="496"/>
      <c r="M295" s="144"/>
      <c r="N295" s="144"/>
      <c r="O295" s="144"/>
      <c r="P295" s="144"/>
      <c r="Q295" s="144"/>
      <c r="R295" s="144"/>
      <c r="S295" s="144"/>
      <c r="T295" s="144"/>
      <c r="U295" s="144"/>
      <c r="V295" s="144"/>
      <c r="W295" s="144"/>
      <c r="X295" s="144"/>
      <c r="Y295" s="144"/>
      <c r="Z295" s="144"/>
      <c r="AA295" s="144"/>
      <c r="AB295" s="144"/>
      <c r="AC295" s="144"/>
      <c r="AD295" s="144"/>
      <c r="AE295" s="144"/>
      <c r="AF295" s="144"/>
    </row>
    <row r="296" ht="16.5" customHeight="1">
      <c r="A296" s="144"/>
      <c r="B296" s="164"/>
      <c r="C296" s="164"/>
      <c r="D296" s="164"/>
      <c r="E296" s="164"/>
      <c r="F296" s="156"/>
      <c r="G296" s="156"/>
      <c r="H296" s="156"/>
      <c r="I296" s="496"/>
      <c r="J296" s="496"/>
      <c r="K296" s="496"/>
      <c r="L296" s="496"/>
      <c r="M296" s="144"/>
      <c r="N296" s="144"/>
      <c r="O296" s="144"/>
      <c r="P296" s="144"/>
      <c r="Q296" s="144"/>
      <c r="R296" s="144"/>
      <c r="S296" s="144"/>
      <c r="T296" s="144"/>
      <c r="U296" s="144"/>
      <c r="V296" s="144"/>
      <c r="W296" s="144"/>
      <c r="X296" s="144"/>
      <c r="Y296" s="144"/>
      <c r="Z296" s="144"/>
      <c r="AA296" s="144"/>
      <c r="AB296" s="144"/>
      <c r="AC296" s="144"/>
      <c r="AD296" s="144"/>
      <c r="AE296" s="144"/>
      <c r="AF296" s="144"/>
    </row>
    <row r="297" ht="16.5" customHeight="1">
      <c r="A297" s="144"/>
      <c r="B297" s="541"/>
      <c r="C297" s="570"/>
      <c r="D297" s="352"/>
      <c r="E297" s="352"/>
      <c r="F297" s="352"/>
      <c r="G297" s="560"/>
      <c r="H297" s="352"/>
      <c r="I297" s="496"/>
      <c r="J297" s="496"/>
      <c r="K297" s="496"/>
      <c r="L297" s="496"/>
      <c r="M297" s="144"/>
      <c r="N297" s="144"/>
      <c r="O297" s="144"/>
      <c r="P297" s="144"/>
      <c r="Q297" s="144"/>
      <c r="R297" s="144"/>
      <c r="S297" s="144"/>
      <c r="T297" s="144"/>
      <c r="U297" s="144"/>
      <c r="V297" s="144"/>
      <c r="W297" s="144"/>
      <c r="X297" s="144"/>
      <c r="Y297" s="144"/>
      <c r="Z297" s="144"/>
      <c r="AA297" s="144"/>
      <c r="AB297" s="144"/>
      <c r="AC297" s="144"/>
      <c r="AD297" s="144"/>
      <c r="AE297" s="144"/>
      <c r="AF297" s="144"/>
    </row>
    <row r="298" ht="16.5" customHeight="1">
      <c r="A298" s="144"/>
      <c r="B298" s="541"/>
      <c r="C298" s="570"/>
      <c r="D298" s="352"/>
      <c r="E298" s="352"/>
      <c r="F298" s="352"/>
      <c r="G298" s="352"/>
      <c r="H298" s="352"/>
      <c r="I298" s="496"/>
      <c r="J298" s="496"/>
      <c r="K298" s="496"/>
      <c r="L298" s="496"/>
      <c r="M298" s="144"/>
      <c r="N298" s="144"/>
      <c r="O298" s="144"/>
      <c r="P298" s="144"/>
      <c r="Q298" s="144"/>
      <c r="R298" s="144"/>
      <c r="S298" s="144"/>
      <c r="T298" s="144"/>
      <c r="U298" s="144"/>
      <c r="V298" s="144"/>
      <c r="W298" s="144"/>
      <c r="X298" s="144"/>
      <c r="Y298" s="144"/>
      <c r="Z298" s="144"/>
      <c r="AA298" s="144"/>
      <c r="AB298" s="144"/>
      <c r="AC298" s="144"/>
      <c r="AD298" s="144"/>
      <c r="AE298" s="144"/>
      <c r="AF298" s="144"/>
    </row>
    <row r="299" ht="16.5" customHeight="1">
      <c r="A299" s="144"/>
      <c r="B299" s="541"/>
      <c r="C299" s="570"/>
      <c r="D299" s="352"/>
      <c r="E299" s="352"/>
      <c r="F299" s="352"/>
      <c r="G299" s="352"/>
      <c r="H299" s="352"/>
      <c r="I299" s="496"/>
      <c r="J299" s="496"/>
      <c r="K299" s="496"/>
      <c r="L299" s="496"/>
      <c r="M299" s="144"/>
      <c r="N299" s="144"/>
      <c r="O299" s="144"/>
      <c r="P299" s="144"/>
      <c r="Q299" s="144"/>
      <c r="R299" s="144"/>
      <c r="S299" s="144"/>
      <c r="T299" s="144"/>
      <c r="U299" s="144"/>
      <c r="V299" s="144"/>
      <c r="W299" s="144"/>
      <c r="X299" s="144"/>
      <c r="Y299" s="144"/>
      <c r="Z299" s="144"/>
      <c r="AA299" s="144"/>
      <c r="AB299" s="144"/>
      <c r="AC299" s="144"/>
      <c r="AD299" s="144"/>
      <c r="AE299" s="144"/>
      <c r="AF299" s="144"/>
    </row>
    <row r="300" ht="16.5" customHeight="1">
      <c r="A300" s="144"/>
      <c r="B300" s="144"/>
      <c r="C300" s="144"/>
      <c r="D300" s="144"/>
      <c r="E300" s="144"/>
      <c r="F300" s="144"/>
      <c r="G300" s="144"/>
      <c r="H300" s="144"/>
      <c r="I300" s="496"/>
      <c r="J300" s="496"/>
      <c r="K300" s="496"/>
      <c r="L300" s="496"/>
      <c r="M300" s="144"/>
      <c r="N300" s="144"/>
      <c r="O300" s="144"/>
      <c r="P300" s="144"/>
      <c r="Q300" s="144"/>
      <c r="R300" s="144"/>
      <c r="S300" s="144"/>
      <c r="T300" s="144"/>
      <c r="U300" s="144"/>
      <c r="V300" s="144"/>
      <c r="W300" s="144"/>
      <c r="X300" s="144"/>
      <c r="Y300" s="144"/>
      <c r="Z300" s="144"/>
      <c r="AA300" s="144"/>
      <c r="AB300" s="144"/>
      <c r="AC300" s="144"/>
      <c r="AD300" s="144"/>
      <c r="AE300" s="144"/>
      <c r="AF300" s="144"/>
    </row>
    <row r="301" ht="16.5" customHeight="1">
      <c r="A301" s="144"/>
      <c r="B301" s="144"/>
      <c r="C301" s="144"/>
      <c r="D301" s="144"/>
      <c r="E301" s="144"/>
      <c r="F301" s="144"/>
      <c r="G301" s="144"/>
      <c r="H301" s="144"/>
      <c r="I301" s="496"/>
      <c r="J301" s="496"/>
      <c r="K301" s="496"/>
      <c r="L301" s="496"/>
      <c r="M301" s="144"/>
      <c r="N301" s="144"/>
      <c r="O301" s="144"/>
      <c r="P301" s="144"/>
      <c r="Q301" s="144"/>
      <c r="R301" s="144"/>
      <c r="S301" s="144"/>
      <c r="T301" s="144"/>
      <c r="U301" s="144"/>
      <c r="V301" s="144"/>
      <c r="W301" s="144"/>
      <c r="X301" s="144"/>
      <c r="Y301" s="144"/>
      <c r="Z301" s="144"/>
      <c r="AA301" s="144"/>
      <c r="AB301" s="144"/>
      <c r="AC301" s="144"/>
      <c r="AD301" s="144"/>
      <c r="AE301" s="144"/>
      <c r="AF301" s="144"/>
    </row>
    <row r="302" ht="16.5" customHeight="1">
      <c r="A302" s="144"/>
      <c r="B302" s="144"/>
      <c r="C302" s="144"/>
      <c r="D302" s="144"/>
      <c r="E302" s="144"/>
      <c r="F302" s="144"/>
      <c r="G302" s="144"/>
      <c r="H302" s="144"/>
      <c r="I302" s="496"/>
      <c r="J302" s="496"/>
      <c r="K302" s="496"/>
      <c r="L302" s="496"/>
      <c r="M302" s="144"/>
      <c r="N302" s="144"/>
      <c r="O302" s="144"/>
      <c r="P302" s="144"/>
      <c r="Q302" s="144"/>
      <c r="R302" s="144"/>
      <c r="S302" s="144"/>
      <c r="T302" s="144"/>
      <c r="U302" s="144"/>
      <c r="V302" s="144"/>
      <c r="W302" s="144"/>
      <c r="X302" s="144"/>
      <c r="Y302" s="144"/>
      <c r="Z302" s="144"/>
      <c r="AA302" s="144"/>
      <c r="AB302" s="144"/>
      <c r="AC302" s="144"/>
      <c r="AD302" s="144"/>
      <c r="AE302" s="144"/>
      <c r="AF302" s="144"/>
    </row>
    <row r="303" ht="16.5" customHeight="1">
      <c r="A303" s="144"/>
      <c r="B303" s="144"/>
      <c r="C303" s="144"/>
      <c r="D303" s="144"/>
      <c r="E303" s="144"/>
      <c r="F303" s="144"/>
      <c r="G303" s="144"/>
      <c r="H303" s="144"/>
      <c r="I303" s="496"/>
      <c r="J303" s="496"/>
      <c r="K303" s="496"/>
      <c r="L303" s="496"/>
      <c r="M303" s="144"/>
      <c r="N303" s="144"/>
      <c r="O303" s="144"/>
      <c r="P303" s="144"/>
      <c r="Q303" s="144"/>
      <c r="R303" s="144"/>
      <c r="S303" s="144"/>
      <c r="T303" s="144"/>
      <c r="U303" s="144"/>
      <c r="V303" s="144"/>
      <c r="W303" s="144"/>
      <c r="X303" s="144"/>
      <c r="Y303" s="144"/>
      <c r="Z303" s="144"/>
      <c r="AA303" s="144"/>
      <c r="AB303" s="144"/>
      <c r="AC303" s="144"/>
      <c r="AD303" s="144"/>
      <c r="AE303" s="144"/>
      <c r="AF303" s="144"/>
    </row>
    <row r="304" ht="16.5" customHeight="1">
      <c r="A304" s="144"/>
      <c r="B304" s="144"/>
      <c r="C304" s="144"/>
      <c r="D304" s="144"/>
      <c r="E304" s="144"/>
      <c r="F304" s="144"/>
      <c r="G304" s="144"/>
      <c r="H304" s="144"/>
      <c r="I304" s="496"/>
      <c r="J304" s="496"/>
      <c r="K304" s="496"/>
      <c r="L304" s="496"/>
      <c r="M304" s="144"/>
      <c r="N304" s="144"/>
      <c r="O304" s="144"/>
      <c r="P304" s="144"/>
      <c r="Q304" s="144"/>
      <c r="R304" s="144"/>
      <c r="S304" s="144"/>
      <c r="T304" s="144"/>
      <c r="U304" s="144"/>
      <c r="V304" s="144"/>
      <c r="W304" s="144"/>
      <c r="X304" s="144"/>
      <c r="Y304" s="144"/>
      <c r="Z304" s="144"/>
      <c r="AA304" s="144"/>
      <c r="AB304" s="144"/>
      <c r="AC304" s="144"/>
      <c r="AD304" s="144"/>
      <c r="AE304" s="144"/>
      <c r="AF304" s="144"/>
    </row>
    <row r="305" ht="16.5" customHeight="1">
      <c r="A305" s="144"/>
      <c r="B305" s="144"/>
      <c r="C305" s="144"/>
      <c r="D305" s="144"/>
      <c r="E305" s="144"/>
      <c r="F305" s="144"/>
      <c r="G305" s="144"/>
      <c r="H305" s="144"/>
      <c r="I305" s="496"/>
      <c r="J305" s="496"/>
      <c r="K305" s="496"/>
      <c r="L305" s="496"/>
      <c r="M305" s="144"/>
      <c r="N305" s="144"/>
      <c r="O305" s="144"/>
      <c r="P305" s="144"/>
      <c r="Q305" s="144"/>
      <c r="R305" s="144"/>
      <c r="S305" s="144"/>
      <c r="T305" s="144"/>
      <c r="U305" s="144"/>
      <c r="V305" s="144"/>
      <c r="W305" s="144"/>
      <c r="X305" s="144"/>
      <c r="Y305" s="144"/>
      <c r="Z305" s="144"/>
      <c r="AA305" s="144"/>
      <c r="AB305" s="144"/>
      <c r="AC305" s="144"/>
      <c r="AD305" s="144"/>
      <c r="AE305" s="144"/>
      <c r="AF305" s="144"/>
    </row>
    <row r="306" ht="16.5" customHeight="1">
      <c r="A306" s="144"/>
      <c r="B306" s="144"/>
      <c r="C306" s="144"/>
      <c r="D306" s="144"/>
      <c r="E306" s="144"/>
      <c r="F306" s="144"/>
      <c r="G306" s="144"/>
      <c r="H306" s="144"/>
      <c r="I306" s="496"/>
      <c r="J306" s="496"/>
      <c r="K306" s="496"/>
      <c r="L306" s="496"/>
      <c r="M306" s="144"/>
      <c r="N306" s="144"/>
      <c r="O306" s="144"/>
      <c r="P306" s="144"/>
      <c r="Q306" s="144"/>
      <c r="R306" s="144"/>
      <c r="S306" s="144"/>
      <c r="T306" s="144"/>
      <c r="U306" s="144"/>
      <c r="V306" s="144"/>
      <c r="W306" s="144"/>
      <c r="X306" s="144"/>
      <c r="Y306" s="144"/>
      <c r="Z306" s="144"/>
      <c r="AA306" s="144"/>
      <c r="AB306" s="144"/>
      <c r="AC306" s="144"/>
      <c r="AD306" s="144"/>
      <c r="AE306" s="144"/>
      <c r="AF306" s="144"/>
    </row>
    <row r="307" ht="16.5" customHeight="1">
      <c r="A307" s="144"/>
      <c r="B307" s="144"/>
      <c r="C307" s="144"/>
      <c r="D307" s="144"/>
      <c r="E307" s="144"/>
      <c r="F307" s="144"/>
      <c r="G307" s="144"/>
      <c r="H307" s="144"/>
      <c r="I307" s="496"/>
      <c r="J307" s="496"/>
      <c r="K307" s="496"/>
      <c r="L307" s="496"/>
      <c r="M307" s="144"/>
      <c r="N307" s="144"/>
      <c r="O307" s="144"/>
      <c r="P307" s="144"/>
      <c r="Q307" s="144"/>
      <c r="R307" s="144"/>
      <c r="S307" s="144"/>
      <c r="T307" s="144"/>
      <c r="U307" s="144"/>
      <c r="V307" s="144"/>
      <c r="W307" s="144"/>
      <c r="X307" s="144"/>
      <c r="Y307" s="144"/>
      <c r="Z307" s="144"/>
      <c r="AA307" s="144"/>
      <c r="AB307" s="144"/>
      <c r="AC307" s="144"/>
      <c r="AD307" s="144"/>
      <c r="AE307" s="144"/>
      <c r="AF307" s="144"/>
    </row>
    <row r="308" ht="16.5" customHeight="1">
      <c r="A308" s="144"/>
      <c r="B308" s="144"/>
      <c r="C308" s="144"/>
      <c r="D308" s="144"/>
      <c r="E308" s="144"/>
      <c r="F308" s="144"/>
      <c r="G308" s="144"/>
      <c r="H308" s="144"/>
      <c r="I308" s="496"/>
      <c r="J308" s="496"/>
      <c r="K308" s="496"/>
      <c r="L308" s="496"/>
      <c r="M308" s="144"/>
      <c r="N308" s="144"/>
      <c r="O308" s="144"/>
      <c r="P308" s="144"/>
      <c r="Q308" s="144"/>
      <c r="R308" s="144"/>
      <c r="S308" s="144"/>
      <c r="T308" s="144"/>
      <c r="U308" s="144"/>
      <c r="V308" s="144"/>
      <c r="W308" s="144"/>
      <c r="X308" s="144"/>
      <c r="Y308" s="144"/>
      <c r="Z308" s="144"/>
      <c r="AA308" s="144"/>
      <c r="AB308" s="144"/>
      <c r="AC308" s="144"/>
      <c r="AD308" s="144"/>
      <c r="AE308" s="144"/>
      <c r="AF308" s="144"/>
    </row>
    <row r="309" ht="16.5" customHeight="1">
      <c r="A309" s="144"/>
      <c r="B309" s="144"/>
      <c r="C309" s="144"/>
      <c r="D309" s="144"/>
      <c r="E309" s="144"/>
      <c r="F309" s="144"/>
      <c r="G309" s="144"/>
      <c r="H309" s="144"/>
      <c r="I309" s="496"/>
      <c r="J309" s="496"/>
      <c r="K309" s="496"/>
      <c r="L309" s="496"/>
      <c r="M309" s="144"/>
      <c r="N309" s="144"/>
      <c r="O309" s="144"/>
      <c r="P309" s="144"/>
      <c r="Q309" s="144"/>
      <c r="R309" s="144"/>
      <c r="S309" s="144"/>
      <c r="T309" s="144"/>
      <c r="U309" s="144"/>
      <c r="V309" s="144"/>
      <c r="W309" s="144"/>
      <c r="X309" s="144"/>
      <c r="Y309" s="144"/>
      <c r="Z309" s="144"/>
      <c r="AA309" s="144"/>
      <c r="AB309" s="144"/>
      <c r="AC309" s="144"/>
      <c r="AD309" s="144"/>
      <c r="AE309" s="144"/>
      <c r="AF309" s="144"/>
    </row>
    <row r="310" ht="16.5" customHeight="1">
      <c r="A310" s="144"/>
      <c r="B310" s="144"/>
      <c r="C310" s="144"/>
      <c r="D310" s="144"/>
      <c r="E310" s="144"/>
      <c r="F310" s="144"/>
      <c r="G310" s="144"/>
      <c r="H310" s="144"/>
      <c r="I310" s="496"/>
      <c r="J310" s="496"/>
      <c r="K310" s="496"/>
      <c r="L310" s="496"/>
      <c r="M310" s="144"/>
      <c r="N310" s="144"/>
      <c r="O310" s="144"/>
      <c r="P310" s="144"/>
      <c r="Q310" s="144"/>
      <c r="R310" s="144"/>
      <c r="S310" s="144"/>
      <c r="T310" s="144"/>
      <c r="U310" s="144"/>
      <c r="V310" s="144"/>
      <c r="W310" s="144"/>
      <c r="X310" s="144"/>
      <c r="Y310" s="144"/>
      <c r="Z310" s="144"/>
      <c r="AA310" s="144"/>
      <c r="AB310" s="144"/>
      <c r="AC310" s="144"/>
      <c r="AD310" s="144"/>
      <c r="AE310" s="144"/>
      <c r="AF310" s="144"/>
    </row>
    <row r="311" ht="16.5" customHeight="1">
      <c r="A311" s="144"/>
      <c r="B311" s="144"/>
      <c r="C311" s="144"/>
      <c r="D311" s="144"/>
      <c r="E311" s="144"/>
      <c r="F311" s="144"/>
      <c r="G311" s="144"/>
      <c r="H311" s="144"/>
      <c r="I311" s="496"/>
      <c r="J311" s="496"/>
      <c r="K311" s="496"/>
      <c r="L311" s="496"/>
      <c r="M311" s="144"/>
      <c r="N311" s="144"/>
      <c r="O311" s="144"/>
      <c r="P311" s="144"/>
      <c r="Q311" s="144"/>
      <c r="R311" s="144"/>
      <c r="S311" s="144"/>
      <c r="T311" s="144"/>
      <c r="U311" s="144"/>
      <c r="V311" s="144"/>
      <c r="W311" s="144"/>
      <c r="X311" s="144"/>
      <c r="Y311" s="144"/>
      <c r="Z311" s="144"/>
      <c r="AA311" s="144"/>
      <c r="AB311" s="144"/>
      <c r="AC311" s="144"/>
      <c r="AD311" s="144"/>
      <c r="AE311" s="144"/>
      <c r="AF311" s="144"/>
    </row>
    <row r="312" ht="16.5" customHeight="1">
      <c r="A312" s="144"/>
      <c r="B312" s="144"/>
      <c r="C312" s="144"/>
      <c r="D312" s="144"/>
      <c r="E312" s="144"/>
      <c r="F312" s="144"/>
      <c r="G312" s="144"/>
      <c r="H312" s="144"/>
      <c r="I312" s="496"/>
      <c r="J312" s="496"/>
      <c r="K312" s="496"/>
      <c r="L312" s="496"/>
      <c r="M312" s="144"/>
      <c r="N312" s="144"/>
      <c r="O312" s="144"/>
      <c r="P312" s="144"/>
      <c r="Q312" s="144"/>
      <c r="R312" s="144"/>
      <c r="S312" s="144"/>
      <c r="T312" s="144"/>
      <c r="U312" s="144"/>
      <c r="V312" s="144"/>
      <c r="W312" s="144"/>
      <c r="X312" s="144"/>
      <c r="Y312" s="144"/>
      <c r="Z312" s="144"/>
      <c r="AA312" s="144"/>
      <c r="AB312" s="144"/>
      <c r="AC312" s="144"/>
      <c r="AD312" s="144"/>
      <c r="AE312" s="144"/>
      <c r="AF312" s="144"/>
    </row>
    <row r="313" ht="16.5" customHeight="1">
      <c r="A313" s="144"/>
      <c r="B313" s="144"/>
      <c r="C313" s="144"/>
      <c r="D313" s="144"/>
      <c r="E313" s="144"/>
      <c r="F313" s="144"/>
      <c r="G313" s="144"/>
      <c r="H313" s="144"/>
      <c r="I313" s="496"/>
      <c r="J313" s="496"/>
      <c r="K313" s="496"/>
      <c r="L313" s="496"/>
      <c r="M313" s="144"/>
      <c r="N313" s="144"/>
      <c r="O313" s="144"/>
      <c r="P313" s="144"/>
      <c r="Q313" s="144"/>
      <c r="R313" s="144"/>
      <c r="S313" s="144"/>
      <c r="T313" s="144"/>
      <c r="U313" s="144"/>
      <c r="V313" s="144"/>
      <c r="W313" s="144"/>
      <c r="X313" s="144"/>
      <c r="Y313" s="144"/>
      <c r="Z313" s="144"/>
      <c r="AA313" s="144"/>
      <c r="AB313" s="144"/>
      <c r="AC313" s="144"/>
      <c r="AD313" s="144"/>
      <c r="AE313" s="144"/>
      <c r="AF313" s="144"/>
    </row>
    <row r="314" ht="16.5" customHeight="1">
      <c r="A314" s="144"/>
      <c r="B314" s="144"/>
      <c r="C314" s="144"/>
      <c r="D314" s="144"/>
      <c r="E314" s="144"/>
      <c r="F314" s="144"/>
      <c r="G314" s="144"/>
      <c r="H314" s="144"/>
      <c r="I314" s="496"/>
      <c r="J314" s="496"/>
      <c r="K314" s="496"/>
      <c r="L314" s="496"/>
      <c r="M314" s="144"/>
      <c r="N314" s="144"/>
      <c r="O314" s="144"/>
      <c r="P314" s="144"/>
      <c r="Q314" s="144"/>
      <c r="R314" s="144"/>
      <c r="S314" s="144"/>
      <c r="T314" s="144"/>
      <c r="U314" s="144"/>
      <c r="V314" s="144"/>
      <c r="W314" s="144"/>
      <c r="X314" s="144"/>
      <c r="Y314" s="144"/>
      <c r="Z314" s="144"/>
      <c r="AA314" s="144"/>
      <c r="AB314" s="144"/>
      <c r="AC314" s="144"/>
      <c r="AD314" s="144"/>
      <c r="AE314" s="144"/>
      <c r="AF314" s="144"/>
    </row>
    <row r="315" ht="16.5" customHeight="1">
      <c r="A315" s="144"/>
      <c r="B315" s="144"/>
      <c r="C315" s="144"/>
      <c r="D315" s="144"/>
      <c r="E315" s="144"/>
      <c r="F315" s="144"/>
      <c r="G315" s="144"/>
      <c r="H315" s="144"/>
      <c r="I315" s="496"/>
      <c r="J315" s="496"/>
      <c r="K315" s="496"/>
      <c r="L315" s="496"/>
      <c r="M315" s="144"/>
      <c r="N315" s="144"/>
      <c r="O315" s="144"/>
      <c r="P315" s="144"/>
      <c r="Q315" s="144"/>
      <c r="R315" s="144"/>
      <c r="S315" s="144"/>
      <c r="T315" s="144"/>
      <c r="U315" s="144"/>
      <c r="V315" s="144"/>
      <c r="W315" s="144"/>
      <c r="X315" s="144"/>
      <c r="Y315" s="144"/>
      <c r="Z315" s="144"/>
      <c r="AA315" s="144"/>
      <c r="AB315" s="144"/>
      <c r="AC315" s="144"/>
      <c r="AD315" s="144"/>
      <c r="AE315" s="144"/>
      <c r="AF315" s="144"/>
    </row>
    <row r="316" ht="16.5" customHeight="1">
      <c r="A316" s="144"/>
      <c r="B316" s="144"/>
      <c r="C316" s="144"/>
      <c r="D316" s="144"/>
      <c r="E316" s="144"/>
      <c r="F316" s="144"/>
      <c r="G316" s="144"/>
      <c r="H316" s="144"/>
      <c r="I316" s="496"/>
      <c r="J316" s="496"/>
      <c r="K316" s="496"/>
      <c r="L316" s="496"/>
      <c r="M316" s="144"/>
      <c r="N316" s="144"/>
      <c r="O316" s="144"/>
      <c r="P316" s="144"/>
      <c r="Q316" s="144"/>
      <c r="R316" s="144"/>
      <c r="S316" s="144"/>
      <c r="T316" s="144"/>
      <c r="U316" s="144"/>
      <c r="V316" s="144"/>
      <c r="W316" s="144"/>
      <c r="X316" s="144"/>
      <c r="Y316" s="144"/>
      <c r="Z316" s="144"/>
      <c r="AA316" s="144"/>
      <c r="AB316" s="144"/>
      <c r="AC316" s="144"/>
      <c r="AD316" s="144"/>
      <c r="AE316" s="144"/>
      <c r="AF316" s="144"/>
    </row>
    <row r="317" ht="16.5" customHeight="1">
      <c r="A317" s="144"/>
      <c r="B317" s="144"/>
      <c r="C317" s="144"/>
      <c r="D317" s="144"/>
      <c r="E317" s="144"/>
      <c r="F317" s="144"/>
      <c r="G317" s="144"/>
      <c r="H317" s="144"/>
      <c r="I317" s="496"/>
      <c r="J317" s="496"/>
      <c r="K317" s="496"/>
      <c r="L317" s="496"/>
      <c r="M317" s="144"/>
      <c r="N317" s="144"/>
      <c r="O317" s="144"/>
      <c r="P317" s="144"/>
      <c r="Q317" s="144"/>
      <c r="R317" s="144"/>
      <c r="S317" s="144"/>
      <c r="T317" s="144"/>
      <c r="U317" s="144"/>
      <c r="V317" s="144"/>
      <c r="W317" s="144"/>
      <c r="X317" s="144"/>
      <c r="Y317" s="144"/>
      <c r="Z317" s="144"/>
      <c r="AA317" s="144"/>
      <c r="AB317" s="144"/>
      <c r="AC317" s="144"/>
      <c r="AD317" s="144"/>
      <c r="AE317" s="144"/>
      <c r="AF317" s="144"/>
    </row>
    <row r="318" ht="16.5" customHeight="1">
      <c r="A318" s="144"/>
      <c r="B318" s="144"/>
      <c r="C318" s="144"/>
      <c r="D318" s="144"/>
      <c r="E318" s="144"/>
      <c r="F318" s="144"/>
      <c r="G318" s="144"/>
      <c r="H318" s="144"/>
      <c r="I318" s="496"/>
      <c r="J318" s="496"/>
      <c r="K318" s="496"/>
      <c r="L318" s="496"/>
      <c r="M318" s="144"/>
      <c r="N318" s="144"/>
      <c r="O318" s="144"/>
      <c r="P318" s="144"/>
      <c r="Q318" s="144"/>
      <c r="R318" s="144"/>
      <c r="S318" s="144"/>
      <c r="T318" s="144"/>
      <c r="U318" s="144"/>
      <c r="V318" s="144"/>
      <c r="W318" s="144"/>
      <c r="X318" s="144"/>
      <c r="Y318" s="144"/>
      <c r="Z318" s="144"/>
      <c r="AA318" s="144"/>
      <c r="AB318" s="144"/>
      <c r="AC318" s="144"/>
      <c r="AD318" s="144"/>
      <c r="AE318" s="144"/>
      <c r="AF318" s="144"/>
    </row>
    <row r="319" ht="16.5" customHeight="1">
      <c r="A319" s="144"/>
      <c r="B319" s="144"/>
      <c r="C319" s="144"/>
      <c r="D319" s="144"/>
      <c r="E319" s="144"/>
      <c r="F319" s="144"/>
      <c r="G319" s="144"/>
      <c r="H319" s="144"/>
      <c r="I319" s="496"/>
      <c r="J319" s="496"/>
      <c r="K319" s="496"/>
      <c r="L319" s="496"/>
      <c r="M319" s="144"/>
      <c r="N319" s="144"/>
      <c r="O319" s="144"/>
      <c r="P319" s="144"/>
      <c r="Q319" s="144"/>
      <c r="R319" s="144"/>
      <c r="S319" s="144"/>
      <c r="T319" s="144"/>
      <c r="U319" s="144"/>
      <c r="V319" s="144"/>
      <c r="W319" s="144"/>
      <c r="X319" s="144"/>
      <c r="Y319" s="144"/>
      <c r="Z319" s="144"/>
      <c r="AA319" s="144"/>
      <c r="AB319" s="144"/>
      <c r="AC319" s="144"/>
      <c r="AD319" s="144"/>
      <c r="AE319" s="144"/>
      <c r="AF319" s="144"/>
    </row>
    <row r="320" ht="16.5" customHeight="1">
      <c r="A320" s="144"/>
      <c r="B320" s="144"/>
      <c r="C320" s="144"/>
      <c r="D320" s="144"/>
      <c r="E320" s="144"/>
      <c r="F320" s="144"/>
      <c r="G320" s="144"/>
      <c r="H320" s="144"/>
      <c r="I320" s="496"/>
      <c r="J320" s="496"/>
      <c r="K320" s="496"/>
      <c r="L320" s="496"/>
      <c r="M320" s="144"/>
      <c r="N320" s="144"/>
      <c r="O320" s="144"/>
      <c r="P320" s="144"/>
      <c r="Q320" s="144"/>
      <c r="R320" s="144"/>
      <c r="S320" s="144"/>
      <c r="T320" s="144"/>
      <c r="U320" s="144"/>
      <c r="V320" s="144"/>
      <c r="W320" s="144"/>
      <c r="X320" s="144"/>
      <c r="Y320" s="144"/>
      <c r="Z320" s="144"/>
      <c r="AA320" s="144"/>
      <c r="AB320" s="144"/>
      <c r="AC320" s="144"/>
      <c r="AD320" s="144"/>
      <c r="AE320" s="144"/>
      <c r="AF320" s="144"/>
    </row>
    <row r="321" ht="16.5" customHeight="1">
      <c r="A321" s="144"/>
      <c r="B321" s="144"/>
      <c r="C321" s="144"/>
      <c r="D321" s="144"/>
      <c r="E321" s="144"/>
      <c r="F321" s="144"/>
      <c r="G321" s="144"/>
      <c r="H321" s="144"/>
      <c r="I321" s="496"/>
      <c r="J321" s="496"/>
      <c r="K321" s="496"/>
      <c r="L321" s="496"/>
      <c r="M321" s="144"/>
      <c r="N321" s="144"/>
      <c r="O321" s="144"/>
      <c r="P321" s="144"/>
      <c r="Q321" s="144"/>
      <c r="R321" s="144"/>
      <c r="S321" s="144"/>
      <c r="T321" s="144"/>
      <c r="U321" s="144"/>
      <c r="V321" s="144"/>
      <c r="W321" s="144"/>
      <c r="X321" s="144"/>
      <c r="Y321" s="144"/>
      <c r="Z321" s="144"/>
      <c r="AA321" s="144"/>
      <c r="AB321" s="144"/>
      <c r="AC321" s="144"/>
      <c r="AD321" s="144"/>
      <c r="AE321" s="144"/>
      <c r="AF321" s="144"/>
    </row>
    <row r="322" ht="16.5" customHeight="1">
      <c r="A322" s="144"/>
      <c r="B322" s="144"/>
      <c r="C322" s="144"/>
      <c r="D322" s="144"/>
      <c r="E322" s="144"/>
      <c r="F322" s="144"/>
      <c r="G322" s="144"/>
      <c r="H322" s="144"/>
      <c r="I322" s="496"/>
      <c r="J322" s="496"/>
      <c r="K322" s="496"/>
      <c r="L322" s="496"/>
      <c r="M322" s="144"/>
      <c r="N322" s="144"/>
      <c r="O322" s="144"/>
      <c r="P322" s="144"/>
      <c r="Q322" s="144"/>
      <c r="R322" s="144"/>
      <c r="S322" s="144"/>
      <c r="T322" s="144"/>
      <c r="U322" s="144"/>
      <c r="V322" s="144"/>
      <c r="W322" s="144"/>
      <c r="X322" s="144"/>
      <c r="Y322" s="144"/>
      <c r="Z322" s="144"/>
      <c r="AA322" s="144"/>
      <c r="AB322" s="144"/>
      <c r="AC322" s="144"/>
      <c r="AD322" s="144"/>
      <c r="AE322" s="144"/>
      <c r="AF322" s="144"/>
    </row>
    <row r="323" ht="16.5" customHeight="1">
      <c r="A323" s="144"/>
      <c r="B323" s="144"/>
      <c r="C323" s="144"/>
      <c r="D323" s="144"/>
      <c r="E323" s="144"/>
      <c r="F323" s="144"/>
      <c r="G323" s="144"/>
      <c r="H323" s="144"/>
      <c r="I323" s="496"/>
      <c r="J323" s="496"/>
      <c r="K323" s="496"/>
      <c r="L323" s="496"/>
      <c r="M323" s="144"/>
      <c r="N323" s="144"/>
      <c r="O323" s="144"/>
      <c r="P323" s="144"/>
      <c r="Q323" s="144"/>
      <c r="R323" s="144"/>
      <c r="S323" s="144"/>
      <c r="T323" s="144"/>
      <c r="U323" s="144"/>
      <c r="V323" s="144"/>
      <c r="W323" s="144"/>
      <c r="X323" s="144"/>
      <c r="Y323" s="144"/>
      <c r="Z323" s="144"/>
      <c r="AA323" s="144"/>
      <c r="AB323" s="144"/>
      <c r="AC323" s="144"/>
      <c r="AD323" s="144"/>
      <c r="AE323" s="144"/>
      <c r="AF323" s="144"/>
    </row>
    <row r="324" ht="16.5" customHeight="1">
      <c r="A324" s="144"/>
      <c r="B324" s="144"/>
      <c r="C324" s="144"/>
      <c r="D324" s="144"/>
      <c r="E324" s="144"/>
      <c r="F324" s="144"/>
      <c r="G324" s="144"/>
      <c r="H324" s="144"/>
      <c r="I324" s="496"/>
      <c r="J324" s="496"/>
      <c r="K324" s="496"/>
      <c r="L324" s="496"/>
      <c r="M324" s="144"/>
      <c r="N324" s="144"/>
      <c r="O324" s="144"/>
      <c r="P324" s="144"/>
      <c r="Q324" s="144"/>
      <c r="R324" s="144"/>
      <c r="S324" s="144"/>
      <c r="T324" s="144"/>
      <c r="U324" s="144"/>
      <c r="V324" s="144"/>
      <c r="W324" s="144"/>
      <c r="X324" s="144"/>
      <c r="Y324" s="144"/>
      <c r="Z324" s="144"/>
      <c r="AA324" s="144"/>
      <c r="AB324" s="144"/>
      <c r="AC324" s="144"/>
      <c r="AD324" s="144"/>
      <c r="AE324" s="144"/>
      <c r="AF324" s="144"/>
    </row>
    <row r="325" ht="16.5" customHeight="1">
      <c r="A325" s="144"/>
      <c r="B325" s="144"/>
      <c r="C325" s="144"/>
      <c r="D325" s="144"/>
      <c r="E325" s="144"/>
      <c r="F325" s="144"/>
      <c r="G325" s="144"/>
      <c r="H325" s="144"/>
      <c r="I325" s="496"/>
      <c r="J325" s="496"/>
      <c r="K325" s="496"/>
      <c r="L325" s="496"/>
      <c r="M325" s="144"/>
      <c r="N325" s="144"/>
      <c r="O325" s="144"/>
      <c r="P325" s="144"/>
      <c r="Q325" s="144"/>
      <c r="R325" s="144"/>
      <c r="S325" s="144"/>
      <c r="T325" s="144"/>
      <c r="U325" s="144"/>
      <c r="V325" s="144"/>
      <c r="W325" s="144"/>
      <c r="X325" s="144"/>
      <c r="Y325" s="144"/>
      <c r="Z325" s="144"/>
      <c r="AA325" s="144"/>
      <c r="AB325" s="144"/>
      <c r="AC325" s="144"/>
      <c r="AD325" s="144"/>
      <c r="AE325" s="144"/>
      <c r="AF325" s="144"/>
    </row>
    <row r="326" ht="16.5" customHeight="1">
      <c r="A326" s="144"/>
      <c r="B326" s="144"/>
      <c r="C326" s="144"/>
      <c r="D326" s="144"/>
      <c r="E326" s="144"/>
      <c r="F326" s="144"/>
      <c r="G326" s="144"/>
      <c r="H326" s="144"/>
      <c r="I326" s="496"/>
      <c r="J326" s="496"/>
      <c r="K326" s="496"/>
      <c r="L326" s="496"/>
      <c r="M326" s="144"/>
      <c r="N326" s="144"/>
      <c r="O326" s="144"/>
      <c r="P326" s="144"/>
      <c r="Q326" s="144"/>
      <c r="R326" s="144"/>
      <c r="S326" s="144"/>
      <c r="T326" s="144"/>
      <c r="U326" s="144"/>
      <c r="V326" s="144"/>
      <c r="W326" s="144"/>
      <c r="X326" s="144"/>
      <c r="Y326" s="144"/>
      <c r="Z326" s="144"/>
      <c r="AA326" s="144"/>
      <c r="AB326" s="144"/>
      <c r="AC326" s="144"/>
      <c r="AD326" s="144"/>
      <c r="AE326" s="144"/>
      <c r="AF326" s="144"/>
    </row>
    <row r="327" ht="16.5" customHeight="1">
      <c r="A327" s="144"/>
      <c r="B327" s="144"/>
      <c r="C327" s="144"/>
      <c r="D327" s="144"/>
      <c r="E327" s="144"/>
      <c r="F327" s="144"/>
      <c r="G327" s="144"/>
      <c r="H327" s="144"/>
      <c r="I327" s="496"/>
      <c r="J327" s="496"/>
      <c r="K327" s="496"/>
      <c r="L327" s="496"/>
      <c r="M327" s="144"/>
      <c r="N327" s="144"/>
      <c r="O327" s="144"/>
      <c r="P327" s="144"/>
      <c r="Q327" s="144"/>
      <c r="R327" s="144"/>
      <c r="S327" s="144"/>
      <c r="T327" s="144"/>
      <c r="U327" s="144"/>
      <c r="V327" s="144"/>
      <c r="W327" s="144"/>
      <c r="X327" s="144"/>
      <c r="Y327" s="144"/>
      <c r="Z327" s="144"/>
      <c r="AA327" s="144"/>
      <c r="AB327" s="144"/>
      <c r="AC327" s="144"/>
      <c r="AD327" s="144"/>
      <c r="AE327" s="144"/>
      <c r="AF327" s="144"/>
    </row>
    <row r="328" ht="16.5" customHeight="1">
      <c r="A328" s="144"/>
      <c r="B328" s="144"/>
      <c r="C328" s="144"/>
      <c r="D328" s="144"/>
      <c r="E328" s="144"/>
      <c r="F328" s="144"/>
      <c r="G328" s="144"/>
      <c r="H328" s="144"/>
      <c r="I328" s="496"/>
      <c r="J328" s="496"/>
      <c r="K328" s="496"/>
      <c r="L328" s="496"/>
      <c r="M328" s="144"/>
      <c r="N328" s="144"/>
      <c r="O328" s="144"/>
      <c r="P328" s="144"/>
      <c r="Q328" s="144"/>
      <c r="R328" s="144"/>
      <c r="S328" s="144"/>
      <c r="T328" s="144"/>
      <c r="U328" s="144"/>
      <c r="V328" s="144"/>
      <c r="W328" s="144"/>
      <c r="X328" s="144"/>
      <c r="Y328" s="144"/>
      <c r="Z328" s="144"/>
      <c r="AA328" s="144"/>
      <c r="AB328" s="144"/>
      <c r="AC328" s="144"/>
      <c r="AD328" s="144"/>
      <c r="AE328" s="144"/>
      <c r="AF328" s="144"/>
    </row>
    <row r="329" ht="16.5" customHeight="1">
      <c r="A329" s="144"/>
      <c r="B329" s="144"/>
      <c r="C329" s="144"/>
      <c r="D329" s="144"/>
      <c r="E329" s="144"/>
      <c r="F329" s="144"/>
      <c r="G329" s="144"/>
      <c r="H329" s="144"/>
      <c r="I329" s="496"/>
      <c r="J329" s="496"/>
      <c r="K329" s="496"/>
      <c r="L329" s="496"/>
      <c r="M329" s="144"/>
      <c r="N329" s="144"/>
      <c r="O329" s="144"/>
      <c r="P329" s="144"/>
      <c r="Q329" s="144"/>
      <c r="R329" s="144"/>
      <c r="S329" s="144"/>
      <c r="T329" s="144"/>
      <c r="U329" s="144"/>
      <c r="V329" s="144"/>
      <c r="W329" s="144"/>
      <c r="X329" s="144"/>
      <c r="Y329" s="144"/>
      <c r="Z329" s="144"/>
      <c r="AA329" s="144"/>
      <c r="AB329" s="144"/>
      <c r="AC329" s="144"/>
      <c r="AD329" s="144"/>
      <c r="AE329" s="144"/>
      <c r="AF329" s="144"/>
    </row>
    <row r="330" ht="16.5" customHeight="1">
      <c r="A330" s="144"/>
      <c r="B330" s="144"/>
      <c r="C330" s="144"/>
      <c r="D330" s="144"/>
      <c r="E330" s="144"/>
      <c r="F330" s="144"/>
      <c r="G330" s="144"/>
      <c r="H330" s="144"/>
      <c r="I330" s="496"/>
      <c r="J330" s="496"/>
      <c r="K330" s="496"/>
      <c r="L330" s="496"/>
      <c r="M330" s="144"/>
      <c r="N330" s="144"/>
      <c r="O330" s="144"/>
      <c r="P330" s="144"/>
      <c r="Q330" s="144"/>
      <c r="R330" s="144"/>
      <c r="S330" s="144"/>
      <c r="T330" s="144"/>
      <c r="U330" s="144"/>
      <c r="V330" s="144"/>
      <c r="W330" s="144"/>
      <c r="X330" s="144"/>
      <c r="Y330" s="144"/>
      <c r="Z330" s="144"/>
      <c r="AA330" s="144"/>
      <c r="AB330" s="144"/>
      <c r="AC330" s="144"/>
      <c r="AD330" s="144"/>
      <c r="AE330" s="144"/>
      <c r="AF330" s="144"/>
    </row>
    <row r="331" ht="16.5" customHeight="1">
      <c r="A331" s="144"/>
      <c r="B331" s="144"/>
      <c r="C331" s="144"/>
      <c r="D331" s="144"/>
      <c r="E331" s="144"/>
      <c r="F331" s="144"/>
      <c r="G331" s="144"/>
      <c r="H331" s="144"/>
      <c r="I331" s="496"/>
      <c r="J331" s="496"/>
      <c r="K331" s="496"/>
      <c r="L331" s="496"/>
      <c r="M331" s="144"/>
      <c r="N331" s="144"/>
      <c r="O331" s="144"/>
      <c r="P331" s="144"/>
      <c r="Q331" s="144"/>
      <c r="R331" s="144"/>
      <c r="S331" s="144"/>
      <c r="T331" s="144"/>
      <c r="U331" s="144"/>
      <c r="V331" s="144"/>
      <c r="W331" s="144"/>
      <c r="X331" s="144"/>
      <c r="Y331" s="144"/>
      <c r="Z331" s="144"/>
      <c r="AA331" s="144"/>
      <c r="AB331" s="144"/>
      <c r="AC331" s="144"/>
      <c r="AD331" s="144"/>
      <c r="AE331" s="144"/>
      <c r="AF331" s="144"/>
    </row>
    <row r="332" ht="16.5" customHeight="1">
      <c r="A332" s="144"/>
      <c r="B332" s="144"/>
      <c r="C332" s="144"/>
      <c r="D332" s="144"/>
      <c r="E332" s="144"/>
      <c r="F332" s="144"/>
      <c r="G332" s="144"/>
      <c r="H332" s="144"/>
      <c r="I332" s="496"/>
      <c r="J332" s="496"/>
      <c r="K332" s="496"/>
      <c r="L332" s="496"/>
      <c r="M332" s="144"/>
      <c r="N332" s="144"/>
      <c r="O332" s="144"/>
      <c r="P332" s="144"/>
      <c r="Q332" s="144"/>
      <c r="R332" s="144"/>
      <c r="S332" s="144"/>
      <c r="T332" s="144"/>
      <c r="U332" s="144"/>
      <c r="V332" s="144"/>
      <c r="W332" s="144"/>
      <c r="X332" s="144"/>
      <c r="Y332" s="144"/>
      <c r="Z332" s="144"/>
      <c r="AA332" s="144"/>
      <c r="AB332" s="144"/>
      <c r="AC332" s="144"/>
      <c r="AD332" s="144"/>
      <c r="AE332" s="144"/>
      <c r="AF332" s="144"/>
    </row>
    <row r="333" ht="16.5" customHeight="1">
      <c r="A333" s="144"/>
      <c r="B333" s="144"/>
      <c r="C333" s="144"/>
      <c r="D333" s="144"/>
      <c r="E333" s="144"/>
      <c r="F333" s="144"/>
      <c r="G333" s="144"/>
      <c r="H333" s="144"/>
      <c r="I333" s="496"/>
      <c r="J333" s="496"/>
      <c r="K333" s="496"/>
      <c r="L333" s="496"/>
      <c r="M333" s="144"/>
      <c r="N333" s="144"/>
      <c r="O333" s="144"/>
      <c r="P333" s="144"/>
      <c r="Q333" s="144"/>
      <c r="R333" s="144"/>
      <c r="S333" s="144"/>
      <c r="T333" s="144"/>
      <c r="U333" s="144"/>
      <c r="V333" s="144"/>
      <c r="W333" s="144"/>
      <c r="X333" s="144"/>
      <c r="Y333" s="144"/>
      <c r="Z333" s="144"/>
      <c r="AA333" s="144"/>
      <c r="AB333" s="144"/>
      <c r="AC333" s="144"/>
      <c r="AD333" s="144"/>
      <c r="AE333" s="144"/>
      <c r="AF333" s="144"/>
    </row>
    <row r="334" ht="16.5" customHeight="1">
      <c r="A334" s="144"/>
      <c r="B334" s="144"/>
      <c r="C334" s="144"/>
      <c r="D334" s="144"/>
      <c r="E334" s="144"/>
      <c r="F334" s="144"/>
      <c r="G334" s="144"/>
      <c r="H334" s="144"/>
      <c r="I334" s="496"/>
      <c r="J334" s="496"/>
      <c r="K334" s="496"/>
      <c r="L334" s="496"/>
      <c r="M334" s="144"/>
      <c r="N334" s="144"/>
      <c r="O334" s="144"/>
      <c r="P334" s="144"/>
      <c r="Q334" s="144"/>
      <c r="R334" s="144"/>
      <c r="S334" s="144"/>
      <c r="T334" s="144"/>
      <c r="U334" s="144"/>
      <c r="V334" s="144"/>
      <c r="W334" s="144"/>
      <c r="X334" s="144"/>
      <c r="Y334" s="144"/>
      <c r="Z334" s="144"/>
      <c r="AA334" s="144"/>
      <c r="AB334" s="144"/>
      <c r="AC334" s="144"/>
      <c r="AD334" s="144"/>
      <c r="AE334" s="144"/>
      <c r="AF334" s="144"/>
    </row>
    <row r="335" ht="16.5" customHeight="1">
      <c r="A335" s="144"/>
      <c r="B335" s="144"/>
      <c r="C335" s="144"/>
      <c r="D335" s="144"/>
      <c r="E335" s="144"/>
      <c r="F335" s="144"/>
      <c r="G335" s="144"/>
      <c r="H335" s="144"/>
      <c r="I335" s="496"/>
      <c r="J335" s="496"/>
      <c r="K335" s="496"/>
      <c r="L335" s="496"/>
      <c r="M335" s="144"/>
      <c r="N335" s="144"/>
      <c r="O335" s="144"/>
      <c r="P335" s="144"/>
      <c r="Q335" s="144"/>
      <c r="R335" s="144"/>
      <c r="S335" s="144"/>
      <c r="T335" s="144"/>
      <c r="U335" s="144"/>
      <c r="V335" s="144"/>
      <c r="W335" s="144"/>
      <c r="X335" s="144"/>
      <c r="Y335" s="144"/>
      <c r="Z335" s="144"/>
      <c r="AA335" s="144"/>
      <c r="AB335" s="144"/>
      <c r="AC335" s="144"/>
      <c r="AD335" s="144"/>
      <c r="AE335" s="144"/>
      <c r="AF335" s="144"/>
    </row>
    <row r="336" ht="16.5" customHeight="1">
      <c r="A336" s="144"/>
      <c r="B336" s="144"/>
      <c r="C336" s="144"/>
      <c r="D336" s="144"/>
      <c r="E336" s="144"/>
      <c r="F336" s="144"/>
      <c r="G336" s="144"/>
      <c r="H336" s="144"/>
      <c r="I336" s="496"/>
      <c r="J336" s="496"/>
      <c r="K336" s="496"/>
      <c r="L336" s="496"/>
      <c r="M336" s="144"/>
      <c r="N336" s="144"/>
      <c r="O336" s="144"/>
      <c r="P336" s="144"/>
      <c r="Q336" s="144"/>
      <c r="R336" s="144"/>
      <c r="S336" s="144"/>
      <c r="T336" s="144"/>
      <c r="U336" s="144"/>
      <c r="V336" s="144"/>
      <c r="W336" s="144"/>
      <c r="X336" s="144"/>
      <c r="Y336" s="144"/>
      <c r="Z336" s="144"/>
      <c r="AA336" s="144"/>
      <c r="AB336" s="144"/>
      <c r="AC336" s="144"/>
      <c r="AD336" s="144"/>
      <c r="AE336" s="144"/>
      <c r="AF336" s="144"/>
    </row>
    <row r="337" ht="16.5" customHeight="1">
      <c r="A337" s="144"/>
      <c r="B337" s="144"/>
      <c r="C337" s="144"/>
      <c r="D337" s="144"/>
      <c r="E337" s="144"/>
      <c r="F337" s="144"/>
      <c r="G337" s="144"/>
      <c r="H337" s="144"/>
      <c r="I337" s="496"/>
      <c r="J337" s="496"/>
      <c r="K337" s="496"/>
      <c r="L337" s="496"/>
      <c r="M337" s="144"/>
      <c r="N337" s="144"/>
      <c r="O337" s="144"/>
      <c r="P337" s="144"/>
      <c r="Q337" s="144"/>
      <c r="R337" s="144"/>
      <c r="S337" s="144"/>
      <c r="T337" s="144"/>
      <c r="U337" s="144"/>
      <c r="V337" s="144"/>
      <c r="W337" s="144"/>
      <c r="X337" s="144"/>
      <c r="Y337" s="144"/>
      <c r="Z337" s="144"/>
      <c r="AA337" s="144"/>
      <c r="AB337" s="144"/>
      <c r="AC337" s="144"/>
      <c r="AD337" s="144"/>
      <c r="AE337" s="144"/>
      <c r="AF337" s="144"/>
    </row>
    <row r="338" ht="16.5" customHeight="1">
      <c r="A338" s="144"/>
      <c r="B338" s="144"/>
      <c r="C338" s="144"/>
      <c r="D338" s="144"/>
      <c r="E338" s="144"/>
      <c r="F338" s="144"/>
      <c r="G338" s="144"/>
      <c r="H338" s="144"/>
      <c r="I338" s="496"/>
      <c r="J338" s="496"/>
      <c r="K338" s="496"/>
      <c r="L338" s="496"/>
      <c r="M338" s="144"/>
      <c r="N338" s="144"/>
      <c r="O338" s="144"/>
      <c r="P338" s="144"/>
      <c r="Q338" s="144"/>
      <c r="R338" s="144"/>
      <c r="S338" s="144"/>
      <c r="T338" s="144"/>
      <c r="U338" s="144"/>
      <c r="V338" s="144"/>
      <c r="W338" s="144"/>
      <c r="X338" s="144"/>
      <c r="Y338" s="144"/>
      <c r="Z338" s="144"/>
      <c r="AA338" s="144"/>
      <c r="AB338" s="144"/>
      <c r="AC338" s="144"/>
      <c r="AD338" s="144"/>
      <c r="AE338" s="144"/>
      <c r="AF338" s="144"/>
    </row>
    <row r="339" ht="16.5" customHeight="1">
      <c r="A339" s="144"/>
      <c r="B339" s="144"/>
      <c r="C339" s="144"/>
      <c r="D339" s="144"/>
      <c r="E339" s="144"/>
      <c r="F339" s="144"/>
      <c r="G339" s="144"/>
      <c r="H339" s="144"/>
      <c r="I339" s="496"/>
      <c r="J339" s="496"/>
      <c r="K339" s="496"/>
      <c r="L339" s="496"/>
      <c r="M339" s="144"/>
      <c r="N339" s="144"/>
      <c r="O339" s="144"/>
      <c r="P339" s="144"/>
      <c r="Q339" s="144"/>
      <c r="R339" s="144"/>
      <c r="S339" s="144"/>
      <c r="T339" s="144"/>
      <c r="U339" s="144"/>
      <c r="V339" s="144"/>
      <c r="W339" s="144"/>
      <c r="X339" s="144"/>
      <c r="Y339" s="144"/>
      <c r="Z339" s="144"/>
      <c r="AA339" s="144"/>
      <c r="AB339" s="144"/>
      <c r="AC339" s="144"/>
      <c r="AD339" s="144"/>
      <c r="AE339" s="144"/>
      <c r="AF339" s="144"/>
    </row>
    <row r="340" ht="16.5" customHeight="1">
      <c r="A340" s="144"/>
      <c r="B340" s="144"/>
      <c r="C340" s="144"/>
      <c r="D340" s="144"/>
      <c r="E340" s="144"/>
      <c r="F340" s="144"/>
      <c r="G340" s="144"/>
      <c r="H340" s="144"/>
      <c r="I340" s="496"/>
      <c r="J340" s="496"/>
      <c r="K340" s="496"/>
      <c r="L340" s="496"/>
      <c r="M340" s="144"/>
      <c r="N340" s="144"/>
      <c r="O340" s="144"/>
      <c r="P340" s="144"/>
      <c r="Q340" s="144"/>
      <c r="R340" s="144"/>
      <c r="S340" s="144"/>
      <c r="T340" s="144"/>
      <c r="U340" s="144"/>
      <c r="V340" s="144"/>
      <c r="W340" s="144"/>
      <c r="X340" s="144"/>
      <c r="Y340" s="144"/>
      <c r="Z340" s="144"/>
      <c r="AA340" s="144"/>
      <c r="AB340" s="144"/>
      <c r="AC340" s="144"/>
      <c r="AD340" s="144"/>
      <c r="AE340" s="144"/>
      <c r="AF340" s="144"/>
    </row>
    <row r="341" ht="16.5" customHeight="1">
      <c r="A341" s="144"/>
      <c r="B341" s="144"/>
      <c r="C341" s="144"/>
      <c r="D341" s="144"/>
      <c r="E341" s="144"/>
      <c r="F341" s="144"/>
      <c r="G341" s="144"/>
      <c r="H341" s="144"/>
      <c r="I341" s="496"/>
      <c r="J341" s="496"/>
      <c r="K341" s="496"/>
      <c r="L341" s="496"/>
      <c r="M341" s="144"/>
      <c r="N341" s="144"/>
      <c r="O341" s="144"/>
      <c r="P341" s="144"/>
      <c r="Q341" s="144"/>
      <c r="R341" s="144"/>
      <c r="S341" s="144"/>
      <c r="T341" s="144"/>
      <c r="U341" s="144"/>
      <c r="V341" s="144"/>
      <c r="W341" s="144"/>
      <c r="X341" s="144"/>
      <c r="Y341" s="144"/>
      <c r="Z341" s="144"/>
      <c r="AA341" s="144"/>
      <c r="AB341" s="144"/>
      <c r="AC341" s="144"/>
      <c r="AD341" s="144"/>
      <c r="AE341" s="144"/>
      <c r="AF341" s="144"/>
    </row>
    <row r="342" ht="16.5" customHeight="1">
      <c r="A342" s="144"/>
      <c r="B342" s="144"/>
      <c r="C342" s="144"/>
      <c r="D342" s="144"/>
      <c r="E342" s="144"/>
      <c r="F342" s="144"/>
      <c r="G342" s="144"/>
      <c r="H342" s="144"/>
      <c r="I342" s="496"/>
      <c r="J342" s="496"/>
      <c r="K342" s="496"/>
      <c r="L342" s="496"/>
      <c r="M342" s="144"/>
      <c r="N342" s="144"/>
      <c r="O342" s="144"/>
      <c r="P342" s="144"/>
      <c r="Q342" s="144"/>
      <c r="R342" s="144"/>
      <c r="S342" s="144"/>
      <c r="T342" s="144"/>
      <c r="U342" s="144"/>
      <c r="V342" s="144"/>
      <c r="W342" s="144"/>
      <c r="X342" s="144"/>
      <c r="Y342" s="144"/>
      <c r="Z342" s="144"/>
      <c r="AA342" s="144"/>
      <c r="AB342" s="144"/>
      <c r="AC342" s="144"/>
      <c r="AD342" s="144"/>
      <c r="AE342" s="144"/>
      <c r="AF342" s="144"/>
    </row>
    <row r="343" ht="16.5" customHeight="1">
      <c r="A343" s="144"/>
      <c r="B343" s="144"/>
      <c r="C343" s="144"/>
      <c r="D343" s="144"/>
      <c r="E343" s="144"/>
      <c r="F343" s="144"/>
      <c r="G343" s="144"/>
      <c r="H343" s="144"/>
      <c r="I343" s="496"/>
      <c r="J343" s="496"/>
      <c r="K343" s="496"/>
      <c r="L343" s="496"/>
      <c r="M343" s="144"/>
      <c r="N343" s="144"/>
      <c r="O343" s="144"/>
      <c r="P343" s="144"/>
      <c r="Q343" s="144"/>
      <c r="R343" s="144"/>
      <c r="S343" s="144"/>
      <c r="T343" s="144"/>
      <c r="U343" s="144"/>
      <c r="V343" s="144"/>
      <c r="W343" s="144"/>
      <c r="X343" s="144"/>
      <c r="Y343" s="144"/>
      <c r="Z343" s="144"/>
      <c r="AA343" s="144"/>
      <c r="AB343" s="144"/>
      <c r="AC343" s="144"/>
      <c r="AD343" s="144"/>
      <c r="AE343" s="144"/>
      <c r="AF343" s="144"/>
    </row>
    <row r="344" ht="16.5" customHeight="1">
      <c r="A344" s="144"/>
      <c r="B344" s="144"/>
      <c r="C344" s="144"/>
      <c r="D344" s="144"/>
      <c r="E344" s="144"/>
      <c r="F344" s="144"/>
      <c r="G344" s="144"/>
      <c r="H344" s="144"/>
      <c r="I344" s="496"/>
      <c r="J344" s="496"/>
      <c r="K344" s="496"/>
      <c r="L344" s="496"/>
      <c r="M344" s="144"/>
      <c r="N344" s="144"/>
      <c r="O344" s="144"/>
      <c r="P344" s="144"/>
      <c r="Q344" s="144"/>
      <c r="R344" s="144"/>
      <c r="S344" s="144"/>
      <c r="T344" s="144"/>
      <c r="U344" s="144"/>
      <c r="V344" s="144"/>
      <c r="W344" s="144"/>
      <c r="X344" s="144"/>
      <c r="Y344" s="144"/>
      <c r="Z344" s="144"/>
      <c r="AA344" s="144"/>
      <c r="AB344" s="144"/>
      <c r="AC344" s="144"/>
      <c r="AD344" s="144"/>
      <c r="AE344" s="144"/>
      <c r="AF344" s="144"/>
    </row>
    <row r="345" ht="16.5" customHeight="1">
      <c r="A345" s="144"/>
      <c r="B345" s="144"/>
      <c r="C345" s="144"/>
      <c r="D345" s="144"/>
      <c r="E345" s="144"/>
      <c r="F345" s="144"/>
      <c r="G345" s="144"/>
      <c r="H345" s="144"/>
      <c r="I345" s="496"/>
      <c r="J345" s="496"/>
      <c r="K345" s="496"/>
      <c r="L345" s="496"/>
      <c r="M345" s="144"/>
      <c r="N345" s="144"/>
      <c r="O345" s="144"/>
      <c r="P345" s="144"/>
      <c r="Q345" s="144"/>
      <c r="R345" s="144"/>
      <c r="S345" s="144"/>
      <c r="T345" s="144"/>
      <c r="U345" s="144"/>
      <c r="V345" s="144"/>
      <c r="W345" s="144"/>
      <c r="X345" s="144"/>
      <c r="Y345" s="144"/>
      <c r="Z345" s="144"/>
      <c r="AA345" s="144"/>
      <c r="AB345" s="144"/>
      <c r="AC345" s="144"/>
      <c r="AD345" s="144"/>
      <c r="AE345" s="144"/>
      <c r="AF345" s="144"/>
    </row>
    <row r="346" ht="16.5" customHeight="1">
      <c r="A346" s="144"/>
      <c r="B346" s="144"/>
      <c r="C346" s="144"/>
      <c r="D346" s="144"/>
      <c r="E346" s="144"/>
      <c r="F346" s="144"/>
      <c r="G346" s="144"/>
      <c r="H346" s="144"/>
      <c r="I346" s="496"/>
      <c r="J346" s="496"/>
      <c r="K346" s="496"/>
      <c r="L346" s="496"/>
      <c r="M346" s="144"/>
      <c r="N346" s="144"/>
      <c r="O346" s="144"/>
      <c r="P346" s="144"/>
      <c r="Q346" s="144"/>
      <c r="R346" s="144"/>
      <c r="S346" s="144"/>
      <c r="T346" s="144"/>
      <c r="U346" s="144"/>
      <c r="V346" s="144"/>
      <c r="W346" s="144"/>
      <c r="X346" s="144"/>
      <c r="Y346" s="144"/>
      <c r="Z346" s="144"/>
      <c r="AA346" s="144"/>
      <c r="AB346" s="144"/>
      <c r="AC346" s="144"/>
      <c r="AD346" s="144"/>
      <c r="AE346" s="144"/>
      <c r="AF346" s="144"/>
    </row>
    <row r="347" ht="16.5" customHeight="1">
      <c r="A347" s="144"/>
      <c r="B347" s="144"/>
      <c r="C347" s="144"/>
      <c r="D347" s="144"/>
      <c r="E347" s="144"/>
      <c r="F347" s="144"/>
      <c r="G347" s="144"/>
      <c r="H347" s="144"/>
      <c r="I347" s="496"/>
      <c r="J347" s="496"/>
      <c r="K347" s="496"/>
      <c r="L347" s="496"/>
      <c r="M347" s="144"/>
      <c r="N347" s="144"/>
      <c r="O347" s="144"/>
      <c r="P347" s="144"/>
      <c r="Q347" s="144"/>
      <c r="R347" s="144"/>
      <c r="S347" s="144"/>
      <c r="T347" s="144"/>
      <c r="U347" s="144"/>
      <c r="V347" s="144"/>
      <c r="W347" s="144"/>
      <c r="X347" s="144"/>
      <c r="Y347" s="144"/>
      <c r="Z347" s="144"/>
      <c r="AA347" s="144"/>
      <c r="AB347" s="144"/>
      <c r="AC347" s="144"/>
      <c r="AD347" s="144"/>
      <c r="AE347" s="144"/>
      <c r="AF347" s="144"/>
    </row>
    <row r="348" ht="16.5" customHeight="1">
      <c r="A348" s="144"/>
      <c r="B348" s="144"/>
      <c r="C348" s="144"/>
      <c r="D348" s="144"/>
      <c r="E348" s="144"/>
      <c r="F348" s="144"/>
      <c r="G348" s="144"/>
      <c r="H348" s="144"/>
      <c r="I348" s="496"/>
      <c r="J348" s="496"/>
      <c r="K348" s="496"/>
      <c r="L348" s="496"/>
      <c r="M348" s="144"/>
      <c r="N348" s="144"/>
      <c r="O348" s="144"/>
      <c r="P348" s="144"/>
      <c r="Q348" s="144"/>
      <c r="R348" s="144"/>
      <c r="S348" s="144"/>
      <c r="T348" s="144"/>
      <c r="U348" s="144"/>
      <c r="V348" s="144"/>
      <c r="W348" s="144"/>
      <c r="X348" s="144"/>
      <c r="Y348" s="144"/>
      <c r="Z348" s="144"/>
      <c r="AA348" s="144"/>
      <c r="AB348" s="144"/>
      <c r="AC348" s="144"/>
      <c r="AD348" s="144"/>
      <c r="AE348" s="144"/>
      <c r="AF348" s="144"/>
    </row>
    <row r="349" ht="16.5" customHeight="1">
      <c r="A349" s="144"/>
      <c r="B349" s="144"/>
      <c r="C349" s="144"/>
      <c r="D349" s="144"/>
      <c r="E349" s="144"/>
      <c r="F349" s="144"/>
      <c r="G349" s="144"/>
      <c r="H349" s="144"/>
      <c r="I349" s="496"/>
      <c r="J349" s="496"/>
      <c r="K349" s="496"/>
      <c r="L349" s="496"/>
      <c r="M349" s="144"/>
      <c r="N349" s="144"/>
      <c r="O349" s="144"/>
      <c r="P349" s="144"/>
      <c r="Q349" s="144"/>
      <c r="R349" s="144"/>
      <c r="S349" s="144"/>
      <c r="T349" s="144"/>
      <c r="U349" s="144"/>
      <c r="V349" s="144"/>
      <c r="W349" s="144"/>
      <c r="X349" s="144"/>
      <c r="Y349" s="144"/>
      <c r="Z349" s="144"/>
      <c r="AA349" s="144"/>
      <c r="AB349" s="144"/>
      <c r="AC349" s="144"/>
      <c r="AD349" s="144"/>
      <c r="AE349" s="144"/>
      <c r="AF349" s="144"/>
    </row>
    <row r="350" ht="16.5" customHeight="1">
      <c r="A350" s="144"/>
      <c r="B350" s="144"/>
      <c r="C350" s="144"/>
      <c r="D350" s="144"/>
      <c r="E350" s="144"/>
      <c r="F350" s="144"/>
      <c r="G350" s="144"/>
      <c r="H350" s="144"/>
      <c r="I350" s="496"/>
      <c r="J350" s="496"/>
      <c r="K350" s="496"/>
      <c r="L350" s="496"/>
      <c r="M350" s="144"/>
      <c r="N350" s="144"/>
      <c r="O350" s="144"/>
      <c r="P350" s="144"/>
      <c r="Q350" s="144"/>
      <c r="R350" s="144"/>
      <c r="S350" s="144"/>
      <c r="T350" s="144"/>
      <c r="U350" s="144"/>
      <c r="V350" s="144"/>
      <c r="W350" s="144"/>
      <c r="X350" s="144"/>
      <c r="Y350" s="144"/>
      <c r="Z350" s="144"/>
      <c r="AA350" s="144"/>
      <c r="AB350" s="144"/>
      <c r="AC350" s="144"/>
      <c r="AD350" s="144"/>
      <c r="AE350" s="144"/>
      <c r="AF350" s="144"/>
    </row>
    <row r="351" ht="16.5" customHeight="1">
      <c r="A351" s="144"/>
      <c r="B351" s="144"/>
      <c r="C351" s="144"/>
      <c r="D351" s="144"/>
      <c r="E351" s="144"/>
      <c r="F351" s="144"/>
      <c r="G351" s="144"/>
      <c r="H351" s="144"/>
      <c r="I351" s="496"/>
      <c r="J351" s="496"/>
      <c r="K351" s="496"/>
      <c r="L351" s="496"/>
      <c r="M351" s="144"/>
      <c r="N351" s="144"/>
      <c r="O351" s="144"/>
      <c r="P351" s="144"/>
      <c r="Q351" s="144"/>
      <c r="R351" s="144"/>
      <c r="S351" s="144"/>
      <c r="T351" s="144"/>
      <c r="U351" s="144"/>
      <c r="V351" s="144"/>
      <c r="W351" s="144"/>
      <c r="X351" s="144"/>
      <c r="Y351" s="144"/>
      <c r="Z351" s="144"/>
      <c r="AA351" s="144"/>
      <c r="AB351" s="144"/>
      <c r="AC351" s="144"/>
      <c r="AD351" s="144"/>
      <c r="AE351" s="144"/>
      <c r="AF351" s="144"/>
    </row>
    <row r="352" ht="16.5" customHeight="1">
      <c r="A352" s="144"/>
      <c r="B352" s="144"/>
      <c r="C352" s="144"/>
      <c r="D352" s="144"/>
      <c r="E352" s="144"/>
      <c r="F352" s="144"/>
      <c r="G352" s="144"/>
      <c r="H352" s="144"/>
      <c r="I352" s="496"/>
      <c r="J352" s="496"/>
      <c r="K352" s="496"/>
      <c r="L352" s="496"/>
      <c r="M352" s="144"/>
      <c r="N352" s="144"/>
      <c r="O352" s="144"/>
      <c r="P352" s="144"/>
      <c r="Q352" s="144"/>
      <c r="R352" s="144"/>
      <c r="S352" s="144"/>
      <c r="T352" s="144"/>
      <c r="U352" s="144"/>
      <c r="V352" s="144"/>
      <c r="W352" s="144"/>
      <c r="X352" s="144"/>
      <c r="Y352" s="144"/>
      <c r="Z352" s="144"/>
      <c r="AA352" s="144"/>
      <c r="AB352" s="144"/>
      <c r="AC352" s="144"/>
      <c r="AD352" s="144"/>
      <c r="AE352" s="144"/>
      <c r="AF352" s="144"/>
    </row>
    <row r="353" ht="16.5" customHeight="1">
      <c r="A353" s="144"/>
      <c r="B353" s="144"/>
      <c r="C353" s="144"/>
      <c r="D353" s="144"/>
      <c r="E353" s="144"/>
      <c r="F353" s="144"/>
      <c r="G353" s="144"/>
      <c r="H353" s="144"/>
      <c r="I353" s="496"/>
      <c r="J353" s="496"/>
      <c r="K353" s="496"/>
      <c r="L353" s="496"/>
      <c r="M353" s="144"/>
      <c r="N353" s="144"/>
      <c r="O353" s="144"/>
      <c r="P353" s="144"/>
      <c r="Q353" s="144"/>
      <c r="R353" s="144"/>
      <c r="S353" s="144"/>
      <c r="T353" s="144"/>
      <c r="U353" s="144"/>
      <c r="V353" s="144"/>
      <c r="W353" s="144"/>
      <c r="X353" s="144"/>
      <c r="Y353" s="144"/>
      <c r="Z353" s="144"/>
      <c r="AA353" s="144"/>
      <c r="AB353" s="144"/>
      <c r="AC353" s="144"/>
      <c r="AD353" s="144"/>
      <c r="AE353" s="144"/>
      <c r="AF353" s="144"/>
    </row>
    <row r="354" ht="16.5" customHeight="1">
      <c r="A354" s="144"/>
      <c r="B354" s="144"/>
      <c r="C354" s="144"/>
      <c r="D354" s="144"/>
      <c r="E354" s="144"/>
      <c r="F354" s="144"/>
      <c r="G354" s="144"/>
      <c r="H354" s="144"/>
      <c r="I354" s="496"/>
      <c r="J354" s="496"/>
      <c r="K354" s="496"/>
      <c r="L354" s="496"/>
      <c r="M354" s="144"/>
      <c r="N354" s="144"/>
      <c r="O354" s="144"/>
      <c r="P354" s="144"/>
      <c r="Q354" s="144"/>
      <c r="R354" s="144"/>
      <c r="S354" s="144"/>
      <c r="T354" s="144"/>
      <c r="U354" s="144"/>
      <c r="V354" s="144"/>
      <c r="W354" s="144"/>
      <c r="X354" s="144"/>
      <c r="Y354" s="144"/>
      <c r="Z354" s="144"/>
      <c r="AA354" s="144"/>
      <c r="AB354" s="144"/>
      <c r="AC354" s="144"/>
      <c r="AD354" s="144"/>
      <c r="AE354" s="144"/>
      <c r="AF354" s="144"/>
    </row>
    <row r="355" ht="16.5" customHeight="1">
      <c r="A355" s="144"/>
      <c r="B355" s="144"/>
      <c r="C355" s="144"/>
      <c r="D355" s="144"/>
      <c r="E355" s="144"/>
      <c r="F355" s="144"/>
      <c r="G355" s="144"/>
      <c r="H355" s="144"/>
      <c r="I355" s="496"/>
      <c r="J355" s="496"/>
      <c r="K355" s="496"/>
      <c r="L355" s="496"/>
      <c r="M355" s="144"/>
      <c r="N355" s="144"/>
      <c r="O355" s="144"/>
      <c r="P355" s="144"/>
      <c r="Q355" s="144"/>
      <c r="R355" s="144"/>
      <c r="S355" s="144"/>
      <c r="T355" s="144"/>
      <c r="U355" s="144"/>
      <c r="V355" s="144"/>
      <c r="W355" s="144"/>
      <c r="X355" s="144"/>
      <c r="Y355" s="144"/>
      <c r="Z355" s="144"/>
      <c r="AA355" s="144"/>
      <c r="AB355" s="144"/>
      <c r="AC355" s="144"/>
      <c r="AD355" s="144"/>
      <c r="AE355" s="144"/>
      <c r="AF355" s="144"/>
    </row>
    <row r="356" ht="16.5" customHeight="1">
      <c r="A356" s="144"/>
      <c r="B356" s="144"/>
      <c r="C356" s="144"/>
      <c r="D356" s="144"/>
      <c r="E356" s="144"/>
      <c r="F356" s="144"/>
      <c r="G356" s="144"/>
      <c r="H356" s="144"/>
      <c r="I356" s="496"/>
      <c r="J356" s="496"/>
      <c r="K356" s="496"/>
      <c r="L356" s="496"/>
      <c r="M356" s="144"/>
      <c r="N356" s="144"/>
      <c r="O356" s="144"/>
      <c r="P356" s="144"/>
      <c r="Q356" s="144"/>
      <c r="R356" s="144"/>
      <c r="S356" s="144"/>
      <c r="T356" s="144"/>
      <c r="U356" s="144"/>
      <c r="V356" s="144"/>
      <c r="W356" s="144"/>
      <c r="X356" s="144"/>
      <c r="Y356" s="144"/>
      <c r="Z356" s="144"/>
      <c r="AA356" s="144"/>
      <c r="AB356" s="144"/>
      <c r="AC356" s="144"/>
      <c r="AD356" s="144"/>
      <c r="AE356" s="144"/>
      <c r="AF356" s="144"/>
    </row>
    <row r="357" ht="16.5" customHeight="1">
      <c r="A357" s="144"/>
      <c r="B357" s="144"/>
      <c r="C357" s="144"/>
      <c r="D357" s="144"/>
      <c r="E357" s="144"/>
      <c r="F357" s="144"/>
      <c r="G357" s="144"/>
      <c r="H357" s="144"/>
      <c r="I357" s="496"/>
      <c r="J357" s="496"/>
      <c r="K357" s="496"/>
      <c r="L357" s="496"/>
      <c r="M357" s="144"/>
      <c r="N357" s="144"/>
      <c r="O357" s="144"/>
      <c r="P357" s="144"/>
      <c r="Q357" s="144"/>
      <c r="R357" s="144"/>
      <c r="S357" s="144"/>
      <c r="T357" s="144"/>
      <c r="U357" s="144"/>
      <c r="V357" s="144"/>
      <c r="W357" s="144"/>
      <c r="X357" s="144"/>
      <c r="Y357" s="144"/>
      <c r="Z357" s="144"/>
      <c r="AA357" s="144"/>
      <c r="AB357" s="144"/>
      <c r="AC357" s="144"/>
      <c r="AD357" s="144"/>
      <c r="AE357" s="144"/>
      <c r="AF357" s="144"/>
    </row>
    <row r="358" ht="16.5" customHeight="1">
      <c r="A358" s="144"/>
      <c r="B358" s="144"/>
      <c r="C358" s="144"/>
      <c r="D358" s="144"/>
      <c r="E358" s="144"/>
      <c r="F358" s="144"/>
      <c r="G358" s="144"/>
      <c r="H358" s="144"/>
      <c r="I358" s="496"/>
      <c r="J358" s="496"/>
      <c r="K358" s="496"/>
      <c r="L358" s="496"/>
      <c r="M358" s="144"/>
      <c r="N358" s="144"/>
      <c r="O358" s="144"/>
      <c r="P358" s="144"/>
      <c r="Q358" s="144"/>
      <c r="R358" s="144"/>
      <c r="S358" s="144"/>
      <c r="T358" s="144"/>
      <c r="U358" s="144"/>
      <c r="V358" s="144"/>
      <c r="W358" s="144"/>
      <c r="X358" s="144"/>
      <c r="Y358" s="144"/>
      <c r="Z358" s="144"/>
      <c r="AA358" s="144"/>
      <c r="AB358" s="144"/>
      <c r="AC358" s="144"/>
      <c r="AD358" s="144"/>
      <c r="AE358" s="144"/>
      <c r="AF358" s="144"/>
    </row>
    <row r="359" ht="16.5" customHeight="1">
      <c r="A359" s="144"/>
      <c r="B359" s="144"/>
      <c r="C359" s="144"/>
      <c r="D359" s="144"/>
      <c r="E359" s="144"/>
      <c r="F359" s="144"/>
      <c r="G359" s="144"/>
      <c r="H359" s="144"/>
      <c r="I359" s="496"/>
      <c r="J359" s="496"/>
      <c r="K359" s="496"/>
      <c r="L359" s="496"/>
      <c r="M359" s="144"/>
      <c r="N359" s="144"/>
      <c r="O359" s="144"/>
      <c r="P359" s="144"/>
      <c r="Q359" s="144"/>
      <c r="R359" s="144"/>
      <c r="S359" s="144"/>
      <c r="T359" s="144"/>
      <c r="U359" s="144"/>
      <c r="V359" s="144"/>
      <c r="W359" s="144"/>
      <c r="X359" s="144"/>
      <c r="Y359" s="144"/>
      <c r="Z359" s="144"/>
      <c r="AA359" s="144"/>
      <c r="AB359" s="144"/>
      <c r="AC359" s="144"/>
      <c r="AD359" s="144"/>
      <c r="AE359" s="144"/>
      <c r="AF359" s="144"/>
    </row>
    <row r="360" ht="16.5" customHeight="1">
      <c r="A360" s="144"/>
      <c r="B360" s="144"/>
      <c r="C360" s="144"/>
      <c r="D360" s="144"/>
      <c r="E360" s="144"/>
      <c r="F360" s="144"/>
      <c r="G360" s="144"/>
      <c r="H360" s="144"/>
      <c r="I360" s="496"/>
      <c r="J360" s="496"/>
      <c r="K360" s="496"/>
      <c r="L360" s="496"/>
      <c r="M360" s="144"/>
      <c r="N360" s="144"/>
      <c r="O360" s="144"/>
      <c r="P360" s="144"/>
      <c r="Q360" s="144"/>
      <c r="R360" s="144"/>
      <c r="S360" s="144"/>
      <c r="T360" s="144"/>
      <c r="U360" s="144"/>
      <c r="V360" s="144"/>
      <c r="W360" s="144"/>
      <c r="X360" s="144"/>
      <c r="Y360" s="144"/>
      <c r="Z360" s="144"/>
      <c r="AA360" s="144"/>
      <c r="AB360" s="144"/>
      <c r="AC360" s="144"/>
      <c r="AD360" s="144"/>
      <c r="AE360" s="144"/>
      <c r="AF360" s="144"/>
    </row>
    <row r="361" ht="16.5" customHeight="1">
      <c r="A361" s="144"/>
      <c r="B361" s="144"/>
      <c r="C361" s="144"/>
      <c r="D361" s="144"/>
      <c r="E361" s="144"/>
      <c r="F361" s="144"/>
      <c r="G361" s="144"/>
      <c r="H361" s="144"/>
      <c r="I361" s="496"/>
      <c r="J361" s="496"/>
      <c r="K361" s="496"/>
      <c r="L361" s="496"/>
      <c r="M361" s="144"/>
      <c r="N361" s="144"/>
      <c r="O361" s="144"/>
      <c r="P361" s="144"/>
      <c r="Q361" s="144"/>
      <c r="R361" s="144"/>
      <c r="S361" s="144"/>
      <c r="T361" s="144"/>
      <c r="U361" s="144"/>
      <c r="V361" s="144"/>
      <c r="W361" s="144"/>
      <c r="X361" s="144"/>
      <c r="Y361" s="144"/>
      <c r="Z361" s="144"/>
      <c r="AA361" s="144"/>
      <c r="AB361" s="144"/>
      <c r="AC361" s="144"/>
      <c r="AD361" s="144"/>
      <c r="AE361" s="144"/>
      <c r="AF361" s="144"/>
    </row>
    <row r="362" ht="16.5" customHeight="1">
      <c r="A362" s="144"/>
      <c r="B362" s="144"/>
      <c r="C362" s="144"/>
      <c r="D362" s="144"/>
      <c r="E362" s="144"/>
      <c r="F362" s="144"/>
      <c r="G362" s="144"/>
      <c r="H362" s="144"/>
      <c r="I362" s="496"/>
      <c r="J362" s="496"/>
      <c r="K362" s="496"/>
      <c r="L362" s="496"/>
      <c r="M362" s="144"/>
      <c r="N362" s="144"/>
      <c r="O362" s="144"/>
      <c r="P362" s="144"/>
      <c r="Q362" s="144"/>
      <c r="R362" s="144"/>
      <c r="S362" s="144"/>
      <c r="T362" s="144"/>
      <c r="U362" s="144"/>
      <c r="V362" s="144"/>
      <c r="W362" s="144"/>
      <c r="X362" s="144"/>
      <c r="Y362" s="144"/>
      <c r="Z362" s="144"/>
      <c r="AA362" s="144"/>
      <c r="AB362" s="144"/>
      <c r="AC362" s="144"/>
      <c r="AD362" s="144"/>
      <c r="AE362" s="144"/>
      <c r="AF362" s="144"/>
    </row>
    <row r="363" ht="16.5" customHeight="1">
      <c r="A363" s="144"/>
      <c r="B363" s="144"/>
      <c r="C363" s="144"/>
      <c r="D363" s="144"/>
      <c r="E363" s="144"/>
      <c r="F363" s="144"/>
      <c r="G363" s="144"/>
      <c r="H363" s="144"/>
      <c r="I363" s="496"/>
      <c r="J363" s="496"/>
      <c r="K363" s="496"/>
      <c r="L363" s="496"/>
      <c r="M363" s="144"/>
      <c r="N363" s="144"/>
      <c r="O363" s="144"/>
      <c r="P363" s="144"/>
      <c r="Q363" s="144"/>
      <c r="R363" s="144"/>
      <c r="S363" s="144"/>
      <c r="T363" s="144"/>
      <c r="U363" s="144"/>
      <c r="V363" s="144"/>
      <c r="W363" s="144"/>
      <c r="X363" s="144"/>
      <c r="Y363" s="144"/>
      <c r="Z363" s="144"/>
      <c r="AA363" s="144"/>
      <c r="AB363" s="144"/>
      <c r="AC363" s="144"/>
      <c r="AD363" s="144"/>
      <c r="AE363" s="144"/>
      <c r="AF363" s="144"/>
    </row>
    <row r="364" ht="16.5" customHeight="1">
      <c r="A364" s="144"/>
      <c r="B364" s="144"/>
      <c r="C364" s="144"/>
      <c r="D364" s="144"/>
      <c r="E364" s="144"/>
      <c r="F364" s="144"/>
      <c r="G364" s="144"/>
      <c r="H364" s="144"/>
      <c r="I364" s="496"/>
      <c r="J364" s="496"/>
      <c r="K364" s="496"/>
      <c r="L364" s="496"/>
      <c r="M364" s="144"/>
      <c r="N364" s="144"/>
      <c r="O364" s="144"/>
      <c r="P364" s="144"/>
      <c r="Q364" s="144"/>
      <c r="R364" s="144"/>
      <c r="S364" s="144"/>
      <c r="T364" s="144"/>
      <c r="U364" s="144"/>
      <c r="V364" s="144"/>
      <c r="W364" s="144"/>
      <c r="X364" s="144"/>
      <c r="Y364" s="144"/>
      <c r="Z364" s="144"/>
      <c r="AA364" s="144"/>
      <c r="AB364" s="144"/>
      <c r="AC364" s="144"/>
      <c r="AD364" s="144"/>
      <c r="AE364" s="144"/>
      <c r="AF364" s="144"/>
    </row>
    <row r="365" ht="16.5" customHeight="1">
      <c r="A365" s="144"/>
      <c r="B365" s="144"/>
      <c r="C365" s="144"/>
      <c r="D365" s="144"/>
      <c r="E365" s="144"/>
      <c r="F365" s="144"/>
      <c r="G365" s="144"/>
      <c r="H365" s="144"/>
      <c r="I365" s="496"/>
      <c r="J365" s="496"/>
      <c r="K365" s="496"/>
      <c r="L365" s="496"/>
      <c r="M365" s="144"/>
      <c r="N365" s="144"/>
      <c r="O365" s="144"/>
      <c r="P365" s="144"/>
      <c r="Q365" s="144"/>
      <c r="R365" s="144"/>
      <c r="S365" s="144"/>
      <c r="T365" s="144"/>
      <c r="U365" s="144"/>
      <c r="V365" s="144"/>
      <c r="W365" s="144"/>
      <c r="X365" s="144"/>
      <c r="Y365" s="144"/>
      <c r="Z365" s="144"/>
      <c r="AA365" s="144"/>
      <c r="AB365" s="144"/>
      <c r="AC365" s="144"/>
      <c r="AD365" s="144"/>
      <c r="AE365" s="144"/>
      <c r="AF365" s="144"/>
    </row>
    <row r="366" ht="16.5" customHeight="1">
      <c r="A366" s="144"/>
      <c r="B366" s="144"/>
      <c r="C366" s="144"/>
      <c r="D366" s="144"/>
      <c r="E366" s="144"/>
      <c r="F366" s="144"/>
      <c r="G366" s="144"/>
      <c r="H366" s="144"/>
      <c r="I366" s="496"/>
      <c r="J366" s="496"/>
      <c r="K366" s="496"/>
      <c r="L366" s="496"/>
      <c r="M366" s="144"/>
      <c r="N366" s="144"/>
      <c r="O366" s="144"/>
      <c r="P366" s="144"/>
      <c r="Q366" s="144"/>
      <c r="R366" s="144"/>
      <c r="S366" s="144"/>
      <c r="T366" s="144"/>
      <c r="U366" s="144"/>
      <c r="V366" s="144"/>
      <c r="W366" s="144"/>
      <c r="X366" s="144"/>
      <c r="Y366" s="144"/>
      <c r="Z366" s="144"/>
      <c r="AA366" s="144"/>
      <c r="AB366" s="144"/>
      <c r="AC366" s="144"/>
      <c r="AD366" s="144"/>
      <c r="AE366" s="144"/>
      <c r="AF366" s="144"/>
    </row>
    <row r="367" ht="16.5" customHeight="1">
      <c r="A367" s="144"/>
      <c r="B367" s="144"/>
      <c r="C367" s="144"/>
      <c r="D367" s="144"/>
      <c r="E367" s="144"/>
      <c r="F367" s="144"/>
      <c r="G367" s="144"/>
      <c r="H367" s="144"/>
      <c r="I367" s="496"/>
      <c r="J367" s="496"/>
      <c r="K367" s="496"/>
      <c r="L367" s="496"/>
      <c r="M367" s="144"/>
      <c r="N367" s="144"/>
      <c r="O367" s="144"/>
      <c r="P367" s="144"/>
      <c r="Q367" s="144"/>
      <c r="R367" s="144"/>
      <c r="S367" s="144"/>
      <c r="T367" s="144"/>
      <c r="U367" s="144"/>
      <c r="V367" s="144"/>
      <c r="W367" s="144"/>
      <c r="X367" s="144"/>
      <c r="Y367" s="144"/>
      <c r="Z367" s="144"/>
      <c r="AA367" s="144"/>
      <c r="AB367" s="144"/>
      <c r="AC367" s="144"/>
      <c r="AD367" s="144"/>
      <c r="AE367" s="144"/>
      <c r="AF367" s="144"/>
    </row>
    <row r="368" ht="16.5" customHeight="1">
      <c r="A368" s="144"/>
      <c r="B368" s="144"/>
      <c r="C368" s="144"/>
      <c r="D368" s="144"/>
      <c r="E368" s="144"/>
      <c r="F368" s="144"/>
      <c r="G368" s="144"/>
      <c r="H368" s="144"/>
      <c r="I368" s="496"/>
      <c r="J368" s="496"/>
      <c r="K368" s="496"/>
      <c r="L368" s="496"/>
      <c r="M368" s="144"/>
      <c r="N368" s="144"/>
      <c r="O368" s="144"/>
      <c r="P368" s="144"/>
      <c r="Q368" s="144"/>
      <c r="R368" s="144"/>
      <c r="S368" s="144"/>
      <c r="T368" s="144"/>
      <c r="U368" s="144"/>
      <c r="V368" s="144"/>
      <c r="W368" s="144"/>
      <c r="X368" s="144"/>
      <c r="Y368" s="144"/>
      <c r="Z368" s="144"/>
      <c r="AA368" s="144"/>
      <c r="AB368" s="144"/>
      <c r="AC368" s="144"/>
      <c r="AD368" s="144"/>
      <c r="AE368" s="144"/>
      <c r="AF368" s="144"/>
    </row>
    <row r="369" ht="16.5" customHeight="1">
      <c r="A369" s="144"/>
      <c r="B369" s="144"/>
      <c r="C369" s="144"/>
      <c r="D369" s="144"/>
      <c r="E369" s="144"/>
      <c r="F369" s="144"/>
      <c r="G369" s="144"/>
      <c r="H369" s="144"/>
      <c r="I369" s="496"/>
      <c r="J369" s="496"/>
      <c r="K369" s="496"/>
      <c r="L369" s="496"/>
      <c r="M369" s="144"/>
      <c r="N369" s="144"/>
      <c r="O369" s="144"/>
      <c r="P369" s="144"/>
      <c r="Q369" s="144"/>
      <c r="R369" s="144"/>
      <c r="S369" s="144"/>
      <c r="T369" s="144"/>
      <c r="U369" s="144"/>
      <c r="V369" s="144"/>
      <c r="W369" s="144"/>
      <c r="X369" s="144"/>
      <c r="Y369" s="144"/>
      <c r="Z369" s="144"/>
      <c r="AA369" s="144"/>
      <c r="AB369" s="144"/>
      <c r="AC369" s="144"/>
      <c r="AD369" s="144"/>
      <c r="AE369" s="144"/>
      <c r="AF369" s="144"/>
    </row>
    <row r="370" ht="16.5" customHeight="1">
      <c r="A370" s="144"/>
      <c r="B370" s="144"/>
      <c r="C370" s="144"/>
      <c r="D370" s="144"/>
      <c r="E370" s="144"/>
      <c r="F370" s="144"/>
      <c r="G370" s="144"/>
      <c r="H370" s="144"/>
      <c r="I370" s="496"/>
      <c r="J370" s="496"/>
      <c r="K370" s="496"/>
      <c r="L370" s="496"/>
      <c r="M370" s="144"/>
      <c r="N370" s="144"/>
      <c r="O370" s="144"/>
      <c r="P370" s="144"/>
      <c r="Q370" s="144"/>
      <c r="R370" s="144"/>
      <c r="S370" s="144"/>
      <c r="T370" s="144"/>
      <c r="U370" s="144"/>
      <c r="V370" s="144"/>
      <c r="W370" s="144"/>
      <c r="X370" s="144"/>
      <c r="Y370" s="144"/>
      <c r="Z370" s="144"/>
      <c r="AA370" s="144"/>
      <c r="AB370" s="144"/>
      <c r="AC370" s="144"/>
      <c r="AD370" s="144"/>
      <c r="AE370" s="144"/>
      <c r="AF370" s="144"/>
    </row>
    <row r="371" ht="16.5" customHeight="1">
      <c r="A371" s="144"/>
      <c r="B371" s="144"/>
      <c r="C371" s="144"/>
      <c r="D371" s="144"/>
      <c r="E371" s="144"/>
      <c r="F371" s="144"/>
      <c r="G371" s="144"/>
      <c r="H371" s="144"/>
      <c r="I371" s="496"/>
      <c r="J371" s="496"/>
      <c r="K371" s="496"/>
      <c r="L371" s="496"/>
      <c r="M371" s="144"/>
      <c r="N371" s="144"/>
      <c r="O371" s="144"/>
      <c r="P371" s="144"/>
      <c r="Q371" s="144"/>
      <c r="R371" s="144"/>
      <c r="S371" s="144"/>
      <c r="T371" s="144"/>
      <c r="U371" s="144"/>
      <c r="V371" s="144"/>
      <c r="W371" s="144"/>
      <c r="X371" s="144"/>
      <c r="Y371" s="144"/>
      <c r="Z371" s="144"/>
      <c r="AA371" s="144"/>
      <c r="AB371" s="144"/>
      <c r="AC371" s="144"/>
      <c r="AD371" s="144"/>
      <c r="AE371" s="144"/>
      <c r="AF371" s="144"/>
    </row>
    <row r="372" ht="16.5" customHeight="1">
      <c r="A372" s="144"/>
      <c r="B372" s="144"/>
      <c r="C372" s="144"/>
      <c r="D372" s="144"/>
      <c r="E372" s="144"/>
      <c r="F372" s="144"/>
      <c r="G372" s="144"/>
      <c r="H372" s="144"/>
      <c r="I372" s="496"/>
      <c r="J372" s="496"/>
      <c r="K372" s="496"/>
      <c r="L372" s="496"/>
      <c r="M372" s="144"/>
      <c r="N372" s="144"/>
      <c r="O372" s="144"/>
      <c r="P372" s="144"/>
      <c r="Q372" s="144"/>
      <c r="R372" s="144"/>
      <c r="S372" s="144"/>
      <c r="T372" s="144"/>
      <c r="U372" s="144"/>
      <c r="V372" s="144"/>
      <c r="W372" s="144"/>
      <c r="X372" s="144"/>
      <c r="Y372" s="144"/>
      <c r="Z372" s="144"/>
      <c r="AA372" s="144"/>
      <c r="AB372" s="144"/>
      <c r="AC372" s="144"/>
      <c r="AD372" s="144"/>
      <c r="AE372" s="144"/>
      <c r="AF372" s="144"/>
    </row>
    <row r="373" ht="16.5" customHeight="1">
      <c r="A373" s="144"/>
      <c r="B373" s="144"/>
      <c r="C373" s="144"/>
      <c r="D373" s="144"/>
      <c r="E373" s="144"/>
      <c r="F373" s="144"/>
      <c r="G373" s="144"/>
      <c r="H373" s="144"/>
      <c r="I373" s="496"/>
      <c r="J373" s="496"/>
      <c r="K373" s="496"/>
      <c r="L373" s="496"/>
      <c r="M373" s="144"/>
      <c r="N373" s="144"/>
      <c r="O373" s="144"/>
      <c r="P373" s="144"/>
      <c r="Q373" s="144"/>
      <c r="R373" s="144"/>
      <c r="S373" s="144"/>
      <c r="T373" s="144"/>
      <c r="U373" s="144"/>
      <c r="V373" s="144"/>
      <c r="W373" s="144"/>
      <c r="X373" s="144"/>
      <c r="Y373" s="144"/>
      <c r="Z373" s="144"/>
      <c r="AA373" s="144"/>
      <c r="AB373" s="144"/>
      <c r="AC373" s="144"/>
      <c r="AD373" s="144"/>
      <c r="AE373" s="144"/>
      <c r="AF373" s="144"/>
    </row>
    <row r="374" ht="16.5" customHeight="1">
      <c r="A374" s="144"/>
      <c r="B374" s="144"/>
      <c r="C374" s="144"/>
      <c r="D374" s="144"/>
      <c r="E374" s="144"/>
      <c r="F374" s="144"/>
      <c r="G374" s="144"/>
      <c r="H374" s="144"/>
      <c r="I374" s="496"/>
      <c r="J374" s="496"/>
      <c r="K374" s="496"/>
      <c r="L374" s="496"/>
      <c r="M374" s="144"/>
      <c r="N374" s="144"/>
      <c r="O374" s="144"/>
      <c r="P374" s="144"/>
      <c r="Q374" s="144"/>
      <c r="R374" s="144"/>
      <c r="S374" s="144"/>
      <c r="T374" s="144"/>
      <c r="U374" s="144"/>
      <c r="V374" s="144"/>
      <c r="W374" s="144"/>
      <c r="X374" s="144"/>
      <c r="Y374" s="144"/>
      <c r="Z374" s="144"/>
      <c r="AA374" s="144"/>
      <c r="AB374" s="144"/>
      <c r="AC374" s="144"/>
      <c r="AD374" s="144"/>
      <c r="AE374" s="144"/>
      <c r="AF374" s="144"/>
    </row>
    <row r="375" ht="16.5" customHeight="1">
      <c r="A375" s="144"/>
      <c r="B375" s="144"/>
      <c r="C375" s="144"/>
      <c r="D375" s="144"/>
      <c r="E375" s="144"/>
      <c r="F375" s="144"/>
      <c r="G375" s="144"/>
      <c r="H375" s="144"/>
      <c r="I375" s="496"/>
      <c r="J375" s="496"/>
      <c r="K375" s="496"/>
      <c r="L375" s="496"/>
      <c r="M375" s="144"/>
      <c r="N375" s="144"/>
      <c r="O375" s="144"/>
      <c r="P375" s="144"/>
      <c r="Q375" s="144"/>
      <c r="R375" s="144"/>
      <c r="S375" s="144"/>
      <c r="T375" s="144"/>
      <c r="U375" s="144"/>
      <c r="V375" s="144"/>
      <c r="W375" s="144"/>
      <c r="X375" s="144"/>
      <c r="Y375" s="144"/>
      <c r="Z375" s="144"/>
      <c r="AA375" s="144"/>
      <c r="AB375" s="144"/>
      <c r="AC375" s="144"/>
      <c r="AD375" s="144"/>
      <c r="AE375" s="144"/>
      <c r="AF375" s="144"/>
    </row>
    <row r="376" ht="16.5" customHeight="1">
      <c r="A376" s="144"/>
      <c r="B376" s="144"/>
      <c r="C376" s="144"/>
      <c r="D376" s="144"/>
      <c r="E376" s="144"/>
      <c r="F376" s="144"/>
      <c r="G376" s="144"/>
      <c r="H376" s="144"/>
      <c r="I376" s="496"/>
      <c r="J376" s="496"/>
      <c r="K376" s="496"/>
      <c r="L376" s="496"/>
      <c r="M376" s="144"/>
      <c r="N376" s="144"/>
      <c r="O376" s="144"/>
      <c r="P376" s="144"/>
      <c r="Q376" s="144"/>
      <c r="R376" s="144"/>
      <c r="S376" s="144"/>
      <c r="T376" s="144"/>
      <c r="U376" s="144"/>
      <c r="V376" s="144"/>
      <c r="W376" s="144"/>
      <c r="X376" s="144"/>
      <c r="Y376" s="144"/>
      <c r="Z376" s="144"/>
      <c r="AA376" s="144"/>
      <c r="AB376" s="144"/>
      <c r="AC376" s="144"/>
      <c r="AD376" s="144"/>
      <c r="AE376" s="144"/>
      <c r="AF376" s="144"/>
    </row>
    <row r="377" ht="16.5" customHeight="1">
      <c r="A377" s="144"/>
      <c r="B377" s="144"/>
      <c r="C377" s="144"/>
      <c r="D377" s="144"/>
      <c r="E377" s="144"/>
      <c r="F377" s="144"/>
      <c r="G377" s="144"/>
      <c r="H377" s="144"/>
      <c r="I377" s="496"/>
      <c r="J377" s="496"/>
      <c r="K377" s="496"/>
      <c r="L377" s="496"/>
      <c r="M377" s="144"/>
      <c r="N377" s="144"/>
      <c r="O377" s="144"/>
      <c r="P377" s="144"/>
      <c r="Q377" s="144"/>
      <c r="R377" s="144"/>
      <c r="S377" s="144"/>
      <c r="T377" s="144"/>
      <c r="U377" s="144"/>
      <c r="V377" s="144"/>
      <c r="W377" s="144"/>
      <c r="X377" s="144"/>
      <c r="Y377" s="144"/>
      <c r="Z377" s="144"/>
      <c r="AA377" s="144"/>
      <c r="AB377" s="144"/>
      <c r="AC377" s="144"/>
      <c r="AD377" s="144"/>
      <c r="AE377" s="144"/>
      <c r="AF377" s="144"/>
    </row>
    <row r="378" ht="16.5" customHeight="1">
      <c r="A378" s="144"/>
      <c r="B378" s="144"/>
      <c r="C378" s="144"/>
      <c r="D378" s="144"/>
      <c r="E378" s="144"/>
      <c r="F378" s="144"/>
      <c r="G378" s="144"/>
      <c r="H378" s="144"/>
      <c r="I378" s="496"/>
      <c r="J378" s="496"/>
      <c r="K378" s="496"/>
      <c r="L378" s="496"/>
      <c r="M378" s="144"/>
      <c r="N378" s="144"/>
      <c r="O378" s="144"/>
      <c r="P378" s="144"/>
      <c r="Q378" s="144"/>
      <c r="R378" s="144"/>
      <c r="S378" s="144"/>
      <c r="T378" s="144"/>
      <c r="U378" s="144"/>
      <c r="V378" s="144"/>
      <c r="W378" s="144"/>
      <c r="X378" s="144"/>
      <c r="Y378" s="144"/>
      <c r="Z378" s="144"/>
      <c r="AA378" s="144"/>
      <c r="AB378" s="144"/>
      <c r="AC378" s="144"/>
      <c r="AD378" s="144"/>
      <c r="AE378" s="144"/>
      <c r="AF378" s="144"/>
    </row>
    <row r="379" ht="16.5" customHeight="1">
      <c r="A379" s="144"/>
      <c r="B379" s="144"/>
      <c r="C379" s="144"/>
      <c r="D379" s="144"/>
      <c r="E379" s="144"/>
      <c r="F379" s="144"/>
      <c r="G379" s="144"/>
      <c r="H379" s="144"/>
      <c r="I379" s="496"/>
      <c r="J379" s="496"/>
      <c r="K379" s="496"/>
      <c r="L379" s="496"/>
      <c r="M379" s="144"/>
      <c r="N379" s="144"/>
      <c r="O379" s="144"/>
      <c r="P379" s="144"/>
      <c r="Q379" s="144"/>
      <c r="R379" s="144"/>
      <c r="S379" s="144"/>
      <c r="T379" s="144"/>
      <c r="U379" s="144"/>
      <c r="V379" s="144"/>
      <c r="W379" s="144"/>
      <c r="X379" s="144"/>
      <c r="Y379" s="144"/>
      <c r="Z379" s="144"/>
      <c r="AA379" s="144"/>
      <c r="AB379" s="144"/>
      <c r="AC379" s="144"/>
      <c r="AD379" s="144"/>
      <c r="AE379" s="144"/>
      <c r="AF379" s="144"/>
    </row>
    <row r="380" ht="16.5" customHeight="1">
      <c r="A380" s="144"/>
      <c r="B380" s="144"/>
      <c r="C380" s="144"/>
      <c r="D380" s="144"/>
      <c r="E380" s="144"/>
      <c r="F380" s="144"/>
      <c r="G380" s="144"/>
      <c r="H380" s="144"/>
      <c r="I380" s="496"/>
      <c r="J380" s="496"/>
      <c r="K380" s="496"/>
      <c r="L380" s="496"/>
      <c r="M380" s="144"/>
      <c r="N380" s="144"/>
      <c r="O380" s="144"/>
      <c r="P380" s="144"/>
      <c r="Q380" s="144"/>
      <c r="R380" s="144"/>
      <c r="S380" s="144"/>
      <c r="T380" s="144"/>
      <c r="U380" s="144"/>
      <c r="V380" s="144"/>
      <c r="W380" s="144"/>
      <c r="X380" s="144"/>
      <c r="Y380" s="144"/>
      <c r="Z380" s="144"/>
      <c r="AA380" s="144"/>
      <c r="AB380" s="144"/>
      <c r="AC380" s="144"/>
      <c r="AD380" s="144"/>
      <c r="AE380" s="144"/>
      <c r="AF380" s="144"/>
    </row>
    <row r="381" ht="16.5" customHeight="1">
      <c r="A381" s="144"/>
      <c r="B381" s="144"/>
      <c r="C381" s="144"/>
      <c r="D381" s="144"/>
      <c r="E381" s="144"/>
      <c r="F381" s="144"/>
      <c r="G381" s="144"/>
      <c r="H381" s="144"/>
      <c r="I381" s="496"/>
      <c r="J381" s="496"/>
      <c r="K381" s="496"/>
      <c r="L381" s="496"/>
      <c r="M381" s="144"/>
      <c r="N381" s="144"/>
      <c r="O381" s="144"/>
      <c r="P381" s="144"/>
      <c r="Q381" s="144"/>
      <c r="R381" s="144"/>
      <c r="S381" s="144"/>
      <c r="T381" s="144"/>
      <c r="U381" s="144"/>
      <c r="V381" s="144"/>
      <c r="W381" s="144"/>
      <c r="X381" s="144"/>
      <c r="Y381" s="144"/>
      <c r="Z381" s="144"/>
      <c r="AA381" s="144"/>
      <c r="AB381" s="144"/>
      <c r="AC381" s="144"/>
      <c r="AD381" s="144"/>
      <c r="AE381" s="144"/>
      <c r="AF381" s="144"/>
    </row>
    <row r="382" ht="16.5" customHeight="1">
      <c r="A382" s="144"/>
      <c r="B382" s="144"/>
      <c r="C382" s="144"/>
      <c r="D382" s="144"/>
      <c r="E382" s="144"/>
      <c r="F382" s="144"/>
      <c r="G382" s="144"/>
      <c r="H382" s="144"/>
      <c r="I382" s="496"/>
      <c r="J382" s="496"/>
      <c r="K382" s="496"/>
      <c r="L382" s="496"/>
      <c r="M382" s="144"/>
      <c r="N382" s="144"/>
      <c r="O382" s="144"/>
      <c r="P382" s="144"/>
      <c r="Q382" s="144"/>
      <c r="R382" s="144"/>
      <c r="S382" s="144"/>
      <c r="T382" s="144"/>
      <c r="U382" s="144"/>
      <c r="V382" s="144"/>
      <c r="W382" s="144"/>
      <c r="X382" s="144"/>
      <c r="Y382" s="144"/>
      <c r="Z382" s="144"/>
      <c r="AA382" s="144"/>
      <c r="AB382" s="144"/>
      <c r="AC382" s="144"/>
      <c r="AD382" s="144"/>
      <c r="AE382" s="144"/>
      <c r="AF382" s="144"/>
    </row>
    <row r="383" ht="16.5" customHeight="1">
      <c r="A383" s="144"/>
      <c r="B383" s="144"/>
      <c r="C383" s="144"/>
      <c r="D383" s="144"/>
      <c r="E383" s="144"/>
      <c r="F383" s="144"/>
      <c r="G383" s="144"/>
      <c r="H383" s="144"/>
      <c r="I383" s="496"/>
      <c r="J383" s="496"/>
      <c r="K383" s="496"/>
      <c r="L383" s="496"/>
      <c r="M383" s="144"/>
      <c r="N383" s="144"/>
      <c r="O383" s="144"/>
      <c r="P383" s="144"/>
      <c r="Q383" s="144"/>
      <c r="R383" s="144"/>
      <c r="S383" s="144"/>
      <c r="T383" s="144"/>
      <c r="U383" s="144"/>
      <c r="V383" s="144"/>
      <c r="W383" s="144"/>
      <c r="X383" s="144"/>
      <c r="Y383" s="144"/>
      <c r="Z383" s="144"/>
      <c r="AA383" s="144"/>
      <c r="AB383" s="144"/>
      <c r="AC383" s="144"/>
      <c r="AD383" s="144"/>
      <c r="AE383" s="144"/>
      <c r="AF383" s="144"/>
    </row>
    <row r="384" ht="16.5" customHeight="1">
      <c r="A384" s="144"/>
      <c r="B384" s="144"/>
      <c r="C384" s="144"/>
      <c r="D384" s="144"/>
      <c r="E384" s="144"/>
      <c r="F384" s="144"/>
      <c r="G384" s="144"/>
      <c r="H384" s="144"/>
      <c r="I384" s="496"/>
      <c r="J384" s="496"/>
      <c r="K384" s="496"/>
      <c r="L384" s="496"/>
      <c r="M384" s="144"/>
      <c r="N384" s="144"/>
      <c r="O384" s="144"/>
      <c r="P384" s="144"/>
      <c r="Q384" s="144"/>
      <c r="R384" s="144"/>
      <c r="S384" s="144"/>
      <c r="T384" s="144"/>
      <c r="U384" s="144"/>
      <c r="V384" s="144"/>
      <c r="W384" s="144"/>
      <c r="X384" s="144"/>
      <c r="Y384" s="144"/>
      <c r="Z384" s="144"/>
      <c r="AA384" s="144"/>
      <c r="AB384" s="144"/>
      <c r="AC384" s="144"/>
      <c r="AD384" s="144"/>
      <c r="AE384" s="144"/>
      <c r="AF384" s="144"/>
    </row>
    <row r="385" ht="16.5" customHeight="1">
      <c r="A385" s="144"/>
      <c r="B385" s="144"/>
      <c r="C385" s="144"/>
      <c r="D385" s="144"/>
      <c r="E385" s="144"/>
      <c r="F385" s="144"/>
      <c r="G385" s="144"/>
      <c r="H385" s="144"/>
      <c r="I385" s="496"/>
      <c r="J385" s="496"/>
      <c r="K385" s="496"/>
      <c r="L385" s="496"/>
      <c r="M385" s="144"/>
      <c r="N385" s="144"/>
      <c r="O385" s="144"/>
      <c r="P385" s="144"/>
      <c r="Q385" s="144"/>
      <c r="R385" s="144"/>
      <c r="S385" s="144"/>
      <c r="T385" s="144"/>
      <c r="U385" s="144"/>
      <c r="V385" s="144"/>
      <c r="W385" s="144"/>
      <c r="X385" s="144"/>
      <c r="Y385" s="144"/>
      <c r="Z385" s="144"/>
      <c r="AA385" s="144"/>
      <c r="AB385" s="144"/>
      <c r="AC385" s="144"/>
      <c r="AD385" s="144"/>
      <c r="AE385" s="144"/>
      <c r="AF385" s="144"/>
    </row>
    <row r="386" ht="16.5" customHeight="1">
      <c r="A386" s="144"/>
      <c r="B386" s="144"/>
      <c r="C386" s="144"/>
      <c r="D386" s="144"/>
      <c r="E386" s="144"/>
      <c r="F386" s="144"/>
      <c r="G386" s="144"/>
      <c r="H386" s="144"/>
      <c r="I386" s="496"/>
      <c r="J386" s="496"/>
      <c r="K386" s="496"/>
      <c r="L386" s="496"/>
      <c r="M386" s="144"/>
      <c r="N386" s="144"/>
      <c r="O386" s="144"/>
      <c r="P386" s="144"/>
      <c r="Q386" s="144"/>
      <c r="R386" s="144"/>
      <c r="S386" s="144"/>
      <c r="T386" s="144"/>
      <c r="U386" s="144"/>
      <c r="V386" s="144"/>
      <c r="W386" s="144"/>
      <c r="X386" s="144"/>
      <c r="Y386" s="144"/>
      <c r="Z386" s="144"/>
      <c r="AA386" s="144"/>
      <c r="AB386" s="144"/>
      <c r="AC386" s="144"/>
      <c r="AD386" s="144"/>
      <c r="AE386" s="144"/>
      <c r="AF386" s="144"/>
    </row>
    <row r="387" ht="16.5" customHeight="1">
      <c r="A387" s="144"/>
      <c r="B387" s="144"/>
      <c r="C387" s="144"/>
      <c r="D387" s="144"/>
      <c r="E387" s="144"/>
      <c r="F387" s="144"/>
      <c r="G387" s="144"/>
      <c r="H387" s="144"/>
      <c r="I387" s="496"/>
      <c r="J387" s="496"/>
      <c r="K387" s="496"/>
      <c r="L387" s="496"/>
      <c r="M387" s="144"/>
      <c r="N387" s="144"/>
      <c r="O387" s="144"/>
      <c r="P387" s="144"/>
      <c r="Q387" s="144"/>
      <c r="R387" s="144"/>
      <c r="S387" s="144"/>
      <c r="T387" s="144"/>
      <c r="U387" s="144"/>
      <c r="V387" s="144"/>
      <c r="W387" s="144"/>
      <c r="X387" s="144"/>
      <c r="Y387" s="144"/>
      <c r="Z387" s="144"/>
      <c r="AA387" s="144"/>
      <c r="AB387" s="144"/>
      <c r="AC387" s="144"/>
      <c r="AD387" s="144"/>
      <c r="AE387" s="144"/>
      <c r="AF387" s="144"/>
    </row>
    <row r="388" ht="16.5" customHeight="1">
      <c r="A388" s="144"/>
      <c r="B388" s="144"/>
      <c r="C388" s="144"/>
      <c r="D388" s="144"/>
      <c r="E388" s="144"/>
      <c r="F388" s="144"/>
      <c r="G388" s="144"/>
      <c r="H388" s="144"/>
      <c r="I388" s="496"/>
      <c r="J388" s="496"/>
      <c r="K388" s="496"/>
      <c r="L388" s="496"/>
      <c r="M388" s="144"/>
      <c r="N388" s="144"/>
      <c r="O388" s="144"/>
      <c r="P388" s="144"/>
      <c r="Q388" s="144"/>
      <c r="R388" s="144"/>
      <c r="S388" s="144"/>
      <c r="T388" s="144"/>
      <c r="U388" s="144"/>
      <c r="V388" s="144"/>
      <c r="W388" s="144"/>
      <c r="X388" s="144"/>
      <c r="Y388" s="144"/>
      <c r="Z388" s="144"/>
      <c r="AA388" s="144"/>
      <c r="AB388" s="144"/>
      <c r="AC388" s="144"/>
      <c r="AD388" s="144"/>
      <c r="AE388" s="144"/>
      <c r="AF388" s="144"/>
    </row>
    <row r="389" ht="16.5" customHeight="1">
      <c r="A389" s="144"/>
      <c r="B389" s="144"/>
      <c r="C389" s="144"/>
      <c r="D389" s="144"/>
      <c r="E389" s="144"/>
      <c r="F389" s="144"/>
      <c r="G389" s="144"/>
      <c r="H389" s="144"/>
      <c r="I389" s="496"/>
      <c r="J389" s="496"/>
      <c r="K389" s="496"/>
      <c r="L389" s="496"/>
      <c r="M389" s="144"/>
      <c r="N389" s="144"/>
      <c r="O389" s="144"/>
      <c r="P389" s="144"/>
      <c r="Q389" s="144"/>
      <c r="R389" s="144"/>
      <c r="S389" s="144"/>
      <c r="T389" s="144"/>
      <c r="U389" s="144"/>
      <c r="V389" s="144"/>
      <c r="W389" s="144"/>
      <c r="X389" s="144"/>
      <c r="Y389" s="144"/>
      <c r="Z389" s="144"/>
      <c r="AA389" s="144"/>
      <c r="AB389" s="144"/>
      <c r="AC389" s="144"/>
      <c r="AD389" s="144"/>
      <c r="AE389" s="144"/>
      <c r="AF389" s="144"/>
    </row>
    <row r="390" ht="16.5" customHeight="1">
      <c r="A390" s="144"/>
      <c r="B390" s="144"/>
      <c r="C390" s="144"/>
      <c r="D390" s="144"/>
      <c r="E390" s="144"/>
      <c r="F390" s="144"/>
      <c r="G390" s="144"/>
      <c r="H390" s="144"/>
      <c r="I390" s="496"/>
      <c r="J390" s="496"/>
      <c r="K390" s="496"/>
      <c r="L390" s="496"/>
      <c r="M390" s="144"/>
      <c r="N390" s="144"/>
      <c r="O390" s="144"/>
      <c r="P390" s="144"/>
      <c r="Q390" s="144"/>
      <c r="R390" s="144"/>
      <c r="S390" s="144"/>
      <c r="T390" s="144"/>
      <c r="U390" s="144"/>
      <c r="V390" s="144"/>
      <c r="W390" s="144"/>
      <c r="X390" s="144"/>
      <c r="Y390" s="144"/>
      <c r="Z390" s="144"/>
      <c r="AA390" s="144"/>
      <c r="AB390" s="144"/>
      <c r="AC390" s="144"/>
      <c r="AD390" s="144"/>
      <c r="AE390" s="144"/>
      <c r="AF390" s="144"/>
    </row>
    <row r="391" ht="16.5" customHeight="1">
      <c r="A391" s="144"/>
      <c r="B391" s="144"/>
      <c r="C391" s="144"/>
      <c r="D391" s="144"/>
      <c r="E391" s="144"/>
      <c r="F391" s="144"/>
      <c r="G391" s="144"/>
      <c r="H391" s="144"/>
      <c r="I391" s="496"/>
      <c r="J391" s="496"/>
      <c r="K391" s="496"/>
      <c r="L391" s="496"/>
      <c r="M391" s="144"/>
      <c r="N391" s="144"/>
      <c r="O391" s="144"/>
      <c r="P391" s="144"/>
      <c r="Q391" s="144"/>
      <c r="R391" s="144"/>
      <c r="S391" s="144"/>
      <c r="T391" s="144"/>
      <c r="U391" s="144"/>
      <c r="V391" s="144"/>
      <c r="W391" s="144"/>
      <c r="X391" s="144"/>
      <c r="Y391" s="144"/>
      <c r="Z391" s="144"/>
      <c r="AA391" s="144"/>
      <c r="AB391" s="144"/>
      <c r="AC391" s="144"/>
      <c r="AD391" s="144"/>
      <c r="AE391" s="144"/>
      <c r="AF391" s="144"/>
    </row>
    <row r="392" ht="16.5" customHeight="1">
      <c r="A392" s="144"/>
      <c r="B392" s="144"/>
      <c r="C392" s="144"/>
      <c r="D392" s="144"/>
      <c r="E392" s="144"/>
      <c r="F392" s="144"/>
      <c r="G392" s="144"/>
      <c r="H392" s="144"/>
      <c r="I392" s="496"/>
      <c r="J392" s="496"/>
      <c r="K392" s="496"/>
      <c r="L392" s="496"/>
      <c r="M392" s="144"/>
      <c r="N392" s="144"/>
      <c r="O392" s="144"/>
      <c r="P392" s="144"/>
      <c r="Q392" s="144"/>
      <c r="R392" s="144"/>
      <c r="S392" s="144"/>
      <c r="T392" s="144"/>
      <c r="U392" s="144"/>
      <c r="V392" s="144"/>
      <c r="W392" s="144"/>
      <c r="X392" s="144"/>
      <c r="Y392" s="144"/>
      <c r="Z392" s="144"/>
      <c r="AA392" s="144"/>
      <c r="AB392" s="144"/>
      <c r="AC392" s="144"/>
      <c r="AD392" s="144"/>
      <c r="AE392" s="144"/>
      <c r="AF392" s="144"/>
    </row>
    <row r="393" ht="16.5" customHeight="1">
      <c r="A393" s="144"/>
      <c r="B393" s="144"/>
      <c r="C393" s="144"/>
      <c r="D393" s="144"/>
      <c r="E393" s="144"/>
      <c r="F393" s="144"/>
      <c r="G393" s="144"/>
      <c r="H393" s="144"/>
      <c r="I393" s="496"/>
      <c r="J393" s="496"/>
      <c r="K393" s="496"/>
      <c r="L393" s="496"/>
      <c r="M393" s="144"/>
      <c r="N393" s="144"/>
      <c r="O393" s="144"/>
      <c r="P393" s="144"/>
      <c r="Q393" s="144"/>
      <c r="R393" s="144"/>
      <c r="S393" s="144"/>
      <c r="T393" s="144"/>
      <c r="U393" s="144"/>
      <c r="V393" s="144"/>
      <c r="W393" s="144"/>
      <c r="X393" s="144"/>
      <c r="Y393" s="144"/>
      <c r="Z393" s="144"/>
      <c r="AA393" s="144"/>
      <c r="AB393" s="144"/>
      <c r="AC393" s="144"/>
      <c r="AD393" s="144"/>
      <c r="AE393" s="144"/>
      <c r="AF393" s="144"/>
    </row>
    <row r="394" ht="16.5" customHeight="1">
      <c r="A394" s="144"/>
      <c r="B394" s="144"/>
      <c r="C394" s="144"/>
      <c r="D394" s="144"/>
      <c r="E394" s="144"/>
      <c r="F394" s="144"/>
      <c r="G394" s="144"/>
      <c r="H394" s="144"/>
      <c r="I394" s="496"/>
      <c r="J394" s="496"/>
      <c r="K394" s="496"/>
      <c r="L394" s="496"/>
      <c r="M394" s="144"/>
      <c r="N394" s="144"/>
      <c r="O394" s="144"/>
      <c r="P394" s="144"/>
      <c r="Q394" s="144"/>
      <c r="R394" s="144"/>
      <c r="S394" s="144"/>
      <c r="T394" s="144"/>
      <c r="U394" s="144"/>
      <c r="V394" s="144"/>
      <c r="W394" s="144"/>
      <c r="X394" s="144"/>
      <c r="Y394" s="144"/>
      <c r="Z394" s="144"/>
      <c r="AA394" s="144"/>
      <c r="AB394" s="144"/>
      <c r="AC394" s="144"/>
      <c r="AD394" s="144"/>
      <c r="AE394" s="144"/>
      <c r="AF394" s="144"/>
    </row>
    <row r="395" ht="16.5" customHeight="1">
      <c r="A395" s="144"/>
      <c r="B395" s="144"/>
      <c r="C395" s="144"/>
      <c r="D395" s="144"/>
      <c r="E395" s="144"/>
      <c r="F395" s="144"/>
      <c r="G395" s="144"/>
      <c r="H395" s="144"/>
      <c r="I395" s="496"/>
      <c r="J395" s="496"/>
      <c r="K395" s="496"/>
      <c r="L395" s="496"/>
      <c r="M395" s="144"/>
      <c r="N395" s="144"/>
      <c r="O395" s="144"/>
      <c r="P395" s="144"/>
      <c r="Q395" s="144"/>
      <c r="R395" s="144"/>
      <c r="S395" s="144"/>
      <c r="T395" s="144"/>
      <c r="U395" s="144"/>
      <c r="V395" s="144"/>
      <c r="W395" s="144"/>
      <c r="X395" s="144"/>
      <c r="Y395" s="144"/>
      <c r="Z395" s="144"/>
      <c r="AA395" s="144"/>
      <c r="AB395" s="144"/>
      <c r="AC395" s="144"/>
      <c r="AD395" s="144"/>
      <c r="AE395" s="144"/>
      <c r="AF395" s="144"/>
    </row>
    <row r="396" ht="16.5" customHeight="1">
      <c r="A396" s="144"/>
      <c r="B396" s="144"/>
      <c r="C396" s="144"/>
      <c r="D396" s="144"/>
      <c r="E396" s="144"/>
      <c r="F396" s="144"/>
      <c r="G396" s="144"/>
      <c r="H396" s="144"/>
      <c r="I396" s="496"/>
      <c r="J396" s="496"/>
      <c r="K396" s="496"/>
      <c r="L396" s="496"/>
      <c r="M396" s="144"/>
      <c r="N396" s="144"/>
      <c r="O396" s="144"/>
      <c r="P396" s="144"/>
      <c r="Q396" s="144"/>
      <c r="R396" s="144"/>
      <c r="S396" s="144"/>
      <c r="T396" s="144"/>
      <c r="U396" s="144"/>
      <c r="V396" s="144"/>
      <c r="W396" s="144"/>
      <c r="X396" s="144"/>
      <c r="Y396" s="144"/>
      <c r="Z396" s="144"/>
      <c r="AA396" s="144"/>
      <c r="AB396" s="144"/>
      <c r="AC396" s="144"/>
      <c r="AD396" s="144"/>
      <c r="AE396" s="144"/>
      <c r="AF396" s="144"/>
    </row>
    <row r="397" ht="16.5" customHeight="1">
      <c r="A397" s="144"/>
      <c r="B397" s="144"/>
      <c r="C397" s="144"/>
      <c r="D397" s="144"/>
      <c r="E397" s="144"/>
      <c r="F397" s="144"/>
      <c r="G397" s="144"/>
      <c r="H397" s="144"/>
      <c r="I397" s="496"/>
      <c r="J397" s="496"/>
      <c r="K397" s="496"/>
      <c r="L397" s="496"/>
      <c r="M397" s="144"/>
      <c r="N397" s="144"/>
      <c r="O397" s="144"/>
      <c r="P397" s="144"/>
      <c r="Q397" s="144"/>
      <c r="R397" s="144"/>
      <c r="S397" s="144"/>
      <c r="T397" s="144"/>
      <c r="U397" s="144"/>
      <c r="V397" s="144"/>
      <c r="W397" s="144"/>
      <c r="X397" s="144"/>
      <c r="Y397" s="144"/>
      <c r="Z397" s="144"/>
      <c r="AA397" s="144"/>
      <c r="AB397" s="144"/>
      <c r="AC397" s="144"/>
      <c r="AD397" s="144"/>
      <c r="AE397" s="144"/>
      <c r="AF397" s="144"/>
    </row>
    <row r="398" ht="16.5" customHeight="1">
      <c r="A398" s="144"/>
      <c r="B398" s="144"/>
      <c r="C398" s="144"/>
      <c r="D398" s="144"/>
      <c r="E398" s="144"/>
      <c r="F398" s="144"/>
      <c r="G398" s="144"/>
      <c r="H398" s="144"/>
      <c r="I398" s="496"/>
      <c r="J398" s="496"/>
      <c r="K398" s="496"/>
      <c r="L398" s="496"/>
      <c r="M398" s="144"/>
      <c r="N398" s="144"/>
      <c r="O398" s="144"/>
      <c r="P398" s="144"/>
      <c r="Q398" s="144"/>
      <c r="R398" s="144"/>
      <c r="S398" s="144"/>
      <c r="T398" s="144"/>
      <c r="U398" s="144"/>
      <c r="V398" s="144"/>
      <c r="W398" s="144"/>
      <c r="X398" s="144"/>
      <c r="Y398" s="144"/>
      <c r="Z398" s="144"/>
      <c r="AA398" s="144"/>
      <c r="AB398" s="144"/>
      <c r="AC398" s="144"/>
      <c r="AD398" s="144"/>
      <c r="AE398" s="144"/>
      <c r="AF398" s="144"/>
    </row>
    <row r="399" ht="16.5" customHeight="1">
      <c r="A399" s="144"/>
      <c r="B399" s="144"/>
      <c r="C399" s="144"/>
      <c r="D399" s="144"/>
      <c r="E399" s="144"/>
      <c r="F399" s="144"/>
      <c r="G399" s="144"/>
      <c r="H399" s="144"/>
      <c r="I399" s="496"/>
      <c r="J399" s="496"/>
      <c r="K399" s="496"/>
      <c r="L399" s="496"/>
      <c r="M399" s="144"/>
      <c r="N399" s="144"/>
      <c r="O399" s="144"/>
      <c r="P399" s="144"/>
      <c r="Q399" s="144"/>
      <c r="R399" s="144"/>
      <c r="S399" s="144"/>
      <c r="T399" s="144"/>
      <c r="U399" s="144"/>
      <c r="V399" s="144"/>
      <c r="W399" s="144"/>
      <c r="X399" s="144"/>
      <c r="Y399" s="144"/>
      <c r="Z399" s="144"/>
      <c r="AA399" s="144"/>
      <c r="AB399" s="144"/>
      <c r="AC399" s="144"/>
      <c r="AD399" s="144"/>
      <c r="AE399" s="144"/>
      <c r="AF399" s="144"/>
    </row>
    <row r="400" ht="16.5" customHeight="1">
      <c r="A400" s="144"/>
      <c r="B400" s="144"/>
      <c r="C400" s="144"/>
      <c r="D400" s="144"/>
      <c r="E400" s="144"/>
      <c r="F400" s="144"/>
      <c r="G400" s="144"/>
      <c r="H400" s="144"/>
      <c r="I400" s="496"/>
      <c r="J400" s="496"/>
      <c r="K400" s="496"/>
      <c r="L400" s="496"/>
      <c r="M400" s="144"/>
      <c r="N400" s="144"/>
      <c r="O400" s="144"/>
      <c r="P400" s="144"/>
      <c r="Q400" s="144"/>
      <c r="R400" s="144"/>
      <c r="S400" s="144"/>
      <c r="T400" s="144"/>
      <c r="U400" s="144"/>
      <c r="V400" s="144"/>
      <c r="W400" s="144"/>
      <c r="X400" s="144"/>
      <c r="Y400" s="144"/>
      <c r="Z400" s="144"/>
      <c r="AA400" s="144"/>
      <c r="AB400" s="144"/>
      <c r="AC400" s="144"/>
      <c r="AD400" s="144"/>
      <c r="AE400" s="144"/>
      <c r="AF400" s="144"/>
    </row>
    <row r="401" ht="16.5" customHeight="1">
      <c r="A401" s="144"/>
      <c r="B401" s="144"/>
      <c r="C401" s="144"/>
      <c r="D401" s="144"/>
      <c r="E401" s="144"/>
      <c r="F401" s="144"/>
      <c r="G401" s="144"/>
      <c r="H401" s="144"/>
      <c r="I401" s="496"/>
      <c r="J401" s="496"/>
      <c r="K401" s="496"/>
      <c r="L401" s="496"/>
      <c r="M401" s="144"/>
      <c r="N401" s="144"/>
      <c r="O401" s="144"/>
      <c r="P401" s="144"/>
      <c r="Q401" s="144"/>
      <c r="R401" s="144"/>
      <c r="S401" s="144"/>
      <c r="T401" s="144"/>
      <c r="U401" s="144"/>
      <c r="V401" s="144"/>
      <c r="W401" s="144"/>
      <c r="X401" s="144"/>
      <c r="Y401" s="144"/>
      <c r="Z401" s="144"/>
      <c r="AA401" s="144"/>
      <c r="AB401" s="144"/>
      <c r="AC401" s="144"/>
      <c r="AD401" s="144"/>
      <c r="AE401" s="144"/>
      <c r="AF401" s="144"/>
    </row>
    <row r="402" ht="16.5" customHeight="1">
      <c r="A402" s="144"/>
      <c r="B402" s="144"/>
      <c r="C402" s="144"/>
      <c r="D402" s="144"/>
      <c r="E402" s="144"/>
      <c r="F402" s="144"/>
      <c r="G402" s="144"/>
      <c r="H402" s="144"/>
      <c r="I402" s="496"/>
      <c r="J402" s="496"/>
      <c r="K402" s="496"/>
      <c r="L402" s="496"/>
      <c r="M402" s="144"/>
      <c r="N402" s="144"/>
      <c r="O402" s="144"/>
      <c r="P402" s="144"/>
      <c r="Q402" s="144"/>
      <c r="R402" s="144"/>
      <c r="S402" s="144"/>
      <c r="T402" s="144"/>
      <c r="U402" s="144"/>
      <c r="V402" s="144"/>
      <c r="W402" s="144"/>
      <c r="X402" s="144"/>
      <c r="Y402" s="144"/>
      <c r="Z402" s="144"/>
      <c r="AA402" s="144"/>
      <c r="AB402" s="144"/>
      <c r="AC402" s="144"/>
      <c r="AD402" s="144"/>
      <c r="AE402" s="144"/>
      <c r="AF402" s="144"/>
    </row>
    <row r="403" ht="16.5" customHeight="1">
      <c r="A403" s="144"/>
      <c r="B403" s="144"/>
      <c r="C403" s="144"/>
      <c r="D403" s="144"/>
      <c r="E403" s="144"/>
      <c r="F403" s="144"/>
      <c r="G403" s="144"/>
      <c r="H403" s="144"/>
      <c r="I403" s="496"/>
      <c r="J403" s="496"/>
      <c r="K403" s="496"/>
      <c r="L403" s="496"/>
      <c r="M403" s="144"/>
      <c r="N403" s="144"/>
      <c r="O403" s="144"/>
      <c r="P403" s="144"/>
      <c r="Q403" s="144"/>
      <c r="R403" s="144"/>
      <c r="S403" s="144"/>
      <c r="T403" s="144"/>
      <c r="U403" s="144"/>
      <c r="V403" s="144"/>
      <c r="W403" s="144"/>
      <c r="X403" s="144"/>
      <c r="Y403" s="144"/>
      <c r="Z403" s="144"/>
      <c r="AA403" s="144"/>
      <c r="AB403" s="144"/>
      <c r="AC403" s="144"/>
      <c r="AD403" s="144"/>
      <c r="AE403" s="144"/>
      <c r="AF403" s="144"/>
    </row>
    <row r="404" ht="16.5" customHeight="1">
      <c r="A404" s="144"/>
      <c r="B404" s="144"/>
      <c r="C404" s="144"/>
      <c r="D404" s="144"/>
      <c r="E404" s="144"/>
      <c r="F404" s="144"/>
      <c r="G404" s="144"/>
      <c r="H404" s="144"/>
      <c r="I404" s="496"/>
      <c r="J404" s="496"/>
      <c r="K404" s="496"/>
      <c r="L404" s="496"/>
      <c r="M404" s="144"/>
      <c r="N404" s="144"/>
      <c r="O404" s="144"/>
      <c r="P404" s="144"/>
      <c r="Q404" s="144"/>
      <c r="R404" s="144"/>
      <c r="S404" s="144"/>
      <c r="T404" s="144"/>
      <c r="U404" s="144"/>
      <c r="V404" s="144"/>
      <c r="W404" s="144"/>
      <c r="X404" s="144"/>
      <c r="Y404" s="144"/>
      <c r="Z404" s="144"/>
      <c r="AA404" s="144"/>
      <c r="AB404" s="144"/>
      <c r="AC404" s="144"/>
      <c r="AD404" s="144"/>
      <c r="AE404" s="144"/>
      <c r="AF404" s="144"/>
    </row>
    <row r="405" ht="16.5" customHeight="1">
      <c r="A405" s="144"/>
      <c r="B405" s="144"/>
      <c r="C405" s="144"/>
      <c r="D405" s="144"/>
      <c r="E405" s="144"/>
      <c r="F405" s="144"/>
      <c r="G405" s="144"/>
      <c r="H405" s="144"/>
      <c r="I405" s="496"/>
      <c r="J405" s="496"/>
      <c r="K405" s="496"/>
      <c r="L405" s="496"/>
      <c r="M405" s="144"/>
      <c r="N405" s="144"/>
      <c r="O405" s="144"/>
      <c r="P405" s="144"/>
      <c r="Q405" s="144"/>
      <c r="R405" s="144"/>
      <c r="S405" s="144"/>
      <c r="T405" s="144"/>
      <c r="U405" s="144"/>
      <c r="V405" s="144"/>
      <c r="W405" s="144"/>
      <c r="X405" s="144"/>
      <c r="Y405" s="144"/>
      <c r="Z405" s="144"/>
      <c r="AA405" s="144"/>
      <c r="AB405" s="144"/>
      <c r="AC405" s="144"/>
      <c r="AD405" s="144"/>
      <c r="AE405" s="144"/>
      <c r="AF405" s="144"/>
    </row>
    <row r="406" ht="16.5" customHeight="1">
      <c r="A406" s="144"/>
      <c r="B406" s="144"/>
      <c r="C406" s="144"/>
      <c r="D406" s="144"/>
      <c r="E406" s="144"/>
      <c r="F406" s="144"/>
      <c r="G406" s="144"/>
      <c r="H406" s="144"/>
      <c r="I406" s="496"/>
      <c r="J406" s="496"/>
      <c r="K406" s="496"/>
      <c r="L406" s="496"/>
      <c r="M406" s="144"/>
      <c r="N406" s="144"/>
      <c r="O406" s="144"/>
      <c r="P406" s="144"/>
      <c r="Q406" s="144"/>
      <c r="R406" s="144"/>
      <c r="S406" s="144"/>
      <c r="T406" s="144"/>
      <c r="U406" s="144"/>
      <c r="V406" s="144"/>
      <c r="W406" s="144"/>
      <c r="X406" s="144"/>
      <c r="Y406" s="144"/>
      <c r="Z406" s="144"/>
      <c r="AA406" s="144"/>
      <c r="AB406" s="144"/>
      <c r="AC406" s="144"/>
      <c r="AD406" s="144"/>
      <c r="AE406" s="144"/>
      <c r="AF406" s="144"/>
    </row>
    <row r="407" ht="16.5" customHeight="1">
      <c r="A407" s="144"/>
      <c r="B407" s="144"/>
      <c r="C407" s="144"/>
      <c r="D407" s="144"/>
      <c r="E407" s="144"/>
      <c r="F407" s="144"/>
      <c r="G407" s="144"/>
      <c r="H407" s="144"/>
      <c r="I407" s="496"/>
      <c r="J407" s="496"/>
      <c r="K407" s="496"/>
      <c r="L407" s="496"/>
      <c r="M407" s="144"/>
      <c r="N407" s="144"/>
      <c r="O407" s="144"/>
      <c r="P407" s="144"/>
      <c r="Q407" s="144"/>
      <c r="R407" s="144"/>
      <c r="S407" s="144"/>
      <c r="T407" s="144"/>
      <c r="U407" s="144"/>
      <c r="V407" s="144"/>
      <c r="W407" s="144"/>
      <c r="X407" s="144"/>
      <c r="Y407" s="144"/>
      <c r="Z407" s="144"/>
      <c r="AA407" s="144"/>
      <c r="AB407" s="144"/>
      <c r="AC407" s="144"/>
      <c r="AD407" s="144"/>
      <c r="AE407" s="144"/>
      <c r="AF407" s="144"/>
    </row>
    <row r="408" ht="16.5" customHeight="1">
      <c r="A408" s="144"/>
      <c r="B408" s="144"/>
      <c r="C408" s="144"/>
      <c r="D408" s="144"/>
      <c r="E408" s="144"/>
      <c r="F408" s="144"/>
      <c r="G408" s="144"/>
      <c r="H408" s="144"/>
      <c r="I408" s="496"/>
      <c r="J408" s="496"/>
      <c r="K408" s="496"/>
      <c r="L408" s="496"/>
      <c r="M408" s="144"/>
      <c r="N408" s="144"/>
      <c r="O408" s="144"/>
      <c r="P408" s="144"/>
      <c r="Q408" s="144"/>
      <c r="R408" s="144"/>
      <c r="S408" s="144"/>
      <c r="T408" s="144"/>
      <c r="U408" s="144"/>
      <c r="V408" s="144"/>
      <c r="W408" s="144"/>
      <c r="X408" s="144"/>
      <c r="Y408" s="144"/>
      <c r="Z408" s="144"/>
      <c r="AA408" s="144"/>
      <c r="AB408" s="144"/>
      <c r="AC408" s="144"/>
      <c r="AD408" s="144"/>
      <c r="AE408" s="144"/>
      <c r="AF408" s="144"/>
    </row>
    <row r="409" ht="16.5" customHeight="1">
      <c r="A409" s="144"/>
      <c r="B409" s="144"/>
      <c r="C409" s="144"/>
      <c r="D409" s="144"/>
      <c r="E409" s="144"/>
      <c r="F409" s="144"/>
      <c r="G409" s="144"/>
      <c r="H409" s="144"/>
      <c r="I409" s="496"/>
      <c r="J409" s="496"/>
      <c r="K409" s="496"/>
      <c r="L409" s="496"/>
      <c r="M409" s="144"/>
      <c r="N409" s="144"/>
      <c r="O409" s="144"/>
      <c r="P409" s="144"/>
      <c r="Q409" s="144"/>
      <c r="R409" s="144"/>
      <c r="S409" s="144"/>
      <c r="T409" s="144"/>
      <c r="U409" s="144"/>
      <c r="V409" s="144"/>
      <c r="W409" s="144"/>
      <c r="X409" s="144"/>
      <c r="Y409" s="144"/>
      <c r="Z409" s="144"/>
      <c r="AA409" s="144"/>
      <c r="AB409" s="144"/>
      <c r="AC409" s="144"/>
      <c r="AD409" s="144"/>
      <c r="AE409" s="144"/>
      <c r="AF409" s="144"/>
    </row>
    <row r="410" ht="16.5" customHeight="1">
      <c r="A410" s="144"/>
      <c r="B410" s="144"/>
      <c r="C410" s="144"/>
      <c r="D410" s="144"/>
      <c r="E410" s="144"/>
      <c r="F410" s="144"/>
      <c r="G410" s="144"/>
      <c r="H410" s="144"/>
      <c r="I410" s="496"/>
      <c r="J410" s="496"/>
      <c r="K410" s="496"/>
      <c r="L410" s="496"/>
      <c r="M410" s="144"/>
      <c r="N410" s="144"/>
      <c r="O410" s="144"/>
      <c r="P410" s="144"/>
      <c r="Q410" s="144"/>
      <c r="R410" s="144"/>
      <c r="S410" s="144"/>
      <c r="T410" s="144"/>
      <c r="U410" s="144"/>
      <c r="V410" s="144"/>
      <c r="W410" s="144"/>
      <c r="X410" s="144"/>
      <c r="Y410" s="144"/>
      <c r="Z410" s="144"/>
      <c r="AA410" s="144"/>
      <c r="AB410" s="144"/>
      <c r="AC410" s="144"/>
      <c r="AD410" s="144"/>
      <c r="AE410" s="144"/>
      <c r="AF410" s="144"/>
    </row>
    <row r="411" ht="16.5" customHeight="1">
      <c r="A411" s="144"/>
      <c r="B411" s="144"/>
      <c r="C411" s="144"/>
      <c r="D411" s="144"/>
      <c r="E411" s="144"/>
      <c r="F411" s="144"/>
      <c r="G411" s="144"/>
      <c r="H411" s="144"/>
      <c r="I411" s="496"/>
      <c r="J411" s="496"/>
      <c r="K411" s="496"/>
      <c r="L411" s="496"/>
      <c r="M411" s="144"/>
      <c r="N411" s="144"/>
      <c r="O411" s="144"/>
      <c r="P411" s="144"/>
      <c r="Q411" s="144"/>
      <c r="R411" s="144"/>
      <c r="S411" s="144"/>
      <c r="T411" s="144"/>
      <c r="U411" s="144"/>
      <c r="V411" s="144"/>
      <c r="W411" s="144"/>
      <c r="X411" s="144"/>
      <c r="Y411" s="144"/>
      <c r="Z411" s="144"/>
      <c r="AA411" s="144"/>
      <c r="AB411" s="144"/>
      <c r="AC411" s="144"/>
      <c r="AD411" s="144"/>
      <c r="AE411" s="144"/>
      <c r="AF411" s="144"/>
    </row>
    <row r="412" ht="16.5" customHeight="1">
      <c r="A412" s="144"/>
      <c r="B412" s="144"/>
      <c r="C412" s="144"/>
      <c r="D412" s="144"/>
      <c r="E412" s="144"/>
      <c r="F412" s="144"/>
      <c r="G412" s="144"/>
      <c r="H412" s="144"/>
      <c r="I412" s="496"/>
      <c r="J412" s="496"/>
      <c r="K412" s="496"/>
      <c r="L412" s="496"/>
      <c r="M412" s="144"/>
      <c r="N412" s="144"/>
      <c r="O412" s="144"/>
      <c r="P412" s="144"/>
      <c r="Q412" s="144"/>
      <c r="R412" s="144"/>
      <c r="S412" s="144"/>
      <c r="T412" s="144"/>
      <c r="U412" s="144"/>
      <c r="V412" s="144"/>
      <c r="W412" s="144"/>
      <c r="X412" s="144"/>
      <c r="Y412" s="144"/>
      <c r="Z412" s="144"/>
      <c r="AA412" s="144"/>
      <c r="AB412" s="144"/>
      <c r="AC412" s="144"/>
      <c r="AD412" s="144"/>
      <c r="AE412" s="144"/>
      <c r="AF412" s="144"/>
    </row>
    <row r="413" ht="16.5" customHeight="1">
      <c r="A413" s="144"/>
      <c r="B413" s="144"/>
      <c r="C413" s="144"/>
      <c r="D413" s="144"/>
      <c r="E413" s="144"/>
      <c r="F413" s="144"/>
      <c r="G413" s="144"/>
      <c r="H413" s="144"/>
      <c r="I413" s="496"/>
      <c r="J413" s="496"/>
      <c r="K413" s="496"/>
      <c r="L413" s="496"/>
      <c r="M413" s="144"/>
      <c r="N413" s="144"/>
      <c r="O413" s="144"/>
      <c r="P413" s="144"/>
      <c r="Q413" s="144"/>
      <c r="R413" s="144"/>
      <c r="S413" s="144"/>
      <c r="T413" s="144"/>
      <c r="U413" s="144"/>
      <c r="V413" s="144"/>
      <c r="W413" s="144"/>
      <c r="X413" s="144"/>
      <c r="Y413" s="144"/>
      <c r="Z413" s="144"/>
      <c r="AA413" s="144"/>
      <c r="AB413" s="144"/>
      <c r="AC413" s="144"/>
      <c r="AD413" s="144"/>
      <c r="AE413" s="144"/>
      <c r="AF413" s="144"/>
    </row>
    <row r="414" ht="16.5" customHeight="1">
      <c r="A414" s="144"/>
      <c r="B414" s="144"/>
      <c r="C414" s="144"/>
      <c r="D414" s="144"/>
      <c r="E414" s="144"/>
      <c r="F414" s="144"/>
      <c r="G414" s="144"/>
      <c r="H414" s="144"/>
      <c r="I414" s="496"/>
      <c r="J414" s="496"/>
      <c r="K414" s="496"/>
      <c r="L414" s="496"/>
      <c r="M414" s="144"/>
      <c r="N414" s="144"/>
      <c r="O414" s="144"/>
      <c r="P414" s="144"/>
      <c r="Q414" s="144"/>
      <c r="R414" s="144"/>
      <c r="S414" s="144"/>
      <c r="T414" s="144"/>
      <c r="U414" s="144"/>
      <c r="V414" s="144"/>
      <c r="W414" s="144"/>
      <c r="X414" s="144"/>
      <c r="Y414" s="144"/>
      <c r="Z414" s="144"/>
      <c r="AA414" s="144"/>
      <c r="AB414" s="144"/>
      <c r="AC414" s="144"/>
      <c r="AD414" s="144"/>
      <c r="AE414" s="144"/>
      <c r="AF414" s="144"/>
    </row>
    <row r="415" ht="16.5" customHeight="1">
      <c r="A415" s="144"/>
      <c r="B415" s="144"/>
      <c r="C415" s="144"/>
      <c r="D415" s="144"/>
      <c r="E415" s="144"/>
      <c r="F415" s="144"/>
      <c r="G415" s="144"/>
      <c r="H415" s="144"/>
      <c r="I415" s="496"/>
      <c r="J415" s="496"/>
      <c r="K415" s="496"/>
      <c r="L415" s="496"/>
      <c r="M415" s="144"/>
      <c r="N415" s="144"/>
      <c r="O415" s="144"/>
      <c r="P415" s="144"/>
      <c r="Q415" s="144"/>
      <c r="R415" s="144"/>
      <c r="S415" s="144"/>
      <c r="T415" s="144"/>
      <c r="U415" s="144"/>
      <c r="V415" s="144"/>
      <c r="W415" s="144"/>
      <c r="X415" s="144"/>
      <c r="Y415" s="144"/>
      <c r="Z415" s="144"/>
      <c r="AA415" s="144"/>
      <c r="AB415" s="144"/>
      <c r="AC415" s="144"/>
      <c r="AD415" s="144"/>
      <c r="AE415" s="144"/>
      <c r="AF415" s="144"/>
    </row>
    <row r="416" ht="16.5" customHeight="1">
      <c r="A416" s="144"/>
      <c r="B416" s="144"/>
      <c r="C416" s="144"/>
      <c r="D416" s="144"/>
      <c r="E416" s="144"/>
      <c r="F416" s="144"/>
      <c r="G416" s="144"/>
      <c r="H416" s="144"/>
      <c r="I416" s="496"/>
      <c r="J416" s="496"/>
      <c r="K416" s="496"/>
      <c r="L416" s="496"/>
      <c r="M416" s="144"/>
      <c r="N416" s="144"/>
      <c r="O416" s="144"/>
      <c r="P416" s="144"/>
      <c r="Q416" s="144"/>
      <c r="R416" s="144"/>
      <c r="S416" s="144"/>
      <c r="T416" s="144"/>
      <c r="U416" s="144"/>
      <c r="V416" s="144"/>
      <c r="W416" s="144"/>
      <c r="X416" s="144"/>
      <c r="Y416" s="144"/>
      <c r="Z416" s="144"/>
      <c r="AA416" s="144"/>
      <c r="AB416" s="144"/>
      <c r="AC416" s="144"/>
      <c r="AD416" s="144"/>
      <c r="AE416" s="144"/>
      <c r="AF416" s="144"/>
    </row>
    <row r="417" ht="16.5" customHeight="1">
      <c r="A417" s="144"/>
      <c r="B417" s="144"/>
      <c r="C417" s="144"/>
      <c r="D417" s="144"/>
      <c r="E417" s="144"/>
      <c r="F417" s="144"/>
      <c r="G417" s="144"/>
      <c r="H417" s="144"/>
      <c r="I417" s="496"/>
      <c r="J417" s="496"/>
      <c r="K417" s="496"/>
      <c r="L417" s="496"/>
      <c r="M417" s="144"/>
      <c r="N417" s="144"/>
      <c r="O417" s="144"/>
      <c r="P417" s="144"/>
      <c r="Q417" s="144"/>
      <c r="R417" s="144"/>
      <c r="S417" s="144"/>
      <c r="T417" s="144"/>
      <c r="U417" s="144"/>
      <c r="V417" s="144"/>
      <c r="W417" s="144"/>
      <c r="X417" s="144"/>
      <c r="Y417" s="144"/>
      <c r="Z417" s="144"/>
      <c r="AA417" s="144"/>
      <c r="AB417" s="144"/>
      <c r="AC417" s="144"/>
      <c r="AD417" s="144"/>
      <c r="AE417" s="144"/>
      <c r="AF417" s="144"/>
    </row>
    <row r="418" ht="16.5" customHeight="1">
      <c r="A418" s="144"/>
      <c r="B418" s="144"/>
      <c r="C418" s="144"/>
      <c r="D418" s="144"/>
      <c r="E418" s="144"/>
      <c r="F418" s="144"/>
      <c r="G418" s="144"/>
      <c r="H418" s="144"/>
      <c r="I418" s="496"/>
      <c r="J418" s="496"/>
      <c r="K418" s="496"/>
      <c r="L418" s="496"/>
      <c r="M418" s="144"/>
      <c r="N418" s="144"/>
      <c r="O418" s="144"/>
      <c r="P418" s="144"/>
      <c r="Q418" s="144"/>
      <c r="R418" s="144"/>
      <c r="S418" s="144"/>
      <c r="T418" s="144"/>
      <c r="U418" s="144"/>
      <c r="V418" s="144"/>
      <c r="W418" s="144"/>
      <c r="X418" s="144"/>
      <c r="Y418" s="144"/>
      <c r="Z418" s="144"/>
      <c r="AA418" s="144"/>
      <c r="AB418" s="144"/>
      <c r="AC418" s="144"/>
      <c r="AD418" s="144"/>
      <c r="AE418" s="144"/>
      <c r="AF418" s="144"/>
    </row>
    <row r="419" ht="16.5" customHeight="1">
      <c r="A419" s="144"/>
      <c r="B419" s="144"/>
      <c r="C419" s="144"/>
      <c r="D419" s="144"/>
      <c r="E419" s="144"/>
      <c r="F419" s="144"/>
      <c r="G419" s="144"/>
      <c r="H419" s="144"/>
      <c r="I419" s="496"/>
      <c r="J419" s="496"/>
      <c r="K419" s="496"/>
      <c r="L419" s="496"/>
      <c r="M419" s="144"/>
      <c r="N419" s="144"/>
      <c r="O419" s="144"/>
      <c r="P419" s="144"/>
      <c r="Q419" s="144"/>
      <c r="R419" s="144"/>
      <c r="S419" s="144"/>
      <c r="T419" s="144"/>
      <c r="U419" s="144"/>
      <c r="V419" s="144"/>
      <c r="W419" s="144"/>
      <c r="X419" s="144"/>
      <c r="Y419" s="144"/>
      <c r="Z419" s="144"/>
      <c r="AA419" s="144"/>
      <c r="AB419" s="144"/>
      <c r="AC419" s="144"/>
      <c r="AD419" s="144"/>
      <c r="AE419" s="144"/>
      <c r="AF419" s="144"/>
    </row>
    <row r="420" ht="16.5" customHeight="1">
      <c r="A420" s="144"/>
      <c r="B420" s="144"/>
      <c r="C420" s="144"/>
      <c r="D420" s="144"/>
      <c r="E420" s="144"/>
      <c r="F420" s="144"/>
      <c r="G420" s="144"/>
      <c r="H420" s="144"/>
      <c r="I420" s="496"/>
      <c r="J420" s="496"/>
      <c r="K420" s="496"/>
      <c r="L420" s="496"/>
      <c r="M420" s="144"/>
      <c r="N420" s="144"/>
      <c r="O420" s="144"/>
      <c r="P420" s="144"/>
      <c r="Q420" s="144"/>
      <c r="R420" s="144"/>
      <c r="S420" s="144"/>
      <c r="T420" s="144"/>
      <c r="U420" s="144"/>
      <c r="V420" s="144"/>
      <c r="W420" s="144"/>
      <c r="X420" s="144"/>
      <c r="Y420" s="144"/>
      <c r="Z420" s="144"/>
      <c r="AA420" s="144"/>
      <c r="AB420" s="144"/>
      <c r="AC420" s="144"/>
      <c r="AD420" s="144"/>
      <c r="AE420" s="144"/>
      <c r="AF420" s="144"/>
    </row>
    <row r="421" ht="16.5" customHeight="1">
      <c r="A421" s="144"/>
      <c r="B421" s="144"/>
      <c r="C421" s="144"/>
      <c r="D421" s="144"/>
      <c r="E421" s="144"/>
      <c r="F421" s="144"/>
      <c r="G421" s="144"/>
      <c r="H421" s="144"/>
      <c r="I421" s="496"/>
      <c r="J421" s="496"/>
      <c r="K421" s="496"/>
      <c r="L421" s="496"/>
      <c r="M421" s="144"/>
      <c r="N421" s="144"/>
      <c r="O421" s="144"/>
      <c r="P421" s="144"/>
      <c r="Q421" s="144"/>
      <c r="R421" s="144"/>
      <c r="S421" s="144"/>
      <c r="T421" s="144"/>
      <c r="U421" s="144"/>
      <c r="V421" s="144"/>
      <c r="W421" s="144"/>
      <c r="X421" s="144"/>
      <c r="Y421" s="144"/>
      <c r="Z421" s="144"/>
      <c r="AA421" s="144"/>
      <c r="AB421" s="144"/>
      <c r="AC421" s="144"/>
      <c r="AD421" s="144"/>
      <c r="AE421" s="144"/>
      <c r="AF421" s="144"/>
    </row>
    <row r="422" ht="16.5" customHeight="1">
      <c r="A422" s="144"/>
      <c r="B422" s="144"/>
      <c r="C422" s="144"/>
      <c r="D422" s="144"/>
      <c r="E422" s="144"/>
      <c r="F422" s="144"/>
      <c r="G422" s="144"/>
      <c r="H422" s="144"/>
      <c r="I422" s="496"/>
      <c r="J422" s="496"/>
      <c r="K422" s="496"/>
      <c r="L422" s="496"/>
      <c r="M422" s="144"/>
      <c r="N422" s="144"/>
      <c r="O422" s="144"/>
      <c r="P422" s="144"/>
      <c r="Q422" s="144"/>
      <c r="R422" s="144"/>
      <c r="S422" s="144"/>
      <c r="T422" s="144"/>
      <c r="U422" s="144"/>
      <c r="V422" s="144"/>
      <c r="W422" s="144"/>
      <c r="X422" s="144"/>
      <c r="Y422" s="144"/>
      <c r="Z422" s="144"/>
      <c r="AA422" s="144"/>
      <c r="AB422" s="144"/>
      <c r="AC422" s="144"/>
      <c r="AD422" s="144"/>
      <c r="AE422" s="144"/>
      <c r="AF422" s="144"/>
    </row>
    <row r="423" ht="16.5" customHeight="1">
      <c r="A423" s="144"/>
      <c r="B423" s="144"/>
      <c r="C423" s="144"/>
      <c r="D423" s="144"/>
      <c r="E423" s="144"/>
      <c r="F423" s="144"/>
      <c r="G423" s="144"/>
      <c r="H423" s="144"/>
      <c r="I423" s="496"/>
      <c r="J423" s="496"/>
      <c r="K423" s="496"/>
      <c r="L423" s="496"/>
      <c r="M423" s="144"/>
      <c r="N423" s="144"/>
      <c r="O423" s="144"/>
      <c r="P423" s="144"/>
      <c r="Q423" s="144"/>
      <c r="R423" s="144"/>
      <c r="S423" s="144"/>
      <c r="T423" s="144"/>
      <c r="U423" s="144"/>
      <c r="V423" s="144"/>
      <c r="W423" s="144"/>
      <c r="X423" s="144"/>
      <c r="Y423" s="144"/>
      <c r="Z423" s="144"/>
      <c r="AA423" s="144"/>
      <c r="AB423" s="144"/>
      <c r="AC423" s="144"/>
      <c r="AD423" s="144"/>
      <c r="AE423" s="144"/>
      <c r="AF423" s="144"/>
    </row>
    <row r="424" ht="16.5" customHeight="1">
      <c r="A424" s="144"/>
      <c r="B424" s="144"/>
      <c r="C424" s="144"/>
      <c r="D424" s="144"/>
      <c r="E424" s="144"/>
      <c r="F424" s="144"/>
      <c r="G424" s="144"/>
      <c r="H424" s="144"/>
      <c r="I424" s="496"/>
      <c r="J424" s="496"/>
      <c r="K424" s="496"/>
      <c r="L424" s="496"/>
      <c r="M424" s="144"/>
      <c r="N424" s="144"/>
      <c r="O424" s="144"/>
      <c r="P424" s="144"/>
      <c r="Q424" s="144"/>
      <c r="R424" s="144"/>
      <c r="S424" s="144"/>
      <c r="T424" s="144"/>
      <c r="U424" s="144"/>
      <c r="V424" s="144"/>
      <c r="W424" s="144"/>
      <c r="X424" s="144"/>
      <c r="Y424" s="144"/>
      <c r="Z424" s="144"/>
      <c r="AA424" s="144"/>
      <c r="AB424" s="144"/>
      <c r="AC424" s="144"/>
      <c r="AD424" s="144"/>
      <c r="AE424" s="144"/>
      <c r="AF424" s="144"/>
    </row>
    <row r="425" ht="16.5" customHeight="1">
      <c r="A425" s="144"/>
      <c r="B425" s="144"/>
      <c r="C425" s="144"/>
      <c r="D425" s="144"/>
      <c r="E425" s="144"/>
      <c r="F425" s="144"/>
      <c r="G425" s="144"/>
      <c r="H425" s="144"/>
      <c r="I425" s="496"/>
      <c r="J425" s="496"/>
      <c r="K425" s="496"/>
      <c r="L425" s="496"/>
      <c r="M425" s="144"/>
      <c r="N425" s="144"/>
      <c r="O425" s="144"/>
      <c r="P425" s="144"/>
      <c r="Q425" s="144"/>
      <c r="R425" s="144"/>
      <c r="S425" s="144"/>
      <c r="T425" s="144"/>
      <c r="U425" s="144"/>
      <c r="V425" s="144"/>
      <c r="W425" s="144"/>
      <c r="X425" s="144"/>
      <c r="Y425" s="144"/>
      <c r="Z425" s="144"/>
      <c r="AA425" s="144"/>
      <c r="AB425" s="144"/>
      <c r="AC425" s="144"/>
      <c r="AD425" s="144"/>
      <c r="AE425" s="144"/>
      <c r="AF425" s="144"/>
    </row>
    <row r="426" ht="16.5" customHeight="1">
      <c r="A426" s="144"/>
      <c r="B426" s="144"/>
      <c r="C426" s="144"/>
      <c r="D426" s="144"/>
      <c r="E426" s="144"/>
      <c r="F426" s="144"/>
      <c r="G426" s="144"/>
      <c r="H426" s="144"/>
      <c r="I426" s="496"/>
      <c r="J426" s="496"/>
      <c r="K426" s="496"/>
      <c r="L426" s="496"/>
      <c r="M426" s="144"/>
      <c r="N426" s="144"/>
      <c r="O426" s="144"/>
      <c r="P426" s="144"/>
      <c r="Q426" s="144"/>
      <c r="R426" s="144"/>
      <c r="S426" s="144"/>
      <c r="T426" s="144"/>
      <c r="U426" s="144"/>
      <c r="V426" s="144"/>
      <c r="W426" s="144"/>
      <c r="X426" s="144"/>
      <c r="Y426" s="144"/>
      <c r="Z426" s="144"/>
      <c r="AA426" s="144"/>
      <c r="AB426" s="144"/>
      <c r="AC426" s="144"/>
      <c r="AD426" s="144"/>
      <c r="AE426" s="144"/>
      <c r="AF426" s="144"/>
    </row>
    <row r="427" ht="16.5" customHeight="1">
      <c r="A427" s="144"/>
      <c r="B427" s="144"/>
      <c r="C427" s="144"/>
      <c r="D427" s="144"/>
      <c r="E427" s="144"/>
      <c r="F427" s="144"/>
      <c r="G427" s="144"/>
      <c r="H427" s="144"/>
      <c r="I427" s="496"/>
      <c r="J427" s="496"/>
      <c r="K427" s="496"/>
      <c r="L427" s="496"/>
      <c r="M427" s="144"/>
      <c r="N427" s="144"/>
      <c r="O427" s="144"/>
      <c r="P427" s="144"/>
      <c r="Q427" s="144"/>
      <c r="R427" s="144"/>
      <c r="S427" s="144"/>
      <c r="T427" s="144"/>
      <c r="U427" s="144"/>
      <c r="V427" s="144"/>
      <c r="W427" s="144"/>
      <c r="X427" s="144"/>
      <c r="Y427" s="144"/>
      <c r="Z427" s="144"/>
      <c r="AA427" s="144"/>
      <c r="AB427" s="144"/>
      <c r="AC427" s="144"/>
      <c r="AD427" s="144"/>
      <c r="AE427" s="144"/>
      <c r="AF427" s="144"/>
    </row>
    <row r="428" ht="16.5" customHeight="1">
      <c r="A428" s="144"/>
      <c r="B428" s="144"/>
      <c r="C428" s="144"/>
      <c r="D428" s="144"/>
      <c r="E428" s="144"/>
      <c r="F428" s="144"/>
      <c r="G428" s="144"/>
      <c r="H428" s="144"/>
      <c r="I428" s="496"/>
      <c r="J428" s="496"/>
      <c r="K428" s="496"/>
      <c r="L428" s="496"/>
      <c r="M428" s="144"/>
      <c r="N428" s="144"/>
      <c r="O428" s="144"/>
      <c r="P428" s="144"/>
      <c r="Q428" s="144"/>
      <c r="R428" s="144"/>
      <c r="S428" s="144"/>
      <c r="T428" s="144"/>
      <c r="U428" s="144"/>
      <c r="V428" s="144"/>
      <c r="W428" s="144"/>
      <c r="X428" s="144"/>
      <c r="Y428" s="144"/>
      <c r="Z428" s="144"/>
      <c r="AA428" s="144"/>
      <c r="AB428" s="144"/>
      <c r="AC428" s="144"/>
      <c r="AD428" s="144"/>
      <c r="AE428" s="144"/>
      <c r="AF428" s="144"/>
    </row>
    <row r="429" ht="16.5" customHeight="1">
      <c r="A429" s="144"/>
      <c r="B429" s="144"/>
      <c r="C429" s="144"/>
      <c r="D429" s="144"/>
      <c r="E429" s="144"/>
      <c r="F429" s="144"/>
      <c r="G429" s="144"/>
      <c r="H429" s="144"/>
      <c r="I429" s="496"/>
      <c r="J429" s="496"/>
      <c r="K429" s="496"/>
      <c r="L429" s="496"/>
      <c r="M429" s="144"/>
      <c r="N429" s="144"/>
      <c r="O429" s="144"/>
      <c r="P429" s="144"/>
      <c r="Q429" s="144"/>
      <c r="R429" s="144"/>
      <c r="S429" s="144"/>
      <c r="T429" s="144"/>
      <c r="U429" s="144"/>
      <c r="V429" s="144"/>
      <c r="W429" s="144"/>
      <c r="X429" s="144"/>
      <c r="Y429" s="144"/>
      <c r="Z429" s="144"/>
      <c r="AA429" s="144"/>
      <c r="AB429" s="144"/>
      <c r="AC429" s="144"/>
      <c r="AD429" s="144"/>
      <c r="AE429" s="144"/>
      <c r="AF429" s="144"/>
    </row>
    <row r="430" ht="16.5" customHeight="1">
      <c r="A430" s="144"/>
      <c r="B430" s="144"/>
      <c r="C430" s="144"/>
      <c r="D430" s="144"/>
      <c r="E430" s="144"/>
      <c r="F430" s="144"/>
      <c r="G430" s="144"/>
      <c r="H430" s="144"/>
      <c r="I430" s="496"/>
      <c r="J430" s="496"/>
      <c r="K430" s="496"/>
      <c r="L430" s="496"/>
      <c r="M430" s="144"/>
      <c r="N430" s="144"/>
      <c r="O430" s="144"/>
      <c r="P430" s="144"/>
      <c r="Q430" s="144"/>
      <c r="R430" s="144"/>
      <c r="S430" s="144"/>
      <c r="T430" s="144"/>
      <c r="U430" s="144"/>
      <c r="V430" s="144"/>
      <c r="W430" s="144"/>
      <c r="X430" s="144"/>
      <c r="Y430" s="144"/>
      <c r="Z430" s="144"/>
      <c r="AA430" s="144"/>
      <c r="AB430" s="144"/>
      <c r="AC430" s="144"/>
      <c r="AD430" s="144"/>
      <c r="AE430" s="144"/>
      <c r="AF430" s="144"/>
    </row>
    <row r="431" ht="16.5" customHeight="1">
      <c r="A431" s="144"/>
      <c r="B431" s="144"/>
      <c r="C431" s="144"/>
      <c r="D431" s="144"/>
      <c r="E431" s="144"/>
      <c r="F431" s="144"/>
      <c r="G431" s="144"/>
      <c r="H431" s="144"/>
      <c r="I431" s="496"/>
      <c r="J431" s="496"/>
      <c r="K431" s="496"/>
      <c r="L431" s="496"/>
      <c r="M431" s="144"/>
      <c r="N431" s="144"/>
      <c r="O431" s="144"/>
      <c r="P431" s="144"/>
      <c r="Q431" s="144"/>
      <c r="R431" s="144"/>
      <c r="S431" s="144"/>
      <c r="T431" s="144"/>
      <c r="U431" s="144"/>
      <c r="V431" s="144"/>
      <c r="W431" s="144"/>
      <c r="X431" s="144"/>
      <c r="Y431" s="144"/>
      <c r="Z431" s="144"/>
      <c r="AA431" s="144"/>
      <c r="AB431" s="144"/>
      <c r="AC431" s="144"/>
      <c r="AD431" s="144"/>
      <c r="AE431" s="144"/>
      <c r="AF431" s="144"/>
    </row>
    <row r="432" ht="16.5" customHeight="1">
      <c r="A432" s="144"/>
      <c r="B432" s="144"/>
      <c r="C432" s="144"/>
      <c r="D432" s="144"/>
      <c r="E432" s="144"/>
      <c r="F432" s="144"/>
      <c r="G432" s="144"/>
      <c r="H432" s="144"/>
      <c r="I432" s="496"/>
      <c r="J432" s="496"/>
      <c r="K432" s="496"/>
      <c r="L432" s="496"/>
      <c r="M432" s="144"/>
      <c r="N432" s="144"/>
      <c r="O432" s="144"/>
      <c r="P432" s="144"/>
      <c r="Q432" s="144"/>
      <c r="R432" s="144"/>
      <c r="S432" s="144"/>
      <c r="T432" s="144"/>
      <c r="U432" s="144"/>
      <c r="V432" s="144"/>
      <c r="W432" s="144"/>
      <c r="X432" s="144"/>
      <c r="Y432" s="144"/>
      <c r="Z432" s="144"/>
      <c r="AA432" s="144"/>
      <c r="AB432" s="144"/>
      <c r="AC432" s="144"/>
      <c r="AD432" s="144"/>
      <c r="AE432" s="144"/>
      <c r="AF432" s="144"/>
    </row>
    <row r="433" ht="16.5" customHeight="1">
      <c r="A433" s="144"/>
      <c r="B433" s="144"/>
      <c r="C433" s="144"/>
      <c r="D433" s="144"/>
      <c r="E433" s="144"/>
      <c r="F433" s="144"/>
      <c r="G433" s="144"/>
      <c r="H433" s="144"/>
      <c r="I433" s="496"/>
      <c r="J433" s="496"/>
      <c r="K433" s="496"/>
      <c r="L433" s="496"/>
      <c r="M433" s="144"/>
      <c r="N433" s="144"/>
      <c r="O433" s="144"/>
      <c r="P433" s="144"/>
      <c r="Q433" s="144"/>
      <c r="R433" s="144"/>
      <c r="S433" s="144"/>
      <c r="T433" s="144"/>
      <c r="U433" s="144"/>
      <c r="V433" s="144"/>
      <c r="W433" s="144"/>
      <c r="X433" s="144"/>
      <c r="Y433" s="144"/>
      <c r="Z433" s="144"/>
      <c r="AA433" s="144"/>
      <c r="AB433" s="144"/>
      <c r="AC433" s="144"/>
      <c r="AD433" s="144"/>
      <c r="AE433" s="144"/>
      <c r="AF433" s="144"/>
    </row>
    <row r="434" ht="16.5" customHeight="1">
      <c r="A434" s="144"/>
      <c r="B434" s="144"/>
      <c r="C434" s="144"/>
      <c r="D434" s="144"/>
      <c r="E434" s="144"/>
      <c r="F434" s="144"/>
      <c r="G434" s="144"/>
      <c r="H434" s="144"/>
      <c r="I434" s="496"/>
      <c r="J434" s="496"/>
      <c r="K434" s="496"/>
      <c r="L434" s="496"/>
      <c r="M434" s="144"/>
      <c r="N434" s="144"/>
      <c r="O434" s="144"/>
      <c r="P434" s="144"/>
      <c r="Q434" s="144"/>
      <c r="R434" s="144"/>
      <c r="S434" s="144"/>
      <c r="T434" s="144"/>
      <c r="U434" s="144"/>
      <c r="V434" s="144"/>
      <c r="W434" s="144"/>
      <c r="X434" s="144"/>
      <c r="Y434" s="144"/>
      <c r="Z434" s="144"/>
      <c r="AA434" s="144"/>
      <c r="AB434" s="144"/>
      <c r="AC434" s="144"/>
      <c r="AD434" s="144"/>
      <c r="AE434" s="144"/>
      <c r="AF434" s="144"/>
    </row>
    <row r="435" ht="16.5" customHeight="1">
      <c r="A435" s="144"/>
      <c r="B435" s="144"/>
      <c r="C435" s="144"/>
      <c r="D435" s="144"/>
      <c r="E435" s="144"/>
      <c r="F435" s="144"/>
      <c r="G435" s="144"/>
      <c r="H435" s="144"/>
      <c r="I435" s="496"/>
      <c r="J435" s="496"/>
      <c r="K435" s="496"/>
      <c r="L435" s="496"/>
      <c r="M435" s="144"/>
      <c r="N435" s="144"/>
      <c r="O435" s="144"/>
      <c r="P435" s="144"/>
      <c r="Q435" s="144"/>
      <c r="R435" s="144"/>
      <c r="S435" s="144"/>
      <c r="T435" s="144"/>
      <c r="U435" s="144"/>
      <c r="V435" s="144"/>
      <c r="W435" s="144"/>
      <c r="X435" s="144"/>
      <c r="Y435" s="144"/>
      <c r="Z435" s="144"/>
      <c r="AA435" s="144"/>
      <c r="AB435" s="144"/>
      <c r="AC435" s="144"/>
      <c r="AD435" s="144"/>
      <c r="AE435" s="144"/>
      <c r="AF435" s="144"/>
    </row>
    <row r="436" ht="16.5" customHeight="1">
      <c r="A436" s="144"/>
      <c r="B436" s="144"/>
      <c r="C436" s="144"/>
      <c r="D436" s="144"/>
      <c r="E436" s="144"/>
      <c r="F436" s="144"/>
      <c r="G436" s="144"/>
      <c r="H436" s="144"/>
      <c r="I436" s="496"/>
      <c r="J436" s="496"/>
      <c r="K436" s="496"/>
      <c r="L436" s="496"/>
      <c r="M436" s="144"/>
      <c r="N436" s="144"/>
      <c r="O436" s="144"/>
      <c r="P436" s="144"/>
      <c r="Q436" s="144"/>
      <c r="R436" s="144"/>
      <c r="S436" s="144"/>
      <c r="T436" s="144"/>
      <c r="U436" s="144"/>
      <c r="V436" s="144"/>
      <c r="W436" s="144"/>
      <c r="X436" s="144"/>
      <c r="Y436" s="144"/>
      <c r="Z436" s="144"/>
      <c r="AA436" s="144"/>
      <c r="AB436" s="144"/>
      <c r="AC436" s="144"/>
      <c r="AD436" s="144"/>
      <c r="AE436" s="144"/>
      <c r="AF436" s="144"/>
    </row>
    <row r="437" ht="16.5" customHeight="1">
      <c r="A437" s="144"/>
      <c r="B437" s="144"/>
      <c r="C437" s="144"/>
      <c r="D437" s="144"/>
      <c r="E437" s="144"/>
      <c r="F437" s="144"/>
      <c r="G437" s="144"/>
      <c r="H437" s="144"/>
      <c r="I437" s="496"/>
      <c r="J437" s="496"/>
      <c r="K437" s="496"/>
      <c r="L437" s="496"/>
      <c r="M437" s="144"/>
      <c r="N437" s="144"/>
      <c r="O437" s="144"/>
      <c r="P437" s="144"/>
      <c r="Q437" s="144"/>
      <c r="R437" s="144"/>
      <c r="S437" s="144"/>
      <c r="T437" s="144"/>
      <c r="U437" s="144"/>
      <c r="V437" s="144"/>
      <c r="W437" s="144"/>
      <c r="X437" s="144"/>
      <c r="Y437" s="144"/>
      <c r="Z437" s="144"/>
      <c r="AA437" s="144"/>
      <c r="AB437" s="144"/>
      <c r="AC437" s="144"/>
      <c r="AD437" s="144"/>
      <c r="AE437" s="144"/>
      <c r="AF437" s="144"/>
    </row>
    <row r="438" ht="16.5" customHeight="1">
      <c r="A438" s="144"/>
      <c r="B438" s="144"/>
      <c r="C438" s="144"/>
      <c r="D438" s="144"/>
      <c r="E438" s="144"/>
      <c r="F438" s="144"/>
      <c r="G438" s="144"/>
      <c r="H438" s="144"/>
      <c r="I438" s="496"/>
      <c r="J438" s="496"/>
      <c r="K438" s="496"/>
      <c r="L438" s="496"/>
      <c r="M438" s="144"/>
      <c r="N438" s="144"/>
      <c r="O438" s="144"/>
      <c r="P438" s="144"/>
      <c r="Q438" s="144"/>
      <c r="R438" s="144"/>
      <c r="S438" s="144"/>
      <c r="T438" s="144"/>
      <c r="U438" s="144"/>
      <c r="V438" s="144"/>
      <c r="W438" s="144"/>
      <c r="X438" s="144"/>
      <c r="Y438" s="144"/>
      <c r="Z438" s="144"/>
      <c r="AA438" s="144"/>
      <c r="AB438" s="144"/>
      <c r="AC438" s="144"/>
      <c r="AD438" s="144"/>
      <c r="AE438" s="144"/>
      <c r="AF438" s="144"/>
    </row>
    <row r="439" ht="16.5" customHeight="1">
      <c r="A439" s="144"/>
      <c r="B439" s="144"/>
      <c r="C439" s="144"/>
      <c r="D439" s="144"/>
      <c r="E439" s="144"/>
      <c r="F439" s="144"/>
      <c r="G439" s="144"/>
      <c r="H439" s="144"/>
      <c r="I439" s="496"/>
      <c r="J439" s="496"/>
      <c r="K439" s="496"/>
      <c r="L439" s="496"/>
      <c r="M439" s="144"/>
      <c r="N439" s="144"/>
      <c r="O439" s="144"/>
      <c r="P439" s="144"/>
      <c r="Q439" s="144"/>
      <c r="R439" s="144"/>
      <c r="S439" s="144"/>
      <c r="T439" s="144"/>
      <c r="U439" s="144"/>
      <c r="V439" s="144"/>
      <c r="W439" s="144"/>
      <c r="X439" s="144"/>
      <c r="Y439" s="144"/>
      <c r="Z439" s="144"/>
      <c r="AA439" s="144"/>
      <c r="AB439" s="144"/>
      <c r="AC439" s="144"/>
      <c r="AD439" s="144"/>
      <c r="AE439" s="144"/>
      <c r="AF439" s="144"/>
    </row>
    <row r="440" ht="16.5" customHeight="1">
      <c r="A440" s="144"/>
      <c r="B440" s="144"/>
      <c r="C440" s="144"/>
      <c r="D440" s="144"/>
      <c r="E440" s="144"/>
      <c r="F440" s="144"/>
      <c r="G440" s="144"/>
      <c r="H440" s="144"/>
      <c r="I440" s="496"/>
      <c r="J440" s="496"/>
      <c r="K440" s="496"/>
      <c r="L440" s="496"/>
      <c r="M440" s="144"/>
      <c r="N440" s="144"/>
      <c r="O440" s="144"/>
      <c r="P440" s="144"/>
      <c r="Q440" s="144"/>
      <c r="R440" s="144"/>
      <c r="S440" s="144"/>
      <c r="T440" s="144"/>
      <c r="U440" s="144"/>
      <c r="V440" s="144"/>
      <c r="W440" s="144"/>
      <c r="X440" s="144"/>
      <c r="Y440" s="144"/>
      <c r="Z440" s="144"/>
      <c r="AA440" s="144"/>
      <c r="AB440" s="144"/>
      <c r="AC440" s="144"/>
      <c r="AD440" s="144"/>
      <c r="AE440" s="144"/>
      <c r="AF440" s="144"/>
    </row>
    <row r="441" ht="16.5" customHeight="1">
      <c r="A441" s="144"/>
      <c r="B441" s="144"/>
      <c r="C441" s="144"/>
      <c r="D441" s="144"/>
      <c r="E441" s="144"/>
      <c r="F441" s="144"/>
      <c r="G441" s="144"/>
      <c r="H441" s="144"/>
      <c r="I441" s="496"/>
      <c r="J441" s="496"/>
      <c r="K441" s="496"/>
      <c r="L441" s="496"/>
      <c r="M441" s="144"/>
      <c r="N441" s="144"/>
      <c r="O441" s="144"/>
      <c r="P441" s="144"/>
      <c r="Q441" s="144"/>
      <c r="R441" s="144"/>
      <c r="S441" s="144"/>
      <c r="T441" s="144"/>
      <c r="U441" s="144"/>
      <c r="V441" s="144"/>
      <c r="W441" s="144"/>
      <c r="X441" s="144"/>
      <c r="Y441" s="144"/>
      <c r="Z441" s="144"/>
      <c r="AA441" s="144"/>
      <c r="AB441" s="144"/>
      <c r="AC441" s="144"/>
      <c r="AD441" s="144"/>
      <c r="AE441" s="144"/>
      <c r="AF441" s="144"/>
    </row>
    <row r="442" ht="16.5" customHeight="1">
      <c r="A442" s="144"/>
      <c r="B442" s="144"/>
      <c r="C442" s="144"/>
      <c r="D442" s="144"/>
      <c r="E442" s="144"/>
      <c r="F442" s="144"/>
      <c r="G442" s="144"/>
      <c r="H442" s="144"/>
      <c r="I442" s="496"/>
      <c r="J442" s="496"/>
      <c r="K442" s="496"/>
      <c r="L442" s="496"/>
      <c r="M442" s="144"/>
      <c r="N442" s="144"/>
      <c r="O442" s="144"/>
      <c r="P442" s="144"/>
      <c r="Q442" s="144"/>
      <c r="R442" s="144"/>
      <c r="S442" s="144"/>
      <c r="T442" s="144"/>
      <c r="U442" s="144"/>
      <c r="V442" s="144"/>
      <c r="W442" s="144"/>
      <c r="X442" s="144"/>
      <c r="Y442" s="144"/>
      <c r="Z442" s="144"/>
      <c r="AA442" s="144"/>
      <c r="AB442" s="144"/>
      <c r="AC442" s="144"/>
      <c r="AD442" s="144"/>
      <c r="AE442" s="144"/>
      <c r="AF442" s="144"/>
    </row>
    <row r="443" ht="16.5" customHeight="1">
      <c r="A443" s="144"/>
      <c r="B443" s="144"/>
      <c r="C443" s="144"/>
      <c r="D443" s="144"/>
      <c r="E443" s="144"/>
      <c r="F443" s="144"/>
      <c r="G443" s="144"/>
      <c r="H443" s="144"/>
      <c r="I443" s="496"/>
      <c r="J443" s="496"/>
      <c r="K443" s="496"/>
      <c r="L443" s="496"/>
      <c r="M443" s="144"/>
      <c r="N443" s="144"/>
      <c r="O443" s="144"/>
      <c r="P443" s="144"/>
      <c r="Q443" s="144"/>
      <c r="R443" s="144"/>
      <c r="S443" s="144"/>
      <c r="T443" s="144"/>
      <c r="U443" s="144"/>
      <c r="V443" s="144"/>
      <c r="W443" s="144"/>
      <c r="X443" s="144"/>
      <c r="Y443" s="144"/>
      <c r="Z443" s="144"/>
      <c r="AA443" s="144"/>
      <c r="AB443" s="144"/>
      <c r="AC443" s="144"/>
      <c r="AD443" s="144"/>
      <c r="AE443" s="144"/>
      <c r="AF443" s="144"/>
    </row>
    <row r="444" ht="16.5" customHeight="1">
      <c r="A444" s="144"/>
      <c r="B444" s="144"/>
      <c r="C444" s="144"/>
      <c r="D444" s="144"/>
      <c r="E444" s="144"/>
      <c r="F444" s="144"/>
      <c r="G444" s="144"/>
      <c r="H444" s="144"/>
      <c r="I444" s="496"/>
      <c r="J444" s="496"/>
      <c r="K444" s="496"/>
      <c r="L444" s="496"/>
      <c r="M444" s="144"/>
      <c r="N444" s="144"/>
      <c r="O444" s="144"/>
      <c r="P444" s="144"/>
      <c r="Q444" s="144"/>
      <c r="R444" s="144"/>
      <c r="S444" s="144"/>
      <c r="T444" s="144"/>
      <c r="U444" s="144"/>
      <c r="V444" s="144"/>
      <c r="W444" s="144"/>
      <c r="X444" s="144"/>
      <c r="Y444" s="144"/>
      <c r="Z444" s="144"/>
      <c r="AA444" s="144"/>
      <c r="AB444" s="144"/>
      <c r="AC444" s="144"/>
      <c r="AD444" s="144"/>
      <c r="AE444" s="144"/>
      <c r="AF444" s="144"/>
    </row>
    <row r="445" ht="16.5" customHeight="1">
      <c r="A445" s="144"/>
      <c r="B445" s="144"/>
      <c r="C445" s="144"/>
      <c r="D445" s="144"/>
      <c r="E445" s="144"/>
      <c r="F445" s="144"/>
      <c r="G445" s="144"/>
      <c r="H445" s="144"/>
      <c r="I445" s="496"/>
      <c r="J445" s="496"/>
      <c r="K445" s="496"/>
      <c r="L445" s="496"/>
      <c r="M445" s="144"/>
      <c r="N445" s="144"/>
      <c r="O445" s="144"/>
      <c r="P445" s="144"/>
      <c r="Q445" s="144"/>
      <c r="R445" s="144"/>
      <c r="S445" s="144"/>
      <c r="T445" s="144"/>
      <c r="U445" s="144"/>
      <c r="V445" s="144"/>
      <c r="W445" s="144"/>
      <c r="X445" s="144"/>
      <c r="Y445" s="144"/>
      <c r="Z445" s="144"/>
      <c r="AA445" s="144"/>
      <c r="AB445" s="144"/>
      <c r="AC445" s="144"/>
      <c r="AD445" s="144"/>
      <c r="AE445" s="144"/>
      <c r="AF445" s="144"/>
    </row>
    <row r="446" ht="16.5" customHeight="1">
      <c r="A446" s="144"/>
      <c r="B446" s="144"/>
      <c r="C446" s="144"/>
      <c r="D446" s="144"/>
      <c r="E446" s="144"/>
      <c r="F446" s="144"/>
      <c r="G446" s="144"/>
      <c r="H446" s="144"/>
      <c r="I446" s="496"/>
      <c r="J446" s="496"/>
      <c r="K446" s="496"/>
      <c r="L446" s="496"/>
      <c r="M446" s="144"/>
      <c r="N446" s="144"/>
      <c r="O446" s="144"/>
      <c r="P446" s="144"/>
      <c r="Q446" s="144"/>
      <c r="R446" s="144"/>
      <c r="S446" s="144"/>
      <c r="T446" s="144"/>
      <c r="U446" s="144"/>
      <c r="V446" s="144"/>
      <c r="W446" s="144"/>
      <c r="X446" s="144"/>
      <c r="Y446" s="144"/>
      <c r="Z446" s="144"/>
      <c r="AA446" s="144"/>
      <c r="AB446" s="144"/>
      <c r="AC446" s="144"/>
      <c r="AD446" s="144"/>
      <c r="AE446" s="144"/>
      <c r="AF446" s="144"/>
    </row>
    <row r="447" ht="16.5" customHeight="1">
      <c r="A447" s="144"/>
      <c r="B447" s="144"/>
      <c r="C447" s="144"/>
      <c r="D447" s="144"/>
      <c r="E447" s="144"/>
      <c r="F447" s="144"/>
      <c r="G447" s="144"/>
      <c r="H447" s="144"/>
      <c r="I447" s="496"/>
      <c r="J447" s="496"/>
      <c r="K447" s="496"/>
      <c r="L447" s="496"/>
      <c r="M447" s="144"/>
      <c r="N447" s="144"/>
      <c r="O447" s="144"/>
      <c r="P447" s="144"/>
      <c r="Q447" s="144"/>
      <c r="R447" s="144"/>
      <c r="S447" s="144"/>
      <c r="T447" s="144"/>
      <c r="U447" s="144"/>
      <c r="V447" s="144"/>
      <c r="W447" s="144"/>
      <c r="X447" s="144"/>
      <c r="Y447" s="144"/>
      <c r="Z447" s="144"/>
      <c r="AA447" s="144"/>
      <c r="AB447" s="144"/>
      <c r="AC447" s="144"/>
      <c r="AD447" s="144"/>
      <c r="AE447" s="144"/>
      <c r="AF447" s="144"/>
    </row>
    <row r="448" ht="16.5" customHeight="1">
      <c r="A448" s="144"/>
      <c r="B448" s="144"/>
      <c r="C448" s="144"/>
      <c r="D448" s="144"/>
      <c r="E448" s="144"/>
      <c r="F448" s="144"/>
      <c r="G448" s="144"/>
      <c r="H448" s="144"/>
      <c r="I448" s="496"/>
      <c r="J448" s="496"/>
      <c r="K448" s="496"/>
      <c r="L448" s="496"/>
      <c r="M448" s="144"/>
      <c r="N448" s="144"/>
      <c r="O448" s="144"/>
      <c r="P448" s="144"/>
      <c r="Q448" s="144"/>
      <c r="R448" s="144"/>
      <c r="S448" s="144"/>
      <c r="T448" s="144"/>
      <c r="U448" s="144"/>
      <c r="V448" s="144"/>
      <c r="W448" s="144"/>
      <c r="X448" s="144"/>
      <c r="Y448" s="144"/>
      <c r="Z448" s="144"/>
      <c r="AA448" s="144"/>
      <c r="AB448" s="144"/>
      <c r="AC448" s="144"/>
      <c r="AD448" s="144"/>
      <c r="AE448" s="144"/>
      <c r="AF448" s="144"/>
    </row>
    <row r="449" ht="16.5" customHeight="1">
      <c r="A449" s="144"/>
      <c r="B449" s="144"/>
      <c r="C449" s="144"/>
      <c r="D449" s="144"/>
      <c r="E449" s="144"/>
      <c r="F449" s="144"/>
      <c r="G449" s="144"/>
      <c r="H449" s="144"/>
      <c r="I449" s="496"/>
      <c r="J449" s="496"/>
      <c r="K449" s="496"/>
      <c r="L449" s="496"/>
      <c r="M449" s="144"/>
      <c r="N449" s="144"/>
      <c r="O449" s="144"/>
      <c r="P449" s="144"/>
      <c r="Q449" s="144"/>
      <c r="R449" s="144"/>
      <c r="S449" s="144"/>
      <c r="T449" s="144"/>
      <c r="U449" s="144"/>
      <c r="V449" s="144"/>
      <c r="W449" s="144"/>
      <c r="X449" s="144"/>
      <c r="Y449" s="144"/>
      <c r="Z449" s="144"/>
      <c r="AA449" s="144"/>
      <c r="AB449" s="144"/>
      <c r="AC449" s="144"/>
      <c r="AD449" s="144"/>
      <c r="AE449" s="144"/>
      <c r="AF449" s="144"/>
    </row>
    <row r="450" ht="16.5" customHeight="1">
      <c r="A450" s="144"/>
      <c r="B450" s="144"/>
      <c r="C450" s="144"/>
      <c r="D450" s="144"/>
      <c r="E450" s="144"/>
      <c r="F450" s="144"/>
      <c r="G450" s="144"/>
      <c r="H450" s="144"/>
      <c r="I450" s="496"/>
      <c r="J450" s="496"/>
      <c r="K450" s="496"/>
      <c r="L450" s="496"/>
      <c r="M450" s="144"/>
      <c r="N450" s="144"/>
      <c r="O450" s="144"/>
      <c r="P450" s="144"/>
      <c r="Q450" s="144"/>
      <c r="R450" s="144"/>
      <c r="S450" s="144"/>
      <c r="T450" s="144"/>
      <c r="U450" s="144"/>
      <c r="V450" s="144"/>
      <c r="W450" s="144"/>
      <c r="X450" s="144"/>
      <c r="Y450" s="144"/>
      <c r="Z450" s="144"/>
      <c r="AA450" s="144"/>
      <c r="AB450" s="144"/>
      <c r="AC450" s="144"/>
      <c r="AD450" s="144"/>
      <c r="AE450" s="144"/>
      <c r="AF450" s="144"/>
    </row>
    <row r="451" ht="16.5" customHeight="1">
      <c r="A451" s="144"/>
      <c r="B451" s="144"/>
      <c r="C451" s="144"/>
      <c r="D451" s="144"/>
      <c r="E451" s="144"/>
      <c r="F451" s="144"/>
      <c r="G451" s="144"/>
      <c r="H451" s="144"/>
      <c r="I451" s="496"/>
      <c r="J451" s="496"/>
      <c r="K451" s="496"/>
      <c r="L451" s="496"/>
      <c r="M451" s="144"/>
      <c r="N451" s="144"/>
      <c r="O451" s="144"/>
      <c r="P451" s="144"/>
      <c r="Q451" s="144"/>
      <c r="R451" s="144"/>
      <c r="S451" s="144"/>
      <c r="T451" s="144"/>
      <c r="U451" s="144"/>
      <c r="V451" s="144"/>
      <c r="W451" s="144"/>
      <c r="X451" s="144"/>
      <c r="Y451" s="144"/>
      <c r="Z451" s="144"/>
      <c r="AA451" s="144"/>
      <c r="AB451" s="144"/>
      <c r="AC451" s="144"/>
      <c r="AD451" s="144"/>
      <c r="AE451" s="144"/>
      <c r="AF451" s="144"/>
    </row>
    <row r="452" ht="16.5" customHeight="1">
      <c r="A452" s="144"/>
      <c r="B452" s="144"/>
      <c r="C452" s="144"/>
      <c r="D452" s="144"/>
      <c r="E452" s="144"/>
      <c r="F452" s="144"/>
      <c r="G452" s="144"/>
      <c r="H452" s="144"/>
      <c r="I452" s="496"/>
      <c r="J452" s="496"/>
      <c r="K452" s="496"/>
      <c r="L452" s="496"/>
      <c r="M452" s="144"/>
      <c r="N452" s="144"/>
      <c r="O452" s="144"/>
      <c r="P452" s="144"/>
      <c r="Q452" s="144"/>
      <c r="R452" s="144"/>
      <c r="S452" s="144"/>
      <c r="T452" s="144"/>
      <c r="U452" s="144"/>
      <c r="V452" s="144"/>
      <c r="W452" s="144"/>
      <c r="X452" s="144"/>
      <c r="Y452" s="144"/>
      <c r="Z452" s="144"/>
      <c r="AA452" s="144"/>
      <c r="AB452" s="144"/>
      <c r="AC452" s="144"/>
      <c r="AD452" s="144"/>
      <c r="AE452" s="144"/>
      <c r="AF452" s="144"/>
    </row>
    <row r="453" ht="16.5" customHeight="1">
      <c r="A453" s="144"/>
      <c r="B453" s="144"/>
      <c r="C453" s="144"/>
      <c r="D453" s="144"/>
      <c r="E453" s="144"/>
      <c r="F453" s="144"/>
      <c r="G453" s="144"/>
      <c r="H453" s="144"/>
      <c r="I453" s="496"/>
      <c r="J453" s="496"/>
      <c r="K453" s="496"/>
      <c r="L453" s="496"/>
      <c r="M453" s="144"/>
      <c r="N453" s="144"/>
      <c r="O453" s="144"/>
      <c r="P453" s="144"/>
      <c r="Q453" s="144"/>
      <c r="R453" s="144"/>
      <c r="S453" s="144"/>
      <c r="T453" s="144"/>
      <c r="U453" s="144"/>
      <c r="V453" s="144"/>
      <c r="W453" s="144"/>
      <c r="X453" s="144"/>
      <c r="Y453" s="144"/>
      <c r="Z453" s="144"/>
      <c r="AA453" s="144"/>
      <c r="AB453" s="144"/>
      <c r="AC453" s="144"/>
      <c r="AD453" s="144"/>
      <c r="AE453" s="144"/>
      <c r="AF453" s="144"/>
    </row>
    <row r="454" ht="16.5" customHeight="1">
      <c r="A454" s="144"/>
      <c r="B454" s="144"/>
      <c r="C454" s="144"/>
      <c r="D454" s="144"/>
      <c r="E454" s="144"/>
      <c r="F454" s="144"/>
      <c r="G454" s="144"/>
      <c r="H454" s="144"/>
      <c r="I454" s="496"/>
      <c r="J454" s="496"/>
      <c r="K454" s="496"/>
      <c r="L454" s="496"/>
      <c r="M454" s="144"/>
      <c r="N454" s="144"/>
      <c r="O454" s="144"/>
      <c r="P454" s="144"/>
      <c r="Q454" s="144"/>
      <c r="R454" s="144"/>
      <c r="S454" s="144"/>
      <c r="T454" s="144"/>
      <c r="U454" s="144"/>
      <c r="V454" s="144"/>
      <c r="W454" s="144"/>
      <c r="X454" s="144"/>
      <c r="Y454" s="144"/>
      <c r="Z454" s="144"/>
      <c r="AA454" s="144"/>
      <c r="AB454" s="144"/>
      <c r="AC454" s="144"/>
      <c r="AD454" s="144"/>
      <c r="AE454" s="144"/>
      <c r="AF454" s="144"/>
    </row>
    <row r="455" ht="16.5" customHeight="1">
      <c r="A455" s="144"/>
      <c r="B455" s="144"/>
      <c r="C455" s="144"/>
      <c r="D455" s="144"/>
      <c r="E455" s="144"/>
      <c r="F455" s="144"/>
      <c r="G455" s="144"/>
      <c r="H455" s="144"/>
      <c r="I455" s="496"/>
      <c r="J455" s="496"/>
      <c r="K455" s="496"/>
      <c r="L455" s="496"/>
      <c r="M455" s="144"/>
      <c r="N455" s="144"/>
      <c r="O455" s="144"/>
      <c r="P455" s="144"/>
      <c r="Q455" s="144"/>
      <c r="R455" s="144"/>
      <c r="S455" s="144"/>
      <c r="T455" s="144"/>
      <c r="U455" s="144"/>
      <c r="V455" s="144"/>
      <c r="W455" s="144"/>
      <c r="X455" s="144"/>
      <c r="Y455" s="144"/>
      <c r="Z455" s="144"/>
      <c r="AA455" s="144"/>
      <c r="AB455" s="144"/>
      <c r="AC455" s="144"/>
      <c r="AD455" s="144"/>
      <c r="AE455" s="144"/>
      <c r="AF455" s="144"/>
    </row>
    <row r="456" ht="16.5" customHeight="1">
      <c r="A456" s="144"/>
      <c r="B456" s="144"/>
      <c r="C456" s="144"/>
      <c r="D456" s="144"/>
      <c r="E456" s="144"/>
      <c r="F456" s="144"/>
      <c r="G456" s="144"/>
      <c r="H456" s="144"/>
      <c r="I456" s="496"/>
      <c r="J456" s="496"/>
      <c r="K456" s="496"/>
      <c r="L456" s="496"/>
      <c r="M456" s="144"/>
      <c r="N456" s="144"/>
      <c r="O456" s="144"/>
      <c r="P456" s="144"/>
      <c r="Q456" s="144"/>
      <c r="R456" s="144"/>
      <c r="S456" s="144"/>
      <c r="T456" s="144"/>
      <c r="U456" s="144"/>
      <c r="V456" s="144"/>
      <c r="W456" s="144"/>
      <c r="X456" s="144"/>
      <c r="Y456" s="144"/>
      <c r="Z456" s="144"/>
      <c r="AA456" s="144"/>
      <c r="AB456" s="144"/>
      <c r="AC456" s="144"/>
      <c r="AD456" s="144"/>
      <c r="AE456" s="144"/>
      <c r="AF456" s="144"/>
    </row>
    <row r="457" ht="16.5" customHeight="1">
      <c r="A457" s="144"/>
      <c r="B457" s="144"/>
      <c r="C457" s="144"/>
      <c r="D457" s="144"/>
      <c r="E457" s="144"/>
      <c r="F457" s="144"/>
      <c r="G457" s="144"/>
      <c r="H457" s="144"/>
      <c r="I457" s="496"/>
      <c r="J457" s="496"/>
      <c r="K457" s="496"/>
      <c r="L457" s="496"/>
      <c r="M457" s="144"/>
      <c r="N457" s="144"/>
      <c r="O457" s="144"/>
      <c r="P457" s="144"/>
      <c r="Q457" s="144"/>
      <c r="R457" s="144"/>
      <c r="S457" s="144"/>
      <c r="T457" s="144"/>
      <c r="U457" s="144"/>
      <c r="V457" s="144"/>
      <c r="W457" s="144"/>
      <c r="X457" s="144"/>
      <c r="Y457" s="144"/>
      <c r="Z457" s="144"/>
      <c r="AA457" s="144"/>
      <c r="AB457" s="144"/>
      <c r="AC457" s="144"/>
      <c r="AD457" s="144"/>
      <c r="AE457" s="144"/>
      <c r="AF457" s="144"/>
    </row>
    <row r="458" ht="16.5" customHeight="1">
      <c r="A458" s="144"/>
      <c r="B458" s="144"/>
      <c r="C458" s="144"/>
      <c r="D458" s="144"/>
      <c r="E458" s="144"/>
      <c r="F458" s="144"/>
      <c r="G458" s="144"/>
      <c r="H458" s="144"/>
      <c r="I458" s="496"/>
      <c r="J458" s="496"/>
      <c r="K458" s="496"/>
      <c r="L458" s="496"/>
      <c r="M458" s="144"/>
      <c r="N458" s="144"/>
      <c r="O458" s="144"/>
      <c r="P458" s="144"/>
      <c r="Q458" s="144"/>
      <c r="R458" s="144"/>
      <c r="S458" s="144"/>
      <c r="T458" s="144"/>
      <c r="U458" s="144"/>
      <c r="V458" s="144"/>
      <c r="W458" s="144"/>
      <c r="X458" s="144"/>
      <c r="Y458" s="144"/>
      <c r="Z458" s="144"/>
      <c r="AA458" s="144"/>
      <c r="AB458" s="144"/>
      <c r="AC458" s="144"/>
      <c r="AD458" s="144"/>
      <c r="AE458" s="144"/>
      <c r="AF458" s="144"/>
    </row>
    <row r="459" ht="16.5" customHeight="1">
      <c r="A459" s="144"/>
      <c r="B459" s="144"/>
      <c r="C459" s="144"/>
      <c r="D459" s="144"/>
      <c r="E459" s="144"/>
      <c r="F459" s="144"/>
      <c r="G459" s="144"/>
      <c r="H459" s="144"/>
      <c r="I459" s="496"/>
      <c r="J459" s="496"/>
      <c r="K459" s="496"/>
      <c r="L459" s="496"/>
      <c r="M459" s="144"/>
      <c r="N459" s="144"/>
      <c r="O459" s="144"/>
      <c r="P459" s="144"/>
      <c r="Q459" s="144"/>
      <c r="R459" s="144"/>
      <c r="S459" s="144"/>
      <c r="T459" s="144"/>
      <c r="U459" s="144"/>
      <c r="V459" s="144"/>
      <c r="W459" s="144"/>
      <c r="X459" s="144"/>
      <c r="Y459" s="144"/>
      <c r="Z459" s="144"/>
      <c r="AA459" s="144"/>
      <c r="AB459" s="144"/>
      <c r="AC459" s="144"/>
      <c r="AD459" s="144"/>
      <c r="AE459" s="144"/>
      <c r="AF459" s="144"/>
    </row>
    <row r="460" ht="16.5" customHeight="1">
      <c r="A460" s="144"/>
      <c r="B460" s="144"/>
      <c r="C460" s="144"/>
      <c r="D460" s="144"/>
      <c r="E460" s="144"/>
      <c r="F460" s="144"/>
      <c r="G460" s="144"/>
      <c r="H460" s="144"/>
      <c r="I460" s="496"/>
      <c r="J460" s="496"/>
      <c r="K460" s="496"/>
      <c r="L460" s="496"/>
      <c r="M460" s="144"/>
      <c r="N460" s="144"/>
      <c r="O460" s="144"/>
      <c r="P460" s="144"/>
      <c r="Q460" s="144"/>
      <c r="R460" s="144"/>
      <c r="S460" s="144"/>
      <c r="T460" s="144"/>
      <c r="U460" s="144"/>
      <c r="V460" s="144"/>
      <c r="W460" s="144"/>
      <c r="X460" s="144"/>
      <c r="Y460" s="144"/>
      <c r="Z460" s="144"/>
      <c r="AA460" s="144"/>
      <c r="AB460" s="144"/>
      <c r="AC460" s="144"/>
      <c r="AD460" s="144"/>
      <c r="AE460" s="144"/>
      <c r="AF460" s="144"/>
    </row>
    <row r="461" ht="16.5" customHeight="1">
      <c r="A461" s="144"/>
      <c r="B461" s="144"/>
      <c r="C461" s="144"/>
      <c r="D461" s="144"/>
      <c r="E461" s="144"/>
      <c r="F461" s="144"/>
      <c r="G461" s="144"/>
      <c r="H461" s="144"/>
      <c r="I461" s="496"/>
      <c r="J461" s="496"/>
      <c r="K461" s="496"/>
      <c r="L461" s="496"/>
      <c r="M461" s="144"/>
      <c r="N461" s="144"/>
      <c r="O461" s="144"/>
      <c r="P461" s="144"/>
      <c r="Q461" s="144"/>
      <c r="R461" s="144"/>
      <c r="S461" s="144"/>
      <c r="T461" s="144"/>
      <c r="U461" s="144"/>
      <c r="V461" s="144"/>
      <c r="W461" s="144"/>
      <c r="X461" s="144"/>
      <c r="Y461" s="144"/>
      <c r="Z461" s="144"/>
      <c r="AA461" s="144"/>
      <c r="AB461" s="144"/>
      <c r="AC461" s="144"/>
      <c r="AD461" s="144"/>
      <c r="AE461" s="144"/>
      <c r="AF461" s="144"/>
    </row>
    <row r="462" ht="16.5" customHeight="1">
      <c r="A462" s="144"/>
      <c r="B462" s="144"/>
      <c r="C462" s="144"/>
      <c r="D462" s="144"/>
      <c r="E462" s="144"/>
      <c r="F462" s="144"/>
      <c r="G462" s="144"/>
      <c r="H462" s="144"/>
      <c r="I462" s="496"/>
      <c r="J462" s="496"/>
      <c r="K462" s="496"/>
      <c r="L462" s="496"/>
      <c r="M462" s="144"/>
      <c r="N462" s="144"/>
      <c r="O462" s="144"/>
      <c r="P462" s="144"/>
      <c r="Q462" s="144"/>
      <c r="R462" s="144"/>
      <c r="S462" s="144"/>
      <c r="T462" s="144"/>
      <c r="U462" s="144"/>
      <c r="V462" s="144"/>
      <c r="W462" s="144"/>
      <c r="X462" s="144"/>
      <c r="Y462" s="144"/>
      <c r="Z462" s="144"/>
      <c r="AA462" s="144"/>
      <c r="AB462" s="144"/>
      <c r="AC462" s="144"/>
      <c r="AD462" s="144"/>
      <c r="AE462" s="144"/>
      <c r="AF462" s="144"/>
    </row>
    <row r="463" ht="16.5" customHeight="1">
      <c r="A463" s="144"/>
      <c r="B463" s="144"/>
      <c r="C463" s="144"/>
      <c r="D463" s="144"/>
      <c r="E463" s="144"/>
      <c r="F463" s="144"/>
      <c r="G463" s="144"/>
      <c r="H463" s="144"/>
      <c r="I463" s="496"/>
      <c r="J463" s="496"/>
      <c r="K463" s="496"/>
      <c r="L463" s="496"/>
      <c r="M463" s="144"/>
      <c r="N463" s="144"/>
      <c r="O463" s="144"/>
      <c r="P463" s="144"/>
      <c r="Q463" s="144"/>
      <c r="R463" s="144"/>
      <c r="S463" s="144"/>
      <c r="T463" s="144"/>
      <c r="U463" s="144"/>
      <c r="V463" s="144"/>
      <c r="W463" s="144"/>
      <c r="X463" s="144"/>
      <c r="Y463" s="144"/>
      <c r="Z463" s="144"/>
      <c r="AA463" s="144"/>
      <c r="AB463" s="144"/>
      <c r="AC463" s="144"/>
      <c r="AD463" s="144"/>
      <c r="AE463" s="144"/>
      <c r="AF463" s="144"/>
    </row>
    <row r="464" ht="16.5" customHeight="1">
      <c r="A464" s="144"/>
      <c r="B464" s="144"/>
      <c r="C464" s="144"/>
      <c r="D464" s="144"/>
      <c r="E464" s="144"/>
      <c r="F464" s="144"/>
      <c r="G464" s="144"/>
      <c r="H464" s="144"/>
      <c r="I464" s="496"/>
      <c r="J464" s="496"/>
      <c r="K464" s="496"/>
      <c r="L464" s="496"/>
      <c r="M464" s="144"/>
      <c r="N464" s="144"/>
      <c r="O464" s="144"/>
      <c r="P464" s="144"/>
      <c r="Q464" s="144"/>
      <c r="R464" s="144"/>
      <c r="S464" s="144"/>
      <c r="T464" s="144"/>
      <c r="U464" s="144"/>
      <c r="V464" s="144"/>
      <c r="W464" s="144"/>
      <c r="X464" s="144"/>
      <c r="Y464" s="144"/>
      <c r="Z464" s="144"/>
      <c r="AA464" s="144"/>
      <c r="AB464" s="144"/>
      <c r="AC464" s="144"/>
      <c r="AD464" s="144"/>
      <c r="AE464" s="144"/>
      <c r="AF464" s="144"/>
    </row>
    <row r="465" ht="16.5" customHeight="1">
      <c r="A465" s="144"/>
      <c r="B465" s="144"/>
      <c r="C465" s="144"/>
      <c r="D465" s="144"/>
      <c r="E465" s="144"/>
      <c r="F465" s="144"/>
      <c r="G465" s="144"/>
      <c r="H465" s="144"/>
      <c r="I465" s="496"/>
      <c r="J465" s="496"/>
      <c r="K465" s="496"/>
      <c r="L465" s="496"/>
      <c r="M465" s="144"/>
      <c r="N465" s="144"/>
      <c r="O465" s="144"/>
      <c r="P465" s="144"/>
      <c r="Q465" s="144"/>
      <c r="R465" s="144"/>
      <c r="S465" s="144"/>
      <c r="T465" s="144"/>
      <c r="U465" s="144"/>
      <c r="V465" s="144"/>
      <c r="W465" s="144"/>
      <c r="X465" s="144"/>
      <c r="Y465" s="144"/>
      <c r="Z465" s="144"/>
      <c r="AA465" s="144"/>
      <c r="AB465" s="144"/>
      <c r="AC465" s="144"/>
      <c r="AD465" s="144"/>
      <c r="AE465" s="144"/>
      <c r="AF465" s="144"/>
    </row>
    <row r="466" ht="16.5" customHeight="1">
      <c r="A466" s="144"/>
      <c r="B466" s="144"/>
      <c r="C466" s="144"/>
      <c r="D466" s="144"/>
      <c r="E466" s="144"/>
      <c r="F466" s="144"/>
      <c r="G466" s="144"/>
      <c r="H466" s="144"/>
      <c r="I466" s="496"/>
      <c r="J466" s="496"/>
      <c r="K466" s="496"/>
      <c r="L466" s="496"/>
      <c r="M466" s="144"/>
      <c r="N466" s="144"/>
      <c r="O466" s="144"/>
      <c r="P466" s="144"/>
      <c r="Q466" s="144"/>
      <c r="R466" s="144"/>
      <c r="S466" s="144"/>
      <c r="T466" s="144"/>
      <c r="U466" s="144"/>
      <c r="V466" s="144"/>
      <c r="W466" s="144"/>
      <c r="X466" s="144"/>
      <c r="Y466" s="144"/>
      <c r="Z466" s="144"/>
      <c r="AA466" s="144"/>
      <c r="AB466" s="144"/>
      <c r="AC466" s="144"/>
      <c r="AD466" s="144"/>
      <c r="AE466" s="144"/>
      <c r="AF466" s="144"/>
    </row>
    <row r="467" ht="16.5" customHeight="1">
      <c r="A467" s="144"/>
      <c r="B467" s="144"/>
      <c r="C467" s="144"/>
      <c r="D467" s="144"/>
      <c r="E467" s="144"/>
      <c r="F467" s="144"/>
      <c r="G467" s="144"/>
      <c r="H467" s="144"/>
      <c r="I467" s="496"/>
      <c r="J467" s="496"/>
      <c r="K467" s="496"/>
      <c r="L467" s="496"/>
      <c r="M467" s="144"/>
      <c r="N467" s="144"/>
      <c r="O467" s="144"/>
      <c r="P467" s="144"/>
      <c r="Q467" s="144"/>
      <c r="R467" s="144"/>
      <c r="S467" s="144"/>
      <c r="T467" s="144"/>
      <c r="U467" s="144"/>
      <c r="V467" s="144"/>
      <c r="W467" s="144"/>
      <c r="X467" s="144"/>
      <c r="Y467" s="144"/>
      <c r="Z467" s="144"/>
      <c r="AA467" s="144"/>
      <c r="AB467" s="144"/>
      <c r="AC467" s="144"/>
      <c r="AD467" s="144"/>
      <c r="AE467" s="144"/>
      <c r="AF467" s="144"/>
    </row>
    <row r="468" ht="16.5" customHeight="1">
      <c r="A468" s="144"/>
      <c r="B468" s="144"/>
      <c r="C468" s="144"/>
      <c r="D468" s="144"/>
      <c r="E468" s="144"/>
      <c r="F468" s="144"/>
      <c r="G468" s="144"/>
      <c r="H468" s="144"/>
      <c r="I468" s="496"/>
      <c r="J468" s="496"/>
      <c r="K468" s="496"/>
      <c r="L468" s="496"/>
      <c r="M468" s="144"/>
      <c r="N468" s="144"/>
      <c r="O468" s="144"/>
      <c r="P468" s="144"/>
      <c r="Q468" s="144"/>
      <c r="R468" s="144"/>
      <c r="S468" s="144"/>
      <c r="T468" s="144"/>
      <c r="U468" s="144"/>
      <c r="V468" s="144"/>
      <c r="W468" s="144"/>
      <c r="X468" s="144"/>
      <c r="Y468" s="144"/>
      <c r="Z468" s="144"/>
      <c r="AA468" s="144"/>
      <c r="AB468" s="144"/>
      <c r="AC468" s="144"/>
      <c r="AD468" s="144"/>
      <c r="AE468" s="144"/>
      <c r="AF468" s="144"/>
    </row>
    <row r="469" ht="16.5" customHeight="1">
      <c r="A469" s="144"/>
      <c r="B469" s="144"/>
      <c r="C469" s="144"/>
      <c r="D469" s="144"/>
      <c r="E469" s="144"/>
      <c r="F469" s="144"/>
      <c r="G469" s="144"/>
      <c r="H469" s="144"/>
      <c r="I469" s="496"/>
      <c r="J469" s="496"/>
      <c r="K469" s="496"/>
      <c r="L469" s="496"/>
      <c r="M469" s="144"/>
      <c r="N469" s="144"/>
      <c r="O469" s="144"/>
      <c r="P469" s="144"/>
      <c r="Q469" s="144"/>
      <c r="R469" s="144"/>
      <c r="S469" s="144"/>
      <c r="T469" s="144"/>
      <c r="U469" s="144"/>
      <c r="V469" s="144"/>
      <c r="W469" s="144"/>
      <c r="X469" s="144"/>
      <c r="Y469" s="144"/>
      <c r="Z469" s="144"/>
      <c r="AA469" s="144"/>
      <c r="AB469" s="144"/>
      <c r="AC469" s="144"/>
      <c r="AD469" s="144"/>
      <c r="AE469" s="144"/>
      <c r="AF469" s="144"/>
    </row>
    <row r="470" ht="16.5" customHeight="1">
      <c r="A470" s="144"/>
      <c r="B470" s="144"/>
      <c r="C470" s="144"/>
      <c r="D470" s="144"/>
      <c r="E470" s="144"/>
      <c r="F470" s="144"/>
      <c r="G470" s="144"/>
      <c r="H470" s="144"/>
      <c r="I470" s="496"/>
      <c r="J470" s="496"/>
      <c r="K470" s="496"/>
      <c r="L470" s="496"/>
      <c r="M470" s="144"/>
      <c r="N470" s="144"/>
      <c r="O470" s="144"/>
      <c r="P470" s="144"/>
      <c r="Q470" s="144"/>
      <c r="R470" s="144"/>
      <c r="S470" s="144"/>
      <c r="T470" s="144"/>
      <c r="U470" s="144"/>
      <c r="V470" s="144"/>
      <c r="W470" s="144"/>
      <c r="X470" s="144"/>
      <c r="Y470" s="144"/>
      <c r="Z470" s="144"/>
      <c r="AA470" s="144"/>
      <c r="AB470" s="144"/>
      <c r="AC470" s="144"/>
      <c r="AD470" s="144"/>
      <c r="AE470" s="144"/>
      <c r="AF470" s="144"/>
    </row>
    <row r="471" ht="16.5" customHeight="1">
      <c r="A471" s="144"/>
      <c r="B471" s="144"/>
      <c r="C471" s="144"/>
      <c r="D471" s="144"/>
      <c r="E471" s="144"/>
      <c r="F471" s="144"/>
      <c r="G471" s="144"/>
      <c r="H471" s="144"/>
      <c r="I471" s="496"/>
      <c r="J471" s="496"/>
      <c r="K471" s="496"/>
      <c r="L471" s="496"/>
      <c r="M471" s="144"/>
      <c r="N471" s="144"/>
      <c r="O471" s="144"/>
      <c r="P471" s="144"/>
      <c r="Q471" s="144"/>
      <c r="R471" s="144"/>
      <c r="S471" s="144"/>
      <c r="T471" s="144"/>
      <c r="U471" s="144"/>
      <c r="V471" s="144"/>
      <c r="W471" s="144"/>
      <c r="X471" s="144"/>
      <c r="Y471" s="144"/>
      <c r="Z471" s="144"/>
      <c r="AA471" s="144"/>
      <c r="AB471" s="144"/>
      <c r="AC471" s="144"/>
      <c r="AD471" s="144"/>
      <c r="AE471" s="144"/>
      <c r="AF471" s="144"/>
    </row>
    <row r="472" ht="16.5" customHeight="1">
      <c r="A472" s="144"/>
      <c r="B472" s="144"/>
      <c r="C472" s="144"/>
      <c r="D472" s="144"/>
      <c r="E472" s="144"/>
      <c r="F472" s="144"/>
      <c r="G472" s="144"/>
      <c r="H472" s="144"/>
      <c r="I472" s="496"/>
      <c r="J472" s="496"/>
      <c r="K472" s="496"/>
      <c r="L472" s="496"/>
      <c r="M472" s="144"/>
      <c r="N472" s="144"/>
      <c r="O472" s="144"/>
      <c r="P472" s="144"/>
      <c r="Q472" s="144"/>
      <c r="R472" s="144"/>
      <c r="S472" s="144"/>
      <c r="T472" s="144"/>
      <c r="U472" s="144"/>
      <c r="V472" s="144"/>
      <c r="W472" s="144"/>
      <c r="X472" s="144"/>
      <c r="Y472" s="144"/>
      <c r="Z472" s="144"/>
      <c r="AA472" s="144"/>
      <c r="AB472" s="144"/>
      <c r="AC472" s="144"/>
      <c r="AD472" s="144"/>
      <c r="AE472" s="144"/>
      <c r="AF472" s="144"/>
    </row>
    <row r="473" ht="16.5" customHeight="1">
      <c r="A473" s="144"/>
      <c r="B473" s="144"/>
      <c r="C473" s="144"/>
      <c r="D473" s="144"/>
      <c r="E473" s="144"/>
      <c r="F473" s="144"/>
      <c r="G473" s="144"/>
      <c r="H473" s="144"/>
      <c r="I473" s="496"/>
      <c r="J473" s="496"/>
      <c r="K473" s="496"/>
      <c r="L473" s="496"/>
      <c r="M473" s="144"/>
      <c r="N473" s="144"/>
      <c r="O473" s="144"/>
      <c r="P473" s="144"/>
      <c r="Q473" s="144"/>
      <c r="R473" s="144"/>
      <c r="S473" s="144"/>
      <c r="T473" s="144"/>
      <c r="U473" s="144"/>
      <c r="V473" s="144"/>
      <c r="W473" s="144"/>
      <c r="X473" s="144"/>
      <c r="Y473" s="144"/>
      <c r="Z473" s="144"/>
      <c r="AA473" s="144"/>
      <c r="AB473" s="144"/>
      <c r="AC473" s="144"/>
      <c r="AD473" s="144"/>
      <c r="AE473" s="144"/>
      <c r="AF473" s="144"/>
    </row>
    <row r="474" ht="16.5" customHeight="1">
      <c r="A474" s="144"/>
      <c r="B474" s="144"/>
      <c r="C474" s="144"/>
      <c r="D474" s="144"/>
      <c r="E474" s="144"/>
      <c r="F474" s="144"/>
      <c r="G474" s="144"/>
      <c r="H474" s="144"/>
      <c r="I474" s="496"/>
      <c r="J474" s="496"/>
      <c r="K474" s="496"/>
      <c r="L474" s="496"/>
      <c r="M474" s="144"/>
      <c r="N474" s="144"/>
      <c r="O474" s="144"/>
      <c r="P474" s="144"/>
      <c r="Q474" s="144"/>
      <c r="R474" s="144"/>
      <c r="S474" s="144"/>
      <c r="T474" s="144"/>
      <c r="U474" s="144"/>
      <c r="V474" s="144"/>
      <c r="W474" s="144"/>
      <c r="X474" s="144"/>
      <c r="Y474" s="144"/>
      <c r="Z474" s="144"/>
      <c r="AA474" s="144"/>
      <c r="AB474" s="144"/>
      <c r="AC474" s="144"/>
      <c r="AD474" s="144"/>
      <c r="AE474" s="144"/>
      <c r="AF474" s="144"/>
    </row>
    <row r="475" ht="16.5" customHeight="1">
      <c r="A475" s="144"/>
      <c r="B475" s="144"/>
      <c r="C475" s="144"/>
      <c r="D475" s="144"/>
      <c r="E475" s="144"/>
      <c r="F475" s="144"/>
      <c r="G475" s="144"/>
      <c r="H475" s="144"/>
      <c r="I475" s="496"/>
      <c r="J475" s="496"/>
      <c r="K475" s="496"/>
      <c r="L475" s="496"/>
      <c r="M475" s="144"/>
      <c r="N475" s="144"/>
      <c r="O475" s="144"/>
      <c r="P475" s="144"/>
      <c r="Q475" s="144"/>
      <c r="R475" s="144"/>
      <c r="S475" s="144"/>
      <c r="T475" s="144"/>
      <c r="U475" s="144"/>
      <c r="V475" s="144"/>
      <c r="W475" s="144"/>
      <c r="X475" s="144"/>
      <c r="Y475" s="144"/>
      <c r="Z475" s="144"/>
      <c r="AA475" s="144"/>
      <c r="AB475" s="144"/>
      <c r="AC475" s="144"/>
      <c r="AD475" s="144"/>
      <c r="AE475" s="144"/>
      <c r="AF475" s="144"/>
    </row>
    <row r="476" ht="16.5" customHeight="1">
      <c r="A476" s="144"/>
      <c r="B476" s="144"/>
      <c r="C476" s="144"/>
      <c r="D476" s="144"/>
      <c r="E476" s="144"/>
      <c r="F476" s="144"/>
      <c r="G476" s="144"/>
      <c r="H476" s="144"/>
      <c r="I476" s="496"/>
      <c r="J476" s="496"/>
      <c r="K476" s="496"/>
      <c r="L476" s="496"/>
      <c r="M476" s="144"/>
      <c r="N476" s="144"/>
      <c r="O476" s="144"/>
      <c r="P476" s="144"/>
      <c r="Q476" s="144"/>
      <c r="R476" s="144"/>
      <c r="S476" s="144"/>
      <c r="T476" s="144"/>
      <c r="U476" s="144"/>
      <c r="V476" s="144"/>
      <c r="W476" s="144"/>
      <c r="X476" s="144"/>
      <c r="Y476" s="144"/>
      <c r="Z476" s="144"/>
      <c r="AA476" s="144"/>
      <c r="AB476" s="144"/>
      <c r="AC476" s="144"/>
      <c r="AD476" s="144"/>
      <c r="AE476" s="144"/>
      <c r="AF476" s="144"/>
    </row>
    <row r="477" ht="16.5" customHeight="1">
      <c r="A477" s="144"/>
      <c r="B477" s="144"/>
      <c r="C477" s="144"/>
      <c r="D477" s="144"/>
      <c r="E477" s="144"/>
      <c r="F477" s="144"/>
      <c r="G477" s="144"/>
      <c r="H477" s="144"/>
      <c r="I477" s="496"/>
      <c r="J477" s="496"/>
      <c r="K477" s="496"/>
      <c r="L477" s="496"/>
      <c r="M477" s="144"/>
      <c r="N477" s="144"/>
      <c r="O477" s="144"/>
      <c r="P477" s="144"/>
      <c r="Q477" s="144"/>
      <c r="R477" s="144"/>
      <c r="S477" s="144"/>
      <c r="T477" s="144"/>
      <c r="U477" s="144"/>
      <c r="V477" s="144"/>
      <c r="W477" s="144"/>
      <c r="X477" s="144"/>
      <c r="Y477" s="144"/>
      <c r="Z477" s="144"/>
      <c r="AA477" s="144"/>
      <c r="AB477" s="144"/>
      <c r="AC477" s="144"/>
      <c r="AD477" s="144"/>
      <c r="AE477" s="144"/>
      <c r="AF477" s="144"/>
    </row>
    <row r="478" ht="16.5" customHeight="1">
      <c r="A478" s="144"/>
      <c r="B478" s="144"/>
      <c r="C478" s="144"/>
      <c r="D478" s="144"/>
      <c r="E478" s="144"/>
      <c r="F478" s="144"/>
      <c r="G478" s="144"/>
      <c r="H478" s="144"/>
      <c r="I478" s="496"/>
      <c r="J478" s="496"/>
      <c r="K478" s="496"/>
      <c r="L478" s="496"/>
      <c r="M478" s="144"/>
      <c r="N478" s="144"/>
      <c r="O478" s="144"/>
      <c r="P478" s="144"/>
      <c r="Q478" s="144"/>
      <c r="R478" s="144"/>
      <c r="S478" s="144"/>
      <c r="T478" s="144"/>
      <c r="U478" s="144"/>
      <c r="V478" s="144"/>
      <c r="W478" s="144"/>
      <c r="X478" s="144"/>
      <c r="Y478" s="144"/>
      <c r="Z478" s="144"/>
      <c r="AA478" s="144"/>
      <c r="AB478" s="144"/>
      <c r="AC478" s="144"/>
      <c r="AD478" s="144"/>
      <c r="AE478" s="144"/>
      <c r="AF478" s="144"/>
    </row>
    <row r="479" ht="16.5" customHeight="1">
      <c r="A479" s="144"/>
      <c r="B479" s="144"/>
      <c r="C479" s="144"/>
      <c r="D479" s="144"/>
      <c r="E479" s="144"/>
      <c r="F479" s="144"/>
      <c r="G479" s="144"/>
      <c r="H479" s="144"/>
      <c r="I479" s="496"/>
      <c r="J479" s="496"/>
      <c r="K479" s="496"/>
      <c r="L479" s="496"/>
      <c r="M479" s="144"/>
      <c r="N479" s="144"/>
      <c r="O479" s="144"/>
      <c r="P479" s="144"/>
      <c r="Q479" s="144"/>
      <c r="R479" s="144"/>
      <c r="S479" s="144"/>
      <c r="T479" s="144"/>
      <c r="U479" s="144"/>
      <c r="V479" s="144"/>
      <c r="W479" s="144"/>
      <c r="X479" s="144"/>
      <c r="Y479" s="144"/>
      <c r="Z479" s="144"/>
      <c r="AA479" s="144"/>
      <c r="AB479" s="144"/>
      <c r="AC479" s="144"/>
      <c r="AD479" s="144"/>
      <c r="AE479" s="144"/>
      <c r="AF479" s="144"/>
    </row>
    <row r="480" ht="16.5" customHeight="1">
      <c r="A480" s="144"/>
      <c r="B480" s="144"/>
      <c r="C480" s="144"/>
      <c r="D480" s="144"/>
      <c r="E480" s="144"/>
      <c r="F480" s="144"/>
      <c r="G480" s="144"/>
      <c r="H480" s="144"/>
      <c r="I480" s="496"/>
      <c r="J480" s="496"/>
      <c r="K480" s="496"/>
      <c r="L480" s="496"/>
      <c r="M480" s="144"/>
      <c r="N480" s="144"/>
      <c r="O480" s="144"/>
      <c r="P480" s="144"/>
      <c r="Q480" s="144"/>
      <c r="R480" s="144"/>
      <c r="S480" s="144"/>
      <c r="T480" s="144"/>
      <c r="U480" s="144"/>
      <c r="V480" s="144"/>
      <c r="W480" s="144"/>
      <c r="X480" s="144"/>
      <c r="Y480" s="144"/>
      <c r="Z480" s="144"/>
      <c r="AA480" s="144"/>
      <c r="AB480" s="144"/>
      <c r="AC480" s="144"/>
      <c r="AD480" s="144"/>
      <c r="AE480" s="144"/>
      <c r="AF480" s="144"/>
    </row>
    <row r="481" ht="16.5" customHeight="1">
      <c r="A481" s="144"/>
      <c r="B481" s="144"/>
      <c r="C481" s="144"/>
      <c r="D481" s="144"/>
      <c r="E481" s="144"/>
      <c r="F481" s="144"/>
      <c r="G481" s="144"/>
      <c r="H481" s="144"/>
      <c r="I481" s="496"/>
      <c r="J481" s="496"/>
      <c r="K481" s="496"/>
      <c r="L481" s="496"/>
      <c r="M481" s="144"/>
      <c r="N481" s="144"/>
      <c r="O481" s="144"/>
      <c r="P481" s="144"/>
      <c r="Q481" s="144"/>
      <c r="R481" s="144"/>
      <c r="S481" s="144"/>
      <c r="T481" s="144"/>
      <c r="U481" s="144"/>
      <c r="V481" s="144"/>
      <c r="W481" s="144"/>
      <c r="X481" s="144"/>
      <c r="Y481" s="144"/>
      <c r="Z481" s="144"/>
      <c r="AA481" s="144"/>
      <c r="AB481" s="144"/>
      <c r="AC481" s="144"/>
      <c r="AD481" s="144"/>
      <c r="AE481" s="144"/>
      <c r="AF481" s="144"/>
    </row>
    <row r="482" ht="16.5" customHeight="1">
      <c r="A482" s="144"/>
      <c r="B482" s="144"/>
      <c r="C482" s="144"/>
      <c r="D482" s="144"/>
      <c r="E482" s="144"/>
      <c r="F482" s="144"/>
      <c r="G482" s="144"/>
      <c r="H482" s="144"/>
      <c r="I482" s="496"/>
      <c r="J482" s="496"/>
      <c r="K482" s="496"/>
      <c r="L482" s="496"/>
      <c r="M482" s="144"/>
      <c r="N482" s="144"/>
      <c r="O482" s="144"/>
      <c r="P482" s="144"/>
      <c r="Q482" s="144"/>
      <c r="R482" s="144"/>
      <c r="S482" s="144"/>
      <c r="T482" s="144"/>
      <c r="U482" s="144"/>
      <c r="V482" s="144"/>
      <c r="W482" s="144"/>
      <c r="X482" s="144"/>
      <c r="Y482" s="144"/>
      <c r="Z482" s="144"/>
      <c r="AA482" s="144"/>
      <c r="AB482" s="144"/>
      <c r="AC482" s="144"/>
      <c r="AD482" s="144"/>
      <c r="AE482" s="144"/>
      <c r="AF482" s="144"/>
    </row>
    <row r="483" ht="16.5" customHeight="1">
      <c r="A483" s="144"/>
      <c r="B483" s="144"/>
      <c r="C483" s="144"/>
      <c r="D483" s="144"/>
      <c r="E483" s="144"/>
      <c r="F483" s="144"/>
      <c r="G483" s="144"/>
      <c r="H483" s="144"/>
      <c r="I483" s="496"/>
      <c r="J483" s="496"/>
      <c r="K483" s="496"/>
      <c r="L483" s="496"/>
      <c r="M483" s="144"/>
      <c r="N483" s="144"/>
      <c r="O483" s="144"/>
      <c r="P483" s="144"/>
      <c r="Q483" s="144"/>
      <c r="R483" s="144"/>
      <c r="S483" s="144"/>
      <c r="T483" s="144"/>
      <c r="U483" s="144"/>
      <c r="V483" s="144"/>
      <c r="W483" s="144"/>
      <c r="X483" s="144"/>
      <c r="Y483" s="144"/>
      <c r="Z483" s="144"/>
      <c r="AA483" s="144"/>
      <c r="AB483" s="144"/>
      <c r="AC483" s="144"/>
      <c r="AD483" s="144"/>
      <c r="AE483" s="144"/>
      <c r="AF483" s="144"/>
    </row>
    <row r="484" ht="16.5" customHeight="1">
      <c r="A484" s="144"/>
      <c r="B484" s="144"/>
      <c r="C484" s="144"/>
      <c r="D484" s="144"/>
      <c r="E484" s="144"/>
      <c r="F484" s="144"/>
      <c r="G484" s="144"/>
      <c r="H484" s="144"/>
      <c r="I484" s="496"/>
      <c r="J484" s="496"/>
      <c r="K484" s="496"/>
      <c r="L484" s="496"/>
      <c r="M484" s="144"/>
      <c r="N484" s="144"/>
      <c r="O484" s="144"/>
      <c r="P484" s="144"/>
      <c r="Q484" s="144"/>
      <c r="R484" s="144"/>
      <c r="S484" s="144"/>
      <c r="T484" s="144"/>
      <c r="U484" s="144"/>
      <c r="V484" s="144"/>
      <c r="W484" s="144"/>
      <c r="X484" s="144"/>
      <c r="Y484" s="144"/>
      <c r="Z484" s="144"/>
      <c r="AA484" s="144"/>
      <c r="AB484" s="144"/>
      <c r="AC484" s="144"/>
      <c r="AD484" s="144"/>
      <c r="AE484" s="144"/>
      <c r="AF484" s="144"/>
    </row>
    <row r="485" ht="16.5" customHeight="1">
      <c r="A485" s="144"/>
      <c r="B485" s="144"/>
      <c r="C485" s="144"/>
      <c r="D485" s="144"/>
      <c r="E485" s="144"/>
      <c r="F485" s="144"/>
      <c r="G485" s="144"/>
      <c r="H485" s="144"/>
      <c r="I485" s="496"/>
      <c r="J485" s="496"/>
      <c r="K485" s="496"/>
      <c r="L485" s="496"/>
      <c r="M485" s="144"/>
      <c r="N485" s="144"/>
      <c r="O485" s="144"/>
      <c r="P485" s="144"/>
      <c r="Q485" s="144"/>
      <c r="R485" s="144"/>
      <c r="S485" s="144"/>
      <c r="T485" s="144"/>
      <c r="U485" s="144"/>
      <c r="V485" s="144"/>
      <c r="W485" s="144"/>
      <c r="X485" s="144"/>
      <c r="Y485" s="144"/>
      <c r="Z485" s="144"/>
      <c r="AA485" s="144"/>
      <c r="AB485" s="144"/>
      <c r="AC485" s="144"/>
      <c r="AD485" s="144"/>
      <c r="AE485" s="144"/>
      <c r="AF485" s="144"/>
    </row>
    <row r="486" ht="16.5" customHeight="1">
      <c r="A486" s="144"/>
      <c r="B486" s="144"/>
      <c r="C486" s="144"/>
      <c r="D486" s="144"/>
      <c r="E486" s="144"/>
      <c r="F486" s="144"/>
      <c r="G486" s="144"/>
      <c r="H486" s="144"/>
      <c r="I486" s="496"/>
      <c r="J486" s="496"/>
      <c r="K486" s="496"/>
      <c r="L486" s="496"/>
      <c r="M486" s="144"/>
      <c r="N486" s="144"/>
      <c r="O486" s="144"/>
      <c r="P486" s="144"/>
      <c r="Q486" s="144"/>
      <c r="R486" s="144"/>
      <c r="S486" s="144"/>
      <c r="T486" s="144"/>
      <c r="U486" s="144"/>
      <c r="V486" s="144"/>
      <c r="W486" s="144"/>
      <c r="X486" s="144"/>
      <c r="Y486" s="144"/>
      <c r="Z486" s="144"/>
      <c r="AA486" s="144"/>
      <c r="AB486" s="144"/>
      <c r="AC486" s="144"/>
      <c r="AD486" s="144"/>
      <c r="AE486" s="144"/>
      <c r="AF486" s="144"/>
    </row>
    <row r="487" ht="16.5" customHeight="1">
      <c r="A487" s="144"/>
      <c r="B487" s="144"/>
      <c r="C487" s="144"/>
      <c r="D487" s="144"/>
      <c r="E487" s="144"/>
      <c r="F487" s="144"/>
      <c r="G487" s="144"/>
      <c r="H487" s="144"/>
      <c r="I487" s="496"/>
      <c r="J487" s="496"/>
      <c r="K487" s="496"/>
      <c r="L487" s="496"/>
      <c r="M487" s="144"/>
      <c r="N487" s="144"/>
      <c r="O487" s="144"/>
      <c r="P487" s="144"/>
      <c r="Q487" s="144"/>
      <c r="R487" s="144"/>
      <c r="S487" s="144"/>
      <c r="T487" s="144"/>
      <c r="U487" s="144"/>
      <c r="V487" s="144"/>
      <c r="W487" s="144"/>
      <c r="X487" s="144"/>
      <c r="Y487" s="144"/>
      <c r="Z487" s="144"/>
      <c r="AA487" s="144"/>
      <c r="AB487" s="144"/>
      <c r="AC487" s="144"/>
      <c r="AD487" s="144"/>
      <c r="AE487" s="144"/>
      <c r="AF487" s="144"/>
    </row>
    <row r="488" ht="16.5" customHeight="1">
      <c r="A488" s="144"/>
      <c r="B488" s="144"/>
      <c r="C488" s="144"/>
      <c r="D488" s="144"/>
      <c r="E488" s="144"/>
      <c r="F488" s="144"/>
      <c r="G488" s="144"/>
      <c r="H488" s="144"/>
      <c r="I488" s="496"/>
      <c r="J488" s="496"/>
      <c r="K488" s="496"/>
      <c r="L488" s="496"/>
      <c r="M488" s="144"/>
      <c r="N488" s="144"/>
      <c r="O488" s="144"/>
      <c r="P488" s="144"/>
      <c r="Q488" s="144"/>
      <c r="R488" s="144"/>
      <c r="S488" s="144"/>
      <c r="T488" s="144"/>
      <c r="U488" s="144"/>
      <c r="V488" s="144"/>
      <c r="W488" s="144"/>
      <c r="X488" s="144"/>
      <c r="Y488" s="144"/>
      <c r="Z488" s="144"/>
      <c r="AA488" s="144"/>
      <c r="AB488" s="144"/>
      <c r="AC488" s="144"/>
      <c r="AD488" s="144"/>
      <c r="AE488" s="144"/>
      <c r="AF488" s="144"/>
    </row>
    <row r="489" ht="16.5" customHeight="1">
      <c r="A489" s="144"/>
      <c r="B489" s="144"/>
      <c r="C489" s="144"/>
      <c r="D489" s="144"/>
      <c r="E489" s="144"/>
      <c r="F489" s="144"/>
      <c r="G489" s="144"/>
      <c r="H489" s="144"/>
      <c r="I489" s="496"/>
      <c r="J489" s="496"/>
      <c r="K489" s="496"/>
      <c r="L489" s="496"/>
      <c r="M489" s="144"/>
      <c r="N489" s="144"/>
      <c r="O489" s="144"/>
      <c r="P489" s="144"/>
      <c r="Q489" s="144"/>
      <c r="R489" s="144"/>
      <c r="S489" s="144"/>
      <c r="T489" s="144"/>
      <c r="U489" s="144"/>
      <c r="V489" s="144"/>
      <c r="W489" s="144"/>
      <c r="X489" s="144"/>
      <c r="Y489" s="144"/>
      <c r="Z489" s="144"/>
      <c r="AA489" s="144"/>
      <c r="AB489" s="144"/>
      <c r="AC489" s="144"/>
      <c r="AD489" s="144"/>
      <c r="AE489" s="144"/>
      <c r="AF489" s="144"/>
    </row>
    <row r="490" ht="16.5" customHeight="1">
      <c r="A490" s="144"/>
      <c r="B490" s="144"/>
      <c r="C490" s="144"/>
      <c r="D490" s="144"/>
      <c r="E490" s="144"/>
      <c r="F490" s="144"/>
      <c r="G490" s="144"/>
      <c r="H490" s="144"/>
      <c r="I490" s="496"/>
      <c r="J490" s="496"/>
      <c r="K490" s="496"/>
      <c r="L490" s="496"/>
      <c r="M490" s="144"/>
      <c r="N490" s="144"/>
      <c r="O490" s="144"/>
      <c r="P490" s="144"/>
      <c r="Q490" s="144"/>
      <c r="R490" s="144"/>
      <c r="S490" s="144"/>
      <c r="T490" s="144"/>
      <c r="U490" s="144"/>
      <c r="V490" s="144"/>
      <c r="W490" s="144"/>
      <c r="X490" s="144"/>
      <c r="Y490" s="144"/>
      <c r="Z490" s="144"/>
      <c r="AA490" s="144"/>
      <c r="AB490" s="144"/>
      <c r="AC490" s="144"/>
      <c r="AD490" s="144"/>
      <c r="AE490" s="144"/>
      <c r="AF490" s="144"/>
    </row>
    <row r="491" ht="16.5" customHeight="1">
      <c r="A491" s="144"/>
      <c r="B491" s="144"/>
      <c r="C491" s="144"/>
      <c r="D491" s="144"/>
      <c r="E491" s="144"/>
      <c r="F491" s="144"/>
      <c r="G491" s="144"/>
      <c r="H491" s="144"/>
      <c r="I491" s="496"/>
      <c r="J491" s="496"/>
      <c r="K491" s="496"/>
      <c r="L491" s="496"/>
      <c r="M491" s="144"/>
      <c r="N491" s="144"/>
      <c r="O491" s="144"/>
      <c r="P491" s="144"/>
      <c r="Q491" s="144"/>
      <c r="R491" s="144"/>
      <c r="S491" s="144"/>
      <c r="T491" s="144"/>
      <c r="U491" s="144"/>
      <c r="V491" s="144"/>
      <c r="W491" s="144"/>
      <c r="X491" s="144"/>
      <c r="Y491" s="144"/>
      <c r="Z491" s="144"/>
      <c r="AA491" s="144"/>
      <c r="AB491" s="144"/>
      <c r="AC491" s="144"/>
      <c r="AD491" s="144"/>
      <c r="AE491" s="144"/>
      <c r="AF491" s="144"/>
    </row>
    <row r="492" ht="16.5" customHeight="1">
      <c r="A492" s="144"/>
      <c r="B492" s="144"/>
      <c r="C492" s="144"/>
      <c r="D492" s="144"/>
      <c r="E492" s="144"/>
      <c r="F492" s="144"/>
      <c r="G492" s="144"/>
      <c r="H492" s="144"/>
      <c r="I492" s="496"/>
      <c r="J492" s="496"/>
      <c r="K492" s="496"/>
      <c r="L492" s="496"/>
      <c r="M492" s="144"/>
      <c r="N492" s="144"/>
      <c r="O492" s="144"/>
      <c r="P492" s="144"/>
      <c r="Q492" s="144"/>
      <c r="R492" s="144"/>
      <c r="S492" s="144"/>
      <c r="T492" s="144"/>
      <c r="U492" s="144"/>
      <c r="V492" s="144"/>
      <c r="W492" s="144"/>
      <c r="X492" s="144"/>
      <c r="Y492" s="144"/>
      <c r="Z492" s="144"/>
      <c r="AA492" s="144"/>
      <c r="AB492" s="144"/>
      <c r="AC492" s="144"/>
      <c r="AD492" s="144"/>
      <c r="AE492" s="144"/>
      <c r="AF492" s="144"/>
    </row>
    <row r="493" ht="16.5" customHeight="1">
      <c r="A493" s="144"/>
      <c r="B493" s="144"/>
      <c r="C493" s="144"/>
      <c r="D493" s="144"/>
      <c r="E493" s="144"/>
      <c r="F493" s="144"/>
      <c r="G493" s="144"/>
      <c r="H493" s="144"/>
      <c r="I493" s="496"/>
      <c r="J493" s="496"/>
      <c r="K493" s="496"/>
      <c r="L493" s="496"/>
      <c r="M493" s="144"/>
      <c r="N493" s="144"/>
      <c r="O493" s="144"/>
      <c r="P493" s="144"/>
      <c r="Q493" s="144"/>
      <c r="R493" s="144"/>
      <c r="S493" s="144"/>
      <c r="T493" s="144"/>
      <c r="U493" s="144"/>
      <c r="V493" s="144"/>
      <c r="W493" s="144"/>
      <c r="X493" s="144"/>
      <c r="Y493" s="144"/>
      <c r="Z493" s="144"/>
      <c r="AA493" s="144"/>
      <c r="AB493" s="144"/>
      <c r="AC493" s="144"/>
      <c r="AD493" s="144"/>
      <c r="AE493" s="144"/>
      <c r="AF493" s="144"/>
    </row>
    <row r="494" ht="16.5" customHeight="1">
      <c r="A494" s="144"/>
      <c r="B494" s="144"/>
      <c r="C494" s="144"/>
      <c r="D494" s="144"/>
      <c r="E494" s="144"/>
      <c r="F494" s="144"/>
      <c r="G494" s="144"/>
      <c r="H494" s="144"/>
      <c r="I494" s="496"/>
      <c r="J494" s="496"/>
      <c r="K494" s="496"/>
      <c r="L494" s="496"/>
      <c r="M494" s="144"/>
      <c r="N494" s="144"/>
      <c r="O494" s="144"/>
      <c r="P494" s="144"/>
      <c r="Q494" s="144"/>
      <c r="R494" s="144"/>
      <c r="S494" s="144"/>
      <c r="T494" s="144"/>
      <c r="U494" s="144"/>
      <c r="V494" s="144"/>
      <c r="W494" s="144"/>
      <c r="X494" s="144"/>
      <c r="Y494" s="144"/>
      <c r="Z494" s="144"/>
      <c r="AA494" s="144"/>
      <c r="AB494" s="144"/>
      <c r="AC494" s="144"/>
      <c r="AD494" s="144"/>
      <c r="AE494" s="144"/>
      <c r="AF494" s="144"/>
    </row>
    <row r="495" ht="16.5" customHeight="1">
      <c r="A495" s="144"/>
      <c r="B495" s="144"/>
      <c r="C495" s="144"/>
      <c r="D495" s="144"/>
      <c r="E495" s="144"/>
      <c r="F495" s="144"/>
      <c r="G495" s="144"/>
      <c r="H495" s="144"/>
      <c r="I495" s="496"/>
      <c r="J495" s="496"/>
      <c r="K495" s="496"/>
      <c r="L495" s="496"/>
      <c r="M495" s="144"/>
      <c r="N495" s="144"/>
      <c r="O495" s="144"/>
      <c r="P495" s="144"/>
      <c r="Q495" s="144"/>
      <c r="R495" s="144"/>
      <c r="S495" s="144"/>
      <c r="T495" s="144"/>
      <c r="U495" s="144"/>
      <c r="V495" s="144"/>
      <c r="W495" s="144"/>
      <c r="X495" s="144"/>
      <c r="Y495" s="144"/>
      <c r="Z495" s="144"/>
      <c r="AA495" s="144"/>
      <c r="AB495" s="144"/>
      <c r="AC495" s="144"/>
      <c r="AD495" s="144"/>
      <c r="AE495" s="144"/>
      <c r="AF495" s="144"/>
    </row>
    <row r="496" ht="16.5" customHeight="1">
      <c r="A496" s="144"/>
      <c r="B496" s="144"/>
      <c r="C496" s="144"/>
      <c r="D496" s="144"/>
      <c r="E496" s="144"/>
      <c r="F496" s="144"/>
      <c r="G496" s="144"/>
      <c r="H496" s="144"/>
      <c r="I496" s="496"/>
      <c r="J496" s="496"/>
      <c r="K496" s="496"/>
      <c r="L496" s="496"/>
      <c r="M496" s="144"/>
      <c r="N496" s="144"/>
      <c r="O496" s="144"/>
      <c r="P496" s="144"/>
      <c r="Q496" s="144"/>
      <c r="R496" s="144"/>
      <c r="S496" s="144"/>
      <c r="T496" s="144"/>
      <c r="U496" s="144"/>
      <c r="V496" s="144"/>
      <c r="W496" s="144"/>
      <c r="X496" s="144"/>
      <c r="Y496" s="144"/>
      <c r="Z496" s="144"/>
      <c r="AA496" s="144"/>
      <c r="AB496" s="144"/>
      <c r="AC496" s="144"/>
      <c r="AD496" s="144"/>
      <c r="AE496" s="144"/>
      <c r="AF496" s="144"/>
    </row>
    <row r="497" ht="16.5" customHeight="1">
      <c r="A497" s="144"/>
      <c r="B497" s="144"/>
      <c r="C497" s="144"/>
      <c r="D497" s="144"/>
      <c r="E497" s="144"/>
      <c r="F497" s="144"/>
      <c r="G497" s="144"/>
      <c r="H497" s="144"/>
      <c r="I497" s="496"/>
      <c r="J497" s="496"/>
      <c r="K497" s="496"/>
      <c r="L497" s="496"/>
      <c r="M497" s="144"/>
      <c r="N497" s="144"/>
      <c r="O497" s="144"/>
      <c r="P497" s="144"/>
      <c r="Q497" s="144"/>
      <c r="R497" s="144"/>
      <c r="S497" s="144"/>
      <c r="T497" s="144"/>
      <c r="U497" s="144"/>
      <c r="V497" s="144"/>
      <c r="W497" s="144"/>
      <c r="X497" s="144"/>
      <c r="Y497" s="144"/>
      <c r="Z497" s="144"/>
      <c r="AA497" s="144"/>
      <c r="AB497" s="144"/>
      <c r="AC497" s="144"/>
      <c r="AD497" s="144"/>
      <c r="AE497" s="144"/>
      <c r="AF497" s="144"/>
    </row>
    <row r="498" ht="16.5" customHeight="1">
      <c r="A498" s="144"/>
      <c r="B498" s="144"/>
      <c r="C498" s="144"/>
      <c r="D498" s="144"/>
      <c r="E498" s="144"/>
      <c r="F498" s="144"/>
      <c r="G498" s="144"/>
      <c r="H498" s="144"/>
      <c r="I498" s="496"/>
      <c r="J498" s="496"/>
      <c r="K498" s="496"/>
      <c r="L498" s="496"/>
      <c r="M498" s="144"/>
      <c r="N498" s="144"/>
      <c r="O498" s="144"/>
      <c r="P498" s="144"/>
      <c r="Q498" s="144"/>
      <c r="R498" s="144"/>
      <c r="S498" s="144"/>
      <c r="T498" s="144"/>
      <c r="U498" s="144"/>
      <c r="V498" s="144"/>
      <c r="W498" s="144"/>
      <c r="X498" s="144"/>
      <c r="Y498" s="144"/>
      <c r="Z498" s="144"/>
      <c r="AA498" s="144"/>
      <c r="AB498" s="144"/>
      <c r="AC498" s="144"/>
      <c r="AD498" s="144"/>
      <c r="AE498" s="144"/>
      <c r="AF498" s="144"/>
    </row>
    <row r="499" ht="16.5" customHeight="1">
      <c r="A499" s="144"/>
      <c r="B499" s="144"/>
      <c r="C499" s="144"/>
      <c r="D499" s="144"/>
      <c r="E499" s="144"/>
      <c r="F499" s="144"/>
      <c r="G499" s="144"/>
      <c r="H499" s="144"/>
      <c r="I499" s="496"/>
      <c r="J499" s="496"/>
      <c r="K499" s="496"/>
      <c r="L499" s="496"/>
      <c r="M499" s="144"/>
      <c r="N499" s="144"/>
      <c r="O499" s="144"/>
      <c r="P499" s="144"/>
      <c r="Q499" s="144"/>
      <c r="R499" s="144"/>
      <c r="S499" s="144"/>
      <c r="T499" s="144"/>
      <c r="U499" s="144"/>
      <c r="V499" s="144"/>
      <c r="W499" s="144"/>
      <c r="X499" s="144"/>
      <c r="Y499" s="144"/>
      <c r="Z499" s="144"/>
      <c r="AA499" s="144"/>
      <c r="AB499" s="144"/>
      <c r="AC499" s="144"/>
      <c r="AD499" s="144"/>
      <c r="AE499" s="144"/>
      <c r="AF499" s="144"/>
    </row>
    <row r="500" ht="16.5" customHeight="1">
      <c r="A500" s="144"/>
      <c r="B500" s="144"/>
      <c r="C500" s="144"/>
      <c r="D500" s="144"/>
      <c r="E500" s="144"/>
      <c r="F500" s="144"/>
      <c r="G500" s="144"/>
      <c r="H500" s="144"/>
      <c r="I500" s="496"/>
      <c r="J500" s="496"/>
      <c r="K500" s="496"/>
      <c r="L500" s="496"/>
      <c r="M500" s="144"/>
      <c r="N500" s="144"/>
      <c r="O500" s="144"/>
      <c r="P500" s="144"/>
      <c r="Q500" s="144"/>
      <c r="R500" s="144"/>
      <c r="S500" s="144"/>
      <c r="T500" s="144"/>
      <c r="U500" s="144"/>
      <c r="V500" s="144"/>
      <c r="W500" s="144"/>
      <c r="X500" s="144"/>
      <c r="Y500" s="144"/>
      <c r="Z500" s="144"/>
      <c r="AA500" s="144"/>
      <c r="AB500" s="144"/>
      <c r="AC500" s="144"/>
      <c r="AD500" s="144"/>
      <c r="AE500" s="144"/>
      <c r="AF500" s="144"/>
    </row>
    <row r="501" ht="16.5" customHeight="1">
      <c r="A501" s="144"/>
      <c r="B501" s="144"/>
      <c r="C501" s="144"/>
      <c r="D501" s="144"/>
      <c r="E501" s="144"/>
      <c r="F501" s="144"/>
      <c r="G501" s="144"/>
      <c r="H501" s="144"/>
      <c r="I501" s="496"/>
      <c r="J501" s="496"/>
      <c r="K501" s="496"/>
      <c r="L501" s="496"/>
      <c r="M501" s="144"/>
      <c r="N501" s="144"/>
      <c r="O501" s="144"/>
      <c r="P501" s="144"/>
      <c r="Q501" s="144"/>
      <c r="R501" s="144"/>
      <c r="S501" s="144"/>
      <c r="T501" s="144"/>
      <c r="U501" s="144"/>
      <c r="V501" s="144"/>
      <c r="W501" s="144"/>
      <c r="X501" s="144"/>
      <c r="Y501" s="144"/>
      <c r="Z501" s="144"/>
      <c r="AA501" s="144"/>
      <c r="AB501" s="144"/>
      <c r="AC501" s="144"/>
      <c r="AD501" s="144"/>
      <c r="AE501" s="144"/>
      <c r="AF501" s="144"/>
    </row>
    <row r="502" ht="16.5" customHeight="1">
      <c r="A502" s="144"/>
      <c r="B502" s="144"/>
      <c r="C502" s="144"/>
      <c r="D502" s="144"/>
      <c r="E502" s="144"/>
      <c r="F502" s="144"/>
      <c r="G502" s="144"/>
      <c r="H502" s="144"/>
      <c r="I502" s="496"/>
      <c r="J502" s="496"/>
      <c r="K502" s="496"/>
      <c r="L502" s="496"/>
      <c r="M502" s="144"/>
      <c r="N502" s="144"/>
      <c r="O502" s="144"/>
      <c r="P502" s="144"/>
      <c r="Q502" s="144"/>
      <c r="R502" s="144"/>
      <c r="S502" s="144"/>
      <c r="T502" s="144"/>
      <c r="U502" s="144"/>
      <c r="V502" s="144"/>
      <c r="W502" s="144"/>
      <c r="X502" s="144"/>
      <c r="Y502" s="144"/>
      <c r="Z502" s="144"/>
      <c r="AA502" s="144"/>
      <c r="AB502" s="144"/>
      <c r="AC502" s="144"/>
      <c r="AD502" s="144"/>
      <c r="AE502" s="144"/>
      <c r="AF502" s="144"/>
    </row>
    <row r="503" ht="16.5" customHeight="1">
      <c r="A503" s="144"/>
      <c r="B503" s="144"/>
      <c r="C503" s="144"/>
      <c r="D503" s="144"/>
      <c r="E503" s="144"/>
      <c r="F503" s="144"/>
      <c r="G503" s="144"/>
      <c r="H503" s="144"/>
      <c r="I503" s="496"/>
      <c r="J503" s="496"/>
      <c r="K503" s="496"/>
      <c r="L503" s="496"/>
      <c r="M503" s="144"/>
      <c r="N503" s="144"/>
      <c r="O503" s="144"/>
      <c r="P503" s="144"/>
      <c r="Q503" s="144"/>
      <c r="R503" s="144"/>
      <c r="S503" s="144"/>
      <c r="T503" s="144"/>
      <c r="U503" s="144"/>
      <c r="V503" s="144"/>
      <c r="W503" s="144"/>
      <c r="X503" s="144"/>
      <c r="Y503" s="144"/>
      <c r="Z503" s="144"/>
      <c r="AA503" s="144"/>
      <c r="AB503" s="144"/>
      <c r="AC503" s="144"/>
      <c r="AD503" s="144"/>
      <c r="AE503" s="144"/>
      <c r="AF503" s="144"/>
    </row>
    <row r="504" ht="16.5" customHeight="1">
      <c r="A504" s="144"/>
      <c r="B504" s="144"/>
      <c r="C504" s="144"/>
      <c r="D504" s="144"/>
      <c r="E504" s="144"/>
      <c r="F504" s="144"/>
      <c r="G504" s="144"/>
      <c r="H504" s="144"/>
      <c r="I504" s="496"/>
      <c r="J504" s="496"/>
      <c r="K504" s="496"/>
      <c r="L504" s="496"/>
      <c r="M504" s="144"/>
      <c r="N504" s="144"/>
      <c r="O504" s="144"/>
      <c r="P504" s="144"/>
      <c r="Q504" s="144"/>
      <c r="R504" s="144"/>
      <c r="S504" s="144"/>
      <c r="T504" s="144"/>
      <c r="U504" s="144"/>
      <c r="V504" s="144"/>
      <c r="W504" s="144"/>
      <c r="X504" s="144"/>
      <c r="Y504" s="144"/>
      <c r="Z504" s="144"/>
      <c r="AA504" s="144"/>
      <c r="AB504" s="144"/>
      <c r="AC504" s="144"/>
      <c r="AD504" s="144"/>
      <c r="AE504" s="144"/>
      <c r="AF504" s="144"/>
    </row>
    <row r="505" ht="16.5" customHeight="1">
      <c r="A505" s="144"/>
      <c r="B505" s="144"/>
      <c r="C505" s="144"/>
      <c r="D505" s="144"/>
      <c r="E505" s="144"/>
      <c r="F505" s="144"/>
      <c r="G505" s="144"/>
      <c r="H505" s="144"/>
      <c r="I505" s="496"/>
      <c r="J505" s="496"/>
      <c r="K505" s="496"/>
      <c r="L505" s="496"/>
      <c r="M505" s="144"/>
      <c r="N505" s="144"/>
      <c r="O505" s="144"/>
      <c r="P505" s="144"/>
      <c r="Q505" s="144"/>
      <c r="R505" s="144"/>
      <c r="S505" s="144"/>
      <c r="T505" s="144"/>
      <c r="U505" s="144"/>
      <c r="V505" s="144"/>
      <c r="W505" s="144"/>
      <c r="X505" s="144"/>
      <c r="Y505" s="144"/>
      <c r="Z505" s="144"/>
      <c r="AA505" s="144"/>
      <c r="AB505" s="144"/>
      <c r="AC505" s="144"/>
      <c r="AD505" s="144"/>
      <c r="AE505" s="144"/>
      <c r="AF505" s="144"/>
    </row>
    <row r="506" ht="16.5" customHeight="1">
      <c r="A506" s="144"/>
      <c r="B506" s="144"/>
      <c r="C506" s="144"/>
      <c r="D506" s="144"/>
      <c r="E506" s="144"/>
      <c r="F506" s="144"/>
      <c r="G506" s="144"/>
      <c r="H506" s="144"/>
      <c r="I506" s="496"/>
      <c r="J506" s="496"/>
      <c r="K506" s="496"/>
      <c r="L506" s="496"/>
      <c r="M506" s="144"/>
      <c r="N506" s="144"/>
      <c r="O506" s="144"/>
      <c r="P506" s="144"/>
      <c r="Q506" s="144"/>
      <c r="R506" s="144"/>
      <c r="S506" s="144"/>
      <c r="T506" s="144"/>
      <c r="U506" s="144"/>
      <c r="V506" s="144"/>
      <c r="W506" s="144"/>
      <c r="X506" s="144"/>
      <c r="Y506" s="144"/>
      <c r="Z506" s="144"/>
      <c r="AA506" s="144"/>
      <c r="AB506" s="144"/>
      <c r="AC506" s="144"/>
      <c r="AD506" s="144"/>
      <c r="AE506" s="144"/>
      <c r="AF506" s="144"/>
    </row>
    <row r="507" ht="16.5" customHeight="1">
      <c r="A507" s="144"/>
      <c r="B507" s="144"/>
      <c r="C507" s="144"/>
      <c r="D507" s="144"/>
      <c r="E507" s="144"/>
      <c r="F507" s="144"/>
      <c r="G507" s="144"/>
      <c r="H507" s="144"/>
      <c r="I507" s="496"/>
      <c r="J507" s="496"/>
      <c r="K507" s="496"/>
      <c r="L507" s="496"/>
      <c r="M507" s="144"/>
      <c r="N507" s="144"/>
      <c r="O507" s="144"/>
      <c r="P507" s="144"/>
      <c r="Q507" s="144"/>
      <c r="R507" s="144"/>
      <c r="S507" s="144"/>
      <c r="T507" s="144"/>
      <c r="U507" s="144"/>
      <c r="V507" s="144"/>
      <c r="W507" s="144"/>
      <c r="X507" s="144"/>
      <c r="Y507" s="144"/>
      <c r="Z507" s="144"/>
      <c r="AA507" s="144"/>
      <c r="AB507" s="144"/>
      <c r="AC507" s="144"/>
      <c r="AD507" s="144"/>
      <c r="AE507" s="144"/>
      <c r="AF507" s="144"/>
    </row>
    <row r="508" ht="16.5" customHeight="1">
      <c r="A508" s="144"/>
      <c r="B508" s="144"/>
      <c r="C508" s="144"/>
      <c r="D508" s="144"/>
      <c r="E508" s="144"/>
      <c r="F508" s="144"/>
      <c r="G508" s="144"/>
      <c r="H508" s="144"/>
      <c r="I508" s="496"/>
      <c r="J508" s="496"/>
      <c r="K508" s="496"/>
      <c r="L508" s="496"/>
      <c r="M508" s="144"/>
      <c r="N508" s="144"/>
      <c r="O508" s="144"/>
      <c r="P508" s="144"/>
      <c r="Q508" s="144"/>
      <c r="R508" s="144"/>
      <c r="S508" s="144"/>
      <c r="T508" s="144"/>
      <c r="U508" s="144"/>
      <c r="V508" s="144"/>
      <c r="W508" s="144"/>
      <c r="X508" s="144"/>
      <c r="Y508" s="144"/>
      <c r="Z508" s="144"/>
      <c r="AA508" s="144"/>
      <c r="AB508" s="144"/>
      <c r="AC508" s="144"/>
      <c r="AD508" s="144"/>
      <c r="AE508" s="144"/>
      <c r="AF508" s="144"/>
    </row>
    <row r="509" ht="16.5" customHeight="1">
      <c r="A509" s="144"/>
      <c r="B509" s="144"/>
      <c r="C509" s="144"/>
      <c r="D509" s="144"/>
      <c r="E509" s="144"/>
      <c r="F509" s="144"/>
      <c r="G509" s="144"/>
      <c r="H509" s="144"/>
      <c r="I509" s="496"/>
      <c r="J509" s="496"/>
      <c r="K509" s="496"/>
      <c r="L509" s="496"/>
      <c r="M509" s="144"/>
      <c r="N509" s="144"/>
      <c r="O509" s="144"/>
      <c r="P509" s="144"/>
      <c r="Q509" s="144"/>
      <c r="R509" s="144"/>
      <c r="S509" s="144"/>
      <c r="T509" s="144"/>
      <c r="U509" s="144"/>
      <c r="V509" s="144"/>
      <c r="W509" s="144"/>
      <c r="X509" s="144"/>
      <c r="Y509" s="144"/>
      <c r="Z509" s="144"/>
      <c r="AA509" s="144"/>
      <c r="AB509" s="144"/>
      <c r="AC509" s="144"/>
      <c r="AD509" s="144"/>
      <c r="AE509" s="144"/>
      <c r="AF509" s="144"/>
    </row>
    <row r="510" ht="16.5" customHeight="1">
      <c r="A510" s="144"/>
      <c r="B510" s="144"/>
      <c r="C510" s="144"/>
      <c r="D510" s="144"/>
      <c r="E510" s="144"/>
      <c r="F510" s="144"/>
      <c r="G510" s="144"/>
      <c r="H510" s="144"/>
      <c r="I510" s="496"/>
      <c r="J510" s="496"/>
      <c r="K510" s="496"/>
      <c r="L510" s="496"/>
      <c r="M510" s="144"/>
      <c r="N510" s="144"/>
      <c r="O510" s="144"/>
      <c r="P510" s="144"/>
      <c r="Q510" s="144"/>
      <c r="R510" s="144"/>
      <c r="S510" s="144"/>
      <c r="T510" s="144"/>
      <c r="U510" s="144"/>
      <c r="V510" s="144"/>
      <c r="W510" s="144"/>
      <c r="X510" s="144"/>
      <c r="Y510" s="144"/>
      <c r="Z510" s="144"/>
      <c r="AA510" s="144"/>
      <c r="AB510" s="144"/>
      <c r="AC510" s="144"/>
      <c r="AD510" s="144"/>
      <c r="AE510" s="144"/>
      <c r="AF510" s="144"/>
    </row>
    <row r="511" ht="16.5" customHeight="1">
      <c r="A511" s="144"/>
      <c r="B511" s="144"/>
      <c r="C511" s="144"/>
      <c r="D511" s="144"/>
      <c r="E511" s="144"/>
      <c r="F511" s="144"/>
      <c r="G511" s="144"/>
      <c r="H511" s="144"/>
      <c r="I511" s="496"/>
      <c r="J511" s="496"/>
      <c r="K511" s="496"/>
      <c r="L511" s="496"/>
      <c r="M511" s="144"/>
      <c r="N511" s="144"/>
      <c r="O511" s="144"/>
      <c r="P511" s="144"/>
      <c r="Q511" s="144"/>
      <c r="R511" s="144"/>
      <c r="S511" s="144"/>
      <c r="T511" s="144"/>
      <c r="U511" s="144"/>
      <c r="V511" s="144"/>
      <c r="W511" s="144"/>
      <c r="X511" s="144"/>
      <c r="Y511" s="144"/>
      <c r="Z511" s="144"/>
      <c r="AA511" s="144"/>
      <c r="AB511" s="144"/>
      <c r="AC511" s="144"/>
      <c r="AD511" s="144"/>
      <c r="AE511" s="144"/>
      <c r="AF511" s="144"/>
    </row>
    <row r="512" ht="16.5" customHeight="1">
      <c r="A512" s="144"/>
      <c r="B512" s="144"/>
      <c r="C512" s="144"/>
      <c r="D512" s="144"/>
      <c r="E512" s="144"/>
      <c r="F512" s="144"/>
      <c r="G512" s="144"/>
      <c r="H512" s="144"/>
      <c r="I512" s="496"/>
      <c r="J512" s="496"/>
      <c r="K512" s="496"/>
      <c r="L512" s="496"/>
      <c r="M512" s="144"/>
      <c r="N512" s="144"/>
      <c r="O512" s="144"/>
      <c r="P512" s="144"/>
      <c r="Q512" s="144"/>
      <c r="R512" s="144"/>
      <c r="S512" s="144"/>
      <c r="T512" s="144"/>
      <c r="U512" s="144"/>
      <c r="V512" s="144"/>
      <c r="W512" s="144"/>
      <c r="X512" s="144"/>
      <c r="Y512" s="144"/>
      <c r="Z512" s="144"/>
      <c r="AA512" s="144"/>
      <c r="AB512" s="144"/>
      <c r="AC512" s="144"/>
      <c r="AD512" s="144"/>
      <c r="AE512" s="144"/>
      <c r="AF512" s="144"/>
    </row>
    <row r="513" ht="16.5" customHeight="1">
      <c r="A513" s="144"/>
      <c r="B513" s="144"/>
      <c r="C513" s="144"/>
      <c r="D513" s="144"/>
      <c r="E513" s="144"/>
      <c r="F513" s="144"/>
      <c r="G513" s="144"/>
      <c r="H513" s="144"/>
      <c r="I513" s="496"/>
      <c r="J513" s="496"/>
      <c r="K513" s="496"/>
      <c r="L513" s="496"/>
      <c r="M513" s="144"/>
      <c r="N513" s="144"/>
      <c r="O513" s="144"/>
      <c r="P513" s="144"/>
      <c r="Q513" s="144"/>
      <c r="R513" s="144"/>
      <c r="S513" s="144"/>
      <c r="T513" s="144"/>
      <c r="U513" s="144"/>
      <c r="V513" s="144"/>
      <c r="W513" s="144"/>
      <c r="X513" s="144"/>
      <c r="Y513" s="144"/>
      <c r="Z513" s="144"/>
      <c r="AA513" s="144"/>
      <c r="AB513" s="144"/>
      <c r="AC513" s="144"/>
      <c r="AD513" s="144"/>
      <c r="AE513" s="144"/>
      <c r="AF513" s="144"/>
    </row>
    <row r="514" ht="16.5" customHeight="1">
      <c r="A514" s="144"/>
      <c r="B514" s="144"/>
      <c r="C514" s="144"/>
      <c r="D514" s="144"/>
      <c r="E514" s="144"/>
      <c r="F514" s="144"/>
      <c r="G514" s="144"/>
      <c r="H514" s="144"/>
      <c r="I514" s="496"/>
      <c r="J514" s="496"/>
      <c r="K514" s="496"/>
      <c r="L514" s="496"/>
      <c r="M514" s="144"/>
      <c r="N514" s="144"/>
      <c r="O514" s="144"/>
      <c r="P514" s="144"/>
      <c r="Q514" s="144"/>
      <c r="R514" s="144"/>
      <c r="S514" s="144"/>
      <c r="T514" s="144"/>
      <c r="U514" s="144"/>
      <c r="V514" s="144"/>
      <c r="W514" s="144"/>
      <c r="X514" s="144"/>
      <c r="Y514" s="144"/>
      <c r="Z514" s="144"/>
      <c r="AA514" s="144"/>
      <c r="AB514" s="144"/>
      <c r="AC514" s="144"/>
      <c r="AD514" s="144"/>
      <c r="AE514" s="144"/>
      <c r="AF514" s="144"/>
    </row>
    <row r="515" ht="16.5" customHeight="1">
      <c r="A515" s="144"/>
      <c r="B515" s="144"/>
      <c r="C515" s="144"/>
      <c r="D515" s="144"/>
      <c r="E515" s="144"/>
      <c r="F515" s="144"/>
      <c r="G515" s="144"/>
      <c r="H515" s="144"/>
      <c r="I515" s="496"/>
      <c r="J515" s="496"/>
      <c r="K515" s="496"/>
      <c r="L515" s="496"/>
      <c r="M515" s="144"/>
      <c r="N515" s="144"/>
      <c r="O515" s="144"/>
      <c r="P515" s="144"/>
      <c r="Q515" s="144"/>
      <c r="R515" s="144"/>
      <c r="S515" s="144"/>
      <c r="T515" s="144"/>
      <c r="U515" s="144"/>
      <c r="V515" s="144"/>
      <c r="W515" s="144"/>
      <c r="X515" s="144"/>
      <c r="Y515" s="144"/>
      <c r="Z515" s="144"/>
      <c r="AA515" s="144"/>
      <c r="AB515" s="144"/>
      <c r="AC515" s="144"/>
      <c r="AD515" s="144"/>
      <c r="AE515" s="144"/>
      <c r="AF515" s="144"/>
    </row>
    <row r="516" ht="16.5" customHeight="1">
      <c r="A516" s="144"/>
      <c r="B516" s="144"/>
      <c r="C516" s="144"/>
      <c r="D516" s="144"/>
      <c r="E516" s="144"/>
      <c r="F516" s="144"/>
      <c r="G516" s="144"/>
      <c r="H516" s="144"/>
      <c r="I516" s="496"/>
      <c r="J516" s="496"/>
      <c r="K516" s="496"/>
      <c r="L516" s="496"/>
      <c r="M516" s="144"/>
      <c r="N516" s="144"/>
      <c r="O516" s="144"/>
      <c r="P516" s="144"/>
      <c r="Q516" s="144"/>
      <c r="R516" s="144"/>
      <c r="S516" s="144"/>
      <c r="T516" s="144"/>
      <c r="U516" s="144"/>
      <c r="V516" s="144"/>
      <c r="W516" s="144"/>
      <c r="X516" s="144"/>
      <c r="Y516" s="144"/>
      <c r="Z516" s="144"/>
      <c r="AA516" s="144"/>
      <c r="AB516" s="144"/>
      <c r="AC516" s="144"/>
      <c r="AD516" s="144"/>
      <c r="AE516" s="144"/>
      <c r="AF516" s="144"/>
    </row>
    <row r="517" ht="16.5" customHeight="1">
      <c r="A517" s="144"/>
      <c r="B517" s="144"/>
      <c r="C517" s="144"/>
      <c r="D517" s="144"/>
      <c r="E517" s="144"/>
      <c r="F517" s="144"/>
      <c r="G517" s="144"/>
      <c r="H517" s="144"/>
      <c r="I517" s="496"/>
      <c r="J517" s="496"/>
      <c r="K517" s="496"/>
      <c r="L517" s="496"/>
      <c r="M517" s="144"/>
      <c r="N517" s="144"/>
      <c r="O517" s="144"/>
      <c r="P517" s="144"/>
      <c r="Q517" s="144"/>
      <c r="R517" s="144"/>
      <c r="S517" s="144"/>
      <c r="T517" s="144"/>
      <c r="U517" s="144"/>
      <c r="V517" s="144"/>
      <c r="W517" s="144"/>
      <c r="X517" s="144"/>
      <c r="Y517" s="144"/>
      <c r="Z517" s="144"/>
      <c r="AA517" s="144"/>
      <c r="AB517" s="144"/>
      <c r="AC517" s="144"/>
      <c r="AD517" s="144"/>
      <c r="AE517" s="144"/>
      <c r="AF517" s="144"/>
    </row>
    <row r="518" ht="16.5" customHeight="1">
      <c r="A518" s="144"/>
      <c r="B518" s="144"/>
      <c r="C518" s="144"/>
      <c r="D518" s="144"/>
      <c r="E518" s="144"/>
      <c r="F518" s="144"/>
      <c r="G518" s="144"/>
      <c r="H518" s="144"/>
      <c r="I518" s="496"/>
      <c r="J518" s="496"/>
      <c r="K518" s="496"/>
      <c r="L518" s="496"/>
      <c r="M518" s="144"/>
      <c r="N518" s="144"/>
      <c r="O518" s="144"/>
      <c r="P518" s="144"/>
      <c r="Q518" s="144"/>
      <c r="R518" s="144"/>
      <c r="S518" s="144"/>
      <c r="T518" s="144"/>
      <c r="U518" s="144"/>
      <c r="V518" s="144"/>
      <c r="W518" s="144"/>
      <c r="X518" s="144"/>
      <c r="Y518" s="144"/>
      <c r="Z518" s="144"/>
      <c r="AA518" s="144"/>
      <c r="AB518" s="144"/>
      <c r="AC518" s="144"/>
      <c r="AD518" s="144"/>
      <c r="AE518" s="144"/>
      <c r="AF518" s="144"/>
    </row>
    <row r="519" ht="16.5" customHeight="1">
      <c r="A519" s="144"/>
      <c r="B519" s="144"/>
      <c r="C519" s="144"/>
      <c r="D519" s="144"/>
      <c r="E519" s="144"/>
      <c r="F519" s="144"/>
      <c r="G519" s="144"/>
      <c r="H519" s="144"/>
      <c r="I519" s="496"/>
      <c r="J519" s="496"/>
      <c r="K519" s="496"/>
      <c r="L519" s="496"/>
      <c r="M519" s="144"/>
      <c r="N519" s="144"/>
      <c r="O519" s="144"/>
      <c r="P519" s="144"/>
      <c r="Q519" s="144"/>
      <c r="R519" s="144"/>
      <c r="S519" s="144"/>
      <c r="T519" s="144"/>
      <c r="U519" s="144"/>
      <c r="V519" s="144"/>
      <c r="W519" s="144"/>
      <c r="X519" s="144"/>
      <c r="Y519" s="144"/>
      <c r="Z519" s="144"/>
      <c r="AA519" s="144"/>
      <c r="AB519" s="144"/>
      <c r="AC519" s="144"/>
      <c r="AD519" s="144"/>
      <c r="AE519" s="144"/>
      <c r="AF519" s="144"/>
    </row>
    <row r="520" ht="16.5" customHeight="1">
      <c r="A520" s="144"/>
      <c r="B520" s="144"/>
      <c r="C520" s="144"/>
      <c r="D520" s="144"/>
      <c r="E520" s="144"/>
      <c r="F520" s="144"/>
      <c r="G520" s="144"/>
      <c r="H520" s="144"/>
      <c r="I520" s="496"/>
      <c r="J520" s="496"/>
      <c r="K520" s="496"/>
      <c r="L520" s="496"/>
      <c r="M520" s="144"/>
      <c r="N520" s="144"/>
      <c r="O520" s="144"/>
      <c r="P520" s="144"/>
      <c r="Q520" s="144"/>
      <c r="R520" s="144"/>
      <c r="S520" s="144"/>
      <c r="T520" s="144"/>
      <c r="U520" s="144"/>
      <c r="V520" s="144"/>
      <c r="W520" s="144"/>
      <c r="X520" s="144"/>
      <c r="Y520" s="144"/>
      <c r="Z520" s="144"/>
      <c r="AA520" s="144"/>
      <c r="AB520" s="144"/>
      <c r="AC520" s="144"/>
      <c r="AD520" s="144"/>
      <c r="AE520" s="144"/>
      <c r="AF520" s="144"/>
    </row>
    <row r="521" ht="16.5" customHeight="1">
      <c r="A521" s="144"/>
      <c r="B521" s="144"/>
      <c r="C521" s="144"/>
      <c r="D521" s="144"/>
      <c r="E521" s="144"/>
      <c r="F521" s="144"/>
      <c r="G521" s="144"/>
      <c r="H521" s="144"/>
      <c r="I521" s="496"/>
      <c r="J521" s="496"/>
      <c r="K521" s="496"/>
      <c r="L521" s="496"/>
      <c r="M521" s="144"/>
      <c r="N521" s="144"/>
      <c r="O521" s="144"/>
      <c r="P521" s="144"/>
      <c r="Q521" s="144"/>
      <c r="R521" s="144"/>
      <c r="S521" s="144"/>
      <c r="T521" s="144"/>
      <c r="U521" s="144"/>
      <c r="V521" s="144"/>
      <c r="W521" s="144"/>
      <c r="X521" s="144"/>
      <c r="Y521" s="144"/>
      <c r="Z521" s="144"/>
      <c r="AA521" s="144"/>
      <c r="AB521" s="144"/>
      <c r="AC521" s="144"/>
      <c r="AD521" s="144"/>
      <c r="AE521" s="144"/>
      <c r="AF521" s="144"/>
    </row>
    <row r="522" ht="16.5" customHeight="1">
      <c r="A522" s="144"/>
      <c r="B522" s="144"/>
      <c r="C522" s="144"/>
      <c r="D522" s="144"/>
      <c r="E522" s="144"/>
      <c r="F522" s="144"/>
      <c r="G522" s="144"/>
      <c r="H522" s="144"/>
      <c r="I522" s="496"/>
      <c r="J522" s="496"/>
      <c r="K522" s="496"/>
      <c r="L522" s="496"/>
      <c r="M522" s="144"/>
      <c r="N522" s="144"/>
      <c r="O522" s="144"/>
      <c r="P522" s="144"/>
      <c r="Q522" s="144"/>
      <c r="R522" s="144"/>
      <c r="S522" s="144"/>
      <c r="T522" s="144"/>
      <c r="U522" s="144"/>
      <c r="V522" s="144"/>
      <c r="W522" s="144"/>
      <c r="X522" s="144"/>
      <c r="Y522" s="144"/>
      <c r="Z522" s="144"/>
      <c r="AA522" s="144"/>
      <c r="AB522" s="144"/>
      <c r="AC522" s="144"/>
      <c r="AD522" s="144"/>
      <c r="AE522" s="144"/>
      <c r="AF522" s="144"/>
    </row>
    <row r="523" ht="16.5" customHeight="1">
      <c r="A523" s="144"/>
      <c r="B523" s="144"/>
      <c r="C523" s="144"/>
      <c r="D523" s="144"/>
      <c r="E523" s="144"/>
      <c r="F523" s="144"/>
      <c r="G523" s="144"/>
      <c r="H523" s="144"/>
      <c r="I523" s="496"/>
      <c r="J523" s="496"/>
      <c r="K523" s="496"/>
      <c r="L523" s="496"/>
      <c r="M523" s="144"/>
      <c r="N523" s="144"/>
      <c r="O523" s="144"/>
      <c r="P523" s="144"/>
      <c r="Q523" s="144"/>
      <c r="R523" s="144"/>
      <c r="S523" s="144"/>
      <c r="T523" s="144"/>
      <c r="U523" s="144"/>
      <c r="V523" s="144"/>
      <c r="W523" s="144"/>
      <c r="X523" s="144"/>
      <c r="Y523" s="144"/>
      <c r="Z523" s="144"/>
      <c r="AA523" s="144"/>
      <c r="AB523" s="144"/>
      <c r="AC523" s="144"/>
      <c r="AD523" s="144"/>
      <c r="AE523" s="144"/>
      <c r="AF523" s="144"/>
    </row>
    <row r="524" ht="16.5" customHeight="1">
      <c r="A524" s="144"/>
      <c r="B524" s="144"/>
      <c r="C524" s="144"/>
      <c r="D524" s="144"/>
      <c r="E524" s="144"/>
      <c r="F524" s="144"/>
      <c r="G524" s="144"/>
      <c r="H524" s="144"/>
      <c r="I524" s="496"/>
      <c r="J524" s="496"/>
      <c r="K524" s="496"/>
      <c r="L524" s="496"/>
      <c r="M524" s="144"/>
      <c r="N524" s="144"/>
      <c r="O524" s="144"/>
      <c r="P524" s="144"/>
      <c r="Q524" s="144"/>
      <c r="R524" s="144"/>
      <c r="S524" s="144"/>
      <c r="T524" s="144"/>
      <c r="U524" s="144"/>
      <c r="V524" s="144"/>
      <c r="W524" s="144"/>
      <c r="X524" s="144"/>
      <c r="Y524" s="144"/>
      <c r="Z524" s="144"/>
      <c r="AA524" s="144"/>
      <c r="AB524" s="144"/>
      <c r="AC524" s="144"/>
      <c r="AD524" s="144"/>
      <c r="AE524" s="144"/>
      <c r="AF524" s="144"/>
    </row>
    <row r="525" ht="16.5" customHeight="1">
      <c r="A525" s="144"/>
      <c r="B525" s="144"/>
      <c r="C525" s="144"/>
      <c r="D525" s="144"/>
      <c r="E525" s="144"/>
      <c r="F525" s="144"/>
      <c r="G525" s="144"/>
      <c r="H525" s="144"/>
      <c r="I525" s="496"/>
      <c r="J525" s="496"/>
      <c r="K525" s="496"/>
      <c r="L525" s="496"/>
      <c r="M525" s="144"/>
      <c r="N525" s="144"/>
      <c r="O525" s="144"/>
      <c r="P525" s="144"/>
      <c r="Q525" s="144"/>
      <c r="R525" s="144"/>
      <c r="S525" s="144"/>
      <c r="T525" s="144"/>
      <c r="U525" s="144"/>
      <c r="V525" s="144"/>
      <c r="W525" s="144"/>
      <c r="X525" s="144"/>
      <c r="Y525" s="144"/>
      <c r="Z525" s="144"/>
      <c r="AA525" s="144"/>
      <c r="AB525" s="144"/>
      <c r="AC525" s="144"/>
      <c r="AD525" s="144"/>
      <c r="AE525" s="144"/>
      <c r="AF525" s="144"/>
    </row>
    <row r="526" ht="16.5" customHeight="1">
      <c r="A526" s="144"/>
      <c r="B526" s="144"/>
      <c r="C526" s="144"/>
      <c r="D526" s="144"/>
      <c r="E526" s="144"/>
      <c r="F526" s="144"/>
      <c r="G526" s="144"/>
      <c r="H526" s="144"/>
      <c r="I526" s="496"/>
      <c r="J526" s="496"/>
      <c r="K526" s="496"/>
      <c r="L526" s="496"/>
      <c r="M526" s="144"/>
      <c r="N526" s="144"/>
      <c r="O526" s="144"/>
      <c r="P526" s="144"/>
      <c r="Q526" s="144"/>
      <c r="R526" s="144"/>
      <c r="S526" s="144"/>
      <c r="T526" s="144"/>
      <c r="U526" s="144"/>
      <c r="V526" s="144"/>
      <c r="W526" s="144"/>
      <c r="X526" s="144"/>
      <c r="Y526" s="144"/>
      <c r="Z526" s="144"/>
      <c r="AA526" s="144"/>
      <c r="AB526" s="144"/>
      <c r="AC526" s="144"/>
      <c r="AD526" s="144"/>
      <c r="AE526" s="144"/>
      <c r="AF526" s="144"/>
    </row>
    <row r="527" ht="16.5" customHeight="1">
      <c r="A527" s="144"/>
      <c r="B527" s="144"/>
      <c r="C527" s="144"/>
      <c r="D527" s="144"/>
      <c r="E527" s="144"/>
      <c r="F527" s="144"/>
      <c r="G527" s="144"/>
      <c r="H527" s="144"/>
      <c r="I527" s="496"/>
      <c r="J527" s="496"/>
      <c r="K527" s="496"/>
      <c r="L527" s="496"/>
      <c r="M527" s="144"/>
      <c r="N527" s="144"/>
      <c r="O527" s="144"/>
      <c r="P527" s="144"/>
      <c r="Q527" s="144"/>
      <c r="R527" s="144"/>
      <c r="S527" s="144"/>
      <c r="T527" s="144"/>
      <c r="U527" s="144"/>
      <c r="V527" s="144"/>
      <c r="W527" s="144"/>
      <c r="X527" s="144"/>
      <c r="Y527" s="144"/>
      <c r="Z527" s="144"/>
      <c r="AA527" s="144"/>
      <c r="AB527" s="144"/>
      <c r="AC527" s="144"/>
      <c r="AD527" s="144"/>
      <c r="AE527" s="144"/>
      <c r="AF527" s="144"/>
    </row>
    <row r="528" ht="16.5" customHeight="1">
      <c r="A528" s="144"/>
      <c r="B528" s="144"/>
      <c r="C528" s="144"/>
      <c r="D528" s="144"/>
      <c r="E528" s="144"/>
      <c r="F528" s="144"/>
      <c r="G528" s="144"/>
      <c r="H528" s="144"/>
      <c r="I528" s="496"/>
      <c r="J528" s="496"/>
      <c r="K528" s="496"/>
      <c r="L528" s="496"/>
      <c r="M528" s="144"/>
      <c r="N528" s="144"/>
      <c r="O528" s="144"/>
      <c r="P528" s="144"/>
      <c r="Q528" s="144"/>
      <c r="R528" s="144"/>
      <c r="S528" s="144"/>
      <c r="T528" s="144"/>
      <c r="U528" s="144"/>
      <c r="V528" s="144"/>
      <c r="W528" s="144"/>
      <c r="X528" s="144"/>
      <c r="Y528" s="144"/>
      <c r="Z528" s="144"/>
      <c r="AA528" s="144"/>
      <c r="AB528" s="144"/>
      <c r="AC528" s="144"/>
      <c r="AD528" s="144"/>
      <c r="AE528" s="144"/>
      <c r="AF528" s="144"/>
    </row>
    <row r="529" ht="16.5" customHeight="1">
      <c r="A529" s="144"/>
      <c r="B529" s="144"/>
      <c r="C529" s="144"/>
      <c r="D529" s="144"/>
      <c r="E529" s="144"/>
      <c r="F529" s="144"/>
      <c r="G529" s="144"/>
      <c r="H529" s="144"/>
      <c r="I529" s="496"/>
      <c r="J529" s="496"/>
      <c r="K529" s="496"/>
      <c r="L529" s="496"/>
      <c r="M529" s="144"/>
      <c r="N529" s="144"/>
      <c r="O529" s="144"/>
      <c r="P529" s="144"/>
      <c r="Q529" s="144"/>
      <c r="R529" s="144"/>
      <c r="S529" s="144"/>
      <c r="T529" s="144"/>
      <c r="U529" s="144"/>
      <c r="V529" s="144"/>
      <c r="W529" s="144"/>
      <c r="X529" s="144"/>
      <c r="Y529" s="144"/>
      <c r="Z529" s="144"/>
      <c r="AA529" s="144"/>
      <c r="AB529" s="144"/>
      <c r="AC529" s="144"/>
      <c r="AD529" s="144"/>
      <c r="AE529" s="144"/>
      <c r="AF529" s="144"/>
    </row>
    <row r="530" ht="16.5" customHeight="1">
      <c r="A530" s="144"/>
      <c r="B530" s="144"/>
      <c r="C530" s="144"/>
      <c r="D530" s="144"/>
      <c r="E530" s="144"/>
      <c r="F530" s="144"/>
      <c r="G530" s="144"/>
      <c r="H530" s="144"/>
      <c r="I530" s="496"/>
      <c r="J530" s="496"/>
      <c r="K530" s="496"/>
      <c r="L530" s="496"/>
      <c r="M530" s="144"/>
      <c r="N530" s="144"/>
      <c r="O530" s="144"/>
      <c r="P530" s="144"/>
      <c r="Q530" s="144"/>
      <c r="R530" s="144"/>
      <c r="S530" s="144"/>
      <c r="T530" s="144"/>
      <c r="U530" s="144"/>
      <c r="V530" s="144"/>
      <c r="W530" s="144"/>
      <c r="X530" s="144"/>
      <c r="Y530" s="144"/>
      <c r="Z530" s="144"/>
      <c r="AA530" s="144"/>
      <c r="AB530" s="144"/>
      <c r="AC530" s="144"/>
      <c r="AD530" s="144"/>
      <c r="AE530" s="144"/>
      <c r="AF530" s="144"/>
    </row>
    <row r="531" ht="16.5" customHeight="1">
      <c r="A531" s="144"/>
      <c r="B531" s="144"/>
      <c r="C531" s="144"/>
      <c r="D531" s="144"/>
      <c r="E531" s="144"/>
      <c r="F531" s="144"/>
      <c r="G531" s="144"/>
      <c r="H531" s="144"/>
      <c r="I531" s="496"/>
      <c r="J531" s="496"/>
      <c r="K531" s="496"/>
      <c r="L531" s="496"/>
      <c r="M531" s="144"/>
      <c r="N531" s="144"/>
      <c r="O531" s="144"/>
      <c r="P531" s="144"/>
      <c r="Q531" s="144"/>
      <c r="R531" s="144"/>
      <c r="S531" s="144"/>
      <c r="T531" s="144"/>
      <c r="U531" s="144"/>
      <c r="V531" s="144"/>
      <c r="W531" s="144"/>
      <c r="X531" s="144"/>
      <c r="Y531" s="144"/>
      <c r="Z531" s="144"/>
      <c r="AA531" s="144"/>
      <c r="AB531" s="144"/>
      <c r="AC531" s="144"/>
      <c r="AD531" s="144"/>
      <c r="AE531" s="144"/>
      <c r="AF531" s="144"/>
    </row>
    <row r="532" ht="16.5" customHeight="1">
      <c r="A532" s="144"/>
      <c r="B532" s="144"/>
      <c r="C532" s="144"/>
      <c r="D532" s="144"/>
      <c r="E532" s="144"/>
      <c r="F532" s="144"/>
      <c r="G532" s="144"/>
      <c r="H532" s="144"/>
      <c r="I532" s="496"/>
      <c r="J532" s="496"/>
      <c r="K532" s="496"/>
      <c r="L532" s="496"/>
      <c r="M532" s="144"/>
      <c r="N532" s="144"/>
      <c r="O532" s="144"/>
      <c r="P532" s="144"/>
      <c r="Q532" s="144"/>
      <c r="R532" s="144"/>
      <c r="S532" s="144"/>
      <c r="T532" s="144"/>
      <c r="U532" s="144"/>
      <c r="V532" s="144"/>
      <c r="W532" s="144"/>
      <c r="X532" s="144"/>
      <c r="Y532" s="144"/>
      <c r="Z532" s="144"/>
      <c r="AA532" s="144"/>
      <c r="AB532" s="144"/>
      <c r="AC532" s="144"/>
      <c r="AD532" s="144"/>
      <c r="AE532" s="144"/>
      <c r="AF532" s="144"/>
    </row>
    <row r="533" ht="16.5" customHeight="1">
      <c r="A533" s="144"/>
      <c r="B533" s="144"/>
      <c r="C533" s="144"/>
      <c r="D533" s="144"/>
      <c r="E533" s="144"/>
      <c r="F533" s="144"/>
      <c r="G533" s="144"/>
      <c r="H533" s="144"/>
      <c r="I533" s="496"/>
      <c r="J533" s="496"/>
      <c r="K533" s="496"/>
      <c r="L533" s="496"/>
      <c r="M533" s="144"/>
      <c r="N533" s="144"/>
      <c r="O533" s="144"/>
      <c r="P533" s="144"/>
      <c r="Q533" s="144"/>
      <c r="R533" s="144"/>
      <c r="S533" s="144"/>
      <c r="T533" s="144"/>
      <c r="U533" s="144"/>
      <c r="V533" s="144"/>
      <c r="W533" s="144"/>
      <c r="X533" s="144"/>
      <c r="Y533" s="144"/>
      <c r="Z533" s="144"/>
      <c r="AA533" s="144"/>
      <c r="AB533" s="144"/>
      <c r="AC533" s="144"/>
      <c r="AD533" s="144"/>
      <c r="AE533" s="144"/>
      <c r="AF533" s="144"/>
    </row>
    <row r="534" ht="16.5" customHeight="1">
      <c r="A534" s="144"/>
      <c r="B534" s="144"/>
      <c r="C534" s="144"/>
      <c r="D534" s="144"/>
      <c r="E534" s="144"/>
      <c r="F534" s="144"/>
      <c r="G534" s="144"/>
      <c r="H534" s="144"/>
      <c r="I534" s="496"/>
      <c r="J534" s="496"/>
      <c r="K534" s="496"/>
      <c r="L534" s="496"/>
      <c r="M534" s="144"/>
      <c r="N534" s="144"/>
      <c r="O534" s="144"/>
      <c r="P534" s="144"/>
      <c r="Q534" s="144"/>
      <c r="R534" s="144"/>
      <c r="S534" s="144"/>
      <c r="T534" s="144"/>
      <c r="U534" s="144"/>
      <c r="V534" s="144"/>
      <c r="W534" s="144"/>
      <c r="X534" s="144"/>
      <c r="Y534" s="144"/>
      <c r="Z534" s="144"/>
      <c r="AA534" s="144"/>
      <c r="AB534" s="144"/>
      <c r="AC534" s="144"/>
      <c r="AD534" s="144"/>
      <c r="AE534" s="144"/>
      <c r="AF534" s="144"/>
    </row>
    <row r="535" ht="16.5" customHeight="1">
      <c r="A535" s="144"/>
      <c r="B535" s="144"/>
      <c r="C535" s="144"/>
      <c r="D535" s="144"/>
      <c r="E535" s="144"/>
      <c r="F535" s="144"/>
      <c r="G535" s="144"/>
      <c r="H535" s="144"/>
      <c r="I535" s="496"/>
      <c r="J535" s="496"/>
      <c r="K535" s="496"/>
      <c r="L535" s="496"/>
      <c r="M535" s="144"/>
      <c r="N535" s="144"/>
      <c r="O535" s="144"/>
      <c r="P535" s="144"/>
      <c r="Q535" s="144"/>
      <c r="R535" s="144"/>
      <c r="S535" s="144"/>
      <c r="T535" s="144"/>
      <c r="U535" s="144"/>
      <c r="V535" s="144"/>
      <c r="W535" s="144"/>
      <c r="X535" s="144"/>
      <c r="Y535" s="144"/>
      <c r="Z535" s="144"/>
      <c r="AA535" s="144"/>
      <c r="AB535" s="144"/>
      <c r="AC535" s="144"/>
      <c r="AD535" s="144"/>
      <c r="AE535" s="144"/>
      <c r="AF535" s="144"/>
    </row>
    <row r="536" ht="16.5" customHeight="1">
      <c r="A536" s="144"/>
      <c r="B536" s="144"/>
      <c r="C536" s="144"/>
      <c r="D536" s="144"/>
      <c r="E536" s="144"/>
      <c r="F536" s="144"/>
      <c r="G536" s="144"/>
      <c r="H536" s="144"/>
      <c r="I536" s="496"/>
      <c r="J536" s="496"/>
      <c r="K536" s="496"/>
      <c r="L536" s="496"/>
      <c r="M536" s="144"/>
      <c r="N536" s="144"/>
      <c r="O536" s="144"/>
      <c r="P536" s="144"/>
      <c r="Q536" s="144"/>
      <c r="R536" s="144"/>
      <c r="S536" s="144"/>
      <c r="T536" s="144"/>
      <c r="U536" s="144"/>
      <c r="V536" s="144"/>
      <c r="W536" s="144"/>
      <c r="X536" s="144"/>
      <c r="Y536" s="144"/>
      <c r="Z536" s="144"/>
      <c r="AA536" s="144"/>
      <c r="AB536" s="144"/>
      <c r="AC536" s="144"/>
      <c r="AD536" s="144"/>
      <c r="AE536" s="144"/>
      <c r="AF536" s="144"/>
    </row>
    <row r="537" ht="16.5" customHeight="1">
      <c r="A537" s="144"/>
      <c r="B537" s="144"/>
      <c r="C537" s="144"/>
      <c r="D537" s="144"/>
      <c r="E537" s="144"/>
      <c r="F537" s="144"/>
      <c r="G537" s="144"/>
      <c r="H537" s="144"/>
      <c r="I537" s="496"/>
      <c r="J537" s="496"/>
      <c r="K537" s="496"/>
      <c r="L537" s="496"/>
      <c r="M537" s="144"/>
      <c r="N537" s="144"/>
      <c r="O537" s="144"/>
      <c r="P537" s="144"/>
      <c r="Q537" s="144"/>
      <c r="R537" s="144"/>
      <c r="S537" s="144"/>
      <c r="T537" s="144"/>
      <c r="U537" s="144"/>
      <c r="V537" s="144"/>
      <c r="W537" s="144"/>
      <c r="X537" s="144"/>
      <c r="Y537" s="144"/>
      <c r="Z537" s="144"/>
      <c r="AA537" s="144"/>
      <c r="AB537" s="144"/>
      <c r="AC537" s="144"/>
      <c r="AD537" s="144"/>
      <c r="AE537" s="144"/>
      <c r="AF537" s="144"/>
    </row>
    <row r="538" ht="16.5" customHeight="1">
      <c r="A538" s="144"/>
      <c r="B538" s="144"/>
      <c r="C538" s="144"/>
      <c r="D538" s="144"/>
      <c r="E538" s="144"/>
      <c r="F538" s="144"/>
      <c r="G538" s="144"/>
      <c r="H538" s="144"/>
      <c r="I538" s="496"/>
      <c r="J538" s="496"/>
      <c r="K538" s="496"/>
      <c r="L538" s="496"/>
      <c r="M538" s="144"/>
      <c r="N538" s="144"/>
      <c r="O538" s="144"/>
      <c r="P538" s="144"/>
      <c r="Q538" s="144"/>
      <c r="R538" s="144"/>
      <c r="S538" s="144"/>
      <c r="T538" s="144"/>
      <c r="U538" s="144"/>
      <c r="V538" s="144"/>
      <c r="W538" s="144"/>
      <c r="X538" s="144"/>
      <c r="Y538" s="144"/>
      <c r="Z538" s="144"/>
      <c r="AA538" s="144"/>
      <c r="AB538" s="144"/>
      <c r="AC538" s="144"/>
      <c r="AD538" s="144"/>
      <c r="AE538" s="144"/>
      <c r="AF538" s="144"/>
    </row>
    <row r="539" ht="16.5" customHeight="1">
      <c r="A539" s="144"/>
      <c r="B539" s="144"/>
      <c r="C539" s="144"/>
      <c r="D539" s="144"/>
      <c r="E539" s="144"/>
      <c r="F539" s="144"/>
      <c r="G539" s="144"/>
      <c r="H539" s="144"/>
      <c r="I539" s="496"/>
      <c r="J539" s="496"/>
      <c r="K539" s="496"/>
      <c r="L539" s="496"/>
      <c r="M539" s="144"/>
      <c r="N539" s="144"/>
      <c r="O539" s="144"/>
      <c r="P539" s="144"/>
      <c r="Q539" s="144"/>
      <c r="R539" s="144"/>
      <c r="S539" s="144"/>
      <c r="T539" s="144"/>
      <c r="U539" s="144"/>
      <c r="V539" s="144"/>
      <c r="W539" s="144"/>
      <c r="X539" s="144"/>
      <c r="Y539" s="144"/>
      <c r="Z539" s="144"/>
      <c r="AA539" s="144"/>
      <c r="AB539" s="144"/>
      <c r="AC539" s="144"/>
      <c r="AD539" s="144"/>
      <c r="AE539" s="144"/>
      <c r="AF539" s="144"/>
    </row>
    <row r="540" ht="16.5" customHeight="1">
      <c r="A540" s="144"/>
      <c r="B540" s="144"/>
      <c r="C540" s="144"/>
      <c r="D540" s="144"/>
      <c r="E540" s="144"/>
      <c r="F540" s="144"/>
      <c r="G540" s="144"/>
      <c r="H540" s="144"/>
      <c r="I540" s="496"/>
      <c r="J540" s="496"/>
      <c r="K540" s="496"/>
      <c r="L540" s="496"/>
      <c r="M540" s="144"/>
      <c r="N540" s="144"/>
      <c r="O540" s="144"/>
      <c r="P540" s="144"/>
      <c r="Q540" s="144"/>
      <c r="R540" s="144"/>
      <c r="S540" s="144"/>
      <c r="T540" s="144"/>
      <c r="U540" s="144"/>
      <c r="V540" s="144"/>
      <c r="W540" s="144"/>
      <c r="X540" s="144"/>
      <c r="Y540" s="144"/>
      <c r="Z540" s="144"/>
      <c r="AA540" s="144"/>
      <c r="AB540" s="144"/>
      <c r="AC540" s="144"/>
      <c r="AD540" s="144"/>
      <c r="AE540" s="144"/>
      <c r="AF540" s="144"/>
    </row>
    <row r="541" ht="16.5" customHeight="1">
      <c r="A541" s="144"/>
      <c r="B541" s="144"/>
      <c r="C541" s="144"/>
      <c r="D541" s="144"/>
      <c r="E541" s="144"/>
      <c r="F541" s="144"/>
      <c r="G541" s="144"/>
      <c r="H541" s="144"/>
      <c r="I541" s="496"/>
      <c r="J541" s="496"/>
      <c r="K541" s="496"/>
      <c r="L541" s="496"/>
      <c r="M541" s="144"/>
      <c r="N541" s="144"/>
      <c r="O541" s="144"/>
      <c r="P541" s="144"/>
      <c r="Q541" s="144"/>
      <c r="R541" s="144"/>
      <c r="S541" s="144"/>
      <c r="T541" s="144"/>
      <c r="U541" s="144"/>
      <c r="V541" s="144"/>
      <c r="W541" s="144"/>
      <c r="X541" s="144"/>
      <c r="Y541" s="144"/>
      <c r="Z541" s="144"/>
      <c r="AA541" s="144"/>
      <c r="AB541" s="144"/>
      <c r="AC541" s="144"/>
      <c r="AD541" s="144"/>
      <c r="AE541" s="144"/>
      <c r="AF541" s="144"/>
    </row>
    <row r="542" ht="16.5" customHeight="1">
      <c r="A542" s="144"/>
      <c r="B542" s="144"/>
      <c r="C542" s="144"/>
      <c r="D542" s="144"/>
      <c r="E542" s="144"/>
      <c r="F542" s="144"/>
      <c r="G542" s="144"/>
      <c r="H542" s="144"/>
      <c r="I542" s="496"/>
      <c r="J542" s="496"/>
      <c r="K542" s="496"/>
      <c r="L542" s="496"/>
      <c r="M542" s="144"/>
      <c r="N542" s="144"/>
      <c r="O542" s="144"/>
      <c r="P542" s="144"/>
      <c r="Q542" s="144"/>
      <c r="R542" s="144"/>
      <c r="S542" s="144"/>
      <c r="T542" s="144"/>
      <c r="U542" s="144"/>
      <c r="V542" s="144"/>
      <c r="W542" s="144"/>
      <c r="X542" s="144"/>
      <c r="Y542" s="144"/>
      <c r="Z542" s="144"/>
      <c r="AA542" s="144"/>
      <c r="AB542" s="144"/>
      <c r="AC542" s="144"/>
      <c r="AD542" s="144"/>
      <c r="AE542" s="144"/>
      <c r="AF542" s="144"/>
    </row>
    <row r="543" ht="16.5" customHeight="1">
      <c r="A543" s="144"/>
      <c r="B543" s="144"/>
      <c r="C543" s="144"/>
      <c r="D543" s="144"/>
      <c r="E543" s="144"/>
      <c r="F543" s="144"/>
      <c r="G543" s="144"/>
      <c r="H543" s="144"/>
      <c r="I543" s="496"/>
      <c r="J543" s="496"/>
      <c r="K543" s="496"/>
      <c r="L543" s="496"/>
      <c r="M543" s="144"/>
      <c r="N543" s="144"/>
      <c r="O543" s="144"/>
      <c r="P543" s="144"/>
      <c r="Q543" s="144"/>
      <c r="R543" s="144"/>
      <c r="S543" s="144"/>
      <c r="T543" s="144"/>
      <c r="U543" s="144"/>
      <c r="V543" s="144"/>
      <c r="W543" s="144"/>
      <c r="X543" s="144"/>
      <c r="Y543" s="144"/>
      <c r="Z543" s="144"/>
      <c r="AA543" s="144"/>
      <c r="AB543" s="144"/>
      <c r="AC543" s="144"/>
      <c r="AD543" s="144"/>
      <c r="AE543" s="144"/>
      <c r="AF543" s="144"/>
    </row>
    <row r="544" ht="16.5" customHeight="1">
      <c r="A544" s="144"/>
      <c r="B544" s="144"/>
      <c r="C544" s="144"/>
      <c r="D544" s="144"/>
      <c r="E544" s="144"/>
      <c r="F544" s="144"/>
      <c r="G544" s="144"/>
      <c r="H544" s="144"/>
      <c r="I544" s="496"/>
      <c r="J544" s="496"/>
      <c r="K544" s="496"/>
      <c r="L544" s="496"/>
      <c r="M544" s="144"/>
      <c r="N544" s="144"/>
      <c r="O544" s="144"/>
      <c r="P544" s="144"/>
      <c r="Q544" s="144"/>
      <c r="R544" s="144"/>
      <c r="S544" s="144"/>
      <c r="T544" s="144"/>
      <c r="U544" s="144"/>
      <c r="V544" s="144"/>
      <c r="W544" s="144"/>
      <c r="X544" s="144"/>
      <c r="Y544" s="144"/>
      <c r="Z544" s="144"/>
      <c r="AA544" s="144"/>
      <c r="AB544" s="144"/>
      <c r="AC544" s="144"/>
      <c r="AD544" s="144"/>
      <c r="AE544" s="144"/>
      <c r="AF544" s="144"/>
    </row>
    <row r="545" ht="16.5" customHeight="1">
      <c r="A545" s="144"/>
      <c r="B545" s="144"/>
      <c r="C545" s="144"/>
      <c r="D545" s="144"/>
      <c r="E545" s="144"/>
      <c r="F545" s="144"/>
      <c r="G545" s="144"/>
      <c r="H545" s="144"/>
      <c r="I545" s="496"/>
      <c r="J545" s="496"/>
      <c r="K545" s="496"/>
      <c r="L545" s="496"/>
      <c r="M545" s="144"/>
      <c r="N545" s="144"/>
      <c r="O545" s="144"/>
      <c r="P545" s="144"/>
      <c r="Q545" s="144"/>
      <c r="R545" s="144"/>
      <c r="S545" s="144"/>
      <c r="T545" s="144"/>
      <c r="U545" s="144"/>
      <c r="V545" s="144"/>
      <c r="W545" s="144"/>
      <c r="X545" s="144"/>
      <c r="Y545" s="144"/>
      <c r="Z545" s="144"/>
      <c r="AA545" s="144"/>
      <c r="AB545" s="144"/>
      <c r="AC545" s="144"/>
      <c r="AD545" s="144"/>
      <c r="AE545" s="144"/>
      <c r="AF545" s="144"/>
    </row>
    <row r="546" ht="16.5" customHeight="1">
      <c r="A546" s="144"/>
      <c r="B546" s="144"/>
      <c r="C546" s="144"/>
      <c r="D546" s="144"/>
      <c r="E546" s="144"/>
      <c r="F546" s="144"/>
      <c r="G546" s="144"/>
      <c r="H546" s="144"/>
      <c r="I546" s="496"/>
      <c r="J546" s="496"/>
      <c r="K546" s="496"/>
      <c r="L546" s="496"/>
      <c r="M546" s="144"/>
      <c r="N546" s="144"/>
      <c r="O546" s="144"/>
      <c r="P546" s="144"/>
      <c r="Q546" s="144"/>
      <c r="R546" s="144"/>
      <c r="S546" s="144"/>
      <c r="T546" s="144"/>
      <c r="U546" s="144"/>
      <c r="V546" s="144"/>
      <c r="W546" s="144"/>
      <c r="X546" s="144"/>
      <c r="Y546" s="144"/>
      <c r="Z546" s="144"/>
      <c r="AA546" s="144"/>
      <c r="AB546" s="144"/>
      <c r="AC546" s="144"/>
      <c r="AD546" s="144"/>
      <c r="AE546" s="144"/>
      <c r="AF546" s="144"/>
    </row>
    <row r="547" ht="16.5" customHeight="1">
      <c r="A547" s="144"/>
      <c r="B547" s="144"/>
      <c r="C547" s="144"/>
      <c r="D547" s="144"/>
      <c r="E547" s="144"/>
      <c r="F547" s="144"/>
      <c r="G547" s="144"/>
      <c r="H547" s="144"/>
      <c r="I547" s="496"/>
      <c r="J547" s="496"/>
      <c r="K547" s="496"/>
      <c r="L547" s="496"/>
      <c r="M547" s="144"/>
      <c r="N547" s="144"/>
      <c r="O547" s="144"/>
      <c r="P547" s="144"/>
      <c r="Q547" s="144"/>
      <c r="R547" s="144"/>
      <c r="S547" s="144"/>
      <c r="T547" s="144"/>
      <c r="U547" s="144"/>
      <c r="V547" s="144"/>
      <c r="W547" s="144"/>
      <c r="X547" s="144"/>
      <c r="Y547" s="144"/>
      <c r="Z547" s="144"/>
      <c r="AA547" s="144"/>
      <c r="AB547" s="144"/>
      <c r="AC547" s="144"/>
      <c r="AD547" s="144"/>
      <c r="AE547" s="144"/>
      <c r="AF547" s="144"/>
    </row>
    <row r="548" ht="16.5" customHeight="1">
      <c r="A548" s="144"/>
      <c r="B548" s="144"/>
      <c r="C548" s="144"/>
      <c r="D548" s="144"/>
      <c r="E548" s="144"/>
      <c r="F548" s="144"/>
      <c r="G548" s="144"/>
      <c r="H548" s="144"/>
      <c r="I548" s="496"/>
      <c r="J548" s="496"/>
      <c r="K548" s="496"/>
      <c r="L548" s="496"/>
      <c r="M548" s="144"/>
      <c r="N548" s="144"/>
      <c r="O548" s="144"/>
      <c r="P548" s="144"/>
      <c r="Q548" s="144"/>
      <c r="R548" s="144"/>
      <c r="S548" s="144"/>
      <c r="T548" s="144"/>
      <c r="U548" s="144"/>
      <c r="V548" s="144"/>
      <c r="W548" s="144"/>
      <c r="X548" s="144"/>
      <c r="Y548" s="144"/>
      <c r="Z548" s="144"/>
      <c r="AA548" s="144"/>
      <c r="AB548" s="144"/>
      <c r="AC548" s="144"/>
      <c r="AD548" s="144"/>
      <c r="AE548" s="144"/>
      <c r="AF548" s="144"/>
    </row>
    <row r="549" ht="16.5" customHeight="1">
      <c r="A549" s="144"/>
      <c r="B549" s="144"/>
      <c r="C549" s="144"/>
      <c r="D549" s="144"/>
      <c r="E549" s="144"/>
      <c r="F549" s="144"/>
      <c r="G549" s="144"/>
      <c r="H549" s="144"/>
      <c r="I549" s="496"/>
      <c r="J549" s="496"/>
      <c r="K549" s="496"/>
      <c r="L549" s="496"/>
      <c r="M549" s="144"/>
      <c r="N549" s="144"/>
      <c r="O549" s="144"/>
      <c r="P549" s="144"/>
      <c r="Q549" s="144"/>
      <c r="R549" s="144"/>
      <c r="S549" s="144"/>
      <c r="T549" s="144"/>
      <c r="U549" s="144"/>
      <c r="V549" s="144"/>
      <c r="W549" s="144"/>
      <c r="X549" s="144"/>
      <c r="Y549" s="144"/>
      <c r="Z549" s="144"/>
      <c r="AA549" s="144"/>
      <c r="AB549" s="144"/>
      <c r="AC549" s="144"/>
      <c r="AD549" s="144"/>
      <c r="AE549" s="144"/>
      <c r="AF549" s="144"/>
    </row>
    <row r="550" ht="16.5" customHeight="1">
      <c r="A550" s="144"/>
      <c r="B550" s="144"/>
      <c r="C550" s="144"/>
      <c r="D550" s="144"/>
      <c r="E550" s="144"/>
      <c r="F550" s="144"/>
      <c r="G550" s="144"/>
      <c r="H550" s="144"/>
      <c r="I550" s="496"/>
      <c r="J550" s="496"/>
      <c r="K550" s="496"/>
      <c r="L550" s="496"/>
      <c r="M550" s="144"/>
      <c r="N550" s="144"/>
      <c r="O550" s="144"/>
      <c r="P550" s="144"/>
      <c r="Q550" s="144"/>
      <c r="R550" s="144"/>
      <c r="S550" s="144"/>
      <c r="T550" s="144"/>
      <c r="U550" s="144"/>
      <c r="V550" s="144"/>
      <c r="W550" s="144"/>
      <c r="X550" s="144"/>
      <c r="Y550" s="144"/>
      <c r="Z550" s="144"/>
      <c r="AA550" s="144"/>
      <c r="AB550" s="144"/>
      <c r="AC550" s="144"/>
      <c r="AD550" s="144"/>
      <c r="AE550" s="144"/>
      <c r="AF550" s="144"/>
    </row>
    <row r="551" ht="16.5" customHeight="1">
      <c r="A551" s="144"/>
      <c r="B551" s="144"/>
      <c r="C551" s="144"/>
      <c r="D551" s="144"/>
      <c r="E551" s="144"/>
      <c r="F551" s="144"/>
      <c r="G551" s="144"/>
      <c r="H551" s="144"/>
      <c r="I551" s="496"/>
      <c r="J551" s="496"/>
      <c r="K551" s="496"/>
      <c r="L551" s="496"/>
      <c r="M551" s="144"/>
      <c r="N551" s="144"/>
      <c r="O551" s="144"/>
      <c r="P551" s="144"/>
      <c r="Q551" s="144"/>
      <c r="R551" s="144"/>
      <c r="S551" s="144"/>
      <c r="T551" s="144"/>
      <c r="U551" s="144"/>
      <c r="V551" s="144"/>
      <c r="W551" s="144"/>
      <c r="X551" s="144"/>
      <c r="Y551" s="144"/>
      <c r="Z551" s="144"/>
      <c r="AA551" s="144"/>
      <c r="AB551" s="144"/>
      <c r="AC551" s="144"/>
      <c r="AD551" s="144"/>
      <c r="AE551" s="144"/>
      <c r="AF551" s="144"/>
    </row>
    <row r="552" ht="16.5" customHeight="1">
      <c r="A552" s="144"/>
      <c r="B552" s="144"/>
      <c r="C552" s="144"/>
      <c r="D552" s="144"/>
      <c r="E552" s="144"/>
      <c r="F552" s="144"/>
      <c r="G552" s="144"/>
      <c r="H552" s="144"/>
      <c r="I552" s="496"/>
      <c r="J552" s="496"/>
      <c r="K552" s="496"/>
      <c r="L552" s="496"/>
      <c r="M552" s="144"/>
      <c r="N552" s="144"/>
      <c r="O552" s="144"/>
      <c r="P552" s="144"/>
      <c r="Q552" s="144"/>
      <c r="R552" s="144"/>
      <c r="S552" s="144"/>
      <c r="T552" s="144"/>
      <c r="U552" s="144"/>
      <c r="V552" s="144"/>
      <c r="W552" s="144"/>
      <c r="X552" s="144"/>
      <c r="Y552" s="144"/>
      <c r="Z552" s="144"/>
      <c r="AA552" s="144"/>
      <c r="AB552" s="144"/>
      <c r="AC552" s="144"/>
      <c r="AD552" s="144"/>
      <c r="AE552" s="144"/>
      <c r="AF552" s="144"/>
    </row>
    <row r="553" ht="16.5" customHeight="1">
      <c r="A553" s="144"/>
      <c r="B553" s="144"/>
      <c r="C553" s="144"/>
      <c r="D553" s="144"/>
      <c r="E553" s="144"/>
      <c r="F553" s="144"/>
      <c r="G553" s="144"/>
      <c r="H553" s="144"/>
      <c r="I553" s="496"/>
      <c r="J553" s="496"/>
      <c r="K553" s="496"/>
      <c r="L553" s="496"/>
      <c r="M553" s="144"/>
      <c r="N553" s="144"/>
      <c r="O553" s="144"/>
      <c r="P553" s="144"/>
      <c r="Q553" s="144"/>
      <c r="R553" s="144"/>
      <c r="S553" s="144"/>
      <c r="T553" s="144"/>
      <c r="U553" s="144"/>
      <c r="V553" s="144"/>
      <c r="W553" s="144"/>
      <c r="X553" s="144"/>
      <c r="Y553" s="144"/>
      <c r="Z553" s="144"/>
      <c r="AA553" s="144"/>
      <c r="AB553" s="144"/>
      <c r="AC553" s="144"/>
      <c r="AD553" s="144"/>
      <c r="AE553" s="144"/>
      <c r="AF553" s="144"/>
    </row>
    <row r="554" ht="16.5" customHeight="1">
      <c r="A554" s="144"/>
      <c r="B554" s="144"/>
      <c r="C554" s="144"/>
      <c r="D554" s="144"/>
      <c r="E554" s="144"/>
      <c r="F554" s="144"/>
      <c r="G554" s="144"/>
      <c r="H554" s="144"/>
      <c r="I554" s="496"/>
      <c r="J554" s="496"/>
      <c r="K554" s="496"/>
      <c r="L554" s="496"/>
      <c r="M554" s="144"/>
      <c r="N554" s="144"/>
      <c r="O554" s="144"/>
      <c r="P554" s="144"/>
      <c r="Q554" s="144"/>
      <c r="R554" s="144"/>
      <c r="S554" s="144"/>
      <c r="T554" s="144"/>
      <c r="U554" s="144"/>
      <c r="V554" s="144"/>
      <c r="W554" s="144"/>
      <c r="X554" s="144"/>
      <c r="Y554" s="144"/>
      <c r="Z554" s="144"/>
      <c r="AA554" s="144"/>
      <c r="AB554" s="144"/>
      <c r="AC554" s="144"/>
      <c r="AD554" s="144"/>
      <c r="AE554" s="144"/>
      <c r="AF554" s="144"/>
    </row>
    <row r="555" ht="16.5" customHeight="1">
      <c r="A555" s="144"/>
      <c r="B555" s="144"/>
      <c r="C555" s="144"/>
      <c r="D555" s="144"/>
      <c r="E555" s="144"/>
      <c r="F555" s="144"/>
      <c r="G555" s="144"/>
      <c r="H555" s="144"/>
      <c r="I555" s="496"/>
      <c r="J555" s="496"/>
      <c r="K555" s="496"/>
      <c r="L555" s="496"/>
      <c r="M555" s="144"/>
      <c r="N555" s="144"/>
      <c r="O555" s="144"/>
      <c r="P555" s="144"/>
      <c r="Q555" s="144"/>
      <c r="R555" s="144"/>
      <c r="S555" s="144"/>
      <c r="T555" s="144"/>
      <c r="U555" s="144"/>
      <c r="V555" s="144"/>
      <c r="W555" s="144"/>
      <c r="X555" s="144"/>
      <c r="Y555" s="144"/>
      <c r="Z555" s="144"/>
      <c r="AA555" s="144"/>
      <c r="AB555" s="144"/>
      <c r="AC555" s="144"/>
      <c r="AD555" s="144"/>
      <c r="AE555" s="144"/>
      <c r="AF555" s="144"/>
    </row>
    <row r="556" ht="16.5" customHeight="1">
      <c r="A556" s="144"/>
      <c r="B556" s="144"/>
      <c r="C556" s="144"/>
      <c r="D556" s="144"/>
      <c r="E556" s="144"/>
      <c r="F556" s="144"/>
      <c r="G556" s="144"/>
      <c r="H556" s="144"/>
      <c r="I556" s="496"/>
      <c r="J556" s="496"/>
      <c r="K556" s="496"/>
      <c r="L556" s="496"/>
      <c r="M556" s="144"/>
      <c r="N556" s="144"/>
      <c r="O556" s="144"/>
      <c r="P556" s="144"/>
      <c r="Q556" s="144"/>
      <c r="R556" s="144"/>
      <c r="S556" s="144"/>
      <c r="T556" s="144"/>
      <c r="U556" s="144"/>
      <c r="V556" s="144"/>
      <c r="W556" s="144"/>
      <c r="X556" s="144"/>
      <c r="Y556" s="144"/>
      <c r="Z556" s="144"/>
      <c r="AA556" s="144"/>
      <c r="AB556" s="144"/>
      <c r="AC556" s="144"/>
      <c r="AD556" s="144"/>
      <c r="AE556" s="144"/>
      <c r="AF556" s="144"/>
    </row>
    <row r="557" ht="16.5" customHeight="1">
      <c r="A557" s="144"/>
      <c r="B557" s="144"/>
      <c r="C557" s="144"/>
      <c r="D557" s="144"/>
      <c r="E557" s="144"/>
      <c r="F557" s="144"/>
      <c r="G557" s="144"/>
      <c r="H557" s="144"/>
      <c r="I557" s="496"/>
      <c r="J557" s="496"/>
      <c r="K557" s="496"/>
      <c r="L557" s="496"/>
      <c r="M557" s="144"/>
      <c r="N557" s="144"/>
      <c r="O557" s="144"/>
      <c r="P557" s="144"/>
      <c r="Q557" s="144"/>
      <c r="R557" s="144"/>
      <c r="S557" s="144"/>
      <c r="T557" s="144"/>
      <c r="U557" s="144"/>
      <c r="V557" s="144"/>
      <c r="W557" s="144"/>
      <c r="X557" s="144"/>
      <c r="Y557" s="144"/>
      <c r="Z557" s="144"/>
      <c r="AA557" s="144"/>
      <c r="AB557" s="144"/>
      <c r="AC557" s="144"/>
      <c r="AD557" s="144"/>
      <c r="AE557" s="144"/>
      <c r="AF557" s="144"/>
    </row>
    <row r="558" ht="16.5" customHeight="1">
      <c r="A558" s="144"/>
      <c r="B558" s="144"/>
      <c r="C558" s="144"/>
      <c r="D558" s="144"/>
      <c r="E558" s="144"/>
      <c r="F558" s="144"/>
      <c r="G558" s="144"/>
      <c r="H558" s="144"/>
      <c r="I558" s="496"/>
      <c r="J558" s="496"/>
      <c r="K558" s="496"/>
      <c r="L558" s="496"/>
      <c r="M558" s="144"/>
      <c r="N558" s="144"/>
      <c r="O558" s="144"/>
      <c r="P558" s="144"/>
      <c r="Q558" s="144"/>
      <c r="R558" s="144"/>
      <c r="S558" s="144"/>
      <c r="T558" s="144"/>
      <c r="U558" s="144"/>
      <c r="V558" s="144"/>
      <c r="W558" s="144"/>
      <c r="X558" s="144"/>
      <c r="Y558" s="144"/>
      <c r="Z558" s="144"/>
      <c r="AA558" s="144"/>
      <c r="AB558" s="144"/>
      <c r="AC558" s="144"/>
      <c r="AD558" s="144"/>
      <c r="AE558" s="144"/>
      <c r="AF558" s="144"/>
    </row>
    <row r="559" ht="16.5" customHeight="1">
      <c r="A559" s="144"/>
      <c r="B559" s="144"/>
      <c r="C559" s="144"/>
      <c r="D559" s="144"/>
      <c r="E559" s="144"/>
      <c r="F559" s="144"/>
      <c r="G559" s="144"/>
      <c r="H559" s="144"/>
      <c r="I559" s="496"/>
      <c r="J559" s="496"/>
      <c r="K559" s="496"/>
      <c r="L559" s="496"/>
      <c r="M559" s="144"/>
      <c r="N559" s="144"/>
      <c r="O559" s="144"/>
      <c r="P559" s="144"/>
      <c r="Q559" s="144"/>
      <c r="R559" s="144"/>
      <c r="S559" s="144"/>
      <c r="T559" s="144"/>
      <c r="U559" s="144"/>
      <c r="V559" s="144"/>
      <c r="W559" s="144"/>
      <c r="X559" s="144"/>
      <c r="Y559" s="144"/>
      <c r="Z559" s="144"/>
      <c r="AA559" s="144"/>
      <c r="AB559" s="144"/>
      <c r="AC559" s="144"/>
      <c r="AD559" s="144"/>
      <c r="AE559" s="144"/>
      <c r="AF559" s="144"/>
    </row>
    <row r="560" ht="16.5" customHeight="1">
      <c r="A560" s="144"/>
      <c r="B560" s="144"/>
      <c r="C560" s="144"/>
      <c r="D560" s="144"/>
      <c r="E560" s="144"/>
      <c r="F560" s="144"/>
      <c r="G560" s="144"/>
      <c r="H560" s="144"/>
      <c r="I560" s="496"/>
      <c r="J560" s="496"/>
      <c r="K560" s="496"/>
      <c r="L560" s="496"/>
      <c r="M560" s="144"/>
      <c r="N560" s="144"/>
      <c r="O560" s="144"/>
      <c r="P560" s="144"/>
      <c r="Q560" s="144"/>
      <c r="R560" s="144"/>
      <c r="S560" s="144"/>
      <c r="T560" s="144"/>
      <c r="U560" s="144"/>
      <c r="V560" s="144"/>
      <c r="W560" s="144"/>
      <c r="X560" s="144"/>
      <c r="Y560" s="144"/>
      <c r="Z560" s="144"/>
      <c r="AA560" s="144"/>
      <c r="AB560" s="144"/>
      <c r="AC560" s="144"/>
      <c r="AD560" s="144"/>
      <c r="AE560" s="144"/>
      <c r="AF560" s="144"/>
    </row>
    <row r="561" ht="16.5" customHeight="1">
      <c r="A561" s="144"/>
      <c r="B561" s="144"/>
      <c r="C561" s="144"/>
      <c r="D561" s="144"/>
      <c r="E561" s="144"/>
      <c r="F561" s="144"/>
      <c r="G561" s="144"/>
      <c r="H561" s="144"/>
      <c r="I561" s="496"/>
      <c r="J561" s="496"/>
      <c r="K561" s="496"/>
      <c r="L561" s="496"/>
      <c r="M561" s="144"/>
      <c r="N561" s="144"/>
      <c r="O561" s="144"/>
      <c r="P561" s="144"/>
      <c r="Q561" s="144"/>
      <c r="R561" s="144"/>
      <c r="S561" s="144"/>
      <c r="T561" s="144"/>
      <c r="U561" s="144"/>
      <c r="V561" s="144"/>
      <c r="W561" s="144"/>
      <c r="X561" s="144"/>
      <c r="Y561" s="144"/>
      <c r="Z561" s="144"/>
      <c r="AA561" s="144"/>
      <c r="AB561" s="144"/>
      <c r="AC561" s="144"/>
      <c r="AD561" s="144"/>
      <c r="AE561" s="144"/>
      <c r="AF561" s="144"/>
    </row>
    <row r="562" ht="16.5" customHeight="1">
      <c r="A562" s="144"/>
      <c r="B562" s="144"/>
      <c r="C562" s="144"/>
      <c r="D562" s="144"/>
      <c r="E562" s="144"/>
      <c r="F562" s="144"/>
      <c r="G562" s="144"/>
      <c r="H562" s="144"/>
      <c r="I562" s="496"/>
      <c r="J562" s="496"/>
      <c r="K562" s="496"/>
      <c r="L562" s="496"/>
      <c r="M562" s="144"/>
      <c r="N562" s="144"/>
      <c r="O562" s="144"/>
      <c r="P562" s="144"/>
      <c r="Q562" s="144"/>
      <c r="R562" s="144"/>
      <c r="S562" s="144"/>
      <c r="T562" s="144"/>
      <c r="U562" s="144"/>
      <c r="V562" s="144"/>
      <c r="W562" s="144"/>
      <c r="X562" s="144"/>
      <c r="Y562" s="144"/>
      <c r="Z562" s="144"/>
      <c r="AA562" s="144"/>
      <c r="AB562" s="144"/>
      <c r="AC562" s="144"/>
      <c r="AD562" s="144"/>
      <c r="AE562" s="144"/>
      <c r="AF562" s="144"/>
    </row>
    <row r="563" ht="16.5" customHeight="1">
      <c r="A563" s="144"/>
      <c r="B563" s="144"/>
      <c r="C563" s="144"/>
      <c r="D563" s="144"/>
      <c r="E563" s="144"/>
      <c r="F563" s="144"/>
      <c r="G563" s="144"/>
      <c r="H563" s="144"/>
      <c r="I563" s="496"/>
      <c r="J563" s="496"/>
      <c r="K563" s="496"/>
      <c r="L563" s="496"/>
      <c r="M563" s="144"/>
      <c r="N563" s="144"/>
      <c r="O563" s="144"/>
      <c r="P563" s="144"/>
      <c r="Q563" s="144"/>
      <c r="R563" s="144"/>
      <c r="S563" s="144"/>
      <c r="T563" s="144"/>
      <c r="U563" s="144"/>
      <c r="V563" s="144"/>
      <c r="W563" s="144"/>
      <c r="X563" s="144"/>
      <c r="Y563" s="144"/>
      <c r="Z563" s="144"/>
      <c r="AA563" s="144"/>
      <c r="AB563" s="144"/>
      <c r="AC563" s="144"/>
      <c r="AD563" s="144"/>
      <c r="AE563" s="144"/>
      <c r="AF563" s="144"/>
    </row>
    <row r="564" ht="16.5" customHeight="1">
      <c r="A564" s="144"/>
      <c r="B564" s="144"/>
      <c r="C564" s="144"/>
      <c r="D564" s="144"/>
      <c r="E564" s="144"/>
      <c r="F564" s="144"/>
      <c r="G564" s="144"/>
      <c r="H564" s="144"/>
      <c r="I564" s="496"/>
      <c r="J564" s="496"/>
      <c r="K564" s="496"/>
      <c r="L564" s="496"/>
      <c r="M564" s="144"/>
      <c r="N564" s="144"/>
      <c r="O564" s="144"/>
      <c r="P564" s="144"/>
      <c r="Q564" s="144"/>
      <c r="R564" s="144"/>
      <c r="S564" s="144"/>
      <c r="T564" s="144"/>
      <c r="U564" s="144"/>
      <c r="V564" s="144"/>
      <c r="W564" s="144"/>
      <c r="X564" s="144"/>
      <c r="Y564" s="144"/>
      <c r="Z564" s="144"/>
      <c r="AA564" s="144"/>
      <c r="AB564" s="144"/>
      <c r="AC564" s="144"/>
      <c r="AD564" s="144"/>
      <c r="AE564" s="144"/>
      <c r="AF564" s="144"/>
    </row>
    <row r="565" ht="16.5" customHeight="1">
      <c r="A565" s="144"/>
      <c r="B565" s="144"/>
      <c r="C565" s="144"/>
      <c r="D565" s="144"/>
      <c r="E565" s="144"/>
      <c r="F565" s="144"/>
      <c r="G565" s="144"/>
      <c r="H565" s="144"/>
      <c r="I565" s="496"/>
      <c r="J565" s="496"/>
      <c r="K565" s="496"/>
      <c r="L565" s="496"/>
      <c r="M565" s="144"/>
      <c r="N565" s="144"/>
      <c r="O565" s="144"/>
      <c r="P565" s="144"/>
      <c r="Q565" s="144"/>
      <c r="R565" s="144"/>
      <c r="S565" s="144"/>
      <c r="T565" s="144"/>
      <c r="U565" s="144"/>
      <c r="V565" s="144"/>
      <c r="W565" s="144"/>
      <c r="X565" s="144"/>
      <c r="Y565" s="144"/>
      <c r="Z565" s="144"/>
      <c r="AA565" s="144"/>
      <c r="AB565" s="144"/>
      <c r="AC565" s="144"/>
      <c r="AD565" s="144"/>
      <c r="AE565" s="144"/>
      <c r="AF565" s="144"/>
    </row>
    <row r="566" ht="16.5" customHeight="1">
      <c r="A566" s="144"/>
      <c r="B566" s="144"/>
      <c r="C566" s="144"/>
      <c r="D566" s="144"/>
      <c r="E566" s="144"/>
      <c r="F566" s="144"/>
      <c r="G566" s="144"/>
      <c r="H566" s="144"/>
      <c r="I566" s="496"/>
      <c r="J566" s="496"/>
      <c r="K566" s="496"/>
      <c r="L566" s="496"/>
      <c r="M566" s="144"/>
      <c r="N566" s="144"/>
      <c r="O566" s="144"/>
      <c r="P566" s="144"/>
      <c r="Q566" s="144"/>
      <c r="R566" s="144"/>
      <c r="S566" s="144"/>
      <c r="T566" s="144"/>
      <c r="U566" s="144"/>
      <c r="V566" s="144"/>
      <c r="W566" s="144"/>
      <c r="X566" s="144"/>
      <c r="Y566" s="144"/>
      <c r="Z566" s="144"/>
      <c r="AA566" s="144"/>
      <c r="AB566" s="144"/>
      <c r="AC566" s="144"/>
      <c r="AD566" s="144"/>
      <c r="AE566" s="144"/>
      <c r="AF566" s="144"/>
    </row>
    <row r="567" ht="16.5" customHeight="1">
      <c r="A567" s="144"/>
      <c r="B567" s="144"/>
      <c r="C567" s="144"/>
      <c r="D567" s="144"/>
      <c r="E567" s="144"/>
      <c r="F567" s="144"/>
      <c r="G567" s="144"/>
      <c r="H567" s="144"/>
      <c r="I567" s="496"/>
      <c r="J567" s="496"/>
      <c r="K567" s="496"/>
      <c r="L567" s="496"/>
      <c r="M567" s="144"/>
      <c r="N567" s="144"/>
      <c r="O567" s="144"/>
      <c r="P567" s="144"/>
      <c r="Q567" s="144"/>
      <c r="R567" s="144"/>
      <c r="S567" s="144"/>
      <c r="T567" s="144"/>
      <c r="U567" s="144"/>
      <c r="V567" s="144"/>
      <c r="W567" s="144"/>
      <c r="X567" s="144"/>
      <c r="Y567" s="144"/>
      <c r="Z567" s="144"/>
      <c r="AA567" s="144"/>
      <c r="AB567" s="144"/>
      <c r="AC567" s="144"/>
      <c r="AD567" s="144"/>
      <c r="AE567" s="144"/>
      <c r="AF567" s="144"/>
    </row>
    <row r="568" ht="16.5" customHeight="1">
      <c r="A568" s="144"/>
      <c r="B568" s="144"/>
      <c r="C568" s="144"/>
      <c r="D568" s="144"/>
      <c r="E568" s="144"/>
      <c r="F568" s="144"/>
      <c r="G568" s="144"/>
      <c r="H568" s="144"/>
      <c r="I568" s="496"/>
      <c r="J568" s="496"/>
      <c r="K568" s="496"/>
      <c r="L568" s="496"/>
      <c r="M568" s="144"/>
      <c r="N568" s="144"/>
      <c r="O568" s="144"/>
      <c r="P568" s="144"/>
      <c r="Q568" s="144"/>
      <c r="R568" s="144"/>
      <c r="S568" s="144"/>
      <c r="T568" s="144"/>
      <c r="U568" s="144"/>
      <c r="V568" s="144"/>
      <c r="W568" s="144"/>
      <c r="X568" s="144"/>
      <c r="Y568" s="144"/>
      <c r="Z568" s="144"/>
      <c r="AA568" s="144"/>
      <c r="AB568" s="144"/>
      <c r="AC568" s="144"/>
      <c r="AD568" s="144"/>
      <c r="AE568" s="144"/>
      <c r="AF568" s="144"/>
    </row>
    <row r="569" ht="16.5" customHeight="1">
      <c r="A569" s="144"/>
      <c r="B569" s="144"/>
      <c r="C569" s="144"/>
      <c r="D569" s="144"/>
      <c r="E569" s="144"/>
      <c r="F569" s="144"/>
      <c r="G569" s="144"/>
      <c r="H569" s="144"/>
      <c r="I569" s="496"/>
      <c r="J569" s="496"/>
      <c r="K569" s="496"/>
      <c r="L569" s="496"/>
      <c r="M569" s="144"/>
      <c r="N569" s="144"/>
      <c r="O569" s="144"/>
      <c r="P569" s="144"/>
      <c r="Q569" s="144"/>
      <c r="R569" s="144"/>
      <c r="S569" s="144"/>
      <c r="T569" s="144"/>
      <c r="U569" s="144"/>
      <c r="V569" s="144"/>
      <c r="W569" s="144"/>
      <c r="X569" s="144"/>
      <c r="Y569" s="144"/>
      <c r="Z569" s="144"/>
      <c r="AA569" s="144"/>
      <c r="AB569" s="144"/>
      <c r="AC569" s="144"/>
      <c r="AD569" s="144"/>
      <c r="AE569" s="144"/>
      <c r="AF569" s="144"/>
    </row>
    <row r="570" ht="16.5" customHeight="1">
      <c r="A570" s="144"/>
      <c r="B570" s="144"/>
      <c r="C570" s="144"/>
      <c r="D570" s="144"/>
      <c r="E570" s="144"/>
      <c r="F570" s="144"/>
      <c r="G570" s="144"/>
      <c r="H570" s="144"/>
      <c r="I570" s="496"/>
      <c r="J570" s="496"/>
      <c r="K570" s="496"/>
      <c r="L570" s="496"/>
      <c r="M570" s="144"/>
      <c r="N570" s="144"/>
      <c r="O570" s="144"/>
      <c r="P570" s="144"/>
      <c r="Q570" s="144"/>
      <c r="R570" s="144"/>
      <c r="S570" s="144"/>
      <c r="T570" s="144"/>
      <c r="U570" s="144"/>
      <c r="V570" s="144"/>
      <c r="W570" s="144"/>
      <c r="X570" s="144"/>
      <c r="Y570" s="144"/>
      <c r="Z570" s="144"/>
      <c r="AA570" s="144"/>
      <c r="AB570" s="144"/>
      <c r="AC570" s="144"/>
      <c r="AD570" s="144"/>
      <c r="AE570" s="144"/>
      <c r="AF570" s="144"/>
    </row>
    <row r="571" ht="16.5" customHeight="1">
      <c r="A571" s="144"/>
      <c r="B571" s="144"/>
      <c r="C571" s="144"/>
      <c r="D571" s="144"/>
      <c r="E571" s="144"/>
      <c r="F571" s="144"/>
      <c r="G571" s="144"/>
      <c r="H571" s="144"/>
      <c r="I571" s="496"/>
      <c r="J571" s="496"/>
      <c r="K571" s="496"/>
      <c r="L571" s="496"/>
      <c r="M571" s="144"/>
      <c r="N571" s="144"/>
      <c r="O571" s="144"/>
      <c r="P571" s="144"/>
      <c r="Q571" s="144"/>
      <c r="R571" s="144"/>
      <c r="S571" s="144"/>
      <c r="T571" s="144"/>
      <c r="U571" s="144"/>
      <c r="V571" s="144"/>
      <c r="W571" s="144"/>
      <c r="X571" s="144"/>
      <c r="Y571" s="144"/>
      <c r="Z571" s="144"/>
      <c r="AA571" s="144"/>
      <c r="AB571" s="144"/>
      <c r="AC571" s="144"/>
      <c r="AD571" s="144"/>
      <c r="AE571" s="144"/>
      <c r="AF571" s="144"/>
    </row>
    <row r="572" ht="16.5" customHeight="1">
      <c r="A572" s="144"/>
      <c r="B572" s="144"/>
      <c r="C572" s="144"/>
      <c r="D572" s="144"/>
      <c r="E572" s="144"/>
      <c r="F572" s="144"/>
      <c r="G572" s="144"/>
      <c r="H572" s="144"/>
      <c r="I572" s="496"/>
      <c r="J572" s="496"/>
      <c r="K572" s="496"/>
      <c r="L572" s="496"/>
      <c r="M572" s="144"/>
      <c r="N572" s="144"/>
      <c r="O572" s="144"/>
      <c r="P572" s="144"/>
      <c r="Q572" s="144"/>
      <c r="R572" s="144"/>
      <c r="S572" s="144"/>
      <c r="T572" s="144"/>
      <c r="U572" s="144"/>
      <c r="V572" s="144"/>
      <c r="W572" s="144"/>
      <c r="X572" s="144"/>
      <c r="Y572" s="144"/>
      <c r="Z572" s="144"/>
      <c r="AA572" s="144"/>
      <c r="AB572" s="144"/>
      <c r="AC572" s="144"/>
      <c r="AD572" s="144"/>
      <c r="AE572" s="144"/>
      <c r="AF572" s="144"/>
    </row>
    <row r="573" ht="16.5" customHeight="1">
      <c r="A573" s="144"/>
      <c r="B573" s="144"/>
      <c r="C573" s="144"/>
      <c r="D573" s="144"/>
      <c r="E573" s="144"/>
      <c r="F573" s="144"/>
      <c r="G573" s="144"/>
      <c r="H573" s="144"/>
      <c r="I573" s="496"/>
      <c r="J573" s="496"/>
      <c r="K573" s="496"/>
      <c r="L573" s="496"/>
      <c r="M573" s="144"/>
      <c r="N573" s="144"/>
      <c r="O573" s="144"/>
      <c r="P573" s="144"/>
      <c r="Q573" s="144"/>
      <c r="R573" s="144"/>
      <c r="S573" s="144"/>
      <c r="T573" s="144"/>
      <c r="U573" s="144"/>
      <c r="V573" s="144"/>
      <c r="W573" s="144"/>
      <c r="X573" s="144"/>
      <c r="Y573" s="144"/>
      <c r="Z573" s="144"/>
      <c r="AA573" s="144"/>
      <c r="AB573" s="144"/>
      <c r="AC573" s="144"/>
      <c r="AD573" s="144"/>
      <c r="AE573" s="144"/>
      <c r="AF573" s="144"/>
    </row>
    <row r="574" ht="16.5" customHeight="1">
      <c r="A574" s="144"/>
      <c r="B574" s="144"/>
      <c r="C574" s="144"/>
      <c r="D574" s="144"/>
      <c r="E574" s="144"/>
      <c r="F574" s="144"/>
      <c r="G574" s="144"/>
      <c r="H574" s="144"/>
      <c r="I574" s="496"/>
      <c r="J574" s="496"/>
      <c r="K574" s="496"/>
      <c r="L574" s="496"/>
      <c r="M574" s="144"/>
      <c r="N574" s="144"/>
      <c r="O574" s="144"/>
      <c r="P574" s="144"/>
      <c r="Q574" s="144"/>
      <c r="R574" s="144"/>
      <c r="S574" s="144"/>
      <c r="T574" s="144"/>
      <c r="U574" s="144"/>
      <c r="V574" s="144"/>
      <c r="W574" s="144"/>
      <c r="X574" s="144"/>
      <c r="Y574" s="144"/>
      <c r="Z574" s="144"/>
      <c r="AA574" s="144"/>
      <c r="AB574" s="144"/>
      <c r="AC574" s="144"/>
      <c r="AD574" s="144"/>
      <c r="AE574" s="144"/>
      <c r="AF574" s="144"/>
    </row>
    <row r="575" ht="16.5" customHeight="1">
      <c r="A575" s="144"/>
      <c r="B575" s="144"/>
      <c r="C575" s="144"/>
      <c r="D575" s="144"/>
      <c r="E575" s="144"/>
      <c r="F575" s="144"/>
      <c r="G575" s="144"/>
      <c r="H575" s="144"/>
      <c r="I575" s="496"/>
      <c r="J575" s="496"/>
      <c r="K575" s="496"/>
      <c r="L575" s="496"/>
      <c r="M575" s="144"/>
      <c r="N575" s="144"/>
      <c r="O575" s="144"/>
      <c r="P575" s="144"/>
      <c r="Q575" s="144"/>
      <c r="R575" s="144"/>
      <c r="S575" s="144"/>
      <c r="T575" s="144"/>
      <c r="U575" s="144"/>
      <c r="V575" s="144"/>
      <c r="W575" s="144"/>
      <c r="X575" s="144"/>
      <c r="Y575" s="144"/>
      <c r="Z575" s="144"/>
      <c r="AA575" s="144"/>
      <c r="AB575" s="144"/>
      <c r="AC575" s="144"/>
      <c r="AD575" s="144"/>
      <c r="AE575" s="144"/>
      <c r="AF575" s="144"/>
    </row>
    <row r="576" ht="16.5" customHeight="1">
      <c r="A576" s="144"/>
      <c r="B576" s="144"/>
      <c r="C576" s="144"/>
      <c r="D576" s="144"/>
      <c r="E576" s="144"/>
      <c r="F576" s="144"/>
      <c r="G576" s="144"/>
      <c r="H576" s="144"/>
      <c r="I576" s="496"/>
      <c r="J576" s="496"/>
      <c r="K576" s="496"/>
      <c r="L576" s="496"/>
      <c r="M576" s="144"/>
      <c r="N576" s="144"/>
      <c r="O576" s="144"/>
      <c r="P576" s="144"/>
      <c r="Q576" s="144"/>
      <c r="R576" s="144"/>
      <c r="S576" s="144"/>
      <c r="T576" s="144"/>
      <c r="U576" s="144"/>
      <c r="V576" s="144"/>
      <c r="W576" s="144"/>
      <c r="X576" s="144"/>
      <c r="Y576" s="144"/>
      <c r="Z576" s="144"/>
      <c r="AA576" s="144"/>
      <c r="AB576" s="144"/>
      <c r="AC576" s="144"/>
      <c r="AD576" s="144"/>
      <c r="AE576" s="144"/>
      <c r="AF576" s="144"/>
    </row>
    <row r="577" ht="16.5" customHeight="1">
      <c r="A577" s="144"/>
      <c r="B577" s="144"/>
      <c r="C577" s="144"/>
      <c r="D577" s="144"/>
      <c r="E577" s="144"/>
      <c r="F577" s="144"/>
      <c r="G577" s="144"/>
      <c r="H577" s="144"/>
      <c r="I577" s="496"/>
      <c r="J577" s="496"/>
      <c r="K577" s="496"/>
      <c r="L577" s="496"/>
      <c r="M577" s="144"/>
      <c r="N577" s="144"/>
      <c r="O577" s="144"/>
      <c r="P577" s="144"/>
      <c r="Q577" s="144"/>
      <c r="R577" s="144"/>
      <c r="S577" s="144"/>
      <c r="T577" s="144"/>
      <c r="U577" s="144"/>
      <c r="V577" s="144"/>
      <c r="W577" s="144"/>
      <c r="X577" s="144"/>
      <c r="Y577" s="144"/>
      <c r="Z577" s="144"/>
      <c r="AA577" s="144"/>
      <c r="AB577" s="144"/>
      <c r="AC577" s="144"/>
      <c r="AD577" s="144"/>
      <c r="AE577" s="144"/>
      <c r="AF577" s="144"/>
    </row>
    <row r="578" ht="16.5" customHeight="1">
      <c r="A578" s="144"/>
      <c r="B578" s="144"/>
      <c r="C578" s="144"/>
      <c r="D578" s="144"/>
      <c r="E578" s="144"/>
      <c r="F578" s="144"/>
      <c r="G578" s="144"/>
      <c r="H578" s="144"/>
      <c r="I578" s="496"/>
      <c r="J578" s="496"/>
      <c r="K578" s="496"/>
      <c r="L578" s="496"/>
      <c r="M578" s="144"/>
      <c r="N578" s="144"/>
      <c r="O578" s="144"/>
      <c r="P578" s="144"/>
      <c r="Q578" s="144"/>
      <c r="R578" s="144"/>
      <c r="S578" s="144"/>
      <c r="T578" s="144"/>
      <c r="U578" s="144"/>
      <c r="V578" s="144"/>
      <c r="W578" s="144"/>
      <c r="X578" s="144"/>
      <c r="Y578" s="144"/>
      <c r="Z578" s="144"/>
      <c r="AA578" s="144"/>
      <c r="AB578" s="144"/>
      <c r="AC578" s="144"/>
      <c r="AD578" s="144"/>
      <c r="AE578" s="144"/>
      <c r="AF578" s="144"/>
    </row>
    <row r="579" ht="16.5" customHeight="1">
      <c r="A579" s="144"/>
      <c r="B579" s="144"/>
      <c r="C579" s="144"/>
      <c r="D579" s="144"/>
      <c r="E579" s="144"/>
      <c r="F579" s="144"/>
      <c r="G579" s="144"/>
      <c r="H579" s="144"/>
      <c r="I579" s="496"/>
      <c r="J579" s="496"/>
      <c r="K579" s="496"/>
      <c r="L579" s="496"/>
      <c r="M579" s="144"/>
      <c r="N579" s="144"/>
      <c r="O579" s="144"/>
      <c r="P579" s="144"/>
      <c r="Q579" s="144"/>
      <c r="R579" s="144"/>
      <c r="S579" s="144"/>
      <c r="T579" s="144"/>
      <c r="U579" s="144"/>
      <c r="V579" s="144"/>
      <c r="W579" s="144"/>
      <c r="X579" s="144"/>
      <c r="Y579" s="144"/>
      <c r="Z579" s="144"/>
      <c r="AA579" s="144"/>
      <c r="AB579" s="144"/>
      <c r="AC579" s="144"/>
      <c r="AD579" s="144"/>
      <c r="AE579" s="144"/>
      <c r="AF579" s="144"/>
    </row>
    <row r="580" ht="16.5" customHeight="1">
      <c r="A580" s="144"/>
      <c r="B580" s="144"/>
      <c r="C580" s="144"/>
      <c r="D580" s="144"/>
      <c r="E580" s="144"/>
      <c r="F580" s="144"/>
      <c r="G580" s="144"/>
      <c r="H580" s="144"/>
      <c r="I580" s="496"/>
      <c r="J580" s="496"/>
      <c r="K580" s="496"/>
      <c r="L580" s="496"/>
      <c r="M580" s="144"/>
      <c r="N580" s="144"/>
      <c r="O580" s="144"/>
      <c r="P580" s="144"/>
      <c r="Q580" s="144"/>
      <c r="R580" s="144"/>
      <c r="S580" s="144"/>
      <c r="T580" s="144"/>
      <c r="U580" s="144"/>
      <c r="V580" s="144"/>
      <c r="W580" s="144"/>
      <c r="X580" s="144"/>
      <c r="Y580" s="144"/>
      <c r="Z580" s="144"/>
      <c r="AA580" s="144"/>
      <c r="AB580" s="144"/>
      <c r="AC580" s="144"/>
      <c r="AD580" s="144"/>
      <c r="AE580" s="144"/>
      <c r="AF580" s="144"/>
    </row>
    <row r="581" ht="16.5" customHeight="1">
      <c r="A581" s="144"/>
      <c r="B581" s="144"/>
      <c r="C581" s="144"/>
      <c r="D581" s="144"/>
      <c r="E581" s="144"/>
      <c r="F581" s="144"/>
      <c r="G581" s="144"/>
      <c r="H581" s="144"/>
      <c r="I581" s="496"/>
      <c r="J581" s="496"/>
      <c r="K581" s="496"/>
      <c r="L581" s="496"/>
      <c r="M581" s="144"/>
      <c r="N581" s="144"/>
      <c r="O581" s="144"/>
      <c r="P581" s="144"/>
      <c r="Q581" s="144"/>
      <c r="R581" s="144"/>
      <c r="S581" s="144"/>
      <c r="T581" s="144"/>
      <c r="U581" s="144"/>
      <c r="V581" s="144"/>
      <c r="W581" s="144"/>
      <c r="X581" s="144"/>
      <c r="Y581" s="144"/>
      <c r="Z581" s="144"/>
      <c r="AA581" s="144"/>
      <c r="AB581" s="144"/>
      <c r="AC581" s="144"/>
      <c r="AD581" s="144"/>
      <c r="AE581" s="144"/>
      <c r="AF581" s="144"/>
    </row>
    <row r="582" ht="16.5" customHeight="1">
      <c r="A582" s="144"/>
      <c r="B582" s="144"/>
      <c r="C582" s="144"/>
      <c r="D582" s="144"/>
      <c r="E582" s="144"/>
      <c r="F582" s="144"/>
      <c r="G582" s="144"/>
      <c r="H582" s="144"/>
      <c r="I582" s="496"/>
      <c r="J582" s="496"/>
      <c r="K582" s="496"/>
      <c r="L582" s="496"/>
      <c r="M582" s="144"/>
      <c r="N582" s="144"/>
      <c r="O582" s="144"/>
      <c r="P582" s="144"/>
      <c r="Q582" s="144"/>
      <c r="R582" s="144"/>
      <c r="S582" s="144"/>
      <c r="T582" s="144"/>
      <c r="U582" s="144"/>
      <c r="V582" s="144"/>
      <c r="W582" s="144"/>
      <c r="X582" s="144"/>
      <c r="Y582" s="144"/>
      <c r="Z582" s="144"/>
      <c r="AA582" s="144"/>
      <c r="AB582" s="144"/>
      <c r="AC582" s="144"/>
      <c r="AD582" s="144"/>
      <c r="AE582" s="144"/>
      <c r="AF582" s="144"/>
    </row>
    <row r="583" ht="16.5" customHeight="1">
      <c r="A583" s="144"/>
      <c r="B583" s="144"/>
      <c r="C583" s="144"/>
      <c r="D583" s="144"/>
      <c r="E583" s="144"/>
      <c r="F583" s="144"/>
      <c r="G583" s="144"/>
      <c r="H583" s="144"/>
      <c r="I583" s="496"/>
      <c r="J583" s="496"/>
      <c r="K583" s="496"/>
      <c r="L583" s="496"/>
      <c r="M583" s="144"/>
      <c r="N583" s="144"/>
      <c r="O583" s="144"/>
      <c r="P583" s="144"/>
      <c r="Q583" s="144"/>
      <c r="R583" s="144"/>
      <c r="S583" s="144"/>
      <c r="T583" s="144"/>
      <c r="U583" s="144"/>
      <c r="V583" s="144"/>
      <c r="W583" s="144"/>
      <c r="X583" s="144"/>
      <c r="Y583" s="144"/>
      <c r="Z583" s="144"/>
      <c r="AA583" s="144"/>
      <c r="AB583" s="144"/>
      <c r="AC583" s="144"/>
      <c r="AD583" s="144"/>
      <c r="AE583" s="144"/>
      <c r="AF583" s="144"/>
    </row>
    <row r="584" ht="16.5" customHeight="1">
      <c r="A584" s="144"/>
      <c r="B584" s="144"/>
      <c r="C584" s="144"/>
      <c r="D584" s="144"/>
      <c r="E584" s="144"/>
      <c r="F584" s="144"/>
      <c r="G584" s="144"/>
      <c r="H584" s="144"/>
      <c r="I584" s="496"/>
      <c r="J584" s="496"/>
      <c r="K584" s="496"/>
      <c r="L584" s="496"/>
      <c r="M584" s="144"/>
      <c r="N584" s="144"/>
      <c r="O584" s="144"/>
      <c r="P584" s="144"/>
      <c r="Q584" s="144"/>
      <c r="R584" s="144"/>
      <c r="S584" s="144"/>
      <c r="T584" s="144"/>
      <c r="U584" s="144"/>
      <c r="V584" s="144"/>
      <c r="W584" s="144"/>
      <c r="X584" s="144"/>
      <c r="Y584" s="144"/>
      <c r="Z584" s="144"/>
      <c r="AA584" s="144"/>
      <c r="AB584" s="144"/>
      <c r="AC584" s="144"/>
      <c r="AD584" s="144"/>
      <c r="AE584" s="144"/>
      <c r="AF584" s="144"/>
    </row>
    <row r="585" ht="16.5" customHeight="1">
      <c r="A585" s="144"/>
      <c r="B585" s="144"/>
      <c r="C585" s="144"/>
      <c r="D585" s="144"/>
      <c r="E585" s="144"/>
      <c r="F585" s="144"/>
      <c r="G585" s="144"/>
      <c r="H585" s="144"/>
      <c r="I585" s="496"/>
      <c r="J585" s="496"/>
      <c r="K585" s="496"/>
      <c r="L585" s="496"/>
      <c r="M585" s="144"/>
      <c r="N585" s="144"/>
      <c r="O585" s="144"/>
      <c r="P585" s="144"/>
      <c r="Q585" s="144"/>
      <c r="R585" s="144"/>
      <c r="S585" s="144"/>
      <c r="T585" s="144"/>
      <c r="U585" s="144"/>
      <c r="V585" s="144"/>
      <c r="W585" s="144"/>
      <c r="X585" s="144"/>
      <c r="Y585" s="144"/>
      <c r="Z585" s="144"/>
      <c r="AA585" s="144"/>
      <c r="AB585" s="144"/>
      <c r="AC585" s="144"/>
      <c r="AD585" s="144"/>
      <c r="AE585" s="144"/>
      <c r="AF585" s="144"/>
    </row>
    <row r="586" ht="16.5" customHeight="1">
      <c r="A586" s="144"/>
      <c r="B586" s="144"/>
      <c r="C586" s="144"/>
      <c r="D586" s="144"/>
      <c r="E586" s="144"/>
      <c r="F586" s="144"/>
      <c r="G586" s="144"/>
      <c r="H586" s="144"/>
      <c r="I586" s="496"/>
      <c r="J586" s="496"/>
      <c r="K586" s="496"/>
      <c r="L586" s="496"/>
      <c r="M586" s="144"/>
      <c r="N586" s="144"/>
      <c r="O586" s="144"/>
      <c r="P586" s="144"/>
      <c r="Q586" s="144"/>
      <c r="R586" s="144"/>
      <c r="S586" s="144"/>
      <c r="T586" s="144"/>
      <c r="U586" s="144"/>
      <c r="V586" s="144"/>
      <c r="W586" s="144"/>
      <c r="X586" s="144"/>
      <c r="Y586" s="144"/>
      <c r="Z586" s="144"/>
      <c r="AA586" s="144"/>
      <c r="AB586" s="144"/>
      <c r="AC586" s="144"/>
      <c r="AD586" s="144"/>
      <c r="AE586" s="144"/>
      <c r="AF586" s="144"/>
    </row>
    <row r="587" ht="16.5" customHeight="1">
      <c r="A587" s="144"/>
      <c r="B587" s="144"/>
      <c r="C587" s="144"/>
      <c r="D587" s="144"/>
      <c r="E587" s="144"/>
      <c r="F587" s="144"/>
      <c r="G587" s="144"/>
      <c r="H587" s="144"/>
      <c r="I587" s="496"/>
      <c r="J587" s="496"/>
      <c r="K587" s="496"/>
      <c r="L587" s="496"/>
      <c r="M587" s="144"/>
      <c r="N587" s="144"/>
      <c r="O587" s="144"/>
      <c r="P587" s="144"/>
      <c r="Q587" s="144"/>
      <c r="R587" s="144"/>
      <c r="S587" s="144"/>
      <c r="T587" s="144"/>
      <c r="U587" s="144"/>
      <c r="V587" s="144"/>
      <c r="W587" s="144"/>
      <c r="X587" s="144"/>
      <c r="Y587" s="144"/>
      <c r="Z587" s="144"/>
      <c r="AA587" s="144"/>
      <c r="AB587" s="144"/>
      <c r="AC587" s="144"/>
      <c r="AD587" s="144"/>
      <c r="AE587" s="144"/>
      <c r="AF587" s="144"/>
    </row>
    <row r="588" ht="16.5" customHeight="1">
      <c r="A588" s="144"/>
      <c r="B588" s="144"/>
      <c r="C588" s="144"/>
      <c r="D588" s="144"/>
      <c r="E588" s="144"/>
      <c r="F588" s="144"/>
      <c r="G588" s="144"/>
      <c r="H588" s="144"/>
      <c r="I588" s="496"/>
      <c r="J588" s="496"/>
      <c r="K588" s="496"/>
      <c r="L588" s="496"/>
      <c r="M588" s="144"/>
      <c r="N588" s="144"/>
      <c r="O588" s="144"/>
      <c r="P588" s="144"/>
      <c r="Q588" s="144"/>
      <c r="R588" s="144"/>
      <c r="S588" s="144"/>
      <c r="T588" s="144"/>
      <c r="U588" s="144"/>
      <c r="V588" s="144"/>
      <c r="W588" s="144"/>
      <c r="X588" s="144"/>
      <c r="Y588" s="144"/>
      <c r="Z588" s="144"/>
      <c r="AA588" s="144"/>
      <c r="AB588" s="144"/>
      <c r="AC588" s="144"/>
      <c r="AD588" s="144"/>
      <c r="AE588" s="144"/>
      <c r="AF588" s="144"/>
    </row>
    <row r="589" ht="16.5" customHeight="1">
      <c r="A589" s="144"/>
      <c r="B589" s="144"/>
      <c r="C589" s="144"/>
      <c r="D589" s="144"/>
      <c r="E589" s="144"/>
      <c r="F589" s="144"/>
      <c r="G589" s="144"/>
      <c r="H589" s="144"/>
      <c r="I589" s="496"/>
      <c r="J589" s="496"/>
      <c r="K589" s="496"/>
      <c r="L589" s="496"/>
      <c r="M589" s="144"/>
      <c r="N589" s="144"/>
      <c r="O589" s="144"/>
      <c r="P589" s="144"/>
      <c r="Q589" s="144"/>
      <c r="R589" s="144"/>
      <c r="S589" s="144"/>
      <c r="T589" s="144"/>
      <c r="U589" s="144"/>
      <c r="V589" s="144"/>
      <c r="W589" s="144"/>
      <c r="X589" s="144"/>
      <c r="Y589" s="144"/>
      <c r="Z589" s="144"/>
      <c r="AA589" s="144"/>
      <c r="AB589" s="144"/>
      <c r="AC589" s="144"/>
      <c r="AD589" s="144"/>
      <c r="AE589" s="144"/>
      <c r="AF589" s="144"/>
    </row>
    <row r="590" ht="16.5" customHeight="1">
      <c r="A590" s="144"/>
      <c r="B590" s="144"/>
      <c r="C590" s="144"/>
      <c r="D590" s="144"/>
      <c r="E590" s="144"/>
      <c r="F590" s="144"/>
      <c r="G590" s="144"/>
      <c r="H590" s="144"/>
      <c r="I590" s="496"/>
      <c r="J590" s="496"/>
      <c r="K590" s="496"/>
      <c r="L590" s="496"/>
      <c r="M590" s="144"/>
      <c r="N590" s="144"/>
      <c r="O590" s="144"/>
      <c r="P590" s="144"/>
      <c r="Q590" s="144"/>
      <c r="R590" s="144"/>
      <c r="S590" s="144"/>
      <c r="T590" s="144"/>
      <c r="U590" s="144"/>
      <c r="V590" s="144"/>
      <c r="W590" s="144"/>
      <c r="X590" s="144"/>
      <c r="Y590" s="144"/>
      <c r="Z590" s="144"/>
      <c r="AA590" s="144"/>
      <c r="AB590" s="144"/>
      <c r="AC590" s="144"/>
      <c r="AD590" s="144"/>
      <c r="AE590" s="144"/>
      <c r="AF590" s="144"/>
    </row>
    <row r="591" ht="16.5" customHeight="1">
      <c r="A591" s="144"/>
      <c r="B591" s="144"/>
      <c r="C591" s="144"/>
      <c r="D591" s="144"/>
      <c r="E591" s="144"/>
      <c r="F591" s="144"/>
      <c r="G591" s="144"/>
      <c r="H591" s="144"/>
      <c r="I591" s="496"/>
      <c r="J591" s="496"/>
      <c r="K591" s="496"/>
      <c r="L591" s="496"/>
      <c r="M591" s="144"/>
      <c r="N591" s="144"/>
      <c r="O591" s="144"/>
      <c r="P591" s="144"/>
      <c r="Q591" s="144"/>
      <c r="R591" s="144"/>
      <c r="S591" s="144"/>
      <c r="T591" s="144"/>
      <c r="U591" s="144"/>
      <c r="V591" s="144"/>
      <c r="W591" s="144"/>
      <c r="X591" s="144"/>
      <c r="Y591" s="144"/>
      <c r="Z591" s="144"/>
      <c r="AA591" s="144"/>
      <c r="AB591" s="144"/>
      <c r="AC591" s="144"/>
      <c r="AD591" s="144"/>
      <c r="AE591" s="144"/>
      <c r="AF591" s="144"/>
    </row>
    <row r="592" ht="16.5" customHeight="1">
      <c r="A592" s="144"/>
      <c r="B592" s="144"/>
      <c r="C592" s="144"/>
      <c r="D592" s="144"/>
      <c r="E592" s="144"/>
      <c r="F592" s="144"/>
      <c r="G592" s="144"/>
      <c r="H592" s="144"/>
      <c r="I592" s="496"/>
      <c r="J592" s="496"/>
      <c r="K592" s="496"/>
      <c r="L592" s="496"/>
      <c r="M592" s="144"/>
      <c r="N592" s="144"/>
      <c r="O592" s="144"/>
      <c r="P592" s="144"/>
      <c r="Q592" s="144"/>
      <c r="R592" s="144"/>
      <c r="S592" s="144"/>
      <c r="T592" s="144"/>
      <c r="U592" s="144"/>
      <c r="V592" s="144"/>
      <c r="W592" s="144"/>
      <c r="X592" s="144"/>
      <c r="Y592" s="144"/>
      <c r="Z592" s="144"/>
      <c r="AA592" s="144"/>
      <c r="AB592" s="144"/>
      <c r="AC592" s="144"/>
      <c r="AD592" s="144"/>
      <c r="AE592" s="144"/>
      <c r="AF592" s="144"/>
    </row>
    <row r="593" ht="16.5" customHeight="1">
      <c r="A593" s="144"/>
      <c r="B593" s="144"/>
      <c r="C593" s="144"/>
      <c r="D593" s="144"/>
      <c r="E593" s="144"/>
      <c r="F593" s="144"/>
      <c r="G593" s="144"/>
      <c r="H593" s="144"/>
      <c r="I593" s="496"/>
      <c r="J593" s="496"/>
      <c r="K593" s="496"/>
      <c r="L593" s="496"/>
      <c r="M593" s="144"/>
      <c r="N593" s="144"/>
      <c r="O593" s="144"/>
      <c r="P593" s="144"/>
      <c r="Q593" s="144"/>
      <c r="R593" s="144"/>
      <c r="S593" s="144"/>
      <c r="T593" s="144"/>
      <c r="U593" s="144"/>
      <c r="V593" s="144"/>
      <c r="W593" s="144"/>
      <c r="X593" s="144"/>
      <c r="Y593" s="144"/>
      <c r="Z593" s="144"/>
      <c r="AA593" s="144"/>
      <c r="AB593" s="144"/>
      <c r="AC593" s="144"/>
      <c r="AD593" s="144"/>
      <c r="AE593" s="144"/>
      <c r="AF593" s="144"/>
    </row>
    <row r="594" ht="16.5" customHeight="1">
      <c r="A594" s="144"/>
      <c r="B594" s="144"/>
      <c r="C594" s="144"/>
      <c r="D594" s="144"/>
      <c r="E594" s="144"/>
      <c r="F594" s="144"/>
      <c r="G594" s="144"/>
      <c r="H594" s="144"/>
      <c r="I594" s="496"/>
      <c r="J594" s="496"/>
      <c r="K594" s="496"/>
      <c r="L594" s="496"/>
      <c r="M594" s="144"/>
      <c r="N594" s="144"/>
      <c r="O594" s="144"/>
      <c r="P594" s="144"/>
      <c r="Q594" s="144"/>
      <c r="R594" s="144"/>
      <c r="S594" s="144"/>
      <c r="T594" s="144"/>
      <c r="U594" s="144"/>
      <c r="V594" s="144"/>
      <c r="W594" s="144"/>
      <c r="X594" s="144"/>
      <c r="Y594" s="144"/>
      <c r="Z594" s="144"/>
      <c r="AA594" s="144"/>
      <c r="AB594" s="144"/>
      <c r="AC594" s="144"/>
      <c r="AD594" s="144"/>
      <c r="AE594" s="144"/>
      <c r="AF594" s="144"/>
    </row>
    <row r="595" ht="16.5" customHeight="1">
      <c r="A595" s="144"/>
      <c r="B595" s="144"/>
      <c r="C595" s="144"/>
      <c r="D595" s="144"/>
      <c r="E595" s="144"/>
      <c r="F595" s="144"/>
      <c r="G595" s="144"/>
      <c r="H595" s="144"/>
      <c r="I595" s="496"/>
      <c r="J595" s="496"/>
      <c r="K595" s="496"/>
      <c r="L595" s="496"/>
      <c r="M595" s="144"/>
      <c r="N595" s="144"/>
      <c r="O595" s="144"/>
      <c r="P595" s="144"/>
      <c r="Q595" s="144"/>
      <c r="R595" s="144"/>
      <c r="S595" s="144"/>
      <c r="T595" s="144"/>
      <c r="U595" s="144"/>
      <c r="V595" s="144"/>
      <c r="W595" s="144"/>
      <c r="X595" s="144"/>
      <c r="Y595" s="144"/>
      <c r="Z595" s="144"/>
      <c r="AA595" s="144"/>
      <c r="AB595" s="144"/>
      <c r="AC595" s="144"/>
      <c r="AD595" s="144"/>
      <c r="AE595" s="144"/>
      <c r="AF595" s="144"/>
    </row>
    <row r="596" ht="16.5" customHeight="1">
      <c r="A596" s="144"/>
      <c r="B596" s="144"/>
      <c r="C596" s="144"/>
      <c r="D596" s="144"/>
      <c r="E596" s="144"/>
      <c r="F596" s="144"/>
      <c r="G596" s="144"/>
      <c r="H596" s="144"/>
      <c r="I596" s="496"/>
      <c r="J596" s="496"/>
      <c r="K596" s="496"/>
      <c r="L596" s="496"/>
      <c r="M596" s="144"/>
      <c r="N596" s="144"/>
      <c r="O596" s="144"/>
      <c r="P596" s="144"/>
      <c r="Q596" s="144"/>
      <c r="R596" s="144"/>
      <c r="S596" s="144"/>
      <c r="T596" s="144"/>
      <c r="U596" s="144"/>
      <c r="V596" s="144"/>
      <c r="W596" s="144"/>
      <c r="X596" s="144"/>
      <c r="Y596" s="144"/>
      <c r="Z596" s="144"/>
      <c r="AA596" s="144"/>
      <c r="AB596" s="144"/>
      <c r="AC596" s="144"/>
      <c r="AD596" s="144"/>
      <c r="AE596" s="144"/>
      <c r="AF596" s="144"/>
    </row>
    <row r="597" ht="16.5" customHeight="1">
      <c r="A597" s="144"/>
      <c r="B597" s="144"/>
      <c r="C597" s="144"/>
      <c r="D597" s="144"/>
      <c r="E597" s="144"/>
      <c r="F597" s="144"/>
      <c r="G597" s="144"/>
      <c r="H597" s="144"/>
      <c r="I597" s="496"/>
      <c r="J597" s="496"/>
      <c r="K597" s="496"/>
      <c r="L597" s="496"/>
      <c r="M597" s="144"/>
      <c r="N597" s="144"/>
      <c r="O597" s="144"/>
      <c r="P597" s="144"/>
      <c r="Q597" s="144"/>
      <c r="R597" s="144"/>
      <c r="S597" s="144"/>
      <c r="T597" s="144"/>
      <c r="U597" s="144"/>
      <c r="V597" s="144"/>
      <c r="W597" s="144"/>
      <c r="X597" s="144"/>
      <c r="Y597" s="144"/>
      <c r="Z597" s="144"/>
      <c r="AA597" s="144"/>
      <c r="AB597" s="144"/>
      <c r="AC597" s="144"/>
      <c r="AD597" s="144"/>
      <c r="AE597" s="144"/>
      <c r="AF597" s="144"/>
    </row>
    <row r="598" ht="16.5" customHeight="1">
      <c r="A598" s="144"/>
      <c r="B598" s="144"/>
      <c r="C598" s="144"/>
      <c r="D598" s="144"/>
      <c r="E598" s="144"/>
      <c r="F598" s="144"/>
      <c r="G598" s="144"/>
      <c r="H598" s="144"/>
      <c r="I598" s="496"/>
      <c r="J598" s="496"/>
      <c r="K598" s="496"/>
      <c r="L598" s="496"/>
      <c r="M598" s="144"/>
      <c r="N598" s="144"/>
      <c r="O598" s="144"/>
      <c r="P598" s="144"/>
      <c r="Q598" s="144"/>
      <c r="R598" s="144"/>
      <c r="S598" s="144"/>
      <c r="T598" s="144"/>
      <c r="U598" s="144"/>
      <c r="V598" s="144"/>
      <c r="W598" s="144"/>
      <c r="X598" s="144"/>
      <c r="Y598" s="144"/>
      <c r="Z598" s="144"/>
      <c r="AA598" s="144"/>
      <c r="AB598" s="144"/>
      <c r="AC598" s="144"/>
      <c r="AD598" s="144"/>
      <c r="AE598" s="144"/>
      <c r="AF598" s="144"/>
    </row>
    <row r="599" ht="16.5" customHeight="1">
      <c r="A599" s="144"/>
      <c r="B599" s="144"/>
      <c r="C599" s="144"/>
      <c r="D599" s="144"/>
      <c r="E599" s="144"/>
      <c r="F599" s="144"/>
      <c r="G599" s="144"/>
      <c r="H599" s="144"/>
      <c r="I599" s="496"/>
      <c r="J599" s="496"/>
      <c r="K599" s="496"/>
      <c r="L599" s="496"/>
      <c r="M599" s="144"/>
      <c r="N599" s="144"/>
      <c r="O599" s="144"/>
      <c r="P599" s="144"/>
      <c r="Q599" s="144"/>
      <c r="R599" s="144"/>
      <c r="S599" s="144"/>
      <c r="T599" s="144"/>
      <c r="U599" s="144"/>
      <c r="V599" s="144"/>
      <c r="W599" s="144"/>
      <c r="X599" s="144"/>
      <c r="Y599" s="144"/>
      <c r="Z599" s="144"/>
      <c r="AA599" s="144"/>
      <c r="AB599" s="144"/>
      <c r="AC599" s="144"/>
      <c r="AD599" s="144"/>
      <c r="AE599" s="144"/>
      <c r="AF599" s="144"/>
    </row>
    <row r="600" ht="16.5" customHeight="1">
      <c r="A600" s="144"/>
      <c r="B600" s="144"/>
      <c r="C600" s="144"/>
      <c r="D600" s="144"/>
      <c r="E600" s="144"/>
      <c r="F600" s="144"/>
      <c r="G600" s="144"/>
      <c r="H600" s="144"/>
      <c r="I600" s="496"/>
      <c r="J600" s="496"/>
      <c r="K600" s="496"/>
      <c r="L600" s="496"/>
      <c r="M600" s="144"/>
      <c r="N600" s="144"/>
      <c r="O600" s="144"/>
      <c r="P600" s="144"/>
      <c r="Q600" s="144"/>
      <c r="R600" s="144"/>
      <c r="S600" s="144"/>
      <c r="T600" s="144"/>
      <c r="U600" s="144"/>
      <c r="V600" s="144"/>
      <c r="W600" s="144"/>
      <c r="X600" s="144"/>
      <c r="Y600" s="144"/>
      <c r="Z600" s="144"/>
      <c r="AA600" s="144"/>
      <c r="AB600" s="144"/>
      <c r="AC600" s="144"/>
      <c r="AD600" s="144"/>
      <c r="AE600" s="144"/>
      <c r="AF600" s="144"/>
    </row>
    <row r="601" ht="16.5" customHeight="1">
      <c r="A601" s="144"/>
      <c r="B601" s="144"/>
      <c r="C601" s="144"/>
      <c r="D601" s="144"/>
      <c r="E601" s="144"/>
      <c r="F601" s="144"/>
      <c r="G601" s="144"/>
      <c r="H601" s="144"/>
      <c r="I601" s="496"/>
      <c r="J601" s="496"/>
      <c r="K601" s="496"/>
      <c r="L601" s="496"/>
      <c r="M601" s="144"/>
      <c r="N601" s="144"/>
      <c r="O601" s="144"/>
      <c r="P601" s="144"/>
      <c r="Q601" s="144"/>
      <c r="R601" s="144"/>
      <c r="S601" s="144"/>
      <c r="T601" s="144"/>
      <c r="U601" s="144"/>
      <c r="V601" s="144"/>
      <c r="W601" s="144"/>
      <c r="X601" s="144"/>
      <c r="Y601" s="144"/>
      <c r="Z601" s="144"/>
      <c r="AA601" s="144"/>
      <c r="AB601" s="144"/>
      <c r="AC601" s="144"/>
      <c r="AD601" s="144"/>
      <c r="AE601" s="144"/>
      <c r="AF601" s="144"/>
    </row>
    <row r="602" ht="16.5" customHeight="1">
      <c r="A602" s="144"/>
      <c r="B602" s="144"/>
      <c r="C602" s="144"/>
      <c r="D602" s="144"/>
      <c r="E602" s="144"/>
      <c r="F602" s="144"/>
      <c r="G602" s="144"/>
      <c r="H602" s="144"/>
      <c r="I602" s="496"/>
      <c r="J602" s="496"/>
      <c r="K602" s="496"/>
      <c r="L602" s="496"/>
      <c r="M602" s="144"/>
      <c r="N602" s="144"/>
      <c r="O602" s="144"/>
      <c r="P602" s="144"/>
      <c r="Q602" s="144"/>
      <c r="R602" s="144"/>
      <c r="S602" s="144"/>
      <c r="T602" s="144"/>
      <c r="U602" s="144"/>
      <c r="V602" s="144"/>
      <c r="W602" s="144"/>
      <c r="X602" s="144"/>
      <c r="Y602" s="144"/>
      <c r="Z602" s="144"/>
      <c r="AA602" s="144"/>
      <c r="AB602" s="144"/>
      <c r="AC602" s="144"/>
      <c r="AD602" s="144"/>
      <c r="AE602" s="144"/>
      <c r="AF602" s="144"/>
    </row>
    <row r="603" ht="16.5" customHeight="1">
      <c r="A603" s="144"/>
      <c r="B603" s="144"/>
      <c r="C603" s="144"/>
      <c r="D603" s="144"/>
      <c r="E603" s="144"/>
      <c r="F603" s="144"/>
      <c r="G603" s="144"/>
      <c r="H603" s="144"/>
      <c r="I603" s="496"/>
      <c r="J603" s="496"/>
      <c r="K603" s="496"/>
      <c r="L603" s="496"/>
      <c r="M603" s="144"/>
      <c r="N603" s="144"/>
      <c r="O603" s="144"/>
      <c r="P603" s="144"/>
      <c r="Q603" s="144"/>
      <c r="R603" s="144"/>
      <c r="S603" s="144"/>
      <c r="T603" s="144"/>
      <c r="U603" s="144"/>
      <c r="V603" s="144"/>
      <c r="W603" s="144"/>
      <c r="X603" s="144"/>
      <c r="Y603" s="144"/>
      <c r="Z603" s="144"/>
      <c r="AA603" s="144"/>
      <c r="AB603" s="144"/>
      <c r="AC603" s="144"/>
      <c r="AD603" s="144"/>
      <c r="AE603" s="144"/>
      <c r="AF603" s="144"/>
    </row>
    <row r="604" ht="16.5" customHeight="1">
      <c r="A604" s="144"/>
      <c r="B604" s="144"/>
      <c r="C604" s="144"/>
      <c r="D604" s="144"/>
      <c r="E604" s="144"/>
      <c r="F604" s="144"/>
      <c r="G604" s="144"/>
      <c r="H604" s="144"/>
      <c r="I604" s="496"/>
      <c r="J604" s="496"/>
      <c r="K604" s="496"/>
      <c r="L604" s="496"/>
      <c r="M604" s="144"/>
      <c r="N604" s="144"/>
      <c r="O604" s="144"/>
      <c r="P604" s="144"/>
      <c r="Q604" s="144"/>
      <c r="R604" s="144"/>
      <c r="S604" s="144"/>
      <c r="T604" s="144"/>
      <c r="U604" s="144"/>
      <c r="V604" s="144"/>
      <c r="W604" s="144"/>
      <c r="X604" s="144"/>
      <c r="Y604" s="144"/>
      <c r="Z604" s="144"/>
      <c r="AA604" s="144"/>
      <c r="AB604" s="144"/>
      <c r="AC604" s="144"/>
      <c r="AD604" s="144"/>
      <c r="AE604" s="144"/>
      <c r="AF604" s="144"/>
    </row>
    <row r="605" ht="16.5" customHeight="1">
      <c r="A605" s="144"/>
      <c r="B605" s="144"/>
      <c r="C605" s="144"/>
      <c r="D605" s="144"/>
      <c r="E605" s="144"/>
      <c r="F605" s="144"/>
      <c r="G605" s="144"/>
      <c r="H605" s="144"/>
      <c r="I605" s="496"/>
      <c r="J605" s="496"/>
      <c r="K605" s="496"/>
      <c r="L605" s="496"/>
      <c r="M605" s="144"/>
      <c r="N605" s="144"/>
      <c r="O605" s="144"/>
      <c r="P605" s="144"/>
      <c r="Q605" s="144"/>
      <c r="R605" s="144"/>
      <c r="S605" s="144"/>
      <c r="T605" s="144"/>
      <c r="U605" s="144"/>
      <c r="V605" s="144"/>
      <c r="W605" s="144"/>
      <c r="X605" s="144"/>
      <c r="Y605" s="144"/>
      <c r="Z605" s="144"/>
      <c r="AA605" s="144"/>
      <c r="AB605" s="144"/>
      <c r="AC605" s="144"/>
      <c r="AD605" s="144"/>
      <c r="AE605" s="144"/>
      <c r="AF605" s="144"/>
    </row>
    <row r="606" ht="16.5" customHeight="1">
      <c r="A606" s="144"/>
      <c r="B606" s="144"/>
      <c r="C606" s="144"/>
      <c r="D606" s="144"/>
      <c r="E606" s="144"/>
      <c r="F606" s="144"/>
      <c r="G606" s="144"/>
      <c r="H606" s="144"/>
      <c r="I606" s="496"/>
      <c r="J606" s="496"/>
      <c r="K606" s="496"/>
      <c r="L606" s="496"/>
      <c r="M606" s="144"/>
      <c r="N606" s="144"/>
      <c r="O606" s="144"/>
      <c r="P606" s="144"/>
      <c r="Q606" s="144"/>
      <c r="R606" s="144"/>
      <c r="S606" s="144"/>
      <c r="T606" s="144"/>
      <c r="U606" s="144"/>
      <c r="V606" s="144"/>
      <c r="W606" s="144"/>
      <c r="X606" s="144"/>
      <c r="Y606" s="144"/>
      <c r="Z606" s="144"/>
      <c r="AA606" s="144"/>
      <c r="AB606" s="144"/>
      <c r="AC606" s="144"/>
      <c r="AD606" s="144"/>
      <c r="AE606" s="144"/>
      <c r="AF606" s="144"/>
    </row>
    <row r="607" ht="16.5" customHeight="1">
      <c r="A607" s="144"/>
      <c r="B607" s="144"/>
      <c r="C607" s="144"/>
      <c r="D607" s="144"/>
      <c r="E607" s="144"/>
      <c r="F607" s="144"/>
      <c r="G607" s="144"/>
      <c r="H607" s="144"/>
      <c r="I607" s="496"/>
      <c r="J607" s="496"/>
      <c r="K607" s="496"/>
      <c r="L607" s="496"/>
      <c r="M607" s="144"/>
      <c r="N607" s="144"/>
      <c r="O607" s="144"/>
      <c r="P607" s="144"/>
      <c r="Q607" s="144"/>
      <c r="R607" s="144"/>
      <c r="S607" s="144"/>
      <c r="T607" s="144"/>
      <c r="U607" s="144"/>
      <c r="V607" s="144"/>
      <c r="W607" s="144"/>
      <c r="X607" s="144"/>
      <c r="Y607" s="144"/>
      <c r="Z607" s="144"/>
      <c r="AA607" s="144"/>
      <c r="AB607" s="144"/>
      <c r="AC607" s="144"/>
      <c r="AD607" s="144"/>
      <c r="AE607" s="144"/>
      <c r="AF607" s="144"/>
    </row>
    <row r="608" ht="16.5" customHeight="1">
      <c r="A608" s="144"/>
      <c r="B608" s="144"/>
      <c r="C608" s="144"/>
      <c r="D608" s="144"/>
      <c r="E608" s="144"/>
      <c r="F608" s="144"/>
      <c r="G608" s="144"/>
      <c r="H608" s="144"/>
      <c r="I608" s="496"/>
      <c r="J608" s="496"/>
      <c r="K608" s="496"/>
      <c r="L608" s="496"/>
      <c r="M608" s="144"/>
      <c r="N608" s="144"/>
      <c r="O608" s="144"/>
      <c r="P608" s="144"/>
      <c r="Q608" s="144"/>
      <c r="R608" s="144"/>
      <c r="S608" s="144"/>
      <c r="T608" s="144"/>
      <c r="U608" s="144"/>
      <c r="V608" s="144"/>
      <c r="W608" s="144"/>
      <c r="X608" s="144"/>
      <c r="Y608" s="144"/>
      <c r="Z608" s="144"/>
      <c r="AA608" s="144"/>
      <c r="AB608" s="144"/>
      <c r="AC608" s="144"/>
      <c r="AD608" s="144"/>
      <c r="AE608" s="144"/>
      <c r="AF608" s="144"/>
    </row>
    <row r="609" ht="16.5" customHeight="1">
      <c r="A609" s="144"/>
      <c r="B609" s="144"/>
      <c r="C609" s="144"/>
      <c r="D609" s="144"/>
      <c r="E609" s="144"/>
      <c r="F609" s="144"/>
      <c r="G609" s="144"/>
      <c r="H609" s="144"/>
      <c r="I609" s="496"/>
      <c r="J609" s="496"/>
      <c r="K609" s="496"/>
      <c r="L609" s="496"/>
      <c r="M609" s="144"/>
      <c r="N609" s="144"/>
      <c r="O609" s="144"/>
      <c r="P609" s="144"/>
      <c r="Q609" s="144"/>
      <c r="R609" s="144"/>
      <c r="S609" s="144"/>
      <c r="T609" s="144"/>
      <c r="U609" s="144"/>
      <c r="V609" s="144"/>
      <c r="W609" s="144"/>
      <c r="X609" s="144"/>
      <c r="Y609" s="144"/>
      <c r="Z609" s="144"/>
      <c r="AA609" s="144"/>
      <c r="AB609" s="144"/>
      <c r="AC609" s="144"/>
      <c r="AD609" s="144"/>
      <c r="AE609" s="144"/>
      <c r="AF609" s="144"/>
    </row>
    <row r="610" ht="16.5" customHeight="1">
      <c r="A610" s="144"/>
      <c r="B610" s="144"/>
      <c r="C610" s="144"/>
      <c r="D610" s="144"/>
      <c r="E610" s="144"/>
      <c r="F610" s="144"/>
      <c r="G610" s="144"/>
      <c r="H610" s="144"/>
      <c r="I610" s="496"/>
      <c r="J610" s="496"/>
      <c r="K610" s="496"/>
      <c r="L610" s="496"/>
      <c r="M610" s="144"/>
      <c r="N610" s="144"/>
      <c r="O610" s="144"/>
      <c r="P610" s="144"/>
      <c r="Q610" s="144"/>
      <c r="R610" s="144"/>
      <c r="S610" s="144"/>
      <c r="T610" s="144"/>
      <c r="U610" s="144"/>
      <c r="V610" s="144"/>
      <c r="W610" s="144"/>
      <c r="X610" s="144"/>
      <c r="Y610" s="144"/>
      <c r="Z610" s="144"/>
      <c r="AA610" s="144"/>
      <c r="AB610" s="144"/>
      <c r="AC610" s="144"/>
      <c r="AD610" s="144"/>
      <c r="AE610" s="144"/>
      <c r="AF610" s="144"/>
    </row>
    <row r="611" ht="16.5" customHeight="1">
      <c r="A611" s="144"/>
      <c r="B611" s="144"/>
      <c r="C611" s="144"/>
      <c r="D611" s="144"/>
      <c r="E611" s="144"/>
      <c r="F611" s="144"/>
      <c r="G611" s="144"/>
      <c r="H611" s="144"/>
      <c r="I611" s="496"/>
      <c r="J611" s="496"/>
      <c r="K611" s="496"/>
      <c r="L611" s="496"/>
      <c r="M611" s="144"/>
      <c r="N611" s="144"/>
      <c r="O611" s="144"/>
      <c r="P611" s="144"/>
      <c r="Q611" s="144"/>
      <c r="R611" s="144"/>
      <c r="S611" s="144"/>
      <c r="T611" s="144"/>
      <c r="U611" s="144"/>
      <c r="V611" s="144"/>
      <c r="W611" s="144"/>
      <c r="X611" s="144"/>
      <c r="Y611" s="144"/>
      <c r="Z611" s="144"/>
      <c r="AA611" s="144"/>
      <c r="AB611" s="144"/>
      <c r="AC611" s="144"/>
      <c r="AD611" s="144"/>
      <c r="AE611" s="144"/>
      <c r="AF611" s="144"/>
    </row>
    <row r="612" ht="16.5" customHeight="1">
      <c r="A612" s="144"/>
      <c r="B612" s="144"/>
      <c r="C612" s="144"/>
      <c r="D612" s="144"/>
      <c r="E612" s="144"/>
      <c r="F612" s="144"/>
      <c r="G612" s="144"/>
      <c r="H612" s="144"/>
      <c r="I612" s="496"/>
      <c r="J612" s="496"/>
      <c r="K612" s="496"/>
      <c r="L612" s="496"/>
      <c r="M612" s="144"/>
      <c r="N612" s="144"/>
      <c r="O612" s="144"/>
      <c r="P612" s="144"/>
      <c r="Q612" s="144"/>
      <c r="R612" s="144"/>
      <c r="S612" s="144"/>
      <c r="T612" s="144"/>
      <c r="U612" s="144"/>
      <c r="V612" s="144"/>
      <c r="W612" s="144"/>
      <c r="X612" s="144"/>
      <c r="Y612" s="144"/>
      <c r="Z612" s="144"/>
      <c r="AA612" s="144"/>
      <c r="AB612" s="144"/>
      <c r="AC612" s="144"/>
      <c r="AD612" s="144"/>
      <c r="AE612" s="144"/>
      <c r="AF612" s="144"/>
    </row>
    <row r="613" ht="16.5" customHeight="1">
      <c r="A613" s="144"/>
      <c r="B613" s="144"/>
      <c r="C613" s="144"/>
      <c r="D613" s="144"/>
      <c r="E613" s="144"/>
      <c r="F613" s="144"/>
      <c r="G613" s="144"/>
      <c r="H613" s="144"/>
      <c r="I613" s="496"/>
      <c r="J613" s="496"/>
      <c r="K613" s="496"/>
      <c r="L613" s="496"/>
      <c r="M613" s="144"/>
      <c r="N613" s="144"/>
      <c r="O613" s="144"/>
      <c r="P613" s="144"/>
      <c r="Q613" s="144"/>
      <c r="R613" s="144"/>
      <c r="S613" s="144"/>
      <c r="T613" s="144"/>
      <c r="U613" s="144"/>
      <c r="V613" s="144"/>
      <c r="W613" s="144"/>
      <c r="X613" s="144"/>
      <c r="Y613" s="144"/>
      <c r="Z613" s="144"/>
      <c r="AA613" s="144"/>
      <c r="AB613" s="144"/>
      <c r="AC613" s="144"/>
      <c r="AD613" s="144"/>
      <c r="AE613" s="144"/>
      <c r="AF613" s="144"/>
    </row>
    <row r="614" ht="16.5" customHeight="1">
      <c r="A614" s="144"/>
      <c r="B614" s="144"/>
      <c r="C614" s="144"/>
      <c r="D614" s="144"/>
      <c r="E614" s="144"/>
      <c r="F614" s="144"/>
      <c r="G614" s="144"/>
      <c r="H614" s="144"/>
      <c r="I614" s="496"/>
      <c r="J614" s="496"/>
      <c r="K614" s="496"/>
      <c r="L614" s="496"/>
      <c r="M614" s="144"/>
      <c r="N614" s="144"/>
      <c r="O614" s="144"/>
      <c r="P614" s="144"/>
      <c r="Q614" s="144"/>
      <c r="R614" s="144"/>
      <c r="S614" s="144"/>
      <c r="T614" s="144"/>
      <c r="U614" s="144"/>
      <c r="V614" s="144"/>
      <c r="W614" s="144"/>
      <c r="X614" s="144"/>
      <c r="Y614" s="144"/>
      <c r="Z614" s="144"/>
      <c r="AA614" s="144"/>
      <c r="AB614" s="144"/>
      <c r="AC614" s="144"/>
      <c r="AD614" s="144"/>
      <c r="AE614" s="144"/>
      <c r="AF614" s="144"/>
    </row>
    <row r="615" ht="16.5" customHeight="1">
      <c r="A615" s="144"/>
      <c r="B615" s="144"/>
      <c r="C615" s="144"/>
      <c r="D615" s="144"/>
      <c r="E615" s="144"/>
      <c r="F615" s="144"/>
      <c r="G615" s="144"/>
      <c r="H615" s="144"/>
      <c r="I615" s="496"/>
      <c r="J615" s="496"/>
      <c r="K615" s="496"/>
      <c r="L615" s="496"/>
      <c r="M615" s="144"/>
      <c r="N615" s="144"/>
      <c r="O615" s="144"/>
      <c r="P615" s="144"/>
      <c r="Q615" s="144"/>
      <c r="R615" s="144"/>
      <c r="S615" s="144"/>
      <c r="T615" s="144"/>
      <c r="U615" s="144"/>
      <c r="V615" s="144"/>
      <c r="W615" s="144"/>
      <c r="X615" s="144"/>
      <c r="Y615" s="144"/>
      <c r="Z615" s="144"/>
      <c r="AA615" s="144"/>
      <c r="AB615" s="144"/>
      <c r="AC615" s="144"/>
      <c r="AD615" s="144"/>
      <c r="AE615" s="144"/>
      <c r="AF615" s="144"/>
    </row>
    <row r="616" ht="16.5" customHeight="1">
      <c r="A616" s="144"/>
      <c r="B616" s="144"/>
      <c r="C616" s="144"/>
      <c r="D616" s="144"/>
      <c r="E616" s="144"/>
      <c r="F616" s="144"/>
      <c r="G616" s="144"/>
      <c r="H616" s="144"/>
      <c r="I616" s="496"/>
      <c r="J616" s="496"/>
      <c r="K616" s="496"/>
      <c r="L616" s="496"/>
      <c r="M616" s="144"/>
      <c r="N616" s="144"/>
      <c r="O616" s="144"/>
      <c r="P616" s="144"/>
      <c r="Q616" s="144"/>
      <c r="R616" s="144"/>
      <c r="S616" s="144"/>
      <c r="T616" s="144"/>
      <c r="U616" s="144"/>
      <c r="V616" s="144"/>
      <c r="W616" s="144"/>
      <c r="X616" s="144"/>
      <c r="Y616" s="144"/>
      <c r="Z616" s="144"/>
      <c r="AA616" s="144"/>
      <c r="AB616" s="144"/>
      <c r="AC616" s="144"/>
      <c r="AD616" s="144"/>
      <c r="AE616" s="144"/>
      <c r="AF616" s="144"/>
    </row>
    <row r="617" ht="16.5" customHeight="1">
      <c r="A617" s="144"/>
      <c r="B617" s="144"/>
      <c r="C617" s="144"/>
      <c r="D617" s="144"/>
      <c r="E617" s="144"/>
      <c r="F617" s="144"/>
      <c r="G617" s="144"/>
      <c r="H617" s="144"/>
      <c r="I617" s="496"/>
      <c r="J617" s="496"/>
      <c r="K617" s="496"/>
      <c r="L617" s="496"/>
      <c r="M617" s="144"/>
      <c r="N617" s="144"/>
      <c r="O617" s="144"/>
      <c r="P617" s="144"/>
      <c r="Q617" s="144"/>
      <c r="R617" s="144"/>
      <c r="S617" s="144"/>
      <c r="T617" s="144"/>
      <c r="U617" s="144"/>
      <c r="V617" s="144"/>
      <c r="W617" s="144"/>
      <c r="X617" s="144"/>
      <c r="Y617" s="144"/>
      <c r="Z617" s="144"/>
      <c r="AA617" s="144"/>
      <c r="AB617" s="144"/>
      <c r="AC617" s="144"/>
      <c r="AD617" s="144"/>
      <c r="AE617" s="144"/>
      <c r="AF617" s="144"/>
    </row>
    <row r="618" ht="16.5" customHeight="1">
      <c r="A618" s="144"/>
      <c r="B618" s="144"/>
      <c r="C618" s="144"/>
      <c r="D618" s="144"/>
      <c r="E618" s="144"/>
      <c r="F618" s="144"/>
      <c r="G618" s="144"/>
      <c r="H618" s="144"/>
      <c r="I618" s="496"/>
      <c r="J618" s="496"/>
      <c r="K618" s="496"/>
      <c r="L618" s="496"/>
      <c r="M618" s="144"/>
      <c r="N618" s="144"/>
      <c r="O618" s="144"/>
      <c r="P618" s="144"/>
      <c r="Q618" s="144"/>
      <c r="R618" s="144"/>
      <c r="S618" s="144"/>
      <c r="T618" s="144"/>
      <c r="U618" s="144"/>
      <c r="V618" s="144"/>
      <c r="W618" s="144"/>
      <c r="X618" s="144"/>
      <c r="Y618" s="144"/>
      <c r="Z618" s="144"/>
      <c r="AA618" s="144"/>
      <c r="AB618" s="144"/>
      <c r="AC618" s="144"/>
      <c r="AD618" s="144"/>
      <c r="AE618" s="144"/>
      <c r="AF618" s="144"/>
    </row>
    <row r="619" ht="16.5" customHeight="1">
      <c r="A619" s="144"/>
      <c r="B619" s="144"/>
      <c r="C619" s="144"/>
      <c r="D619" s="144"/>
      <c r="E619" s="144"/>
      <c r="F619" s="144"/>
      <c r="G619" s="144"/>
      <c r="H619" s="144"/>
      <c r="I619" s="496"/>
      <c r="J619" s="496"/>
      <c r="K619" s="496"/>
      <c r="L619" s="496"/>
      <c r="M619" s="144"/>
      <c r="N619" s="144"/>
      <c r="O619" s="144"/>
      <c r="P619" s="144"/>
      <c r="Q619" s="144"/>
      <c r="R619" s="144"/>
      <c r="S619" s="144"/>
      <c r="T619" s="144"/>
      <c r="U619" s="144"/>
      <c r="V619" s="144"/>
      <c r="W619" s="144"/>
      <c r="X619" s="144"/>
      <c r="Y619" s="144"/>
      <c r="Z619" s="144"/>
      <c r="AA619" s="144"/>
      <c r="AB619" s="144"/>
      <c r="AC619" s="144"/>
      <c r="AD619" s="144"/>
      <c r="AE619" s="144"/>
      <c r="AF619" s="144"/>
    </row>
    <row r="620" ht="16.5" customHeight="1">
      <c r="A620" s="144"/>
      <c r="B620" s="144"/>
      <c r="C620" s="144"/>
      <c r="D620" s="144"/>
      <c r="E620" s="144"/>
      <c r="F620" s="144"/>
      <c r="G620" s="144"/>
      <c r="H620" s="144"/>
      <c r="I620" s="496"/>
      <c r="J620" s="496"/>
      <c r="K620" s="496"/>
      <c r="L620" s="496"/>
      <c r="M620" s="144"/>
      <c r="N620" s="144"/>
      <c r="O620" s="144"/>
      <c r="P620" s="144"/>
      <c r="Q620" s="144"/>
      <c r="R620" s="144"/>
      <c r="S620" s="144"/>
      <c r="T620" s="144"/>
      <c r="U620" s="144"/>
      <c r="V620" s="144"/>
      <c r="W620" s="144"/>
      <c r="X620" s="144"/>
      <c r="Y620" s="144"/>
      <c r="Z620" s="144"/>
      <c r="AA620" s="144"/>
      <c r="AB620" s="144"/>
      <c r="AC620" s="144"/>
      <c r="AD620" s="144"/>
      <c r="AE620" s="144"/>
      <c r="AF620" s="144"/>
    </row>
    <row r="621" ht="16.5" customHeight="1">
      <c r="A621" s="144"/>
      <c r="B621" s="144"/>
      <c r="C621" s="144"/>
      <c r="D621" s="144"/>
      <c r="E621" s="144"/>
      <c r="F621" s="144"/>
      <c r="G621" s="144"/>
      <c r="H621" s="144"/>
      <c r="I621" s="496"/>
      <c r="J621" s="496"/>
      <c r="K621" s="496"/>
      <c r="L621" s="496"/>
      <c r="M621" s="144"/>
      <c r="N621" s="144"/>
      <c r="O621" s="144"/>
      <c r="P621" s="144"/>
      <c r="Q621" s="144"/>
      <c r="R621" s="144"/>
      <c r="S621" s="144"/>
      <c r="T621" s="144"/>
      <c r="U621" s="144"/>
      <c r="V621" s="144"/>
      <c r="W621" s="144"/>
      <c r="X621" s="144"/>
      <c r="Y621" s="144"/>
      <c r="Z621" s="144"/>
      <c r="AA621" s="144"/>
      <c r="AB621" s="144"/>
      <c r="AC621" s="144"/>
      <c r="AD621" s="144"/>
      <c r="AE621" s="144"/>
      <c r="AF621" s="144"/>
    </row>
    <row r="622" ht="16.5" customHeight="1">
      <c r="A622" s="144"/>
      <c r="B622" s="144"/>
      <c r="C622" s="144"/>
      <c r="D622" s="144"/>
      <c r="E622" s="144"/>
      <c r="F622" s="144"/>
      <c r="G622" s="144"/>
      <c r="H622" s="144"/>
      <c r="I622" s="496"/>
      <c r="J622" s="496"/>
      <c r="K622" s="496"/>
      <c r="L622" s="496"/>
      <c r="M622" s="144"/>
      <c r="N622" s="144"/>
      <c r="O622" s="144"/>
      <c r="P622" s="144"/>
      <c r="Q622" s="144"/>
      <c r="R622" s="144"/>
      <c r="S622" s="144"/>
      <c r="T622" s="144"/>
      <c r="U622" s="144"/>
      <c r="V622" s="144"/>
      <c r="W622" s="144"/>
      <c r="X622" s="144"/>
      <c r="Y622" s="144"/>
      <c r="Z622" s="144"/>
      <c r="AA622" s="144"/>
      <c r="AB622" s="144"/>
      <c r="AC622" s="144"/>
      <c r="AD622" s="144"/>
      <c r="AE622" s="144"/>
      <c r="AF622" s="144"/>
    </row>
    <row r="623" ht="16.5" customHeight="1">
      <c r="A623" s="144"/>
      <c r="B623" s="144"/>
      <c r="C623" s="144"/>
      <c r="D623" s="144"/>
      <c r="E623" s="144"/>
      <c r="F623" s="144"/>
      <c r="G623" s="144"/>
      <c r="H623" s="144"/>
      <c r="I623" s="496"/>
      <c r="J623" s="496"/>
      <c r="K623" s="496"/>
      <c r="L623" s="496"/>
      <c r="M623" s="144"/>
      <c r="N623" s="144"/>
      <c r="O623" s="144"/>
      <c r="P623" s="144"/>
      <c r="Q623" s="144"/>
      <c r="R623" s="144"/>
      <c r="S623" s="144"/>
      <c r="T623" s="144"/>
      <c r="U623" s="144"/>
      <c r="V623" s="144"/>
      <c r="W623" s="144"/>
      <c r="X623" s="144"/>
      <c r="Y623" s="144"/>
      <c r="Z623" s="144"/>
      <c r="AA623" s="144"/>
      <c r="AB623" s="144"/>
      <c r="AC623" s="144"/>
      <c r="AD623" s="144"/>
      <c r="AE623" s="144"/>
      <c r="AF623" s="144"/>
    </row>
    <row r="624" ht="16.5" customHeight="1">
      <c r="A624" s="144"/>
      <c r="B624" s="144"/>
      <c r="C624" s="144"/>
      <c r="D624" s="144"/>
      <c r="E624" s="144"/>
      <c r="F624" s="144"/>
      <c r="G624" s="144"/>
      <c r="H624" s="144"/>
      <c r="I624" s="496"/>
      <c r="J624" s="496"/>
      <c r="K624" s="496"/>
      <c r="L624" s="496"/>
      <c r="M624" s="144"/>
      <c r="N624" s="144"/>
      <c r="O624" s="144"/>
      <c r="P624" s="144"/>
      <c r="Q624" s="144"/>
      <c r="R624" s="144"/>
      <c r="S624" s="144"/>
      <c r="T624" s="144"/>
      <c r="U624" s="144"/>
      <c r="V624" s="144"/>
      <c r="W624" s="144"/>
      <c r="X624" s="144"/>
      <c r="Y624" s="144"/>
      <c r="Z624" s="144"/>
      <c r="AA624" s="144"/>
      <c r="AB624" s="144"/>
      <c r="AC624" s="144"/>
      <c r="AD624" s="144"/>
      <c r="AE624" s="144"/>
      <c r="AF624" s="144"/>
    </row>
    <row r="625" ht="16.5" customHeight="1">
      <c r="A625" s="144"/>
      <c r="B625" s="144"/>
      <c r="C625" s="144"/>
      <c r="D625" s="144"/>
      <c r="E625" s="144"/>
      <c r="F625" s="144"/>
      <c r="G625" s="144"/>
      <c r="H625" s="144"/>
      <c r="I625" s="496"/>
      <c r="J625" s="496"/>
      <c r="K625" s="496"/>
      <c r="L625" s="496"/>
      <c r="M625" s="144"/>
      <c r="N625" s="144"/>
      <c r="O625" s="144"/>
      <c r="P625" s="144"/>
      <c r="Q625" s="144"/>
      <c r="R625" s="144"/>
      <c r="S625" s="144"/>
      <c r="T625" s="144"/>
      <c r="U625" s="144"/>
      <c r="V625" s="144"/>
      <c r="W625" s="144"/>
      <c r="X625" s="144"/>
      <c r="Y625" s="144"/>
      <c r="Z625" s="144"/>
      <c r="AA625" s="144"/>
      <c r="AB625" s="144"/>
      <c r="AC625" s="144"/>
      <c r="AD625" s="144"/>
      <c r="AE625" s="144"/>
      <c r="AF625" s="144"/>
    </row>
    <row r="626" ht="16.5" customHeight="1">
      <c r="A626" s="144"/>
      <c r="B626" s="144"/>
      <c r="C626" s="144"/>
      <c r="D626" s="144"/>
      <c r="E626" s="144"/>
      <c r="F626" s="144"/>
      <c r="G626" s="144"/>
      <c r="H626" s="144"/>
      <c r="I626" s="496"/>
      <c r="J626" s="496"/>
      <c r="K626" s="496"/>
      <c r="L626" s="496"/>
      <c r="M626" s="144"/>
      <c r="N626" s="144"/>
      <c r="O626" s="144"/>
      <c r="P626" s="144"/>
      <c r="Q626" s="144"/>
      <c r="R626" s="144"/>
      <c r="S626" s="144"/>
      <c r="T626" s="144"/>
      <c r="U626" s="144"/>
      <c r="V626" s="144"/>
      <c r="W626" s="144"/>
      <c r="X626" s="144"/>
      <c r="Y626" s="144"/>
      <c r="Z626" s="144"/>
      <c r="AA626" s="144"/>
      <c r="AB626" s="144"/>
      <c r="AC626" s="144"/>
      <c r="AD626" s="144"/>
      <c r="AE626" s="144"/>
      <c r="AF626" s="144"/>
    </row>
    <row r="627" ht="16.5" customHeight="1">
      <c r="A627" s="144"/>
      <c r="B627" s="144"/>
      <c r="C627" s="144"/>
      <c r="D627" s="144"/>
      <c r="E627" s="144"/>
      <c r="F627" s="144"/>
      <c r="G627" s="144"/>
      <c r="H627" s="144"/>
      <c r="I627" s="496"/>
      <c r="J627" s="496"/>
      <c r="K627" s="496"/>
      <c r="L627" s="496"/>
      <c r="M627" s="144"/>
      <c r="N627" s="144"/>
      <c r="O627" s="144"/>
      <c r="P627" s="144"/>
      <c r="Q627" s="144"/>
      <c r="R627" s="144"/>
      <c r="S627" s="144"/>
      <c r="T627" s="144"/>
      <c r="U627" s="144"/>
      <c r="V627" s="144"/>
      <c r="W627" s="144"/>
      <c r="X627" s="144"/>
      <c r="Y627" s="144"/>
      <c r="Z627" s="144"/>
      <c r="AA627" s="144"/>
      <c r="AB627" s="144"/>
      <c r="AC627" s="144"/>
      <c r="AD627" s="144"/>
      <c r="AE627" s="144"/>
      <c r="AF627" s="144"/>
    </row>
    <row r="628" ht="16.5" customHeight="1">
      <c r="A628" s="144"/>
      <c r="B628" s="144"/>
      <c r="C628" s="144"/>
      <c r="D628" s="144"/>
      <c r="E628" s="144"/>
      <c r="F628" s="144"/>
      <c r="G628" s="144"/>
      <c r="H628" s="144"/>
      <c r="I628" s="496"/>
      <c r="J628" s="496"/>
      <c r="K628" s="496"/>
      <c r="L628" s="496"/>
      <c r="M628" s="144"/>
      <c r="N628" s="144"/>
      <c r="O628" s="144"/>
      <c r="P628" s="144"/>
      <c r="Q628" s="144"/>
      <c r="R628" s="144"/>
      <c r="S628" s="144"/>
      <c r="T628" s="144"/>
      <c r="U628" s="144"/>
      <c r="V628" s="144"/>
      <c r="W628" s="144"/>
      <c r="X628" s="144"/>
      <c r="Y628" s="144"/>
      <c r="Z628" s="144"/>
      <c r="AA628" s="144"/>
      <c r="AB628" s="144"/>
      <c r="AC628" s="144"/>
      <c r="AD628" s="144"/>
      <c r="AE628" s="144"/>
      <c r="AF628" s="144"/>
    </row>
    <row r="629" ht="16.5" customHeight="1">
      <c r="A629" s="144"/>
      <c r="B629" s="144"/>
      <c r="C629" s="144"/>
      <c r="D629" s="144"/>
      <c r="E629" s="144"/>
      <c r="F629" s="144"/>
      <c r="G629" s="144"/>
      <c r="H629" s="144"/>
      <c r="I629" s="496"/>
      <c r="J629" s="496"/>
      <c r="K629" s="496"/>
      <c r="L629" s="496"/>
      <c r="M629" s="144"/>
      <c r="N629" s="144"/>
      <c r="O629" s="144"/>
      <c r="P629" s="144"/>
      <c r="Q629" s="144"/>
      <c r="R629" s="144"/>
      <c r="S629" s="144"/>
      <c r="T629" s="144"/>
      <c r="U629" s="144"/>
      <c r="V629" s="144"/>
      <c r="W629" s="144"/>
      <c r="X629" s="144"/>
      <c r="Y629" s="144"/>
      <c r="Z629" s="144"/>
      <c r="AA629" s="144"/>
      <c r="AB629" s="144"/>
      <c r="AC629" s="144"/>
      <c r="AD629" s="144"/>
      <c r="AE629" s="144"/>
      <c r="AF629" s="144"/>
    </row>
    <row r="630" ht="16.5" customHeight="1">
      <c r="A630" s="144"/>
      <c r="B630" s="144"/>
      <c r="C630" s="144"/>
      <c r="D630" s="144"/>
      <c r="E630" s="144"/>
      <c r="F630" s="144"/>
      <c r="G630" s="144"/>
      <c r="H630" s="144"/>
      <c r="I630" s="496"/>
      <c r="J630" s="496"/>
      <c r="K630" s="496"/>
      <c r="L630" s="496"/>
      <c r="M630" s="144"/>
      <c r="N630" s="144"/>
      <c r="O630" s="144"/>
      <c r="P630" s="144"/>
      <c r="Q630" s="144"/>
      <c r="R630" s="144"/>
      <c r="S630" s="144"/>
      <c r="T630" s="144"/>
      <c r="U630" s="144"/>
      <c r="V630" s="144"/>
      <c r="W630" s="144"/>
      <c r="X630" s="144"/>
      <c r="Y630" s="144"/>
      <c r="Z630" s="144"/>
      <c r="AA630" s="144"/>
      <c r="AB630" s="144"/>
      <c r="AC630" s="144"/>
      <c r="AD630" s="144"/>
      <c r="AE630" s="144"/>
      <c r="AF630" s="144"/>
    </row>
    <row r="631" ht="16.5" customHeight="1">
      <c r="A631" s="144"/>
      <c r="B631" s="144"/>
      <c r="C631" s="144"/>
      <c r="D631" s="144"/>
      <c r="E631" s="144"/>
      <c r="F631" s="144"/>
      <c r="G631" s="144"/>
      <c r="H631" s="144"/>
      <c r="I631" s="496"/>
      <c r="J631" s="496"/>
      <c r="K631" s="496"/>
      <c r="L631" s="496"/>
      <c r="M631" s="144"/>
      <c r="N631" s="144"/>
      <c r="O631" s="144"/>
      <c r="P631" s="144"/>
      <c r="Q631" s="144"/>
      <c r="R631" s="144"/>
      <c r="S631" s="144"/>
      <c r="T631" s="144"/>
      <c r="U631" s="144"/>
      <c r="V631" s="144"/>
      <c r="W631" s="144"/>
      <c r="X631" s="144"/>
      <c r="Y631" s="144"/>
      <c r="Z631" s="144"/>
      <c r="AA631" s="144"/>
      <c r="AB631" s="144"/>
      <c r="AC631" s="144"/>
      <c r="AD631" s="144"/>
      <c r="AE631" s="144"/>
      <c r="AF631" s="144"/>
    </row>
    <row r="632" ht="16.5" customHeight="1">
      <c r="A632" s="144"/>
      <c r="B632" s="144"/>
      <c r="C632" s="144"/>
      <c r="D632" s="144"/>
      <c r="E632" s="144"/>
      <c r="F632" s="144"/>
      <c r="G632" s="144"/>
      <c r="H632" s="144"/>
      <c r="I632" s="496"/>
      <c r="J632" s="496"/>
      <c r="K632" s="496"/>
      <c r="L632" s="496"/>
      <c r="M632" s="144"/>
      <c r="N632" s="144"/>
      <c r="O632" s="144"/>
      <c r="P632" s="144"/>
      <c r="Q632" s="144"/>
      <c r="R632" s="144"/>
      <c r="S632" s="144"/>
      <c r="T632" s="144"/>
      <c r="U632" s="144"/>
      <c r="V632" s="144"/>
      <c r="W632" s="144"/>
      <c r="X632" s="144"/>
      <c r="Y632" s="144"/>
      <c r="Z632" s="144"/>
      <c r="AA632" s="144"/>
      <c r="AB632" s="144"/>
      <c r="AC632" s="144"/>
      <c r="AD632" s="144"/>
      <c r="AE632" s="144"/>
      <c r="AF632" s="144"/>
    </row>
    <row r="633" ht="16.5" customHeight="1">
      <c r="A633" s="144"/>
      <c r="B633" s="144"/>
      <c r="C633" s="144"/>
      <c r="D633" s="144"/>
      <c r="E633" s="144"/>
      <c r="F633" s="144"/>
      <c r="G633" s="144"/>
      <c r="H633" s="144"/>
      <c r="I633" s="496"/>
      <c r="J633" s="496"/>
      <c r="K633" s="496"/>
      <c r="L633" s="496"/>
      <c r="M633" s="144"/>
      <c r="N633" s="144"/>
      <c r="O633" s="144"/>
      <c r="P633" s="144"/>
      <c r="Q633" s="144"/>
      <c r="R633" s="144"/>
      <c r="S633" s="144"/>
      <c r="T633" s="144"/>
      <c r="U633" s="144"/>
      <c r="V633" s="144"/>
      <c r="W633" s="144"/>
      <c r="X633" s="144"/>
      <c r="Y633" s="144"/>
      <c r="Z633" s="144"/>
      <c r="AA633" s="144"/>
      <c r="AB633" s="144"/>
      <c r="AC633" s="144"/>
      <c r="AD633" s="144"/>
      <c r="AE633" s="144"/>
      <c r="AF633" s="144"/>
    </row>
    <row r="634" ht="16.5" customHeight="1">
      <c r="A634" s="144"/>
      <c r="B634" s="144"/>
      <c r="C634" s="144"/>
      <c r="D634" s="144"/>
      <c r="E634" s="144"/>
      <c r="F634" s="144"/>
      <c r="G634" s="144"/>
      <c r="H634" s="144"/>
      <c r="I634" s="496"/>
      <c r="J634" s="496"/>
      <c r="K634" s="496"/>
      <c r="L634" s="496"/>
      <c r="M634" s="144"/>
      <c r="N634" s="144"/>
      <c r="O634" s="144"/>
      <c r="P634" s="144"/>
      <c r="Q634" s="144"/>
      <c r="R634" s="144"/>
      <c r="S634" s="144"/>
      <c r="T634" s="144"/>
      <c r="U634" s="144"/>
      <c r="V634" s="144"/>
      <c r="W634" s="144"/>
      <c r="X634" s="144"/>
      <c r="Y634" s="144"/>
      <c r="Z634" s="144"/>
      <c r="AA634" s="144"/>
      <c r="AB634" s="144"/>
      <c r="AC634" s="144"/>
      <c r="AD634" s="144"/>
      <c r="AE634" s="144"/>
      <c r="AF634" s="144"/>
    </row>
    <row r="635" ht="16.5" customHeight="1">
      <c r="A635" s="144"/>
      <c r="B635" s="144"/>
      <c r="C635" s="144"/>
      <c r="D635" s="144"/>
      <c r="E635" s="144"/>
      <c r="F635" s="144"/>
      <c r="G635" s="144"/>
      <c r="H635" s="144"/>
      <c r="I635" s="496"/>
      <c r="J635" s="496"/>
      <c r="K635" s="496"/>
      <c r="L635" s="496"/>
      <c r="M635" s="144"/>
      <c r="N635" s="144"/>
      <c r="O635" s="144"/>
      <c r="P635" s="144"/>
      <c r="Q635" s="144"/>
      <c r="R635" s="144"/>
      <c r="S635" s="144"/>
      <c r="T635" s="144"/>
      <c r="U635" s="144"/>
      <c r="V635" s="144"/>
      <c r="W635" s="144"/>
      <c r="X635" s="144"/>
      <c r="Y635" s="144"/>
      <c r="Z635" s="144"/>
      <c r="AA635" s="144"/>
      <c r="AB635" s="144"/>
      <c r="AC635" s="144"/>
      <c r="AD635" s="144"/>
      <c r="AE635" s="144"/>
      <c r="AF635" s="144"/>
    </row>
    <row r="636" ht="16.5" customHeight="1">
      <c r="A636" s="144"/>
      <c r="B636" s="144"/>
      <c r="C636" s="144"/>
      <c r="D636" s="144"/>
      <c r="E636" s="144"/>
      <c r="F636" s="144"/>
      <c r="G636" s="144"/>
      <c r="H636" s="144"/>
      <c r="I636" s="496"/>
      <c r="J636" s="496"/>
      <c r="K636" s="496"/>
      <c r="L636" s="496"/>
      <c r="M636" s="144"/>
      <c r="N636" s="144"/>
      <c r="O636" s="144"/>
      <c r="P636" s="144"/>
      <c r="Q636" s="144"/>
      <c r="R636" s="144"/>
      <c r="S636" s="144"/>
      <c r="T636" s="144"/>
      <c r="U636" s="144"/>
      <c r="V636" s="144"/>
      <c r="W636" s="144"/>
      <c r="X636" s="144"/>
      <c r="Y636" s="144"/>
      <c r="Z636" s="144"/>
      <c r="AA636" s="144"/>
      <c r="AB636" s="144"/>
      <c r="AC636" s="144"/>
      <c r="AD636" s="144"/>
      <c r="AE636" s="144"/>
      <c r="AF636" s="144"/>
    </row>
    <row r="637" ht="16.5" customHeight="1">
      <c r="A637" s="144"/>
      <c r="B637" s="144"/>
      <c r="C637" s="144"/>
      <c r="D637" s="144"/>
      <c r="E637" s="144"/>
      <c r="F637" s="144"/>
      <c r="G637" s="144"/>
      <c r="H637" s="144"/>
      <c r="I637" s="496"/>
      <c r="J637" s="496"/>
      <c r="K637" s="496"/>
      <c r="L637" s="496"/>
      <c r="M637" s="144"/>
      <c r="N637" s="144"/>
      <c r="O637" s="144"/>
      <c r="P637" s="144"/>
      <c r="Q637" s="144"/>
      <c r="R637" s="144"/>
      <c r="S637" s="144"/>
      <c r="T637" s="144"/>
      <c r="U637" s="144"/>
      <c r="V637" s="144"/>
      <c r="W637" s="144"/>
      <c r="X637" s="144"/>
      <c r="Y637" s="144"/>
      <c r="Z637" s="144"/>
      <c r="AA637" s="144"/>
      <c r="AB637" s="144"/>
      <c r="AC637" s="144"/>
      <c r="AD637" s="144"/>
      <c r="AE637" s="144"/>
      <c r="AF637" s="144"/>
    </row>
    <row r="638" ht="16.5" customHeight="1">
      <c r="A638" s="144"/>
      <c r="B638" s="144"/>
      <c r="C638" s="144"/>
      <c r="D638" s="144"/>
      <c r="E638" s="144"/>
      <c r="F638" s="144"/>
      <c r="G638" s="144"/>
      <c r="H638" s="144"/>
      <c r="I638" s="496"/>
      <c r="J638" s="496"/>
      <c r="K638" s="496"/>
      <c r="L638" s="496"/>
      <c r="M638" s="144"/>
      <c r="N638" s="144"/>
      <c r="O638" s="144"/>
      <c r="P638" s="144"/>
      <c r="Q638" s="144"/>
      <c r="R638" s="144"/>
      <c r="S638" s="144"/>
      <c r="T638" s="144"/>
      <c r="U638" s="144"/>
      <c r="V638" s="144"/>
      <c r="W638" s="144"/>
      <c r="X638" s="144"/>
      <c r="Y638" s="144"/>
      <c r="Z638" s="144"/>
      <c r="AA638" s="144"/>
      <c r="AB638" s="144"/>
      <c r="AC638" s="144"/>
      <c r="AD638" s="144"/>
      <c r="AE638" s="144"/>
      <c r="AF638" s="144"/>
    </row>
    <row r="639" ht="16.5" customHeight="1">
      <c r="A639" s="144"/>
      <c r="B639" s="144"/>
      <c r="C639" s="144"/>
      <c r="D639" s="144"/>
      <c r="E639" s="144"/>
      <c r="F639" s="144"/>
      <c r="G639" s="144"/>
      <c r="H639" s="144"/>
      <c r="I639" s="496"/>
      <c r="J639" s="496"/>
      <c r="K639" s="496"/>
      <c r="L639" s="496"/>
      <c r="M639" s="144"/>
      <c r="N639" s="144"/>
      <c r="O639" s="144"/>
      <c r="P639" s="144"/>
      <c r="Q639" s="144"/>
      <c r="R639" s="144"/>
      <c r="S639" s="144"/>
      <c r="T639" s="144"/>
      <c r="U639" s="144"/>
      <c r="V639" s="144"/>
      <c r="W639" s="144"/>
      <c r="X639" s="144"/>
      <c r="Y639" s="144"/>
      <c r="Z639" s="144"/>
      <c r="AA639" s="144"/>
      <c r="AB639" s="144"/>
      <c r="AC639" s="144"/>
      <c r="AD639" s="144"/>
      <c r="AE639" s="144"/>
      <c r="AF639" s="144"/>
    </row>
    <row r="640" ht="16.5" customHeight="1">
      <c r="A640" s="144"/>
      <c r="B640" s="144"/>
      <c r="C640" s="144"/>
      <c r="D640" s="144"/>
      <c r="E640" s="144"/>
      <c r="F640" s="144"/>
      <c r="G640" s="144"/>
      <c r="H640" s="144"/>
      <c r="I640" s="496"/>
      <c r="J640" s="496"/>
      <c r="K640" s="496"/>
      <c r="L640" s="496"/>
      <c r="M640" s="144"/>
      <c r="N640" s="144"/>
      <c r="O640" s="144"/>
      <c r="P640" s="144"/>
      <c r="Q640" s="144"/>
      <c r="R640" s="144"/>
      <c r="S640" s="144"/>
      <c r="T640" s="144"/>
      <c r="U640" s="144"/>
      <c r="V640" s="144"/>
      <c r="W640" s="144"/>
      <c r="X640" s="144"/>
      <c r="Y640" s="144"/>
      <c r="Z640" s="144"/>
      <c r="AA640" s="144"/>
      <c r="AB640" s="144"/>
      <c r="AC640" s="144"/>
      <c r="AD640" s="144"/>
      <c r="AE640" s="144"/>
      <c r="AF640" s="144"/>
    </row>
    <row r="641" ht="16.5" customHeight="1">
      <c r="A641" s="144"/>
      <c r="B641" s="144"/>
      <c r="C641" s="144"/>
      <c r="D641" s="144"/>
      <c r="E641" s="144"/>
      <c r="F641" s="144"/>
      <c r="G641" s="144"/>
      <c r="H641" s="144"/>
      <c r="I641" s="496"/>
      <c r="J641" s="496"/>
      <c r="K641" s="496"/>
      <c r="L641" s="496"/>
      <c r="M641" s="144"/>
      <c r="N641" s="144"/>
      <c r="O641" s="144"/>
      <c r="P641" s="144"/>
      <c r="Q641" s="144"/>
      <c r="R641" s="144"/>
      <c r="S641" s="144"/>
      <c r="T641" s="144"/>
      <c r="U641" s="144"/>
      <c r="V641" s="144"/>
      <c r="W641" s="144"/>
      <c r="X641" s="144"/>
      <c r="Y641" s="144"/>
      <c r="Z641" s="144"/>
      <c r="AA641" s="144"/>
      <c r="AB641" s="144"/>
      <c r="AC641" s="144"/>
      <c r="AD641" s="144"/>
      <c r="AE641" s="144"/>
      <c r="AF641" s="144"/>
    </row>
    <row r="642" ht="16.5" customHeight="1">
      <c r="A642" s="144"/>
      <c r="B642" s="144"/>
      <c r="C642" s="144"/>
      <c r="D642" s="144"/>
      <c r="E642" s="144"/>
      <c r="F642" s="144"/>
      <c r="G642" s="144"/>
      <c r="H642" s="144"/>
      <c r="I642" s="496"/>
      <c r="J642" s="496"/>
      <c r="K642" s="496"/>
      <c r="L642" s="496"/>
      <c r="M642" s="144"/>
      <c r="N642" s="144"/>
      <c r="O642" s="144"/>
      <c r="P642" s="144"/>
      <c r="Q642" s="144"/>
      <c r="R642" s="144"/>
      <c r="S642" s="144"/>
      <c r="T642" s="144"/>
      <c r="U642" s="144"/>
      <c r="V642" s="144"/>
      <c r="W642" s="144"/>
      <c r="X642" s="144"/>
      <c r="Y642" s="144"/>
      <c r="Z642" s="144"/>
      <c r="AA642" s="144"/>
      <c r="AB642" s="144"/>
      <c r="AC642" s="144"/>
      <c r="AD642" s="144"/>
      <c r="AE642" s="144"/>
      <c r="AF642" s="144"/>
    </row>
    <row r="643" ht="16.5" customHeight="1">
      <c r="A643" s="144"/>
      <c r="B643" s="144"/>
      <c r="C643" s="144"/>
      <c r="D643" s="144"/>
      <c r="E643" s="144"/>
      <c r="F643" s="144"/>
      <c r="G643" s="144"/>
      <c r="H643" s="144"/>
      <c r="I643" s="496"/>
      <c r="J643" s="496"/>
      <c r="K643" s="496"/>
      <c r="L643" s="496"/>
      <c r="M643" s="144"/>
      <c r="N643" s="144"/>
      <c r="O643" s="144"/>
      <c r="P643" s="144"/>
      <c r="Q643" s="144"/>
      <c r="R643" s="144"/>
      <c r="S643" s="144"/>
      <c r="T643" s="144"/>
      <c r="U643" s="144"/>
      <c r="V643" s="144"/>
      <c r="W643" s="144"/>
      <c r="X643" s="144"/>
      <c r="Y643" s="144"/>
      <c r="Z643" s="144"/>
      <c r="AA643" s="144"/>
      <c r="AB643" s="144"/>
      <c r="AC643" s="144"/>
      <c r="AD643" s="144"/>
      <c r="AE643" s="144"/>
      <c r="AF643" s="144"/>
    </row>
    <row r="644" ht="16.5" customHeight="1">
      <c r="A644" s="144"/>
      <c r="B644" s="144"/>
      <c r="C644" s="144"/>
      <c r="D644" s="144"/>
      <c r="E644" s="144"/>
      <c r="F644" s="144"/>
      <c r="G644" s="144"/>
      <c r="H644" s="144"/>
      <c r="I644" s="496"/>
      <c r="J644" s="496"/>
      <c r="K644" s="496"/>
      <c r="L644" s="496"/>
      <c r="M644" s="144"/>
      <c r="N644" s="144"/>
      <c r="O644" s="144"/>
      <c r="P644" s="144"/>
      <c r="Q644" s="144"/>
      <c r="R644" s="144"/>
      <c r="S644" s="144"/>
      <c r="T644" s="144"/>
      <c r="U644" s="144"/>
      <c r="V644" s="144"/>
      <c r="W644" s="144"/>
      <c r="X644" s="144"/>
      <c r="Y644" s="144"/>
      <c r="Z644" s="144"/>
      <c r="AA644" s="144"/>
      <c r="AB644" s="144"/>
      <c r="AC644" s="144"/>
      <c r="AD644" s="144"/>
      <c r="AE644" s="144"/>
      <c r="AF644" s="144"/>
    </row>
    <row r="645" ht="16.5" customHeight="1">
      <c r="A645" s="144"/>
      <c r="B645" s="144"/>
      <c r="C645" s="144"/>
      <c r="D645" s="144"/>
      <c r="E645" s="144"/>
      <c r="F645" s="144"/>
      <c r="G645" s="144"/>
      <c r="H645" s="144"/>
      <c r="I645" s="496"/>
      <c r="J645" s="496"/>
      <c r="K645" s="496"/>
      <c r="L645" s="496"/>
      <c r="M645" s="144"/>
      <c r="N645" s="144"/>
      <c r="O645" s="144"/>
      <c r="P645" s="144"/>
      <c r="Q645" s="144"/>
      <c r="R645" s="144"/>
      <c r="S645" s="144"/>
      <c r="T645" s="144"/>
      <c r="U645" s="144"/>
      <c r="V645" s="144"/>
      <c r="W645" s="144"/>
      <c r="X645" s="144"/>
      <c r="Y645" s="144"/>
      <c r="Z645" s="144"/>
      <c r="AA645" s="144"/>
      <c r="AB645" s="144"/>
      <c r="AC645" s="144"/>
      <c r="AD645" s="144"/>
      <c r="AE645" s="144"/>
      <c r="AF645" s="144"/>
    </row>
    <row r="646" ht="16.5" customHeight="1">
      <c r="A646" s="144"/>
      <c r="B646" s="144"/>
      <c r="C646" s="144"/>
      <c r="D646" s="144"/>
      <c r="E646" s="144"/>
      <c r="F646" s="144"/>
      <c r="G646" s="144"/>
      <c r="H646" s="144"/>
      <c r="I646" s="496"/>
      <c r="J646" s="496"/>
      <c r="K646" s="496"/>
      <c r="L646" s="496"/>
      <c r="M646" s="144"/>
      <c r="N646" s="144"/>
      <c r="O646" s="144"/>
      <c r="P646" s="144"/>
      <c r="Q646" s="144"/>
      <c r="R646" s="144"/>
      <c r="S646" s="144"/>
      <c r="T646" s="144"/>
      <c r="U646" s="144"/>
      <c r="V646" s="144"/>
      <c r="W646" s="144"/>
      <c r="X646" s="144"/>
      <c r="Y646" s="144"/>
      <c r="Z646" s="144"/>
      <c r="AA646" s="144"/>
      <c r="AB646" s="144"/>
      <c r="AC646" s="144"/>
      <c r="AD646" s="144"/>
      <c r="AE646" s="144"/>
      <c r="AF646" s="144"/>
    </row>
    <row r="647" ht="16.5" customHeight="1">
      <c r="A647" s="144"/>
      <c r="B647" s="144"/>
      <c r="C647" s="144"/>
      <c r="D647" s="144"/>
      <c r="E647" s="144"/>
      <c r="F647" s="144"/>
      <c r="G647" s="144"/>
      <c r="H647" s="144"/>
      <c r="I647" s="496"/>
      <c r="J647" s="496"/>
      <c r="K647" s="496"/>
      <c r="L647" s="496"/>
      <c r="M647" s="144"/>
      <c r="N647" s="144"/>
      <c r="O647" s="144"/>
      <c r="P647" s="144"/>
      <c r="Q647" s="144"/>
      <c r="R647" s="144"/>
      <c r="S647" s="144"/>
      <c r="T647" s="144"/>
      <c r="U647" s="144"/>
      <c r="V647" s="144"/>
      <c r="W647" s="144"/>
      <c r="X647" s="144"/>
      <c r="Y647" s="144"/>
      <c r="Z647" s="144"/>
      <c r="AA647" s="144"/>
      <c r="AB647" s="144"/>
      <c r="AC647" s="144"/>
      <c r="AD647" s="144"/>
      <c r="AE647" s="144"/>
      <c r="AF647" s="144"/>
    </row>
    <row r="648" ht="16.5" customHeight="1">
      <c r="A648" s="144"/>
      <c r="B648" s="144"/>
      <c r="C648" s="144"/>
      <c r="D648" s="144"/>
      <c r="E648" s="144"/>
      <c r="F648" s="144"/>
      <c r="G648" s="144"/>
      <c r="H648" s="144"/>
      <c r="I648" s="496"/>
      <c r="J648" s="496"/>
      <c r="K648" s="496"/>
      <c r="L648" s="496"/>
      <c r="M648" s="144"/>
      <c r="N648" s="144"/>
      <c r="O648" s="144"/>
      <c r="P648" s="144"/>
      <c r="Q648" s="144"/>
      <c r="R648" s="144"/>
      <c r="S648" s="144"/>
      <c r="T648" s="144"/>
      <c r="U648" s="144"/>
      <c r="V648" s="144"/>
      <c r="W648" s="144"/>
      <c r="X648" s="144"/>
      <c r="Y648" s="144"/>
      <c r="Z648" s="144"/>
      <c r="AA648" s="144"/>
      <c r="AB648" s="144"/>
      <c r="AC648" s="144"/>
      <c r="AD648" s="144"/>
      <c r="AE648" s="144"/>
      <c r="AF648" s="144"/>
    </row>
    <row r="649" ht="16.5" customHeight="1">
      <c r="A649" s="144"/>
      <c r="B649" s="144"/>
      <c r="C649" s="144"/>
      <c r="D649" s="144"/>
      <c r="E649" s="144"/>
      <c r="F649" s="144"/>
      <c r="G649" s="144"/>
      <c r="H649" s="144"/>
      <c r="I649" s="496"/>
      <c r="J649" s="496"/>
      <c r="K649" s="496"/>
      <c r="L649" s="496"/>
      <c r="M649" s="144"/>
      <c r="N649" s="144"/>
      <c r="O649" s="144"/>
      <c r="P649" s="144"/>
      <c r="Q649" s="144"/>
      <c r="R649" s="144"/>
      <c r="S649" s="144"/>
      <c r="T649" s="144"/>
      <c r="U649" s="144"/>
      <c r="V649" s="144"/>
      <c r="W649" s="144"/>
      <c r="X649" s="144"/>
      <c r="Y649" s="144"/>
      <c r="Z649" s="144"/>
      <c r="AA649" s="144"/>
      <c r="AB649" s="144"/>
      <c r="AC649" s="144"/>
      <c r="AD649" s="144"/>
      <c r="AE649" s="144"/>
      <c r="AF649" s="144"/>
    </row>
    <row r="650" ht="16.5" customHeight="1">
      <c r="A650" s="144"/>
      <c r="B650" s="144"/>
      <c r="C650" s="144"/>
      <c r="D650" s="144"/>
      <c r="E650" s="144"/>
      <c r="F650" s="144"/>
      <c r="G650" s="144"/>
      <c r="H650" s="144"/>
      <c r="I650" s="496"/>
      <c r="J650" s="496"/>
      <c r="K650" s="496"/>
      <c r="L650" s="496"/>
      <c r="M650" s="144"/>
      <c r="N650" s="144"/>
      <c r="O650" s="144"/>
      <c r="P650" s="144"/>
      <c r="Q650" s="144"/>
      <c r="R650" s="144"/>
      <c r="S650" s="144"/>
      <c r="T650" s="144"/>
      <c r="U650" s="144"/>
      <c r="V650" s="144"/>
      <c r="W650" s="144"/>
      <c r="X650" s="144"/>
      <c r="Y650" s="144"/>
      <c r="Z650" s="144"/>
      <c r="AA650" s="144"/>
      <c r="AB650" s="144"/>
      <c r="AC650" s="144"/>
      <c r="AD650" s="144"/>
      <c r="AE650" s="144"/>
      <c r="AF650" s="144"/>
    </row>
    <row r="651" ht="16.5" customHeight="1">
      <c r="A651" s="144"/>
      <c r="B651" s="144"/>
      <c r="C651" s="144"/>
      <c r="D651" s="144"/>
      <c r="E651" s="144"/>
      <c r="F651" s="144"/>
      <c r="G651" s="144"/>
      <c r="H651" s="144"/>
      <c r="I651" s="496"/>
      <c r="J651" s="496"/>
      <c r="K651" s="496"/>
      <c r="L651" s="496"/>
      <c r="M651" s="144"/>
      <c r="N651" s="144"/>
      <c r="O651" s="144"/>
      <c r="P651" s="144"/>
      <c r="Q651" s="144"/>
      <c r="R651" s="144"/>
      <c r="S651" s="144"/>
      <c r="T651" s="144"/>
      <c r="U651" s="144"/>
      <c r="V651" s="144"/>
      <c r="W651" s="144"/>
      <c r="X651" s="144"/>
      <c r="Y651" s="144"/>
      <c r="Z651" s="144"/>
      <c r="AA651" s="144"/>
      <c r="AB651" s="144"/>
      <c r="AC651" s="144"/>
      <c r="AD651" s="144"/>
      <c r="AE651" s="144"/>
      <c r="AF651" s="144"/>
    </row>
    <row r="652" ht="16.5" customHeight="1">
      <c r="A652" s="144"/>
      <c r="B652" s="144"/>
      <c r="C652" s="144"/>
      <c r="D652" s="144"/>
      <c r="E652" s="144"/>
      <c r="F652" s="144"/>
      <c r="G652" s="144"/>
      <c r="H652" s="144"/>
      <c r="I652" s="496"/>
      <c r="J652" s="496"/>
      <c r="K652" s="496"/>
      <c r="L652" s="496"/>
      <c r="M652" s="144"/>
      <c r="N652" s="144"/>
      <c r="O652" s="144"/>
      <c r="P652" s="144"/>
      <c r="Q652" s="144"/>
      <c r="R652" s="144"/>
      <c r="S652" s="144"/>
      <c r="T652" s="144"/>
      <c r="U652" s="144"/>
      <c r="V652" s="144"/>
      <c r="W652" s="144"/>
      <c r="X652" s="144"/>
      <c r="Y652" s="144"/>
      <c r="Z652" s="144"/>
      <c r="AA652" s="144"/>
      <c r="AB652" s="144"/>
      <c r="AC652" s="144"/>
      <c r="AD652" s="144"/>
      <c r="AE652" s="144"/>
      <c r="AF652" s="144"/>
    </row>
    <row r="653" ht="16.5" customHeight="1">
      <c r="A653" s="144"/>
      <c r="B653" s="144"/>
      <c r="C653" s="144"/>
      <c r="D653" s="144"/>
      <c r="E653" s="144"/>
      <c r="F653" s="144"/>
      <c r="G653" s="144"/>
      <c r="H653" s="144"/>
      <c r="I653" s="496"/>
      <c r="J653" s="496"/>
      <c r="K653" s="496"/>
      <c r="L653" s="496"/>
      <c r="M653" s="144"/>
      <c r="N653" s="144"/>
      <c r="O653" s="144"/>
      <c r="P653" s="144"/>
      <c r="Q653" s="144"/>
      <c r="R653" s="144"/>
      <c r="S653" s="144"/>
      <c r="T653" s="144"/>
      <c r="U653" s="144"/>
      <c r="V653" s="144"/>
      <c r="W653" s="144"/>
      <c r="X653" s="144"/>
      <c r="Y653" s="144"/>
      <c r="Z653" s="144"/>
      <c r="AA653" s="144"/>
      <c r="AB653" s="144"/>
      <c r="AC653" s="144"/>
      <c r="AD653" s="144"/>
      <c r="AE653" s="144"/>
      <c r="AF653" s="144"/>
    </row>
    <row r="654" ht="16.5" customHeight="1">
      <c r="A654" s="144"/>
      <c r="B654" s="144"/>
      <c r="C654" s="144"/>
      <c r="D654" s="144"/>
      <c r="E654" s="144"/>
      <c r="F654" s="144"/>
      <c r="G654" s="144"/>
      <c r="H654" s="144"/>
      <c r="I654" s="496"/>
      <c r="J654" s="496"/>
      <c r="K654" s="496"/>
      <c r="L654" s="496"/>
      <c r="M654" s="144"/>
      <c r="N654" s="144"/>
      <c r="O654" s="144"/>
      <c r="P654" s="144"/>
      <c r="Q654" s="144"/>
      <c r="R654" s="144"/>
      <c r="S654" s="144"/>
      <c r="T654" s="144"/>
      <c r="U654" s="144"/>
      <c r="V654" s="144"/>
      <c r="W654" s="144"/>
      <c r="X654" s="144"/>
      <c r="Y654" s="144"/>
      <c r="Z654" s="144"/>
      <c r="AA654" s="144"/>
      <c r="AB654" s="144"/>
      <c r="AC654" s="144"/>
      <c r="AD654" s="144"/>
      <c r="AE654" s="144"/>
      <c r="AF654" s="144"/>
    </row>
    <row r="655" ht="16.5" customHeight="1">
      <c r="A655" s="144"/>
      <c r="B655" s="144"/>
      <c r="C655" s="144"/>
      <c r="D655" s="144"/>
      <c r="E655" s="144"/>
      <c r="F655" s="144"/>
      <c r="G655" s="144"/>
      <c r="H655" s="144"/>
      <c r="I655" s="496"/>
      <c r="J655" s="496"/>
      <c r="K655" s="496"/>
      <c r="L655" s="496"/>
      <c r="M655" s="144"/>
      <c r="N655" s="144"/>
      <c r="O655" s="144"/>
      <c r="P655" s="144"/>
      <c r="Q655" s="144"/>
      <c r="R655" s="144"/>
      <c r="S655" s="144"/>
      <c r="T655" s="144"/>
      <c r="U655" s="144"/>
      <c r="V655" s="144"/>
      <c r="W655" s="144"/>
      <c r="X655" s="144"/>
      <c r="Y655" s="144"/>
      <c r="Z655" s="144"/>
      <c r="AA655" s="144"/>
      <c r="AB655" s="144"/>
      <c r="AC655" s="144"/>
      <c r="AD655" s="144"/>
      <c r="AE655" s="144"/>
      <c r="AF655" s="144"/>
    </row>
    <row r="656" ht="16.5" customHeight="1">
      <c r="A656" s="144"/>
      <c r="B656" s="144"/>
      <c r="C656" s="144"/>
      <c r="D656" s="144"/>
      <c r="E656" s="144"/>
      <c r="F656" s="144"/>
      <c r="G656" s="144"/>
      <c r="H656" s="144"/>
      <c r="I656" s="496"/>
      <c r="J656" s="496"/>
      <c r="K656" s="496"/>
      <c r="L656" s="496"/>
      <c r="M656" s="144"/>
      <c r="N656" s="144"/>
      <c r="O656" s="144"/>
      <c r="P656" s="144"/>
      <c r="Q656" s="144"/>
      <c r="R656" s="144"/>
      <c r="S656" s="144"/>
      <c r="T656" s="144"/>
      <c r="U656" s="144"/>
      <c r="V656" s="144"/>
      <c r="W656" s="144"/>
      <c r="X656" s="144"/>
      <c r="Y656" s="144"/>
      <c r="Z656" s="144"/>
      <c r="AA656" s="144"/>
      <c r="AB656" s="144"/>
      <c r="AC656" s="144"/>
      <c r="AD656" s="144"/>
      <c r="AE656" s="144"/>
      <c r="AF656" s="144"/>
    </row>
    <row r="657" ht="16.5" customHeight="1">
      <c r="A657" s="144"/>
      <c r="B657" s="144"/>
      <c r="C657" s="144"/>
      <c r="D657" s="144"/>
      <c r="E657" s="144"/>
      <c r="F657" s="144"/>
      <c r="G657" s="144"/>
      <c r="H657" s="144"/>
      <c r="I657" s="496"/>
      <c r="J657" s="496"/>
      <c r="K657" s="496"/>
      <c r="L657" s="496"/>
      <c r="M657" s="144"/>
      <c r="N657" s="144"/>
      <c r="O657" s="144"/>
      <c r="P657" s="144"/>
      <c r="Q657" s="144"/>
      <c r="R657" s="144"/>
      <c r="S657" s="144"/>
      <c r="T657" s="144"/>
      <c r="U657" s="144"/>
      <c r="V657" s="144"/>
      <c r="W657" s="144"/>
      <c r="X657" s="144"/>
      <c r="Y657" s="144"/>
      <c r="Z657" s="144"/>
      <c r="AA657" s="144"/>
      <c r="AB657" s="144"/>
      <c r="AC657" s="144"/>
      <c r="AD657" s="144"/>
      <c r="AE657" s="144"/>
      <c r="AF657" s="144"/>
    </row>
    <row r="658" ht="16.5" customHeight="1">
      <c r="A658" s="144"/>
      <c r="B658" s="144"/>
      <c r="C658" s="144"/>
      <c r="D658" s="144"/>
      <c r="E658" s="144"/>
      <c r="F658" s="144"/>
      <c r="G658" s="144"/>
      <c r="H658" s="144"/>
      <c r="I658" s="496"/>
      <c r="J658" s="496"/>
      <c r="K658" s="496"/>
      <c r="L658" s="496"/>
      <c r="M658" s="144"/>
      <c r="N658" s="144"/>
      <c r="O658" s="144"/>
      <c r="P658" s="144"/>
      <c r="Q658" s="144"/>
      <c r="R658" s="144"/>
      <c r="S658" s="144"/>
      <c r="T658" s="144"/>
      <c r="U658" s="144"/>
      <c r="V658" s="144"/>
      <c r="W658" s="144"/>
      <c r="X658" s="144"/>
      <c r="Y658" s="144"/>
      <c r="Z658" s="144"/>
      <c r="AA658" s="144"/>
      <c r="AB658" s="144"/>
      <c r="AC658" s="144"/>
      <c r="AD658" s="144"/>
      <c r="AE658" s="144"/>
      <c r="AF658" s="144"/>
    </row>
    <row r="659" ht="16.5" customHeight="1">
      <c r="A659" s="144"/>
      <c r="B659" s="144"/>
      <c r="C659" s="144"/>
      <c r="D659" s="144"/>
      <c r="E659" s="144"/>
      <c r="F659" s="144"/>
      <c r="G659" s="144"/>
      <c r="H659" s="144"/>
      <c r="I659" s="496"/>
      <c r="J659" s="496"/>
      <c r="K659" s="496"/>
      <c r="L659" s="496"/>
      <c r="M659" s="144"/>
      <c r="N659" s="144"/>
      <c r="O659" s="144"/>
      <c r="P659" s="144"/>
      <c r="Q659" s="144"/>
      <c r="R659" s="144"/>
      <c r="S659" s="144"/>
      <c r="T659" s="144"/>
      <c r="U659" s="144"/>
      <c r="V659" s="144"/>
      <c r="W659" s="144"/>
      <c r="X659" s="144"/>
      <c r="Y659" s="144"/>
      <c r="Z659" s="144"/>
      <c r="AA659" s="144"/>
      <c r="AB659" s="144"/>
      <c r="AC659" s="144"/>
      <c r="AD659" s="144"/>
      <c r="AE659" s="144"/>
      <c r="AF659" s="144"/>
    </row>
    <row r="660" ht="16.5" customHeight="1">
      <c r="A660" s="144"/>
      <c r="B660" s="144"/>
      <c r="C660" s="144"/>
      <c r="D660" s="144"/>
      <c r="E660" s="144"/>
      <c r="F660" s="144"/>
      <c r="G660" s="144"/>
      <c r="H660" s="144"/>
      <c r="I660" s="496"/>
      <c r="J660" s="496"/>
      <c r="K660" s="496"/>
      <c r="L660" s="496"/>
      <c r="M660" s="144"/>
      <c r="N660" s="144"/>
      <c r="O660" s="144"/>
      <c r="P660" s="144"/>
      <c r="Q660" s="144"/>
      <c r="R660" s="144"/>
      <c r="S660" s="144"/>
      <c r="T660" s="144"/>
      <c r="U660" s="144"/>
      <c r="V660" s="144"/>
      <c r="W660" s="144"/>
      <c r="X660" s="144"/>
      <c r="Y660" s="144"/>
      <c r="Z660" s="144"/>
      <c r="AA660" s="144"/>
      <c r="AB660" s="144"/>
      <c r="AC660" s="144"/>
      <c r="AD660" s="144"/>
      <c r="AE660" s="144"/>
      <c r="AF660" s="144"/>
    </row>
    <row r="661" ht="16.5" customHeight="1">
      <c r="A661" s="144"/>
      <c r="B661" s="144"/>
      <c r="C661" s="144"/>
      <c r="D661" s="144"/>
      <c r="E661" s="144"/>
      <c r="F661" s="144"/>
      <c r="G661" s="144"/>
      <c r="H661" s="144"/>
      <c r="I661" s="496"/>
      <c r="J661" s="496"/>
      <c r="K661" s="496"/>
      <c r="L661" s="496"/>
      <c r="M661" s="144"/>
      <c r="N661" s="144"/>
      <c r="O661" s="144"/>
      <c r="P661" s="144"/>
      <c r="Q661" s="144"/>
      <c r="R661" s="144"/>
      <c r="S661" s="144"/>
      <c r="T661" s="144"/>
      <c r="U661" s="144"/>
      <c r="V661" s="144"/>
      <c r="W661" s="144"/>
      <c r="X661" s="144"/>
      <c r="Y661" s="144"/>
      <c r="Z661" s="144"/>
      <c r="AA661" s="144"/>
      <c r="AB661" s="144"/>
      <c r="AC661" s="144"/>
      <c r="AD661" s="144"/>
      <c r="AE661" s="144"/>
      <c r="AF661" s="144"/>
    </row>
    <row r="662" ht="16.5" customHeight="1">
      <c r="A662" s="144"/>
      <c r="B662" s="144"/>
      <c r="C662" s="144"/>
      <c r="D662" s="144"/>
      <c r="E662" s="144"/>
      <c r="F662" s="144"/>
      <c r="G662" s="144"/>
      <c r="H662" s="144"/>
      <c r="I662" s="496"/>
      <c r="J662" s="496"/>
      <c r="K662" s="496"/>
      <c r="L662" s="496"/>
      <c r="M662" s="144"/>
      <c r="N662" s="144"/>
      <c r="O662" s="144"/>
      <c r="P662" s="144"/>
      <c r="Q662" s="144"/>
      <c r="R662" s="144"/>
      <c r="S662" s="144"/>
      <c r="T662" s="144"/>
      <c r="U662" s="144"/>
      <c r="V662" s="144"/>
      <c r="W662" s="144"/>
      <c r="X662" s="144"/>
      <c r="Y662" s="144"/>
      <c r="Z662" s="144"/>
      <c r="AA662" s="144"/>
      <c r="AB662" s="144"/>
      <c r="AC662" s="144"/>
      <c r="AD662" s="144"/>
      <c r="AE662" s="144"/>
      <c r="AF662" s="144"/>
    </row>
    <row r="663" ht="16.5" customHeight="1">
      <c r="A663" s="144"/>
      <c r="B663" s="144"/>
      <c r="C663" s="144"/>
      <c r="D663" s="144"/>
      <c r="E663" s="144"/>
      <c r="F663" s="144"/>
      <c r="G663" s="144"/>
      <c r="H663" s="144"/>
      <c r="I663" s="496"/>
      <c r="J663" s="496"/>
      <c r="K663" s="496"/>
      <c r="L663" s="496"/>
      <c r="M663" s="144"/>
      <c r="N663" s="144"/>
      <c r="O663" s="144"/>
      <c r="P663" s="144"/>
      <c r="Q663" s="144"/>
      <c r="R663" s="144"/>
      <c r="S663" s="144"/>
      <c r="T663" s="144"/>
      <c r="U663" s="144"/>
      <c r="V663" s="144"/>
      <c r="W663" s="144"/>
      <c r="X663" s="144"/>
      <c r="Y663" s="144"/>
      <c r="Z663" s="144"/>
      <c r="AA663" s="144"/>
      <c r="AB663" s="144"/>
      <c r="AC663" s="144"/>
      <c r="AD663" s="144"/>
      <c r="AE663" s="144"/>
      <c r="AF663" s="144"/>
    </row>
    <row r="664" ht="16.5" customHeight="1">
      <c r="A664" s="144"/>
      <c r="B664" s="144"/>
      <c r="C664" s="144"/>
      <c r="D664" s="144"/>
      <c r="E664" s="144"/>
      <c r="F664" s="144"/>
      <c r="G664" s="144"/>
      <c r="H664" s="144"/>
      <c r="I664" s="496"/>
      <c r="J664" s="496"/>
      <c r="K664" s="496"/>
      <c r="L664" s="496"/>
      <c r="M664" s="144"/>
      <c r="N664" s="144"/>
      <c r="O664" s="144"/>
      <c r="P664" s="144"/>
      <c r="Q664" s="144"/>
      <c r="R664" s="144"/>
      <c r="S664" s="144"/>
      <c r="T664" s="144"/>
      <c r="U664" s="144"/>
      <c r="V664" s="144"/>
      <c r="W664" s="144"/>
      <c r="X664" s="144"/>
      <c r="Y664" s="144"/>
      <c r="Z664" s="144"/>
      <c r="AA664" s="144"/>
      <c r="AB664" s="144"/>
      <c r="AC664" s="144"/>
      <c r="AD664" s="144"/>
      <c r="AE664" s="144"/>
      <c r="AF664" s="144"/>
    </row>
    <row r="665" ht="16.5" customHeight="1">
      <c r="A665" s="144"/>
      <c r="B665" s="144"/>
      <c r="C665" s="144"/>
      <c r="D665" s="144"/>
      <c r="E665" s="144"/>
      <c r="F665" s="144"/>
      <c r="G665" s="144"/>
      <c r="H665" s="144"/>
      <c r="I665" s="496"/>
      <c r="J665" s="496"/>
      <c r="K665" s="496"/>
      <c r="L665" s="496"/>
      <c r="M665" s="144"/>
      <c r="N665" s="144"/>
      <c r="O665" s="144"/>
      <c r="P665" s="144"/>
      <c r="Q665" s="144"/>
      <c r="R665" s="144"/>
      <c r="S665" s="144"/>
      <c r="T665" s="144"/>
      <c r="U665" s="144"/>
      <c r="V665" s="144"/>
      <c r="W665" s="144"/>
      <c r="X665" s="144"/>
      <c r="Y665" s="144"/>
      <c r="Z665" s="144"/>
      <c r="AA665" s="144"/>
      <c r="AB665" s="144"/>
      <c r="AC665" s="144"/>
      <c r="AD665" s="144"/>
      <c r="AE665" s="144"/>
      <c r="AF665" s="144"/>
    </row>
    <row r="666" ht="16.5" customHeight="1">
      <c r="A666" s="144"/>
      <c r="B666" s="144"/>
      <c r="C666" s="144"/>
      <c r="D666" s="144"/>
      <c r="E666" s="144"/>
      <c r="F666" s="144"/>
      <c r="G666" s="144"/>
      <c r="H666" s="144"/>
      <c r="I666" s="496"/>
      <c r="J666" s="496"/>
      <c r="K666" s="496"/>
      <c r="L666" s="496"/>
      <c r="M666" s="144"/>
      <c r="N666" s="144"/>
      <c r="O666" s="144"/>
      <c r="P666" s="144"/>
      <c r="Q666" s="144"/>
      <c r="R666" s="144"/>
      <c r="S666" s="144"/>
      <c r="T666" s="144"/>
      <c r="U666" s="144"/>
      <c r="V666" s="144"/>
      <c r="W666" s="144"/>
      <c r="X666" s="144"/>
      <c r="Y666" s="144"/>
      <c r="Z666" s="144"/>
      <c r="AA666" s="144"/>
      <c r="AB666" s="144"/>
      <c r="AC666" s="144"/>
      <c r="AD666" s="144"/>
      <c r="AE666" s="144"/>
      <c r="AF666" s="144"/>
    </row>
    <row r="667" ht="16.5" customHeight="1">
      <c r="A667" s="144"/>
      <c r="B667" s="144"/>
      <c r="C667" s="144"/>
      <c r="D667" s="144"/>
      <c r="E667" s="144"/>
      <c r="F667" s="144"/>
      <c r="G667" s="144"/>
      <c r="H667" s="144"/>
      <c r="I667" s="496"/>
      <c r="J667" s="496"/>
      <c r="K667" s="496"/>
      <c r="L667" s="496"/>
      <c r="M667" s="144"/>
      <c r="N667" s="144"/>
      <c r="O667" s="144"/>
      <c r="P667" s="144"/>
      <c r="Q667" s="144"/>
      <c r="R667" s="144"/>
      <c r="S667" s="144"/>
      <c r="T667" s="144"/>
      <c r="U667" s="144"/>
      <c r="V667" s="144"/>
      <c r="W667" s="144"/>
      <c r="X667" s="144"/>
      <c r="Y667" s="144"/>
      <c r="Z667" s="144"/>
      <c r="AA667" s="144"/>
      <c r="AB667" s="144"/>
      <c r="AC667" s="144"/>
      <c r="AD667" s="144"/>
      <c r="AE667" s="144"/>
      <c r="AF667" s="144"/>
    </row>
    <row r="668" ht="16.5" customHeight="1">
      <c r="A668" s="144"/>
      <c r="B668" s="144"/>
      <c r="C668" s="144"/>
      <c r="D668" s="144"/>
      <c r="E668" s="144"/>
      <c r="F668" s="144"/>
      <c r="G668" s="144"/>
      <c r="H668" s="144"/>
      <c r="I668" s="496"/>
      <c r="J668" s="496"/>
      <c r="K668" s="496"/>
      <c r="L668" s="496"/>
      <c r="M668" s="144"/>
      <c r="N668" s="144"/>
      <c r="O668" s="144"/>
      <c r="P668" s="144"/>
      <c r="Q668" s="144"/>
      <c r="R668" s="144"/>
      <c r="S668" s="144"/>
      <c r="T668" s="144"/>
      <c r="U668" s="144"/>
      <c r="V668" s="144"/>
      <c r="W668" s="144"/>
      <c r="X668" s="144"/>
      <c r="Y668" s="144"/>
      <c r="Z668" s="144"/>
      <c r="AA668" s="144"/>
      <c r="AB668" s="144"/>
      <c r="AC668" s="144"/>
      <c r="AD668" s="144"/>
      <c r="AE668" s="144"/>
      <c r="AF668" s="144"/>
    </row>
    <row r="669" ht="16.5" customHeight="1">
      <c r="A669" s="144"/>
      <c r="B669" s="144"/>
      <c r="C669" s="144"/>
      <c r="D669" s="144"/>
      <c r="E669" s="144"/>
      <c r="F669" s="144"/>
      <c r="G669" s="144"/>
      <c r="H669" s="144"/>
      <c r="I669" s="496"/>
      <c r="J669" s="496"/>
      <c r="K669" s="496"/>
      <c r="L669" s="496"/>
      <c r="M669" s="144"/>
      <c r="N669" s="144"/>
      <c r="O669" s="144"/>
      <c r="P669" s="144"/>
      <c r="Q669" s="144"/>
      <c r="R669" s="144"/>
      <c r="S669" s="144"/>
      <c r="T669" s="144"/>
      <c r="U669" s="144"/>
      <c r="V669" s="144"/>
      <c r="W669" s="144"/>
      <c r="X669" s="144"/>
      <c r="Y669" s="144"/>
      <c r="Z669" s="144"/>
      <c r="AA669" s="144"/>
      <c r="AB669" s="144"/>
      <c r="AC669" s="144"/>
      <c r="AD669" s="144"/>
      <c r="AE669" s="144"/>
      <c r="AF669" s="144"/>
    </row>
    <row r="670" ht="16.5" customHeight="1">
      <c r="A670" s="144"/>
      <c r="B670" s="144"/>
      <c r="C670" s="144"/>
      <c r="D670" s="144"/>
      <c r="E670" s="144"/>
      <c r="F670" s="144"/>
      <c r="G670" s="144"/>
      <c r="H670" s="144"/>
      <c r="I670" s="496"/>
      <c r="J670" s="496"/>
      <c r="K670" s="496"/>
      <c r="L670" s="496"/>
      <c r="M670" s="144"/>
      <c r="N670" s="144"/>
      <c r="O670" s="144"/>
      <c r="P670" s="144"/>
      <c r="Q670" s="144"/>
      <c r="R670" s="144"/>
      <c r="S670" s="144"/>
      <c r="T670" s="144"/>
      <c r="U670" s="144"/>
      <c r="V670" s="144"/>
      <c r="W670" s="144"/>
      <c r="X670" s="144"/>
      <c r="Y670" s="144"/>
      <c r="Z670" s="144"/>
      <c r="AA670" s="144"/>
      <c r="AB670" s="144"/>
      <c r="AC670" s="144"/>
      <c r="AD670" s="144"/>
      <c r="AE670" s="144"/>
      <c r="AF670" s="144"/>
    </row>
    <row r="671" ht="16.5" customHeight="1">
      <c r="A671" s="144"/>
      <c r="B671" s="144"/>
      <c r="C671" s="144"/>
      <c r="D671" s="144"/>
      <c r="E671" s="144"/>
      <c r="F671" s="144"/>
      <c r="G671" s="144"/>
      <c r="H671" s="144"/>
      <c r="I671" s="496"/>
      <c r="J671" s="496"/>
      <c r="K671" s="496"/>
      <c r="L671" s="496"/>
      <c r="M671" s="144"/>
      <c r="N671" s="144"/>
      <c r="O671" s="144"/>
      <c r="P671" s="144"/>
      <c r="Q671" s="144"/>
      <c r="R671" s="144"/>
      <c r="S671" s="144"/>
      <c r="T671" s="144"/>
      <c r="U671" s="144"/>
      <c r="V671" s="144"/>
      <c r="W671" s="144"/>
      <c r="X671" s="144"/>
      <c r="Y671" s="144"/>
      <c r="Z671" s="144"/>
      <c r="AA671" s="144"/>
      <c r="AB671" s="144"/>
      <c r="AC671" s="144"/>
      <c r="AD671" s="144"/>
      <c r="AE671" s="144"/>
      <c r="AF671" s="144"/>
    </row>
    <row r="672" ht="16.5" customHeight="1">
      <c r="A672" s="144"/>
      <c r="B672" s="144"/>
      <c r="C672" s="144"/>
      <c r="D672" s="144"/>
      <c r="E672" s="144"/>
      <c r="F672" s="144"/>
      <c r="G672" s="144"/>
      <c r="H672" s="144"/>
      <c r="I672" s="496"/>
      <c r="J672" s="496"/>
      <c r="K672" s="496"/>
      <c r="L672" s="496"/>
      <c r="M672" s="144"/>
      <c r="N672" s="144"/>
      <c r="O672" s="144"/>
      <c r="P672" s="144"/>
      <c r="Q672" s="144"/>
      <c r="R672" s="144"/>
      <c r="S672" s="144"/>
      <c r="T672" s="144"/>
      <c r="U672" s="144"/>
      <c r="V672" s="144"/>
      <c r="W672" s="144"/>
      <c r="X672" s="144"/>
      <c r="Y672" s="144"/>
      <c r="Z672" s="144"/>
      <c r="AA672" s="144"/>
      <c r="AB672" s="144"/>
      <c r="AC672" s="144"/>
      <c r="AD672" s="144"/>
      <c r="AE672" s="144"/>
      <c r="AF672" s="144"/>
    </row>
    <row r="673" ht="16.5" customHeight="1">
      <c r="A673" s="144"/>
      <c r="B673" s="144"/>
      <c r="C673" s="144"/>
      <c r="D673" s="144"/>
      <c r="E673" s="144"/>
      <c r="F673" s="144"/>
      <c r="G673" s="144"/>
      <c r="H673" s="144"/>
      <c r="I673" s="496"/>
      <c r="J673" s="496"/>
      <c r="K673" s="496"/>
      <c r="L673" s="496"/>
      <c r="M673" s="144"/>
      <c r="N673" s="144"/>
      <c r="O673" s="144"/>
      <c r="P673" s="144"/>
      <c r="Q673" s="144"/>
      <c r="R673" s="144"/>
      <c r="S673" s="144"/>
      <c r="T673" s="144"/>
      <c r="U673" s="144"/>
      <c r="V673" s="144"/>
      <c r="W673" s="144"/>
      <c r="X673" s="144"/>
      <c r="Y673" s="144"/>
      <c r="Z673" s="144"/>
      <c r="AA673" s="144"/>
      <c r="AB673" s="144"/>
      <c r="AC673" s="144"/>
      <c r="AD673" s="144"/>
      <c r="AE673" s="144"/>
      <c r="AF673" s="144"/>
    </row>
    <row r="674" ht="16.5" customHeight="1">
      <c r="A674" s="144"/>
      <c r="B674" s="144"/>
      <c r="C674" s="144"/>
      <c r="D674" s="144"/>
      <c r="E674" s="144"/>
      <c r="F674" s="144"/>
      <c r="G674" s="144"/>
      <c r="H674" s="144"/>
      <c r="I674" s="496"/>
      <c r="J674" s="496"/>
      <c r="K674" s="496"/>
      <c r="L674" s="496"/>
      <c r="M674" s="144"/>
      <c r="N674" s="144"/>
      <c r="O674" s="144"/>
      <c r="P674" s="144"/>
      <c r="Q674" s="144"/>
      <c r="R674" s="144"/>
      <c r="S674" s="144"/>
      <c r="T674" s="144"/>
      <c r="U674" s="144"/>
      <c r="V674" s="144"/>
      <c r="W674" s="144"/>
      <c r="X674" s="144"/>
      <c r="Y674" s="144"/>
      <c r="Z674" s="144"/>
      <c r="AA674" s="144"/>
      <c r="AB674" s="144"/>
      <c r="AC674" s="144"/>
      <c r="AD674" s="144"/>
      <c r="AE674" s="144"/>
      <c r="AF674" s="144"/>
    </row>
    <row r="675" ht="16.5" customHeight="1">
      <c r="A675" s="144"/>
      <c r="B675" s="144"/>
      <c r="C675" s="144"/>
      <c r="D675" s="144"/>
      <c r="E675" s="144"/>
      <c r="F675" s="144"/>
      <c r="G675" s="144"/>
      <c r="H675" s="144"/>
      <c r="I675" s="496"/>
      <c r="J675" s="496"/>
      <c r="K675" s="496"/>
      <c r="L675" s="496"/>
      <c r="M675" s="144"/>
      <c r="N675" s="144"/>
      <c r="O675" s="144"/>
      <c r="P675" s="144"/>
      <c r="Q675" s="144"/>
      <c r="R675" s="144"/>
      <c r="S675" s="144"/>
      <c r="T675" s="144"/>
      <c r="U675" s="144"/>
      <c r="V675" s="144"/>
      <c r="W675" s="144"/>
      <c r="X675" s="144"/>
      <c r="Y675" s="144"/>
      <c r="Z675" s="144"/>
      <c r="AA675" s="144"/>
      <c r="AB675" s="144"/>
      <c r="AC675" s="144"/>
      <c r="AD675" s="144"/>
      <c r="AE675" s="144"/>
      <c r="AF675" s="144"/>
    </row>
    <row r="676" ht="16.5" customHeight="1">
      <c r="A676" s="144"/>
      <c r="B676" s="144"/>
      <c r="C676" s="144"/>
      <c r="D676" s="144"/>
      <c r="E676" s="144"/>
      <c r="F676" s="144"/>
      <c r="G676" s="144"/>
      <c r="H676" s="144"/>
      <c r="I676" s="496"/>
      <c r="J676" s="496"/>
      <c r="K676" s="496"/>
      <c r="L676" s="496"/>
      <c r="M676" s="144"/>
      <c r="N676" s="144"/>
      <c r="O676" s="144"/>
      <c r="P676" s="144"/>
      <c r="Q676" s="144"/>
      <c r="R676" s="144"/>
      <c r="S676" s="144"/>
      <c r="T676" s="144"/>
      <c r="U676" s="144"/>
      <c r="V676" s="144"/>
      <c r="W676" s="144"/>
      <c r="X676" s="144"/>
      <c r="Y676" s="144"/>
      <c r="Z676" s="144"/>
      <c r="AA676" s="144"/>
      <c r="AB676" s="144"/>
      <c r="AC676" s="144"/>
      <c r="AD676" s="144"/>
      <c r="AE676" s="144"/>
      <c r="AF676" s="144"/>
    </row>
    <row r="677" ht="16.5" customHeight="1">
      <c r="A677" s="144"/>
      <c r="B677" s="144"/>
      <c r="C677" s="144"/>
      <c r="D677" s="144"/>
      <c r="E677" s="144"/>
      <c r="F677" s="144"/>
      <c r="G677" s="144"/>
      <c r="H677" s="144"/>
      <c r="I677" s="496"/>
      <c r="J677" s="496"/>
      <c r="K677" s="496"/>
      <c r="L677" s="496"/>
      <c r="M677" s="144"/>
      <c r="N677" s="144"/>
      <c r="O677" s="144"/>
      <c r="P677" s="144"/>
      <c r="Q677" s="144"/>
      <c r="R677" s="144"/>
      <c r="S677" s="144"/>
      <c r="T677" s="144"/>
      <c r="U677" s="144"/>
      <c r="V677" s="144"/>
      <c r="W677" s="144"/>
      <c r="X677" s="144"/>
      <c r="Y677" s="144"/>
      <c r="Z677" s="144"/>
      <c r="AA677" s="144"/>
      <c r="AB677" s="144"/>
      <c r="AC677" s="144"/>
      <c r="AD677" s="144"/>
      <c r="AE677" s="144"/>
      <c r="AF677" s="144"/>
    </row>
    <row r="678" ht="16.5" customHeight="1">
      <c r="A678" s="144"/>
      <c r="B678" s="144"/>
      <c r="C678" s="144"/>
      <c r="D678" s="144"/>
      <c r="E678" s="144"/>
      <c r="F678" s="144"/>
      <c r="G678" s="144"/>
      <c r="H678" s="144"/>
      <c r="I678" s="496"/>
      <c r="J678" s="496"/>
      <c r="K678" s="496"/>
      <c r="L678" s="496"/>
      <c r="M678" s="144"/>
      <c r="N678" s="144"/>
      <c r="O678" s="144"/>
      <c r="P678" s="144"/>
      <c r="Q678" s="144"/>
      <c r="R678" s="144"/>
      <c r="S678" s="144"/>
      <c r="T678" s="144"/>
      <c r="U678" s="144"/>
      <c r="V678" s="144"/>
      <c r="W678" s="144"/>
      <c r="X678" s="144"/>
      <c r="Y678" s="144"/>
      <c r="Z678" s="144"/>
      <c r="AA678" s="144"/>
      <c r="AB678" s="144"/>
      <c r="AC678" s="144"/>
      <c r="AD678" s="144"/>
      <c r="AE678" s="144"/>
      <c r="AF678" s="144"/>
    </row>
    <row r="679" ht="16.5" customHeight="1">
      <c r="A679" s="144"/>
      <c r="B679" s="144"/>
      <c r="C679" s="144"/>
      <c r="D679" s="144"/>
      <c r="E679" s="144"/>
      <c r="F679" s="144"/>
      <c r="G679" s="144"/>
      <c r="H679" s="144"/>
      <c r="I679" s="496"/>
      <c r="J679" s="496"/>
      <c r="K679" s="496"/>
      <c r="L679" s="496"/>
      <c r="M679" s="144"/>
      <c r="N679" s="144"/>
      <c r="O679" s="144"/>
      <c r="P679" s="144"/>
      <c r="Q679" s="144"/>
      <c r="R679" s="144"/>
      <c r="S679" s="144"/>
      <c r="T679" s="144"/>
      <c r="U679" s="144"/>
      <c r="V679" s="144"/>
      <c r="W679" s="144"/>
      <c r="X679" s="144"/>
      <c r="Y679" s="144"/>
      <c r="Z679" s="144"/>
      <c r="AA679" s="144"/>
      <c r="AB679" s="144"/>
      <c r="AC679" s="144"/>
      <c r="AD679" s="144"/>
      <c r="AE679" s="144"/>
      <c r="AF679" s="144"/>
    </row>
    <row r="680" ht="16.5" customHeight="1">
      <c r="A680" s="144"/>
      <c r="B680" s="144"/>
      <c r="C680" s="144"/>
      <c r="D680" s="144"/>
      <c r="E680" s="144"/>
      <c r="F680" s="144"/>
      <c r="G680" s="144"/>
      <c r="H680" s="144"/>
      <c r="I680" s="496"/>
      <c r="J680" s="496"/>
      <c r="K680" s="496"/>
      <c r="L680" s="496"/>
      <c r="M680" s="144"/>
      <c r="N680" s="144"/>
      <c r="O680" s="144"/>
      <c r="P680" s="144"/>
      <c r="Q680" s="144"/>
      <c r="R680" s="144"/>
      <c r="S680" s="144"/>
      <c r="T680" s="144"/>
      <c r="U680" s="144"/>
      <c r="V680" s="144"/>
      <c r="W680" s="144"/>
      <c r="X680" s="144"/>
      <c r="Y680" s="144"/>
      <c r="Z680" s="144"/>
      <c r="AA680" s="144"/>
      <c r="AB680" s="144"/>
      <c r="AC680" s="144"/>
      <c r="AD680" s="144"/>
      <c r="AE680" s="144"/>
      <c r="AF680" s="144"/>
    </row>
    <row r="681" ht="16.5" customHeight="1">
      <c r="A681" s="144"/>
      <c r="B681" s="144"/>
      <c r="C681" s="144"/>
      <c r="D681" s="144"/>
      <c r="E681" s="144"/>
      <c r="F681" s="144"/>
      <c r="G681" s="144"/>
      <c r="H681" s="144"/>
      <c r="I681" s="496"/>
      <c r="J681" s="496"/>
      <c r="K681" s="496"/>
      <c r="L681" s="496"/>
      <c r="M681" s="144"/>
      <c r="N681" s="144"/>
      <c r="O681" s="144"/>
      <c r="P681" s="144"/>
      <c r="Q681" s="144"/>
      <c r="R681" s="144"/>
      <c r="S681" s="144"/>
      <c r="T681" s="144"/>
      <c r="U681" s="144"/>
      <c r="V681" s="144"/>
      <c r="W681" s="144"/>
      <c r="X681" s="144"/>
      <c r="Y681" s="144"/>
      <c r="Z681" s="144"/>
      <c r="AA681" s="144"/>
      <c r="AB681" s="144"/>
      <c r="AC681" s="144"/>
      <c r="AD681" s="144"/>
      <c r="AE681" s="144"/>
      <c r="AF681" s="144"/>
    </row>
    <row r="682" ht="16.5" customHeight="1">
      <c r="A682" s="144"/>
      <c r="B682" s="144"/>
      <c r="C682" s="144"/>
      <c r="D682" s="144"/>
      <c r="E682" s="144"/>
      <c r="F682" s="144"/>
      <c r="G682" s="144"/>
      <c r="H682" s="144"/>
      <c r="I682" s="496"/>
      <c r="J682" s="496"/>
      <c r="K682" s="496"/>
      <c r="L682" s="496"/>
      <c r="M682" s="144"/>
      <c r="N682" s="144"/>
      <c r="O682" s="144"/>
      <c r="P682" s="144"/>
      <c r="Q682" s="144"/>
      <c r="R682" s="144"/>
      <c r="S682" s="144"/>
      <c r="T682" s="144"/>
      <c r="U682" s="144"/>
      <c r="V682" s="144"/>
      <c r="W682" s="144"/>
      <c r="X682" s="144"/>
      <c r="Y682" s="144"/>
      <c r="Z682" s="144"/>
      <c r="AA682" s="144"/>
      <c r="AB682" s="144"/>
      <c r="AC682" s="144"/>
      <c r="AD682" s="144"/>
      <c r="AE682" s="144"/>
      <c r="AF682" s="144"/>
    </row>
    <row r="683" ht="16.5" customHeight="1">
      <c r="A683" s="144"/>
      <c r="B683" s="144"/>
      <c r="C683" s="144"/>
      <c r="D683" s="144"/>
      <c r="E683" s="144"/>
      <c r="F683" s="144"/>
      <c r="G683" s="144"/>
      <c r="H683" s="144"/>
      <c r="I683" s="496"/>
      <c r="J683" s="496"/>
      <c r="K683" s="496"/>
      <c r="L683" s="496"/>
      <c r="M683" s="144"/>
      <c r="N683" s="144"/>
      <c r="O683" s="144"/>
      <c r="P683" s="144"/>
      <c r="Q683" s="144"/>
      <c r="R683" s="144"/>
      <c r="S683" s="144"/>
      <c r="T683" s="144"/>
      <c r="U683" s="144"/>
      <c r="V683" s="144"/>
      <c r="W683" s="144"/>
      <c r="X683" s="144"/>
      <c r="Y683" s="144"/>
      <c r="Z683" s="144"/>
      <c r="AA683" s="144"/>
      <c r="AB683" s="144"/>
      <c r="AC683" s="144"/>
      <c r="AD683" s="144"/>
      <c r="AE683" s="144"/>
      <c r="AF683" s="144"/>
    </row>
    <row r="684" ht="16.5" customHeight="1">
      <c r="A684" s="144"/>
      <c r="B684" s="144"/>
      <c r="C684" s="144"/>
      <c r="D684" s="144"/>
      <c r="E684" s="144"/>
      <c r="F684" s="144"/>
      <c r="G684" s="144"/>
      <c r="H684" s="144"/>
      <c r="I684" s="496"/>
      <c r="J684" s="496"/>
      <c r="K684" s="496"/>
      <c r="L684" s="496"/>
      <c r="M684" s="144"/>
      <c r="N684" s="144"/>
      <c r="O684" s="144"/>
      <c r="P684" s="144"/>
      <c r="Q684" s="144"/>
      <c r="R684" s="144"/>
      <c r="S684" s="144"/>
      <c r="T684" s="144"/>
      <c r="U684" s="144"/>
      <c r="V684" s="144"/>
      <c r="W684" s="144"/>
      <c r="X684" s="144"/>
      <c r="Y684" s="144"/>
      <c r="Z684" s="144"/>
      <c r="AA684" s="144"/>
      <c r="AB684" s="144"/>
      <c r="AC684" s="144"/>
      <c r="AD684" s="144"/>
      <c r="AE684" s="144"/>
      <c r="AF684" s="144"/>
    </row>
    <row r="685" ht="16.5" customHeight="1">
      <c r="A685" s="144"/>
      <c r="B685" s="144"/>
      <c r="C685" s="144"/>
      <c r="D685" s="144"/>
      <c r="E685" s="144"/>
      <c r="F685" s="144"/>
      <c r="G685" s="144"/>
      <c r="H685" s="144"/>
      <c r="I685" s="496"/>
      <c r="J685" s="496"/>
      <c r="K685" s="496"/>
      <c r="L685" s="496"/>
      <c r="M685" s="144"/>
      <c r="N685" s="144"/>
      <c r="O685" s="144"/>
      <c r="P685" s="144"/>
      <c r="Q685" s="144"/>
      <c r="R685" s="144"/>
      <c r="S685" s="144"/>
      <c r="T685" s="144"/>
      <c r="U685" s="144"/>
      <c r="V685" s="144"/>
      <c r="W685" s="144"/>
      <c r="X685" s="144"/>
      <c r="Y685" s="144"/>
      <c r="Z685" s="144"/>
      <c r="AA685" s="144"/>
      <c r="AB685" s="144"/>
      <c r="AC685" s="144"/>
      <c r="AD685" s="144"/>
      <c r="AE685" s="144"/>
      <c r="AF685" s="144"/>
    </row>
    <row r="686" ht="16.5" customHeight="1">
      <c r="A686" s="144"/>
      <c r="B686" s="144"/>
      <c r="C686" s="144"/>
      <c r="D686" s="144"/>
      <c r="E686" s="144"/>
      <c r="F686" s="144"/>
      <c r="G686" s="144"/>
      <c r="H686" s="144"/>
      <c r="I686" s="496"/>
      <c r="J686" s="496"/>
      <c r="K686" s="496"/>
      <c r="L686" s="496"/>
      <c r="M686" s="144"/>
      <c r="N686" s="144"/>
      <c r="O686" s="144"/>
      <c r="P686" s="144"/>
      <c r="Q686" s="144"/>
      <c r="R686" s="144"/>
      <c r="S686" s="144"/>
      <c r="T686" s="144"/>
      <c r="U686" s="144"/>
      <c r="V686" s="144"/>
      <c r="W686" s="144"/>
      <c r="X686" s="144"/>
      <c r="Y686" s="144"/>
      <c r="Z686" s="144"/>
      <c r="AA686" s="144"/>
      <c r="AB686" s="144"/>
      <c r="AC686" s="144"/>
      <c r="AD686" s="144"/>
      <c r="AE686" s="144"/>
      <c r="AF686" s="144"/>
    </row>
    <row r="687" ht="16.5" customHeight="1">
      <c r="A687" s="144"/>
      <c r="B687" s="144"/>
      <c r="C687" s="144"/>
      <c r="D687" s="144"/>
      <c r="E687" s="144"/>
      <c r="F687" s="144"/>
      <c r="G687" s="144"/>
      <c r="H687" s="144"/>
      <c r="I687" s="496"/>
      <c r="J687" s="496"/>
      <c r="K687" s="496"/>
      <c r="L687" s="496"/>
      <c r="M687" s="144"/>
      <c r="N687" s="144"/>
      <c r="O687" s="144"/>
      <c r="P687" s="144"/>
      <c r="Q687" s="144"/>
      <c r="R687" s="144"/>
      <c r="S687" s="144"/>
      <c r="T687" s="144"/>
      <c r="U687" s="144"/>
      <c r="V687" s="144"/>
      <c r="W687" s="144"/>
      <c r="X687" s="144"/>
      <c r="Y687" s="144"/>
      <c r="Z687" s="144"/>
      <c r="AA687" s="144"/>
      <c r="AB687" s="144"/>
      <c r="AC687" s="144"/>
      <c r="AD687" s="144"/>
      <c r="AE687" s="144"/>
      <c r="AF687" s="144"/>
    </row>
    <row r="688" ht="16.5" customHeight="1">
      <c r="A688" s="144"/>
      <c r="B688" s="144"/>
      <c r="C688" s="144"/>
      <c r="D688" s="144"/>
      <c r="E688" s="144"/>
      <c r="F688" s="144"/>
      <c r="G688" s="144"/>
      <c r="H688" s="144"/>
      <c r="I688" s="496"/>
      <c r="J688" s="496"/>
      <c r="K688" s="496"/>
      <c r="L688" s="496"/>
      <c r="M688" s="144"/>
      <c r="N688" s="144"/>
      <c r="O688" s="144"/>
      <c r="P688" s="144"/>
      <c r="Q688" s="144"/>
      <c r="R688" s="144"/>
      <c r="S688" s="144"/>
      <c r="T688" s="144"/>
      <c r="U688" s="144"/>
      <c r="V688" s="144"/>
      <c r="W688" s="144"/>
      <c r="X688" s="144"/>
      <c r="Y688" s="144"/>
      <c r="Z688" s="144"/>
      <c r="AA688" s="144"/>
      <c r="AB688" s="144"/>
      <c r="AC688" s="144"/>
      <c r="AD688" s="144"/>
      <c r="AE688" s="144"/>
      <c r="AF688" s="144"/>
    </row>
    <row r="689" ht="16.5" customHeight="1">
      <c r="A689" s="144"/>
      <c r="B689" s="144"/>
      <c r="C689" s="144"/>
      <c r="D689" s="144"/>
      <c r="E689" s="144"/>
      <c r="F689" s="144"/>
      <c r="G689" s="144"/>
      <c r="H689" s="144"/>
      <c r="I689" s="496"/>
      <c r="J689" s="496"/>
      <c r="K689" s="496"/>
      <c r="L689" s="496"/>
      <c r="M689" s="144"/>
      <c r="N689" s="144"/>
      <c r="O689" s="144"/>
      <c r="P689" s="144"/>
      <c r="Q689" s="144"/>
      <c r="R689" s="144"/>
      <c r="S689" s="144"/>
      <c r="T689" s="144"/>
      <c r="U689" s="144"/>
      <c r="V689" s="144"/>
      <c r="W689" s="144"/>
      <c r="X689" s="144"/>
      <c r="Y689" s="144"/>
      <c r="Z689" s="144"/>
      <c r="AA689" s="144"/>
      <c r="AB689" s="144"/>
      <c r="AC689" s="144"/>
      <c r="AD689" s="144"/>
      <c r="AE689" s="144"/>
      <c r="AF689" s="144"/>
    </row>
    <row r="690" ht="16.5" customHeight="1">
      <c r="A690" s="144"/>
      <c r="B690" s="144"/>
      <c r="C690" s="144"/>
      <c r="D690" s="144"/>
      <c r="E690" s="144"/>
      <c r="F690" s="144"/>
      <c r="G690" s="144"/>
      <c r="H690" s="144"/>
      <c r="I690" s="496"/>
      <c r="J690" s="496"/>
      <c r="K690" s="496"/>
      <c r="L690" s="496"/>
      <c r="M690" s="144"/>
      <c r="N690" s="144"/>
      <c r="O690" s="144"/>
      <c r="P690" s="144"/>
      <c r="Q690" s="144"/>
      <c r="R690" s="144"/>
      <c r="S690" s="144"/>
      <c r="T690" s="144"/>
      <c r="U690" s="144"/>
      <c r="V690" s="144"/>
      <c r="W690" s="144"/>
      <c r="X690" s="144"/>
      <c r="Y690" s="144"/>
      <c r="Z690" s="144"/>
      <c r="AA690" s="144"/>
      <c r="AB690" s="144"/>
      <c r="AC690" s="144"/>
      <c r="AD690" s="144"/>
      <c r="AE690" s="144"/>
      <c r="AF690" s="144"/>
    </row>
    <row r="691" ht="16.5" customHeight="1">
      <c r="A691" s="144"/>
      <c r="B691" s="144"/>
      <c r="C691" s="144"/>
      <c r="D691" s="144"/>
      <c r="E691" s="144"/>
      <c r="F691" s="144"/>
      <c r="G691" s="144"/>
      <c r="H691" s="144"/>
      <c r="I691" s="496"/>
      <c r="J691" s="496"/>
      <c r="K691" s="496"/>
      <c r="L691" s="496"/>
      <c r="M691" s="144"/>
      <c r="N691" s="144"/>
      <c r="O691" s="144"/>
      <c r="P691" s="144"/>
      <c r="Q691" s="144"/>
      <c r="R691" s="144"/>
      <c r="S691" s="144"/>
      <c r="T691" s="144"/>
      <c r="U691" s="144"/>
      <c r="V691" s="144"/>
      <c r="W691" s="144"/>
      <c r="X691" s="144"/>
      <c r="Y691" s="144"/>
      <c r="Z691" s="144"/>
      <c r="AA691" s="144"/>
      <c r="AB691" s="144"/>
      <c r="AC691" s="144"/>
      <c r="AD691" s="144"/>
      <c r="AE691" s="144"/>
      <c r="AF691" s="144"/>
    </row>
    <row r="692" ht="16.5" customHeight="1">
      <c r="A692" s="144"/>
      <c r="B692" s="144"/>
      <c r="C692" s="144"/>
      <c r="D692" s="144"/>
      <c r="E692" s="144"/>
      <c r="F692" s="144"/>
      <c r="G692" s="144"/>
      <c r="H692" s="144"/>
      <c r="I692" s="496"/>
      <c r="J692" s="496"/>
      <c r="K692" s="496"/>
      <c r="L692" s="496"/>
      <c r="M692" s="144"/>
      <c r="N692" s="144"/>
      <c r="O692" s="144"/>
      <c r="P692" s="144"/>
      <c r="Q692" s="144"/>
      <c r="R692" s="144"/>
      <c r="S692" s="144"/>
      <c r="T692" s="144"/>
      <c r="U692" s="144"/>
      <c r="V692" s="144"/>
      <c r="W692" s="144"/>
      <c r="X692" s="144"/>
      <c r="Y692" s="144"/>
      <c r="Z692" s="144"/>
      <c r="AA692" s="144"/>
      <c r="AB692" s="144"/>
      <c r="AC692" s="144"/>
      <c r="AD692" s="144"/>
      <c r="AE692" s="144"/>
      <c r="AF692" s="144"/>
    </row>
    <row r="693" ht="16.5" customHeight="1">
      <c r="A693" s="144"/>
      <c r="B693" s="144"/>
      <c r="C693" s="144"/>
      <c r="D693" s="144"/>
      <c r="E693" s="144"/>
      <c r="F693" s="144"/>
      <c r="G693" s="144"/>
      <c r="H693" s="144"/>
      <c r="I693" s="496"/>
      <c r="J693" s="496"/>
      <c r="K693" s="496"/>
      <c r="L693" s="496"/>
      <c r="M693" s="144"/>
      <c r="N693" s="144"/>
      <c r="O693" s="144"/>
      <c r="P693" s="144"/>
      <c r="Q693" s="144"/>
      <c r="R693" s="144"/>
      <c r="S693" s="144"/>
      <c r="T693" s="144"/>
      <c r="U693" s="144"/>
      <c r="V693" s="144"/>
      <c r="W693" s="144"/>
      <c r="X693" s="144"/>
      <c r="Y693" s="144"/>
      <c r="Z693" s="144"/>
      <c r="AA693" s="144"/>
      <c r="AB693" s="144"/>
      <c r="AC693" s="144"/>
      <c r="AD693" s="144"/>
      <c r="AE693" s="144"/>
      <c r="AF693" s="144"/>
    </row>
    <row r="694" ht="16.5" customHeight="1">
      <c r="A694" s="144"/>
      <c r="B694" s="144"/>
      <c r="C694" s="144"/>
      <c r="D694" s="144"/>
      <c r="E694" s="144"/>
      <c r="F694" s="144"/>
      <c r="G694" s="144"/>
      <c r="H694" s="144"/>
      <c r="I694" s="496"/>
      <c r="J694" s="496"/>
      <c r="K694" s="496"/>
      <c r="L694" s="496"/>
      <c r="M694" s="144"/>
      <c r="N694" s="144"/>
      <c r="O694" s="144"/>
      <c r="P694" s="144"/>
      <c r="Q694" s="144"/>
      <c r="R694" s="144"/>
      <c r="S694" s="144"/>
      <c r="T694" s="144"/>
      <c r="U694" s="144"/>
      <c r="V694" s="144"/>
      <c r="W694" s="144"/>
      <c r="X694" s="144"/>
      <c r="Y694" s="144"/>
      <c r="Z694" s="144"/>
      <c r="AA694" s="144"/>
      <c r="AB694" s="144"/>
      <c r="AC694" s="144"/>
      <c r="AD694" s="144"/>
      <c r="AE694" s="144"/>
      <c r="AF694" s="144"/>
    </row>
    <row r="695" ht="16.5" customHeight="1">
      <c r="A695" s="144"/>
      <c r="B695" s="144"/>
      <c r="C695" s="144"/>
      <c r="D695" s="144"/>
      <c r="E695" s="144"/>
      <c r="F695" s="144"/>
      <c r="G695" s="144"/>
      <c r="H695" s="144"/>
      <c r="I695" s="496"/>
      <c r="J695" s="496"/>
      <c r="K695" s="496"/>
      <c r="L695" s="496"/>
      <c r="M695" s="144"/>
      <c r="N695" s="144"/>
      <c r="O695" s="144"/>
      <c r="P695" s="144"/>
      <c r="Q695" s="144"/>
      <c r="R695" s="144"/>
      <c r="S695" s="144"/>
      <c r="T695" s="144"/>
      <c r="U695" s="144"/>
      <c r="V695" s="144"/>
      <c r="W695" s="144"/>
      <c r="X695" s="144"/>
      <c r="Y695" s="144"/>
      <c r="Z695" s="144"/>
      <c r="AA695" s="144"/>
      <c r="AB695" s="144"/>
      <c r="AC695" s="144"/>
      <c r="AD695" s="144"/>
      <c r="AE695" s="144"/>
      <c r="AF695" s="144"/>
    </row>
    <row r="696" ht="16.5" customHeight="1">
      <c r="A696" s="144"/>
      <c r="B696" s="144"/>
      <c r="C696" s="144"/>
      <c r="D696" s="144"/>
      <c r="E696" s="144"/>
      <c r="F696" s="144"/>
      <c r="G696" s="144"/>
      <c r="H696" s="144"/>
      <c r="I696" s="496"/>
      <c r="J696" s="496"/>
      <c r="K696" s="496"/>
      <c r="L696" s="496"/>
      <c r="M696" s="144"/>
      <c r="N696" s="144"/>
      <c r="O696" s="144"/>
      <c r="P696" s="144"/>
      <c r="Q696" s="144"/>
      <c r="R696" s="144"/>
      <c r="S696" s="144"/>
      <c r="T696" s="144"/>
      <c r="U696" s="144"/>
      <c r="V696" s="144"/>
      <c r="W696" s="144"/>
      <c r="X696" s="144"/>
      <c r="Y696" s="144"/>
      <c r="Z696" s="144"/>
      <c r="AA696" s="144"/>
      <c r="AB696" s="144"/>
      <c r="AC696" s="144"/>
      <c r="AD696" s="144"/>
      <c r="AE696" s="144"/>
      <c r="AF696" s="144"/>
    </row>
    <row r="697" ht="16.5" customHeight="1">
      <c r="A697" s="144"/>
      <c r="B697" s="144"/>
      <c r="C697" s="144"/>
      <c r="D697" s="144"/>
      <c r="E697" s="144"/>
      <c r="F697" s="144"/>
      <c r="G697" s="144"/>
      <c r="H697" s="144"/>
      <c r="I697" s="496"/>
      <c r="J697" s="496"/>
      <c r="K697" s="496"/>
      <c r="L697" s="496"/>
      <c r="M697" s="144"/>
      <c r="N697" s="144"/>
      <c r="O697" s="144"/>
      <c r="P697" s="144"/>
      <c r="Q697" s="144"/>
      <c r="R697" s="144"/>
      <c r="S697" s="144"/>
      <c r="T697" s="144"/>
      <c r="U697" s="144"/>
      <c r="V697" s="144"/>
      <c r="W697" s="144"/>
      <c r="X697" s="144"/>
      <c r="Y697" s="144"/>
      <c r="Z697" s="144"/>
      <c r="AA697" s="144"/>
      <c r="AB697" s="144"/>
      <c r="AC697" s="144"/>
      <c r="AD697" s="144"/>
      <c r="AE697" s="144"/>
      <c r="AF697" s="144"/>
    </row>
    <row r="698" ht="16.5" customHeight="1">
      <c r="A698" s="144"/>
      <c r="B698" s="144"/>
      <c r="C698" s="144"/>
      <c r="D698" s="144"/>
      <c r="E698" s="144"/>
      <c r="F698" s="144"/>
      <c r="G698" s="144"/>
      <c r="H698" s="144"/>
      <c r="I698" s="496"/>
      <c r="J698" s="496"/>
      <c r="K698" s="496"/>
      <c r="L698" s="496"/>
      <c r="M698" s="144"/>
      <c r="N698" s="144"/>
      <c r="O698" s="144"/>
      <c r="P698" s="144"/>
      <c r="Q698" s="144"/>
      <c r="R698" s="144"/>
      <c r="S698" s="144"/>
      <c r="T698" s="144"/>
      <c r="U698" s="144"/>
      <c r="V698" s="144"/>
      <c r="W698" s="144"/>
      <c r="X698" s="144"/>
      <c r="Y698" s="144"/>
      <c r="Z698" s="144"/>
      <c r="AA698" s="144"/>
      <c r="AB698" s="144"/>
      <c r="AC698" s="144"/>
      <c r="AD698" s="144"/>
      <c r="AE698" s="144"/>
      <c r="AF698" s="144"/>
    </row>
    <row r="699" ht="16.5" customHeight="1">
      <c r="A699" s="144"/>
      <c r="B699" s="144"/>
      <c r="C699" s="144"/>
      <c r="D699" s="144"/>
      <c r="E699" s="144"/>
      <c r="F699" s="144"/>
      <c r="G699" s="144"/>
      <c r="H699" s="144"/>
      <c r="I699" s="496"/>
      <c r="J699" s="496"/>
      <c r="K699" s="496"/>
      <c r="L699" s="496"/>
      <c r="M699" s="144"/>
      <c r="N699" s="144"/>
      <c r="O699" s="144"/>
      <c r="P699" s="144"/>
      <c r="Q699" s="144"/>
      <c r="R699" s="144"/>
      <c r="S699" s="144"/>
      <c r="T699" s="144"/>
      <c r="U699" s="144"/>
      <c r="V699" s="144"/>
      <c r="W699" s="144"/>
      <c r="X699" s="144"/>
      <c r="Y699" s="144"/>
      <c r="Z699" s="144"/>
      <c r="AA699" s="144"/>
      <c r="AB699" s="144"/>
      <c r="AC699" s="144"/>
      <c r="AD699" s="144"/>
      <c r="AE699" s="144"/>
      <c r="AF699" s="144"/>
    </row>
    <row r="700" ht="16.5" customHeight="1">
      <c r="A700" s="144"/>
      <c r="B700" s="144"/>
      <c r="C700" s="144"/>
      <c r="D700" s="144"/>
      <c r="E700" s="144"/>
      <c r="F700" s="144"/>
      <c r="G700" s="144"/>
      <c r="H700" s="144"/>
      <c r="I700" s="496"/>
      <c r="J700" s="496"/>
      <c r="K700" s="496"/>
      <c r="L700" s="496"/>
      <c r="M700" s="144"/>
      <c r="N700" s="144"/>
      <c r="O700" s="144"/>
      <c r="P700" s="144"/>
      <c r="Q700" s="144"/>
      <c r="R700" s="144"/>
      <c r="S700" s="144"/>
      <c r="T700" s="144"/>
      <c r="U700" s="144"/>
      <c r="V700" s="144"/>
      <c r="W700" s="144"/>
      <c r="X700" s="144"/>
      <c r="Y700" s="144"/>
      <c r="Z700" s="144"/>
      <c r="AA700" s="144"/>
      <c r="AB700" s="144"/>
      <c r="AC700" s="144"/>
      <c r="AD700" s="144"/>
      <c r="AE700" s="144"/>
      <c r="AF700" s="144"/>
    </row>
    <row r="701" ht="16.5" customHeight="1">
      <c r="A701" s="144"/>
      <c r="B701" s="144"/>
      <c r="C701" s="144"/>
      <c r="D701" s="144"/>
      <c r="E701" s="144"/>
      <c r="F701" s="144"/>
      <c r="G701" s="144"/>
      <c r="H701" s="144"/>
      <c r="I701" s="496"/>
      <c r="J701" s="496"/>
      <c r="K701" s="496"/>
      <c r="L701" s="496"/>
      <c r="M701" s="144"/>
      <c r="N701" s="144"/>
      <c r="O701" s="144"/>
      <c r="P701" s="144"/>
      <c r="Q701" s="144"/>
      <c r="R701" s="144"/>
      <c r="S701" s="144"/>
      <c r="T701" s="144"/>
      <c r="U701" s="144"/>
      <c r="V701" s="144"/>
      <c r="W701" s="144"/>
      <c r="X701" s="144"/>
      <c r="Y701" s="144"/>
      <c r="Z701" s="144"/>
      <c r="AA701" s="144"/>
      <c r="AB701" s="144"/>
      <c r="AC701" s="144"/>
      <c r="AD701" s="144"/>
      <c r="AE701" s="144"/>
      <c r="AF701" s="144"/>
    </row>
    <row r="702" ht="16.5" customHeight="1">
      <c r="A702" s="144"/>
      <c r="B702" s="144"/>
      <c r="C702" s="144"/>
      <c r="D702" s="144"/>
      <c r="E702" s="144"/>
      <c r="F702" s="144"/>
      <c r="G702" s="144"/>
      <c r="H702" s="144"/>
      <c r="I702" s="496"/>
      <c r="J702" s="496"/>
      <c r="K702" s="496"/>
      <c r="L702" s="496"/>
      <c r="M702" s="144"/>
      <c r="N702" s="144"/>
      <c r="O702" s="144"/>
      <c r="P702" s="144"/>
      <c r="Q702" s="144"/>
      <c r="R702" s="144"/>
      <c r="S702" s="144"/>
      <c r="T702" s="144"/>
      <c r="U702" s="144"/>
      <c r="V702" s="144"/>
      <c r="W702" s="144"/>
      <c r="X702" s="144"/>
      <c r="Y702" s="144"/>
      <c r="Z702" s="144"/>
      <c r="AA702" s="144"/>
      <c r="AB702" s="144"/>
      <c r="AC702" s="144"/>
      <c r="AD702" s="144"/>
      <c r="AE702" s="144"/>
      <c r="AF702" s="144"/>
    </row>
    <row r="703" ht="16.5" customHeight="1">
      <c r="A703" s="144"/>
      <c r="B703" s="144"/>
      <c r="C703" s="144"/>
      <c r="D703" s="144"/>
      <c r="E703" s="144"/>
      <c r="F703" s="144"/>
      <c r="G703" s="144"/>
      <c r="H703" s="144"/>
      <c r="I703" s="496"/>
      <c r="J703" s="496"/>
      <c r="K703" s="496"/>
      <c r="L703" s="496"/>
      <c r="M703" s="144"/>
      <c r="N703" s="144"/>
      <c r="O703" s="144"/>
      <c r="P703" s="144"/>
      <c r="Q703" s="144"/>
      <c r="R703" s="144"/>
      <c r="S703" s="144"/>
      <c r="T703" s="144"/>
      <c r="U703" s="144"/>
      <c r="V703" s="144"/>
      <c r="W703" s="144"/>
      <c r="X703" s="144"/>
      <c r="Y703" s="144"/>
      <c r="Z703" s="144"/>
      <c r="AA703" s="144"/>
      <c r="AB703" s="144"/>
      <c r="AC703" s="144"/>
      <c r="AD703" s="144"/>
      <c r="AE703" s="144"/>
      <c r="AF703" s="144"/>
    </row>
    <row r="704" ht="16.5" customHeight="1">
      <c r="A704" s="144"/>
      <c r="B704" s="144"/>
      <c r="C704" s="144"/>
      <c r="D704" s="144"/>
      <c r="E704" s="144"/>
      <c r="F704" s="144"/>
      <c r="G704" s="144"/>
      <c r="H704" s="144"/>
      <c r="I704" s="496"/>
      <c r="J704" s="496"/>
      <c r="K704" s="496"/>
      <c r="L704" s="496"/>
      <c r="M704" s="144"/>
      <c r="N704" s="144"/>
      <c r="O704" s="144"/>
      <c r="P704" s="144"/>
      <c r="Q704" s="144"/>
      <c r="R704" s="144"/>
      <c r="S704" s="144"/>
      <c r="T704" s="144"/>
      <c r="U704" s="144"/>
      <c r="V704" s="144"/>
      <c r="W704" s="144"/>
      <c r="X704" s="144"/>
      <c r="Y704" s="144"/>
      <c r="Z704" s="144"/>
      <c r="AA704" s="144"/>
      <c r="AB704" s="144"/>
      <c r="AC704" s="144"/>
      <c r="AD704" s="144"/>
      <c r="AE704" s="144"/>
      <c r="AF704" s="144"/>
    </row>
    <row r="705" ht="16.5" customHeight="1">
      <c r="A705" s="144"/>
      <c r="B705" s="144"/>
      <c r="C705" s="144"/>
      <c r="D705" s="144"/>
      <c r="E705" s="144"/>
      <c r="F705" s="144"/>
      <c r="G705" s="144"/>
      <c r="H705" s="144"/>
      <c r="I705" s="496"/>
      <c r="J705" s="496"/>
      <c r="K705" s="496"/>
      <c r="L705" s="496"/>
      <c r="M705" s="144"/>
      <c r="N705" s="144"/>
      <c r="O705" s="144"/>
      <c r="P705" s="144"/>
      <c r="Q705" s="144"/>
      <c r="R705" s="144"/>
      <c r="S705" s="144"/>
      <c r="T705" s="144"/>
      <c r="U705" s="144"/>
      <c r="V705" s="144"/>
      <c r="W705" s="144"/>
      <c r="X705" s="144"/>
      <c r="Y705" s="144"/>
      <c r="Z705" s="144"/>
      <c r="AA705" s="144"/>
      <c r="AB705" s="144"/>
      <c r="AC705" s="144"/>
      <c r="AD705" s="144"/>
      <c r="AE705" s="144"/>
      <c r="AF705" s="144"/>
    </row>
    <row r="706" ht="16.5" customHeight="1">
      <c r="A706" s="144"/>
      <c r="B706" s="144"/>
      <c r="C706" s="144"/>
      <c r="D706" s="144"/>
      <c r="E706" s="144"/>
      <c r="F706" s="144"/>
      <c r="G706" s="144"/>
      <c r="H706" s="144"/>
      <c r="I706" s="496"/>
      <c r="J706" s="496"/>
      <c r="K706" s="496"/>
      <c r="L706" s="496"/>
      <c r="M706" s="144"/>
      <c r="N706" s="144"/>
      <c r="O706" s="144"/>
      <c r="P706" s="144"/>
      <c r="Q706" s="144"/>
      <c r="R706" s="144"/>
      <c r="S706" s="144"/>
      <c r="T706" s="144"/>
      <c r="U706" s="144"/>
      <c r="V706" s="144"/>
      <c r="W706" s="144"/>
      <c r="X706" s="144"/>
      <c r="Y706" s="144"/>
      <c r="Z706" s="144"/>
      <c r="AA706" s="144"/>
      <c r="AB706" s="144"/>
      <c r="AC706" s="144"/>
      <c r="AD706" s="144"/>
      <c r="AE706" s="144"/>
      <c r="AF706" s="144"/>
    </row>
    <row r="707" ht="16.5" customHeight="1">
      <c r="A707" s="144"/>
      <c r="B707" s="144"/>
      <c r="C707" s="144"/>
      <c r="D707" s="144"/>
      <c r="E707" s="144"/>
      <c r="F707" s="144"/>
      <c r="G707" s="144"/>
      <c r="H707" s="144"/>
      <c r="I707" s="496"/>
      <c r="J707" s="496"/>
      <c r="K707" s="496"/>
      <c r="L707" s="496"/>
      <c r="M707" s="144"/>
      <c r="N707" s="144"/>
      <c r="O707" s="144"/>
      <c r="P707" s="144"/>
      <c r="Q707" s="144"/>
      <c r="R707" s="144"/>
      <c r="S707" s="144"/>
      <c r="T707" s="144"/>
      <c r="U707" s="144"/>
      <c r="V707" s="144"/>
      <c r="W707" s="144"/>
      <c r="X707" s="144"/>
      <c r="Y707" s="144"/>
      <c r="Z707" s="144"/>
      <c r="AA707" s="144"/>
      <c r="AB707" s="144"/>
      <c r="AC707" s="144"/>
      <c r="AD707" s="144"/>
      <c r="AE707" s="144"/>
      <c r="AF707" s="144"/>
    </row>
    <row r="708" ht="16.5" customHeight="1">
      <c r="A708" s="144"/>
      <c r="B708" s="144"/>
      <c r="C708" s="144"/>
      <c r="D708" s="144"/>
      <c r="E708" s="144"/>
      <c r="F708" s="144"/>
      <c r="G708" s="144"/>
      <c r="H708" s="144"/>
      <c r="I708" s="496"/>
      <c r="J708" s="496"/>
      <c r="K708" s="496"/>
      <c r="L708" s="496"/>
      <c r="M708" s="144"/>
      <c r="N708" s="144"/>
      <c r="O708" s="144"/>
      <c r="P708" s="144"/>
      <c r="Q708" s="144"/>
      <c r="R708" s="144"/>
      <c r="S708" s="144"/>
      <c r="T708" s="144"/>
      <c r="U708" s="144"/>
      <c r="V708" s="144"/>
      <c r="W708" s="144"/>
      <c r="X708" s="144"/>
      <c r="Y708" s="144"/>
      <c r="Z708" s="144"/>
      <c r="AA708" s="144"/>
      <c r="AB708" s="144"/>
      <c r="AC708" s="144"/>
      <c r="AD708" s="144"/>
      <c r="AE708" s="144"/>
      <c r="AF708" s="144"/>
    </row>
    <row r="709" ht="16.5" customHeight="1">
      <c r="A709" s="144"/>
      <c r="B709" s="144"/>
      <c r="C709" s="144"/>
      <c r="D709" s="144"/>
      <c r="E709" s="144"/>
      <c r="F709" s="144"/>
      <c r="G709" s="144"/>
      <c r="H709" s="144"/>
      <c r="I709" s="496"/>
      <c r="J709" s="496"/>
      <c r="K709" s="496"/>
      <c r="L709" s="496"/>
      <c r="M709" s="144"/>
      <c r="N709" s="144"/>
      <c r="O709" s="144"/>
      <c r="P709" s="144"/>
      <c r="Q709" s="144"/>
      <c r="R709" s="144"/>
      <c r="S709" s="144"/>
      <c r="T709" s="144"/>
      <c r="U709" s="144"/>
      <c r="V709" s="144"/>
      <c r="W709" s="144"/>
      <c r="X709" s="144"/>
      <c r="Y709" s="144"/>
      <c r="Z709" s="144"/>
      <c r="AA709" s="144"/>
      <c r="AB709" s="144"/>
      <c r="AC709" s="144"/>
      <c r="AD709" s="144"/>
      <c r="AE709" s="144"/>
      <c r="AF709" s="144"/>
    </row>
    <row r="710" ht="16.5" customHeight="1">
      <c r="A710" s="144"/>
      <c r="B710" s="144"/>
      <c r="C710" s="144"/>
      <c r="D710" s="144"/>
      <c r="E710" s="144"/>
      <c r="F710" s="144"/>
      <c r="G710" s="144"/>
      <c r="H710" s="144"/>
      <c r="I710" s="496"/>
      <c r="J710" s="496"/>
      <c r="K710" s="496"/>
      <c r="L710" s="496"/>
      <c r="M710" s="144"/>
      <c r="N710" s="144"/>
      <c r="O710" s="144"/>
      <c r="P710" s="144"/>
      <c r="Q710" s="144"/>
      <c r="R710" s="144"/>
      <c r="S710" s="144"/>
      <c r="T710" s="144"/>
      <c r="U710" s="144"/>
      <c r="V710" s="144"/>
      <c r="W710" s="144"/>
      <c r="X710" s="144"/>
      <c r="Y710" s="144"/>
      <c r="Z710" s="144"/>
      <c r="AA710" s="144"/>
      <c r="AB710" s="144"/>
      <c r="AC710" s="144"/>
      <c r="AD710" s="144"/>
      <c r="AE710" s="144"/>
      <c r="AF710" s="144"/>
    </row>
    <row r="711" ht="16.5" customHeight="1">
      <c r="A711" s="144"/>
      <c r="B711" s="144"/>
      <c r="C711" s="144"/>
      <c r="D711" s="144"/>
      <c r="E711" s="144"/>
      <c r="F711" s="144"/>
      <c r="G711" s="144"/>
      <c r="H711" s="144"/>
      <c r="I711" s="496"/>
      <c r="J711" s="496"/>
      <c r="K711" s="496"/>
      <c r="L711" s="496"/>
      <c r="M711" s="144"/>
      <c r="N711" s="144"/>
      <c r="O711" s="144"/>
      <c r="P711" s="144"/>
      <c r="Q711" s="144"/>
      <c r="R711" s="144"/>
      <c r="S711" s="144"/>
      <c r="T711" s="144"/>
      <c r="U711" s="144"/>
      <c r="V711" s="144"/>
      <c r="W711" s="144"/>
      <c r="X711" s="144"/>
      <c r="Y711" s="144"/>
      <c r="Z711" s="144"/>
      <c r="AA711" s="144"/>
      <c r="AB711" s="144"/>
      <c r="AC711" s="144"/>
      <c r="AD711" s="144"/>
      <c r="AE711" s="144"/>
      <c r="AF711" s="144"/>
    </row>
    <row r="712" ht="16.5" customHeight="1">
      <c r="A712" s="144"/>
      <c r="B712" s="144"/>
      <c r="C712" s="144"/>
      <c r="D712" s="144"/>
      <c r="E712" s="144"/>
      <c r="F712" s="144"/>
      <c r="G712" s="144"/>
      <c r="H712" s="144"/>
      <c r="I712" s="496"/>
      <c r="J712" s="496"/>
      <c r="K712" s="496"/>
      <c r="L712" s="496"/>
      <c r="M712" s="144"/>
      <c r="N712" s="144"/>
      <c r="O712" s="144"/>
      <c r="P712" s="144"/>
      <c r="Q712" s="144"/>
      <c r="R712" s="144"/>
      <c r="S712" s="144"/>
      <c r="T712" s="144"/>
      <c r="U712" s="144"/>
      <c r="V712" s="144"/>
      <c r="W712" s="144"/>
      <c r="X712" s="144"/>
      <c r="Y712" s="144"/>
      <c r="Z712" s="144"/>
      <c r="AA712" s="144"/>
      <c r="AB712" s="144"/>
      <c r="AC712" s="144"/>
      <c r="AD712" s="144"/>
      <c r="AE712" s="144"/>
      <c r="AF712" s="144"/>
    </row>
    <row r="713" ht="16.5" customHeight="1">
      <c r="A713" s="144"/>
      <c r="B713" s="144"/>
      <c r="C713" s="144"/>
      <c r="D713" s="144"/>
      <c r="E713" s="144"/>
      <c r="F713" s="144"/>
      <c r="G713" s="144"/>
      <c r="H713" s="144"/>
      <c r="I713" s="496"/>
      <c r="J713" s="496"/>
      <c r="K713" s="496"/>
      <c r="L713" s="496"/>
      <c r="M713" s="144"/>
      <c r="N713" s="144"/>
      <c r="O713" s="144"/>
      <c r="P713" s="144"/>
      <c r="Q713" s="144"/>
      <c r="R713" s="144"/>
      <c r="S713" s="144"/>
      <c r="T713" s="144"/>
      <c r="U713" s="144"/>
      <c r="V713" s="144"/>
      <c r="W713" s="144"/>
      <c r="X713" s="144"/>
      <c r="Y713" s="144"/>
      <c r="Z713" s="144"/>
      <c r="AA713" s="144"/>
      <c r="AB713" s="144"/>
      <c r="AC713" s="144"/>
      <c r="AD713" s="144"/>
      <c r="AE713" s="144"/>
      <c r="AF713" s="144"/>
    </row>
    <row r="714" ht="16.5" customHeight="1">
      <c r="A714" s="144"/>
      <c r="B714" s="144"/>
      <c r="C714" s="144"/>
      <c r="D714" s="144"/>
      <c r="E714" s="144"/>
      <c r="F714" s="144"/>
      <c r="G714" s="144"/>
      <c r="H714" s="144"/>
      <c r="I714" s="496"/>
      <c r="J714" s="496"/>
      <c r="K714" s="496"/>
      <c r="L714" s="496"/>
      <c r="M714" s="144"/>
      <c r="N714" s="144"/>
      <c r="O714" s="144"/>
      <c r="P714" s="144"/>
      <c r="Q714" s="144"/>
      <c r="R714" s="144"/>
      <c r="S714" s="144"/>
      <c r="T714" s="144"/>
      <c r="U714" s="144"/>
      <c r="V714" s="144"/>
      <c r="W714" s="144"/>
      <c r="X714" s="144"/>
      <c r="Y714" s="144"/>
      <c r="Z714" s="144"/>
      <c r="AA714" s="144"/>
      <c r="AB714" s="144"/>
      <c r="AC714" s="144"/>
      <c r="AD714" s="144"/>
      <c r="AE714" s="144"/>
      <c r="AF714" s="144"/>
    </row>
    <row r="715" ht="16.5" customHeight="1">
      <c r="A715" s="144"/>
      <c r="B715" s="144"/>
      <c r="C715" s="144"/>
      <c r="D715" s="144"/>
      <c r="E715" s="144"/>
      <c r="F715" s="144"/>
      <c r="G715" s="144"/>
      <c r="H715" s="144"/>
      <c r="I715" s="496"/>
      <c r="J715" s="496"/>
      <c r="K715" s="496"/>
      <c r="L715" s="496"/>
      <c r="M715" s="144"/>
      <c r="N715" s="144"/>
      <c r="O715" s="144"/>
      <c r="P715" s="144"/>
      <c r="Q715" s="144"/>
      <c r="R715" s="144"/>
      <c r="S715" s="144"/>
      <c r="T715" s="144"/>
      <c r="U715" s="144"/>
      <c r="V715" s="144"/>
      <c r="W715" s="144"/>
      <c r="X715" s="144"/>
      <c r="Y715" s="144"/>
      <c r="Z715" s="144"/>
      <c r="AA715" s="144"/>
      <c r="AB715" s="144"/>
      <c r="AC715" s="144"/>
      <c r="AD715" s="144"/>
      <c r="AE715" s="144"/>
      <c r="AF715" s="144"/>
    </row>
    <row r="716" ht="16.5" customHeight="1">
      <c r="A716" s="144"/>
      <c r="B716" s="144"/>
      <c r="C716" s="144"/>
      <c r="D716" s="144"/>
      <c r="E716" s="144"/>
      <c r="F716" s="144"/>
      <c r="G716" s="144"/>
      <c r="H716" s="144"/>
      <c r="I716" s="496"/>
      <c r="J716" s="496"/>
      <c r="K716" s="496"/>
      <c r="L716" s="496"/>
      <c r="M716" s="144"/>
      <c r="N716" s="144"/>
      <c r="O716" s="144"/>
      <c r="P716" s="144"/>
      <c r="Q716" s="144"/>
      <c r="R716" s="144"/>
      <c r="S716" s="144"/>
      <c r="T716" s="144"/>
      <c r="U716" s="144"/>
      <c r="V716" s="144"/>
      <c r="W716" s="144"/>
      <c r="X716" s="144"/>
      <c r="Y716" s="144"/>
      <c r="Z716" s="144"/>
      <c r="AA716" s="144"/>
      <c r="AB716" s="144"/>
      <c r="AC716" s="144"/>
      <c r="AD716" s="144"/>
      <c r="AE716" s="144"/>
      <c r="AF716" s="144"/>
    </row>
    <row r="717" ht="16.5" customHeight="1">
      <c r="A717" s="144"/>
      <c r="B717" s="144"/>
      <c r="C717" s="144"/>
      <c r="D717" s="144"/>
      <c r="E717" s="144"/>
      <c r="F717" s="144"/>
      <c r="G717" s="144"/>
      <c r="H717" s="144"/>
      <c r="I717" s="496"/>
      <c r="J717" s="496"/>
      <c r="K717" s="496"/>
      <c r="L717" s="496"/>
      <c r="M717" s="144"/>
      <c r="N717" s="144"/>
      <c r="O717" s="144"/>
      <c r="P717" s="144"/>
      <c r="Q717" s="144"/>
      <c r="R717" s="144"/>
      <c r="S717" s="144"/>
      <c r="T717" s="144"/>
      <c r="U717" s="144"/>
      <c r="V717" s="144"/>
      <c r="W717" s="144"/>
      <c r="X717" s="144"/>
      <c r="Y717" s="144"/>
      <c r="Z717" s="144"/>
      <c r="AA717" s="144"/>
      <c r="AB717" s="144"/>
      <c r="AC717" s="144"/>
      <c r="AD717" s="144"/>
      <c r="AE717" s="144"/>
      <c r="AF717" s="144"/>
    </row>
    <row r="718" ht="16.5" customHeight="1">
      <c r="A718" s="144"/>
      <c r="B718" s="144"/>
      <c r="C718" s="144"/>
      <c r="D718" s="144"/>
      <c r="E718" s="144"/>
      <c r="F718" s="144"/>
      <c r="G718" s="144"/>
      <c r="H718" s="144"/>
      <c r="I718" s="496"/>
      <c r="J718" s="496"/>
      <c r="K718" s="496"/>
      <c r="L718" s="496"/>
      <c r="M718" s="144"/>
      <c r="N718" s="144"/>
      <c r="O718" s="144"/>
      <c r="P718" s="144"/>
      <c r="Q718" s="144"/>
      <c r="R718" s="144"/>
      <c r="S718" s="144"/>
      <c r="T718" s="144"/>
      <c r="U718" s="144"/>
      <c r="V718" s="144"/>
      <c r="W718" s="144"/>
      <c r="X718" s="144"/>
      <c r="Y718" s="144"/>
      <c r="Z718" s="144"/>
      <c r="AA718" s="144"/>
      <c r="AB718" s="144"/>
      <c r="AC718" s="144"/>
      <c r="AD718" s="144"/>
      <c r="AE718" s="144"/>
      <c r="AF718" s="144"/>
    </row>
    <row r="719" ht="16.5" customHeight="1">
      <c r="A719" s="144"/>
      <c r="B719" s="144"/>
      <c r="C719" s="144"/>
      <c r="D719" s="144"/>
      <c r="E719" s="144"/>
      <c r="F719" s="144"/>
      <c r="G719" s="144"/>
      <c r="H719" s="144"/>
      <c r="I719" s="496"/>
      <c r="J719" s="496"/>
      <c r="K719" s="496"/>
      <c r="L719" s="496"/>
      <c r="M719" s="144"/>
      <c r="N719" s="144"/>
      <c r="O719" s="144"/>
      <c r="P719" s="144"/>
      <c r="Q719" s="144"/>
      <c r="R719" s="144"/>
      <c r="S719" s="144"/>
      <c r="T719" s="144"/>
      <c r="U719" s="144"/>
      <c r="V719" s="144"/>
      <c r="W719" s="144"/>
      <c r="X719" s="144"/>
      <c r="Y719" s="144"/>
      <c r="Z719" s="144"/>
      <c r="AA719" s="144"/>
      <c r="AB719" s="144"/>
      <c r="AC719" s="144"/>
      <c r="AD719" s="144"/>
      <c r="AE719" s="144"/>
      <c r="AF719" s="144"/>
    </row>
    <row r="720" ht="16.5" customHeight="1">
      <c r="A720" s="144"/>
      <c r="B720" s="144"/>
      <c r="C720" s="144"/>
      <c r="D720" s="144"/>
      <c r="E720" s="144"/>
      <c r="F720" s="144"/>
      <c r="G720" s="144"/>
      <c r="H720" s="144"/>
      <c r="I720" s="496"/>
      <c r="J720" s="496"/>
      <c r="K720" s="496"/>
      <c r="L720" s="496"/>
      <c r="M720" s="144"/>
      <c r="N720" s="144"/>
      <c r="O720" s="144"/>
      <c r="P720" s="144"/>
      <c r="Q720" s="144"/>
      <c r="R720" s="144"/>
      <c r="S720" s="144"/>
      <c r="T720" s="144"/>
      <c r="U720" s="144"/>
      <c r="V720" s="144"/>
      <c r="W720" s="144"/>
      <c r="X720" s="144"/>
      <c r="Y720" s="144"/>
      <c r="Z720" s="144"/>
      <c r="AA720" s="144"/>
      <c r="AB720" s="144"/>
      <c r="AC720" s="144"/>
      <c r="AD720" s="144"/>
      <c r="AE720" s="144"/>
      <c r="AF720" s="144"/>
    </row>
    <row r="721" ht="16.5" customHeight="1">
      <c r="A721" s="144"/>
      <c r="B721" s="144"/>
      <c r="C721" s="144"/>
      <c r="D721" s="144"/>
      <c r="E721" s="144"/>
      <c r="F721" s="144"/>
      <c r="G721" s="144"/>
      <c r="H721" s="144"/>
      <c r="I721" s="496"/>
      <c r="J721" s="496"/>
      <c r="K721" s="496"/>
      <c r="L721" s="496"/>
      <c r="M721" s="144"/>
      <c r="N721" s="144"/>
      <c r="O721" s="144"/>
      <c r="P721" s="144"/>
      <c r="Q721" s="144"/>
      <c r="R721" s="144"/>
      <c r="S721" s="144"/>
      <c r="T721" s="144"/>
      <c r="U721" s="144"/>
      <c r="V721" s="144"/>
      <c r="W721" s="144"/>
      <c r="X721" s="144"/>
      <c r="Y721" s="144"/>
      <c r="Z721" s="144"/>
      <c r="AA721" s="144"/>
      <c r="AB721" s="144"/>
      <c r="AC721" s="144"/>
      <c r="AD721" s="144"/>
      <c r="AE721" s="144"/>
      <c r="AF721" s="144"/>
    </row>
    <row r="722" ht="16.5" customHeight="1">
      <c r="A722" s="144"/>
      <c r="B722" s="144"/>
      <c r="C722" s="144"/>
      <c r="D722" s="144"/>
      <c r="E722" s="144"/>
      <c r="F722" s="144"/>
      <c r="G722" s="144"/>
      <c r="H722" s="144"/>
      <c r="I722" s="496"/>
      <c r="J722" s="496"/>
      <c r="K722" s="496"/>
      <c r="L722" s="496"/>
      <c r="M722" s="144"/>
      <c r="N722" s="144"/>
      <c r="O722" s="144"/>
      <c r="P722" s="144"/>
      <c r="Q722" s="144"/>
      <c r="R722" s="144"/>
      <c r="S722" s="144"/>
      <c r="T722" s="144"/>
      <c r="U722" s="144"/>
      <c r="V722" s="144"/>
      <c r="W722" s="144"/>
      <c r="X722" s="144"/>
      <c r="Y722" s="144"/>
      <c r="Z722" s="144"/>
      <c r="AA722" s="144"/>
      <c r="AB722" s="144"/>
      <c r="AC722" s="144"/>
      <c r="AD722" s="144"/>
      <c r="AE722" s="144"/>
      <c r="AF722" s="144"/>
    </row>
    <row r="723" ht="16.5" customHeight="1">
      <c r="A723" s="144"/>
      <c r="B723" s="144"/>
      <c r="C723" s="144"/>
      <c r="D723" s="144"/>
      <c r="E723" s="144"/>
      <c r="F723" s="144"/>
      <c r="G723" s="144"/>
      <c r="H723" s="144"/>
      <c r="I723" s="496"/>
      <c r="J723" s="496"/>
      <c r="K723" s="496"/>
      <c r="L723" s="496"/>
      <c r="M723" s="144"/>
      <c r="N723" s="144"/>
      <c r="O723" s="144"/>
      <c r="P723" s="144"/>
      <c r="Q723" s="144"/>
      <c r="R723" s="144"/>
      <c r="S723" s="144"/>
      <c r="T723" s="144"/>
      <c r="U723" s="144"/>
      <c r="V723" s="144"/>
      <c r="W723" s="144"/>
      <c r="X723" s="144"/>
      <c r="Y723" s="144"/>
      <c r="Z723" s="144"/>
      <c r="AA723" s="144"/>
      <c r="AB723" s="144"/>
      <c r="AC723" s="144"/>
      <c r="AD723" s="144"/>
      <c r="AE723" s="144"/>
      <c r="AF723" s="144"/>
    </row>
    <row r="724" ht="16.5" customHeight="1">
      <c r="A724" s="144"/>
      <c r="B724" s="144"/>
      <c r="C724" s="144"/>
      <c r="D724" s="144"/>
      <c r="E724" s="144"/>
      <c r="F724" s="144"/>
      <c r="G724" s="144"/>
      <c r="H724" s="144"/>
      <c r="I724" s="496"/>
      <c r="J724" s="496"/>
      <c r="K724" s="496"/>
      <c r="L724" s="496"/>
      <c r="M724" s="144"/>
      <c r="N724" s="144"/>
      <c r="O724" s="144"/>
      <c r="P724" s="144"/>
      <c r="Q724" s="144"/>
      <c r="R724" s="144"/>
      <c r="S724" s="144"/>
      <c r="T724" s="144"/>
      <c r="U724" s="144"/>
      <c r="V724" s="144"/>
      <c r="W724" s="144"/>
      <c r="X724" s="144"/>
      <c r="Y724" s="144"/>
      <c r="Z724" s="144"/>
      <c r="AA724" s="144"/>
      <c r="AB724" s="144"/>
      <c r="AC724" s="144"/>
      <c r="AD724" s="144"/>
      <c r="AE724" s="144"/>
      <c r="AF724" s="144"/>
    </row>
    <row r="725" ht="16.5" customHeight="1">
      <c r="A725" s="144"/>
      <c r="B725" s="144"/>
      <c r="C725" s="144"/>
      <c r="D725" s="144"/>
      <c r="E725" s="144"/>
      <c r="F725" s="144"/>
      <c r="G725" s="144"/>
      <c r="H725" s="144"/>
      <c r="I725" s="496"/>
      <c r="J725" s="496"/>
      <c r="K725" s="496"/>
      <c r="L725" s="496"/>
      <c r="M725" s="144"/>
      <c r="N725" s="144"/>
      <c r="O725" s="144"/>
      <c r="P725" s="144"/>
      <c r="Q725" s="144"/>
      <c r="R725" s="144"/>
      <c r="S725" s="144"/>
      <c r="T725" s="144"/>
      <c r="U725" s="144"/>
      <c r="V725" s="144"/>
      <c r="W725" s="144"/>
      <c r="X725" s="144"/>
      <c r="Y725" s="144"/>
      <c r="Z725" s="144"/>
      <c r="AA725" s="144"/>
      <c r="AB725" s="144"/>
      <c r="AC725" s="144"/>
      <c r="AD725" s="144"/>
      <c r="AE725" s="144"/>
      <c r="AF725" s="144"/>
    </row>
    <row r="726" ht="16.5" customHeight="1">
      <c r="A726" s="144"/>
      <c r="B726" s="144"/>
      <c r="C726" s="144"/>
      <c r="D726" s="144"/>
      <c r="E726" s="144"/>
      <c r="F726" s="144"/>
      <c r="G726" s="144"/>
      <c r="H726" s="144"/>
      <c r="I726" s="496"/>
      <c r="J726" s="496"/>
      <c r="K726" s="496"/>
      <c r="L726" s="496"/>
      <c r="M726" s="144"/>
      <c r="N726" s="144"/>
      <c r="O726" s="144"/>
      <c r="P726" s="144"/>
      <c r="Q726" s="144"/>
      <c r="R726" s="144"/>
      <c r="S726" s="144"/>
      <c r="T726" s="144"/>
      <c r="U726" s="144"/>
      <c r="V726" s="144"/>
      <c r="W726" s="144"/>
      <c r="X726" s="144"/>
      <c r="Y726" s="144"/>
      <c r="Z726" s="144"/>
      <c r="AA726" s="144"/>
      <c r="AB726" s="144"/>
      <c r="AC726" s="144"/>
      <c r="AD726" s="144"/>
      <c r="AE726" s="144"/>
      <c r="AF726" s="144"/>
    </row>
    <row r="727" ht="16.5" customHeight="1">
      <c r="A727" s="144"/>
      <c r="B727" s="144"/>
      <c r="C727" s="144"/>
      <c r="D727" s="144"/>
      <c r="E727" s="144"/>
      <c r="F727" s="144"/>
      <c r="G727" s="144"/>
      <c r="H727" s="144"/>
      <c r="I727" s="496"/>
      <c r="J727" s="496"/>
      <c r="K727" s="496"/>
      <c r="L727" s="496"/>
      <c r="M727" s="144"/>
      <c r="N727" s="144"/>
      <c r="O727" s="144"/>
      <c r="P727" s="144"/>
      <c r="Q727" s="144"/>
      <c r="R727" s="144"/>
      <c r="S727" s="144"/>
      <c r="T727" s="144"/>
      <c r="U727" s="144"/>
      <c r="V727" s="144"/>
      <c r="W727" s="144"/>
      <c r="X727" s="144"/>
      <c r="Y727" s="144"/>
      <c r="Z727" s="144"/>
      <c r="AA727" s="144"/>
      <c r="AB727" s="144"/>
      <c r="AC727" s="144"/>
      <c r="AD727" s="144"/>
      <c r="AE727" s="144"/>
      <c r="AF727" s="144"/>
    </row>
    <row r="728" ht="16.5" customHeight="1">
      <c r="A728" s="144"/>
      <c r="B728" s="144"/>
      <c r="C728" s="144"/>
      <c r="D728" s="144"/>
      <c r="E728" s="144"/>
      <c r="F728" s="144"/>
      <c r="G728" s="144"/>
      <c r="H728" s="144"/>
      <c r="I728" s="496"/>
      <c r="J728" s="496"/>
      <c r="K728" s="496"/>
      <c r="L728" s="496"/>
      <c r="M728" s="144"/>
      <c r="N728" s="144"/>
      <c r="O728" s="144"/>
      <c r="P728" s="144"/>
      <c r="Q728" s="144"/>
      <c r="R728" s="144"/>
      <c r="S728" s="144"/>
      <c r="T728" s="144"/>
      <c r="U728" s="144"/>
      <c r="V728" s="144"/>
      <c r="W728" s="144"/>
      <c r="X728" s="144"/>
      <c r="Y728" s="144"/>
      <c r="Z728" s="144"/>
      <c r="AA728" s="144"/>
      <c r="AB728" s="144"/>
      <c r="AC728" s="144"/>
      <c r="AD728" s="144"/>
      <c r="AE728" s="144"/>
      <c r="AF728" s="144"/>
    </row>
    <row r="729" ht="16.5" customHeight="1">
      <c r="A729" s="144"/>
      <c r="B729" s="144"/>
      <c r="C729" s="144"/>
      <c r="D729" s="144"/>
      <c r="E729" s="144"/>
      <c r="F729" s="144"/>
      <c r="G729" s="144"/>
      <c r="H729" s="144"/>
      <c r="I729" s="496"/>
      <c r="J729" s="496"/>
      <c r="K729" s="496"/>
      <c r="L729" s="496"/>
      <c r="M729" s="144"/>
      <c r="N729" s="144"/>
      <c r="O729" s="144"/>
      <c r="P729" s="144"/>
      <c r="Q729" s="144"/>
      <c r="R729" s="144"/>
      <c r="S729" s="144"/>
      <c r="T729" s="144"/>
      <c r="U729" s="144"/>
      <c r="V729" s="144"/>
      <c r="W729" s="144"/>
      <c r="X729" s="144"/>
      <c r="Y729" s="144"/>
      <c r="Z729" s="144"/>
      <c r="AA729" s="144"/>
      <c r="AB729" s="144"/>
      <c r="AC729" s="144"/>
      <c r="AD729" s="144"/>
      <c r="AE729" s="144"/>
      <c r="AF729" s="144"/>
    </row>
    <row r="730" ht="16.5" customHeight="1">
      <c r="A730" s="144"/>
      <c r="B730" s="144"/>
      <c r="C730" s="144"/>
      <c r="D730" s="144"/>
      <c r="E730" s="144"/>
      <c r="F730" s="144"/>
      <c r="G730" s="144"/>
      <c r="H730" s="144"/>
      <c r="I730" s="496"/>
      <c r="J730" s="496"/>
      <c r="K730" s="496"/>
      <c r="L730" s="496"/>
      <c r="M730" s="144"/>
      <c r="N730" s="144"/>
      <c r="O730" s="144"/>
      <c r="P730" s="144"/>
      <c r="Q730" s="144"/>
      <c r="R730" s="144"/>
      <c r="S730" s="144"/>
      <c r="T730" s="144"/>
      <c r="U730" s="144"/>
      <c r="V730" s="144"/>
      <c r="W730" s="144"/>
      <c r="X730" s="144"/>
      <c r="Y730" s="144"/>
      <c r="Z730" s="144"/>
      <c r="AA730" s="144"/>
      <c r="AB730" s="144"/>
      <c r="AC730" s="144"/>
      <c r="AD730" s="144"/>
      <c r="AE730" s="144"/>
      <c r="AF730" s="144"/>
    </row>
    <row r="731" ht="16.5" customHeight="1">
      <c r="A731" s="144"/>
      <c r="B731" s="144"/>
      <c r="C731" s="144"/>
      <c r="D731" s="144"/>
      <c r="E731" s="144"/>
      <c r="F731" s="144"/>
      <c r="G731" s="144"/>
      <c r="H731" s="144"/>
      <c r="I731" s="496"/>
      <c r="J731" s="496"/>
      <c r="K731" s="496"/>
      <c r="L731" s="496"/>
      <c r="M731" s="144"/>
      <c r="N731" s="144"/>
      <c r="O731" s="144"/>
      <c r="P731" s="144"/>
      <c r="Q731" s="144"/>
      <c r="R731" s="144"/>
      <c r="S731" s="144"/>
      <c r="T731" s="144"/>
      <c r="U731" s="144"/>
      <c r="V731" s="144"/>
      <c r="W731" s="144"/>
      <c r="X731" s="144"/>
      <c r="Y731" s="144"/>
      <c r="Z731" s="144"/>
      <c r="AA731" s="144"/>
      <c r="AB731" s="144"/>
      <c r="AC731" s="144"/>
      <c r="AD731" s="144"/>
      <c r="AE731" s="144"/>
      <c r="AF731" s="144"/>
    </row>
    <row r="732" ht="16.5" customHeight="1">
      <c r="A732" s="144"/>
      <c r="B732" s="144"/>
      <c r="C732" s="144"/>
      <c r="D732" s="144"/>
      <c r="E732" s="144"/>
      <c r="F732" s="144"/>
      <c r="G732" s="144"/>
      <c r="H732" s="144"/>
      <c r="I732" s="496"/>
      <c r="J732" s="496"/>
      <c r="K732" s="496"/>
      <c r="L732" s="496"/>
      <c r="M732" s="144"/>
      <c r="N732" s="144"/>
      <c r="O732" s="144"/>
      <c r="P732" s="144"/>
      <c r="Q732" s="144"/>
      <c r="R732" s="144"/>
      <c r="S732" s="144"/>
      <c r="T732" s="144"/>
      <c r="U732" s="144"/>
      <c r="V732" s="144"/>
      <c r="W732" s="144"/>
      <c r="X732" s="144"/>
      <c r="Y732" s="144"/>
      <c r="Z732" s="144"/>
      <c r="AA732" s="144"/>
      <c r="AB732" s="144"/>
      <c r="AC732" s="144"/>
      <c r="AD732" s="144"/>
      <c r="AE732" s="144"/>
      <c r="AF732" s="144"/>
    </row>
    <row r="733" ht="16.5" customHeight="1">
      <c r="A733" s="144"/>
      <c r="B733" s="144"/>
      <c r="C733" s="144"/>
      <c r="D733" s="144"/>
      <c r="E733" s="144"/>
      <c r="F733" s="144"/>
      <c r="G733" s="144"/>
      <c r="H733" s="144"/>
      <c r="I733" s="496"/>
      <c r="J733" s="496"/>
      <c r="K733" s="496"/>
      <c r="L733" s="496"/>
      <c r="M733" s="144"/>
      <c r="N733" s="144"/>
      <c r="O733" s="144"/>
      <c r="P733" s="144"/>
      <c r="Q733" s="144"/>
      <c r="R733" s="144"/>
      <c r="S733" s="144"/>
      <c r="T733" s="144"/>
      <c r="U733" s="144"/>
      <c r="V733" s="144"/>
      <c r="W733" s="144"/>
      <c r="X733" s="144"/>
      <c r="Y733" s="144"/>
      <c r="Z733" s="144"/>
      <c r="AA733" s="144"/>
      <c r="AB733" s="144"/>
      <c r="AC733" s="144"/>
      <c r="AD733" s="144"/>
      <c r="AE733" s="144"/>
      <c r="AF733" s="144"/>
    </row>
    <row r="734" ht="16.5" customHeight="1">
      <c r="A734" s="144"/>
      <c r="B734" s="144"/>
      <c r="C734" s="144"/>
      <c r="D734" s="144"/>
      <c r="E734" s="144"/>
      <c r="F734" s="144"/>
      <c r="G734" s="144"/>
      <c r="H734" s="144"/>
      <c r="I734" s="496"/>
      <c r="J734" s="496"/>
      <c r="K734" s="496"/>
      <c r="L734" s="496"/>
      <c r="M734" s="144"/>
      <c r="N734" s="144"/>
      <c r="O734" s="144"/>
      <c r="P734" s="144"/>
      <c r="Q734" s="144"/>
      <c r="R734" s="144"/>
      <c r="S734" s="144"/>
      <c r="T734" s="144"/>
      <c r="U734" s="144"/>
      <c r="V734" s="144"/>
      <c r="W734" s="144"/>
      <c r="X734" s="144"/>
      <c r="Y734" s="144"/>
      <c r="Z734" s="144"/>
      <c r="AA734" s="144"/>
      <c r="AB734" s="144"/>
      <c r="AC734" s="144"/>
      <c r="AD734" s="144"/>
      <c r="AE734" s="144"/>
      <c r="AF734" s="144"/>
    </row>
    <row r="735" ht="16.5" customHeight="1">
      <c r="A735" s="144"/>
      <c r="B735" s="144"/>
      <c r="C735" s="144"/>
      <c r="D735" s="144"/>
      <c r="E735" s="144"/>
      <c r="F735" s="144"/>
      <c r="G735" s="144"/>
      <c r="H735" s="144"/>
      <c r="I735" s="496"/>
      <c r="J735" s="496"/>
      <c r="K735" s="496"/>
      <c r="L735" s="496"/>
      <c r="M735" s="144"/>
      <c r="N735" s="144"/>
      <c r="O735" s="144"/>
      <c r="P735" s="144"/>
      <c r="Q735" s="144"/>
      <c r="R735" s="144"/>
      <c r="S735" s="144"/>
      <c r="T735" s="144"/>
      <c r="U735" s="144"/>
      <c r="V735" s="144"/>
      <c r="W735" s="144"/>
      <c r="X735" s="144"/>
      <c r="Y735" s="144"/>
      <c r="Z735" s="144"/>
      <c r="AA735" s="144"/>
      <c r="AB735" s="144"/>
      <c r="AC735" s="144"/>
      <c r="AD735" s="144"/>
      <c r="AE735" s="144"/>
      <c r="AF735" s="144"/>
    </row>
    <row r="736" ht="16.5" customHeight="1">
      <c r="A736" s="144"/>
      <c r="B736" s="144"/>
      <c r="C736" s="144"/>
      <c r="D736" s="144"/>
      <c r="E736" s="144"/>
      <c r="F736" s="144"/>
      <c r="G736" s="144"/>
      <c r="H736" s="144"/>
      <c r="I736" s="496"/>
      <c r="J736" s="496"/>
      <c r="K736" s="496"/>
      <c r="L736" s="496"/>
      <c r="M736" s="144"/>
      <c r="N736" s="144"/>
      <c r="O736" s="144"/>
      <c r="P736" s="144"/>
      <c r="Q736" s="144"/>
      <c r="R736" s="144"/>
      <c r="S736" s="144"/>
      <c r="T736" s="144"/>
      <c r="U736" s="144"/>
      <c r="V736" s="144"/>
      <c r="W736" s="144"/>
      <c r="X736" s="144"/>
      <c r="Y736" s="144"/>
      <c r="Z736" s="144"/>
      <c r="AA736" s="144"/>
      <c r="AB736" s="144"/>
      <c r="AC736" s="144"/>
      <c r="AD736" s="144"/>
      <c r="AE736" s="144"/>
      <c r="AF736" s="144"/>
    </row>
    <row r="737" ht="16.5" customHeight="1">
      <c r="A737" s="144"/>
      <c r="B737" s="144"/>
      <c r="C737" s="144"/>
      <c r="D737" s="144"/>
      <c r="E737" s="144"/>
      <c r="F737" s="144"/>
      <c r="G737" s="144"/>
      <c r="H737" s="144"/>
      <c r="I737" s="496"/>
      <c r="J737" s="496"/>
      <c r="K737" s="496"/>
      <c r="L737" s="496"/>
      <c r="M737" s="144"/>
      <c r="N737" s="144"/>
      <c r="O737" s="144"/>
      <c r="P737" s="144"/>
      <c r="Q737" s="144"/>
      <c r="R737" s="144"/>
      <c r="S737" s="144"/>
      <c r="T737" s="144"/>
      <c r="U737" s="144"/>
      <c r="V737" s="144"/>
      <c r="W737" s="144"/>
      <c r="X737" s="144"/>
      <c r="Y737" s="144"/>
      <c r="Z737" s="144"/>
      <c r="AA737" s="144"/>
      <c r="AB737" s="144"/>
      <c r="AC737" s="144"/>
      <c r="AD737" s="144"/>
      <c r="AE737" s="144"/>
      <c r="AF737" s="144"/>
    </row>
    <row r="738" ht="16.5" customHeight="1">
      <c r="A738" s="144"/>
      <c r="B738" s="144"/>
      <c r="C738" s="144"/>
      <c r="D738" s="144"/>
      <c r="E738" s="144"/>
      <c r="F738" s="144"/>
      <c r="G738" s="144"/>
      <c r="H738" s="144"/>
      <c r="I738" s="496"/>
      <c r="J738" s="496"/>
      <c r="K738" s="496"/>
      <c r="L738" s="496"/>
      <c r="M738" s="144"/>
      <c r="N738" s="144"/>
      <c r="O738" s="144"/>
      <c r="P738" s="144"/>
      <c r="Q738" s="144"/>
      <c r="R738" s="144"/>
      <c r="S738" s="144"/>
      <c r="T738" s="144"/>
      <c r="U738" s="144"/>
      <c r="V738" s="144"/>
      <c r="W738" s="144"/>
      <c r="X738" s="144"/>
      <c r="Y738" s="144"/>
      <c r="Z738" s="144"/>
      <c r="AA738" s="144"/>
      <c r="AB738" s="144"/>
      <c r="AC738" s="144"/>
      <c r="AD738" s="144"/>
      <c r="AE738" s="144"/>
      <c r="AF738" s="144"/>
    </row>
    <row r="739" ht="16.5" customHeight="1">
      <c r="A739" s="144"/>
      <c r="B739" s="144"/>
      <c r="C739" s="144"/>
      <c r="D739" s="144"/>
      <c r="E739" s="144"/>
      <c r="F739" s="144"/>
      <c r="G739" s="144"/>
      <c r="H739" s="144"/>
      <c r="I739" s="496"/>
      <c r="J739" s="496"/>
      <c r="K739" s="496"/>
      <c r="L739" s="496"/>
      <c r="M739" s="144"/>
      <c r="N739" s="144"/>
      <c r="O739" s="144"/>
      <c r="P739" s="144"/>
      <c r="Q739" s="144"/>
      <c r="R739" s="144"/>
      <c r="S739" s="144"/>
      <c r="T739" s="144"/>
      <c r="U739" s="144"/>
      <c r="V739" s="144"/>
      <c r="W739" s="144"/>
      <c r="X739" s="144"/>
      <c r="Y739" s="144"/>
      <c r="Z739" s="144"/>
      <c r="AA739" s="144"/>
      <c r="AB739" s="144"/>
      <c r="AC739" s="144"/>
      <c r="AD739" s="144"/>
      <c r="AE739" s="144"/>
      <c r="AF739" s="144"/>
    </row>
    <row r="740" ht="16.5" customHeight="1">
      <c r="A740" s="144"/>
      <c r="B740" s="144"/>
      <c r="C740" s="144"/>
      <c r="D740" s="144"/>
      <c r="E740" s="144"/>
      <c r="F740" s="144"/>
      <c r="G740" s="144"/>
      <c r="H740" s="144"/>
      <c r="I740" s="496"/>
      <c r="J740" s="496"/>
      <c r="K740" s="496"/>
      <c r="L740" s="496"/>
      <c r="M740" s="144"/>
      <c r="N740" s="144"/>
      <c r="O740" s="144"/>
      <c r="P740" s="144"/>
      <c r="Q740" s="144"/>
      <c r="R740" s="144"/>
      <c r="S740" s="144"/>
      <c r="T740" s="144"/>
      <c r="U740" s="144"/>
      <c r="V740" s="144"/>
      <c r="W740" s="144"/>
      <c r="X740" s="144"/>
      <c r="Y740" s="144"/>
      <c r="Z740" s="144"/>
      <c r="AA740" s="144"/>
      <c r="AB740" s="144"/>
      <c r="AC740" s="144"/>
      <c r="AD740" s="144"/>
      <c r="AE740" s="144"/>
      <c r="AF740" s="144"/>
    </row>
    <row r="741" ht="16.5" customHeight="1">
      <c r="A741" s="144"/>
      <c r="B741" s="144"/>
      <c r="C741" s="144"/>
      <c r="D741" s="144"/>
      <c r="E741" s="144"/>
      <c r="F741" s="144"/>
      <c r="G741" s="144"/>
      <c r="H741" s="144"/>
      <c r="I741" s="496"/>
      <c r="J741" s="496"/>
      <c r="K741" s="496"/>
      <c r="L741" s="496"/>
      <c r="M741" s="144"/>
      <c r="N741" s="144"/>
      <c r="O741" s="144"/>
      <c r="P741" s="144"/>
      <c r="Q741" s="144"/>
      <c r="R741" s="144"/>
      <c r="S741" s="144"/>
      <c r="T741" s="144"/>
      <c r="U741" s="144"/>
      <c r="V741" s="144"/>
      <c r="W741" s="144"/>
      <c r="X741" s="144"/>
      <c r="Y741" s="144"/>
      <c r="Z741" s="144"/>
      <c r="AA741" s="144"/>
      <c r="AB741" s="144"/>
      <c r="AC741" s="144"/>
      <c r="AD741" s="144"/>
      <c r="AE741" s="144"/>
      <c r="AF741" s="144"/>
    </row>
    <row r="742" ht="16.5" customHeight="1">
      <c r="A742" s="144"/>
      <c r="B742" s="144"/>
      <c r="C742" s="144"/>
      <c r="D742" s="144"/>
      <c r="E742" s="144"/>
      <c r="F742" s="144"/>
      <c r="G742" s="144"/>
      <c r="H742" s="144"/>
      <c r="I742" s="496"/>
      <c r="J742" s="496"/>
      <c r="K742" s="496"/>
      <c r="L742" s="496"/>
      <c r="M742" s="144"/>
      <c r="N742" s="144"/>
      <c r="O742" s="144"/>
      <c r="P742" s="144"/>
      <c r="Q742" s="144"/>
      <c r="R742" s="144"/>
      <c r="S742" s="144"/>
      <c r="T742" s="144"/>
      <c r="U742" s="144"/>
      <c r="V742" s="144"/>
      <c r="W742" s="144"/>
      <c r="X742" s="144"/>
      <c r="Y742" s="144"/>
      <c r="Z742" s="144"/>
      <c r="AA742" s="144"/>
      <c r="AB742" s="144"/>
      <c r="AC742" s="144"/>
      <c r="AD742" s="144"/>
      <c r="AE742" s="144"/>
      <c r="AF742" s="144"/>
    </row>
    <row r="743" ht="16.5" customHeight="1">
      <c r="A743" s="144"/>
      <c r="B743" s="144"/>
      <c r="C743" s="144"/>
      <c r="D743" s="144"/>
      <c r="E743" s="144"/>
      <c r="F743" s="144"/>
      <c r="G743" s="144"/>
      <c r="H743" s="144"/>
      <c r="I743" s="496"/>
      <c r="J743" s="496"/>
      <c r="K743" s="496"/>
      <c r="L743" s="496"/>
      <c r="M743" s="144"/>
      <c r="N743" s="144"/>
      <c r="O743" s="144"/>
      <c r="P743" s="144"/>
      <c r="Q743" s="144"/>
      <c r="R743" s="144"/>
      <c r="S743" s="144"/>
      <c r="T743" s="144"/>
      <c r="U743" s="144"/>
      <c r="V743" s="144"/>
      <c r="W743" s="144"/>
      <c r="X743" s="144"/>
      <c r="Y743" s="144"/>
      <c r="Z743" s="144"/>
      <c r="AA743" s="144"/>
      <c r="AB743" s="144"/>
      <c r="AC743" s="144"/>
      <c r="AD743" s="144"/>
      <c r="AE743" s="144"/>
      <c r="AF743" s="144"/>
    </row>
    <row r="744" ht="16.5" customHeight="1">
      <c r="A744" s="144"/>
      <c r="B744" s="144"/>
      <c r="C744" s="144"/>
      <c r="D744" s="144"/>
      <c r="E744" s="144"/>
      <c r="F744" s="144"/>
      <c r="G744" s="144"/>
      <c r="H744" s="144"/>
      <c r="I744" s="496"/>
      <c r="J744" s="496"/>
      <c r="K744" s="496"/>
      <c r="L744" s="496"/>
      <c r="M744" s="144"/>
      <c r="N744" s="144"/>
      <c r="O744" s="144"/>
      <c r="P744" s="144"/>
      <c r="Q744" s="144"/>
      <c r="R744" s="144"/>
      <c r="S744" s="144"/>
      <c r="T744" s="144"/>
      <c r="U744" s="144"/>
      <c r="V744" s="144"/>
      <c r="W744" s="144"/>
      <c r="X744" s="144"/>
      <c r="Y744" s="144"/>
      <c r="Z744" s="144"/>
      <c r="AA744" s="144"/>
      <c r="AB744" s="144"/>
      <c r="AC744" s="144"/>
      <c r="AD744" s="144"/>
      <c r="AE744" s="144"/>
      <c r="AF744" s="144"/>
    </row>
    <row r="745" ht="16.5" customHeight="1">
      <c r="A745" s="144"/>
      <c r="B745" s="144"/>
      <c r="C745" s="144"/>
      <c r="D745" s="144"/>
      <c r="E745" s="144"/>
      <c r="F745" s="144"/>
      <c r="G745" s="144"/>
      <c r="H745" s="144"/>
      <c r="I745" s="496"/>
      <c r="J745" s="496"/>
      <c r="K745" s="496"/>
      <c r="L745" s="496"/>
      <c r="M745" s="144"/>
      <c r="N745" s="144"/>
      <c r="O745" s="144"/>
      <c r="P745" s="144"/>
      <c r="Q745" s="144"/>
      <c r="R745" s="144"/>
      <c r="S745" s="144"/>
      <c r="T745" s="144"/>
      <c r="U745" s="144"/>
      <c r="V745" s="144"/>
      <c r="W745" s="144"/>
      <c r="X745" s="144"/>
      <c r="Y745" s="144"/>
      <c r="Z745" s="144"/>
      <c r="AA745" s="144"/>
      <c r="AB745" s="144"/>
      <c r="AC745" s="144"/>
      <c r="AD745" s="144"/>
      <c r="AE745" s="144"/>
      <c r="AF745" s="144"/>
    </row>
    <row r="746" ht="16.5" customHeight="1">
      <c r="A746" s="144"/>
      <c r="B746" s="144"/>
      <c r="C746" s="144"/>
      <c r="D746" s="144"/>
      <c r="E746" s="144"/>
      <c r="F746" s="144"/>
      <c r="G746" s="144"/>
      <c r="H746" s="144"/>
      <c r="I746" s="496"/>
      <c r="J746" s="496"/>
      <c r="K746" s="496"/>
      <c r="L746" s="496"/>
      <c r="M746" s="144"/>
      <c r="N746" s="144"/>
      <c r="O746" s="144"/>
      <c r="P746" s="144"/>
      <c r="Q746" s="144"/>
      <c r="R746" s="144"/>
      <c r="S746" s="144"/>
      <c r="T746" s="144"/>
      <c r="U746" s="144"/>
      <c r="V746" s="144"/>
      <c r="W746" s="144"/>
      <c r="X746" s="144"/>
      <c r="Y746" s="144"/>
      <c r="Z746" s="144"/>
      <c r="AA746" s="144"/>
      <c r="AB746" s="144"/>
      <c r="AC746" s="144"/>
      <c r="AD746" s="144"/>
      <c r="AE746" s="144"/>
      <c r="AF746" s="144"/>
    </row>
    <row r="747" ht="16.5" customHeight="1">
      <c r="A747" s="144"/>
      <c r="B747" s="144"/>
      <c r="C747" s="144"/>
      <c r="D747" s="144"/>
      <c r="E747" s="144"/>
      <c r="F747" s="144"/>
      <c r="G747" s="144"/>
      <c r="H747" s="144"/>
      <c r="I747" s="496"/>
      <c r="J747" s="496"/>
      <c r="K747" s="496"/>
      <c r="L747" s="496"/>
      <c r="M747" s="144"/>
      <c r="N747" s="144"/>
      <c r="O747" s="144"/>
      <c r="P747" s="144"/>
      <c r="Q747" s="144"/>
      <c r="R747" s="144"/>
      <c r="S747" s="144"/>
      <c r="T747" s="144"/>
      <c r="U747" s="144"/>
      <c r="V747" s="144"/>
      <c r="W747" s="144"/>
      <c r="X747" s="144"/>
      <c r="Y747" s="144"/>
      <c r="Z747" s="144"/>
      <c r="AA747" s="144"/>
      <c r="AB747" s="144"/>
      <c r="AC747" s="144"/>
      <c r="AD747" s="144"/>
      <c r="AE747" s="144"/>
      <c r="AF747" s="144"/>
    </row>
    <row r="748" ht="16.5" customHeight="1">
      <c r="A748" s="144"/>
      <c r="B748" s="144"/>
      <c r="C748" s="144"/>
      <c r="D748" s="144"/>
      <c r="E748" s="144"/>
      <c r="F748" s="144"/>
      <c r="G748" s="144"/>
      <c r="H748" s="144"/>
      <c r="I748" s="496"/>
      <c r="J748" s="496"/>
      <c r="K748" s="496"/>
      <c r="L748" s="496"/>
      <c r="M748" s="144"/>
      <c r="N748" s="144"/>
      <c r="O748" s="144"/>
      <c r="P748" s="144"/>
      <c r="Q748" s="144"/>
      <c r="R748" s="144"/>
      <c r="S748" s="144"/>
      <c r="T748" s="144"/>
      <c r="U748" s="144"/>
      <c r="V748" s="144"/>
      <c r="W748" s="144"/>
      <c r="X748" s="144"/>
      <c r="Y748" s="144"/>
      <c r="Z748" s="144"/>
      <c r="AA748" s="144"/>
      <c r="AB748" s="144"/>
      <c r="AC748" s="144"/>
      <c r="AD748" s="144"/>
      <c r="AE748" s="144"/>
      <c r="AF748" s="144"/>
    </row>
    <row r="749" ht="16.5" customHeight="1">
      <c r="A749" s="144"/>
      <c r="B749" s="144"/>
      <c r="C749" s="144"/>
      <c r="D749" s="144"/>
      <c r="E749" s="144"/>
      <c r="F749" s="144"/>
      <c r="G749" s="144"/>
      <c r="H749" s="144"/>
      <c r="I749" s="496"/>
      <c r="J749" s="496"/>
      <c r="K749" s="496"/>
      <c r="L749" s="496"/>
      <c r="M749" s="144"/>
      <c r="N749" s="144"/>
      <c r="O749" s="144"/>
      <c r="P749" s="144"/>
      <c r="Q749" s="144"/>
      <c r="R749" s="144"/>
      <c r="S749" s="144"/>
      <c r="T749" s="144"/>
      <c r="U749" s="144"/>
      <c r="V749" s="144"/>
      <c r="W749" s="144"/>
      <c r="X749" s="144"/>
      <c r="Y749" s="144"/>
      <c r="Z749" s="144"/>
      <c r="AA749" s="144"/>
      <c r="AB749" s="144"/>
      <c r="AC749" s="144"/>
      <c r="AD749" s="144"/>
      <c r="AE749" s="144"/>
      <c r="AF749" s="144"/>
    </row>
    <row r="750" ht="16.5" customHeight="1">
      <c r="A750" s="144"/>
      <c r="B750" s="144"/>
      <c r="C750" s="144"/>
      <c r="D750" s="144"/>
      <c r="E750" s="144"/>
      <c r="F750" s="144"/>
      <c r="G750" s="144"/>
      <c r="H750" s="144"/>
      <c r="I750" s="496"/>
      <c r="J750" s="496"/>
      <c r="K750" s="496"/>
      <c r="L750" s="496"/>
      <c r="M750" s="144"/>
      <c r="N750" s="144"/>
      <c r="O750" s="144"/>
      <c r="P750" s="144"/>
      <c r="Q750" s="144"/>
      <c r="R750" s="144"/>
      <c r="S750" s="144"/>
      <c r="T750" s="144"/>
      <c r="U750" s="144"/>
      <c r="V750" s="144"/>
      <c r="W750" s="144"/>
      <c r="X750" s="144"/>
      <c r="Y750" s="144"/>
      <c r="Z750" s="144"/>
      <c r="AA750" s="144"/>
      <c r="AB750" s="144"/>
      <c r="AC750" s="144"/>
      <c r="AD750" s="144"/>
      <c r="AE750" s="144"/>
      <c r="AF750" s="144"/>
    </row>
    <row r="751" ht="16.5" customHeight="1">
      <c r="A751" s="144"/>
      <c r="B751" s="144"/>
      <c r="C751" s="144"/>
      <c r="D751" s="144"/>
      <c r="E751" s="144"/>
      <c r="F751" s="144"/>
      <c r="G751" s="144"/>
      <c r="H751" s="144"/>
      <c r="I751" s="496"/>
      <c r="J751" s="496"/>
      <c r="K751" s="496"/>
      <c r="L751" s="496"/>
      <c r="M751" s="144"/>
      <c r="N751" s="144"/>
      <c r="O751" s="144"/>
      <c r="P751" s="144"/>
      <c r="Q751" s="144"/>
      <c r="R751" s="144"/>
      <c r="S751" s="144"/>
      <c r="T751" s="144"/>
      <c r="U751" s="144"/>
      <c r="V751" s="144"/>
      <c r="W751" s="144"/>
      <c r="X751" s="144"/>
      <c r="Y751" s="144"/>
      <c r="Z751" s="144"/>
      <c r="AA751" s="144"/>
      <c r="AB751" s="144"/>
      <c r="AC751" s="144"/>
      <c r="AD751" s="144"/>
      <c r="AE751" s="144"/>
      <c r="AF751" s="144"/>
    </row>
    <row r="752" ht="16.5" customHeight="1">
      <c r="A752" s="144"/>
      <c r="B752" s="144"/>
      <c r="C752" s="144"/>
      <c r="D752" s="144"/>
      <c r="E752" s="144"/>
      <c r="F752" s="144"/>
      <c r="G752" s="144"/>
      <c r="H752" s="144"/>
      <c r="I752" s="496"/>
      <c r="J752" s="496"/>
      <c r="K752" s="496"/>
      <c r="L752" s="496"/>
      <c r="M752" s="144"/>
      <c r="N752" s="144"/>
      <c r="O752" s="144"/>
      <c r="P752" s="144"/>
      <c r="Q752" s="144"/>
      <c r="R752" s="144"/>
      <c r="S752" s="144"/>
      <c r="T752" s="144"/>
      <c r="U752" s="144"/>
      <c r="V752" s="144"/>
      <c r="W752" s="144"/>
      <c r="X752" s="144"/>
      <c r="Y752" s="144"/>
      <c r="Z752" s="144"/>
      <c r="AA752" s="144"/>
      <c r="AB752" s="144"/>
      <c r="AC752" s="144"/>
      <c r="AD752" s="144"/>
      <c r="AE752" s="144"/>
      <c r="AF752" s="144"/>
    </row>
    <row r="753" ht="16.5" customHeight="1">
      <c r="A753" s="144"/>
      <c r="B753" s="144"/>
      <c r="C753" s="144"/>
      <c r="D753" s="144"/>
      <c r="E753" s="144"/>
      <c r="F753" s="144"/>
      <c r="G753" s="144"/>
      <c r="H753" s="144"/>
      <c r="I753" s="496"/>
      <c r="J753" s="496"/>
      <c r="K753" s="496"/>
      <c r="L753" s="496"/>
      <c r="M753" s="144"/>
      <c r="N753" s="144"/>
      <c r="O753" s="144"/>
      <c r="P753" s="144"/>
      <c r="Q753" s="144"/>
      <c r="R753" s="144"/>
      <c r="S753" s="144"/>
      <c r="T753" s="144"/>
      <c r="U753" s="144"/>
      <c r="V753" s="144"/>
      <c r="W753" s="144"/>
      <c r="X753" s="144"/>
      <c r="Y753" s="144"/>
      <c r="Z753" s="144"/>
      <c r="AA753" s="144"/>
      <c r="AB753" s="144"/>
      <c r="AC753" s="144"/>
      <c r="AD753" s="144"/>
      <c r="AE753" s="144"/>
      <c r="AF753" s="144"/>
    </row>
    <row r="754" ht="16.5" customHeight="1">
      <c r="A754" s="144"/>
      <c r="B754" s="144"/>
      <c r="C754" s="144"/>
      <c r="D754" s="144"/>
      <c r="E754" s="144"/>
      <c r="F754" s="144"/>
      <c r="G754" s="144"/>
      <c r="H754" s="144"/>
      <c r="I754" s="496"/>
      <c r="J754" s="496"/>
      <c r="K754" s="496"/>
      <c r="L754" s="496"/>
      <c r="M754" s="144"/>
      <c r="N754" s="144"/>
      <c r="O754" s="144"/>
      <c r="P754" s="144"/>
      <c r="Q754" s="144"/>
      <c r="R754" s="144"/>
      <c r="S754" s="144"/>
      <c r="T754" s="144"/>
      <c r="U754" s="144"/>
      <c r="V754" s="144"/>
      <c r="W754" s="144"/>
      <c r="X754" s="144"/>
      <c r="Y754" s="144"/>
      <c r="Z754" s="144"/>
      <c r="AA754" s="144"/>
      <c r="AB754" s="144"/>
      <c r="AC754" s="144"/>
      <c r="AD754" s="144"/>
      <c r="AE754" s="144"/>
      <c r="AF754" s="144"/>
    </row>
    <row r="755" ht="16.5" customHeight="1">
      <c r="A755" s="144"/>
      <c r="B755" s="144"/>
      <c r="C755" s="144"/>
      <c r="D755" s="144"/>
      <c r="E755" s="144"/>
      <c r="F755" s="144"/>
      <c r="G755" s="144"/>
      <c r="H755" s="144"/>
      <c r="I755" s="496"/>
      <c r="J755" s="496"/>
      <c r="K755" s="496"/>
      <c r="L755" s="496"/>
      <c r="M755" s="144"/>
      <c r="N755" s="144"/>
      <c r="O755" s="144"/>
      <c r="P755" s="144"/>
      <c r="Q755" s="144"/>
      <c r="R755" s="144"/>
      <c r="S755" s="144"/>
      <c r="T755" s="144"/>
      <c r="U755" s="144"/>
      <c r="V755" s="144"/>
      <c r="W755" s="144"/>
      <c r="X755" s="144"/>
      <c r="Y755" s="144"/>
      <c r="Z755" s="144"/>
      <c r="AA755" s="144"/>
      <c r="AB755" s="144"/>
      <c r="AC755" s="144"/>
      <c r="AD755" s="144"/>
      <c r="AE755" s="144"/>
      <c r="AF755" s="144"/>
    </row>
    <row r="756" ht="16.5" customHeight="1">
      <c r="A756" s="144"/>
      <c r="B756" s="144"/>
      <c r="C756" s="144"/>
      <c r="D756" s="144"/>
      <c r="E756" s="144"/>
      <c r="F756" s="144"/>
      <c r="G756" s="144"/>
      <c r="H756" s="144"/>
      <c r="I756" s="496"/>
      <c r="J756" s="496"/>
      <c r="K756" s="496"/>
      <c r="L756" s="496"/>
      <c r="M756" s="144"/>
      <c r="N756" s="144"/>
      <c r="O756" s="144"/>
      <c r="P756" s="144"/>
      <c r="Q756" s="144"/>
      <c r="R756" s="144"/>
      <c r="S756" s="144"/>
      <c r="T756" s="144"/>
      <c r="U756" s="144"/>
      <c r="V756" s="144"/>
      <c r="W756" s="144"/>
      <c r="X756" s="144"/>
      <c r="Y756" s="144"/>
      <c r="Z756" s="144"/>
      <c r="AA756" s="144"/>
      <c r="AB756" s="144"/>
      <c r="AC756" s="144"/>
      <c r="AD756" s="144"/>
      <c r="AE756" s="144"/>
      <c r="AF756" s="144"/>
    </row>
    <row r="757" ht="16.5" customHeight="1">
      <c r="A757" s="144"/>
      <c r="B757" s="144"/>
      <c r="C757" s="144"/>
      <c r="D757" s="144"/>
      <c r="E757" s="144"/>
      <c r="F757" s="144"/>
      <c r="G757" s="144"/>
      <c r="H757" s="144"/>
      <c r="I757" s="496"/>
      <c r="J757" s="496"/>
      <c r="K757" s="496"/>
      <c r="L757" s="496"/>
      <c r="M757" s="144"/>
      <c r="N757" s="144"/>
      <c r="O757" s="144"/>
      <c r="P757" s="144"/>
      <c r="Q757" s="144"/>
      <c r="R757" s="144"/>
      <c r="S757" s="144"/>
      <c r="T757" s="144"/>
      <c r="U757" s="144"/>
      <c r="V757" s="144"/>
      <c r="W757" s="144"/>
      <c r="X757" s="144"/>
      <c r="Y757" s="144"/>
      <c r="Z757" s="144"/>
      <c r="AA757" s="144"/>
      <c r="AB757" s="144"/>
      <c r="AC757" s="144"/>
      <c r="AD757" s="144"/>
      <c r="AE757" s="144"/>
      <c r="AF757" s="144"/>
    </row>
    <row r="758" ht="16.5" customHeight="1">
      <c r="A758" s="144"/>
      <c r="B758" s="144"/>
      <c r="C758" s="144"/>
      <c r="D758" s="144"/>
      <c r="E758" s="144"/>
      <c r="F758" s="144"/>
      <c r="G758" s="144"/>
      <c r="H758" s="144"/>
      <c r="I758" s="496"/>
      <c r="J758" s="496"/>
      <c r="K758" s="496"/>
      <c r="L758" s="496"/>
      <c r="M758" s="144"/>
      <c r="N758" s="144"/>
      <c r="O758" s="144"/>
      <c r="P758" s="144"/>
      <c r="Q758" s="144"/>
      <c r="R758" s="144"/>
      <c r="S758" s="144"/>
      <c r="T758" s="144"/>
      <c r="U758" s="144"/>
      <c r="V758" s="144"/>
      <c r="W758" s="144"/>
      <c r="X758" s="144"/>
      <c r="Y758" s="144"/>
      <c r="Z758" s="144"/>
      <c r="AA758" s="144"/>
      <c r="AB758" s="144"/>
      <c r="AC758" s="144"/>
      <c r="AD758" s="144"/>
      <c r="AE758" s="144"/>
      <c r="AF758" s="144"/>
    </row>
    <row r="759" ht="16.5" customHeight="1">
      <c r="A759" s="144"/>
      <c r="B759" s="144"/>
      <c r="C759" s="144"/>
      <c r="D759" s="144"/>
      <c r="E759" s="144"/>
      <c r="F759" s="144"/>
      <c r="G759" s="144"/>
      <c r="H759" s="144"/>
      <c r="I759" s="496"/>
      <c r="J759" s="496"/>
      <c r="K759" s="496"/>
      <c r="L759" s="496"/>
      <c r="M759" s="144"/>
      <c r="N759" s="144"/>
      <c r="O759" s="144"/>
      <c r="P759" s="144"/>
      <c r="Q759" s="144"/>
      <c r="R759" s="144"/>
      <c r="S759" s="144"/>
      <c r="T759" s="144"/>
      <c r="U759" s="144"/>
      <c r="V759" s="144"/>
      <c r="W759" s="144"/>
      <c r="X759" s="144"/>
      <c r="Y759" s="144"/>
      <c r="Z759" s="144"/>
      <c r="AA759" s="144"/>
      <c r="AB759" s="144"/>
      <c r="AC759" s="144"/>
      <c r="AD759" s="144"/>
      <c r="AE759" s="144"/>
      <c r="AF759" s="144"/>
    </row>
    <row r="760" ht="16.5" customHeight="1">
      <c r="A760" s="144"/>
      <c r="B760" s="144"/>
      <c r="C760" s="144"/>
      <c r="D760" s="144"/>
      <c r="E760" s="144"/>
      <c r="F760" s="144"/>
      <c r="G760" s="144"/>
      <c r="H760" s="144"/>
      <c r="I760" s="496"/>
      <c r="J760" s="496"/>
      <c r="K760" s="496"/>
      <c r="L760" s="496"/>
      <c r="M760" s="144"/>
      <c r="N760" s="144"/>
      <c r="O760" s="144"/>
      <c r="P760" s="144"/>
      <c r="Q760" s="144"/>
      <c r="R760" s="144"/>
      <c r="S760" s="144"/>
      <c r="T760" s="144"/>
      <c r="U760" s="144"/>
      <c r="V760" s="144"/>
      <c r="W760" s="144"/>
      <c r="X760" s="144"/>
      <c r="Y760" s="144"/>
      <c r="Z760" s="144"/>
      <c r="AA760" s="144"/>
      <c r="AB760" s="144"/>
      <c r="AC760" s="144"/>
      <c r="AD760" s="144"/>
      <c r="AE760" s="144"/>
      <c r="AF760" s="144"/>
    </row>
    <row r="761" ht="16.5" customHeight="1">
      <c r="A761" s="144"/>
      <c r="B761" s="144"/>
      <c r="C761" s="144"/>
      <c r="D761" s="144"/>
      <c r="E761" s="144"/>
      <c r="F761" s="144"/>
      <c r="G761" s="144"/>
      <c r="H761" s="144"/>
      <c r="I761" s="496"/>
      <c r="J761" s="496"/>
      <c r="K761" s="496"/>
      <c r="L761" s="496"/>
      <c r="M761" s="144"/>
      <c r="N761" s="144"/>
      <c r="O761" s="144"/>
      <c r="P761" s="144"/>
      <c r="Q761" s="144"/>
      <c r="R761" s="144"/>
      <c r="S761" s="144"/>
      <c r="T761" s="144"/>
      <c r="U761" s="144"/>
      <c r="V761" s="144"/>
      <c r="W761" s="144"/>
      <c r="X761" s="144"/>
      <c r="Y761" s="144"/>
      <c r="Z761" s="144"/>
      <c r="AA761" s="144"/>
      <c r="AB761" s="144"/>
      <c r="AC761" s="144"/>
      <c r="AD761" s="144"/>
      <c r="AE761" s="144"/>
      <c r="AF761" s="144"/>
    </row>
    <row r="762" ht="16.5" customHeight="1">
      <c r="A762" s="144"/>
      <c r="B762" s="144"/>
      <c r="C762" s="144"/>
      <c r="D762" s="144"/>
      <c r="E762" s="144"/>
      <c r="F762" s="144"/>
      <c r="G762" s="144"/>
      <c r="H762" s="144"/>
      <c r="I762" s="496"/>
      <c r="J762" s="496"/>
      <c r="K762" s="496"/>
      <c r="L762" s="496"/>
      <c r="M762" s="144"/>
      <c r="N762" s="144"/>
      <c r="O762" s="144"/>
      <c r="P762" s="144"/>
      <c r="Q762" s="144"/>
      <c r="R762" s="144"/>
      <c r="S762" s="144"/>
      <c r="T762" s="144"/>
      <c r="U762" s="144"/>
      <c r="V762" s="144"/>
      <c r="W762" s="144"/>
      <c r="X762" s="144"/>
      <c r="Y762" s="144"/>
      <c r="Z762" s="144"/>
      <c r="AA762" s="144"/>
      <c r="AB762" s="144"/>
      <c r="AC762" s="144"/>
      <c r="AD762" s="144"/>
      <c r="AE762" s="144"/>
      <c r="AF762" s="144"/>
    </row>
    <row r="763" ht="16.5" customHeight="1">
      <c r="A763" s="144"/>
      <c r="B763" s="144"/>
      <c r="C763" s="144"/>
      <c r="D763" s="144"/>
      <c r="E763" s="144"/>
      <c r="F763" s="144"/>
      <c r="G763" s="144"/>
      <c r="H763" s="144"/>
      <c r="I763" s="496"/>
      <c r="J763" s="496"/>
      <c r="K763" s="496"/>
      <c r="L763" s="496"/>
      <c r="M763" s="144"/>
      <c r="N763" s="144"/>
      <c r="O763" s="144"/>
      <c r="P763" s="144"/>
      <c r="Q763" s="144"/>
      <c r="R763" s="144"/>
      <c r="S763" s="144"/>
      <c r="T763" s="144"/>
      <c r="U763" s="144"/>
      <c r="V763" s="144"/>
      <c r="W763" s="144"/>
      <c r="X763" s="144"/>
      <c r="Y763" s="144"/>
      <c r="Z763" s="144"/>
      <c r="AA763" s="144"/>
      <c r="AB763" s="144"/>
      <c r="AC763" s="144"/>
      <c r="AD763" s="144"/>
      <c r="AE763" s="144"/>
      <c r="AF763" s="144"/>
    </row>
    <row r="764" ht="16.5" customHeight="1">
      <c r="A764" s="144"/>
      <c r="B764" s="144"/>
      <c r="C764" s="144"/>
      <c r="D764" s="144"/>
      <c r="E764" s="144"/>
      <c r="F764" s="144"/>
      <c r="G764" s="144"/>
      <c r="H764" s="144"/>
      <c r="I764" s="496"/>
      <c r="J764" s="496"/>
      <c r="K764" s="496"/>
      <c r="L764" s="496"/>
      <c r="M764" s="144"/>
      <c r="N764" s="144"/>
      <c r="O764" s="144"/>
      <c r="P764" s="144"/>
      <c r="Q764" s="144"/>
      <c r="R764" s="144"/>
      <c r="S764" s="144"/>
      <c r="T764" s="144"/>
      <c r="U764" s="144"/>
      <c r="V764" s="144"/>
      <c r="W764" s="144"/>
      <c r="X764" s="144"/>
      <c r="Y764" s="144"/>
      <c r="Z764" s="144"/>
      <c r="AA764" s="144"/>
      <c r="AB764" s="144"/>
      <c r="AC764" s="144"/>
      <c r="AD764" s="144"/>
      <c r="AE764" s="144"/>
      <c r="AF764" s="144"/>
    </row>
    <row r="765" ht="16.5" customHeight="1">
      <c r="A765" s="144"/>
      <c r="B765" s="144"/>
      <c r="C765" s="144"/>
      <c r="D765" s="144"/>
      <c r="E765" s="144"/>
      <c r="F765" s="144"/>
      <c r="G765" s="144"/>
      <c r="H765" s="144"/>
      <c r="I765" s="496"/>
      <c r="J765" s="496"/>
      <c r="K765" s="496"/>
      <c r="L765" s="496"/>
      <c r="M765" s="144"/>
      <c r="N765" s="144"/>
      <c r="O765" s="144"/>
      <c r="P765" s="144"/>
      <c r="Q765" s="144"/>
      <c r="R765" s="144"/>
      <c r="S765" s="144"/>
      <c r="T765" s="144"/>
      <c r="U765" s="144"/>
      <c r="V765" s="144"/>
      <c r="W765" s="144"/>
      <c r="X765" s="144"/>
      <c r="Y765" s="144"/>
      <c r="Z765" s="144"/>
      <c r="AA765" s="144"/>
      <c r="AB765" s="144"/>
      <c r="AC765" s="144"/>
      <c r="AD765" s="144"/>
      <c r="AE765" s="144"/>
      <c r="AF765" s="144"/>
    </row>
    <row r="766" ht="16.5" customHeight="1">
      <c r="A766" s="144"/>
      <c r="B766" s="144"/>
      <c r="C766" s="144"/>
      <c r="D766" s="144"/>
      <c r="E766" s="144"/>
      <c r="F766" s="144"/>
      <c r="G766" s="144"/>
      <c r="H766" s="144"/>
      <c r="I766" s="496"/>
      <c r="J766" s="496"/>
      <c r="K766" s="496"/>
      <c r="L766" s="496"/>
      <c r="M766" s="144"/>
      <c r="N766" s="144"/>
      <c r="O766" s="144"/>
      <c r="P766" s="144"/>
      <c r="Q766" s="144"/>
      <c r="R766" s="144"/>
      <c r="S766" s="144"/>
      <c r="T766" s="144"/>
      <c r="U766" s="144"/>
      <c r="V766" s="144"/>
      <c r="W766" s="144"/>
      <c r="X766" s="144"/>
      <c r="Y766" s="144"/>
      <c r="Z766" s="144"/>
      <c r="AA766" s="144"/>
      <c r="AB766" s="144"/>
      <c r="AC766" s="144"/>
      <c r="AD766" s="144"/>
      <c r="AE766" s="144"/>
      <c r="AF766" s="144"/>
    </row>
    <row r="767" ht="16.5" customHeight="1">
      <c r="A767" s="144"/>
      <c r="B767" s="144"/>
      <c r="C767" s="144"/>
      <c r="D767" s="144"/>
      <c r="E767" s="144"/>
      <c r="F767" s="144"/>
      <c r="G767" s="144"/>
      <c r="H767" s="144"/>
      <c r="I767" s="496"/>
      <c r="J767" s="496"/>
      <c r="K767" s="496"/>
      <c r="L767" s="496"/>
      <c r="M767" s="144"/>
      <c r="N767" s="144"/>
      <c r="O767" s="144"/>
      <c r="P767" s="144"/>
      <c r="Q767" s="144"/>
      <c r="R767" s="144"/>
      <c r="S767" s="144"/>
      <c r="T767" s="144"/>
      <c r="U767" s="144"/>
      <c r="V767" s="144"/>
      <c r="W767" s="144"/>
      <c r="X767" s="144"/>
      <c r="Y767" s="144"/>
      <c r="Z767" s="144"/>
      <c r="AA767" s="144"/>
      <c r="AB767" s="144"/>
      <c r="AC767" s="144"/>
      <c r="AD767" s="144"/>
      <c r="AE767" s="144"/>
      <c r="AF767" s="144"/>
    </row>
    <row r="768" ht="16.5" customHeight="1">
      <c r="A768" s="144"/>
      <c r="B768" s="144"/>
      <c r="C768" s="144"/>
      <c r="D768" s="144"/>
      <c r="E768" s="144"/>
      <c r="F768" s="144"/>
      <c r="G768" s="144"/>
      <c r="H768" s="144"/>
      <c r="I768" s="496"/>
      <c r="J768" s="496"/>
      <c r="K768" s="496"/>
      <c r="L768" s="496"/>
      <c r="M768" s="144"/>
      <c r="N768" s="144"/>
      <c r="O768" s="144"/>
      <c r="P768" s="144"/>
      <c r="Q768" s="144"/>
      <c r="R768" s="144"/>
      <c r="S768" s="144"/>
      <c r="T768" s="144"/>
      <c r="U768" s="144"/>
      <c r="V768" s="144"/>
      <c r="W768" s="144"/>
      <c r="X768" s="144"/>
      <c r="Y768" s="144"/>
      <c r="Z768" s="144"/>
      <c r="AA768" s="144"/>
      <c r="AB768" s="144"/>
      <c r="AC768" s="144"/>
      <c r="AD768" s="144"/>
      <c r="AE768" s="144"/>
      <c r="AF768" s="144"/>
    </row>
    <row r="769" ht="16.5" customHeight="1">
      <c r="A769" s="144"/>
      <c r="B769" s="144"/>
      <c r="C769" s="144"/>
      <c r="D769" s="144"/>
      <c r="E769" s="144"/>
      <c r="F769" s="144"/>
      <c r="G769" s="144"/>
      <c r="H769" s="144"/>
      <c r="I769" s="496"/>
      <c r="J769" s="496"/>
      <c r="K769" s="496"/>
      <c r="L769" s="496"/>
      <c r="M769" s="144"/>
      <c r="N769" s="144"/>
      <c r="O769" s="144"/>
      <c r="P769" s="144"/>
      <c r="Q769" s="144"/>
      <c r="R769" s="144"/>
      <c r="S769" s="144"/>
      <c r="T769" s="144"/>
      <c r="U769" s="144"/>
      <c r="V769" s="144"/>
      <c r="W769" s="144"/>
      <c r="X769" s="144"/>
      <c r="Y769" s="144"/>
      <c r="Z769" s="144"/>
      <c r="AA769" s="144"/>
      <c r="AB769" s="144"/>
      <c r="AC769" s="144"/>
      <c r="AD769" s="144"/>
      <c r="AE769" s="144"/>
      <c r="AF769" s="144"/>
    </row>
    <row r="770" ht="16.5" customHeight="1">
      <c r="A770" s="144"/>
      <c r="B770" s="144"/>
      <c r="C770" s="144"/>
      <c r="D770" s="144"/>
      <c r="E770" s="144"/>
      <c r="F770" s="144"/>
      <c r="G770" s="144"/>
      <c r="H770" s="144"/>
      <c r="I770" s="496"/>
      <c r="J770" s="496"/>
      <c r="K770" s="496"/>
      <c r="L770" s="496"/>
      <c r="M770" s="144"/>
      <c r="N770" s="144"/>
      <c r="O770" s="144"/>
      <c r="P770" s="144"/>
      <c r="Q770" s="144"/>
      <c r="R770" s="144"/>
      <c r="S770" s="144"/>
      <c r="T770" s="144"/>
      <c r="U770" s="144"/>
      <c r="V770" s="144"/>
      <c r="W770" s="144"/>
      <c r="X770" s="144"/>
      <c r="Y770" s="144"/>
      <c r="Z770" s="144"/>
      <c r="AA770" s="144"/>
      <c r="AB770" s="144"/>
      <c r="AC770" s="144"/>
      <c r="AD770" s="144"/>
      <c r="AE770" s="144"/>
      <c r="AF770" s="144"/>
    </row>
    <row r="771" ht="16.5" customHeight="1">
      <c r="A771" s="144"/>
      <c r="B771" s="144"/>
      <c r="C771" s="144"/>
      <c r="D771" s="144"/>
      <c r="E771" s="144"/>
      <c r="F771" s="144"/>
      <c r="G771" s="144"/>
      <c r="H771" s="144"/>
      <c r="I771" s="496"/>
      <c r="J771" s="496"/>
      <c r="K771" s="496"/>
      <c r="L771" s="496"/>
      <c r="M771" s="144"/>
      <c r="N771" s="144"/>
      <c r="O771" s="144"/>
      <c r="P771" s="144"/>
      <c r="Q771" s="144"/>
      <c r="R771" s="144"/>
      <c r="S771" s="144"/>
      <c r="T771" s="144"/>
      <c r="U771" s="144"/>
      <c r="V771" s="144"/>
      <c r="W771" s="144"/>
      <c r="X771" s="144"/>
      <c r="Y771" s="144"/>
      <c r="Z771" s="144"/>
      <c r="AA771" s="144"/>
      <c r="AB771" s="144"/>
      <c r="AC771" s="144"/>
      <c r="AD771" s="144"/>
      <c r="AE771" s="144"/>
      <c r="AF771" s="144"/>
    </row>
    <row r="772" ht="16.5" customHeight="1">
      <c r="A772" s="144"/>
      <c r="B772" s="144"/>
      <c r="C772" s="144"/>
      <c r="D772" s="144"/>
      <c r="E772" s="144"/>
      <c r="F772" s="144"/>
      <c r="G772" s="144"/>
      <c r="H772" s="144"/>
      <c r="I772" s="496"/>
      <c r="J772" s="496"/>
      <c r="K772" s="496"/>
      <c r="L772" s="496"/>
      <c r="M772" s="144"/>
      <c r="N772" s="144"/>
      <c r="O772" s="144"/>
      <c r="P772" s="144"/>
      <c r="Q772" s="144"/>
      <c r="R772" s="144"/>
      <c r="S772" s="144"/>
      <c r="T772" s="144"/>
      <c r="U772" s="144"/>
      <c r="V772" s="144"/>
      <c r="W772" s="144"/>
      <c r="X772" s="144"/>
      <c r="Y772" s="144"/>
      <c r="Z772" s="144"/>
      <c r="AA772" s="144"/>
      <c r="AB772" s="144"/>
      <c r="AC772" s="144"/>
      <c r="AD772" s="144"/>
      <c r="AE772" s="144"/>
      <c r="AF772" s="144"/>
    </row>
    <row r="773" ht="16.5" customHeight="1">
      <c r="A773" s="144"/>
      <c r="B773" s="144"/>
      <c r="C773" s="144"/>
      <c r="D773" s="144"/>
      <c r="E773" s="144"/>
      <c r="F773" s="144"/>
      <c r="G773" s="144"/>
      <c r="H773" s="144"/>
      <c r="I773" s="496"/>
      <c r="J773" s="496"/>
      <c r="K773" s="496"/>
      <c r="L773" s="496"/>
      <c r="M773" s="144"/>
      <c r="N773" s="144"/>
      <c r="O773" s="144"/>
      <c r="P773" s="144"/>
      <c r="Q773" s="144"/>
      <c r="R773" s="144"/>
      <c r="S773" s="144"/>
      <c r="T773" s="144"/>
      <c r="U773" s="144"/>
      <c r="V773" s="144"/>
      <c r="W773" s="144"/>
      <c r="X773" s="144"/>
      <c r="Y773" s="144"/>
      <c r="Z773" s="144"/>
      <c r="AA773" s="144"/>
      <c r="AB773" s="144"/>
      <c r="AC773" s="144"/>
      <c r="AD773" s="144"/>
      <c r="AE773" s="144"/>
      <c r="AF773" s="144"/>
    </row>
    <row r="774" ht="16.5" customHeight="1">
      <c r="A774" s="144"/>
      <c r="B774" s="144"/>
      <c r="C774" s="144"/>
      <c r="D774" s="144"/>
      <c r="E774" s="144"/>
      <c r="F774" s="144"/>
      <c r="G774" s="144"/>
      <c r="H774" s="144"/>
      <c r="I774" s="496"/>
      <c r="J774" s="496"/>
      <c r="K774" s="496"/>
      <c r="L774" s="496"/>
      <c r="M774" s="144"/>
      <c r="N774" s="144"/>
      <c r="O774" s="144"/>
      <c r="P774" s="144"/>
      <c r="Q774" s="144"/>
      <c r="R774" s="144"/>
      <c r="S774" s="144"/>
      <c r="T774" s="144"/>
      <c r="U774" s="144"/>
      <c r="V774" s="144"/>
      <c r="W774" s="144"/>
      <c r="X774" s="144"/>
      <c r="Y774" s="144"/>
      <c r="Z774" s="144"/>
      <c r="AA774" s="144"/>
      <c r="AB774" s="144"/>
      <c r="AC774" s="144"/>
      <c r="AD774" s="144"/>
      <c r="AE774" s="144"/>
      <c r="AF774" s="144"/>
    </row>
    <row r="775" ht="16.5" customHeight="1">
      <c r="A775" s="144"/>
      <c r="B775" s="144"/>
      <c r="C775" s="144"/>
      <c r="D775" s="144"/>
      <c r="E775" s="144"/>
      <c r="F775" s="144"/>
      <c r="G775" s="144"/>
      <c r="H775" s="144"/>
      <c r="I775" s="496"/>
      <c r="J775" s="496"/>
      <c r="K775" s="496"/>
      <c r="L775" s="496"/>
      <c r="M775" s="144"/>
      <c r="N775" s="144"/>
      <c r="O775" s="144"/>
      <c r="P775" s="144"/>
      <c r="Q775" s="144"/>
      <c r="R775" s="144"/>
      <c r="S775" s="144"/>
      <c r="T775" s="144"/>
      <c r="U775" s="144"/>
      <c r="V775" s="144"/>
      <c r="W775" s="144"/>
      <c r="X775" s="144"/>
      <c r="Y775" s="144"/>
      <c r="Z775" s="144"/>
      <c r="AA775" s="144"/>
      <c r="AB775" s="144"/>
      <c r="AC775" s="144"/>
      <c r="AD775" s="144"/>
      <c r="AE775" s="144"/>
      <c r="AF775" s="144"/>
    </row>
    <row r="776" ht="16.5" customHeight="1">
      <c r="A776" s="144"/>
      <c r="B776" s="144"/>
      <c r="C776" s="144"/>
      <c r="D776" s="144"/>
      <c r="E776" s="144"/>
      <c r="F776" s="144"/>
      <c r="G776" s="144"/>
      <c r="H776" s="144"/>
      <c r="I776" s="496"/>
      <c r="J776" s="496"/>
      <c r="K776" s="496"/>
      <c r="L776" s="496"/>
      <c r="M776" s="144"/>
      <c r="N776" s="144"/>
      <c r="O776" s="144"/>
      <c r="P776" s="144"/>
      <c r="Q776" s="144"/>
      <c r="R776" s="144"/>
      <c r="S776" s="144"/>
      <c r="T776" s="144"/>
      <c r="U776" s="144"/>
      <c r="V776" s="144"/>
      <c r="W776" s="144"/>
      <c r="X776" s="144"/>
      <c r="Y776" s="144"/>
      <c r="Z776" s="144"/>
      <c r="AA776" s="144"/>
      <c r="AB776" s="144"/>
      <c r="AC776" s="144"/>
      <c r="AD776" s="144"/>
      <c r="AE776" s="144"/>
      <c r="AF776" s="144"/>
    </row>
    <row r="777" ht="16.5" customHeight="1">
      <c r="A777" s="144"/>
      <c r="B777" s="144"/>
      <c r="C777" s="144"/>
      <c r="D777" s="144"/>
      <c r="E777" s="144"/>
      <c r="F777" s="144"/>
      <c r="G777" s="144"/>
      <c r="H777" s="144"/>
      <c r="I777" s="496"/>
      <c r="J777" s="496"/>
      <c r="K777" s="496"/>
      <c r="L777" s="496"/>
      <c r="M777" s="144"/>
      <c r="N777" s="144"/>
      <c r="O777" s="144"/>
      <c r="P777" s="144"/>
      <c r="Q777" s="144"/>
      <c r="R777" s="144"/>
      <c r="S777" s="144"/>
      <c r="T777" s="144"/>
      <c r="U777" s="144"/>
      <c r="V777" s="144"/>
      <c r="W777" s="144"/>
      <c r="X777" s="144"/>
      <c r="Y777" s="144"/>
      <c r="Z777" s="144"/>
      <c r="AA777" s="144"/>
      <c r="AB777" s="144"/>
      <c r="AC777" s="144"/>
      <c r="AD777" s="144"/>
      <c r="AE777" s="144"/>
      <c r="AF777" s="144"/>
    </row>
    <row r="778" ht="16.5" customHeight="1">
      <c r="A778" s="144"/>
      <c r="B778" s="144"/>
      <c r="C778" s="144"/>
      <c r="D778" s="144"/>
      <c r="E778" s="144"/>
      <c r="F778" s="144"/>
      <c r="G778" s="144"/>
      <c r="H778" s="144"/>
      <c r="I778" s="496"/>
      <c r="J778" s="496"/>
      <c r="K778" s="496"/>
      <c r="L778" s="496"/>
      <c r="M778" s="144"/>
      <c r="N778" s="144"/>
      <c r="O778" s="144"/>
      <c r="P778" s="144"/>
      <c r="Q778" s="144"/>
      <c r="R778" s="144"/>
      <c r="S778" s="144"/>
      <c r="T778" s="144"/>
      <c r="U778" s="144"/>
      <c r="V778" s="144"/>
      <c r="W778" s="144"/>
      <c r="X778" s="144"/>
      <c r="Y778" s="144"/>
      <c r="Z778" s="144"/>
      <c r="AA778" s="144"/>
      <c r="AB778" s="144"/>
      <c r="AC778" s="144"/>
      <c r="AD778" s="144"/>
      <c r="AE778" s="144"/>
      <c r="AF778" s="144"/>
    </row>
    <row r="779" ht="16.5" customHeight="1">
      <c r="A779" s="144"/>
      <c r="B779" s="144"/>
      <c r="C779" s="144"/>
      <c r="D779" s="144"/>
      <c r="E779" s="144"/>
      <c r="F779" s="144"/>
      <c r="G779" s="144"/>
      <c r="H779" s="144"/>
      <c r="I779" s="496"/>
      <c r="J779" s="496"/>
      <c r="K779" s="496"/>
      <c r="L779" s="496"/>
      <c r="M779" s="144"/>
      <c r="N779" s="144"/>
      <c r="O779" s="144"/>
      <c r="P779" s="144"/>
      <c r="Q779" s="144"/>
      <c r="R779" s="144"/>
      <c r="S779" s="144"/>
      <c r="T779" s="144"/>
      <c r="U779" s="144"/>
      <c r="V779" s="144"/>
      <c r="W779" s="144"/>
      <c r="X779" s="144"/>
      <c r="Y779" s="144"/>
      <c r="Z779" s="144"/>
      <c r="AA779" s="144"/>
      <c r="AB779" s="144"/>
      <c r="AC779" s="144"/>
      <c r="AD779" s="144"/>
      <c r="AE779" s="144"/>
      <c r="AF779" s="144"/>
    </row>
    <row r="780" ht="16.5" customHeight="1">
      <c r="A780" s="144"/>
      <c r="B780" s="144"/>
      <c r="C780" s="144"/>
      <c r="D780" s="144"/>
      <c r="E780" s="144"/>
      <c r="F780" s="144"/>
      <c r="G780" s="144"/>
      <c r="H780" s="144"/>
      <c r="I780" s="496"/>
      <c r="J780" s="496"/>
      <c r="K780" s="496"/>
      <c r="L780" s="496"/>
      <c r="M780" s="144"/>
      <c r="N780" s="144"/>
      <c r="O780" s="144"/>
      <c r="P780" s="144"/>
      <c r="Q780" s="144"/>
      <c r="R780" s="144"/>
      <c r="S780" s="144"/>
      <c r="T780" s="144"/>
      <c r="U780" s="144"/>
      <c r="V780" s="144"/>
      <c r="W780" s="144"/>
      <c r="X780" s="144"/>
      <c r="Y780" s="144"/>
      <c r="Z780" s="144"/>
      <c r="AA780" s="144"/>
      <c r="AB780" s="144"/>
      <c r="AC780" s="144"/>
      <c r="AD780" s="144"/>
      <c r="AE780" s="144"/>
      <c r="AF780" s="144"/>
    </row>
    <row r="781" ht="16.5" customHeight="1">
      <c r="A781" s="144"/>
      <c r="B781" s="144"/>
      <c r="C781" s="144"/>
      <c r="D781" s="144"/>
      <c r="E781" s="144"/>
      <c r="F781" s="144"/>
      <c r="G781" s="144"/>
      <c r="H781" s="144"/>
      <c r="I781" s="496"/>
      <c r="J781" s="496"/>
      <c r="K781" s="496"/>
      <c r="L781" s="496"/>
      <c r="M781" s="144"/>
      <c r="N781" s="144"/>
      <c r="O781" s="144"/>
      <c r="P781" s="144"/>
      <c r="Q781" s="144"/>
      <c r="R781" s="144"/>
      <c r="S781" s="144"/>
      <c r="T781" s="144"/>
      <c r="U781" s="144"/>
      <c r="V781" s="144"/>
      <c r="W781" s="144"/>
      <c r="X781" s="144"/>
      <c r="Y781" s="144"/>
      <c r="Z781" s="144"/>
      <c r="AA781" s="144"/>
      <c r="AB781" s="144"/>
      <c r="AC781" s="144"/>
      <c r="AD781" s="144"/>
      <c r="AE781" s="144"/>
      <c r="AF781" s="144"/>
    </row>
    <row r="782" ht="16.5" customHeight="1">
      <c r="A782" s="144"/>
      <c r="B782" s="144"/>
      <c r="C782" s="144"/>
      <c r="D782" s="144"/>
      <c r="E782" s="144"/>
      <c r="F782" s="144"/>
      <c r="G782" s="144"/>
      <c r="H782" s="144"/>
      <c r="I782" s="496"/>
      <c r="J782" s="496"/>
      <c r="K782" s="496"/>
      <c r="L782" s="496"/>
      <c r="M782" s="144"/>
      <c r="N782" s="144"/>
      <c r="O782" s="144"/>
      <c r="P782" s="144"/>
      <c r="Q782" s="144"/>
      <c r="R782" s="144"/>
      <c r="S782" s="144"/>
      <c r="T782" s="144"/>
      <c r="U782" s="144"/>
      <c r="V782" s="144"/>
      <c r="W782" s="144"/>
      <c r="X782" s="144"/>
      <c r="Y782" s="144"/>
      <c r="Z782" s="144"/>
      <c r="AA782" s="144"/>
      <c r="AB782" s="144"/>
      <c r="AC782" s="144"/>
      <c r="AD782" s="144"/>
      <c r="AE782" s="144"/>
      <c r="AF782" s="144"/>
    </row>
    <row r="783" ht="16.5" customHeight="1">
      <c r="A783" s="144"/>
      <c r="B783" s="144"/>
      <c r="C783" s="144"/>
      <c r="D783" s="144"/>
      <c r="E783" s="144"/>
      <c r="F783" s="144"/>
      <c r="G783" s="144"/>
      <c r="H783" s="144"/>
      <c r="I783" s="496"/>
      <c r="J783" s="496"/>
      <c r="K783" s="496"/>
      <c r="L783" s="496"/>
      <c r="M783" s="144"/>
      <c r="N783" s="144"/>
      <c r="O783" s="144"/>
      <c r="P783" s="144"/>
      <c r="Q783" s="144"/>
      <c r="R783" s="144"/>
      <c r="S783" s="144"/>
      <c r="T783" s="144"/>
      <c r="U783" s="144"/>
      <c r="V783" s="144"/>
      <c r="W783" s="144"/>
      <c r="X783" s="144"/>
      <c r="Y783" s="144"/>
      <c r="Z783" s="144"/>
      <c r="AA783" s="144"/>
      <c r="AB783" s="144"/>
      <c r="AC783" s="144"/>
      <c r="AD783" s="144"/>
      <c r="AE783" s="144"/>
      <c r="AF783" s="144"/>
    </row>
    <row r="784" ht="16.5" customHeight="1">
      <c r="A784" s="144"/>
      <c r="B784" s="144"/>
      <c r="C784" s="144"/>
      <c r="D784" s="144"/>
      <c r="E784" s="144"/>
      <c r="F784" s="144"/>
      <c r="G784" s="144"/>
      <c r="H784" s="144"/>
      <c r="I784" s="496"/>
      <c r="J784" s="496"/>
      <c r="K784" s="496"/>
      <c r="L784" s="496"/>
      <c r="M784" s="144"/>
      <c r="N784" s="144"/>
      <c r="O784" s="144"/>
      <c r="P784" s="144"/>
      <c r="Q784" s="144"/>
      <c r="R784" s="144"/>
      <c r="S784" s="144"/>
      <c r="T784" s="144"/>
      <c r="U784" s="144"/>
      <c r="V784" s="144"/>
      <c r="W784" s="144"/>
      <c r="X784" s="144"/>
      <c r="Y784" s="144"/>
      <c r="Z784" s="144"/>
      <c r="AA784" s="144"/>
      <c r="AB784" s="144"/>
      <c r="AC784" s="144"/>
      <c r="AD784" s="144"/>
      <c r="AE784" s="144"/>
      <c r="AF784" s="144"/>
    </row>
    <row r="785" ht="16.5" customHeight="1">
      <c r="A785" s="144"/>
      <c r="B785" s="144"/>
      <c r="C785" s="144"/>
      <c r="D785" s="144"/>
      <c r="E785" s="144"/>
      <c r="F785" s="144"/>
      <c r="G785" s="144"/>
      <c r="H785" s="144"/>
      <c r="I785" s="496"/>
      <c r="J785" s="496"/>
      <c r="K785" s="496"/>
      <c r="L785" s="496"/>
      <c r="M785" s="144"/>
      <c r="N785" s="144"/>
      <c r="O785" s="144"/>
      <c r="P785" s="144"/>
      <c r="Q785" s="144"/>
      <c r="R785" s="144"/>
      <c r="S785" s="144"/>
      <c r="T785" s="144"/>
      <c r="U785" s="144"/>
      <c r="V785" s="144"/>
      <c r="W785" s="144"/>
      <c r="X785" s="144"/>
      <c r="Y785" s="144"/>
      <c r="Z785" s="144"/>
      <c r="AA785" s="144"/>
      <c r="AB785" s="144"/>
      <c r="AC785" s="144"/>
      <c r="AD785" s="144"/>
      <c r="AE785" s="144"/>
      <c r="AF785" s="144"/>
    </row>
    <row r="786" ht="16.5" customHeight="1">
      <c r="A786" s="144"/>
      <c r="B786" s="144"/>
      <c r="C786" s="144"/>
      <c r="D786" s="144"/>
      <c r="E786" s="144"/>
      <c r="F786" s="144"/>
      <c r="G786" s="144"/>
      <c r="H786" s="144"/>
      <c r="I786" s="496"/>
      <c r="J786" s="496"/>
      <c r="K786" s="496"/>
      <c r="L786" s="496"/>
      <c r="M786" s="144"/>
      <c r="N786" s="144"/>
      <c r="O786" s="144"/>
      <c r="P786" s="144"/>
      <c r="Q786" s="144"/>
      <c r="R786" s="144"/>
      <c r="S786" s="144"/>
      <c r="T786" s="144"/>
      <c r="U786" s="144"/>
      <c r="V786" s="144"/>
      <c r="W786" s="144"/>
      <c r="X786" s="144"/>
      <c r="Y786" s="144"/>
      <c r="Z786" s="144"/>
      <c r="AA786" s="144"/>
      <c r="AB786" s="144"/>
      <c r="AC786" s="144"/>
      <c r="AD786" s="144"/>
      <c r="AE786" s="144"/>
      <c r="AF786" s="144"/>
    </row>
    <row r="787" ht="16.5" customHeight="1">
      <c r="A787" s="144"/>
      <c r="B787" s="144"/>
      <c r="C787" s="144"/>
      <c r="D787" s="144"/>
      <c r="E787" s="144"/>
      <c r="F787" s="144"/>
      <c r="G787" s="144"/>
      <c r="H787" s="144"/>
      <c r="I787" s="496"/>
      <c r="J787" s="496"/>
      <c r="K787" s="496"/>
      <c r="L787" s="496"/>
      <c r="M787" s="144"/>
      <c r="N787" s="144"/>
      <c r="O787" s="144"/>
      <c r="P787" s="144"/>
      <c r="Q787" s="144"/>
      <c r="R787" s="144"/>
      <c r="S787" s="144"/>
      <c r="T787" s="144"/>
      <c r="U787" s="144"/>
      <c r="V787" s="144"/>
      <c r="W787" s="144"/>
      <c r="X787" s="144"/>
      <c r="Y787" s="144"/>
      <c r="Z787" s="144"/>
      <c r="AA787" s="144"/>
      <c r="AB787" s="144"/>
      <c r="AC787" s="144"/>
      <c r="AD787" s="144"/>
      <c r="AE787" s="144"/>
      <c r="AF787" s="144"/>
    </row>
    <row r="788" ht="16.5" customHeight="1">
      <c r="A788" s="144"/>
      <c r="B788" s="144"/>
      <c r="C788" s="144"/>
      <c r="D788" s="144"/>
      <c r="E788" s="144"/>
      <c r="F788" s="144"/>
      <c r="G788" s="144"/>
      <c r="H788" s="144"/>
      <c r="I788" s="496"/>
      <c r="J788" s="496"/>
      <c r="K788" s="496"/>
      <c r="L788" s="496"/>
      <c r="M788" s="144"/>
      <c r="N788" s="144"/>
      <c r="O788" s="144"/>
      <c r="P788" s="144"/>
      <c r="Q788" s="144"/>
      <c r="R788" s="144"/>
      <c r="S788" s="144"/>
      <c r="T788" s="144"/>
      <c r="U788" s="144"/>
      <c r="V788" s="144"/>
      <c r="W788" s="144"/>
      <c r="X788" s="144"/>
      <c r="Y788" s="144"/>
      <c r="Z788" s="144"/>
      <c r="AA788" s="144"/>
      <c r="AB788" s="144"/>
      <c r="AC788" s="144"/>
      <c r="AD788" s="144"/>
      <c r="AE788" s="144"/>
      <c r="AF788" s="144"/>
    </row>
    <row r="789" ht="16.5" customHeight="1">
      <c r="A789" s="144"/>
      <c r="B789" s="144"/>
      <c r="C789" s="144"/>
      <c r="D789" s="144"/>
      <c r="E789" s="144"/>
      <c r="F789" s="144"/>
      <c r="G789" s="144"/>
      <c r="H789" s="144"/>
      <c r="I789" s="496"/>
      <c r="J789" s="496"/>
      <c r="K789" s="496"/>
      <c r="L789" s="496"/>
      <c r="M789" s="144"/>
      <c r="N789" s="144"/>
      <c r="O789" s="144"/>
      <c r="P789" s="144"/>
      <c r="Q789" s="144"/>
      <c r="R789" s="144"/>
      <c r="S789" s="144"/>
      <c r="T789" s="144"/>
      <c r="U789" s="144"/>
      <c r="V789" s="144"/>
      <c r="W789" s="144"/>
      <c r="X789" s="144"/>
      <c r="Y789" s="144"/>
      <c r="Z789" s="144"/>
      <c r="AA789" s="144"/>
      <c r="AB789" s="144"/>
      <c r="AC789" s="144"/>
      <c r="AD789" s="144"/>
      <c r="AE789" s="144"/>
      <c r="AF789" s="144"/>
    </row>
    <row r="790" ht="16.5" customHeight="1">
      <c r="A790" s="144"/>
      <c r="B790" s="144"/>
      <c r="C790" s="144"/>
      <c r="D790" s="144"/>
      <c r="E790" s="144"/>
      <c r="F790" s="144"/>
      <c r="G790" s="144"/>
      <c r="H790" s="144"/>
      <c r="I790" s="496"/>
      <c r="J790" s="496"/>
      <c r="K790" s="496"/>
      <c r="L790" s="496"/>
      <c r="M790" s="144"/>
      <c r="N790" s="144"/>
      <c r="O790" s="144"/>
      <c r="P790" s="144"/>
      <c r="Q790" s="144"/>
      <c r="R790" s="144"/>
      <c r="S790" s="144"/>
      <c r="T790" s="144"/>
      <c r="U790" s="144"/>
      <c r="V790" s="144"/>
      <c r="W790" s="144"/>
      <c r="X790" s="144"/>
      <c r="Y790" s="144"/>
      <c r="Z790" s="144"/>
      <c r="AA790" s="144"/>
      <c r="AB790" s="144"/>
      <c r="AC790" s="144"/>
      <c r="AD790" s="144"/>
      <c r="AE790" s="144"/>
      <c r="AF790" s="144"/>
    </row>
    <row r="791" ht="16.5" customHeight="1">
      <c r="A791" s="144"/>
      <c r="B791" s="144"/>
      <c r="C791" s="144"/>
      <c r="D791" s="144"/>
      <c r="E791" s="144"/>
      <c r="F791" s="144"/>
      <c r="G791" s="144"/>
      <c r="H791" s="144"/>
      <c r="I791" s="496"/>
      <c r="J791" s="496"/>
      <c r="K791" s="496"/>
      <c r="L791" s="496"/>
      <c r="M791" s="144"/>
      <c r="N791" s="144"/>
      <c r="O791" s="144"/>
      <c r="P791" s="144"/>
      <c r="Q791" s="144"/>
      <c r="R791" s="144"/>
      <c r="S791" s="144"/>
      <c r="T791" s="144"/>
      <c r="U791" s="144"/>
      <c r="V791" s="144"/>
      <c r="W791" s="144"/>
      <c r="X791" s="144"/>
      <c r="Y791" s="144"/>
      <c r="Z791" s="144"/>
      <c r="AA791" s="144"/>
      <c r="AB791" s="144"/>
      <c r="AC791" s="144"/>
      <c r="AD791" s="144"/>
      <c r="AE791" s="144"/>
      <c r="AF791" s="144"/>
    </row>
    <row r="792" ht="16.5" customHeight="1">
      <c r="A792" s="144"/>
      <c r="B792" s="144"/>
      <c r="C792" s="144"/>
      <c r="D792" s="144"/>
      <c r="E792" s="144"/>
      <c r="F792" s="144"/>
      <c r="G792" s="144"/>
      <c r="H792" s="144"/>
      <c r="I792" s="496"/>
      <c r="J792" s="496"/>
      <c r="K792" s="496"/>
      <c r="L792" s="496"/>
      <c r="M792" s="144"/>
      <c r="N792" s="144"/>
      <c r="O792" s="144"/>
      <c r="P792" s="144"/>
      <c r="Q792" s="144"/>
      <c r="R792" s="144"/>
      <c r="S792" s="144"/>
      <c r="T792" s="144"/>
      <c r="U792" s="144"/>
      <c r="V792" s="144"/>
      <c r="W792" s="144"/>
      <c r="X792" s="144"/>
      <c r="Y792" s="144"/>
      <c r="Z792" s="144"/>
      <c r="AA792" s="144"/>
      <c r="AB792" s="144"/>
      <c r="AC792" s="144"/>
      <c r="AD792" s="144"/>
      <c r="AE792" s="144"/>
      <c r="AF792" s="144"/>
    </row>
    <row r="793" ht="16.5" customHeight="1">
      <c r="A793" s="144"/>
      <c r="B793" s="144"/>
      <c r="C793" s="144"/>
      <c r="D793" s="144"/>
      <c r="E793" s="144"/>
      <c r="F793" s="144"/>
      <c r="G793" s="144"/>
      <c r="H793" s="144"/>
      <c r="I793" s="496"/>
      <c r="J793" s="496"/>
      <c r="K793" s="496"/>
      <c r="L793" s="496"/>
      <c r="M793" s="144"/>
      <c r="N793" s="144"/>
      <c r="O793" s="144"/>
      <c r="P793" s="144"/>
      <c r="Q793" s="144"/>
      <c r="R793" s="144"/>
      <c r="S793" s="144"/>
      <c r="T793" s="144"/>
      <c r="U793" s="144"/>
      <c r="V793" s="144"/>
      <c r="W793" s="144"/>
      <c r="X793" s="144"/>
      <c r="Y793" s="144"/>
      <c r="Z793" s="144"/>
      <c r="AA793" s="144"/>
      <c r="AB793" s="144"/>
      <c r="AC793" s="144"/>
      <c r="AD793" s="144"/>
      <c r="AE793" s="144"/>
      <c r="AF793" s="144"/>
    </row>
    <row r="794" ht="16.5" customHeight="1">
      <c r="A794" s="144"/>
      <c r="B794" s="144"/>
      <c r="C794" s="144"/>
      <c r="D794" s="144"/>
      <c r="E794" s="144"/>
      <c r="F794" s="144"/>
      <c r="G794" s="144"/>
      <c r="H794" s="144"/>
      <c r="I794" s="496"/>
      <c r="J794" s="496"/>
      <c r="K794" s="496"/>
      <c r="L794" s="496"/>
      <c r="M794" s="144"/>
      <c r="N794" s="144"/>
      <c r="O794" s="144"/>
      <c r="P794" s="144"/>
      <c r="Q794" s="144"/>
      <c r="R794" s="144"/>
      <c r="S794" s="144"/>
      <c r="T794" s="144"/>
      <c r="U794" s="144"/>
      <c r="V794" s="144"/>
      <c r="W794" s="144"/>
      <c r="X794" s="144"/>
      <c r="Y794" s="144"/>
      <c r="Z794" s="144"/>
      <c r="AA794" s="144"/>
      <c r="AB794" s="144"/>
      <c r="AC794" s="144"/>
      <c r="AD794" s="144"/>
      <c r="AE794" s="144"/>
      <c r="AF794" s="144"/>
    </row>
    <row r="795" ht="16.5" customHeight="1">
      <c r="A795" s="144"/>
      <c r="B795" s="144"/>
      <c r="C795" s="144"/>
      <c r="D795" s="144"/>
      <c r="E795" s="144"/>
      <c r="F795" s="144"/>
      <c r="G795" s="144"/>
      <c r="H795" s="144"/>
      <c r="I795" s="496"/>
      <c r="J795" s="496"/>
      <c r="K795" s="496"/>
      <c r="L795" s="496"/>
      <c r="M795" s="144"/>
      <c r="N795" s="144"/>
      <c r="O795" s="144"/>
      <c r="P795" s="144"/>
      <c r="Q795" s="144"/>
      <c r="R795" s="144"/>
      <c r="S795" s="144"/>
      <c r="T795" s="144"/>
      <c r="U795" s="144"/>
      <c r="V795" s="144"/>
      <c r="W795" s="144"/>
      <c r="X795" s="144"/>
      <c r="Y795" s="144"/>
      <c r="Z795" s="144"/>
      <c r="AA795" s="144"/>
      <c r="AB795" s="144"/>
      <c r="AC795" s="144"/>
      <c r="AD795" s="144"/>
      <c r="AE795" s="144"/>
      <c r="AF795" s="144"/>
    </row>
    <row r="796" ht="16.5" customHeight="1">
      <c r="A796" s="144"/>
      <c r="B796" s="144"/>
      <c r="C796" s="144"/>
      <c r="D796" s="144"/>
      <c r="E796" s="144"/>
      <c r="F796" s="144"/>
      <c r="G796" s="144"/>
      <c r="H796" s="144"/>
      <c r="I796" s="496"/>
      <c r="J796" s="496"/>
      <c r="K796" s="496"/>
      <c r="L796" s="496"/>
      <c r="M796" s="144"/>
      <c r="N796" s="144"/>
      <c r="O796" s="144"/>
      <c r="P796" s="144"/>
      <c r="Q796" s="144"/>
      <c r="R796" s="144"/>
      <c r="S796" s="144"/>
      <c r="T796" s="144"/>
      <c r="U796" s="144"/>
      <c r="V796" s="144"/>
      <c r="W796" s="144"/>
      <c r="X796" s="144"/>
      <c r="Y796" s="144"/>
      <c r="Z796" s="144"/>
      <c r="AA796" s="144"/>
      <c r="AB796" s="144"/>
      <c r="AC796" s="144"/>
      <c r="AD796" s="144"/>
      <c r="AE796" s="144"/>
      <c r="AF796" s="144"/>
    </row>
    <row r="797" ht="16.5" customHeight="1">
      <c r="A797" s="144"/>
      <c r="B797" s="144"/>
      <c r="C797" s="144"/>
      <c r="D797" s="144"/>
      <c r="E797" s="144"/>
      <c r="F797" s="144"/>
      <c r="G797" s="144"/>
      <c r="H797" s="144"/>
      <c r="I797" s="496"/>
      <c r="J797" s="496"/>
      <c r="K797" s="496"/>
      <c r="L797" s="496"/>
      <c r="M797" s="144"/>
      <c r="N797" s="144"/>
      <c r="O797" s="144"/>
      <c r="P797" s="144"/>
      <c r="Q797" s="144"/>
      <c r="R797" s="144"/>
      <c r="S797" s="144"/>
      <c r="T797" s="144"/>
      <c r="U797" s="144"/>
      <c r="V797" s="144"/>
      <c r="W797" s="144"/>
      <c r="X797" s="144"/>
      <c r="Y797" s="144"/>
      <c r="Z797" s="144"/>
      <c r="AA797" s="144"/>
      <c r="AB797" s="144"/>
      <c r="AC797" s="144"/>
      <c r="AD797" s="144"/>
      <c r="AE797" s="144"/>
      <c r="AF797" s="144"/>
    </row>
    <row r="798" ht="16.5" customHeight="1">
      <c r="A798" s="144"/>
      <c r="B798" s="144"/>
      <c r="C798" s="144"/>
      <c r="D798" s="144"/>
      <c r="E798" s="144"/>
      <c r="F798" s="144"/>
      <c r="G798" s="144"/>
      <c r="H798" s="144"/>
      <c r="I798" s="496"/>
      <c r="J798" s="496"/>
      <c r="K798" s="496"/>
      <c r="L798" s="496"/>
      <c r="M798" s="144"/>
      <c r="N798" s="144"/>
      <c r="O798" s="144"/>
      <c r="P798" s="144"/>
      <c r="Q798" s="144"/>
      <c r="R798" s="144"/>
      <c r="S798" s="144"/>
      <c r="T798" s="144"/>
      <c r="U798" s="144"/>
      <c r="V798" s="144"/>
      <c r="W798" s="144"/>
      <c r="X798" s="144"/>
      <c r="Y798" s="144"/>
      <c r="Z798" s="144"/>
      <c r="AA798" s="144"/>
      <c r="AB798" s="144"/>
      <c r="AC798" s="144"/>
      <c r="AD798" s="144"/>
      <c r="AE798" s="144"/>
      <c r="AF798" s="144"/>
    </row>
    <row r="799" ht="16.5" customHeight="1">
      <c r="A799" s="144"/>
      <c r="B799" s="144"/>
      <c r="C799" s="144"/>
      <c r="D799" s="144"/>
      <c r="E799" s="144"/>
      <c r="F799" s="144"/>
      <c r="G799" s="144"/>
      <c r="H799" s="144"/>
      <c r="I799" s="496"/>
      <c r="J799" s="496"/>
      <c r="K799" s="496"/>
      <c r="L799" s="496"/>
      <c r="M799" s="144"/>
      <c r="N799" s="144"/>
      <c r="O799" s="144"/>
      <c r="P799" s="144"/>
      <c r="Q799" s="144"/>
      <c r="R799" s="144"/>
      <c r="S799" s="144"/>
      <c r="T799" s="144"/>
      <c r="U799" s="144"/>
      <c r="V799" s="144"/>
      <c r="W799" s="144"/>
      <c r="X799" s="144"/>
      <c r="Y799" s="144"/>
      <c r="Z799" s="144"/>
      <c r="AA799" s="144"/>
      <c r="AB799" s="144"/>
      <c r="AC799" s="144"/>
      <c r="AD799" s="144"/>
      <c r="AE799" s="144"/>
      <c r="AF799" s="144"/>
    </row>
    <row r="800" ht="16.5" customHeight="1">
      <c r="A800" s="144"/>
      <c r="B800" s="144"/>
      <c r="C800" s="144"/>
      <c r="D800" s="144"/>
      <c r="E800" s="144"/>
      <c r="F800" s="144"/>
      <c r="G800" s="144"/>
      <c r="H800" s="144"/>
      <c r="I800" s="496"/>
      <c r="J800" s="496"/>
      <c r="K800" s="496"/>
      <c r="L800" s="496"/>
      <c r="M800" s="144"/>
      <c r="N800" s="144"/>
      <c r="O800" s="144"/>
      <c r="P800" s="144"/>
      <c r="Q800" s="144"/>
      <c r="R800" s="144"/>
      <c r="S800" s="144"/>
      <c r="T800" s="144"/>
      <c r="U800" s="144"/>
      <c r="V800" s="144"/>
      <c r="W800" s="144"/>
      <c r="X800" s="144"/>
      <c r="Y800" s="144"/>
      <c r="Z800" s="144"/>
      <c r="AA800" s="144"/>
      <c r="AB800" s="144"/>
      <c r="AC800" s="144"/>
      <c r="AD800" s="144"/>
      <c r="AE800" s="144"/>
      <c r="AF800" s="144"/>
    </row>
    <row r="801" ht="16.5" customHeight="1">
      <c r="A801" s="144"/>
      <c r="B801" s="144"/>
      <c r="C801" s="144"/>
      <c r="D801" s="144"/>
      <c r="E801" s="144"/>
      <c r="F801" s="144"/>
      <c r="G801" s="144"/>
      <c r="H801" s="144"/>
      <c r="I801" s="496"/>
      <c r="J801" s="496"/>
      <c r="K801" s="496"/>
      <c r="L801" s="496"/>
      <c r="M801" s="144"/>
      <c r="N801" s="144"/>
      <c r="O801" s="144"/>
      <c r="P801" s="144"/>
      <c r="Q801" s="144"/>
      <c r="R801" s="144"/>
      <c r="S801" s="144"/>
      <c r="T801" s="144"/>
      <c r="U801" s="144"/>
      <c r="V801" s="144"/>
      <c r="W801" s="144"/>
      <c r="X801" s="144"/>
      <c r="Y801" s="144"/>
      <c r="Z801" s="144"/>
      <c r="AA801" s="144"/>
      <c r="AB801" s="144"/>
      <c r="AC801" s="144"/>
      <c r="AD801" s="144"/>
      <c r="AE801" s="144"/>
      <c r="AF801" s="144"/>
    </row>
    <row r="802" ht="16.5" customHeight="1">
      <c r="A802" s="144"/>
      <c r="B802" s="144"/>
      <c r="C802" s="144"/>
      <c r="D802" s="144"/>
      <c r="E802" s="144"/>
      <c r="F802" s="144"/>
      <c r="G802" s="144"/>
      <c r="H802" s="144"/>
      <c r="I802" s="496"/>
      <c r="J802" s="496"/>
      <c r="K802" s="496"/>
      <c r="L802" s="496"/>
      <c r="M802" s="144"/>
      <c r="N802" s="144"/>
      <c r="O802" s="144"/>
      <c r="P802" s="144"/>
      <c r="Q802" s="144"/>
      <c r="R802" s="144"/>
      <c r="S802" s="144"/>
      <c r="T802" s="144"/>
      <c r="U802" s="144"/>
      <c r="V802" s="144"/>
      <c r="W802" s="144"/>
      <c r="X802" s="144"/>
      <c r="Y802" s="144"/>
      <c r="Z802" s="144"/>
      <c r="AA802" s="144"/>
      <c r="AB802" s="144"/>
      <c r="AC802" s="144"/>
      <c r="AD802" s="144"/>
      <c r="AE802" s="144"/>
      <c r="AF802" s="144"/>
    </row>
    <row r="803" ht="16.5" customHeight="1">
      <c r="A803" s="144"/>
      <c r="B803" s="144"/>
      <c r="C803" s="144"/>
      <c r="D803" s="144"/>
      <c r="E803" s="144"/>
      <c r="F803" s="144"/>
      <c r="G803" s="144"/>
      <c r="H803" s="144"/>
      <c r="I803" s="496"/>
      <c r="J803" s="496"/>
      <c r="K803" s="496"/>
      <c r="L803" s="496"/>
      <c r="M803" s="144"/>
      <c r="N803" s="144"/>
      <c r="O803" s="144"/>
      <c r="P803" s="144"/>
      <c r="Q803" s="144"/>
      <c r="R803" s="144"/>
      <c r="S803" s="144"/>
      <c r="T803" s="144"/>
      <c r="U803" s="144"/>
      <c r="V803" s="144"/>
      <c r="W803" s="144"/>
      <c r="X803" s="144"/>
      <c r="Y803" s="144"/>
      <c r="Z803" s="144"/>
      <c r="AA803" s="144"/>
      <c r="AB803" s="144"/>
      <c r="AC803" s="144"/>
      <c r="AD803" s="144"/>
      <c r="AE803" s="144"/>
      <c r="AF803" s="144"/>
    </row>
    <row r="804" ht="16.5" customHeight="1">
      <c r="A804" s="144"/>
      <c r="B804" s="144"/>
      <c r="C804" s="144"/>
      <c r="D804" s="144"/>
      <c r="E804" s="144"/>
      <c r="F804" s="144"/>
      <c r="G804" s="144"/>
      <c r="H804" s="144"/>
      <c r="I804" s="496"/>
      <c r="J804" s="496"/>
      <c r="K804" s="496"/>
      <c r="L804" s="496"/>
      <c r="M804" s="144"/>
      <c r="N804" s="144"/>
      <c r="O804" s="144"/>
      <c r="P804" s="144"/>
      <c r="Q804" s="144"/>
      <c r="R804" s="144"/>
      <c r="S804" s="144"/>
      <c r="T804" s="144"/>
      <c r="U804" s="144"/>
      <c r="V804" s="144"/>
      <c r="W804" s="144"/>
      <c r="X804" s="144"/>
      <c r="Y804" s="144"/>
      <c r="Z804" s="144"/>
      <c r="AA804" s="144"/>
      <c r="AB804" s="144"/>
      <c r="AC804" s="144"/>
      <c r="AD804" s="144"/>
      <c r="AE804" s="144"/>
      <c r="AF804" s="144"/>
    </row>
    <row r="805" ht="16.5" customHeight="1">
      <c r="A805" s="144"/>
      <c r="B805" s="144"/>
      <c r="C805" s="144"/>
      <c r="D805" s="144"/>
      <c r="E805" s="144"/>
      <c r="F805" s="144"/>
      <c r="G805" s="144"/>
      <c r="H805" s="144"/>
      <c r="I805" s="496"/>
      <c r="J805" s="496"/>
      <c r="K805" s="496"/>
      <c r="L805" s="496"/>
      <c r="M805" s="144"/>
      <c r="N805" s="144"/>
      <c r="O805" s="144"/>
      <c r="P805" s="144"/>
      <c r="Q805" s="144"/>
      <c r="R805" s="144"/>
      <c r="S805" s="144"/>
      <c r="T805" s="144"/>
      <c r="U805" s="144"/>
      <c r="V805" s="144"/>
      <c r="W805" s="144"/>
      <c r="X805" s="144"/>
      <c r="Y805" s="144"/>
      <c r="Z805" s="144"/>
      <c r="AA805" s="144"/>
      <c r="AB805" s="144"/>
      <c r="AC805" s="144"/>
      <c r="AD805" s="144"/>
      <c r="AE805" s="144"/>
      <c r="AF805" s="144"/>
    </row>
    <row r="806" ht="16.5" customHeight="1">
      <c r="A806" s="144"/>
      <c r="B806" s="144"/>
      <c r="C806" s="144"/>
      <c r="D806" s="144"/>
      <c r="E806" s="144"/>
      <c r="F806" s="144"/>
      <c r="G806" s="144"/>
      <c r="H806" s="144"/>
      <c r="I806" s="496"/>
      <c r="J806" s="496"/>
      <c r="K806" s="496"/>
      <c r="L806" s="496"/>
      <c r="M806" s="144"/>
      <c r="N806" s="144"/>
      <c r="O806" s="144"/>
      <c r="P806" s="144"/>
      <c r="Q806" s="144"/>
      <c r="R806" s="144"/>
      <c r="S806" s="144"/>
      <c r="T806" s="144"/>
      <c r="U806" s="144"/>
      <c r="V806" s="144"/>
      <c r="W806" s="144"/>
      <c r="X806" s="144"/>
      <c r="Y806" s="144"/>
      <c r="Z806" s="144"/>
      <c r="AA806" s="144"/>
      <c r="AB806" s="144"/>
      <c r="AC806" s="144"/>
      <c r="AD806" s="144"/>
      <c r="AE806" s="144"/>
      <c r="AF806" s="144"/>
    </row>
    <row r="807" ht="16.5" customHeight="1">
      <c r="A807" s="144"/>
      <c r="B807" s="144"/>
      <c r="C807" s="144"/>
      <c r="D807" s="144"/>
      <c r="E807" s="144"/>
      <c r="F807" s="144"/>
      <c r="G807" s="144"/>
      <c r="H807" s="144"/>
      <c r="I807" s="496"/>
      <c r="J807" s="496"/>
      <c r="K807" s="496"/>
      <c r="L807" s="496"/>
      <c r="M807" s="144"/>
      <c r="N807" s="144"/>
      <c r="O807" s="144"/>
      <c r="P807" s="144"/>
      <c r="Q807" s="144"/>
      <c r="R807" s="144"/>
      <c r="S807" s="144"/>
      <c r="T807" s="144"/>
      <c r="U807" s="144"/>
      <c r="V807" s="144"/>
      <c r="W807" s="144"/>
      <c r="X807" s="144"/>
      <c r="Y807" s="144"/>
      <c r="Z807" s="144"/>
      <c r="AA807" s="144"/>
      <c r="AB807" s="144"/>
      <c r="AC807" s="144"/>
      <c r="AD807" s="144"/>
      <c r="AE807" s="144"/>
      <c r="AF807" s="144"/>
    </row>
    <row r="808" ht="16.5" customHeight="1">
      <c r="A808" s="144"/>
      <c r="B808" s="144"/>
      <c r="C808" s="144"/>
      <c r="D808" s="144"/>
      <c r="E808" s="144"/>
      <c r="F808" s="144"/>
      <c r="G808" s="144"/>
      <c r="H808" s="144"/>
      <c r="I808" s="496"/>
      <c r="J808" s="496"/>
      <c r="K808" s="496"/>
      <c r="L808" s="496"/>
      <c r="M808" s="144"/>
      <c r="N808" s="144"/>
      <c r="O808" s="144"/>
      <c r="P808" s="144"/>
      <c r="Q808" s="144"/>
      <c r="R808" s="144"/>
      <c r="S808" s="144"/>
      <c r="T808" s="144"/>
      <c r="U808" s="144"/>
      <c r="V808" s="144"/>
      <c r="W808" s="144"/>
      <c r="X808" s="144"/>
      <c r="Y808" s="144"/>
      <c r="Z808" s="144"/>
      <c r="AA808" s="144"/>
      <c r="AB808" s="144"/>
      <c r="AC808" s="144"/>
      <c r="AD808" s="144"/>
      <c r="AE808" s="144"/>
      <c r="AF808" s="144"/>
    </row>
    <row r="809" ht="16.5" customHeight="1">
      <c r="A809" s="144"/>
      <c r="B809" s="144"/>
      <c r="C809" s="144"/>
      <c r="D809" s="144"/>
      <c r="E809" s="144"/>
      <c r="F809" s="144"/>
      <c r="G809" s="144"/>
      <c r="H809" s="144"/>
      <c r="I809" s="496"/>
      <c r="J809" s="496"/>
      <c r="K809" s="496"/>
      <c r="L809" s="496"/>
      <c r="M809" s="144"/>
      <c r="N809" s="144"/>
      <c r="O809" s="144"/>
      <c r="P809" s="144"/>
      <c r="Q809" s="144"/>
      <c r="R809" s="144"/>
      <c r="S809" s="144"/>
      <c r="T809" s="144"/>
      <c r="U809" s="144"/>
      <c r="V809" s="144"/>
      <c r="W809" s="144"/>
      <c r="X809" s="144"/>
      <c r="Y809" s="144"/>
      <c r="Z809" s="144"/>
      <c r="AA809" s="144"/>
      <c r="AB809" s="144"/>
      <c r="AC809" s="144"/>
      <c r="AD809" s="144"/>
      <c r="AE809" s="144"/>
      <c r="AF809" s="144"/>
    </row>
    <row r="810" ht="16.5" customHeight="1">
      <c r="A810" s="144"/>
      <c r="B810" s="144"/>
      <c r="C810" s="144"/>
      <c r="D810" s="144"/>
      <c r="E810" s="144"/>
      <c r="F810" s="144"/>
      <c r="G810" s="144"/>
      <c r="H810" s="144"/>
      <c r="I810" s="496"/>
      <c r="J810" s="496"/>
      <c r="K810" s="496"/>
      <c r="L810" s="496"/>
      <c r="M810" s="144"/>
      <c r="N810" s="144"/>
      <c r="O810" s="144"/>
      <c r="P810" s="144"/>
      <c r="Q810" s="144"/>
      <c r="R810" s="144"/>
      <c r="S810" s="144"/>
      <c r="T810" s="144"/>
      <c r="U810" s="144"/>
      <c r="V810" s="144"/>
      <c r="W810" s="144"/>
      <c r="X810" s="144"/>
      <c r="Y810" s="144"/>
      <c r="Z810" s="144"/>
      <c r="AA810" s="144"/>
      <c r="AB810" s="144"/>
      <c r="AC810" s="144"/>
      <c r="AD810" s="144"/>
      <c r="AE810" s="144"/>
      <c r="AF810" s="144"/>
    </row>
    <row r="811" ht="16.5" customHeight="1">
      <c r="A811" s="144"/>
      <c r="B811" s="144"/>
      <c r="C811" s="144"/>
      <c r="D811" s="144"/>
      <c r="E811" s="144"/>
      <c r="F811" s="144"/>
      <c r="G811" s="144"/>
      <c r="H811" s="144"/>
      <c r="I811" s="496"/>
      <c r="J811" s="496"/>
      <c r="K811" s="496"/>
      <c r="L811" s="496"/>
      <c r="M811" s="144"/>
      <c r="N811" s="144"/>
      <c r="O811" s="144"/>
      <c r="P811" s="144"/>
      <c r="Q811" s="144"/>
      <c r="R811" s="144"/>
      <c r="S811" s="144"/>
      <c r="T811" s="144"/>
      <c r="U811" s="144"/>
      <c r="V811" s="144"/>
      <c r="W811" s="144"/>
      <c r="X811" s="144"/>
      <c r="Y811" s="144"/>
      <c r="Z811" s="144"/>
      <c r="AA811" s="144"/>
      <c r="AB811" s="144"/>
      <c r="AC811" s="144"/>
      <c r="AD811" s="144"/>
      <c r="AE811" s="144"/>
      <c r="AF811" s="144"/>
    </row>
    <row r="812" ht="16.5" customHeight="1">
      <c r="A812" s="144"/>
      <c r="B812" s="144"/>
      <c r="C812" s="144"/>
      <c r="D812" s="144"/>
      <c r="E812" s="144"/>
      <c r="F812" s="144"/>
      <c r="G812" s="144"/>
      <c r="H812" s="144"/>
      <c r="I812" s="496"/>
      <c r="J812" s="496"/>
      <c r="K812" s="496"/>
      <c r="L812" s="496"/>
      <c r="M812" s="144"/>
      <c r="N812" s="144"/>
      <c r="O812" s="144"/>
      <c r="P812" s="144"/>
      <c r="Q812" s="144"/>
      <c r="R812" s="144"/>
      <c r="S812" s="144"/>
      <c r="T812" s="144"/>
      <c r="U812" s="144"/>
      <c r="V812" s="144"/>
      <c r="W812" s="144"/>
      <c r="X812" s="144"/>
      <c r="Y812" s="144"/>
      <c r="Z812" s="144"/>
      <c r="AA812" s="144"/>
      <c r="AB812" s="144"/>
      <c r="AC812" s="144"/>
      <c r="AD812" s="144"/>
      <c r="AE812" s="144"/>
      <c r="AF812" s="144"/>
    </row>
    <row r="813" ht="16.5" customHeight="1">
      <c r="A813" s="144"/>
      <c r="B813" s="144"/>
      <c r="C813" s="144"/>
      <c r="D813" s="144"/>
      <c r="E813" s="144"/>
      <c r="F813" s="144"/>
      <c r="G813" s="144"/>
      <c r="H813" s="144"/>
      <c r="I813" s="496"/>
      <c r="J813" s="496"/>
      <c r="K813" s="496"/>
      <c r="L813" s="496"/>
      <c r="M813" s="144"/>
      <c r="N813" s="144"/>
      <c r="O813" s="144"/>
      <c r="P813" s="144"/>
      <c r="Q813" s="144"/>
      <c r="R813" s="144"/>
      <c r="S813" s="144"/>
      <c r="T813" s="144"/>
      <c r="U813" s="144"/>
      <c r="V813" s="144"/>
      <c r="W813" s="144"/>
      <c r="X813" s="144"/>
      <c r="Y813" s="144"/>
      <c r="Z813" s="144"/>
      <c r="AA813" s="144"/>
      <c r="AB813" s="144"/>
      <c r="AC813" s="144"/>
      <c r="AD813" s="144"/>
      <c r="AE813" s="144"/>
      <c r="AF813" s="144"/>
    </row>
    <row r="814" ht="16.5" customHeight="1">
      <c r="A814" s="144"/>
      <c r="B814" s="144"/>
      <c r="C814" s="144"/>
      <c r="D814" s="144"/>
      <c r="E814" s="144"/>
      <c r="F814" s="144"/>
      <c r="G814" s="144"/>
      <c r="H814" s="144"/>
      <c r="I814" s="496"/>
      <c r="J814" s="496"/>
      <c r="K814" s="496"/>
      <c r="L814" s="496"/>
      <c r="M814" s="144"/>
      <c r="N814" s="144"/>
      <c r="O814" s="144"/>
      <c r="P814" s="144"/>
      <c r="Q814" s="144"/>
      <c r="R814" s="144"/>
      <c r="S814" s="144"/>
      <c r="T814" s="144"/>
      <c r="U814" s="144"/>
      <c r="V814" s="144"/>
      <c r="W814" s="144"/>
      <c r="X814" s="144"/>
      <c r="Y814" s="144"/>
      <c r="Z814" s="144"/>
      <c r="AA814" s="144"/>
      <c r="AB814" s="144"/>
      <c r="AC814" s="144"/>
      <c r="AD814" s="144"/>
      <c r="AE814" s="144"/>
      <c r="AF814" s="144"/>
    </row>
    <row r="815" ht="16.5" customHeight="1">
      <c r="A815" s="144"/>
      <c r="B815" s="144"/>
      <c r="C815" s="144"/>
      <c r="D815" s="144"/>
      <c r="E815" s="144"/>
      <c r="F815" s="144"/>
      <c r="G815" s="144"/>
      <c r="H815" s="144"/>
      <c r="I815" s="496"/>
      <c r="J815" s="496"/>
      <c r="K815" s="496"/>
      <c r="L815" s="496"/>
      <c r="M815" s="144"/>
      <c r="N815" s="144"/>
      <c r="O815" s="144"/>
      <c r="P815" s="144"/>
      <c r="Q815" s="144"/>
      <c r="R815" s="144"/>
      <c r="S815" s="144"/>
      <c r="T815" s="144"/>
      <c r="U815" s="144"/>
      <c r="V815" s="144"/>
      <c r="W815" s="144"/>
      <c r="X815" s="144"/>
      <c r="Y815" s="144"/>
      <c r="Z815" s="144"/>
      <c r="AA815" s="144"/>
      <c r="AB815" s="144"/>
      <c r="AC815" s="144"/>
      <c r="AD815" s="144"/>
      <c r="AE815" s="144"/>
      <c r="AF815" s="144"/>
    </row>
    <row r="816" ht="16.5" customHeight="1">
      <c r="A816" s="144"/>
      <c r="B816" s="144"/>
      <c r="C816" s="144"/>
      <c r="D816" s="144"/>
      <c r="E816" s="144"/>
      <c r="F816" s="144"/>
      <c r="G816" s="144"/>
      <c r="H816" s="144"/>
      <c r="I816" s="496"/>
      <c r="J816" s="496"/>
      <c r="K816" s="496"/>
      <c r="L816" s="496"/>
      <c r="M816" s="144"/>
      <c r="N816" s="144"/>
      <c r="O816" s="144"/>
      <c r="P816" s="144"/>
      <c r="Q816" s="144"/>
      <c r="R816" s="144"/>
      <c r="S816" s="144"/>
      <c r="T816" s="144"/>
      <c r="U816" s="144"/>
      <c r="V816" s="144"/>
      <c r="W816" s="144"/>
      <c r="X816" s="144"/>
      <c r="Y816" s="144"/>
      <c r="Z816" s="144"/>
      <c r="AA816" s="144"/>
      <c r="AB816" s="144"/>
      <c r="AC816" s="144"/>
      <c r="AD816" s="144"/>
      <c r="AE816" s="144"/>
      <c r="AF816" s="144"/>
    </row>
    <row r="817" ht="16.5" customHeight="1">
      <c r="A817" s="144"/>
      <c r="B817" s="144"/>
      <c r="C817" s="144"/>
      <c r="D817" s="144"/>
      <c r="E817" s="144"/>
      <c r="F817" s="144"/>
      <c r="G817" s="144"/>
      <c r="H817" s="144"/>
      <c r="I817" s="496"/>
      <c r="J817" s="496"/>
      <c r="K817" s="496"/>
      <c r="L817" s="496"/>
      <c r="M817" s="144"/>
      <c r="N817" s="144"/>
      <c r="O817" s="144"/>
      <c r="P817" s="144"/>
      <c r="Q817" s="144"/>
      <c r="R817" s="144"/>
      <c r="S817" s="144"/>
      <c r="T817" s="144"/>
      <c r="U817" s="144"/>
      <c r="V817" s="144"/>
      <c r="W817" s="144"/>
      <c r="X817" s="144"/>
      <c r="Y817" s="144"/>
      <c r="Z817" s="144"/>
      <c r="AA817" s="144"/>
      <c r="AB817" s="144"/>
      <c r="AC817" s="144"/>
      <c r="AD817" s="144"/>
      <c r="AE817" s="144"/>
      <c r="AF817" s="144"/>
    </row>
    <row r="818" ht="16.5" customHeight="1">
      <c r="A818" s="144"/>
      <c r="B818" s="144"/>
      <c r="C818" s="144"/>
      <c r="D818" s="144"/>
      <c r="E818" s="144"/>
      <c r="F818" s="144"/>
      <c r="G818" s="144"/>
      <c r="H818" s="144"/>
      <c r="I818" s="496"/>
      <c r="J818" s="496"/>
      <c r="K818" s="496"/>
      <c r="L818" s="496"/>
      <c r="M818" s="144"/>
      <c r="N818" s="144"/>
      <c r="O818" s="144"/>
      <c r="P818" s="144"/>
      <c r="Q818" s="144"/>
      <c r="R818" s="144"/>
      <c r="S818" s="144"/>
      <c r="T818" s="144"/>
      <c r="U818" s="144"/>
      <c r="V818" s="144"/>
      <c r="W818" s="144"/>
      <c r="X818" s="144"/>
      <c r="Y818" s="144"/>
      <c r="Z818" s="144"/>
      <c r="AA818" s="144"/>
      <c r="AB818" s="144"/>
      <c r="AC818" s="144"/>
      <c r="AD818" s="144"/>
      <c r="AE818" s="144"/>
      <c r="AF818" s="144"/>
    </row>
    <row r="819" ht="16.5" customHeight="1">
      <c r="A819" s="144"/>
      <c r="B819" s="144"/>
      <c r="C819" s="144"/>
      <c r="D819" s="144"/>
      <c r="E819" s="144"/>
      <c r="F819" s="144"/>
      <c r="G819" s="144"/>
      <c r="H819" s="144"/>
      <c r="I819" s="496"/>
      <c r="J819" s="496"/>
      <c r="K819" s="496"/>
      <c r="L819" s="496"/>
      <c r="M819" s="144"/>
      <c r="N819" s="144"/>
      <c r="O819" s="144"/>
      <c r="P819" s="144"/>
      <c r="Q819" s="144"/>
      <c r="R819" s="144"/>
      <c r="S819" s="144"/>
      <c r="T819" s="144"/>
      <c r="U819" s="144"/>
      <c r="V819" s="144"/>
      <c r="W819" s="144"/>
      <c r="X819" s="144"/>
      <c r="Y819" s="144"/>
      <c r="Z819" s="144"/>
      <c r="AA819" s="144"/>
      <c r="AB819" s="144"/>
      <c r="AC819" s="144"/>
      <c r="AD819" s="144"/>
      <c r="AE819" s="144"/>
      <c r="AF819" s="144"/>
    </row>
    <row r="820" ht="16.5" customHeight="1">
      <c r="A820" s="144"/>
      <c r="B820" s="144"/>
      <c r="C820" s="144"/>
      <c r="D820" s="144"/>
      <c r="E820" s="144"/>
      <c r="F820" s="144"/>
      <c r="G820" s="144"/>
      <c r="H820" s="144"/>
      <c r="I820" s="496"/>
      <c r="J820" s="496"/>
      <c r="K820" s="496"/>
      <c r="L820" s="496"/>
      <c r="M820" s="144"/>
      <c r="N820" s="144"/>
      <c r="O820" s="144"/>
      <c r="P820" s="144"/>
      <c r="Q820" s="144"/>
      <c r="R820" s="144"/>
      <c r="S820" s="144"/>
      <c r="T820" s="144"/>
      <c r="U820" s="144"/>
      <c r="V820" s="144"/>
      <c r="W820" s="144"/>
      <c r="X820" s="144"/>
      <c r="Y820" s="144"/>
      <c r="Z820" s="144"/>
      <c r="AA820" s="144"/>
      <c r="AB820" s="144"/>
      <c r="AC820" s="144"/>
      <c r="AD820" s="144"/>
      <c r="AE820" s="144"/>
      <c r="AF820" s="144"/>
    </row>
    <row r="821" ht="16.5" customHeight="1">
      <c r="A821" s="144"/>
      <c r="B821" s="144"/>
      <c r="C821" s="144"/>
      <c r="D821" s="144"/>
      <c r="E821" s="144"/>
      <c r="F821" s="144"/>
      <c r="G821" s="144"/>
      <c r="H821" s="144"/>
      <c r="I821" s="496"/>
      <c r="J821" s="496"/>
      <c r="K821" s="496"/>
      <c r="L821" s="496"/>
      <c r="M821" s="144"/>
      <c r="N821" s="144"/>
      <c r="O821" s="144"/>
      <c r="P821" s="144"/>
      <c r="Q821" s="144"/>
      <c r="R821" s="144"/>
      <c r="S821" s="144"/>
      <c r="T821" s="144"/>
      <c r="U821" s="144"/>
      <c r="V821" s="144"/>
      <c r="W821" s="144"/>
      <c r="X821" s="144"/>
      <c r="Y821" s="144"/>
      <c r="Z821" s="144"/>
      <c r="AA821" s="144"/>
      <c r="AB821" s="144"/>
      <c r="AC821" s="144"/>
      <c r="AD821" s="144"/>
      <c r="AE821" s="144"/>
      <c r="AF821" s="144"/>
    </row>
    <row r="822" ht="16.5" customHeight="1">
      <c r="A822" s="144"/>
      <c r="B822" s="144"/>
      <c r="C822" s="144"/>
      <c r="D822" s="144"/>
      <c r="E822" s="144"/>
      <c r="F822" s="144"/>
      <c r="G822" s="144"/>
      <c r="H822" s="144"/>
      <c r="I822" s="496"/>
      <c r="J822" s="496"/>
      <c r="K822" s="496"/>
      <c r="L822" s="496"/>
      <c r="M822" s="144"/>
      <c r="N822" s="144"/>
      <c r="O822" s="144"/>
      <c r="P822" s="144"/>
      <c r="Q822" s="144"/>
      <c r="R822" s="144"/>
      <c r="S822" s="144"/>
      <c r="T822" s="144"/>
      <c r="U822" s="144"/>
      <c r="V822" s="144"/>
      <c r="W822" s="144"/>
      <c r="X822" s="144"/>
      <c r="Y822" s="144"/>
      <c r="Z822" s="144"/>
      <c r="AA822" s="144"/>
      <c r="AB822" s="144"/>
      <c r="AC822" s="144"/>
      <c r="AD822" s="144"/>
      <c r="AE822" s="144"/>
      <c r="AF822" s="144"/>
    </row>
    <row r="823" ht="16.5" customHeight="1">
      <c r="A823" s="144"/>
      <c r="B823" s="144"/>
      <c r="C823" s="144"/>
      <c r="D823" s="144"/>
      <c r="E823" s="144"/>
      <c r="F823" s="144"/>
      <c r="G823" s="144"/>
      <c r="H823" s="144"/>
      <c r="I823" s="496"/>
      <c r="J823" s="496"/>
      <c r="K823" s="496"/>
      <c r="L823" s="496"/>
      <c r="M823" s="144"/>
      <c r="N823" s="144"/>
      <c r="O823" s="144"/>
      <c r="P823" s="144"/>
      <c r="Q823" s="144"/>
      <c r="R823" s="144"/>
      <c r="S823" s="144"/>
      <c r="T823" s="144"/>
      <c r="U823" s="144"/>
      <c r="V823" s="144"/>
      <c r="W823" s="144"/>
      <c r="X823" s="144"/>
      <c r="Y823" s="144"/>
      <c r="Z823" s="144"/>
      <c r="AA823" s="144"/>
      <c r="AB823" s="144"/>
      <c r="AC823" s="144"/>
      <c r="AD823" s="144"/>
      <c r="AE823" s="144"/>
      <c r="AF823" s="144"/>
    </row>
    <row r="824" ht="16.5" customHeight="1">
      <c r="A824" s="144"/>
      <c r="B824" s="144"/>
      <c r="C824" s="144"/>
      <c r="D824" s="144"/>
      <c r="E824" s="144"/>
      <c r="F824" s="144"/>
      <c r="G824" s="144"/>
      <c r="H824" s="144"/>
      <c r="I824" s="496"/>
      <c r="J824" s="496"/>
      <c r="K824" s="496"/>
      <c r="L824" s="496"/>
      <c r="M824" s="144"/>
      <c r="N824" s="144"/>
      <c r="O824" s="144"/>
      <c r="P824" s="144"/>
      <c r="Q824" s="144"/>
      <c r="R824" s="144"/>
      <c r="S824" s="144"/>
      <c r="T824" s="144"/>
      <c r="U824" s="144"/>
      <c r="V824" s="144"/>
      <c r="W824" s="144"/>
      <c r="X824" s="144"/>
      <c r="Y824" s="144"/>
      <c r="Z824" s="144"/>
      <c r="AA824" s="144"/>
      <c r="AB824" s="144"/>
      <c r="AC824" s="144"/>
      <c r="AD824" s="144"/>
      <c r="AE824" s="144"/>
      <c r="AF824" s="144"/>
    </row>
    <row r="825" ht="16.5" customHeight="1">
      <c r="A825" s="144"/>
      <c r="B825" s="144"/>
      <c r="C825" s="144"/>
      <c r="D825" s="144"/>
      <c r="E825" s="144"/>
      <c r="F825" s="144"/>
      <c r="G825" s="144"/>
      <c r="H825" s="144"/>
      <c r="I825" s="496"/>
      <c r="J825" s="496"/>
      <c r="K825" s="496"/>
      <c r="L825" s="496"/>
      <c r="M825" s="144"/>
      <c r="N825" s="144"/>
      <c r="O825" s="144"/>
      <c r="P825" s="144"/>
      <c r="Q825" s="144"/>
      <c r="R825" s="144"/>
      <c r="S825" s="144"/>
      <c r="T825" s="144"/>
      <c r="U825" s="144"/>
      <c r="V825" s="144"/>
      <c r="W825" s="144"/>
      <c r="X825" s="144"/>
      <c r="Y825" s="144"/>
      <c r="Z825" s="144"/>
      <c r="AA825" s="144"/>
      <c r="AB825" s="144"/>
      <c r="AC825" s="144"/>
      <c r="AD825" s="144"/>
      <c r="AE825" s="144"/>
      <c r="AF825" s="144"/>
    </row>
    <row r="826" ht="16.5" customHeight="1">
      <c r="A826" s="144"/>
      <c r="B826" s="144"/>
      <c r="C826" s="144"/>
      <c r="D826" s="144"/>
      <c r="E826" s="144"/>
      <c r="F826" s="144"/>
      <c r="G826" s="144"/>
      <c r="H826" s="144"/>
      <c r="I826" s="496"/>
      <c r="J826" s="496"/>
      <c r="K826" s="496"/>
      <c r="L826" s="496"/>
      <c r="M826" s="144"/>
      <c r="N826" s="144"/>
      <c r="O826" s="144"/>
      <c r="P826" s="144"/>
      <c r="Q826" s="144"/>
      <c r="R826" s="144"/>
      <c r="S826" s="144"/>
      <c r="T826" s="144"/>
      <c r="U826" s="144"/>
      <c r="V826" s="144"/>
      <c r="W826" s="144"/>
      <c r="X826" s="144"/>
      <c r="Y826" s="144"/>
      <c r="Z826" s="144"/>
      <c r="AA826" s="144"/>
      <c r="AB826" s="144"/>
      <c r="AC826" s="144"/>
      <c r="AD826" s="144"/>
      <c r="AE826" s="144"/>
      <c r="AF826" s="144"/>
    </row>
    <row r="827" ht="16.5" customHeight="1">
      <c r="A827" s="144"/>
      <c r="B827" s="144"/>
      <c r="C827" s="144"/>
      <c r="D827" s="144"/>
      <c r="E827" s="144"/>
      <c r="F827" s="144"/>
      <c r="G827" s="144"/>
      <c r="H827" s="144"/>
      <c r="I827" s="496"/>
      <c r="J827" s="496"/>
      <c r="K827" s="496"/>
      <c r="L827" s="496"/>
      <c r="M827" s="144"/>
      <c r="N827" s="144"/>
      <c r="O827" s="144"/>
      <c r="P827" s="144"/>
      <c r="Q827" s="144"/>
      <c r="R827" s="144"/>
      <c r="S827" s="144"/>
      <c r="T827" s="144"/>
      <c r="U827" s="144"/>
      <c r="V827" s="144"/>
      <c r="W827" s="144"/>
      <c r="X827" s="144"/>
      <c r="Y827" s="144"/>
      <c r="Z827" s="144"/>
      <c r="AA827" s="144"/>
      <c r="AB827" s="144"/>
      <c r="AC827" s="144"/>
      <c r="AD827" s="144"/>
      <c r="AE827" s="144"/>
      <c r="AF827" s="144"/>
    </row>
    <row r="828" ht="16.5" customHeight="1">
      <c r="A828" s="144"/>
      <c r="B828" s="144"/>
      <c r="C828" s="144"/>
      <c r="D828" s="144"/>
      <c r="E828" s="144"/>
      <c r="F828" s="144"/>
      <c r="G828" s="144"/>
      <c r="H828" s="144"/>
      <c r="I828" s="496"/>
      <c r="J828" s="496"/>
      <c r="K828" s="496"/>
      <c r="L828" s="496"/>
      <c r="M828" s="144"/>
      <c r="N828" s="144"/>
      <c r="O828" s="144"/>
      <c r="P828" s="144"/>
      <c r="Q828" s="144"/>
      <c r="R828" s="144"/>
      <c r="S828" s="144"/>
      <c r="T828" s="144"/>
      <c r="U828" s="144"/>
      <c r="V828" s="144"/>
      <c r="W828" s="144"/>
      <c r="X828" s="144"/>
      <c r="Y828" s="144"/>
      <c r="Z828" s="144"/>
      <c r="AA828" s="144"/>
      <c r="AB828" s="144"/>
      <c r="AC828" s="144"/>
      <c r="AD828" s="144"/>
      <c r="AE828" s="144"/>
      <c r="AF828" s="144"/>
    </row>
    <row r="829" ht="16.5" customHeight="1">
      <c r="A829" s="144"/>
      <c r="B829" s="144"/>
      <c r="C829" s="144"/>
      <c r="D829" s="144"/>
      <c r="E829" s="144"/>
      <c r="F829" s="144"/>
      <c r="G829" s="144"/>
      <c r="H829" s="144"/>
      <c r="I829" s="496"/>
      <c r="J829" s="496"/>
      <c r="K829" s="496"/>
      <c r="L829" s="496"/>
      <c r="M829" s="144"/>
      <c r="N829" s="144"/>
      <c r="O829" s="144"/>
      <c r="P829" s="144"/>
      <c r="Q829" s="144"/>
      <c r="R829" s="144"/>
      <c r="S829" s="144"/>
      <c r="T829" s="144"/>
      <c r="U829" s="144"/>
      <c r="V829" s="144"/>
      <c r="W829" s="144"/>
      <c r="X829" s="144"/>
      <c r="Y829" s="144"/>
      <c r="Z829" s="144"/>
      <c r="AA829" s="144"/>
      <c r="AB829" s="144"/>
      <c r="AC829" s="144"/>
      <c r="AD829" s="144"/>
      <c r="AE829" s="144"/>
      <c r="AF829" s="144"/>
    </row>
    <row r="830" ht="16.5" customHeight="1">
      <c r="A830" s="144"/>
      <c r="B830" s="144"/>
      <c r="C830" s="144"/>
      <c r="D830" s="144"/>
      <c r="E830" s="144"/>
      <c r="F830" s="144"/>
      <c r="G830" s="144"/>
      <c r="H830" s="144"/>
      <c r="I830" s="496"/>
      <c r="J830" s="496"/>
      <c r="K830" s="496"/>
      <c r="L830" s="496"/>
      <c r="M830" s="144"/>
      <c r="N830" s="144"/>
      <c r="O830" s="144"/>
      <c r="P830" s="144"/>
      <c r="Q830" s="144"/>
      <c r="R830" s="144"/>
      <c r="S830" s="144"/>
      <c r="T830" s="144"/>
      <c r="U830" s="144"/>
      <c r="V830" s="144"/>
      <c r="W830" s="144"/>
      <c r="X830" s="144"/>
      <c r="Y830" s="144"/>
      <c r="Z830" s="144"/>
      <c r="AA830" s="144"/>
      <c r="AB830" s="144"/>
      <c r="AC830" s="144"/>
      <c r="AD830" s="144"/>
      <c r="AE830" s="144"/>
      <c r="AF830" s="144"/>
    </row>
    <row r="831" ht="16.5" customHeight="1">
      <c r="A831" s="144"/>
      <c r="B831" s="144"/>
      <c r="C831" s="144"/>
      <c r="D831" s="144"/>
      <c r="E831" s="144"/>
      <c r="F831" s="144"/>
      <c r="G831" s="144"/>
      <c r="H831" s="144"/>
      <c r="I831" s="496"/>
      <c r="J831" s="496"/>
      <c r="K831" s="496"/>
      <c r="L831" s="496"/>
      <c r="M831" s="144"/>
      <c r="N831" s="144"/>
      <c r="O831" s="144"/>
      <c r="P831" s="144"/>
      <c r="Q831" s="144"/>
      <c r="R831" s="144"/>
      <c r="S831" s="144"/>
      <c r="T831" s="144"/>
      <c r="U831" s="144"/>
      <c r="V831" s="144"/>
      <c r="W831" s="144"/>
      <c r="X831" s="144"/>
      <c r="Y831" s="144"/>
      <c r="Z831" s="144"/>
      <c r="AA831" s="144"/>
      <c r="AB831" s="144"/>
      <c r="AC831" s="144"/>
      <c r="AD831" s="144"/>
      <c r="AE831" s="144"/>
      <c r="AF831" s="144"/>
    </row>
    <row r="832" ht="16.5" customHeight="1">
      <c r="A832" s="144"/>
      <c r="B832" s="144"/>
      <c r="C832" s="144"/>
      <c r="D832" s="144"/>
      <c r="E832" s="144"/>
      <c r="F832" s="144"/>
      <c r="G832" s="144"/>
      <c r="H832" s="144"/>
      <c r="I832" s="496"/>
      <c r="J832" s="496"/>
      <c r="K832" s="496"/>
      <c r="L832" s="496"/>
      <c r="M832" s="144"/>
      <c r="N832" s="144"/>
      <c r="O832" s="144"/>
      <c r="P832" s="144"/>
      <c r="Q832" s="144"/>
      <c r="R832" s="144"/>
      <c r="S832" s="144"/>
      <c r="T832" s="144"/>
      <c r="U832" s="144"/>
      <c r="V832" s="144"/>
      <c r="W832" s="144"/>
      <c r="X832" s="144"/>
      <c r="Y832" s="144"/>
      <c r="Z832" s="144"/>
      <c r="AA832" s="144"/>
      <c r="AB832" s="144"/>
      <c r="AC832" s="144"/>
      <c r="AD832" s="144"/>
      <c r="AE832" s="144"/>
      <c r="AF832" s="144"/>
    </row>
    <row r="833" ht="16.5" customHeight="1">
      <c r="A833" s="144"/>
      <c r="B833" s="144"/>
      <c r="C833" s="144"/>
      <c r="D833" s="144"/>
      <c r="E833" s="144"/>
      <c r="F833" s="144"/>
      <c r="G833" s="144"/>
      <c r="H833" s="144"/>
      <c r="I833" s="496"/>
      <c r="J833" s="496"/>
      <c r="K833" s="496"/>
      <c r="L833" s="496"/>
      <c r="M833" s="144"/>
      <c r="N833" s="144"/>
      <c r="O833" s="144"/>
      <c r="P833" s="144"/>
      <c r="Q833" s="144"/>
      <c r="R833" s="144"/>
      <c r="S833" s="144"/>
      <c r="T833" s="144"/>
      <c r="U833" s="144"/>
      <c r="V833" s="144"/>
      <c r="W833" s="144"/>
      <c r="X833" s="144"/>
      <c r="Y833" s="144"/>
      <c r="Z833" s="144"/>
      <c r="AA833" s="144"/>
      <c r="AB833" s="144"/>
      <c r="AC833" s="144"/>
      <c r="AD833" s="144"/>
      <c r="AE833" s="144"/>
      <c r="AF833" s="144"/>
    </row>
    <row r="834" ht="16.5" customHeight="1">
      <c r="A834" s="144"/>
      <c r="B834" s="144"/>
      <c r="C834" s="144"/>
      <c r="D834" s="144"/>
      <c r="E834" s="144"/>
      <c r="F834" s="144"/>
      <c r="G834" s="144"/>
      <c r="H834" s="144"/>
      <c r="I834" s="496"/>
      <c r="J834" s="496"/>
      <c r="K834" s="496"/>
      <c r="L834" s="496"/>
      <c r="M834" s="144"/>
      <c r="N834" s="144"/>
      <c r="O834" s="144"/>
      <c r="P834" s="144"/>
      <c r="Q834" s="144"/>
      <c r="R834" s="144"/>
      <c r="S834" s="144"/>
      <c r="T834" s="144"/>
      <c r="U834" s="144"/>
      <c r="V834" s="144"/>
      <c r="W834" s="144"/>
      <c r="X834" s="144"/>
      <c r="Y834" s="144"/>
      <c r="Z834" s="144"/>
      <c r="AA834" s="144"/>
      <c r="AB834" s="144"/>
      <c r="AC834" s="144"/>
      <c r="AD834" s="144"/>
      <c r="AE834" s="144"/>
      <c r="AF834" s="144"/>
    </row>
    <row r="835" ht="16.5" customHeight="1">
      <c r="A835" s="144"/>
      <c r="B835" s="144"/>
      <c r="C835" s="144"/>
      <c r="D835" s="144"/>
      <c r="E835" s="144"/>
      <c r="F835" s="144"/>
      <c r="G835" s="144"/>
      <c r="H835" s="144"/>
      <c r="I835" s="496"/>
      <c r="J835" s="496"/>
      <c r="K835" s="496"/>
      <c r="L835" s="496"/>
      <c r="M835" s="144"/>
      <c r="N835" s="144"/>
      <c r="O835" s="144"/>
      <c r="P835" s="144"/>
      <c r="Q835" s="144"/>
      <c r="R835" s="144"/>
      <c r="S835" s="144"/>
      <c r="T835" s="144"/>
      <c r="U835" s="144"/>
      <c r="V835" s="144"/>
      <c r="W835" s="144"/>
      <c r="X835" s="144"/>
      <c r="Y835" s="144"/>
      <c r="Z835" s="144"/>
      <c r="AA835" s="144"/>
      <c r="AB835" s="144"/>
      <c r="AC835" s="144"/>
      <c r="AD835" s="144"/>
      <c r="AE835" s="144"/>
      <c r="AF835" s="144"/>
    </row>
    <row r="836" ht="16.5" customHeight="1">
      <c r="A836" s="144"/>
      <c r="B836" s="144"/>
      <c r="C836" s="144"/>
      <c r="D836" s="144"/>
      <c r="E836" s="144"/>
      <c r="F836" s="144"/>
      <c r="G836" s="144"/>
      <c r="H836" s="144"/>
      <c r="I836" s="496"/>
      <c r="J836" s="496"/>
      <c r="K836" s="496"/>
      <c r="L836" s="496"/>
      <c r="M836" s="144"/>
      <c r="N836" s="144"/>
      <c r="O836" s="144"/>
      <c r="P836" s="144"/>
      <c r="Q836" s="144"/>
      <c r="R836" s="144"/>
      <c r="S836" s="144"/>
      <c r="T836" s="144"/>
      <c r="U836" s="144"/>
      <c r="V836" s="144"/>
      <c r="W836" s="144"/>
      <c r="X836" s="144"/>
      <c r="Y836" s="144"/>
      <c r="Z836" s="144"/>
      <c r="AA836" s="144"/>
      <c r="AB836" s="144"/>
      <c r="AC836" s="144"/>
      <c r="AD836" s="144"/>
      <c r="AE836" s="144"/>
      <c r="AF836" s="144"/>
    </row>
    <row r="837" ht="16.5" customHeight="1">
      <c r="A837" s="144"/>
      <c r="B837" s="144"/>
      <c r="C837" s="144"/>
      <c r="D837" s="144"/>
      <c r="E837" s="144"/>
      <c r="F837" s="144"/>
      <c r="G837" s="144"/>
      <c r="H837" s="144"/>
      <c r="I837" s="496"/>
      <c r="J837" s="496"/>
      <c r="K837" s="496"/>
      <c r="L837" s="496"/>
      <c r="M837" s="144"/>
      <c r="N837" s="144"/>
      <c r="O837" s="144"/>
      <c r="P837" s="144"/>
      <c r="Q837" s="144"/>
      <c r="R837" s="144"/>
      <c r="S837" s="144"/>
      <c r="T837" s="144"/>
      <c r="U837" s="144"/>
      <c r="V837" s="144"/>
      <c r="W837" s="144"/>
      <c r="X837" s="144"/>
      <c r="Y837" s="144"/>
      <c r="Z837" s="144"/>
      <c r="AA837" s="144"/>
      <c r="AB837" s="144"/>
      <c r="AC837" s="144"/>
      <c r="AD837" s="144"/>
      <c r="AE837" s="144"/>
      <c r="AF837" s="144"/>
    </row>
    <row r="838" ht="16.5" customHeight="1">
      <c r="A838" s="144"/>
      <c r="B838" s="144"/>
      <c r="C838" s="144"/>
      <c r="D838" s="144"/>
      <c r="E838" s="144"/>
      <c r="F838" s="144"/>
      <c r="G838" s="144"/>
      <c r="H838" s="144"/>
      <c r="I838" s="496"/>
      <c r="J838" s="496"/>
      <c r="K838" s="496"/>
      <c r="L838" s="496"/>
      <c r="M838" s="144"/>
      <c r="N838" s="144"/>
      <c r="O838" s="144"/>
      <c r="P838" s="144"/>
      <c r="Q838" s="144"/>
      <c r="R838" s="144"/>
      <c r="S838" s="144"/>
      <c r="T838" s="144"/>
      <c r="U838" s="144"/>
      <c r="V838" s="144"/>
      <c r="W838" s="144"/>
      <c r="X838" s="144"/>
      <c r="Y838" s="144"/>
      <c r="Z838" s="144"/>
      <c r="AA838" s="144"/>
      <c r="AB838" s="144"/>
      <c r="AC838" s="144"/>
      <c r="AD838" s="144"/>
      <c r="AE838" s="144"/>
      <c r="AF838" s="144"/>
    </row>
    <row r="839" ht="16.5" customHeight="1">
      <c r="A839" s="144"/>
      <c r="B839" s="144"/>
      <c r="C839" s="144"/>
      <c r="D839" s="144"/>
      <c r="E839" s="144"/>
      <c r="F839" s="144"/>
      <c r="G839" s="144"/>
      <c r="H839" s="144"/>
      <c r="I839" s="496"/>
      <c r="J839" s="496"/>
      <c r="K839" s="496"/>
      <c r="L839" s="496"/>
      <c r="M839" s="144"/>
      <c r="N839" s="144"/>
      <c r="O839" s="144"/>
      <c r="P839" s="144"/>
      <c r="Q839" s="144"/>
      <c r="R839" s="144"/>
      <c r="S839" s="144"/>
      <c r="T839" s="144"/>
      <c r="U839" s="144"/>
      <c r="V839" s="144"/>
      <c r="W839" s="144"/>
      <c r="X839" s="144"/>
      <c r="Y839" s="144"/>
      <c r="Z839" s="144"/>
      <c r="AA839" s="144"/>
      <c r="AB839" s="144"/>
      <c r="AC839" s="144"/>
      <c r="AD839" s="144"/>
      <c r="AE839" s="144"/>
      <c r="AF839" s="144"/>
    </row>
    <row r="840" ht="16.5" customHeight="1">
      <c r="A840" s="144"/>
      <c r="B840" s="144"/>
      <c r="C840" s="144"/>
      <c r="D840" s="144"/>
      <c r="E840" s="144"/>
      <c r="F840" s="144"/>
      <c r="G840" s="144"/>
      <c r="H840" s="144"/>
      <c r="I840" s="496"/>
      <c r="J840" s="496"/>
      <c r="K840" s="496"/>
      <c r="L840" s="496"/>
      <c r="M840" s="144"/>
      <c r="N840" s="144"/>
      <c r="O840" s="144"/>
      <c r="P840" s="144"/>
      <c r="Q840" s="144"/>
      <c r="R840" s="144"/>
      <c r="S840" s="144"/>
      <c r="T840" s="144"/>
      <c r="U840" s="144"/>
      <c r="V840" s="144"/>
      <c r="W840" s="144"/>
      <c r="X840" s="144"/>
      <c r="Y840" s="144"/>
      <c r="Z840" s="144"/>
      <c r="AA840" s="144"/>
      <c r="AB840" s="144"/>
      <c r="AC840" s="144"/>
      <c r="AD840" s="144"/>
      <c r="AE840" s="144"/>
      <c r="AF840" s="144"/>
    </row>
    <row r="841" ht="16.5" customHeight="1">
      <c r="A841" s="144"/>
      <c r="B841" s="144"/>
      <c r="C841" s="144"/>
      <c r="D841" s="144"/>
      <c r="E841" s="144"/>
      <c r="F841" s="144"/>
      <c r="G841" s="144"/>
      <c r="H841" s="144"/>
      <c r="I841" s="496"/>
      <c r="J841" s="496"/>
      <c r="K841" s="496"/>
      <c r="L841" s="496"/>
      <c r="M841" s="144"/>
      <c r="N841" s="144"/>
      <c r="O841" s="144"/>
      <c r="P841" s="144"/>
      <c r="Q841" s="144"/>
      <c r="R841" s="144"/>
      <c r="S841" s="144"/>
      <c r="T841" s="144"/>
      <c r="U841" s="144"/>
      <c r="V841" s="144"/>
      <c r="W841" s="144"/>
      <c r="X841" s="144"/>
      <c r="Y841" s="144"/>
      <c r="Z841" s="144"/>
      <c r="AA841" s="144"/>
      <c r="AB841" s="144"/>
      <c r="AC841" s="144"/>
      <c r="AD841" s="144"/>
      <c r="AE841" s="144"/>
      <c r="AF841" s="144"/>
    </row>
    <row r="842" ht="16.5" customHeight="1">
      <c r="A842" s="144"/>
      <c r="B842" s="144"/>
      <c r="C842" s="144"/>
      <c r="D842" s="144"/>
      <c r="E842" s="144"/>
      <c r="F842" s="144"/>
      <c r="G842" s="144"/>
      <c r="H842" s="144"/>
      <c r="I842" s="496"/>
      <c r="J842" s="496"/>
      <c r="K842" s="496"/>
      <c r="L842" s="496"/>
      <c r="M842" s="144"/>
      <c r="N842" s="144"/>
      <c r="O842" s="144"/>
      <c r="P842" s="144"/>
      <c r="Q842" s="144"/>
      <c r="R842" s="144"/>
      <c r="S842" s="144"/>
      <c r="T842" s="144"/>
      <c r="U842" s="144"/>
      <c r="V842" s="144"/>
      <c r="W842" s="144"/>
      <c r="X842" s="144"/>
      <c r="Y842" s="144"/>
      <c r="Z842" s="144"/>
      <c r="AA842" s="144"/>
      <c r="AB842" s="144"/>
      <c r="AC842" s="144"/>
      <c r="AD842" s="144"/>
      <c r="AE842" s="144"/>
      <c r="AF842" s="144"/>
    </row>
    <row r="843" ht="16.5" customHeight="1">
      <c r="A843" s="144"/>
      <c r="B843" s="144"/>
      <c r="C843" s="144"/>
      <c r="D843" s="144"/>
      <c r="E843" s="144"/>
      <c r="F843" s="144"/>
      <c r="G843" s="144"/>
      <c r="H843" s="144"/>
      <c r="I843" s="496"/>
      <c r="J843" s="496"/>
      <c r="K843" s="496"/>
      <c r="L843" s="496"/>
      <c r="M843" s="144"/>
      <c r="N843" s="144"/>
      <c r="O843" s="144"/>
      <c r="P843" s="144"/>
      <c r="Q843" s="144"/>
      <c r="R843" s="144"/>
      <c r="S843" s="144"/>
      <c r="T843" s="144"/>
      <c r="U843" s="144"/>
      <c r="V843" s="144"/>
      <c r="W843" s="144"/>
      <c r="X843" s="144"/>
      <c r="Y843" s="144"/>
      <c r="Z843" s="144"/>
      <c r="AA843" s="144"/>
      <c r="AB843" s="144"/>
      <c r="AC843" s="144"/>
      <c r="AD843" s="144"/>
      <c r="AE843" s="144"/>
      <c r="AF843" s="144"/>
    </row>
    <row r="844" ht="16.5" customHeight="1">
      <c r="A844" s="144"/>
      <c r="B844" s="144"/>
      <c r="C844" s="144"/>
      <c r="D844" s="144"/>
      <c r="E844" s="144"/>
      <c r="F844" s="144"/>
      <c r="G844" s="144"/>
      <c r="H844" s="144"/>
      <c r="I844" s="496"/>
      <c r="J844" s="496"/>
      <c r="K844" s="496"/>
      <c r="L844" s="496"/>
      <c r="M844" s="144"/>
      <c r="N844" s="144"/>
      <c r="O844" s="144"/>
      <c r="P844" s="144"/>
      <c r="Q844" s="144"/>
      <c r="R844" s="144"/>
      <c r="S844" s="144"/>
      <c r="T844" s="144"/>
      <c r="U844" s="144"/>
      <c r="V844" s="144"/>
      <c r="W844" s="144"/>
      <c r="X844" s="144"/>
      <c r="Y844" s="144"/>
      <c r="Z844" s="144"/>
      <c r="AA844" s="144"/>
      <c r="AB844" s="144"/>
      <c r="AC844" s="144"/>
      <c r="AD844" s="144"/>
      <c r="AE844" s="144"/>
      <c r="AF844" s="144"/>
    </row>
    <row r="845" ht="16.5" customHeight="1">
      <c r="A845" s="144"/>
      <c r="B845" s="144"/>
      <c r="C845" s="144"/>
      <c r="D845" s="144"/>
      <c r="E845" s="144"/>
      <c r="F845" s="144"/>
      <c r="G845" s="144"/>
      <c r="H845" s="144"/>
      <c r="I845" s="496"/>
      <c r="J845" s="496"/>
      <c r="K845" s="496"/>
      <c r="L845" s="496"/>
      <c r="M845" s="144"/>
      <c r="N845" s="144"/>
      <c r="O845" s="144"/>
      <c r="P845" s="144"/>
      <c r="Q845" s="144"/>
      <c r="R845" s="144"/>
      <c r="S845" s="144"/>
      <c r="T845" s="144"/>
      <c r="U845" s="144"/>
      <c r="V845" s="144"/>
      <c r="W845" s="144"/>
      <c r="X845" s="144"/>
      <c r="Y845" s="144"/>
      <c r="Z845" s="144"/>
      <c r="AA845" s="144"/>
      <c r="AB845" s="144"/>
      <c r="AC845" s="144"/>
      <c r="AD845" s="144"/>
      <c r="AE845" s="144"/>
      <c r="AF845" s="144"/>
    </row>
    <row r="846" ht="16.5" customHeight="1">
      <c r="A846" s="144"/>
      <c r="B846" s="144"/>
      <c r="C846" s="144"/>
      <c r="D846" s="144"/>
      <c r="E846" s="144"/>
      <c r="F846" s="144"/>
      <c r="G846" s="144"/>
      <c r="H846" s="144"/>
      <c r="I846" s="496"/>
      <c r="J846" s="496"/>
      <c r="K846" s="496"/>
      <c r="L846" s="496"/>
      <c r="M846" s="144"/>
      <c r="N846" s="144"/>
      <c r="O846" s="144"/>
      <c r="P846" s="144"/>
      <c r="Q846" s="144"/>
      <c r="R846" s="144"/>
      <c r="S846" s="144"/>
      <c r="T846" s="144"/>
      <c r="U846" s="144"/>
      <c r="V846" s="144"/>
      <c r="W846" s="144"/>
      <c r="X846" s="144"/>
      <c r="Y846" s="144"/>
      <c r="Z846" s="144"/>
      <c r="AA846" s="144"/>
      <c r="AB846" s="144"/>
      <c r="AC846" s="144"/>
      <c r="AD846" s="144"/>
      <c r="AE846" s="144"/>
      <c r="AF846" s="144"/>
    </row>
    <row r="847" ht="16.5" customHeight="1">
      <c r="A847" s="144"/>
      <c r="B847" s="144"/>
      <c r="C847" s="144"/>
      <c r="D847" s="144"/>
      <c r="E847" s="144"/>
      <c r="F847" s="144"/>
      <c r="G847" s="144"/>
      <c r="H847" s="144"/>
      <c r="I847" s="496"/>
      <c r="J847" s="496"/>
      <c r="K847" s="496"/>
      <c r="L847" s="496"/>
      <c r="M847" s="144"/>
      <c r="N847" s="144"/>
      <c r="O847" s="144"/>
      <c r="P847" s="144"/>
      <c r="Q847" s="144"/>
      <c r="R847" s="144"/>
      <c r="S847" s="144"/>
      <c r="T847" s="144"/>
      <c r="U847" s="144"/>
      <c r="V847" s="144"/>
      <c r="W847" s="144"/>
      <c r="X847" s="144"/>
      <c r="Y847" s="144"/>
      <c r="Z847" s="144"/>
      <c r="AA847" s="144"/>
      <c r="AB847" s="144"/>
      <c r="AC847" s="144"/>
      <c r="AD847" s="144"/>
      <c r="AE847" s="144"/>
      <c r="AF847" s="144"/>
    </row>
    <row r="848" ht="16.5" customHeight="1">
      <c r="A848" s="144"/>
      <c r="B848" s="144"/>
      <c r="C848" s="144"/>
      <c r="D848" s="144"/>
      <c r="E848" s="144"/>
      <c r="F848" s="144"/>
      <c r="G848" s="144"/>
      <c r="H848" s="144"/>
      <c r="I848" s="496"/>
      <c r="J848" s="496"/>
      <c r="K848" s="496"/>
      <c r="L848" s="496"/>
      <c r="M848" s="144"/>
      <c r="N848" s="144"/>
      <c r="O848" s="144"/>
      <c r="P848" s="144"/>
      <c r="Q848" s="144"/>
      <c r="R848" s="144"/>
      <c r="S848" s="144"/>
      <c r="T848" s="144"/>
      <c r="U848" s="144"/>
      <c r="V848" s="144"/>
      <c r="W848" s="144"/>
      <c r="X848" s="144"/>
      <c r="Y848" s="144"/>
      <c r="Z848" s="144"/>
      <c r="AA848" s="144"/>
      <c r="AB848" s="144"/>
      <c r="AC848" s="144"/>
      <c r="AD848" s="144"/>
      <c r="AE848" s="144"/>
      <c r="AF848" s="144"/>
    </row>
    <row r="849" ht="16.5" customHeight="1">
      <c r="A849" s="144"/>
      <c r="B849" s="144"/>
      <c r="C849" s="144"/>
      <c r="D849" s="144"/>
      <c r="E849" s="144"/>
      <c r="F849" s="144"/>
      <c r="G849" s="144"/>
      <c r="H849" s="144"/>
      <c r="I849" s="496"/>
      <c r="J849" s="496"/>
      <c r="K849" s="496"/>
      <c r="L849" s="496"/>
      <c r="M849" s="144"/>
      <c r="N849" s="144"/>
      <c r="O849" s="144"/>
      <c r="P849" s="144"/>
      <c r="Q849" s="144"/>
      <c r="R849" s="144"/>
      <c r="S849" s="144"/>
      <c r="T849" s="144"/>
      <c r="U849" s="144"/>
      <c r="V849" s="144"/>
      <c r="W849" s="144"/>
      <c r="X849" s="144"/>
      <c r="Y849" s="144"/>
      <c r="Z849" s="144"/>
      <c r="AA849" s="144"/>
      <c r="AB849" s="144"/>
      <c r="AC849" s="144"/>
      <c r="AD849" s="144"/>
      <c r="AE849" s="144"/>
      <c r="AF849" s="144"/>
    </row>
    <row r="850" ht="16.5" customHeight="1">
      <c r="A850" s="144"/>
      <c r="B850" s="144"/>
      <c r="C850" s="144"/>
      <c r="D850" s="144"/>
      <c r="E850" s="144"/>
      <c r="F850" s="144"/>
      <c r="G850" s="144"/>
      <c r="H850" s="144"/>
      <c r="I850" s="496"/>
      <c r="J850" s="496"/>
      <c r="K850" s="496"/>
      <c r="L850" s="496"/>
      <c r="M850" s="144"/>
      <c r="N850" s="144"/>
      <c r="O850" s="144"/>
      <c r="P850" s="144"/>
      <c r="Q850" s="144"/>
      <c r="R850" s="144"/>
      <c r="S850" s="144"/>
      <c r="T850" s="144"/>
      <c r="U850" s="144"/>
      <c r="V850" s="144"/>
      <c r="W850" s="144"/>
      <c r="X850" s="144"/>
      <c r="Y850" s="144"/>
      <c r="Z850" s="144"/>
      <c r="AA850" s="144"/>
      <c r="AB850" s="144"/>
      <c r="AC850" s="144"/>
      <c r="AD850" s="144"/>
      <c r="AE850" s="144"/>
      <c r="AF850" s="144"/>
    </row>
    <row r="851" ht="16.5" customHeight="1">
      <c r="A851" s="144"/>
      <c r="B851" s="144"/>
      <c r="C851" s="144"/>
      <c r="D851" s="144"/>
      <c r="E851" s="144"/>
      <c r="F851" s="144"/>
      <c r="G851" s="144"/>
      <c r="H851" s="144"/>
      <c r="I851" s="496"/>
      <c r="J851" s="496"/>
      <c r="K851" s="496"/>
      <c r="L851" s="496"/>
      <c r="M851" s="144"/>
      <c r="N851" s="144"/>
      <c r="O851" s="144"/>
      <c r="P851" s="144"/>
      <c r="Q851" s="144"/>
      <c r="R851" s="144"/>
      <c r="S851" s="144"/>
      <c r="T851" s="144"/>
      <c r="U851" s="144"/>
      <c r="V851" s="144"/>
      <c r="W851" s="144"/>
      <c r="X851" s="144"/>
      <c r="Y851" s="144"/>
      <c r="Z851" s="144"/>
      <c r="AA851" s="144"/>
      <c r="AB851" s="144"/>
      <c r="AC851" s="144"/>
      <c r="AD851" s="144"/>
      <c r="AE851" s="144"/>
      <c r="AF851" s="144"/>
    </row>
    <row r="852" ht="16.5" customHeight="1">
      <c r="A852" s="144"/>
      <c r="B852" s="144"/>
      <c r="C852" s="144"/>
      <c r="D852" s="144"/>
      <c r="E852" s="144"/>
      <c r="F852" s="144"/>
      <c r="G852" s="144"/>
      <c r="H852" s="144"/>
      <c r="I852" s="496"/>
      <c r="J852" s="496"/>
      <c r="K852" s="496"/>
      <c r="L852" s="496"/>
      <c r="M852" s="144"/>
      <c r="N852" s="144"/>
      <c r="O852" s="144"/>
      <c r="P852" s="144"/>
      <c r="Q852" s="144"/>
      <c r="R852" s="144"/>
      <c r="S852" s="144"/>
      <c r="T852" s="144"/>
      <c r="U852" s="144"/>
      <c r="V852" s="144"/>
      <c r="W852" s="144"/>
      <c r="X852" s="144"/>
      <c r="Y852" s="144"/>
      <c r="Z852" s="144"/>
      <c r="AA852" s="144"/>
      <c r="AB852" s="144"/>
      <c r="AC852" s="144"/>
      <c r="AD852" s="144"/>
      <c r="AE852" s="144"/>
      <c r="AF852" s="144"/>
    </row>
  </sheetData>
  <mergeCells count="4">
    <mergeCell ref="C3:I3"/>
    <mergeCell ref="B6:B8"/>
    <mergeCell ref="C6:C8"/>
    <mergeCell ref="D6:D8"/>
  </mergeCells>
  <dataValidations>
    <dataValidation type="list" allowBlank="1" sqref="H35:K35">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formula1>
    </dataValidation>
    <dataValidation type="list" allowBlank="1" sqref="H28:K28">
      <formula1>"CreateStageOrder,TradeNewSubOrder,CreateLiveOrder,SelectTradeOnOrderGrid,VerifySubOrder,VerifyOrder,VerifyWorkingSubs,SelectTrade,ExecuteTrade,VerifyOrder1,VerifySubOrder1"</formula1>
    </dataValidation>
    <dataValidation type="list" allowBlank="1" sqref="H47:K48">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VerifyWorkingSubs"&amp;"5,VerifyOrder5,VerifySubOrder5,CancelSubOrder"</formula1>
    </dataValidation>
    <dataValidation type="list" allowBlank="1" sqref="H25:K26">
      <formula1>"CreateStageOrder,TradeNewSubOrder,CreateLiveOrder,SelectTradeOnOrderGrid,VerifySubOrder,VerifyOrder,VerifyWorkingSubs,SelectTrade,ExecuteTrade"</formula1>
    </dataValidation>
    <dataValidation type="list" allowBlank="1" sqref="H16:K16">
      <formula1>"CreateLiveOrder,SelectTradeOnOrderGrid,VerifySubOrder,SelectTrade,AcknowledgeTrade,RejectTrade,ExecuteTrade,CancelTrade,SelectTrade1"</formula1>
    </dataValidation>
    <dataValidation type="list" allowBlank="1" sqref="H12:K12 H15:K15">
      <formula1>"CreateLiveOrder,SelectTradeOnOrderGrid,VerifySubOrder,SelectTrade,AcknowledgeTrade,RejectTrade,ExecuteTrade,CancelTrade"</formula1>
    </dataValidation>
    <dataValidation type="list" allowBlank="1" sqref="E6:E852">
      <formula1>'_Modules'!$A$4:$A852</formula1>
    </dataValidation>
    <dataValidation type="list" allowBlank="1" sqref="H22:K22">
      <formula1>"CreateStageOrder,TradeNewSubOrder,CreateLiveOrder,SelectTradeOnOrderGrid,VerifySubOrder,VerifyOrder"</formula1>
    </dataValidation>
    <dataValidation type="list" allowBlank="1" sqref="H24:K24">
      <formula1>"CreateStageOrder,TradeNewSubOrder,CreateLiveOrder,SelectTradeOnOrderGrid,VerifySubOrder,VerifyOrder,VerifyWorkingSubs,SelectTrade"</formula1>
    </dataValidation>
    <dataValidation type="list" allowBlank="1" sqref="F6 F9 F17 F19 F30 F41">
      <formula1>"OpenTTFromPST,EnterDetailsOnTT,ValidateSymbolTT,VerifyDataTT,SetUIPreferencesTT,SetBrokerWisePreferencesTT,TradeNewSub,CreateStageOrder,CreateReplaceOrder,SetGeneralPreference,CreateDoneAwayOrder,CreateNewSubOrder,TradeBloomberg,ClickSymbolLookup,VerifyTT"&amp;",CreateLiveOrder,,,,,,,,,,,,,,,,,,,,,,,,,,,,,,,,,,,,,,,,,,,,,,,,,,,,,,,,,,,,,,,,,,,,,,,,,,,,,,,,,,,,,,,,,,,,,,,,,,,,,,,,,,,,,,,,,,,,,,,,,,,,,,,,,,,,,,,,,,,,,,,,,,,,,,,,,,,,,,,,,,,,,,,,,,,,,,,,,,,,,,,,,,,,,,,,,,,,,,,,,,,,,,,,,,,,,,,,,,,,,,,,,,,,,,,,,,,,,,,"&amp;",,,,,,,,,,,,,,,,,,,,,,,,,,,,,,,,,,,,,,,,,,,,,,,,,,,,,,,,,,,,,,,,,,,,,,,,,,,,,,,,,,,,,,,,,,,,,,,,,,,,,,,,,,,,,,,,,,,,,,,,,,,,,,,,,,,,,,,,,,,,,,,,,,,,,,,,,,,,,,,,,,,,,,,,,,,,,,,,,,,,,,,,,,,,,,,,,,,,,,,,,,,,,,,,,,,,,,,,,,,,,,,,,,,,,,,,,,,,,,,,,,"</formula1>
    </dataValidation>
    <dataValidation type="list" allowBlank="1" sqref="H7:K7">
      <formula1>"SetManualResponse,CreateLiveOrder,SelectTradeOnOrderGrid"</formula1>
    </dataValidation>
    <dataValidation type="list" allowBlank="1" sqref="F7:F8 F18 F20:F23 F26:F29 F31:F33 F36:F40 F43:F50">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23:K23">
      <formula1>"CreateStageOrder,TradeNewSubOrder,CreateLiveOrder,SelectTradeOnOrderGrid,VerifySubOrder,VerifyOrder,VerifyWorkingSubs"</formula1>
    </dataValidation>
    <dataValidation type="list" allowBlank="1" sqref="H27:K27">
      <formula1>"CreateStageOrder,TradeNewSubOrder,CreateLiveOrder,SelectTradeOnOrderGrid,VerifySubOrder,VerifyOrder,VerifyWorkingSubs,SelectTrade,ExecuteTrade,VerifyOrder1"</formula1>
    </dataValidation>
    <dataValidation type="list" allowBlank="1" sqref="H40:K40">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formula1>
    </dataValidation>
    <dataValidation type="list" allowBlank="1" sqref="H46:K46">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VerifyWorkingSubs4,VerifySubOrder4,VerifyOrder4,AcknowledgeTrade,VerifyWorkingSubs5,VerifyOrder5,Verif"&amp;"ySubOrder5,CancelSubOrder,VerifyOrder6,VerifySubOrder6,VerifyWorkingSubs6,AcknowledgeTrade2,VerifyWorkingSubs7"</formula1>
    </dataValidation>
    <dataValidation type="list" allowBlank="1" sqref="H51:K51">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VerifyWorkingSubs"&amp;"5,VerifyOrder5,VerifySubOrder5,CancelSubOrder,VerifyOrder6,VerifySubOrder6,VerifyWorkingSubs6"</formula1>
    </dataValidation>
    <dataValidation type="list" allowBlank="1" sqref="H14:K14">
      <formula1>"CreateLiveOrder,SelectTradeOnOrderGrid,VerifySubOrder,SelectTrade,AcknowledgeTrade,RejectTrade,ExecuteTrade,CancelTrade,SelectTrade1,ExecuteTrade1"</formula1>
    </dataValidation>
    <dataValidation type="list" allowBlank="1" sqref="H50:K50">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VerifyWorkingSubs"&amp;"5,VerifyOrder5,VerifySubOrder5,CancelSubOrder,VerifyOrder6,VerifySubOrder6"</formula1>
    </dataValidation>
    <dataValidation type="list" allowBlank="1" sqref="H49:K49">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VerifyWorkingSubs"&amp;"5,VerifyOrder5,VerifySubOrder5,CancelSubOrder,VerifyOrder6"</formula1>
    </dataValidation>
    <dataValidation type="list" allowBlank="1" sqref="H44:K44">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VerifyWorkingSubs"&amp;"5"</formula1>
    </dataValidation>
    <dataValidation type="list" allowBlank="1" sqref="H41:K41">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formula1>
    </dataValidation>
    <dataValidation type="list" allowBlank="1" sqref="H34:K34">
      <formula1>"CreateStageOrder,TradeNewSubOrder,CreateLiveOrder,SelectTradeOnOrderGrid,VerifySubOrder,VerifyOrder,VerifyWorkingSubs,SelectTrade,ExecuteTrade,VerifyOrder1,VerifySubOrder1,VerifyWorkingSubs1,TradeNewSubOrder1,CreateLiveOrder1,VerifySubOrder2,VerifyOrder2,"&amp;"VerifyWorkingSubs2"</formula1>
    </dataValidation>
    <dataValidation type="list" allowBlank="1" sqref="H11:K11">
      <formula1>"CreateLiveOrder,SelectTradeOnOrderGrid,VerifySubOrder,SelectTrade,AcknowledgeTrade,RejectTrade"</formula1>
    </dataValidation>
    <dataValidation type="list" allowBlank="1" sqref="H29:K29">
      <formula1>"CreateStageOrder,TradeNewSubOrder,CreateLiveOrder,SelectTradeOnOrderGrid,VerifySubOrder,VerifyOrder,VerifyWorkingSubs,SelectTrade,ExecuteTrade,VerifyOrder1,VerifySubOrder1,VerifyWorkingSubs1"</formula1>
    </dataValidation>
    <dataValidation type="list" allowBlank="1" sqref="H42:K43">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formula1>
    </dataValidation>
    <dataValidation type="list" allowBlank="1" sqref="F10:F16 F24:F25 F34:F35 F42 F51">
      <formula1>"SelectTrade,AcknowledgeTrade,RejectTrade,ExecuteTrade,CancelTrade,OpenLiveTT,SetManualResponse,ClearUI,,,,,,,,,,,,,,,,,,,,,,,,,,,,,,,,,,,,,,,,,,,,,,,,,,,,,,,,,,,,,,,,,,,,,,,,,,,,,,,,,,,,,,,,,,,,,,,,,,,,,,,,,,,,,,,,,,,,,,,,,,,,,,,,,,,,,,,,,,,,,,,,,,,,,,,,,"&amp;",,,,,,,,,,,,,,,,,,,,,,,,,,,,,,,,,,,,,,,,,,,,,,,,,,,,,,,,,,,,,,,,,,,,,,,,,,,,,,,,,,,,,,,,,,,,,,,,,,,,,,,,,,,,,,,,,,,,,,,,,,,,,,,,,,,,,,,,,,,,,,,,,,,,,,,,,,,,,,,,,,,,,,,,,,,,,,,,,,,,,,,,,,,,,,,,,,,,,,,,,,,,,,,,,,,,,,,,,,,,,,,,,,,,,,,,,,,,,,,,,,,,,,,,,,,,,,,"&amp;",,,,,,,,,,,,,,,,,,,,,,,,,,,,,,,,,,,,,,,,,,,,,,,,,,,,,,,,,,,,,,,,,,,,,,,,,,,,,,,,,"</formula1>
    </dataValidation>
    <dataValidation type="list" allowBlank="1" sqref="H45:K45">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SelectTradeOnOrderGrid2,ReplaceSubOrder,CreateReplaceOrder,CreateReplaceOrder2,VerifyWorkingSubs4,VerifySubOrder4,VerifyOrder4,AcknowledgeTrade,VerifyWorkingSubs"&amp;"5,VerifyOrder5"</formula1>
    </dataValidation>
    <dataValidation type="list" allowBlank="1" sqref="H17:K17">
      <formula1>"CreateStageOrder"</formula1>
    </dataValidation>
    <dataValidation type="list" allowBlank="1" sqref="H10:K10">
      <formula1>"CreateLiveOrder,SelectTradeOnOrderGrid,VerifySubOrder,SelectTrade,AcknowledgeTrade,Copy of Data,Copy of Data 1"</formula1>
    </dataValidation>
    <dataValidation type="list" allowBlank="1" sqref="H19:K19">
      <formula1>"CreateStageOrder,TradeNewSubOrder,CreateLiveOrder"</formula1>
    </dataValidation>
    <dataValidation type="list" allowBlank="1" sqref="H8:K8">
      <formula1>"SetManualResponse,CreateLiveOrder,SelectTradeOnOrderGrid,VerifySubOrder"</formula1>
    </dataValidation>
    <dataValidation type="list" allowBlank="1" sqref="H38:K38">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formula1>
    </dataValidation>
    <dataValidation type="list" allowBlank="1" sqref="D6 D9:D852">
      <formula1>'_Categories'!$A$4:$A852</formula1>
    </dataValidation>
    <dataValidation type="list" allowBlank="1" sqref="H13:K13">
      <formula1>"CreateLiveOrder,SelectTradeOnOrderGrid,VerifySubOrder,SelectTrade,AcknowledgeTrade,RejectTrade,ExecuteTrade"</formula1>
    </dataValidation>
    <dataValidation type="list" allowBlank="1" sqref="H21:K21">
      <formula1>"CreateStageOrder,TradeNewSubOrder,CreateLiveOrder,SelectTradeOnOrderGrid,VerifySubOrder"</formula1>
    </dataValidation>
    <dataValidation type="list" allowBlank="1" sqref="H6:K6">
      <formula1>"SetManualResponse,CreateLiveOrder"</formula1>
    </dataValidation>
    <dataValidation type="list" allowBlank="1" sqref="H20:K20">
      <formula1>"CreateStageOrder,TradeNewSubOrder,CreateLiveOrder,SelectTradeOnOrderGrid"</formula1>
    </dataValidation>
    <dataValidation type="list" allowBlank="1" sqref="H39:K39">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VerifyOrder3,VerifyWorkingSubs3"</formula1>
    </dataValidation>
    <dataValidation type="list" allowBlank="1" sqref="H36:K36">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formula1>
    </dataValidation>
    <dataValidation type="list" allowBlank="1" sqref="H9:K9">
      <formula1>"CreateLiveOrder"</formula1>
    </dataValidation>
    <dataValidation type="list" allowBlank="1" sqref="H37:K37">
      <formula1>"CreateStageOrder,TradeNewSubOrder,CreateLiveOrder,SelectTradeOnOrderGrid,VerifySubOrder,VerifyOrder,VerifyWorkingSubs,SelectTrade,ExecuteTrade,VerifyOrder1,VerifySubOrder1,VerifyWorkingSubs1,TradeNewSubOrder1,CreateLiveOrder1,VerifySubOrder2,VerifyOrder2,"&amp;"VerifyWorkingSubs2,SelectTrade1,ExecuteTrade1,VerifySubOrder3"</formula1>
    </dataValidation>
    <dataValidation type="list" allowBlank="1" sqref="H31:K31">
      <formula1>"CreateStageOrder,TradeNewSubOrder,CreateLiveOrder,SelectTradeOnOrderGrid,VerifySubOrder,VerifyOrder,VerifyWorkingSubs,SelectTrade,ExecuteTrade,VerifyOrder1,VerifySubOrder1,VerifyWorkingSubs1,TradeNewSubOrder1,CreateLiveOrder1"</formula1>
    </dataValidation>
    <dataValidation type="list" allowBlank="1" sqref="H18:K18">
      <formula1>"CreateStageOrder,TradeNewSubOrder"</formula1>
    </dataValidation>
    <dataValidation type="list" allowBlank="1" sqref="H30:K30">
      <formula1>"CreateStageOrder,TradeNewSubOrder,CreateLiveOrder,SelectTradeOnOrderGrid,VerifySubOrder,VerifyOrder,VerifyWorkingSubs,SelectTrade,ExecuteTrade,VerifyOrder1,VerifySubOrder1,VerifyWorkingSubs1,TradeNewSubOrder1"</formula1>
    </dataValidation>
    <dataValidation type="list" allowBlank="1" sqref="H32:K32">
      <formula1>"CreateStageOrder,TradeNewSubOrder,CreateLiveOrder,SelectTradeOnOrderGrid,VerifySubOrder,VerifyOrder,VerifyWorkingSubs,SelectTrade,ExecuteTrade,VerifyOrder1,VerifySubOrder1,VerifyWorkingSubs1,TradeNewSubOrder1,CreateLiveOrder1,VerifySubOrder2"</formula1>
    </dataValidation>
    <dataValidation type="list" allowBlank="1" sqref="H33:K33">
      <formula1>"CreateStageOrder,TradeNewSubOrder,CreateLiveOrder,SelectTradeOnOrderGrid,VerifySubOrder,VerifyOrder,VerifyWorkingSubs,SelectTrade,ExecuteTrade,VerifyOrder1,VerifySubOrder1,VerifyWorkingSubs1,TradeNewSubOrder1,CreateLiveOrder1,VerifySubOrder2,VerifyOrder2"</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7.29" defaultRowHeight="15.0"/>
  <cols>
    <col customWidth="1" min="1" max="1" width="0.43"/>
    <col customWidth="1" min="2" max="2" width="28.57"/>
    <col customWidth="1" min="3" max="3" width="26.29"/>
    <col customWidth="1" min="4" max="4" width="16.86"/>
    <col customWidth="1" min="5" max="5" width="24.71"/>
    <col customWidth="1" min="6" max="6" width="33.29"/>
    <col customWidth="1" min="7" max="7" width="77.71"/>
    <col customWidth="1" min="8" max="8" width="39.71"/>
    <col customWidth="1" min="9" max="12" width="18.0"/>
    <col customWidth="1" min="13" max="37" width="14.43"/>
  </cols>
  <sheetData>
    <row r="1" ht="1.5" customHeight="1">
      <c r="A1" s="12"/>
      <c r="B1" s="572"/>
      <c r="C1" s="13"/>
      <c r="D1" s="14"/>
      <c r="E1" s="14"/>
      <c r="F1" s="14"/>
      <c r="G1" s="386"/>
      <c r="H1" s="14"/>
      <c r="I1" s="14"/>
      <c r="J1" s="12"/>
      <c r="K1" s="12"/>
      <c r="L1" s="12"/>
      <c r="M1" s="15"/>
      <c r="N1" s="15"/>
      <c r="O1" s="15"/>
      <c r="P1" s="15"/>
      <c r="Q1" s="15"/>
      <c r="R1" s="15"/>
      <c r="S1" s="15"/>
      <c r="T1" s="15"/>
      <c r="U1" s="15"/>
      <c r="V1" s="15"/>
      <c r="W1" s="15"/>
      <c r="X1" s="15"/>
      <c r="Y1" s="15"/>
      <c r="Z1" s="15"/>
      <c r="AA1" s="15"/>
      <c r="AB1" s="15"/>
      <c r="AC1" s="15"/>
      <c r="AD1" s="15"/>
      <c r="AE1" s="15"/>
      <c r="AF1" s="15"/>
      <c r="AG1" s="15"/>
      <c r="AH1" s="15"/>
      <c r="AI1" s="15"/>
      <c r="AJ1" s="15"/>
      <c r="AK1" s="15"/>
    </row>
    <row r="2" ht="1.5" customHeight="1">
      <c r="A2" s="12"/>
      <c r="B2" s="572"/>
      <c r="C2" s="13"/>
      <c r="D2" s="14"/>
      <c r="E2" s="14"/>
      <c r="F2" s="14"/>
      <c r="G2" s="386"/>
      <c r="H2" s="14"/>
      <c r="I2" s="14"/>
      <c r="J2" s="12"/>
      <c r="K2" s="12"/>
      <c r="L2" s="12"/>
      <c r="M2" s="15"/>
      <c r="N2" s="15"/>
      <c r="O2" s="15"/>
      <c r="P2" s="15"/>
      <c r="Q2" s="15"/>
      <c r="R2" s="15"/>
      <c r="S2" s="15"/>
      <c r="T2" s="15"/>
      <c r="U2" s="15"/>
      <c r="V2" s="15"/>
      <c r="W2" s="15"/>
      <c r="X2" s="15"/>
      <c r="Y2" s="15"/>
      <c r="Z2" s="15"/>
      <c r="AA2" s="15"/>
      <c r="AB2" s="15"/>
      <c r="AC2" s="15"/>
      <c r="AD2" s="15"/>
      <c r="AE2" s="15"/>
      <c r="AF2" s="15"/>
      <c r="AG2" s="15"/>
      <c r="AH2" s="15"/>
      <c r="AI2" s="15"/>
      <c r="AJ2" s="15"/>
      <c r="AK2" s="15"/>
    </row>
    <row r="3" ht="15.75" customHeight="1">
      <c r="A3" s="14" t="s">
        <v>5</v>
      </c>
      <c r="B3" s="13" t="s">
        <v>5</v>
      </c>
      <c r="C3" s="19" t="s">
        <v>6</v>
      </c>
      <c r="D3" s="2"/>
      <c r="E3" s="2"/>
      <c r="F3" s="2"/>
      <c r="G3" s="2"/>
      <c r="H3" s="2"/>
      <c r="I3" s="3"/>
      <c r="J3" s="12"/>
      <c r="K3" s="12"/>
      <c r="L3" s="12"/>
      <c r="M3" s="15"/>
      <c r="N3" s="15"/>
      <c r="O3" s="15"/>
      <c r="P3" s="15"/>
      <c r="Q3" s="15"/>
      <c r="R3" s="15"/>
      <c r="S3" s="15"/>
      <c r="T3" s="15"/>
      <c r="U3" s="15"/>
      <c r="V3" s="15"/>
      <c r="W3" s="15"/>
      <c r="X3" s="15"/>
      <c r="Y3" s="15"/>
      <c r="Z3" s="15"/>
      <c r="AA3" s="15"/>
      <c r="AB3" s="15"/>
      <c r="AC3" s="15"/>
      <c r="AD3" s="15"/>
      <c r="AE3" s="15"/>
      <c r="AF3" s="15"/>
      <c r="AG3" s="15"/>
      <c r="AH3" s="15"/>
      <c r="AI3" s="15"/>
      <c r="AJ3" s="15"/>
      <c r="AK3" s="15"/>
    </row>
    <row r="4" ht="15.75" customHeight="1">
      <c r="A4" s="20"/>
      <c r="B4" s="21"/>
      <c r="C4" s="21"/>
      <c r="D4" s="20"/>
      <c r="E4" s="20"/>
      <c r="F4" s="20"/>
      <c r="G4" s="387"/>
      <c r="H4" s="20"/>
      <c r="I4" s="20"/>
      <c r="J4" s="20"/>
      <c r="K4" s="20"/>
      <c r="L4" s="20"/>
      <c r="M4" s="15"/>
      <c r="N4" s="15"/>
      <c r="O4" s="15"/>
      <c r="P4" s="15"/>
      <c r="Q4" s="15"/>
      <c r="R4" s="15"/>
      <c r="S4" s="15"/>
      <c r="T4" s="15"/>
      <c r="U4" s="15"/>
      <c r="V4" s="15"/>
      <c r="W4" s="15"/>
      <c r="X4" s="15"/>
      <c r="Y4" s="15"/>
      <c r="Z4" s="15"/>
      <c r="AA4" s="15"/>
      <c r="AB4" s="15"/>
      <c r="AC4" s="15"/>
      <c r="AD4" s="15"/>
      <c r="AE4" s="15"/>
      <c r="AF4" s="15"/>
      <c r="AG4" s="15"/>
      <c r="AH4" s="15"/>
      <c r="AI4" s="15"/>
      <c r="AJ4" s="15"/>
      <c r="AK4" s="15"/>
    </row>
    <row r="5" ht="15.75" customHeight="1">
      <c r="A5" s="22" t="s">
        <v>5</v>
      </c>
      <c r="B5" s="228" t="s">
        <v>7</v>
      </c>
      <c r="C5" s="23" t="s">
        <v>8</v>
      </c>
      <c r="D5" s="24" t="s">
        <v>9</v>
      </c>
      <c r="E5" s="24" t="s">
        <v>10</v>
      </c>
      <c r="F5" s="24" t="s">
        <v>11</v>
      </c>
      <c r="G5" s="431" t="s">
        <v>12</v>
      </c>
      <c r="H5" s="229" t="s">
        <v>13</v>
      </c>
      <c r="I5" s="24" t="s">
        <v>14</v>
      </c>
      <c r="J5" s="22" t="s">
        <v>15</v>
      </c>
      <c r="K5" s="22" t="s">
        <v>16</v>
      </c>
      <c r="L5" s="22" t="s">
        <v>17</v>
      </c>
      <c r="M5" s="15"/>
      <c r="N5" s="15"/>
      <c r="O5" s="15"/>
      <c r="P5" s="15"/>
      <c r="Q5" s="15"/>
      <c r="R5" s="15"/>
      <c r="S5" s="15"/>
      <c r="T5" s="15"/>
      <c r="U5" s="15"/>
      <c r="V5" s="15"/>
      <c r="W5" s="15"/>
      <c r="X5" s="15"/>
      <c r="Y5" s="15"/>
      <c r="Z5" s="15"/>
      <c r="AA5" s="15"/>
      <c r="AB5" s="15"/>
      <c r="AC5" s="15"/>
      <c r="AD5" s="15"/>
      <c r="AE5" s="15"/>
      <c r="AF5" s="15"/>
      <c r="AG5" s="15"/>
      <c r="AH5" s="15"/>
      <c r="AI5" s="15"/>
      <c r="AJ5" s="15"/>
      <c r="AK5" s="15"/>
    </row>
    <row r="6" ht="15.75" customHeight="1">
      <c r="A6" s="32" t="s">
        <v>5</v>
      </c>
      <c r="B6" s="573" t="s">
        <v>5675</v>
      </c>
      <c r="C6" s="87" t="s">
        <v>5676</v>
      </c>
      <c r="D6" s="8" t="s">
        <v>20</v>
      </c>
      <c r="E6" s="8" t="s">
        <v>88</v>
      </c>
      <c r="F6" s="8" t="s">
        <v>89</v>
      </c>
      <c r="G6" s="149" t="s">
        <v>5677</v>
      </c>
      <c r="H6" s="8" t="s">
        <v>89</v>
      </c>
      <c r="I6" s="9"/>
      <c r="J6" s="9"/>
      <c r="K6" s="11"/>
      <c r="L6" s="11"/>
      <c r="M6" s="15"/>
      <c r="N6" s="15"/>
      <c r="O6" s="15"/>
      <c r="P6" s="15"/>
      <c r="Q6" s="15"/>
      <c r="R6" s="15"/>
      <c r="S6" s="15"/>
      <c r="T6" s="15"/>
      <c r="U6" s="15"/>
      <c r="V6" s="15"/>
      <c r="W6" s="15"/>
      <c r="X6" s="15"/>
      <c r="Y6" s="15"/>
      <c r="Z6" s="15"/>
      <c r="AA6" s="15"/>
      <c r="AB6" s="15"/>
      <c r="AC6" s="15"/>
      <c r="AD6" s="15"/>
      <c r="AE6" s="15"/>
      <c r="AF6" s="15"/>
      <c r="AG6" s="15"/>
      <c r="AH6" s="15"/>
      <c r="AI6" s="15"/>
      <c r="AJ6" s="15"/>
      <c r="AK6" s="15"/>
    </row>
    <row r="7" ht="15.75" customHeight="1">
      <c r="A7" s="32" t="s">
        <v>5</v>
      </c>
      <c r="E7" s="8" t="s">
        <v>172</v>
      </c>
      <c r="F7" s="8" t="s">
        <v>194</v>
      </c>
      <c r="G7" s="435" t="s">
        <v>5678</v>
      </c>
      <c r="H7" s="8" t="s">
        <v>194</v>
      </c>
      <c r="I7" s="9"/>
      <c r="J7" s="9"/>
      <c r="K7" s="11"/>
      <c r="L7" s="11"/>
      <c r="M7" s="15"/>
      <c r="N7" s="15"/>
      <c r="O7" s="15"/>
      <c r="P7" s="15"/>
      <c r="Q7" s="15"/>
      <c r="R7" s="15"/>
      <c r="S7" s="15"/>
      <c r="T7" s="15"/>
      <c r="U7" s="15"/>
      <c r="V7" s="15"/>
      <c r="W7" s="15"/>
      <c r="X7" s="15"/>
      <c r="Y7" s="15"/>
      <c r="Z7" s="15"/>
      <c r="AA7" s="15"/>
      <c r="AB7" s="15"/>
      <c r="AC7" s="15"/>
      <c r="AD7" s="15"/>
      <c r="AE7" s="15"/>
      <c r="AF7" s="15"/>
      <c r="AG7" s="15"/>
      <c r="AH7" s="15"/>
      <c r="AI7" s="15"/>
      <c r="AJ7" s="15"/>
      <c r="AK7" s="15"/>
    </row>
    <row r="8" ht="15.75" customHeight="1">
      <c r="A8" s="32" t="s">
        <v>5</v>
      </c>
      <c r="E8" s="8" t="s">
        <v>172</v>
      </c>
      <c r="F8" s="8" t="s">
        <v>195</v>
      </c>
      <c r="G8" s="159" t="s">
        <v>5679</v>
      </c>
      <c r="H8" s="8" t="s">
        <v>195</v>
      </c>
      <c r="I8" s="9"/>
      <c r="J8" s="9"/>
      <c r="K8" s="11"/>
      <c r="L8" s="11"/>
      <c r="M8" s="15"/>
      <c r="N8" s="15"/>
      <c r="O8" s="15"/>
      <c r="P8" s="15"/>
      <c r="Q8" s="15"/>
      <c r="R8" s="15"/>
      <c r="S8" s="15"/>
      <c r="T8" s="15"/>
      <c r="U8" s="15"/>
      <c r="V8" s="15"/>
      <c r="W8" s="15"/>
      <c r="X8" s="15"/>
      <c r="Y8" s="15"/>
      <c r="Z8" s="15"/>
      <c r="AA8" s="15"/>
      <c r="AB8" s="15"/>
      <c r="AC8" s="15"/>
      <c r="AD8" s="15"/>
      <c r="AE8" s="15"/>
      <c r="AF8" s="15"/>
      <c r="AG8" s="15"/>
      <c r="AH8" s="15"/>
      <c r="AI8" s="15"/>
      <c r="AJ8" s="15"/>
      <c r="AK8" s="15"/>
    </row>
    <row r="9" ht="15.75" customHeight="1">
      <c r="A9" s="32" t="s">
        <v>5</v>
      </c>
      <c r="E9" s="8" t="s">
        <v>21</v>
      </c>
      <c r="F9" s="8" t="s">
        <v>51</v>
      </c>
      <c r="G9" s="159" t="s">
        <v>5680</v>
      </c>
      <c r="H9" s="8" t="s">
        <v>51</v>
      </c>
      <c r="I9" s="9"/>
      <c r="J9" s="9"/>
      <c r="K9" s="11"/>
      <c r="L9" s="11"/>
      <c r="M9" s="15"/>
      <c r="N9" s="15"/>
      <c r="O9" s="15"/>
      <c r="P9" s="15"/>
      <c r="Q9" s="15"/>
      <c r="R9" s="15"/>
      <c r="S9" s="15"/>
      <c r="T9" s="15"/>
      <c r="U9" s="15"/>
      <c r="V9" s="15"/>
      <c r="W9" s="15"/>
      <c r="X9" s="15"/>
      <c r="Y9" s="15"/>
      <c r="Z9" s="15"/>
      <c r="AA9" s="15"/>
      <c r="AB9" s="15"/>
      <c r="AC9" s="15"/>
      <c r="AD9" s="15"/>
      <c r="AE9" s="15"/>
      <c r="AF9" s="15"/>
      <c r="AG9" s="15"/>
      <c r="AH9" s="15"/>
      <c r="AI9" s="15"/>
      <c r="AJ9" s="15"/>
      <c r="AK9" s="15"/>
    </row>
    <row r="10" ht="15.75" customHeight="1">
      <c r="A10" s="32" t="s">
        <v>5</v>
      </c>
      <c r="E10" s="8" t="s">
        <v>408</v>
      </c>
      <c r="F10" s="8" t="s">
        <v>408</v>
      </c>
      <c r="G10" s="149" t="s">
        <v>5681</v>
      </c>
      <c r="H10" s="8" t="s">
        <v>408</v>
      </c>
      <c r="J10" s="9"/>
      <c r="K10" s="11"/>
      <c r="L10" s="11"/>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row>
    <row r="11" ht="15.75" customHeight="1">
      <c r="A11" s="32" t="s">
        <v>5</v>
      </c>
      <c r="E11" s="28" t="s">
        <v>88</v>
      </c>
      <c r="F11" s="8" t="s">
        <v>120</v>
      </c>
      <c r="G11" s="149" t="s">
        <v>5682</v>
      </c>
      <c r="H11" s="8" t="s">
        <v>120</v>
      </c>
      <c r="I11" s="9"/>
      <c r="J11" s="9"/>
      <c r="K11" s="11"/>
      <c r="L11" s="11"/>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row>
    <row r="12" ht="15.75" customHeight="1">
      <c r="A12" s="32" t="s">
        <v>5</v>
      </c>
      <c r="E12" s="28" t="s">
        <v>88</v>
      </c>
      <c r="F12" s="38" t="s">
        <v>544</v>
      </c>
      <c r="G12" s="149" t="s">
        <v>5683</v>
      </c>
      <c r="H12" s="38" t="s">
        <v>544</v>
      </c>
      <c r="I12" s="9"/>
      <c r="J12" s="9"/>
      <c r="K12" s="11"/>
      <c r="L12" s="11"/>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row>
    <row r="13" ht="15.75" customHeight="1">
      <c r="A13" s="32" t="s">
        <v>5</v>
      </c>
      <c r="E13" s="28" t="s">
        <v>88</v>
      </c>
      <c r="F13" s="38" t="s">
        <v>247</v>
      </c>
      <c r="G13" s="149"/>
      <c r="H13" s="36"/>
      <c r="L13" s="11"/>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row>
    <row r="14" ht="15.75" customHeight="1">
      <c r="A14" s="32" t="s">
        <v>5</v>
      </c>
      <c r="E14" s="28" t="s">
        <v>88</v>
      </c>
      <c r="F14" s="28" t="s">
        <v>95</v>
      </c>
      <c r="G14" s="149" t="s">
        <v>5684</v>
      </c>
      <c r="H14" s="38" t="s">
        <v>95</v>
      </c>
      <c r="I14" s="9"/>
      <c r="J14" s="9"/>
      <c r="K14" s="11"/>
      <c r="L14" s="11"/>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row>
    <row r="15" ht="15.75" customHeight="1">
      <c r="A15" s="32" t="s">
        <v>5</v>
      </c>
      <c r="E15" s="8" t="s">
        <v>88</v>
      </c>
      <c r="F15" s="8" t="s">
        <v>96</v>
      </c>
      <c r="G15" s="149" t="s">
        <v>5685</v>
      </c>
      <c r="H15" s="8" t="s">
        <v>96</v>
      </c>
      <c r="I15" s="9"/>
      <c r="J15" s="9"/>
      <c r="K15" s="11"/>
      <c r="L15" s="11"/>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row>
    <row r="16" ht="15.75" customHeight="1">
      <c r="A16" s="32" t="s">
        <v>5</v>
      </c>
      <c r="E16" s="8" t="s">
        <v>86</v>
      </c>
      <c r="F16" s="62" t="s">
        <v>90</v>
      </c>
      <c r="G16" s="149" t="s">
        <v>5686</v>
      </c>
      <c r="H16" s="62" t="s">
        <v>90</v>
      </c>
      <c r="I16" s="9"/>
      <c r="J16" s="9"/>
      <c r="K16" s="11"/>
      <c r="L16" s="11"/>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row>
    <row r="17" ht="15.75" customHeight="1">
      <c r="A17" s="32" t="s">
        <v>5</v>
      </c>
      <c r="E17" s="8" t="s">
        <v>86</v>
      </c>
      <c r="F17" s="8" t="s">
        <v>91</v>
      </c>
      <c r="G17" s="149" t="s">
        <v>5687</v>
      </c>
      <c r="H17" s="8" t="s">
        <v>91</v>
      </c>
      <c r="I17" s="9"/>
      <c r="J17" s="9"/>
      <c r="K17" s="11"/>
      <c r="L17" s="11"/>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row>
    <row r="18" ht="15.75" customHeight="1">
      <c r="A18" s="32" t="s">
        <v>5</v>
      </c>
      <c r="E18" s="8" t="s">
        <v>104</v>
      </c>
      <c r="F18" s="8" t="s">
        <v>250</v>
      </c>
      <c r="G18" s="149" t="s">
        <v>5688</v>
      </c>
      <c r="H18" s="8" t="s">
        <v>250</v>
      </c>
      <c r="I18" s="9"/>
      <c r="J18" s="9"/>
      <c r="K18" s="11"/>
      <c r="L18" s="11"/>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row>
    <row r="19" ht="15.75" customHeight="1">
      <c r="A19" s="32" t="s">
        <v>5</v>
      </c>
      <c r="E19" s="8" t="s">
        <v>178</v>
      </c>
      <c r="F19" s="8" t="s">
        <v>209</v>
      </c>
      <c r="G19" s="149" t="s">
        <v>5689</v>
      </c>
      <c r="H19" s="8" t="s">
        <v>209</v>
      </c>
      <c r="I19" s="9"/>
      <c r="J19" s="9"/>
      <c r="K19" s="11"/>
      <c r="L19" s="11"/>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row>
    <row r="20" ht="15.75" customHeight="1">
      <c r="A20" s="32" t="s">
        <v>5</v>
      </c>
      <c r="E20" s="8" t="s">
        <v>178</v>
      </c>
      <c r="F20" s="8" t="s">
        <v>210</v>
      </c>
      <c r="G20" s="149" t="s">
        <v>5690</v>
      </c>
      <c r="H20" s="8" t="s">
        <v>210</v>
      </c>
      <c r="J20" s="9"/>
      <c r="K20" s="11"/>
      <c r="L20" s="11"/>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row>
    <row r="21" ht="15.75" customHeight="1">
      <c r="A21" s="32" t="s">
        <v>5</v>
      </c>
      <c r="E21" s="28" t="s">
        <v>88</v>
      </c>
      <c r="F21" s="38" t="s">
        <v>120</v>
      </c>
      <c r="G21" s="149" t="s">
        <v>5691</v>
      </c>
      <c r="H21" s="38" t="s">
        <v>1845</v>
      </c>
      <c r="I21" s="9"/>
      <c r="J21" s="9"/>
      <c r="K21" s="11"/>
      <c r="L21" s="11"/>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row>
    <row r="22" ht="15.75" customHeight="1">
      <c r="A22" s="32" t="s">
        <v>5</v>
      </c>
      <c r="E22" s="28" t="s">
        <v>88</v>
      </c>
      <c r="F22" s="28" t="s">
        <v>544</v>
      </c>
      <c r="G22" s="149" t="s">
        <v>5692</v>
      </c>
      <c r="H22" s="38" t="s">
        <v>544</v>
      </c>
      <c r="I22" s="9"/>
      <c r="J22" s="9"/>
      <c r="K22" s="11"/>
      <c r="L22" s="11"/>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row>
    <row r="23" ht="15.75" customHeight="1">
      <c r="A23" s="32" t="s">
        <v>5</v>
      </c>
      <c r="E23" s="8" t="s">
        <v>88</v>
      </c>
      <c r="F23" s="8" t="s">
        <v>247</v>
      </c>
      <c r="G23" s="149"/>
      <c r="H23" s="36"/>
      <c r="L23" s="11"/>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row>
    <row r="24" ht="15.75" customHeight="1">
      <c r="A24" s="32" t="s">
        <v>5</v>
      </c>
      <c r="E24" s="8" t="s">
        <v>88</v>
      </c>
      <c r="F24" s="8" t="s">
        <v>96</v>
      </c>
      <c r="G24" s="149" t="s">
        <v>5693</v>
      </c>
      <c r="H24" s="8" t="s">
        <v>177</v>
      </c>
      <c r="I24" s="9"/>
      <c r="J24" s="11"/>
      <c r="K24" s="11"/>
      <c r="L24" s="11"/>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row>
    <row r="25" ht="15.75" customHeight="1">
      <c r="A25" s="32" t="s">
        <v>5</v>
      </c>
      <c r="E25" s="28" t="s">
        <v>86</v>
      </c>
      <c r="F25" s="8" t="s">
        <v>338</v>
      </c>
      <c r="G25" s="435" t="s">
        <v>5678</v>
      </c>
      <c r="H25" s="8" t="s">
        <v>338</v>
      </c>
      <c r="I25" s="9"/>
      <c r="J25" s="11"/>
      <c r="K25" s="11"/>
      <c r="L25" s="11"/>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row>
    <row r="26" ht="15.75" customHeight="1">
      <c r="A26" s="32" t="s">
        <v>5</v>
      </c>
      <c r="E26" s="35" t="s">
        <v>104</v>
      </c>
      <c r="F26" s="35" t="s">
        <v>250</v>
      </c>
      <c r="G26" s="159" t="s">
        <v>5679</v>
      </c>
      <c r="H26" s="35" t="s">
        <v>1981</v>
      </c>
      <c r="I26" s="11"/>
      <c r="J26" s="11"/>
      <c r="K26" s="11"/>
      <c r="L26" s="11"/>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row>
    <row r="27" ht="15.75" customHeight="1">
      <c r="A27" s="32" t="s">
        <v>5</v>
      </c>
      <c r="E27" s="35" t="s">
        <v>178</v>
      </c>
      <c r="F27" s="35" t="s">
        <v>210</v>
      </c>
      <c r="G27" s="159" t="s">
        <v>5680</v>
      </c>
      <c r="H27" s="35" t="s">
        <v>1987</v>
      </c>
      <c r="I27" s="11"/>
      <c r="J27" s="11"/>
      <c r="K27" s="11"/>
      <c r="L27" s="11"/>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5"/>
    </row>
    <row r="28" ht="15.75" customHeight="1">
      <c r="A28" s="32" t="s">
        <v>5</v>
      </c>
      <c r="B28" s="552" t="s">
        <v>5694</v>
      </c>
      <c r="C28" s="156" t="s">
        <v>5695</v>
      </c>
      <c r="D28" s="205" t="s">
        <v>20</v>
      </c>
      <c r="E28" s="35" t="s">
        <v>88</v>
      </c>
      <c r="F28" s="35" t="s">
        <v>89</v>
      </c>
      <c r="G28" s="159" t="s">
        <v>5696</v>
      </c>
      <c r="H28" s="35" t="s">
        <v>89</v>
      </c>
      <c r="I28" s="11"/>
      <c r="J28" s="11"/>
      <c r="K28" s="11"/>
      <c r="L28" s="11"/>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row>
    <row r="29" ht="15.75" customHeight="1">
      <c r="A29" s="32" t="s">
        <v>5</v>
      </c>
      <c r="E29" s="8" t="s">
        <v>172</v>
      </c>
      <c r="F29" s="8" t="s">
        <v>194</v>
      </c>
      <c r="G29" s="149" t="s">
        <v>5697</v>
      </c>
      <c r="H29" s="8" t="s">
        <v>194</v>
      </c>
      <c r="I29" s="11"/>
      <c r="J29" s="11"/>
      <c r="K29" s="11"/>
      <c r="L29" s="11"/>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row>
    <row r="30" ht="15.75" customHeight="1">
      <c r="A30" s="32" t="s">
        <v>5</v>
      </c>
      <c r="E30" s="8" t="s">
        <v>172</v>
      </c>
      <c r="F30" s="8" t="s">
        <v>195</v>
      </c>
      <c r="G30" s="149" t="s">
        <v>5698</v>
      </c>
      <c r="H30" s="8" t="s">
        <v>195</v>
      </c>
      <c r="I30" s="11"/>
      <c r="J30" s="11"/>
      <c r="K30" s="11"/>
      <c r="L30" s="11"/>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row>
    <row r="31" ht="15.75" customHeight="1">
      <c r="A31" s="32" t="s">
        <v>5</v>
      </c>
      <c r="E31" s="8" t="s">
        <v>21</v>
      </c>
      <c r="F31" s="8" t="s">
        <v>51</v>
      </c>
      <c r="G31" s="149" t="s">
        <v>5699</v>
      </c>
      <c r="H31" s="8" t="s">
        <v>51</v>
      </c>
      <c r="I31" s="11"/>
      <c r="J31" s="11"/>
      <c r="K31" s="11"/>
      <c r="L31" s="11"/>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row>
    <row r="32" ht="15.75" customHeight="1">
      <c r="A32" s="32" t="s">
        <v>5</v>
      </c>
      <c r="E32" s="28" t="s">
        <v>408</v>
      </c>
      <c r="F32" s="8" t="s">
        <v>408</v>
      </c>
      <c r="G32" s="149" t="s">
        <v>5700</v>
      </c>
      <c r="H32" s="8" t="s">
        <v>408</v>
      </c>
      <c r="I32" s="11"/>
      <c r="J32" s="11"/>
      <c r="K32" s="11"/>
      <c r="L32" s="11"/>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row>
    <row r="33" ht="15.75" customHeight="1">
      <c r="A33" s="32" t="s">
        <v>5</v>
      </c>
      <c r="E33" s="28" t="s">
        <v>88</v>
      </c>
      <c r="F33" s="38" t="s">
        <v>120</v>
      </c>
      <c r="G33" s="149" t="s">
        <v>5701</v>
      </c>
      <c r="H33" s="574" t="s">
        <v>120</v>
      </c>
      <c r="I33" s="11"/>
      <c r="J33" s="11"/>
      <c r="K33" s="11"/>
      <c r="L33" s="11"/>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row>
    <row r="34" ht="15.75" customHeight="1">
      <c r="A34" s="32" t="s">
        <v>5</v>
      </c>
      <c r="E34" s="28" t="s">
        <v>88</v>
      </c>
      <c r="F34" s="38" t="s">
        <v>544</v>
      </c>
      <c r="G34" s="149" t="s">
        <v>5702</v>
      </c>
      <c r="H34" s="35" t="s">
        <v>544</v>
      </c>
      <c r="I34" s="11"/>
      <c r="J34" s="11"/>
      <c r="K34" s="11"/>
      <c r="L34" s="11"/>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row>
    <row r="35" ht="15.75" customHeight="1">
      <c r="A35" s="32" t="s">
        <v>5</v>
      </c>
      <c r="E35" s="8" t="s">
        <v>88</v>
      </c>
      <c r="F35" s="38" t="s">
        <v>247</v>
      </c>
      <c r="G35" s="149"/>
      <c r="H35" s="36"/>
      <c r="L35" s="11"/>
      <c r="M35" s="15"/>
      <c r="N35" s="15"/>
      <c r="O35" s="15"/>
      <c r="P35" s="15"/>
      <c r="Q35" s="15"/>
      <c r="R35" s="15"/>
      <c r="S35" s="15"/>
      <c r="T35" s="15"/>
      <c r="U35" s="15"/>
      <c r="V35" s="15"/>
      <c r="W35" s="15"/>
      <c r="X35" s="15"/>
      <c r="Y35" s="15"/>
      <c r="Z35" s="15"/>
      <c r="AA35" s="15"/>
      <c r="AB35" s="15"/>
      <c r="AC35" s="15"/>
      <c r="AD35" s="15"/>
      <c r="AE35" s="15"/>
      <c r="AF35" s="15"/>
      <c r="AG35" s="15"/>
      <c r="AH35" s="15"/>
      <c r="AI35" s="15"/>
      <c r="AJ35" s="15"/>
      <c r="AK35" s="15"/>
    </row>
    <row r="36" ht="15.75" customHeight="1">
      <c r="A36" s="32" t="s">
        <v>5</v>
      </c>
      <c r="E36" s="35" t="s">
        <v>88</v>
      </c>
      <c r="F36" s="35" t="s">
        <v>96</v>
      </c>
      <c r="G36" s="149" t="s">
        <v>5703</v>
      </c>
      <c r="H36" s="35" t="s">
        <v>96</v>
      </c>
      <c r="I36" s="11"/>
      <c r="J36" s="11"/>
      <c r="K36" s="11"/>
      <c r="L36" s="11"/>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row>
    <row r="37" ht="15.75" customHeight="1">
      <c r="A37" s="32" t="s">
        <v>5</v>
      </c>
      <c r="E37" s="32" t="s">
        <v>86</v>
      </c>
      <c r="F37" s="35" t="s">
        <v>90</v>
      </c>
      <c r="G37" s="149" t="s">
        <v>5704</v>
      </c>
      <c r="H37" s="62" t="s">
        <v>90</v>
      </c>
      <c r="I37" s="11"/>
      <c r="J37" s="11"/>
      <c r="K37" s="11"/>
      <c r="L37" s="11"/>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row>
    <row r="38" ht="15.75" customHeight="1">
      <c r="A38" s="32" t="s">
        <v>5</v>
      </c>
      <c r="E38" s="32" t="s">
        <v>86</v>
      </c>
      <c r="F38" s="35" t="s">
        <v>91</v>
      </c>
      <c r="G38" s="159" t="s">
        <v>5705</v>
      </c>
      <c r="H38" s="35" t="s">
        <v>91</v>
      </c>
      <c r="I38" s="11"/>
      <c r="J38" s="11"/>
      <c r="K38" s="11"/>
      <c r="L38" s="11"/>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row>
    <row r="39" ht="15.75" customHeight="1">
      <c r="A39" s="32" t="s">
        <v>5</v>
      </c>
      <c r="E39" s="65" t="s">
        <v>104</v>
      </c>
      <c r="F39" s="35" t="s">
        <v>250</v>
      </c>
      <c r="G39" s="159" t="s">
        <v>5706</v>
      </c>
      <c r="H39" s="35" t="s">
        <v>250</v>
      </c>
      <c r="I39" s="11"/>
      <c r="J39" s="11"/>
      <c r="K39" s="11"/>
      <c r="L39" s="11"/>
      <c r="M39" s="15"/>
      <c r="N39" s="15"/>
      <c r="O39" s="15"/>
      <c r="P39" s="15"/>
      <c r="Q39" s="15"/>
      <c r="R39" s="15"/>
      <c r="S39" s="15"/>
      <c r="T39" s="15"/>
      <c r="U39" s="15"/>
      <c r="V39" s="15"/>
      <c r="W39" s="15"/>
      <c r="X39" s="15"/>
      <c r="Y39" s="15"/>
      <c r="Z39" s="15"/>
      <c r="AA39" s="15"/>
      <c r="AB39" s="15"/>
      <c r="AC39" s="15"/>
      <c r="AD39" s="15"/>
      <c r="AE39" s="15"/>
      <c r="AF39" s="15"/>
      <c r="AG39" s="15"/>
      <c r="AH39" s="15"/>
      <c r="AI39" s="15"/>
      <c r="AJ39" s="15"/>
      <c r="AK39" s="15"/>
    </row>
    <row r="40" ht="15.75" customHeight="1">
      <c r="A40" s="32" t="s">
        <v>5</v>
      </c>
      <c r="E40" s="8" t="s">
        <v>178</v>
      </c>
      <c r="F40" s="8" t="s">
        <v>209</v>
      </c>
      <c r="G40" s="149" t="s">
        <v>5707</v>
      </c>
      <c r="H40" s="8" t="s">
        <v>209</v>
      </c>
      <c r="I40" s="11"/>
      <c r="J40" s="11"/>
      <c r="K40" s="11"/>
      <c r="L40" s="11"/>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row>
    <row r="41" ht="15.75" customHeight="1">
      <c r="A41" s="32" t="s">
        <v>5</v>
      </c>
      <c r="E41" s="8" t="s">
        <v>178</v>
      </c>
      <c r="F41" s="8" t="s">
        <v>210</v>
      </c>
      <c r="G41" s="435" t="s">
        <v>5708</v>
      </c>
      <c r="H41" s="8" t="s">
        <v>210</v>
      </c>
      <c r="I41" s="11"/>
      <c r="J41" s="11"/>
      <c r="K41" s="11"/>
      <c r="L41" s="11"/>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row>
    <row r="42" ht="15.75" customHeight="1">
      <c r="A42" s="32" t="s">
        <v>5</v>
      </c>
      <c r="E42" s="32" t="s">
        <v>88</v>
      </c>
      <c r="F42" s="32" t="s">
        <v>120</v>
      </c>
      <c r="G42" s="171" t="s">
        <v>5709</v>
      </c>
      <c r="H42" s="32" t="s">
        <v>1845</v>
      </c>
      <c r="I42" s="11"/>
      <c r="J42" s="11"/>
      <c r="K42" s="11"/>
      <c r="L42" s="11"/>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row>
    <row r="43" ht="15.75" customHeight="1">
      <c r="A43" s="32" t="s">
        <v>5</v>
      </c>
      <c r="E43" s="32" t="s">
        <v>88</v>
      </c>
      <c r="F43" s="32" t="s">
        <v>544</v>
      </c>
      <c r="G43" s="171" t="s">
        <v>5702</v>
      </c>
      <c r="H43" s="32" t="s">
        <v>544</v>
      </c>
      <c r="I43" s="11"/>
      <c r="J43" s="11"/>
      <c r="K43" s="11"/>
      <c r="L43" s="11"/>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row>
    <row r="44" ht="15.75" customHeight="1">
      <c r="A44" s="32" t="s">
        <v>5</v>
      </c>
      <c r="E44" s="32" t="s">
        <v>88</v>
      </c>
      <c r="F44" s="32" t="s">
        <v>247</v>
      </c>
      <c r="G44" s="387"/>
      <c r="H44" s="36"/>
      <c r="L44" s="11"/>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row>
    <row r="45" ht="15.75" customHeight="1">
      <c r="A45" s="32" t="s">
        <v>5</v>
      </c>
      <c r="E45" s="32" t="s">
        <v>88</v>
      </c>
      <c r="F45" s="32" t="s">
        <v>96</v>
      </c>
      <c r="G45" s="171" t="s">
        <v>5710</v>
      </c>
      <c r="H45" s="32" t="s">
        <v>177</v>
      </c>
      <c r="I45" s="11"/>
      <c r="J45" s="11"/>
      <c r="K45" s="11"/>
      <c r="L45" s="11"/>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row>
    <row r="46" ht="15.75" customHeight="1">
      <c r="A46" s="32" t="s">
        <v>5</v>
      </c>
      <c r="E46" s="32" t="s">
        <v>86</v>
      </c>
      <c r="F46" s="32" t="s">
        <v>91</v>
      </c>
      <c r="G46" s="171" t="s">
        <v>5711</v>
      </c>
      <c r="H46" s="32" t="s">
        <v>1834</v>
      </c>
      <c r="I46" s="11"/>
      <c r="J46" s="11"/>
      <c r="K46" s="11"/>
      <c r="L46" s="11"/>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row>
    <row r="47" ht="15.75" customHeight="1">
      <c r="A47" s="32" t="s">
        <v>5</v>
      </c>
      <c r="E47" s="32" t="s">
        <v>104</v>
      </c>
      <c r="F47" s="32" t="s">
        <v>250</v>
      </c>
      <c r="G47" s="171" t="s">
        <v>5712</v>
      </c>
      <c r="H47" s="32" t="s">
        <v>1981</v>
      </c>
      <c r="I47" s="11"/>
      <c r="J47" s="11"/>
      <c r="K47" s="11"/>
      <c r="L47" s="11"/>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row>
    <row r="48" ht="15.75" customHeight="1">
      <c r="A48" s="32" t="s">
        <v>5</v>
      </c>
      <c r="E48" s="32" t="s">
        <v>178</v>
      </c>
      <c r="F48" s="32" t="s">
        <v>210</v>
      </c>
      <c r="G48" s="171" t="s">
        <v>5713</v>
      </c>
      <c r="H48" s="32" t="s">
        <v>1987</v>
      </c>
      <c r="I48" s="11"/>
      <c r="J48" s="11"/>
      <c r="K48" s="11"/>
      <c r="L48" s="11"/>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row>
    <row r="49" ht="15.75" customHeight="1">
      <c r="A49" s="32" t="s">
        <v>5</v>
      </c>
      <c r="E49" s="32" t="s">
        <v>88</v>
      </c>
      <c r="F49" s="32" t="s">
        <v>120</v>
      </c>
      <c r="G49" s="171" t="s">
        <v>5714</v>
      </c>
      <c r="H49" s="32" t="s">
        <v>1824</v>
      </c>
      <c r="I49" s="11"/>
      <c r="J49" s="11"/>
      <c r="K49" s="11"/>
      <c r="L49" s="11"/>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row>
    <row r="50" ht="15.75" customHeight="1">
      <c r="A50" s="32" t="s">
        <v>5</v>
      </c>
      <c r="E50" s="32" t="s">
        <v>88</v>
      </c>
      <c r="F50" s="32" t="s">
        <v>544</v>
      </c>
      <c r="G50" s="171" t="s">
        <v>5715</v>
      </c>
      <c r="H50" s="32" t="s">
        <v>2608</v>
      </c>
      <c r="I50" s="11"/>
      <c r="J50" s="11"/>
      <c r="K50" s="11"/>
      <c r="L50" s="11"/>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row>
    <row r="51" ht="15.75" customHeight="1">
      <c r="A51" s="32" t="s">
        <v>5</v>
      </c>
      <c r="E51" s="32" t="s">
        <v>88</v>
      </c>
      <c r="F51" s="32" t="s">
        <v>247</v>
      </c>
      <c r="G51" s="387"/>
      <c r="H51" s="36"/>
      <c r="L51" s="11"/>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row>
    <row r="52" ht="15.75" customHeight="1">
      <c r="A52" s="32" t="s">
        <v>5</v>
      </c>
      <c r="E52" s="32" t="s">
        <v>88</v>
      </c>
      <c r="F52" s="32" t="s">
        <v>96</v>
      </c>
      <c r="G52" s="171" t="s">
        <v>5716</v>
      </c>
      <c r="H52" s="32" t="s">
        <v>337</v>
      </c>
      <c r="I52" s="11"/>
      <c r="J52" s="11"/>
      <c r="K52" s="11"/>
      <c r="L52" s="11"/>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row>
    <row r="53" ht="15.75" customHeight="1">
      <c r="A53" s="32" t="s">
        <v>5</v>
      </c>
      <c r="E53" s="32" t="s">
        <v>86</v>
      </c>
      <c r="F53" s="32" t="s">
        <v>91</v>
      </c>
      <c r="G53" s="171" t="s">
        <v>5717</v>
      </c>
      <c r="H53" s="32" t="s">
        <v>5718</v>
      </c>
      <c r="I53" s="11"/>
      <c r="J53" s="11"/>
      <c r="K53" s="11"/>
      <c r="L53" s="11"/>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row>
    <row r="54" ht="15.75" customHeight="1">
      <c r="A54" s="32" t="s">
        <v>5</v>
      </c>
      <c r="E54" s="32" t="s">
        <v>104</v>
      </c>
      <c r="F54" s="32" t="s">
        <v>250</v>
      </c>
      <c r="G54" s="171" t="s">
        <v>5719</v>
      </c>
      <c r="H54" s="32" t="s">
        <v>4160</v>
      </c>
      <c r="I54" s="11"/>
      <c r="J54" s="11"/>
      <c r="K54" s="11"/>
      <c r="L54" s="11"/>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row>
    <row r="55" ht="15.75" customHeight="1">
      <c r="A55" s="32" t="s">
        <v>5</v>
      </c>
      <c r="E55" s="32" t="s">
        <v>178</v>
      </c>
      <c r="F55" s="32" t="s">
        <v>210</v>
      </c>
      <c r="G55" s="171" t="s">
        <v>5720</v>
      </c>
      <c r="H55" s="32" t="s">
        <v>2037</v>
      </c>
      <c r="I55" s="11"/>
      <c r="J55" s="11"/>
      <c r="K55" s="11"/>
      <c r="L55" s="11"/>
      <c r="M55" s="15"/>
      <c r="N55" s="15"/>
      <c r="O55" s="15"/>
      <c r="P55" s="15"/>
      <c r="Q55" s="15"/>
      <c r="R55" s="15"/>
      <c r="S55" s="15"/>
      <c r="T55" s="15"/>
      <c r="U55" s="15"/>
      <c r="V55" s="15"/>
      <c r="W55" s="15"/>
      <c r="X55" s="15"/>
      <c r="Y55" s="15"/>
      <c r="Z55" s="15"/>
      <c r="AA55" s="15"/>
      <c r="AB55" s="15"/>
      <c r="AC55" s="15"/>
      <c r="AD55" s="15"/>
      <c r="AE55" s="15"/>
      <c r="AF55" s="15"/>
      <c r="AG55" s="15"/>
      <c r="AH55" s="15"/>
      <c r="AI55" s="15"/>
      <c r="AJ55" s="15"/>
      <c r="AK55" s="15"/>
    </row>
    <row r="56" ht="15.75" customHeight="1">
      <c r="A56" s="32" t="s">
        <v>5</v>
      </c>
      <c r="B56" s="66" t="s">
        <v>5721</v>
      </c>
      <c r="C56" s="66" t="s">
        <v>5722</v>
      </c>
      <c r="D56" s="32" t="s">
        <v>20</v>
      </c>
      <c r="E56" s="32" t="s">
        <v>88</v>
      </c>
      <c r="F56" s="32" t="s">
        <v>89</v>
      </c>
      <c r="G56" s="171" t="s">
        <v>5723</v>
      </c>
      <c r="H56" s="32" t="s">
        <v>89</v>
      </c>
      <c r="I56" s="11"/>
      <c r="J56" s="11"/>
      <c r="K56" s="11"/>
      <c r="L56" s="11"/>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row>
    <row r="57" ht="15.75" customHeight="1">
      <c r="A57" s="32" t="s">
        <v>5</v>
      </c>
      <c r="E57" s="32" t="s">
        <v>172</v>
      </c>
      <c r="F57" s="32" t="s">
        <v>194</v>
      </c>
      <c r="G57" s="171" t="s">
        <v>5724</v>
      </c>
      <c r="H57" s="32" t="s">
        <v>194</v>
      </c>
      <c r="I57" s="11"/>
      <c r="J57" s="11"/>
      <c r="K57" s="11"/>
      <c r="L57" s="11"/>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row>
    <row r="58" ht="15.75" customHeight="1">
      <c r="A58" s="32" t="s">
        <v>5</v>
      </c>
      <c r="E58" s="32" t="s">
        <v>172</v>
      </c>
      <c r="F58" s="32" t="s">
        <v>195</v>
      </c>
      <c r="G58" s="171" t="s">
        <v>5725</v>
      </c>
      <c r="H58" s="32" t="s">
        <v>195</v>
      </c>
      <c r="I58" s="11"/>
      <c r="J58" s="11"/>
      <c r="K58" s="11"/>
      <c r="L58" s="11"/>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row>
    <row r="59" ht="15.75" customHeight="1">
      <c r="A59" s="32" t="s">
        <v>5</v>
      </c>
      <c r="E59" s="32" t="s">
        <v>21</v>
      </c>
      <c r="F59" s="32" t="s">
        <v>51</v>
      </c>
      <c r="G59" s="171" t="s">
        <v>5726</v>
      </c>
      <c r="H59" s="32" t="s">
        <v>51</v>
      </c>
      <c r="I59" s="11"/>
      <c r="J59" s="11"/>
      <c r="K59" s="11"/>
      <c r="L59" s="11"/>
      <c r="M59" s="15"/>
      <c r="N59" s="15"/>
      <c r="O59" s="15"/>
      <c r="P59" s="15"/>
      <c r="Q59" s="15"/>
      <c r="R59" s="15"/>
      <c r="S59" s="15"/>
      <c r="T59" s="15"/>
      <c r="U59" s="15"/>
      <c r="V59" s="15"/>
      <c r="W59" s="15"/>
      <c r="X59" s="15"/>
      <c r="Y59" s="15"/>
      <c r="Z59" s="15"/>
      <c r="AA59" s="15"/>
      <c r="AB59" s="15"/>
      <c r="AC59" s="15"/>
      <c r="AD59" s="15"/>
      <c r="AE59" s="15"/>
      <c r="AF59" s="15"/>
      <c r="AG59" s="15"/>
      <c r="AH59" s="15"/>
      <c r="AI59" s="15"/>
      <c r="AJ59" s="15"/>
      <c r="AK59" s="15"/>
    </row>
    <row r="60" ht="15.75" customHeight="1">
      <c r="A60" s="32" t="s">
        <v>5</v>
      </c>
      <c r="E60" s="32" t="s">
        <v>408</v>
      </c>
      <c r="F60" s="32" t="s">
        <v>408</v>
      </c>
      <c r="G60" s="171" t="s">
        <v>5727</v>
      </c>
      <c r="H60" s="32" t="s">
        <v>408</v>
      </c>
      <c r="I60" s="11"/>
      <c r="J60" s="11"/>
      <c r="K60" s="11"/>
      <c r="L60" s="11"/>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row>
    <row r="61" ht="15.75" customHeight="1">
      <c r="A61" s="32" t="s">
        <v>5</v>
      </c>
      <c r="E61" s="32" t="s">
        <v>88</v>
      </c>
      <c r="F61" s="32" t="s">
        <v>120</v>
      </c>
      <c r="G61" s="171" t="s">
        <v>5728</v>
      </c>
      <c r="H61" s="32" t="s">
        <v>120</v>
      </c>
      <c r="I61" s="11"/>
      <c r="J61" s="11"/>
      <c r="K61" s="11"/>
      <c r="L61" s="11"/>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row>
    <row r="62" ht="15.75" customHeight="1">
      <c r="A62" s="32" t="s">
        <v>5</v>
      </c>
      <c r="E62" s="32" t="s">
        <v>88</v>
      </c>
      <c r="F62" s="32" t="s">
        <v>544</v>
      </c>
      <c r="G62" s="171" t="s">
        <v>5729</v>
      </c>
      <c r="H62" s="32" t="s">
        <v>544</v>
      </c>
      <c r="I62" s="11"/>
      <c r="J62" s="11"/>
      <c r="K62" s="11"/>
      <c r="L62" s="11"/>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row>
    <row r="63" ht="15.75" customHeight="1">
      <c r="A63" s="32" t="s">
        <v>5</v>
      </c>
      <c r="E63" s="32" t="s">
        <v>88</v>
      </c>
      <c r="F63" s="32" t="s">
        <v>247</v>
      </c>
      <c r="G63" s="387"/>
      <c r="H63" s="36"/>
      <c r="L63" s="11"/>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row>
    <row r="64" ht="15.75" customHeight="1">
      <c r="A64" s="32" t="s">
        <v>5</v>
      </c>
      <c r="E64" s="32" t="s">
        <v>88</v>
      </c>
      <c r="F64" s="32" t="s">
        <v>95</v>
      </c>
      <c r="G64" s="171" t="s">
        <v>5730</v>
      </c>
      <c r="H64" s="32" t="s">
        <v>95</v>
      </c>
      <c r="I64" s="11"/>
      <c r="J64" s="11"/>
      <c r="K64" s="11"/>
      <c r="L64" s="11"/>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row>
    <row r="65" ht="15.75" customHeight="1">
      <c r="A65" s="32" t="s">
        <v>5</v>
      </c>
      <c r="E65" s="32" t="s">
        <v>88</v>
      </c>
      <c r="F65" s="32" t="s">
        <v>96</v>
      </c>
      <c r="G65" s="171" t="s">
        <v>5731</v>
      </c>
      <c r="H65" s="32" t="s">
        <v>96</v>
      </c>
      <c r="I65" s="11"/>
      <c r="J65" s="11"/>
      <c r="K65" s="11"/>
      <c r="L65" s="11"/>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row>
    <row r="66" ht="15.75" customHeight="1">
      <c r="A66" s="32" t="s">
        <v>5</v>
      </c>
      <c r="E66" s="32" t="s">
        <v>86</v>
      </c>
      <c r="F66" s="32" t="s">
        <v>90</v>
      </c>
      <c r="G66" s="171" t="s">
        <v>5732</v>
      </c>
      <c r="H66" s="32" t="s">
        <v>90</v>
      </c>
      <c r="I66" s="11"/>
      <c r="J66" s="11"/>
      <c r="K66" s="11"/>
      <c r="L66" s="11"/>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row>
    <row r="67" ht="15.75" customHeight="1">
      <c r="A67" s="32" t="s">
        <v>5</v>
      </c>
      <c r="E67" s="32" t="s">
        <v>86</v>
      </c>
      <c r="F67" s="32" t="s">
        <v>91</v>
      </c>
      <c r="G67" s="171" t="s">
        <v>5733</v>
      </c>
      <c r="H67" s="32" t="s">
        <v>91</v>
      </c>
      <c r="I67" s="11"/>
      <c r="J67" s="11"/>
      <c r="K67" s="11"/>
      <c r="L67" s="11"/>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row>
    <row r="68" ht="15.75" customHeight="1">
      <c r="A68" s="32" t="s">
        <v>5</v>
      </c>
      <c r="E68" s="32" t="s">
        <v>86</v>
      </c>
      <c r="F68" s="32" t="s">
        <v>338</v>
      </c>
      <c r="G68" s="171" t="s">
        <v>5734</v>
      </c>
      <c r="H68" s="32" t="s">
        <v>338</v>
      </c>
      <c r="I68" s="11"/>
      <c r="J68" s="11"/>
      <c r="K68" s="11"/>
      <c r="L68" s="11"/>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row>
    <row r="69" ht="15.75" customHeight="1">
      <c r="A69" s="32" t="s">
        <v>5</v>
      </c>
      <c r="E69" s="32" t="s">
        <v>178</v>
      </c>
      <c r="F69" s="32" t="s">
        <v>209</v>
      </c>
      <c r="G69" s="171" t="s">
        <v>5735</v>
      </c>
      <c r="H69" s="32" t="s">
        <v>209</v>
      </c>
      <c r="I69" s="11"/>
      <c r="J69" s="11"/>
      <c r="K69" s="11"/>
      <c r="L69" s="11"/>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row>
    <row r="70" ht="15.75" customHeight="1">
      <c r="A70" s="32" t="s">
        <v>5</v>
      </c>
      <c r="E70" s="32" t="s">
        <v>178</v>
      </c>
      <c r="F70" s="32" t="s">
        <v>210</v>
      </c>
      <c r="G70" s="171" t="s">
        <v>5736</v>
      </c>
      <c r="H70" s="32" t="s">
        <v>210</v>
      </c>
      <c r="I70" s="11"/>
      <c r="J70" s="11"/>
      <c r="K70" s="11"/>
      <c r="L70" s="11"/>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row>
    <row r="71" ht="15.75" customHeight="1">
      <c r="A71" s="32" t="s">
        <v>5</v>
      </c>
      <c r="E71" s="32" t="s">
        <v>104</v>
      </c>
      <c r="F71" s="32" t="s">
        <v>250</v>
      </c>
      <c r="G71" s="171" t="s">
        <v>5737</v>
      </c>
      <c r="H71" s="32" t="s">
        <v>250</v>
      </c>
      <c r="I71" s="11"/>
      <c r="J71" s="11"/>
      <c r="K71" s="11"/>
      <c r="L71" s="11"/>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row>
    <row r="72" ht="15.75" customHeight="1">
      <c r="A72" s="32" t="s">
        <v>5</v>
      </c>
      <c r="B72" s="66" t="s">
        <v>5738</v>
      </c>
      <c r="C72" s="66" t="s">
        <v>5739</v>
      </c>
      <c r="D72" s="32" t="s">
        <v>20</v>
      </c>
      <c r="E72" s="32" t="s">
        <v>88</v>
      </c>
      <c r="F72" s="32" t="s">
        <v>89</v>
      </c>
      <c r="G72" s="171" t="s">
        <v>5740</v>
      </c>
      <c r="H72" s="32" t="s">
        <v>89</v>
      </c>
      <c r="I72" s="11"/>
      <c r="J72" s="11"/>
      <c r="K72" s="11"/>
      <c r="L72" s="11"/>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row>
    <row r="73" ht="15.75" customHeight="1">
      <c r="A73" s="32" t="s">
        <v>5</v>
      </c>
      <c r="E73" s="32" t="s">
        <v>172</v>
      </c>
      <c r="F73" s="32" t="s">
        <v>194</v>
      </c>
      <c r="G73" s="171" t="s">
        <v>5741</v>
      </c>
      <c r="H73" s="32" t="s">
        <v>194</v>
      </c>
      <c r="I73" s="11"/>
      <c r="J73" s="11"/>
      <c r="K73" s="11"/>
      <c r="L73" s="11"/>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row>
    <row r="74" ht="15.75" customHeight="1">
      <c r="A74" s="32" t="s">
        <v>5</v>
      </c>
      <c r="E74" s="32" t="s">
        <v>172</v>
      </c>
      <c r="F74" s="32" t="s">
        <v>195</v>
      </c>
      <c r="G74" s="171" t="s">
        <v>5742</v>
      </c>
      <c r="H74" s="32" t="s">
        <v>195</v>
      </c>
      <c r="I74" s="11"/>
      <c r="J74" s="11"/>
      <c r="K74" s="11"/>
      <c r="L74" s="11"/>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row>
    <row r="75" ht="15.75" customHeight="1">
      <c r="A75" s="32" t="s">
        <v>5</v>
      </c>
      <c r="E75" s="32" t="s">
        <v>21</v>
      </c>
      <c r="F75" s="32" t="s">
        <v>51</v>
      </c>
      <c r="G75" s="171" t="s">
        <v>5743</v>
      </c>
      <c r="H75" s="32" t="s">
        <v>51</v>
      </c>
      <c r="L75" s="11"/>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row>
    <row r="76" ht="15.75" customHeight="1">
      <c r="A76" s="32" t="s">
        <v>5</v>
      </c>
      <c r="E76" s="32" t="s">
        <v>408</v>
      </c>
      <c r="F76" s="32" t="s">
        <v>408</v>
      </c>
      <c r="G76" s="171" t="s">
        <v>5744</v>
      </c>
      <c r="H76" s="32" t="s">
        <v>408</v>
      </c>
      <c r="I76" s="11"/>
      <c r="J76" s="11"/>
      <c r="K76" s="11"/>
      <c r="L76" s="11"/>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row>
    <row r="77" ht="15.75" customHeight="1">
      <c r="A77" s="32" t="s">
        <v>5</v>
      </c>
      <c r="E77" s="32" t="s">
        <v>88</v>
      </c>
      <c r="F77" s="32" t="s">
        <v>120</v>
      </c>
      <c r="G77" s="171" t="s">
        <v>5745</v>
      </c>
      <c r="H77" s="32" t="s">
        <v>120</v>
      </c>
      <c r="I77" s="11"/>
      <c r="J77" s="11"/>
      <c r="K77" s="11"/>
      <c r="L77" s="11"/>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row>
    <row r="78" ht="15.75" customHeight="1">
      <c r="A78" s="32" t="s">
        <v>5</v>
      </c>
      <c r="E78" s="32" t="s">
        <v>88</v>
      </c>
      <c r="F78" s="32" t="s">
        <v>544</v>
      </c>
      <c r="G78" s="171" t="s">
        <v>5746</v>
      </c>
      <c r="H78" s="32" t="s">
        <v>544</v>
      </c>
      <c r="I78" s="11"/>
      <c r="J78" s="11"/>
      <c r="K78" s="11"/>
      <c r="L78" s="11"/>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row>
    <row r="79" ht="15.75" customHeight="1">
      <c r="A79" s="32" t="s">
        <v>5</v>
      </c>
      <c r="E79" s="32" t="s">
        <v>88</v>
      </c>
      <c r="F79" s="32" t="s">
        <v>247</v>
      </c>
      <c r="G79" s="387"/>
      <c r="H79" s="15"/>
      <c r="I79" s="11"/>
      <c r="J79" s="11"/>
      <c r="K79" s="11"/>
      <c r="L79" s="11"/>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row>
    <row r="80" ht="15.75" customHeight="1">
      <c r="A80" s="32" t="s">
        <v>5</v>
      </c>
      <c r="E80" s="32" t="s">
        <v>88</v>
      </c>
      <c r="F80" s="32" t="s">
        <v>95</v>
      </c>
      <c r="G80" s="171" t="s">
        <v>5747</v>
      </c>
      <c r="H80" s="32" t="s">
        <v>95</v>
      </c>
      <c r="I80" s="11"/>
      <c r="J80" s="11"/>
      <c r="K80" s="11"/>
      <c r="L80" s="11"/>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row>
    <row r="81" ht="15.75" customHeight="1">
      <c r="A81" s="32" t="s">
        <v>5</v>
      </c>
      <c r="E81" s="32" t="s">
        <v>88</v>
      </c>
      <c r="F81" s="32" t="s">
        <v>96</v>
      </c>
      <c r="G81" s="171" t="s">
        <v>5748</v>
      </c>
      <c r="H81" s="32" t="s">
        <v>96</v>
      </c>
      <c r="I81" s="11"/>
      <c r="J81" s="11"/>
      <c r="K81" s="11"/>
      <c r="L81" s="11"/>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row>
    <row r="82" ht="15.75" customHeight="1">
      <c r="A82" s="32" t="s">
        <v>5</v>
      </c>
      <c r="E82" s="32" t="s">
        <v>86</v>
      </c>
      <c r="F82" s="32" t="s">
        <v>90</v>
      </c>
      <c r="G82" s="171" t="s">
        <v>5749</v>
      </c>
      <c r="H82" s="32" t="s">
        <v>90</v>
      </c>
      <c r="I82" s="11"/>
      <c r="J82" s="11"/>
      <c r="K82" s="11"/>
      <c r="L82" s="11"/>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row>
    <row r="83" ht="15.75" customHeight="1">
      <c r="A83" s="32" t="s">
        <v>5</v>
      </c>
      <c r="E83" s="32" t="s">
        <v>86</v>
      </c>
      <c r="F83" s="32" t="s">
        <v>91</v>
      </c>
      <c r="G83" s="171" t="s">
        <v>5750</v>
      </c>
      <c r="H83" s="32" t="s">
        <v>91</v>
      </c>
      <c r="I83" s="11"/>
      <c r="J83" s="11"/>
      <c r="K83" s="11"/>
      <c r="L83" s="11"/>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row>
    <row r="84" ht="15.75" customHeight="1">
      <c r="A84" s="32" t="s">
        <v>5</v>
      </c>
      <c r="E84" s="32" t="s">
        <v>178</v>
      </c>
      <c r="F84" s="32" t="s">
        <v>209</v>
      </c>
      <c r="G84" s="171" t="s">
        <v>5751</v>
      </c>
      <c r="H84" s="32" t="s">
        <v>209</v>
      </c>
      <c r="I84" s="11"/>
      <c r="J84" s="11"/>
      <c r="K84" s="11"/>
      <c r="L84" s="11"/>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row>
    <row r="85" ht="15.75" customHeight="1">
      <c r="A85" s="32" t="s">
        <v>5</v>
      </c>
      <c r="E85" s="32" t="s">
        <v>178</v>
      </c>
      <c r="F85" s="32" t="s">
        <v>210</v>
      </c>
      <c r="G85" s="171" t="s">
        <v>5752</v>
      </c>
      <c r="H85" s="32" t="s">
        <v>210</v>
      </c>
      <c r="I85" s="11"/>
      <c r="J85" s="11"/>
      <c r="K85" s="11"/>
      <c r="L85" s="11"/>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row>
    <row r="86" ht="15.75" customHeight="1">
      <c r="A86" s="32" t="s">
        <v>5</v>
      </c>
      <c r="E86" s="32" t="s">
        <v>104</v>
      </c>
      <c r="F86" s="32" t="s">
        <v>250</v>
      </c>
      <c r="G86" s="171" t="s">
        <v>5753</v>
      </c>
      <c r="H86" s="32" t="s">
        <v>250</v>
      </c>
      <c r="I86" s="11"/>
      <c r="J86" s="11"/>
      <c r="K86" s="11"/>
      <c r="L86" s="11"/>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row>
    <row r="87" ht="15.75" customHeight="1">
      <c r="A87" s="176" t="s">
        <v>5</v>
      </c>
      <c r="B87" s="219" t="s">
        <v>5754</v>
      </c>
      <c r="C87" s="176" t="s">
        <v>5</v>
      </c>
      <c r="D87" s="176" t="s">
        <v>20</v>
      </c>
      <c r="E87" s="176" t="s">
        <v>89</v>
      </c>
      <c r="F87" s="176" t="s">
        <v>291</v>
      </c>
      <c r="G87" s="575"/>
      <c r="H87" s="575"/>
      <c r="I87" s="199"/>
      <c r="J87" s="199"/>
      <c r="K87" s="199"/>
      <c r="L87" s="199"/>
      <c r="M87" s="199"/>
      <c r="N87" s="199"/>
      <c r="O87" s="199"/>
      <c r="P87" s="199"/>
      <c r="Q87" s="199"/>
      <c r="R87" s="199"/>
      <c r="S87" s="199"/>
      <c r="T87" s="199"/>
      <c r="U87" s="199"/>
      <c r="V87" s="199"/>
      <c r="W87" s="199"/>
      <c r="X87" s="199"/>
      <c r="Y87" s="199"/>
      <c r="Z87" s="199"/>
      <c r="AA87" s="199"/>
      <c r="AB87" s="199"/>
      <c r="AC87" s="199"/>
      <c r="AD87" s="199"/>
      <c r="AE87" s="199"/>
      <c r="AF87" s="199"/>
      <c r="AG87" s="199"/>
      <c r="AH87" s="199"/>
      <c r="AI87" s="199"/>
      <c r="AJ87" s="199"/>
      <c r="AK87" s="199"/>
    </row>
    <row r="88" ht="15.75" customHeight="1">
      <c r="A88" s="176" t="s">
        <v>5</v>
      </c>
      <c r="B88" s="176" t="s">
        <v>5755</v>
      </c>
      <c r="C88" s="176" t="s">
        <v>5756</v>
      </c>
      <c r="D88" s="576" t="s">
        <v>20</v>
      </c>
      <c r="E88" s="176" t="s">
        <v>88</v>
      </c>
      <c r="F88" s="176" t="s">
        <v>89</v>
      </c>
      <c r="G88" s="178" t="s">
        <v>5757</v>
      </c>
      <c r="H88" s="176" t="s">
        <v>89</v>
      </c>
      <c r="I88" s="199"/>
      <c r="J88" s="199"/>
      <c r="K88" s="199"/>
      <c r="L88" s="199"/>
      <c r="M88" s="199"/>
      <c r="N88" s="199"/>
      <c r="O88" s="199"/>
      <c r="P88" s="199"/>
      <c r="Q88" s="199"/>
      <c r="R88" s="199"/>
      <c r="S88" s="199"/>
      <c r="T88" s="199"/>
      <c r="U88" s="199"/>
      <c r="V88" s="199"/>
      <c r="W88" s="199"/>
      <c r="X88" s="199"/>
      <c r="Y88" s="199"/>
      <c r="Z88" s="199"/>
      <c r="AA88" s="199"/>
      <c r="AB88" s="199"/>
      <c r="AC88" s="199"/>
      <c r="AD88" s="199"/>
      <c r="AE88" s="199"/>
      <c r="AF88" s="199"/>
      <c r="AG88" s="199"/>
      <c r="AH88" s="199"/>
      <c r="AI88" s="199"/>
      <c r="AJ88" s="199"/>
      <c r="AK88" s="199"/>
    </row>
    <row r="89" ht="15.75" customHeight="1">
      <c r="A89" s="176" t="s">
        <v>5</v>
      </c>
      <c r="E89" s="176" t="s">
        <v>172</v>
      </c>
      <c r="F89" s="176" t="s">
        <v>194</v>
      </c>
      <c r="G89" s="178" t="s">
        <v>5758</v>
      </c>
      <c r="H89" s="176" t="s">
        <v>194</v>
      </c>
      <c r="I89" s="199"/>
      <c r="J89" s="199"/>
      <c r="K89" s="199"/>
      <c r="L89" s="199"/>
      <c r="M89" s="199"/>
      <c r="N89" s="199"/>
      <c r="O89" s="199"/>
      <c r="P89" s="199"/>
      <c r="Q89" s="199"/>
      <c r="R89" s="199"/>
      <c r="S89" s="199"/>
      <c r="T89" s="199"/>
      <c r="U89" s="199"/>
      <c r="V89" s="199"/>
      <c r="W89" s="199"/>
      <c r="X89" s="199"/>
      <c r="Y89" s="199"/>
      <c r="Z89" s="199"/>
      <c r="AA89" s="199"/>
      <c r="AB89" s="199"/>
      <c r="AC89" s="199"/>
      <c r="AD89" s="199"/>
      <c r="AE89" s="199"/>
      <c r="AF89" s="199"/>
      <c r="AG89" s="199"/>
      <c r="AH89" s="199"/>
      <c r="AI89" s="199"/>
      <c r="AJ89" s="199"/>
      <c r="AK89" s="199"/>
    </row>
    <row r="90" ht="15.75" customHeight="1">
      <c r="A90" s="176" t="s">
        <v>5</v>
      </c>
      <c r="E90" s="176" t="s">
        <v>172</v>
      </c>
      <c r="F90" s="176" t="s">
        <v>195</v>
      </c>
      <c r="G90" s="178" t="s">
        <v>5759</v>
      </c>
      <c r="H90" s="176" t="s">
        <v>195</v>
      </c>
      <c r="I90" s="199"/>
      <c r="J90" s="199"/>
      <c r="K90" s="199"/>
      <c r="L90" s="199"/>
      <c r="M90" s="199"/>
      <c r="N90" s="199"/>
      <c r="O90" s="199"/>
      <c r="P90" s="199"/>
      <c r="Q90" s="199"/>
      <c r="R90" s="199"/>
      <c r="S90" s="199"/>
      <c r="T90" s="199"/>
      <c r="U90" s="199"/>
      <c r="V90" s="199"/>
      <c r="W90" s="199"/>
      <c r="X90" s="199"/>
      <c r="Y90" s="199"/>
      <c r="Z90" s="199"/>
      <c r="AA90" s="199"/>
      <c r="AB90" s="199"/>
      <c r="AC90" s="199"/>
      <c r="AD90" s="199"/>
      <c r="AE90" s="199"/>
      <c r="AF90" s="199"/>
      <c r="AG90" s="199"/>
      <c r="AH90" s="199"/>
      <c r="AI90" s="199"/>
      <c r="AJ90" s="199"/>
      <c r="AK90" s="199"/>
    </row>
    <row r="91" ht="15.75" customHeight="1">
      <c r="A91" s="176" t="s">
        <v>5</v>
      </c>
      <c r="E91" s="176" t="s">
        <v>21</v>
      </c>
      <c r="F91" s="176" t="s">
        <v>51</v>
      </c>
      <c r="G91" s="178" t="s">
        <v>5760</v>
      </c>
      <c r="H91" s="176" t="s">
        <v>51</v>
      </c>
      <c r="I91" s="199"/>
      <c r="J91" s="199"/>
      <c r="K91" s="199"/>
      <c r="L91" s="199"/>
      <c r="M91" s="199"/>
      <c r="N91" s="199"/>
      <c r="O91" s="199"/>
      <c r="P91" s="199"/>
      <c r="Q91" s="199"/>
      <c r="R91" s="199"/>
      <c r="S91" s="199"/>
      <c r="T91" s="199"/>
      <c r="U91" s="199"/>
      <c r="V91" s="199"/>
      <c r="W91" s="199"/>
      <c r="X91" s="199"/>
      <c r="Y91" s="199"/>
      <c r="Z91" s="199"/>
      <c r="AA91" s="199"/>
      <c r="AB91" s="199"/>
      <c r="AC91" s="199"/>
      <c r="AD91" s="199"/>
      <c r="AE91" s="199"/>
      <c r="AF91" s="199"/>
      <c r="AG91" s="199"/>
      <c r="AH91" s="199"/>
      <c r="AI91" s="199"/>
      <c r="AJ91" s="199"/>
      <c r="AK91" s="199"/>
    </row>
    <row r="92" ht="15.75" customHeight="1">
      <c r="A92" s="176" t="s">
        <v>5</v>
      </c>
      <c r="E92" s="176" t="s">
        <v>408</v>
      </c>
      <c r="F92" s="176" t="s">
        <v>408</v>
      </c>
      <c r="G92" s="178" t="s">
        <v>5761</v>
      </c>
      <c r="H92" s="176" t="s">
        <v>408</v>
      </c>
      <c r="I92" s="199"/>
      <c r="J92" s="199"/>
      <c r="K92" s="199"/>
      <c r="L92" s="199"/>
      <c r="M92" s="199"/>
      <c r="N92" s="199"/>
      <c r="O92" s="199"/>
      <c r="P92" s="199"/>
      <c r="Q92" s="199"/>
      <c r="R92" s="199"/>
      <c r="S92" s="199"/>
      <c r="T92" s="199"/>
      <c r="U92" s="199"/>
      <c r="V92" s="199"/>
      <c r="W92" s="199"/>
      <c r="X92" s="199"/>
      <c r="Y92" s="199"/>
      <c r="Z92" s="199"/>
      <c r="AA92" s="199"/>
      <c r="AB92" s="199"/>
      <c r="AC92" s="199"/>
      <c r="AD92" s="199"/>
      <c r="AE92" s="199"/>
      <c r="AF92" s="199"/>
      <c r="AG92" s="199"/>
      <c r="AH92" s="199"/>
      <c r="AI92" s="199"/>
      <c r="AJ92" s="199"/>
      <c r="AK92" s="199"/>
    </row>
    <row r="93" ht="15.75" customHeight="1">
      <c r="A93" s="176" t="s">
        <v>5</v>
      </c>
      <c r="E93" s="176" t="s">
        <v>88</v>
      </c>
      <c r="F93" s="176" t="s">
        <v>120</v>
      </c>
      <c r="G93" s="178" t="s">
        <v>5762</v>
      </c>
      <c r="H93" s="176" t="s">
        <v>120</v>
      </c>
      <c r="I93" s="199"/>
      <c r="J93" s="199"/>
      <c r="K93" s="199"/>
      <c r="L93" s="199"/>
      <c r="M93" s="199"/>
      <c r="N93" s="199"/>
      <c r="O93" s="199"/>
      <c r="P93" s="199"/>
      <c r="Q93" s="199"/>
      <c r="R93" s="199"/>
      <c r="S93" s="199"/>
      <c r="T93" s="199"/>
      <c r="U93" s="199"/>
      <c r="V93" s="199"/>
      <c r="W93" s="199"/>
      <c r="X93" s="199"/>
      <c r="Y93" s="199"/>
      <c r="Z93" s="199"/>
      <c r="AA93" s="199"/>
      <c r="AB93" s="199"/>
      <c r="AC93" s="199"/>
      <c r="AD93" s="199"/>
      <c r="AE93" s="199"/>
      <c r="AF93" s="199"/>
      <c r="AG93" s="199"/>
      <c r="AH93" s="199"/>
      <c r="AI93" s="199"/>
      <c r="AJ93" s="199"/>
      <c r="AK93" s="199"/>
    </row>
    <row r="94" ht="15.75" customHeight="1">
      <c r="A94" s="176" t="s">
        <v>5</v>
      </c>
      <c r="E94" s="176" t="s">
        <v>88</v>
      </c>
      <c r="F94" s="176" t="s">
        <v>544</v>
      </c>
      <c r="G94" s="178" t="s">
        <v>5763</v>
      </c>
      <c r="H94" s="176" t="s">
        <v>544</v>
      </c>
      <c r="I94" s="199"/>
      <c r="J94" s="199"/>
      <c r="K94" s="199"/>
      <c r="L94" s="199"/>
      <c r="M94" s="199"/>
      <c r="N94" s="199"/>
      <c r="O94" s="199"/>
      <c r="P94" s="199"/>
      <c r="Q94" s="199"/>
      <c r="R94" s="199"/>
      <c r="S94" s="199"/>
      <c r="T94" s="199"/>
      <c r="U94" s="199"/>
      <c r="V94" s="199"/>
      <c r="W94" s="199"/>
      <c r="X94" s="199"/>
      <c r="Y94" s="199"/>
      <c r="Z94" s="199"/>
      <c r="AA94" s="199"/>
      <c r="AB94" s="199"/>
      <c r="AC94" s="199"/>
      <c r="AD94" s="199"/>
      <c r="AE94" s="199"/>
      <c r="AF94" s="199"/>
      <c r="AG94" s="199"/>
      <c r="AH94" s="199"/>
      <c r="AI94" s="199"/>
      <c r="AJ94" s="199"/>
      <c r="AK94" s="199"/>
    </row>
    <row r="95" ht="15.75" customHeight="1">
      <c r="A95" s="176" t="s">
        <v>5</v>
      </c>
      <c r="E95" s="176" t="s">
        <v>88</v>
      </c>
      <c r="F95" s="176" t="s">
        <v>247</v>
      </c>
      <c r="G95" s="178" t="s">
        <v>5764</v>
      </c>
      <c r="H95" s="575"/>
      <c r="I95" s="199"/>
      <c r="J95" s="199"/>
      <c r="K95" s="199"/>
      <c r="L95" s="199"/>
      <c r="M95" s="199"/>
      <c r="N95" s="199"/>
      <c r="O95" s="199"/>
      <c r="P95" s="199"/>
      <c r="Q95" s="199"/>
      <c r="R95" s="199"/>
      <c r="S95" s="199"/>
      <c r="T95" s="199"/>
      <c r="U95" s="199"/>
      <c r="V95" s="199"/>
      <c r="W95" s="199"/>
      <c r="X95" s="199"/>
      <c r="Y95" s="199"/>
      <c r="Z95" s="199"/>
      <c r="AA95" s="199"/>
      <c r="AB95" s="199"/>
      <c r="AC95" s="199"/>
      <c r="AD95" s="199"/>
      <c r="AE95" s="199"/>
      <c r="AF95" s="199"/>
      <c r="AG95" s="199"/>
      <c r="AH95" s="199"/>
      <c r="AI95" s="199"/>
      <c r="AJ95" s="199"/>
      <c r="AK95" s="199"/>
    </row>
    <row r="96" ht="15.75" customHeight="1">
      <c r="A96" s="176" t="s">
        <v>5</v>
      </c>
      <c r="E96" s="176" t="s">
        <v>88</v>
      </c>
      <c r="F96" s="176" t="s">
        <v>96</v>
      </c>
      <c r="G96" s="178" t="s">
        <v>5765</v>
      </c>
      <c r="H96" s="176" t="s">
        <v>96</v>
      </c>
      <c r="I96" s="199"/>
      <c r="J96" s="199"/>
      <c r="K96" s="199"/>
      <c r="L96" s="199"/>
      <c r="M96" s="199"/>
      <c r="N96" s="199"/>
      <c r="O96" s="199"/>
      <c r="P96" s="199"/>
      <c r="Q96" s="199"/>
      <c r="R96" s="199"/>
      <c r="S96" s="199"/>
      <c r="T96" s="199"/>
      <c r="U96" s="199"/>
      <c r="V96" s="199"/>
      <c r="W96" s="199"/>
      <c r="X96" s="199"/>
      <c r="Y96" s="199"/>
      <c r="Z96" s="199"/>
      <c r="AA96" s="199"/>
      <c r="AB96" s="199"/>
      <c r="AC96" s="199"/>
      <c r="AD96" s="199"/>
      <c r="AE96" s="199"/>
      <c r="AF96" s="199"/>
      <c r="AG96" s="199"/>
      <c r="AH96" s="199"/>
      <c r="AI96" s="199"/>
      <c r="AJ96" s="199"/>
      <c r="AK96" s="199"/>
    </row>
    <row r="97" ht="15.75" customHeight="1">
      <c r="A97" s="176" t="s">
        <v>5</v>
      </c>
      <c r="E97" s="176" t="s">
        <v>86</v>
      </c>
      <c r="F97" s="176" t="s">
        <v>90</v>
      </c>
      <c r="G97" s="178" t="s">
        <v>5766</v>
      </c>
      <c r="H97" s="176" t="s">
        <v>90</v>
      </c>
      <c r="I97" s="199"/>
      <c r="J97" s="199"/>
      <c r="K97" s="199"/>
      <c r="L97" s="199"/>
      <c r="M97" s="199"/>
      <c r="N97" s="199"/>
      <c r="O97" s="199"/>
      <c r="P97" s="199"/>
      <c r="Q97" s="199"/>
      <c r="R97" s="199"/>
      <c r="S97" s="199"/>
      <c r="T97" s="199"/>
      <c r="U97" s="199"/>
      <c r="V97" s="199"/>
      <c r="W97" s="199"/>
      <c r="X97" s="199"/>
      <c r="Y97" s="199"/>
      <c r="Z97" s="199"/>
      <c r="AA97" s="199"/>
      <c r="AB97" s="199"/>
      <c r="AC97" s="199"/>
      <c r="AD97" s="199"/>
      <c r="AE97" s="199"/>
      <c r="AF97" s="199"/>
      <c r="AG97" s="199"/>
      <c r="AH97" s="199"/>
      <c r="AI97" s="199"/>
      <c r="AJ97" s="199"/>
      <c r="AK97" s="199"/>
    </row>
    <row r="98">
      <c r="A98" s="176" t="s">
        <v>5</v>
      </c>
      <c r="E98" s="176" t="s">
        <v>86</v>
      </c>
      <c r="F98" s="176" t="s">
        <v>91</v>
      </c>
      <c r="G98" s="178" t="s">
        <v>5767</v>
      </c>
      <c r="H98" s="176" t="s">
        <v>91</v>
      </c>
      <c r="I98" s="199"/>
      <c r="J98" s="199"/>
      <c r="K98" s="199"/>
      <c r="L98" s="199"/>
      <c r="M98" s="199"/>
      <c r="N98" s="199"/>
      <c r="O98" s="199"/>
      <c r="P98" s="199"/>
      <c r="Q98" s="199"/>
      <c r="R98" s="199"/>
      <c r="S98" s="199"/>
      <c r="T98" s="199"/>
      <c r="U98" s="199"/>
      <c r="V98" s="199"/>
      <c r="W98" s="199"/>
      <c r="X98" s="199"/>
      <c r="Y98" s="199"/>
      <c r="Z98" s="199"/>
      <c r="AA98" s="199"/>
      <c r="AB98" s="199"/>
      <c r="AC98" s="199"/>
      <c r="AD98" s="199"/>
      <c r="AE98" s="199"/>
      <c r="AF98" s="199"/>
      <c r="AG98" s="199"/>
      <c r="AH98" s="199"/>
      <c r="AI98" s="199"/>
      <c r="AJ98" s="199"/>
      <c r="AK98" s="199"/>
    </row>
    <row r="99">
      <c r="A99" s="176" t="s">
        <v>5</v>
      </c>
      <c r="E99" s="576" t="s">
        <v>104</v>
      </c>
      <c r="F99" s="576" t="s">
        <v>250</v>
      </c>
      <c r="G99" s="178" t="s">
        <v>5768</v>
      </c>
      <c r="H99" s="576" t="s">
        <v>250</v>
      </c>
      <c r="I99" s="199"/>
      <c r="J99" s="199"/>
      <c r="K99" s="199"/>
      <c r="L99" s="199"/>
      <c r="M99" s="199"/>
      <c r="N99" s="199"/>
      <c r="O99" s="199"/>
      <c r="P99" s="199"/>
      <c r="Q99" s="199"/>
      <c r="R99" s="199"/>
      <c r="S99" s="199"/>
      <c r="T99" s="199"/>
      <c r="U99" s="199"/>
      <c r="V99" s="199"/>
      <c r="W99" s="199"/>
      <c r="X99" s="199"/>
      <c r="Y99" s="199"/>
      <c r="Z99" s="199"/>
      <c r="AA99" s="199"/>
      <c r="AB99" s="199"/>
      <c r="AC99" s="199"/>
      <c r="AD99" s="199"/>
      <c r="AE99" s="199"/>
      <c r="AF99" s="199"/>
      <c r="AG99" s="199"/>
      <c r="AH99" s="199"/>
      <c r="AI99" s="199"/>
      <c r="AJ99" s="199"/>
      <c r="AK99" s="199"/>
    </row>
    <row r="100">
      <c r="A100" s="176" t="s">
        <v>5</v>
      </c>
      <c r="E100" s="576" t="s">
        <v>43</v>
      </c>
      <c r="F100" s="576" t="s">
        <v>132</v>
      </c>
      <c r="G100" s="178" t="s">
        <v>5769</v>
      </c>
      <c r="H100" s="576" t="s">
        <v>132</v>
      </c>
      <c r="I100" s="199"/>
      <c r="J100" s="199"/>
      <c r="K100" s="199"/>
      <c r="L100" s="199"/>
      <c r="M100" s="199"/>
      <c r="N100" s="199"/>
      <c r="O100" s="199"/>
      <c r="P100" s="199"/>
      <c r="Q100" s="199"/>
      <c r="R100" s="199"/>
      <c r="S100" s="199"/>
      <c r="T100" s="199"/>
      <c r="U100" s="199"/>
      <c r="V100" s="199"/>
      <c r="W100" s="199"/>
      <c r="X100" s="199"/>
      <c r="Y100" s="199"/>
      <c r="Z100" s="199"/>
      <c r="AA100" s="199"/>
      <c r="AB100" s="199"/>
      <c r="AC100" s="199"/>
      <c r="AD100" s="199"/>
      <c r="AE100" s="199"/>
      <c r="AF100" s="199"/>
      <c r="AG100" s="199"/>
      <c r="AH100" s="199"/>
      <c r="AI100" s="199"/>
      <c r="AJ100" s="199"/>
      <c r="AK100" s="199"/>
    </row>
    <row r="101">
      <c r="A101" s="176" t="s">
        <v>5</v>
      </c>
      <c r="E101" s="576" t="s">
        <v>43</v>
      </c>
      <c r="F101" s="576" t="s">
        <v>342</v>
      </c>
      <c r="G101" s="178" t="s">
        <v>5770</v>
      </c>
      <c r="H101" s="576" t="s">
        <v>342</v>
      </c>
      <c r="I101" s="199"/>
      <c r="J101" s="199"/>
      <c r="K101" s="199"/>
      <c r="L101" s="199"/>
      <c r="M101" s="199"/>
      <c r="N101" s="199"/>
      <c r="O101" s="199"/>
      <c r="P101" s="199"/>
      <c r="Q101" s="199"/>
      <c r="R101" s="199"/>
      <c r="S101" s="199"/>
      <c r="T101" s="199"/>
      <c r="U101" s="199"/>
      <c r="V101" s="199"/>
      <c r="W101" s="199"/>
      <c r="X101" s="199"/>
      <c r="Y101" s="199"/>
      <c r="Z101" s="199"/>
      <c r="AA101" s="199"/>
      <c r="AB101" s="199"/>
      <c r="AC101" s="199"/>
      <c r="AD101" s="199"/>
      <c r="AE101" s="199"/>
      <c r="AF101" s="199"/>
      <c r="AG101" s="199"/>
      <c r="AH101" s="199"/>
      <c r="AI101" s="199"/>
      <c r="AJ101" s="199"/>
      <c r="AK101" s="199"/>
    </row>
    <row r="102">
      <c r="A102" s="176" t="s">
        <v>5</v>
      </c>
      <c r="E102" s="576" t="s">
        <v>43</v>
      </c>
      <c r="F102" s="576" t="s">
        <v>343</v>
      </c>
      <c r="G102" s="178" t="s">
        <v>5771</v>
      </c>
      <c r="H102" s="576" t="s">
        <v>343</v>
      </c>
      <c r="I102" s="199"/>
      <c r="J102" s="199"/>
      <c r="K102" s="199"/>
      <c r="L102" s="199"/>
      <c r="M102" s="199"/>
      <c r="N102" s="199"/>
      <c r="O102" s="199"/>
      <c r="P102" s="199"/>
      <c r="Q102" s="199"/>
      <c r="R102" s="199"/>
      <c r="S102" s="199"/>
      <c r="T102" s="199"/>
      <c r="U102" s="199"/>
      <c r="V102" s="199"/>
      <c r="W102" s="199"/>
      <c r="X102" s="199"/>
      <c r="Y102" s="199"/>
      <c r="Z102" s="199"/>
      <c r="AA102" s="199"/>
      <c r="AB102" s="199"/>
      <c r="AC102" s="199"/>
      <c r="AD102" s="199"/>
      <c r="AE102" s="199"/>
      <c r="AF102" s="199"/>
      <c r="AG102" s="199"/>
      <c r="AH102" s="199"/>
      <c r="AI102" s="199"/>
      <c r="AJ102" s="199"/>
      <c r="AK102" s="199"/>
    </row>
    <row r="103" ht="15.75" customHeight="1">
      <c r="A103" s="176" t="s">
        <v>5</v>
      </c>
      <c r="E103" s="576" t="s">
        <v>88</v>
      </c>
      <c r="F103" s="576" t="s">
        <v>96</v>
      </c>
      <c r="G103" s="178" t="s">
        <v>5772</v>
      </c>
      <c r="H103" s="576" t="s">
        <v>177</v>
      </c>
      <c r="I103" s="199"/>
      <c r="J103" s="199"/>
      <c r="K103" s="199"/>
      <c r="L103" s="199"/>
      <c r="M103" s="199"/>
      <c r="N103" s="199"/>
      <c r="O103" s="199"/>
      <c r="P103" s="199"/>
      <c r="Q103" s="199"/>
      <c r="R103" s="199"/>
      <c r="S103" s="199"/>
      <c r="T103" s="199"/>
      <c r="U103" s="199"/>
      <c r="V103" s="199"/>
      <c r="W103" s="199"/>
      <c r="X103" s="199"/>
      <c r="Y103" s="199"/>
      <c r="Z103" s="199"/>
      <c r="AA103" s="199"/>
      <c r="AB103" s="199"/>
      <c r="AC103" s="199"/>
      <c r="AD103" s="199"/>
      <c r="AE103" s="199"/>
      <c r="AF103" s="199"/>
      <c r="AG103" s="199"/>
      <c r="AH103" s="199"/>
      <c r="AI103" s="199"/>
      <c r="AJ103" s="199"/>
      <c r="AK103" s="199"/>
    </row>
    <row r="104" ht="15.75" customHeight="1">
      <c r="A104" s="176" t="s">
        <v>5</v>
      </c>
      <c r="E104" s="176" t="s">
        <v>104</v>
      </c>
      <c r="F104" s="176" t="s">
        <v>250</v>
      </c>
      <c r="G104" s="178" t="s">
        <v>5773</v>
      </c>
      <c r="H104" s="176" t="s">
        <v>1981</v>
      </c>
      <c r="I104" s="199"/>
      <c r="J104" s="199"/>
      <c r="K104" s="199"/>
      <c r="L104" s="199"/>
      <c r="M104" s="199"/>
      <c r="N104" s="199"/>
      <c r="O104" s="199"/>
      <c r="P104" s="199"/>
      <c r="Q104" s="199"/>
      <c r="R104" s="199"/>
      <c r="S104" s="199"/>
      <c r="T104" s="199"/>
      <c r="U104" s="199"/>
      <c r="V104" s="199"/>
      <c r="W104" s="199"/>
      <c r="X104" s="199"/>
      <c r="Y104" s="199"/>
      <c r="Z104" s="199"/>
      <c r="AA104" s="199"/>
      <c r="AB104" s="199"/>
      <c r="AC104" s="199"/>
      <c r="AD104" s="199"/>
      <c r="AE104" s="199"/>
      <c r="AF104" s="199"/>
      <c r="AG104" s="199"/>
      <c r="AH104" s="199"/>
      <c r="AI104" s="199"/>
      <c r="AJ104" s="199"/>
      <c r="AK104" s="199"/>
    </row>
    <row r="105" ht="15.75" customHeight="1">
      <c r="A105" s="176" t="s">
        <v>5</v>
      </c>
      <c r="E105" s="576" t="s">
        <v>43</v>
      </c>
      <c r="F105" s="576" t="s">
        <v>132</v>
      </c>
      <c r="G105" s="178" t="s">
        <v>5774</v>
      </c>
      <c r="H105" s="576" t="s">
        <v>324</v>
      </c>
      <c r="I105" s="199"/>
      <c r="J105" s="199"/>
      <c r="K105" s="199"/>
      <c r="L105" s="199"/>
      <c r="M105" s="199"/>
      <c r="N105" s="199"/>
      <c r="O105" s="199"/>
      <c r="P105" s="199"/>
      <c r="Q105" s="199"/>
      <c r="R105" s="199"/>
      <c r="S105" s="199"/>
      <c r="T105" s="199"/>
      <c r="U105" s="199"/>
      <c r="V105" s="199"/>
      <c r="W105" s="199"/>
      <c r="X105" s="199"/>
      <c r="Y105" s="199"/>
      <c r="Z105" s="199"/>
      <c r="AA105" s="199"/>
      <c r="AB105" s="199"/>
      <c r="AC105" s="199"/>
      <c r="AD105" s="199"/>
      <c r="AE105" s="199"/>
      <c r="AF105" s="199"/>
      <c r="AG105" s="199"/>
      <c r="AH105" s="199"/>
      <c r="AI105" s="199"/>
      <c r="AJ105" s="199"/>
      <c r="AK105" s="199"/>
    </row>
    <row r="106" ht="15.75" customHeight="1">
      <c r="A106" s="176" t="s">
        <v>5</v>
      </c>
      <c r="E106" s="176" t="s">
        <v>43</v>
      </c>
      <c r="F106" s="176" t="s">
        <v>342</v>
      </c>
      <c r="G106" s="178" t="s">
        <v>5775</v>
      </c>
      <c r="H106" s="176" t="s">
        <v>5776</v>
      </c>
      <c r="I106" s="199"/>
      <c r="J106" s="199"/>
      <c r="K106" s="199"/>
      <c r="L106" s="199"/>
      <c r="M106" s="199"/>
      <c r="N106" s="199"/>
      <c r="O106" s="199"/>
      <c r="P106" s="199"/>
      <c r="Q106" s="199"/>
      <c r="R106" s="199"/>
      <c r="S106" s="199"/>
      <c r="T106" s="199"/>
      <c r="U106" s="199"/>
      <c r="V106" s="199"/>
      <c r="W106" s="199"/>
      <c r="X106" s="199"/>
      <c r="Y106" s="199"/>
      <c r="Z106" s="199"/>
      <c r="AA106" s="199"/>
      <c r="AB106" s="199"/>
      <c r="AC106" s="199"/>
      <c r="AD106" s="199"/>
      <c r="AE106" s="199"/>
      <c r="AF106" s="199"/>
      <c r="AG106" s="199"/>
      <c r="AH106" s="199"/>
      <c r="AI106" s="199"/>
      <c r="AJ106" s="199"/>
      <c r="AK106" s="199"/>
    </row>
    <row r="107" ht="15.75" customHeight="1">
      <c r="A107" s="176" t="s">
        <v>5</v>
      </c>
      <c r="E107" s="176" t="s">
        <v>43</v>
      </c>
      <c r="F107" s="176" t="s">
        <v>343</v>
      </c>
      <c r="G107" s="178" t="s">
        <v>5777</v>
      </c>
      <c r="H107" s="176" t="s">
        <v>5425</v>
      </c>
      <c r="I107" s="199"/>
      <c r="J107" s="199"/>
      <c r="K107" s="199"/>
      <c r="L107" s="199"/>
      <c r="M107" s="199"/>
      <c r="N107" s="199"/>
      <c r="O107" s="199"/>
      <c r="P107" s="199"/>
      <c r="Q107" s="199"/>
      <c r="R107" s="199"/>
      <c r="S107" s="199"/>
      <c r="T107" s="199"/>
      <c r="U107" s="199"/>
      <c r="V107" s="199"/>
      <c r="W107" s="199"/>
      <c r="X107" s="199"/>
      <c r="Y107" s="199"/>
      <c r="Z107" s="199"/>
      <c r="AA107" s="199"/>
      <c r="AB107" s="199"/>
      <c r="AC107" s="199"/>
      <c r="AD107" s="199"/>
      <c r="AE107" s="199"/>
      <c r="AF107" s="199"/>
      <c r="AG107" s="199"/>
      <c r="AH107" s="199"/>
      <c r="AI107" s="199"/>
      <c r="AJ107" s="199"/>
      <c r="AK107" s="199"/>
    </row>
    <row r="108">
      <c r="A108" s="176" t="s">
        <v>5</v>
      </c>
      <c r="E108" s="176" t="s">
        <v>88</v>
      </c>
      <c r="F108" s="176" t="s">
        <v>96</v>
      </c>
      <c r="G108" s="178" t="s">
        <v>5778</v>
      </c>
      <c r="H108" s="176" t="s">
        <v>337</v>
      </c>
      <c r="I108" s="199"/>
      <c r="J108" s="199"/>
      <c r="K108" s="199"/>
      <c r="L108" s="199"/>
      <c r="M108" s="199"/>
      <c r="N108" s="199"/>
      <c r="O108" s="199"/>
      <c r="P108" s="199"/>
      <c r="Q108" s="199"/>
      <c r="R108" s="199"/>
      <c r="S108" s="199"/>
      <c r="T108" s="199"/>
      <c r="U108" s="199"/>
      <c r="V108" s="199"/>
      <c r="W108" s="199"/>
      <c r="X108" s="199"/>
      <c r="Y108" s="199"/>
      <c r="Z108" s="199"/>
      <c r="AA108" s="199"/>
      <c r="AB108" s="199"/>
      <c r="AC108" s="199"/>
      <c r="AD108" s="199"/>
      <c r="AE108" s="199"/>
      <c r="AF108" s="199"/>
      <c r="AG108" s="199"/>
      <c r="AH108" s="199"/>
      <c r="AI108" s="199"/>
      <c r="AJ108" s="199"/>
      <c r="AK108" s="199"/>
    </row>
    <row r="109">
      <c r="A109" s="176" t="s">
        <v>5</v>
      </c>
      <c r="E109" s="176" t="s">
        <v>104</v>
      </c>
      <c r="F109" s="176" t="s">
        <v>250</v>
      </c>
      <c r="G109" s="178" t="s">
        <v>5779</v>
      </c>
      <c r="H109" s="176" t="s">
        <v>4160</v>
      </c>
      <c r="I109" s="199"/>
      <c r="J109" s="199"/>
      <c r="K109" s="199"/>
      <c r="L109" s="199"/>
      <c r="M109" s="199"/>
      <c r="N109" s="199"/>
      <c r="O109" s="199"/>
      <c r="P109" s="199"/>
      <c r="Q109" s="199"/>
      <c r="R109" s="199"/>
      <c r="S109" s="199"/>
      <c r="T109" s="199"/>
      <c r="U109" s="199"/>
      <c r="V109" s="199"/>
      <c r="W109" s="199"/>
      <c r="X109" s="199"/>
      <c r="Y109" s="199"/>
      <c r="Z109" s="199"/>
      <c r="AA109" s="199"/>
      <c r="AB109" s="199"/>
      <c r="AC109" s="199"/>
      <c r="AD109" s="199"/>
      <c r="AE109" s="199"/>
      <c r="AF109" s="199"/>
      <c r="AG109" s="199"/>
      <c r="AH109" s="199"/>
      <c r="AI109" s="199"/>
      <c r="AJ109" s="199"/>
      <c r="AK109" s="199"/>
    </row>
    <row r="110">
      <c r="A110" s="176" t="s">
        <v>5</v>
      </c>
      <c r="E110" s="576" t="s">
        <v>43</v>
      </c>
      <c r="F110" s="576" t="s">
        <v>132</v>
      </c>
      <c r="G110" s="178" t="s">
        <v>5780</v>
      </c>
      <c r="H110" s="576" t="s">
        <v>327</v>
      </c>
      <c r="I110" s="199"/>
      <c r="J110" s="199"/>
      <c r="K110" s="199"/>
      <c r="L110" s="199"/>
      <c r="M110" s="199"/>
      <c r="N110" s="199"/>
      <c r="O110" s="199"/>
      <c r="P110" s="199"/>
      <c r="Q110" s="199"/>
      <c r="R110" s="199"/>
      <c r="S110" s="199"/>
      <c r="T110" s="199"/>
      <c r="U110" s="199"/>
      <c r="V110" s="199"/>
      <c r="W110" s="199"/>
      <c r="X110" s="199"/>
      <c r="Y110" s="199"/>
      <c r="Z110" s="199"/>
      <c r="AA110" s="199"/>
      <c r="AB110" s="199"/>
      <c r="AC110" s="199"/>
      <c r="AD110" s="199"/>
      <c r="AE110" s="199"/>
      <c r="AF110" s="199"/>
      <c r="AG110" s="199"/>
      <c r="AH110" s="199"/>
      <c r="AI110" s="199"/>
      <c r="AJ110" s="199"/>
      <c r="AK110" s="199"/>
    </row>
    <row r="111">
      <c r="A111" s="176" t="s">
        <v>5</v>
      </c>
      <c r="E111" s="176" t="s">
        <v>43</v>
      </c>
      <c r="F111" s="176" t="s">
        <v>342</v>
      </c>
      <c r="G111" s="178" t="s">
        <v>5781</v>
      </c>
      <c r="H111" s="176" t="s">
        <v>5782</v>
      </c>
      <c r="I111" s="199"/>
      <c r="J111" s="199"/>
      <c r="K111" s="199"/>
      <c r="L111" s="199"/>
      <c r="M111" s="199"/>
      <c r="N111" s="199"/>
      <c r="O111" s="199"/>
      <c r="P111" s="199"/>
      <c r="Q111" s="199"/>
      <c r="R111" s="199"/>
      <c r="S111" s="199"/>
      <c r="T111" s="199"/>
      <c r="U111" s="199"/>
      <c r="V111" s="199"/>
      <c r="W111" s="199"/>
      <c r="X111" s="199"/>
      <c r="Y111" s="199"/>
      <c r="Z111" s="199"/>
      <c r="AA111" s="199"/>
      <c r="AB111" s="199"/>
      <c r="AC111" s="199"/>
      <c r="AD111" s="199"/>
      <c r="AE111" s="199"/>
      <c r="AF111" s="199"/>
      <c r="AG111" s="199"/>
      <c r="AH111" s="199"/>
      <c r="AI111" s="199"/>
      <c r="AJ111" s="199"/>
      <c r="AK111" s="199"/>
    </row>
    <row r="112">
      <c r="A112" s="176" t="s">
        <v>5</v>
      </c>
      <c r="E112" s="176" t="s">
        <v>43</v>
      </c>
      <c r="F112" s="176" t="s">
        <v>343</v>
      </c>
      <c r="G112" s="178" t="s">
        <v>5783</v>
      </c>
      <c r="H112" s="176" t="s">
        <v>5428</v>
      </c>
      <c r="I112" s="199"/>
      <c r="J112" s="199"/>
      <c r="K112" s="199"/>
      <c r="L112" s="199"/>
      <c r="M112" s="199"/>
      <c r="N112" s="199"/>
      <c r="O112" s="199"/>
      <c r="P112" s="199"/>
      <c r="Q112" s="199"/>
      <c r="R112" s="199"/>
      <c r="S112" s="199"/>
      <c r="T112" s="199"/>
      <c r="U112" s="199"/>
      <c r="V112" s="199"/>
      <c r="W112" s="199"/>
      <c r="X112" s="199"/>
      <c r="Y112" s="199"/>
      <c r="Z112" s="199"/>
      <c r="AA112" s="199"/>
      <c r="AB112" s="199"/>
      <c r="AC112" s="199"/>
      <c r="AD112" s="199"/>
      <c r="AE112" s="199"/>
      <c r="AF112" s="199"/>
      <c r="AG112" s="199"/>
      <c r="AH112" s="199"/>
      <c r="AI112" s="199"/>
      <c r="AJ112" s="199"/>
      <c r="AK112" s="199"/>
    </row>
    <row r="113">
      <c r="A113" s="176" t="s">
        <v>5</v>
      </c>
      <c r="E113" s="176" t="s">
        <v>88</v>
      </c>
      <c r="F113" s="176" t="s">
        <v>96</v>
      </c>
      <c r="G113" s="178" t="s">
        <v>5784</v>
      </c>
      <c r="H113" s="176" t="s">
        <v>1958</v>
      </c>
      <c r="I113" s="199"/>
      <c r="J113" s="199"/>
      <c r="K113" s="199"/>
      <c r="L113" s="199"/>
      <c r="M113" s="199"/>
      <c r="N113" s="199"/>
      <c r="O113" s="199"/>
      <c r="P113" s="199"/>
      <c r="Q113" s="199"/>
      <c r="R113" s="199"/>
      <c r="S113" s="199"/>
      <c r="T113" s="199"/>
      <c r="U113" s="199"/>
      <c r="V113" s="199"/>
      <c r="W113" s="199"/>
      <c r="X113" s="199"/>
      <c r="Y113" s="199"/>
      <c r="Z113" s="199"/>
      <c r="AA113" s="199"/>
      <c r="AB113" s="199"/>
      <c r="AC113" s="199"/>
      <c r="AD113" s="199"/>
      <c r="AE113" s="199"/>
      <c r="AF113" s="199"/>
      <c r="AG113" s="199"/>
      <c r="AH113" s="199"/>
      <c r="AI113" s="199"/>
      <c r="AJ113" s="199"/>
      <c r="AK113" s="199"/>
    </row>
    <row r="114">
      <c r="A114" s="176" t="s">
        <v>5</v>
      </c>
      <c r="E114" s="176" t="s">
        <v>104</v>
      </c>
      <c r="F114" s="176" t="s">
        <v>250</v>
      </c>
      <c r="G114" s="178" t="s">
        <v>5785</v>
      </c>
      <c r="H114" s="176" t="s">
        <v>5786</v>
      </c>
      <c r="I114" s="199"/>
      <c r="J114" s="199"/>
      <c r="K114" s="199"/>
      <c r="L114" s="199"/>
      <c r="M114" s="199"/>
      <c r="N114" s="199"/>
      <c r="O114" s="199"/>
      <c r="P114" s="199"/>
      <c r="Q114" s="199"/>
      <c r="R114" s="199"/>
      <c r="S114" s="199"/>
      <c r="T114" s="199"/>
      <c r="U114" s="199"/>
      <c r="V114" s="199"/>
      <c r="W114" s="199"/>
      <c r="X114" s="199"/>
      <c r="Y114" s="199"/>
      <c r="Z114" s="199"/>
      <c r="AA114" s="199"/>
      <c r="AB114" s="199"/>
      <c r="AC114" s="199"/>
      <c r="AD114" s="199"/>
      <c r="AE114" s="199"/>
      <c r="AF114" s="199"/>
      <c r="AG114" s="199"/>
      <c r="AH114" s="199"/>
      <c r="AI114" s="199"/>
      <c r="AJ114" s="199"/>
      <c r="AK114" s="199"/>
    </row>
    <row r="115">
      <c r="A115" s="8" t="s">
        <v>5</v>
      </c>
      <c r="B115" s="219" t="s">
        <v>1140</v>
      </c>
      <c r="C115" s="8" t="s">
        <v>5</v>
      </c>
      <c r="D115" s="8" t="s">
        <v>20</v>
      </c>
      <c r="E115" s="8" t="s">
        <v>89</v>
      </c>
      <c r="F115" s="173" t="s">
        <v>291</v>
      </c>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row>
    <row r="116">
      <c r="A116" s="176" t="s">
        <v>5</v>
      </c>
      <c r="B116" s="176" t="s">
        <v>5787</v>
      </c>
      <c r="C116" s="176" t="s">
        <v>5788</v>
      </c>
      <c r="D116" s="576" t="s">
        <v>20</v>
      </c>
      <c r="E116" s="176" t="s">
        <v>88</v>
      </c>
      <c r="F116" s="176" t="s">
        <v>89</v>
      </c>
      <c r="G116" s="178" t="s">
        <v>5789</v>
      </c>
      <c r="H116" s="176" t="s">
        <v>89</v>
      </c>
      <c r="I116" s="199"/>
      <c r="J116" s="199"/>
      <c r="K116" s="199"/>
      <c r="L116" s="199"/>
      <c r="M116" s="199"/>
      <c r="N116" s="199"/>
      <c r="O116" s="199"/>
      <c r="P116" s="199"/>
      <c r="Q116" s="199"/>
      <c r="R116" s="199"/>
      <c r="S116" s="199"/>
      <c r="T116" s="199"/>
      <c r="U116" s="199"/>
      <c r="V116" s="199"/>
      <c r="W116" s="199"/>
      <c r="X116" s="199"/>
      <c r="Y116" s="199"/>
      <c r="Z116" s="199"/>
      <c r="AA116" s="199"/>
      <c r="AB116" s="199"/>
      <c r="AC116" s="199"/>
      <c r="AD116" s="199"/>
      <c r="AE116" s="199"/>
      <c r="AF116" s="199"/>
      <c r="AG116" s="199"/>
      <c r="AH116" s="199"/>
      <c r="AI116" s="199"/>
      <c r="AJ116" s="199"/>
      <c r="AK116" s="199"/>
    </row>
    <row r="117">
      <c r="A117" s="176" t="s">
        <v>5</v>
      </c>
      <c r="E117" s="176" t="s">
        <v>172</v>
      </c>
      <c r="F117" s="176" t="s">
        <v>194</v>
      </c>
      <c r="G117" s="178" t="s">
        <v>5790</v>
      </c>
      <c r="H117" s="176" t="s">
        <v>194</v>
      </c>
      <c r="I117" s="9"/>
      <c r="J117" s="9"/>
      <c r="K117" s="9"/>
      <c r="L117" s="199"/>
      <c r="M117" s="199"/>
      <c r="N117" s="199"/>
      <c r="O117" s="199"/>
      <c r="P117" s="199"/>
      <c r="Q117" s="199"/>
      <c r="R117" s="199"/>
      <c r="S117" s="199"/>
      <c r="T117" s="199"/>
      <c r="U117" s="199"/>
      <c r="V117" s="199"/>
      <c r="W117" s="199"/>
      <c r="X117" s="199"/>
      <c r="Y117" s="199"/>
      <c r="Z117" s="199"/>
      <c r="AA117" s="199"/>
      <c r="AB117" s="199"/>
      <c r="AC117" s="199"/>
      <c r="AD117" s="199"/>
      <c r="AE117" s="199"/>
      <c r="AF117" s="199"/>
      <c r="AG117" s="199"/>
      <c r="AH117" s="199"/>
      <c r="AI117" s="199"/>
      <c r="AJ117" s="199"/>
      <c r="AK117" s="199"/>
    </row>
    <row r="118">
      <c r="A118" s="176" t="s">
        <v>5</v>
      </c>
      <c r="E118" s="176" t="s">
        <v>172</v>
      </c>
      <c r="F118" s="176" t="s">
        <v>195</v>
      </c>
      <c r="G118" s="178" t="s">
        <v>5791</v>
      </c>
      <c r="H118" s="176" t="s">
        <v>195</v>
      </c>
      <c r="I118" s="9"/>
      <c r="J118" s="9"/>
      <c r="K118" s="9"/>
      <c r="L118" s="199"/>
      <c r="M118" s="199"/>
      <c r="N118" s="199"/>
      <c r="O118" s="199"/>
      <c r="P118" s="199"/>
      <c r="Q118" s="199"/>
      <c r="R118" s="199"/>
      <c r="S118" s="199"/>
      <c r="T118" s="199"/>
      <c r="U118" s="199"/>
      <c r="V118" s="199"/>
      <c r="W118" s="199"/>
      <c r="X118" s="199"/>
      <c r="Y118" s="199"/>
      <c r="Z118" s="199"/>
      <c r="AA118" s="199"/>
      <c r="AB118" s="199"/>
      <c r="AC118" s="199"/>
      <c r="AD118" s="199"/>
      <c r="AE118" s="199"/>
      <c r="AF118" s="199"/>
      <c r="AG118" s="199"/>
      <c r="AH118" s="199"/>
      <c r="AI118" s="199"/>
      <c r="AJ118" s="199"/>
      <c r="AK118" s="199"/>
    </row>
    <row r="119">
      <c r="A119" s="176" t="s">
        <v>5</v>
      </c>
      <c r="E119" s="176" t="s">
        <v>88</v>
      </c>
      <c r="F119" s="176" t="s">
        <v>481</v>
      </c>
      <c r="G119" s="178" t="s">
        <v>5792</v>
      </c>
      <c r="H119" s="176" t="s">
        <v>481</v>
      </c>
      <c r="I119" s="199"/>
      <c r="J119" s="199"/>
      <c r="K119" s="199"/>
      <c r="L119" s="199"/>
      <c r="M119" s="199"/>
      <c r="N119" s="199"/>
      <c r="O119" s="199"/>
      <c r="P119" s="199"/>
      <c r="Q119" s="199"/>
      <c r="R119" s="199"/>
      <c r="S119" s="199"/>
      <c r="T119" s="199"/>
      <c r="U119" s="199"/>
      <c r="V119" s="199"/>
      <c r="W119" s="199"/>
      <c r="X119" s="199"/>
      <c r="Y119" s="199"/>
      <c r="Z119" s="199"/>
      <c r="AA119" s="199"/>
      <c r="AB119" s="199"/>
      <c r="AC119" s="199"/>
      <c r="AD119" s="199"/>
      <c r="AE119" s="199"/>
      <c r="AF119" s="199"/>
      <c r="AG119" s="199"/>
      <c r="AH119" s="199"/>
      <c r="AI119" s="199"/>
      <c r="AJ119" s="199"/>
      <c r="AK119" s="199"/>
    </row>
    <row r="120">
      <c r="A120" s="176" t="s">
        <v>5</v>
      </c>
      <c r="E120" s="176" t="s">
        <v>88</v>
      </c>
      <c r="F120" s="176" t="s">
        <v>496</v>
      </c>
      <c r="G120" s="178" t="s">
        <v>5793</v>
      </c>
      <c r="H120" s="176" t="s">
        <v>496</v>
      </c>
      <c r="I120" s="199"/>
      <c r="J120" s="199"/>
      <c r="K120" s="199"/>
      <c r="L120" s="199"/>
      <c r="M120" s="199"/>
      <c r="N120" s="199"/>
      <c r="O120" s="199"/>
      <c r="P120" s="199"/>
      <c r="Q120" s="199"/>
      <c r="R120" s="199"/>
      <c r="S120" s="199"/>
      <c r="T120" s="199"/>
      <c r="U120" s="199"/>
      <c r="V120" s="199"/>
      <c r="W120" s="199"/>
      <c r="X120" s="199"/>
      <c r="Y120" s="199"/>
      <c r="Z120" s="199"/>
      <c r="AA120" s="199"/>
      <c r="AB120" s="199"/>
      <c r="AC120" s="199"/>
      <c r="AD120" s="199"/>
      <c r="AE120" s="199"/>
      <c r="AF120" s="199"/>
      <c r="AG120" s="199"/>
      <c r="AH120" s="199"/>
      <c r="AI120" s="199"/>
      <c r="AJ120" s="199"/>
      <c r="AK120" s="199"/>
    </row>
    <row r="121">
      <c r="A121" s="176" t="s">
        <v>5</v>
      </c>
      <c r="E121" s="176" t="s">
        <v>88</v>
      </c>
      <c r="F121" s="176" t="s">
        <v>570</v>
      </c>
      <c r="G121" s="199"/>
      <c r="H121" s="9"/>
      <c r="I121" s="9"/>
      <c r="J121" s="9"/>
      <c r="K121" s="9"/>
      <c r="L121" s="199"/>
      <c r="M121" s="199"/>
      <c r="N121" s="199"/>
      <c r="O121" s="199"/>
      <c r="P121" s="199"/>
      <c r="Q121" s="199"/>
      <c r="R121" s="199"/>
      <c r="S121" s="199"/>
      <c r="T121" s="199"/>
      <c r="U121" s="199"/>
      <c r="V121" s="199"/>
      <c r="W121" s="199"/>
      <c r="X121" s="199"/>
      <c r="Y121" s="199"/>
      <c r="Z121" s="199"/>
      <c r="AA121" s="199"/>
      <c r="AB121" s="199"/>
      <c r="AC121" s="199"/>
      <c r="AD121" s="199"/>
      <c r="AE121" s="199"/>
      <c r="AF121" s="199"/>
      <c r="AG121" s="199"/>
      <c r="AH121" s="199"/>
      <c r="AI121" s="199"/>
      <c r="AJ121" s="199"/>
      <c r="AK121" s="199"/>
    </row>
    <row r="122">
      <c r="A122" s="176" t="s">
        <v>5</v>
      </c>
      <c r="E122" s="176" t="s">
        <v>88</v>
      </c>
      <c r="F122" s="176" t="s">
        <v>598</v>
      </c>
      <c r="G122" s="199"/>
      <c r="H122" s="9"/>
      <c r="I122" s="9"/>
      <c r="J122" s="9"/>
      <c r="K122" s="9"/>
      <c r="L122" s="199"/>
      <c r="M122" s="199"/>
      <c r="N122" s="199"/>
      <c r="O122" s="199"/>
      <c r="P122" s="199"/>
      <c r="Q122" s="199"/>
      <c r="R122" s="199"/>
      <c r="S122" s="199"/>
      <c r="T122" s="199"/>
      <c r="U122" s="199"/>
      <c r="V122" s="199"/>
      <c r="W122" s="199"/>
      <c r="X122" s="199"/>
      <c r="Y122" s="199"/>
      <c r="Z122" s="199"/>
      <c r="AA122" s="199"/>
      <c r="AB122" s="199"/>
      <c r="AC122" s="199"/>
      <c r="AD122" s="199"/>
      <c r="AE122" s="199"/>
      <c r="AF122" s="199"/>
      <c r="AG122" s="199"/>
      <c r="AH122" s="199"/>
      <c r="AI122" s="199"/>
      <c r="AJ122" s="199"/>
      <c r="AK122" s="199"/>
    </row>
    <row r="123">
      <c r="A123" s="176" t="s">
        <v>5</v>
      </c>
      <c r="E123" s="176" t="s">
        <v>21</v>
      </c>
      <c r="F123" s="176" t="s">
        <v>51</v>
      </c>
      <c r="G123" s="178" t="s">
        <v>5794</v>
      </c>
      <c r="H123" s="176" t="s">
        <v>51</v>
      </c>
      <c r="I123" s="199"/>
      <c r="J123" s="199"/>
      <c r="K123" s="199"/>
      <c r="L123" s="199"/>
      <c r="M123" s="199"/>
      <c r="N123" s="199"/>
      <c r="O123" s="199"/>
      <c r="P123" s="199"/>
      <c r="Q123" s="199"/>
      <c r="R123" s="199"/>
      <c r="S123" s="199"/>
      <c r="T123" s="199"/>
      <c r="U123" s="199"/>
      <c r="V123" s="199"/>
      <c r="W123" s="199"/>
      <c r="X123" s="199"/>
      <c r="Y123" s="199"/>
      <c r="Z123" s="199"/>
      <c r="AA123" s="199"/>
      <c r="AB123" s="199"/>
      <c r="AC123" s="199"/>
      <c r="AD123" s="199"/>
      <c r="AE123" s="199"/>
      <c r="AF123" s="199"/>
      <c r="AG123" s="199"/>
      <c r="AH123" s="199"/>
      <c r="AI123" s="199"/>
      <c r="AJ123" s="199"/>
      <c r="AK123" s="199"/>
    </row>
    <row r="124">
      <c r="A124" s="176" t="s">
        <v>5</v>
      </c>
      <c r="E124" s="176" t="s">
        <v>408</v>
      </c>
      <c r="F124" s="176" t="s">
        <v>408</v>
      </c>
      <c r="G124" s="178" t="s">
        <v>5795</v>
      </c>
      <c r="H124" s="176" t="s">
        <v>408</v>
      </c>
      <c r="I124" s="199"/>
      <c r="J124" s="199"/>
      <c r="K124" s="199"/>
      <c r="L124" s="199"/>
      <c r="M124" s="199"/>
      <c r="N124" s="199"/>
      <c r="O124" s="199"/>
      <c r="P124" s="199"/>
      <c r="Q124" s="199"/>
      <c r="R124" s="199"/>
      <c r="S124" s="199"/>
      <c r="T124" s="199"/>
      <c r="U124" s="199"/>
      <c r="V124" s="199"/>
      <c r="W124" s="199"/>
      <c r="X124" s="199"/>
      <c r="Y124" s="199"/>
      <c r="Z124" s="199"/>
      <c r="AA124" s="199"/>
      <c r="AB124" s="199"/>
      <c r="AC124" s="199"/>
      <c r="AD124" s="199"/>
      <c r="AE124" s="199"/>
      <c r="AF124" s="199"/>
      <c r="AG124" s="199"/>
      <c r="AH124" s="199"/>
      <c r="AI124" s="199"/>
      <c r="AJ124" s="199"/>
      <c r="AK124" s="199"/>
    </row>
    <row r="125">
      <c r="A125" s="176" t="s">
        <v>5</v>
      </c>
      <c r="E125" s="176" t="s">
        <v>88</v>
      </c>
      <c r="F125" s="176" t="s">
        <v>122</v>
      </c>
      <c r="G125" s="178" t="s">
        <v>5796</v>
      </c>
      <c r="H125" s="176" t="s">
        <v>122</v>
      </c>
      <c r="I125" s="199"/>
      <c r="J125" s="199"/>
      <c r="K125" s="199"/>
      <c r="L125" s="199"/>
      <c r="M125" s="199"/>
      <c r="N125" s="199"/>
      <c r="O125" s="199"/>
      <c r="P125" s="199"/>
      <c r="Q125" s="199"/>
      <c r="R125" s="199"/>
      <c r="S125" s="199"/>
      <c r="T125" s="199"/>
      <c r="U125" s="199"/>
      <c r="V125" s="199"/>
      <c r="W125" s="199"/>
      <c r="X125" s="199"/>
      <c r="Y125" s="199"/>
      <c r="Z125" s="199"/>
      <c r="AA125" s="199"/>
      <c r="AB125" s="199"/>
      <c r="AC125" s="199"/>
      <c r="AD125" s="199"/>
      <c r="AE125" s="199"/>
      <c r="AF125" s="199"/>
      <c r="AG125" s="199"/>
      <c r="AH125" s="199"/>
      <c r="AI125" s="199"/>
      <c r="AJ125" s="199"/>
      <c r="AK125" s="199"/>
    </row>
    <row r="126">
      <c r="A126" s="176" t="s">
        <v>5</v>
      </c>
      <c r="E126" s="576" t="s">
        <v>43</v>
      </c>
      <c r="F126" s="576" t="s">
        <v>132</v>
      </c>
      <c r="G126" s="178" t="s">
        <v>5797</v>
      </c>
      <c r="H126" s="576" t="s">
        <v>132</v>
      </c>
      <c r="I126" s="199"/>
      <c r="J126" s="199"/>
      <c r="K126" s="199"/>
      <c r="L126" s="199"/>
      <c r="M126" s="199"/>
      <c r="N126" s="199"/>
      <c r="O126" s="199"/>
      <c r="P126" s="199"/>
      <c r="Q126" s="199"/>
      <c r="R126" s="199"/>
      <c r="S126" s="199"/>
      <c r="T126" s="199"/>
      <c r="U126" s="199"/>
      <c r="V126" s="199"/>
      <c r="W126" s="199"/>
      <c r="X126" s="199"/>
      <c r="Y126" s="199"/>
      <c r="Z126" s="199"/>
      <c r="AA126" s="199"/>
      <c r="AB126" s="199"/>
      <c r="AC126" s="199"/>
      <c r="AD126" s="199"/>
      <c r="AE126" s="199"/>
      <c r="AF126" s="199"/>
      <c r="AG126" s="199"/>
      <c r="AH126" s="199"/>
      <c r="AI126" s="199"/>
      <c r="AJ126" s="199"/>
      <c r="AK126" s="199"/>
    </row>
    <row r="127">
      <c r="A127" s="176" t="s">
        <v>5</v>
      </c>
      <c r="E127" s="576" t="s">
        <v>43</v>
      </c>
      <c r="F127" s="576" t="s">
        <v>342</v>
      </c>
      <c r="G127" s="178" t="s">
        <v>5798</v>
      </c>
      <c r="H127" s="576" t="s">
        <v>342</v>
      </c>
      <c r="I127" s="199"/>
      <c r="J127" s="199"/>
      <c r="K127" s="199"/>
      <c r="L127" s="199"/>
      <c r="M127" s="199"/>
      <c r="N127" s="199"/>
      <c r="O127" s="199"/>
      <c r="P127" s="199"/>
      <c r="Q127" s="199"/>
      <c r="R127" s="199"/>
      <c r="S127" s="199"/>
      <c r="T127" s="199"/>
      <c r="U127" s="199"/>
      <c r="V127" s="199"/>
      <c r="W127" s="199"/>
      <c r="X127" s="199"/>
      <c r="Y127" s="199"/>
      <c r="Z127" s="199"/>
      <c r="AA127" s="199"/>
      <c r="AB127" s="199"/>
      <c r="AC127" s="199"/>
      <c r="AD127" s="199"/>
      <c r="AE127" s="199"/>
      <c r="AF127" s="199"/>
      <c r="AG127" s="199"/>
      <c r="AH127" s="199"/>
      <c r="AI127" s="199"/>
      <c r="AJ127" s="199"/>
      <c r="AK127" s="199"/>
    </row>
    <row r="128">
      <c r="A128" s="176" t="s">
        <v>5</v>
      </c>
      <c r="E128" s="576" t="s">
        <v>43</v>
      </c>
      <c r="F128" s="576" t="s">
        <v>343</v>
      </c>
      <c r="G128" s="178" t="s">
        <v>5799</v>
      </c>
      <c r="H128" s="576" t="s">
        <v>343</v>
      </c>
      <c r="I128" s="199"/>
      <c r="J128" s="199"/>
      <c r="K128" s="199"/>
      <c r="L128" s="199"/>
      <c r="M128" s="199"/>
      <c r="N128" s="199"/>
      <c r="O128" s="199"/>
      <c r="P128" s="199"/>
      <c r="Q128" s="199"/>
      <c r="R128" s="199"/>
      <c r="S128" s="199"/>
      <c r="T128" s="199"/>
      <c r="U128" s="199"/>
      <c r="V128" s="199"/>
      <c r="W128" s="199"/>
      <c r="X128" s="199"/>
      <c r="Y128" s="199"/>
      <c r="Z128" s="199"/>
      <c r="AA128" s="199"/>
      <c r="AB128" s="199"/>
      <c r="AC128" s="199"/>
      <c r="AD128" s="199"/>
      <c r="AE128" s="199"/>
      <c r="AF128" s="199"/>
      <c r="AG128" s="199"/>
      <c r="AH128" s="199"/>
      <c r="AI128" s="199"/>
      <c r="AJ128" s="199"/>
      <c r="AK128" s="199"/>
    </row>
    <row r="129">
      <c r="A129" s="176" t="s">
        <v>5</v>
      </c>
      <c r="E129" s="576" t="s">
        <v>88</v>
      </c>
      <c r="F129" s="576" t="s">
        <v>96</v>
      </c>
      <c r="G129" s="178" t="s">
        <v>5800</v>
      </c>
      <c r="H129" s="576" t="s">
        <v>96</v>
      </c>
      <c r="I129" s="199"/>
      <c r="J129" s="199"/>
      <c r="K129" s="199"/>
      <c r="L129" s="199"/>
      <c r="M129" s="199"/>
      <c r="N129" s="199"/>
      <c r="O129" s="199"/>
      <c r="P129" s="199"/>
      <c r="Q129" s="199"/>
      <c r="R129" s="199"/>
      <c r="S129" s="199"/>
      <c r="T129" s="199"/>
      <c r="U129" s="199"/>
      <c r="V129" s="199"/>
      <c r="W129" s="199"/>
      <c r="X129" s="199"/>
      <c r="Y129" s="199"/>
      <c r="Z129" s="199"/>
      <c r="AA129" s="199"/>
      <c r="AB129" s="199"/>
      <c r="AC129" s="199"/>
      <c r="AD129" s="199"/>
      <c r="AE129" s="199"/>
      <c r="AF129" s="199"/>
      <c r="AG129" s="199"/>
      <c r="AH129" s="199"/>
      <c r="AI129" s="199"/>
      <c r="AJ129" s="199"/>
      <c r="AK129" s="199"/>
    </row>
    <row r="130">
      <c r="A130" s="176" t="s">
        <v>5</v>
      </c>
      <c r="E130" s="576" t="s">
        <v>43</v>
      </c>
      <c r="F130" s="576" t="s">
        <v>132</v>
      </c>
      <c r="G130" s="178" t="s">
        <v>5801</v>
      </c>
      <c r="H130" s="576" t="s">
        <v>324</v>
      </c>
      <c r="I130" s="199"/>
      <c r="J130" s="199"/>
      <c r="K130" s="199"/>
      <c r="L130" s="199"/>
      <c r="M130" s="199"/>
      <c r="N130" s="199"/>
      <c r="O130" s="199"/>
      <c r="P130" s="199"/>
      <c r="Q130" s="199"/>
      <c r="R130" s="199"/>
      <c r="S130" s="199"/>
      <c r="T130" s="199"/>
      <c r="U130" s="199"/>
      <c r="V130" s="199"/>
      <c r="W130" s="199"/>
      <c r="X130" s="199"/>
      <c r="Y130" s="199"/>
      <c r="Z130" s="199"/>
      <c r="AA130" s="199"/>
      <c r="AB130" s="199"/>
      <c r="AC130" s="199"/>
      <c r="AD130" s="199"/>
      <c r="AE130" s="199"/>
      <c r="AF130" s="199"/>
      <c r="AG130" s="199"/>
      <c r="AH130" s="199"/>
      <c r="AI130" s="199"/>
      <c r="AJ130" s="199"/>
      <c r="AK130" s="199"/>
    </row>
    <row r="131">
      <c r="A131" s="176" t="s">
        <v>5</v>
      </c>
      <c r="E131" s="176" t="s">
        <v>43</v>
      </c>
      <c r="F131" s="176" t="s">
        <v>342</v>
      </c>
      <c r="G131" s="178" t="s">
        <v>5802</v>
      </c>
      <c r="H131" s="176" t="s">
        <v>5776</v>
      </c>
      <c r="I131" s="199"/>
      <c r="J131" s="199"/>
      <c r="K131" s="199"/>
      <c r="L131" s="199"/>
      <c r="M131" s="199"/>
      <c r="N131" s="199"/>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c r="AJ131" s="199"/>
      <c r="AK131" s="199"/>
    </row>
    <row r="132">
      <c r="A132" s="176" t="s">
        <v>5</v>
      </c>
      <c r="E132" s="176" t="s">
        <v>43</v>
      </c>
      <c r="F132" s="176" t="s">
        <v>343</v>
      </c>
      <c r="G132" s="178" t="s">
        <v>5799</v>
      </c>
      <c r="H132" s="176" t="s">
        <v>343</v>
      </c>
      <c r="I132" s="199"/>
      <c r="J132" s="199"/>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row>
    <row r="133">
      <c r="A133" s="176" t="s">
        <v>5</v>
      </c>
      <c r="E133" s="176" t="s">
        <v>88</v>
      </c>
      <c r="F133" s="176" t="s">
        <v>96</v>
      </c>
      <c r="G133" s="178" t="s">
        <v>5803</v>
      </c>
      <c r="H133" s="176" t="s">
        <v>177</v>
      </c>
      <c r="I133" s="199"/>
      <c r="J133" s="199"/>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row>
    <row r="134">
      <c r="A134" s="176" t="s">
        <v>5</v>
      </c>
      <c r="E134" s="576" t="s">
        <v>43</v>
      </c>
      <c r="F134" s="576" t="s">
        <v>132</v>
      </c>
      <c r="G134" s="178" t="s">
        <v>5804</v>
      </c>
      <c r="H134" s="576" t="s">
        <v>327</v>
      </c>
      <c r="I134" s="199"/>
      <c r="J134" s="199"/>
      <c r="K134" s="199"/>
      <c r="L134" s="199"/>
      <c r="M134" s="199"/>
      <c r="N134" s="199"/>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c r="AJ134" s="199"/>
      <c r="AK134" s="199"/>
    </row>
    <row r="135">
      <c r="A135" s="176" t="s">
        <v>5</v>
      </c>
      <c r="E135" s="176" t="s">
        <v>43</v>
      </c>
      <c r="F135" s="176" t="s">
        <v>342</v>
      </c>
      <c r="G135" s="178" t="s">
        <v>5805</v>
      </c>
      <c r="H135" s="183" t="s">
        <v>5782</v>
      </c>
      <c r="I135" s="199"/>
      <c r="J135" s="199"/>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c r="AJ135" s="199"/>
      <c r="AK135" s="199"/>
    </row>
    <row r="136">
      <c r="A136" s="176" t="s">
        <v>5</v>
      </c>
      <c r="E136" s="176" t="s">
        <v>43</v>
      </c>
      <c r="F136" s="176" t="s">
        <v>343</v>
      </c>
      <c r="G136" s="178" t="s">
        <v>5806</v>
      </c>
      <c r="H136" s="176" t="s">
        <v>5425</v>
      </c>
      <c r="I136" s="199"/>
      <c r="J136" s="199"/>
      <c r="K136" s="199"/>
      <c r="L136" s="199"/>
      <c r="M136" s="199"/>
      <c r="N136" s="199"/>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c r="AJ136" s="199"/>
      <c r="AK136" s="199"/>
    </row>
    <row r="137">
      <c r="A137" s="176" t="s">
        <v>5</v>
      </c>
      <c r="E137" s="176" t="s">
        <v>88</v>
      </c>
      <c r="F137" s="176" t="s">
        <v>96</v>
      </c>
      <c r="G137" s="178" t="s">
        <v>5807</v>
      </c>
      <c r="H137" s="183" t="s">
        <v>337</v>
      </c>
      <c r="I137" s="199"/>
      <c r="J137" s="199"/>
      <c r="K137" s="199"/>
      <c r="L137" s="199"/>
      <c r="M137" s="199"/>
      <c r="N137" s="199"/>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c r="AJ137" s="199"/>
      <c r="AK137" s="199"/>
    </row>
    <row r="138" ht="15.75" customHeight="1">
      <c r="A138" s="32" t="s">
        <v>5</v>
      </c>
      <c r="B138" s="219" t="s">
        <v>5808</v>
      </c>
      <c r="C138" s="66" t="s">
        <v>5</v>
      </c>
      <c r="D138" s="32" t="s">
        <v>20</v>
      </c>
      <c r="E138" s="32" t="s">
        <v>89</v>
      </c>
      <c r="F138" s="32" t="s">
        <v>291</v>
      </c>
      <c r="G138" s="387"/>
      <c r="H138" s="15"/>
      <c r="I138" s="11"/>
      <c r="J138" s="11"/>
      <c r="K138" s="11"/>
      <c r="L138" s="11"/>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5.75" customHeight="1">
      <c r="A139" s="32" t="s">
        <v>5</v>
      </c>
      <c r="B139" s="66" t="s">
        <v>5809</v>
      </c>
      <c r="C139" s="577" t="s">
        <v>5810</v>
      </c>
      <c r="D139" s="32" t="s">
        <v>20</v>
      </c>
      <c r="E139" s="32" t="s">
        <v>88</v>
      </c>
      <c r="F139" s="32" t="s">
        <v>89</v>
      </c>
      <c r="G139" s="171" t="s">
        <v>5811</v>
      </c>
      <c r="H139" s="32" t="s">
        <v>89</v>
      </c>
      <c r="I139" s="11"/>
      <c r="J139" s="11"/>
      <c r="K139" s="11"/>
      <c r="L139" s="11"/>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5.75" customHeight="1">
      <c r="A140" s="32" t="s">
        <v>5</v>
      </c>
      <c r="E140" s="32" t="s">
        <v>21</v>
      </c>
      <c r="F140" s="32" t="s">
        <v>51</v>
      </c>
      <c r="G140" s="171" t="s">
        <v>5812</v>
      </c>
      <c r="H140" s="32" t="s">
        <v>51</v>
      </c>
      <c r="I140" s="11"/>
      <c r="J140" s="11"/>
      <c r="K140" s="11"/>
      <c r="L140" s="11"/>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5.75" customHeight="1">
      <c r="A141" s="32" t="s">
        <v>5</v>
      </c>
      <c r="E141" s="32" t="s">
        <v>408</v>
      </c>
      <c r="F141" s="32" t="s">
        <v>408</v>
      </c>
      <c r="G141" s="171" t="s">
        <v>5813</v>
      </c>
      <c r="H141" s="32" t="s">
        <v>408</v>
      </c>
      <c r="L141" s="11"/>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5.75" customHeight="1">
      <c r="A142" s="32" t="s">
        <v>5</v>
      </c>
      <c r="E142" s="32" t="s">
        <v>88</v>
      </c>
      <c r="F142" s="32" t="s">
        <v>96</v>
      </c>
      <c r="G142" s="171" t="s">
        <v>5814</v>
      </c>
      <c r="H142" s="32" t="s">
        <v>96</v>
      </c>
      <c r="I142" s="11"/>
      <c r="J142" s="11"/>
      <c r="K142" s="11"/>
      <c r="L142" s="11"/>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5.75" customHeight="1">
      <c r="A143" s="32" t="s">
        <v>5</v>
      </c>
      <c r="E143" s="32" t="s">
        <v>104</v>
      </c>
      <c r="F143" s="32" t="s">
        <v>913</v>
      </c>
      <c r="G143" s="387"/>
      <c r="L143" s="11"/>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5.75" customHeight="1">
      <c r="A144" s="32" t="s">
        <v>5</v>
      </c>
      <c r="E144" s="32" t="s">
        <v>104</v>
      </c>
      <c r="F144" s="32" t="s">
        <v>250</v>
      </c>
      <c r="G144" s="171" t="s">
        <v>5815</v>
      </c>
      <c r="H144" s="32" t="s">
        <v>250</v>
      </c>
      <c r="I144" s="11"/>
      <c r="J144" s="11"/>
      <c r="K144" s="11"/>
      <c r="L144" s="11"/>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5.75" customHeight="1">
      <c r="A145" s="32" t="s">
        <v>5</v>
      </c>
      <c r="E145" s="32" t="s">
        <v>86</v>
      </c>
      <c r="F145" s="32" t="s">
        <v>90</v>
      </c>
      <c r="G145" s="171" t="s">
        <v>5816</v>
      </c>
      <c r="H145" s="32" t="s">
        <v>90</v>
      </c>
      <c r="I145" s="11"/>
      <c r="J145" s="11"/>
      <c r="K145" s="11"/>
      <c r="L145" s="11"/>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5.75" customHeight="1">
      <c r="A146" s="32" t="s">
        <v>5</v>
      </c>
      <c r="E146" s="32" t="s">
        <v>86</v>
      </c>
      <c r="F146" s="32" t="s">
        <v>739</v>
      </c>
      <c r="G146" s="171" t="s">
        <v>5817</v>
      </c>
      <c r="H146" s="32" t="s">
        <v>739</v>
      </c>
      <c r="I146" s="11"/>
      <c r="J146" s="11"/>
      <c r="K146" s="11"/>
      <c r="L146" s="11"/>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5.75" customHeight="1">
      <c r="A147" s="32" t="s">
        <v>5</v>
      </c>
      <c r="E147" s="32" t="s">
        <v>86</v>
      </c>
      <c r="F147" s="32" t="s">
        <v>743</v>
      </c>
      <c r="G147" s="171" t="s">
        <v>5818</v>
      </c>
      <c r="H147" s="32" t="s">
        <v>743</v>
      </c>
      <c r="I147" s="11"/>
      <c r="J147" s="11"/>
      <c r="K147" s="11"/>
      <c r="L147" s="11"/>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5.75" customHeight="1">
      <c r="A148" s="32" t="s">
        <v>5</v>
      </c>
      <c r="E148" s="32" t="s">
        <v>88</v>
      </c>
      <c r="F148" s="32" t="s">
        <v>96</v>
      </c>
      <c r="G148" s="171" t="s">
        <v>5819</v>
      </c>
      <c r="H148" s="32" t="s">
        <v>177</v>
      </c>
      <c r="I148" s="11"/>
      <c r="J148" s="11"/>
      <c r="K148" s="11"/>
      <c r="L148" s="11"/>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5.75" customHeight="1">
      <c r="A149" s="32" t="s">
        <v>5</v>
      </c>
      <c r="E149" s="32" t="s">
        <v>172</v>
      </c>
      <c r="F149" s="32" t="s">
        <v>194</v>
      </c>
      <c r="G149" s="171" t="s">
        <v>5820</v>
      </c>
      <c r="H149" s="32" t="s">
        <v>194</v>
      </c>
      <c r="I149" s="11"/>
      <c r="J149" s="11"/>
      <c r="K149" s="11"/>
      <c r="L149" s="11"/>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5.75" customHeight="1">
      <c r="A150" s="32" t="s">
        <v>5</v>
      </c>
      <c r="E150" s="32" t="s">
        <v>172</v>
      </c>
      <c r="F150" s="32" t="s">
        <v>195</v>
      </c>
      <c r="G150" s="171" t="s">
        <v>5821</v>
      </c>
      <c r="H150" s="32" t="s">
        <v>195</v>
      </c>
      <c r="I150" s="11"/>
      <c r="J150" s="11"/>
      <c r="K150" s="11"/>
      <c r="L150" s="11"/>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5.75" customHeight="1">
      <c r="A151" s="32" t="s">
        <v>5</v>
      </c>
      <c r="E151" s="32" t="s">
        <v>104</v>
      </c>
      <c r="F151" s="32" t="s">
        <v>250</v>
      </c>
      <c r="G151" s="171" t="s">
        <v>5822</v>
      </c>
      <c r="H151" s="32" t="s">
        <v>1981</v>
      </c>
      <c r="I151" s="11"/>
      <c r="J151" s="11"/>
      <c r="K151" s="11"/>
      <c r="L151" s="11"/>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5.75" customHeight="1">
      <c r="A152" s="32" t="s">
        <v>5</v>
      </c>
      <c r="E152" s="32" t="s">
        <v>88</v>
      </c>
      <c r="F152" s="32" t="s">
        <v>120</v>
      </c>
      <c r="G152" s="171" t="s">
        <v>5823</v>
      </c>
      <c r="H152" s="32" t="s">
        <v>120</v>
      </c>
      <c r="I152" s="11"/>
      <c r="J152" s="11"/>
      <c r="K152" s="11"/>
      <c r="L152" s="11"/>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5.75" customHeight="1">
      <c r="A153" s="32" t="s">
        <v>5</v>
      </c>
      <c r="E153" s="32" t="s">
        <v>88</v>
      </c>
      <c r="F153" s="32" t="s">
        <v>544</v>
      </c>
      <c r="G153" s="171" t="s">
        <v>5824</v>
      </c>
      <c r="H153" s="32" t="s">
        <v>544</v>
      </c>
      <c r="I153" s="11"/>
      <c r="J153" s="11"/>
      <c r="K153" s="11"/>
      <c r="L153" s="11"/>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5.75" customHeight="1">
      <c r="A154" s="32" t="s">
        <v>5</v>
      </c>
      <c r="E154" s="32" t="s">
        <v>88</v>
      </c>
      <c r="F154" s="32" t="s">
        <v>247</v>
      </c>
      <c r="G154" s="387"/>
      <c r="H154" s="36"/>
      <c r="L154" s="11"/>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5.75" customHeight="1">
      <c r="A155" s="32" t="s">
        <v>5</v>
      </c>
      <c r="E155" s="32" t="s">
        <v>88</v>
      </c>
      <c r="F155" s="32" t="s">
        <v>96</v>
      </c>
      <c r="G155" s="171" t="s">
        <v>5825</v>
      </c>
      <c r="H155" s="32" t="s">
        <v>337</v>
      </c>
      <c r="I155" s="11"/>
      <c r="J155" s="11"/>
      <c r="K155" s="11"/>
      <c r="L155" s="11"/>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5.75" customHeight="1">
      <c r="A156" s="32" t="s">
        <v>5</v>
      </c>
      <c r="E156" s="32" t="s">
        <v>104</v>
      </c>
      <c r="F156" s="32" t="s">
        <v>250</v>
      </c>
      <c r="G156" s="171" t="s">
        <v>5826</v>
      </c>
      <c r="H156" s="32" t="s">
        <v>4160</v>
      </c>
      <c r="I156" s="11"/>
      <c r="J156" s="11"/>
      <c r="K156" s="11"/>
      <c r="L156" s="11"/>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5.75" customHeight="1">
      <c r="A157" s="32" t="s">
        <v>5</v>
      </c>
      <c r="E157" s="32" t="s">
        <v>43</v>
      </c>
      <c r="F157" s="32" t="s">
        <v>132</v>
      </c>
      <c r="G157" s="171" t="s">
        <v>5827</v>
      </c>
      <c r="H157" s="32" t="s">
        <v>132</v>
      </c>
      <c r="I157" s="11"/>
      <c r="J157" s="11"/>
      <c r="K157" s="11"/>
      <c r="L157" s="11"/>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5.75" customHeight="1">
      <c r="A158" s="32" t="s">
        <v>5</v>
      </c>
      <c r="E158" s="32" t="s">
        <v>43</v>
      </c>
      <c r="F158" s="32" t="s">
        <v>342</v>
      </c>
      <c r="G158" s="171" t="s">
        <v>5828</v>
      </c>
      <c r="H158" s="32" t="s">
        <v>342</v>
      </c>
      <c r="I158" s="11"/>
      <c r="J158" s="11"/>
      <c r="K158" s="11"/>
      <c r="L158" s="11"/>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5.75" customHeight="1">
      <c r="A159" s="32" t="s">
        <v>5</v>
      </c>
      <c r="E159" s="32" t="s">
        <v>43</v>
      </c>
      <c r="F159" s="32" t="s">
        <v>343</v>
      </c>
      <c r="G159" s="171" t="s">
        <v>5829</v>
      </c>
      <c r="H159" s="32" t="s">
        <v>343</v>
      </c>
      <c r="I159" s="11"/>
      <c r="J159" s="11"/>
      <c r="K159" s="11"/>
      <c r="L159" s="11"/>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5.75" customHeight="1">
      <c r="A160" s="32" t="s">
        <v>5</v>
      </c>
      <c r="E160" s="32" t="s">
        <v>43</v>
      </c>
      <c r="F160" s="32" t="s">
        <v>79</v>
      </c>
      <c r="G160" s="171" t="s">
        <v>5830</v>
      </c>
      <c r="H160" s="32" t="s">
        <v>79</v>
      </c>
      <c r="I160" s="11"/>
      <c r="J160" s="11"/>
      <c r="K160" s="11"/>
      <c r="L160" s="11"/>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5.75" customHeight="1">
      <c r="A161" s="32" t="s">
        <v>5</v>
      </c>
      <c r="E161" s="32" t="s">
        <v>88</v>
      </c>
      <c r="F161" s="32" t="s">
        <v>96</v>
      </c>
      <c r="G161" s="171" t="s">
        <v>5831</v>
      </c>
      <c r="H161" s="32" t="s">
        <v>1958</v>
      </c>
      <c r="I161" s="11"/>
      <c r="J161" s="11"/>
      <c r="K161" s="11"/>
      <c r="L161" s="11"/>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5.75" customHeight="1">
      <c r="A162" s="32" t="s">
        <v>5</v>
      </c>
      <c r="E162" s="32" t="s">
        <v>104</v>
      </c>
      <c r="F162" s="32" t="s">
        <v>250</v>
      </c>
      <c r="G162" s="171" t="s">
        <v>5832</v>
      </c>
      <c r="H162" s="32" t="s">
        <v>5786</v>
      </c>
      <c r="I162" s="11"/>
      <c r="J162" s="11"/>
      <c r="K162" s="11"/>
      <c r="L162" s="11"/>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5.75" customHeight="1">
      <c r="A163" s="15"/>
      <c r="B163" s="66"/>
      <c r="C163" s="578"/>
      <c r="D163" s="32"/>
      <c r="E163" s="32"/>
      <c r="F163" s="15"/>
      <c r="G163" s="387"/>
      <c r="H163" s="15"/>
      <c r="I163" s="11"/>
      <c r="J163" s="11"/>
      <c r="K163" s="11"/>
      <c r="L163" s="11"/>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86" ht="15.75" customHeight="1">
      <c r="A186" s="15"/>
      <c r="B186" s="66"/>
      <c r="C186" s="21"/>
      <c r="D186" s="32"/>
      <c r="E186" s="15"/>
      <c r="F186" s="15"/>
      <c r="G186" s="387"/>
      <c r="H186" s="15"/>
      <c r="I186" s="11"/>
      <c r="J186" s="11"/>
      <c r="K186" s="11"/>
      <c r="L186" s="11"/>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5.75" customHeight="1">
      <c r="A187" s="15"/>
      <c r="B187" s="66"/>
      <c r="C187" s="21"/>
      <c r="D187" s="32"/>
      <c r="E187" s="15"/>
      <c r="F187" s="15"/>
      <c r="G187" s="387"/>
      <c r="H187" s="15"/>
      <c r="I187" s="11"/>
      <c r="J187" s="11"/>
      <c r="K187" s="11"/>
      <c r="L187" s="11"/>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5.75" customHeight="1">
      <c r="A188" s="15"/>
      <c r="B188" s="66"/>
      <c r="C188" s="21"/>
      <c r="D188" s="32"/>
      <c r="E188" s="15"/>
      <c r="F188" s="15"/>
      <c r="G188" s="387"/>
      <c r="H188" s="15"/>
      <c r="I188" s="11"/>
      <c r="J188" s="11"/>
      <c r="K188" s="11"/>
      <c r="L188" s="11"/>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5.75" customHeight="1">
      <c r="A189" s="15"/>
      <c r="B189" s="66"/>
      <c r="C189" s="21"/>
      <c r="D189" s="32"/>
      <c r="E189" s="15"/>
      <c r="F189" s="15"/>
      <c r="G189" s="387"/>
      <c r="H189" s="15"/>
      <c r="I189" s="11"/>
      <c r="J189" s="11"/>
      <c r="K189" s="11"/>
      <c r="L189" s="11"/>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5.75" customHeight="1">
      <c r="A190" s="15"/>
      <c r="B190" s="66"/>
      <c r="C190" s="21"/>
      <c r="D190" s="32"/>
      <c r="E190" s="15"/>
      <c r="F190" s="15"/>
      <c r="G190" s="387"/>
      <c r="H190" s="15"/>
      <c r="I190" s="11"/>
      <c r="J190" s="11"/>
      <c r="K190" s="11"/>
      <c r="L190" s="11"/>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5.75" customHeight="1">
      <c r="A191" s="15"/>
      <c r="B191" s="66"/>
      <c r="C191" s="21"/>
      <c r="D191" s="32"/>
      <c r="E191" s="15"/>
      <c r="F191" s="15"/>
      <c r="G191" s="387"/>
      <c r="H191" s="15"/>
      <c r="I191" s="11"/>
      <c r="J191" s="11"/>
      <c r="K191" s="11"/>
      <c r="L191" s="11"/>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5.75" customHeight="1">
      <c r="A192" s="15"/>
      <c r="B192" s="21"/>
      <c r="C192" s="21"/>
      <c r="D192" s="15"/>
      <c r="E192" s="15"/>
      <c r="F192" s="15"/>
      <c r="G192" s="387"/>
      <c r="H192" s="15"/>
      <c r="I192" s="11"/>
      <c r="J192" s="11"/>
      <c r="K192" s="11"/>
      <c r="L192" s="11"/>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5.75" customHeight="1">
      <c r="A193" s="15"/>
      <c r="B193" s="21"/>
      <c r="C193" s="21"/>
      <c r="D193" s="15"/>
      <c r="E193" s="15"/>
      <c r="F193" s="15"/>
      <c r="G193" s="387"/>
      <c r="H193" s="15"/>
      <c r="I193" s="11"/>
      <c r="J193" s="11"/>
      <c r="K193" s="11"/>
      <c r="L193" s="11"/>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5.75" customHeight="1">
      <c r="A194" s="15"/>
      <c r="B194" s="21"/>
      <c r="C194" s="21"/>
      <c r="D194" s="15"/>
      <c r="E194" s="15"/>
      <c r="F194" s="15"/>
      <c r="G194" s="387"/>
      <c r="H194" s="15"/>
      <c r="I194" s="11"/>
      <c r="J194" s="11"/>
      <c r="K194" s="11"/>
      <c r="L194" s="11"/>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5.75" customHeight="1">
      <c r="A195" s="15"/>
      <c r="B195" s="21"/>
      <c r="C195" s="21"/>
      <c r="D195" s="15"/>
      <c r="E195" s="15"/>
      <c r="F195" s="15"/>
      <c r="G195" s="387"/>
      <c r="H195" s="15"/>
      <c r="I195" s="11"/>
      <c r="J195" s="11"/>
      <c r="K195" s="11"/>
      <c r="L195" s="11"/>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5.75" customHeight="1">
      <c r="A196" s="15"/>
      <c r="B196" s="21"/>
      <c r="C196" s="21"/>
      <c r="D196" s="15"/>
      <c r="E196" s="15"/>
      <c r="F196" s="15"/>
      <c r="G196" s="387"/>
      <c r="H196" s="15"/>
      <c r="I196" s="11"/>
      <c r="J196" s="11"/>
      <c r="K196" s="11"/>
      <c r="L196" s="11"/>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5.75" customHeight="1">
      <c r="A197" s="15"/>
      <c r="B197" s="21"/>
      <c r="C197" s="21"/>
      <c r="D197" s="15"/>
      <c r="E197" s="15"/>
      <c r="F197" s="15"/>
      <c r="G197" s="387"/>
      <c r="H197" s="15"/>
      <c r="I197" s="11"/>
      <c r="J197" s="11"/>
      <c r="K197" s="11"/>
      <c r="L197" s="11"/>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5.75" customHeight="1">
      <c r="A198" s="15"/>
      <c r="B198" s="21"/>
      <c r="C198" s="21"/>
      <c r="D198" s="15"/>
      <c r="E198" s="15"/>
      <c r="F198" s="15"/>
      <c r="G198" s="387"/>
      <c r="H198" s="15"/>
      <c r="I198" s="11"/>
      <c r="J198" s="11"/>
      <c r="K198" s="11"/>
      <c r="L198" s="11"/>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5.75" customHeight="1">
      <c r="A199" s="15"/>
      <c r="B199" s="21"/>
      <c r="C199" s="21"/>
      <c r="D199" s="15"/>
      <c r="E199" s="15"/>
      <c r="F199" s="15"/>
      <c r="G199" s="387"/>
      <c r="H199" s="15"/>
      <c r="I199" s="11"/>
      <c r="J199" s="11"/>
      <c r="K199" s="11"/>
      <c r="L199" s="11"/>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5.75" customHeight="1">
      <c r="A200" s="15"/>
      <c r="B200" s="21"/>
      <c r="C200" s="21"/>
      <c r="D200" s="15"/>
      <c r="E200" s="15"/>
      <c r="F200" s="15"/>
      <c r="G200" s="387"/>
      <c r="H200" s="15"/>
      <c r="I200" s="11"/>
      <c r="J200" s="11"/>
      <c r="K200" s="11"/>
      <c r="L200" s="11"/>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5.75" customHeight="1">
      <c r="A201" s="15"/>
      <c r="B201" s="21"/>
      <c r="C201" s="21"/>
      <c r="D201" s="15"/>
      <c r="E201" s="15"/>
      <c r="F201" s="15"/>
      <c r="G201" s="387"/>
      <c r="H201" s="15"/>
      <c r="I201" s="11"/>
      <c r="J201" s="11"/>
      <c r="K201" s="11"/>
      <c r="L201" s="11"/>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5.75" customHeight="1">
      <c r="A202" s="15"/>
      <c r="B202" s="21"/>
      <c r="C202" s="21"/>
      <c r="D202" s="15"/>
      <c r="E202" s="15"/>
      <c r="F202" s="15"/>
      <c r="G202" s="387"/>
      <c r="H202" s="15"/>
      <c r="I202" s="11"/>
      <c r="J202" s="11"/>
      <c r="K202" s="11"/>
      <c r="L202" s="11"/>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5.75" customHeight="1">
      <c r="A203" s="15"/>
      <c r="B203" s="21"/>
      <c r="C203" s="21"/>
      <c r="D203" s="15"/>
      <c r="E203" s="15"/>
      <c r="F203" s="15"/>
      <c r="G203" s="387"/>
      <c r="H203" s="15"/>
      <c r="I203" s="11"/>
      <c r="J203" s="11"/>
      <c r="K203" s="11"/>
      <c r="L203" s="11"/>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5.75" customHeight="1">
      <c r="A204" s="15"/>
      <c r="B204" s="21"/>
      <c r="C204" s="21"/>
      <c r="D204" s="15"/>
      <c r="E204" s="15"/>
      <c r="F204" s="15"/>
      <c r="G204" s="387"/>
      <c r="H204" s="15"/>
      <c r="I204" s="11"/>
      <c r="J204" s="11"/>
      <c r="K204" s="11"/>
      <c r="L204" s="11"/>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5.75" customHeight="1">
      <c r="A205" s="15"/>
      <c r="B205" s="21"/>
      <c r="C205" s="21"/>
      <c r="D205" s="15"/>
      <c r="E205" s="15"/>
      <c r="F205" s="15"/>
      <c r="G205" s="387"/>
      <c r="H205" s="15"/>
      <c r="I205" s="11"/>
      <c r="J205" s="11"/>
      <c r="K205" s="11"/>
      <c r="L205" s="11"/>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5.75" customHeight="1">
      <c r="A206" s="15"/>
      <c r="B206" s="21"/>
      <c r="C206" s="21"/>
      <c r="D206" s="15"/>
      <c r="E206" s="15"/>
      <c r="F206" s="15"/>
      <c r="G206" s="387"/>
      <c r="H206" s="15"/>
      <c r="I206" s="11"/>
      <c r="J206" s="11"/>
      <c r="K206" s="11"/>
      <c r="L206" s="11"/>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5.75" customHeight="1">
      <c r="A207" s="15"/>
      <c r="B207" s="21"/>
      <c r="C207" s="21"/>
      <c r="D207" s="15"/>
      <c r="E207" s="15"/>
      <c r="F207" s="15"/>
      <c r="G207" s="387"/>
      <c r="H207" s="15"/>
      <c r="I207" s="11"/>
      <c r="J207" s="11"/>
      <c r="K207" s="11"/>
      <c r="L207" s="11"/>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5.75" customHeight="1">
      <c r="A208" s="15"/>
      <c r="B208" s="21"/>
      <c r="C208" s="21"/>
      <c r="D208" s="15"/>
      <c r="E208" s="15"/>
      <c r="F208" s="15"/>
      <c r="G208" s="387"/>
      <c r="H208" s="15"/>
      <c r="I208" s="11"/>
      <c r="J208" s="11"/>
      <c r="K208" s="11"/>
      <c r="L208" s="11"/>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5.75" customHeight="1">
      <c r="A209" s="15"/>
      <c r="B209" s="21"/>
      <c r="C209" s="21"/>
      <c r="D209" s="15"/>
      <c r="E209" s="15"/>
      <c r="F209" s="15"/>
      <c r="G209" s="387"/>
      <c r="H209" s="15"/>
      <c r="I209" s="11"/>
      <c r="J209" s="11"/>
      <c r="K209" s="11"/>
      <c r="L209" s="11"/>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5.75" customHeight="1">
      <c r="A210" s="15"/>
      <c r="B210" s="21"/>
      <c r="C210" s="21"/>
      <c r="D210" s="15"/>
      <c r="E210" s="15"/>
      <c r="F210" s="15"/>
      <c r="G210" s="387"/>
      <c r="H210" s="15"/>
      <c r="I210" s="11"/>
      <c r="J210" s="11"/>
      <c r="K210" s="11"/>
      <c r="L210" s="11"/>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5.75" customHeight="1">
      <c r="A211" s="15"/>
      <c r="B211" s="21"/>
      <c r="C211" s="21"/>
      <c r="D211" s="15"/>
      <c r="E211" s="15"/>
      <c r="F211" s="15"/>
      <c r="G211" s="387"/>
      <c r="H211" s="15"/>
      <c r="I211" s="11"/>
      <c r="J211" s="11"/>
      <c r="K211" s="11"/>
      <c r="L211" s="11"/>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5.75" customHeight="1">
      <c r="A212" s="15"/>
      <c r="B212" s="21"/>
      <c r="C212" s="21"/>
      <c r="D212" s="15"/>
      <c r="E212" s="15"/>
      <c r="F212" s="15"/>
      <c r="G212" s="387"/>
      <c r="H212" s="15"/>
      <c r="I212" s="11"/>
      <c r="J212" s="11"/>
      <c r="K212" s="11"/>
      <c r="L212" s="11"/>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5.75" customHeight="1">
      <c r="A213" s="15"/>
      <c r="B213" s="21"/>
      <c r="C213" s="21"/>
      <c r="D213" s="15"/>
      <c r="E213" s="15"/>
      <c r="F213" s="15"/>
      <c r="G213" s="387"/>
      <c r="H213" s="15"/>
      <c r="I213" s="11"/>
      <c r="J213" s="11"/>
      <c r="K213" s="11"/>
      <c r="L213" s="11"/>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5.75" customHeight="1">
      <c r="A214" s="15"/>
      <c r="B214" s="21"/>
      <c r="C214" s="21"/>
      <c r="D214" s="15"/>
      <c r="E214" s="15"/>
      <c r="F214" s="15"/>
      <c r="G214" s="387"/>
      <c r="H214" s="15"/>
      <c r="I214" s="11"/>
      <c r="J214" s="11"/>
      <c r="K214" s="11"/>
      <c r="L214" s="11"/>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5.75" customHeight="1">
      <c r="A215" s="15"/>
      <c r="B215" s="21"/>
      <c r="C215" s="21"/>
      <c r="D215" s="15"/>
      <c r="E215" s="15"/>
      <c r="F215" s="15"/>
      <c r="G215" s="387"/>
      <c r="H215" s="15"/>
      <c r="I215" s="11"/>
      <c r="J215" s="11"/>
      <c r="K215" s="11"/>
      <c r="L215" s="11"/>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5.75" customHeight="1">
      <c r="A216" s="15"/>
      <c r="B216" s="21"/>
      <c r="C216" s="21"/>
      <c r="D216" s="15"/>
      <c r="E216" s="15"/>
      <c r="F216" s="15"/>
      <c r="G216" s="387"/>
      <c r="H216" s="15"/>
      <c r="I216" s="11"/>
      <c r="J216" s="11"/>
      <c r="K216" s="11"/>
      <c r="L216" s="11"/>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5.75" customHeight="1">
      <c r="A217" s="15"/>
      <c r="B217" s="21"/>
      <c r="C217" s="21"/>
      <c r="D217" s="15"/>
      <c r="E217" s="15"/>
      <c r="F217" s="15"/>
      <c r="G217" s="387"/>
      <c r="H217" s="15"/>
      <c r="I217" s="11"/>
      <c r="J217" s="11"/>
      <c r="K217" s="11"/>
      <c r="L217" s="11"/>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5.75" customHeight="1">
      <c r="A218" s="15"/>
      <c r="B218" s="21"/>
      <c r="C218" s="21"/>
      <c r="D218" s="15"/>
      <c r="E218" s="15"/>
      <c r="F218" s="15"/>
      <c r="G218" s="387"/>
      <c r="H218" s="15"/>
      <c r="I218" s="11"/>
      <c r="J218" s="11"/>
      <c r="K218" s="11"/>
      <c r="L218" s="11"/>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5.75" customHeight="1">
      <c r="A219" s="15"/>
      <c r="B219" s="21"/>
      <c r="C219" s="21"/>
      <c r="D219" s="15"/>
      <c r="E219" s="15"/>
      <c r="F219" s="15"/>
      <c r="G219" s="387"/>
      <c r="H219" s="15"/>
      <c r="I219" s="11"/>
      <c r="J219" s="11"/>
      <c r="K219" s="11"/>
      <c r="L219" s="11"/>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5.75" customHeight="1">
      <c r="A220" s="15"/>
      <c r="B220" s="21"/>
      <c r="C220" s="21"/>
      <c r="D220" s="15"/>
      <c r="E220" s="15"/>
      <c r="F220" s="15"/>
      <c r="G220" s="387"/>
      <c r="H220" s="15"/>
      <c r="I220" s="11"/>
      <c r="J220" s="11"/>
      <c r="K220" s="11"/>
      <c r="L220" s="11"/>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5.75" customHeight="1">
      <c r="A221" s="15"/>
      <c r="B221" s="21"/>
      <c r="C221" s="21"/>
      <c r="D221" s="15"/>
      <c r="E221" s="15"/>
      <c r="F221" s="15"/>
      <c r="G221" s="387"/>
      <c r="H221" s="15"/>
      <c r="I221" s="11"/>
      <c r="J221" s="11"/>
      <c r="K221" s="11"/>
      <c r="L221" s="11"/>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5.75" customHeight="1">
      <c r="A222" s="15"/>
      <c r="B222" s="21"/>
      <c r="C222" s="21"/>
      <c r="D222" s="15"/>
      <c r="E222" s="15"/>
      <c r="F222" s="15"/>
      <c r="G222" s="387"/>
      <c r="H222" s="15"/>
      <c r="I222" s="11"/>
      <c r="J222" s="11"/>
      <c r="K222" s="11"/>
      <c r="L222" s="11"/>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5.75" customHeight="1">
      <c r="A223" s="15"/>
      <c r="B223" s="21"/>
      <c r="C223" s="21"/>
      <c r="D223" s="15"/>
      <c r="E223" s="15"/>
      <c r="F223" s="15"/>
      <c r="G223" s="387"/>
      <c r="H223" s="15"/>
      <c r="I223" s="11"/>
      <c r="J223" s="11"/>
      <c r="K223" s="11"/>
      <c r="L223" s="11"/>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5.75" customHeight="1">
      <c r="A224" s="15"/>
      <c r="B224" s="21"/>
      <c r="C224" s="21"/>
      <c r="D224" s="15"/>
      <c r="E224" s="15"/>
      <c r="F224" s="15"/>
      <c r="G224" s="387"/>
      <c r="H224" s="15"/>
      <c r="I224" s="11"/>
      <c r="J224" s="11"/>
      <c r="K224" s="11"/>
      <c r="L224" s="11"/>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5.75" customHeight="1">
      <c r="A225" s="15"/>
      <c r="B225" s="21"/>
      <c r="C225" s="21"/>
      <c r="D225" s="15"/>
      <c r="E225" s="15"/>
      <c r="F225" s="15"/>
      <c r="G225" s="387"/>
      <c r="H225" s="15"/>
      <c r="I225" s="11"/>
      <c r="J225" s="11"/>
      <c r="K225" s="11"/>
      <c r="L225" s="11"/>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5.75" customHeight="1">
      <c r="A226" s="15"/>
      <c r="B226" s="21"/>
      <c r="C226" s="21"/>
      <c r="D226" s="15"/>
      <c r="E226" s="15"/>
      <c r="F226" s="15"/>
      <c r="G226" s="387"/>
      <c r="H226" s="15"/>
      <c r="I226" s="11"/>
      <c r="J226" s="11"/>
      <c r="K226" s="11"/>
      <c r="L226" s="11"/>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5.75" customHeight="1">
      <c r="A227" s="15"/>
      <c r="B227" s="21"/>
      <c r="C227" s="21"/>
      <c r="D227" s="15"/>
      <c r="E227" s="15"/>
      <c r="F227" s="15"/>
      <c r="G227" s="387"/>
      <c r="H227" s="15"/>
      <c r="I227" s="11"/>
      <c r="J227" s="11"/>
      <c r="K227" s="11"/>
      <c r="L227" s="11"/>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5.75" customHeight="1">
      <c r="A228" s="15"/>
      <c r="B228" s="21"/>
      <c r="C228" s="21"/>
      <c r="D228" s="15"/>
      <c r="E228" s="15"/>
      <c r="F228" s="15"/>
      <c r="G228" s="387"/>
      <c r="H228" s="15"/>
      <c r="I228" s="11"/>
      <c r="J228" s="11"/>
      <c r="K228" s="11"/>
      <c r="L228" s="11"/>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5.75" customHeight="1">
      <c r="A229" s="15"/>
      <c r="B229" s="21"/>
      <c r="C229" s="21"/>
      <c r="D229" s="15"/>
      <c r="E229" s="15"/>
      <c r="F229" s="15"/>
      <c r="G229" s="387"/>
      <c r="H229" s="15"/>
      <c r="I229" s="11"/>
      <c r="J229" s="11"/>
      <c r="K229" s="11"/>
      <c r="L229" s="11"/>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5.75" customHeight="1">
      <c r="A230" s="15"/>
      <c r="B230" s="21"/>
      <c r="C230" s="21"/>
      <c r="D230" s="15"/>
      <c r="E230" s="15"/>
      <c r="F230" s="15"/>
      <c r="G230" s="387"/>
      <c r="H230" s="15"/>
      <c r="I230" s="11"/>
      <c r="J230" s="11"/>
      <c r="K230" s="11"/>
      <c r="L230" s="11"/>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5.75" customHeight="1">
      <c r="A231" s="15"/>
      <c r="B231" s="21"/>
      <c r="C231" s="21"/>
      <c r="D231" s="15"/>
      <c r="E231" s="15"/>
      <c r="F231" s="15"/>
      <c r="G231" s="387"/>
      <c r="H231" s="15"/>
      <c r="I231" s="11"/>
      <c r="J231" s="11"/>
      <c r="K231" s="11"/>
      <c r="L231" s="11"/>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5.75" customHeight="1">
      <c r="A232" s="15"/>
      <c r="B232" s="21"/>
      <c r="C232" s="21"/>
      <c r="D232" s="15"/>
      <c r="E232" s="15"/>
      <c r="F232" s="15"/>
      <c r="G232" s="387"/>
      <c r="H232" s="15"/>
      <c r="I232" s="11"/>
      <c r="J232" s="11"/>
      <c r="K232" s="11"/>
      <c r="L232" s="11"/>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5.75" customHeight="1">
      <c r="A233" s="15"/>
      <c r="B233" s="21"/>
      <c r="C233" s="21"/>
      <c r="D233" s="15"/>
      <c r="E233" s="15"/>
      <c r="F233" s="15"/>
      <c r="G233" s="387"/>
      <c r="H233" s="15"/>
      <c r="I233" s="11"/>
      <c r="J233" s="11"/>
      <c r="K233" s="11"/>
      <c r="L233" s="11"/>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5.75" customHeight="1">
      <c r="A234" s="15"/>
      <c r="B234" s="21"/>
      <c r="C234" s="21"/>
      <c r="D234" s="15"/>
      <c r="E234" s="15"/>
      <c r="F234" s="15"/>
      <c r="G234" s="387"/>
      <c r="H234" s="15"/>
      <c r="I234" s="11"/>
      <c r="J234" s="11"/>
      <c r="K234" s="11"/>
      <c r="L234" s="11"/>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5.75" customHeight="1">
      <c r="A235" s="15"/>
      <c r="B235" s="21"/>
      <c r="C235" s="21"/>
      <c r="D235" s="15"/>
      <c r="E235" s="15"/>
      <c r="F235" s="15"/>
      <c r="G235" s="387"/>
      <c r="H235" s="15"/>
      <c r="I235" s="11"/>
      <c r="J235" s="11"/>
      <c r="K235" s="11"/>
      <c r="L235" s="11"/>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5.75" customHeight="1">
      <c r="A236" s="15"/>
      <c r="B236" s="21"/>
      <c r="C236" s="21"/>
      <c r="D236" s="15"/>
      <c r="E236" s="15"/>
      <c r="F236" s="15"/>
      <c r="G236" s="387"/>
      <c r="H236" s="15"/>
      <c r="I236" s="11"/>
      <c r="J236" s="11"/>
      <c r="K236" s="11"/>
      <c r="L236" s="11"/>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5.75" customHeight="1">
      <c r="A237" s="15"/>
      <c r="B237" s="21"/>
      <c r="C237" s="21"/>
      <c r="D237" s="15"/>
      <c r="E237" s="15"/>
      <c r="F237" s="15"/>
      <c r="G237" s="387"/>
      <c r="H237" s="15"/>
      <c r="I237" s="11"/>
      <c r="J237" s="11"/>
      <c r="K237" s="11"/>
      <c r="L237" s="11"/>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5.75" customHeight="1">
      <c r="A238" s="15"/>
      <c r="B238" s="21"/>
      <c r="C238" s="21"/>
      <c r="D238" s="15"/>
      <c r="E238" s="15"/>
      <c r="F238" s="15"/>
      <c r="G238" s="387"/>
      <c r="H238" s="15"/>
      <c r="I238" s="11"/>
      <c r="J238" s="11"/>
      <c r="K238" s="11"/>
      <c r="L238" s="11"/>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5.75" customHeight="1">
      <c r="A239" s="15"/>
      <c r="B239" s="21"/>
      <c r="C239" s="21"/>
      <c r="D239" s="15"/>
      <c r="E239" s="15"/>
      <c r="F239" s="15"/>
      <c r="G239" s="387"/>
      <c r="H239" s="15"/>
      <c r="I239" s="11"/>
      <c r="J239" s="11"/>
      <c r="K239" s="11"/>
      <c r="L239" s="11"/>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5.75" customHeight="1">
      <c r="A240" s="15"/>
      <c r="B240" s="21"/>
      <c r="C240" s="21"/>
      <c r="D240" s="15"/>
      <c r="E240" s="15"/>
      <c r="F240" s="15"/>
      <c r="G240" s="387"/>
      <c r="H240" s="15"/>
      <c r="I240" s="11"/>
      <c r="J240" s="11"/>
      <c r="K240" s="11"/>
      <c r="L240" s="11"/>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5.75" customHeight="1">
      <c r="A241" s="15"/>
      <c r="B241" s="21"/>
      <c r="C241" s="21"/>
      <c r="D241" s="15"/>
      <c r="E241" s="15"/>
      <c r="F241" s="15"/>
      <c r="G241" s="387"/>
      <c r="H241" s="15"/>
      <c r="I241" s="11"/>
      <c r="J241" s="11"/>
      <c r="K241" s="11"/>
      <c r="L241" s="11"/>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5.75" customHeight="1">
      <c r="A242" s="15"/>
      <c r="B242" s="21"/>
      <c r="C242" s="21"/>
      <c r="D242" s="15"/>
      <c r="E242" s="15"/>
      <c r="F242" s="15"/>
      <c r="G242" s="387"/>
      <c r="H242" s="15"/>
      <c r="I242" s="11"/>
      <c r="J242" s="11"/>
      <c r="K242" s="11"/>
      <c r="L242" s="11"/>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5.75" customHeight="1">
      <c r="A243" s="15"/>
      <c r="B243" s="21"/>
      <c r="C243" s="21"/>
      <c r="D243" s="15"/>
      <c r="E243" s="15"/>
      <c r="F243" s="15"/>
      <c r="G243" s="387"/>
      <c r="H243" s="15"/>
      <c r="I243" s="11"/>
      <c r="J243" s="11"/>
      <c r="K243" s="11"/>
      <c r="L243" s="11"/>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5.75" customHeight="1">
      <c r="A244" s="15"/>
      <c r="B244" s="21"/>
      <c r="C244" s="21"/>
      <c r="D244" s="15"/>
      <c r="E244" s="15"/>
      <c r="F244" s="15"/>
      <c r="G244" s="387"/>
      <c r="H244" s="15"/>
      <c r="I244" s="11"/>
      <c r="J244" s="11"/>
      <c r="K244" s="11"/>
      <c r="L244" s="11"/>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5.75" customHeight="1">
      <c r="A245" s="15"/>
      <c r="B245" s="21"/>
      <c r="C245" s="21"/>
      <c r="D245" s="15"/>
      <c r="E245" s="15"/>
      <c r="F245" s="15"/>
      <c r="G245" s="387"/>
      <c r="H245" s="15"/>
      <c r="I245" s="11"/>
      <c r="J245" s="11"/>
      <c r="K245" s="11"/>
      <c r="L245" s="11"/>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5.75" customHeight="1">
      <c r="A246" s="15"/>
      <c r="B246" s="21"/>
      <c r="C246" s="21"/>
      <c r="D246" s="15"/>
      <c r="E246" s="15"/>
      <c r="F246" s="15"/>
      <c r="G246" s="387"/>
      <c r="H246" s="15"/>
      <c r="I246" s="11"/>
      <c r="J246" s="11"/>
      <c r="K246" s="11"/>
      <c r="L246" s="11"/>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5.75" customHeight="1">
      <c r="A247" s="15"/>
      <c r="B247" s="21"/>
      <c r="C247" s="21"/>
      <c r="D247" s="15"/>
      <c r="E247" s="15"/>
      <c r="F247" s="15"/>
      <c r="G247" s="387"/>
      <c r="H247" s="15"/>
      <c r="I247" s="11"/>
      <c r="J247" s="11"/>
      <c r="K247" s="11"/>
      <c r="L247" s="11"/>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5.75" customHeight="1">
      <c r="A248" s="15"/>
      <c r="B248" s="21"/>
      <c r="C248" s="21"/>
      <c r="D248" s="15"/>
      <c r="E248" s="15"/>
      <c r="F248" s="15"/>
      <c r="G248" s="387"/>
      <c r="H248" s="15"/>
      <c r="I248" s="11"/>
      <c r="J248" s="11"/>
      <c r="K248" s="11"/>
      <c r="L248" s="11"/>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5.75" customHeight="1">
      <c r="A249" s="15"/>
      <c r="B249" s="21"/>
      <c r="C249" s="21"/>
      <c r="D249" s="15"/>
      <c r="E249" s="15"/>
      <c r="F249" s="15"/>
      <c r="G249" s="387"/>
      <c r="H249" s="15"/>
      <c r="I249" s="11"/>
      <c r="J249" s="11"/>
      <c r="K249" s="11"/>
      <c r="L249" s="11"/>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5.75" customHeight="1">
      <c r="A250" s="15"/>
      <c r="B250" s="21"/>
      <c r="C250" s="21"/>
      <c r="D250" s="15"/>
      <c r="E250" s="15"/>
      <c r="F250" s="15"/>
      <c r="G250" s="387"/>
      <c r="H250" s="15"/>
      <c r="I250" s="11"/>
      <c r="J250" s="11"/>
      <c r="K250" s="11"/>
      <c r="L250" s="11"/>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5.75" customHeight="1">
      <c r="A251" s="15"/>
      <c r="B251" s="21"/>
      <c r="C251" s="21"/>
      <c r="D251" s="15"/>
      <c r="E251" s="15"/>
      <c r="F251" s="15"/>
      <c r="G251" s="387"/>
      <c r="H251" s="15"/>
      <c r="I251" s="11"/>
      <c r="J251" s="11"/>
      <c r="K251" s="11"/>
      <c r="L251" s="11"/>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5.75" customHeight="1">
      <c r="A252" s="15"/>
      <c r="B252" s="21"/>
      <c r="C252" s="21"/>
      <c r="D252" s="15"/>
      <c r="E252" s="15"/>
      <c r="F252" s="15"/>
      <c r="G252" s="387"/>
      <c r="H252" s="15"/>
      <c r="I252" s="11"/>
      <c r="J252" s="11"/>
      <c r="K252" s="11"/>
      <c r="L252" s="11"/>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5.75" customHeight="1">
      <c r="A253" s="15"/>
      <c r="B253" s="21"/>
      <c r="C253" s="21"/>
      <c r="D253" s="15"/>
      <c r="E253" s="15"/>
      <c r="F253" s="15"/>
      <c r="G253" s="387"/>
      <c r="H253" s="15"/>
      <c r="I253" s="11"/>
      <c r="J253" s="11"/>
      <c r="K253" s="11"/>
      <c r="L253" s="11"/>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5.75" customHeight="1">
      <c r="A254" s="15"/>
      <c r="B254" s="21"/>
      <c r="C254" s="21"/>
      <c r="D254" s="15"/>
      <c r="E254" s="15"/>
      <c r="F254" s="15"/>
      <c r="G254" s="387"/>
      <c r="H254" s="15"/>
      <c r="I254" s="11"/>
      <c r="J254" s="11"/>
      <c r="K254" s="11"/>
      <c r="L254" s="11"/>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5.75" customHeight="1">
      <c r="A255" s="15"/>
      <c r="B255" s="21"/>
      <c r="C255" s="21"/>
      <c r="D255" s="15"/>
      <c r="E255" s="15"/>
      <c r="F255" s="15"/>
      <c r="G255" s="387"/>
      <c r="H255" s="15"/>
      <c r="I255" s="11"/>
      <c r="J255" s="11"/>
      <c r="K255" s="11"/>
      <c r="L255" s="11"/>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5.75" customHeight="1">
      <c r="A256" s="15"/>
      <c r="B256" s="21"/>
      <c r="C256" s="21"/>
      <c r="D256" s="15"/>
      <c r="E256" s="15"/>
      <c r="F256" s="15"/>
      <c r="G256" s="387"/>
      <c r="H256" s="15"/>
      <c r="I256" s="11"/>
      <c r="J256" s="11"/>
      <c r="K256" s="11"/>
      <c r="L256" s="11"/>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5.75" customHeight="1">
      <c r="A257" s="15"/>
      <c r="B257" s="21"/>
      <c r="C257" s="21"/>
      <c r="D257" s="15"/>
      <c r="E257" s="15"/>
      <c r="F257" s="15"/>
      <c r="G257" s="387"/>
      <c r="H257" s="15"/>
      <c r="I257" s="11"/>
      <c r="J257" s="11"/>
      <c r="K257" s="11"/>
      <c r="L257" s="11"/>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5.75" customHeight="1">
      <c r="A258" s="15"/>
      <c r="B258" s="21"/>
      <c r="C258" s="21"/>
      <c r="D258" s="15"/>
      <c r="E258" s="15"/>
      <c r="F258" s="15"/>
      <c r="G258" s="387"/>
      <c r="H258" s="15"/>
      <c r="I258" s="11"/>
      <c r="J258" s="11"/>
      <c r="K258" s="11"/>
      <c r="L258" s="11"/>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5.75" customHeight="1">
      <c r="A259" s="15"/>
      <c r="B259" s="21"/>
      <c r="C259" s="21"/>
      <c r="D259" s="15"/>
      <c r="E259" s="15"/>
      <c r="F259" s="15"/>
      <c r="G259" s="387"/>
      <c r="H259" s="15"/>
      <c r="I259" s="11"/>
      <c r="J259" s="11"/>
      <c r="K259" s="11"/>
      <c r="L259" s="11"/>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5.75" customHeight="1">
      <c r="A260" s="15"/>
      <c r="B260" s="21"/>
      <c r="C260" s="21"/>
      <c r="D260" s="15"/>
      <c r="E260" s="15"/>
      <c r="F260" s="15"/>
      <c r="G260" s="387"/>
      <c r="H260" s="15"/>
      <c r="I260" s="11"/>
      <c r="J260" s="11"/>
      <c r="K260" s="11"/>
      <c r="L260" s="11"/>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5.75" customHeight="1">
      <c r="A261" s="15"/>
      <c r="B261" s="21"/>
      <c r="C261" s="21"/>
      <c r="D261" s="15"/>
      <c r="E261" s="15"/>
      <c r="F261" s="15"/>
      <c r="G261" s="387"/>
      <c r="H261" s="15"/>
      <c r="I261" s="11"/>
      <c r="J261" s="11"/>
      <c r="K261" s="11"/>
      <c r="L261" s="11"/>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5.75" customHeight="1">
      <c r="A262" s="15"/>
      <c r="B262" s="21"/>
      <c r="C262" s="21"/>
      <c r="D262" s="15"/>
      <c r="E262" s="15"/>
      <c r="F262" s="15"/>
      <c r="G262" s="387"/>
      <c r="H262" s="15"/>
      <c r="I262" s="11"/>
      <c r="J262" s="11"/>
      <c r="K262" s="11"/>
      <c r="L262" s="11"/>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5.75" customHeight="1">
      <c r="A263" s="15"/>
      <c r="B263" s="21"/>
      <c r="C263" s="21"/>
      <c r="D263" s="15"/>
      <c r="E263" s="15"/>
      <c r="F263" s="15"/>
      <c r="G263" s="387"/>
      <c r="H263" s="15"/>
      <c r="I263" s="11"/>
      <c r="J263" s="11"/>
      <c r="K263" s="11"/>
      <c r="L263" s="11"/>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5.75" customHeight="1">
      <c r="A264" s="15"/>
      <c r="B264" s="21"/>
      <c r="C264" s="21"/>
      <c r="D264" s="15"/>
      <c r="E264" s="15"/>
      <c r="F264" s="15"/>
      <c r="G264" s="387"/>
      <c r="H264" s="15"/>
      <c r="I264" s="11"/>
      <c r="J264" s="11"/>
      <c r="K264" s="11"/>
      <c r="L264" s="11"/>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5.75" customHeight="1">
      <c r="A265" s="15"/>
      <c r="B265" s="21"/>
      <c r="C265" s="21"/>
      <c r="D265" s="15"/>
      <c r="E265" s="15"/>
      <c r="F265" s="15"/>
      <c r="G265" s="387"/>
      <c r="H265" s="15"/>
      <c r="I265" s="11"/>
      <c r="J265" s="11"/>
      <c r="K265" s="11"/>
      <c r="L265" s="11"/>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5.75" customHeight="1">
      <c r="A266" s="15"/>
      <c r="B266" s="21"/>
      <c r="C266" s="21"/>
      <c r="D266" s="15"/>
      <c r="E266" s="15"/>
      <c r="F266" s="15"/>
      <c r="G266" s="387"/>
      <c r="H266" s="15"/>
      <c r="I266" s="11"/>
      <c r="J266" s="11"/>
      <c r="K266" s="11"/>
      <c r="L266" s="11"/>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5.75" customHeight="1">
      <c r="A267" s="15"/>
      <c r="B267" s="21"/>
      <c r="C267" s="21"/>
      <c r="D267" s="15"/>
      <c r="E267" s="15"/>
      <c r="F267" s="15"/>
      <c r="G267" s="387"/>
      <c r="H267" s="15"/>
      <c r="I267" s="11"/>
      <c r="J267" s="11"/>
      <c r="K267" s="11"/>
      <c r="L267" s="11"/>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5.75" customHeight="1">
      <c r="A268" s="15"/>
      <c r="B268" s="21"/>
      <c r="C268" s="21"/>
      <c r="D268" s="15"/>
      <c r="E268" s="15"/>
      <c r="F268" s="15"/>
      <c r="G268" s="387"/>
      <c r="H268" s="15"/>
      <c r="I268" s="11"/>
      <c r="J268" s="11"/>
      <c r="K268" s="11"/>
      <c r="L268" s="11"/>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5.75" customHeight="1">
      <c r="A269" s="15"/>
      <c r="B269" s="21"/>
      <c r="C269" s="21"/>
      <c r="D269" s="15"/>
      <c r="E269" s="15"/>
      <c r="F269" s="15"/>
      <c r="G269" s="387"/>
      <c r="H269" s="15"/>
      <c r="I269" s="11"/>
      <c r="J269" s="11"/>
      <c r="K269" s="11"/>
      <c r="L269" s="11"/>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5.75" customHeight="1">
      <c r="A270" s="15"/>
      <c r="B270" s="21"/>
      <c r="C270" s="21"/>
      <c r="D270" s="15"/>
      <c r="E270" s="15"/>
      <c r="F270" s="15"/>
      <c r="G270" s="387"/>
      <c r="H270" s="15"/>
      <c r="I270" s="11"/>
      <c r="J270" s="11"/>
      <c r="K270" s="11"/>
      <c r="L270" s="11"/>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5.75" customHeight="1">
      <c r="A271" s="15"/>
      <c r="B271" s="21"/>
      <c r="C271" s="21"/>
      <c r="D271" s="15"/>
      <c r="E271" s="15"/>
      <c r="F271" s="15"/>
      <c r="G271" s="387"/>
      <c r="H271" s="15"/>
      <c r="I271" s="11"/>
      <c r="J271" s="11"/>
      <c r="K271" s="11"/>
      <c r="L271" s="11"/>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5.75" customHeight="1">
      <c r="A272" s="15"/>
      <c r="B272" s="21"/>
      <c r="C272" s="21"/>
      <c r="D272" s="15"/>
      <c r="E272" s="15"/>
      <c r="F272" s="15"/>
      <c r="G272" s="387"/>
      <c r="H272" s="15"/>
      <c r="I272" s="11"/>
      <c r="J272" s="11"/>
      <c r="K272" s="11"/>
      <c r="L272" s="11"/>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5.75" customHeight="1">
      <c r="A273" s="15"/>
      <c r="B273" s="21"/>
      <c r="C273" s="21"/>
      <c r="D273" s="15"/>
      <c r="E273" s="15"/>
      <c r="F273" s="15"/>
      <c r="G273" s="387"/>
      <c r="H273" s="15"/>
      <c r="I273" s="11"/>
      <c r="J273" s="11"/>
      <c r="K273" s="11"/>
      <c r="L273" s="11"/>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5.75" customHeight="1">
      <c r="A274" s="15"/>
      <c r="B274" s="21"/>
      <c r="C274" s="21"/>
      <c r="D274" s="15"/>
      <c r="E274" s="15"/>
      <c r="F274" s="15"/>
      <c r="G274" s="387"/>
      <c r="H274" s="15"/>
      <c r="I274" s="11"/>
      <c r="J274" s="11"/>
      <c r="K274" s="11"/>
      <c r="L274" s="11"/>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5.75" customHeight="1">
      <c r="A275" s="15"/>
      <c r="B275" s="21"/>
      <c r="C275" s="21"/>
      <c r="D275" s="15"/>
      <c r="E275" s="15"/>
      <c r="F275" s="15"/>
      <c r="G275" s="387"/>
      <c r="H275" s="15"/>
      <c r="I275" s="11"/>
      <c r="J275" s="11"/>
      <c r="K275" s="11"/>
      <c r="L275" s="11"/>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5.75" customHeight="1">
      <c r="A276" s="15"/>
      <c r="B276" s="21"/>
      <c r="C276" s="21"/>
      <c r="D276" s="15"/>
      <c r="E276" s="15"/>
      <c r="F276" s="15"/>
      <c r="G276" s="387"/>
      <c r="H276" s="15"/>
      <c r="I276" s="11"/>
      <c r="J276" s="11"/>
      <c r="K276" s="11"/>
      <c r="L276" s="11"/>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5.75" customHeight="1">
      <c r="A277" s="15"/>
      <c r="B277" s="21"/>
      <c r="C277" s="21"/>
      <c r="D277" s="15"/>
      <c r="E277" s="15"/>
      <c r="F277" s="15"/>
      <c r="G277" s="387"/>
      <c r="H277" s="15"/>
      <c r="I277" s="11"/>
      <c r="J277" s="11"/>
      <c r="K277" s="11"/>
      <c r="L277" s="11"/>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5.75" customHeight="1">
      <c r="A278" s="15"/>
      <c r="B278" s="21"/>
      <c r="C278" s="21"/>
      <c r="D278" s="15"/>
      <c r="E278" s="15"/>
      <c r="F278" s="15"/>
      <c r="G278" s="387"/>
      <c r="H278" s="15"/>
      <c r="I278" s="11"/>
      <c r="J278" s="11"/>
      <c r="K278" s="11"/>
      <c r="L278" s="11"/>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5.75" customHeight="1">
      <c r="A279" s="15"/>
      <c r="B279" s="21"/>
      <c r="C279" s="21"/>
      <c r="D279" s="15"/>
      <c r="E279" s="15"/>
      <c r="F279" s="15"/>
      <c r="G279" s="387"/>
      <c r="H279" s="15"/>
      <c r="I279" s="11"/>
      <c r="J279" s="11"/>
      <c r="K279" s="11"/>
      <c r="L279" s="11"/>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5.75" customHeight="1">
      <c r="A280" s="15"/>
      <c r="B280" s="21"/>
      <c r="C280" s="21"/>
      <c r="D280" s="15"/>
      <c r="E280" s="15"/>
      <c r="F280" s="15"/>
      <c r="G280" s="387"/>
      <c r="H280" s="15"/>
      <c r="I280" s="11"/>
      <c r="J280" s="11"/>
      <c r="K280" s="11"/>
      <c r="L280" s="11"/>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5.75" customHeight="1">
      <c r="A281" s="15"/>
      <c r="B281" s="21"/>
      <c r="C281" s="21"/>
      <c r="D281" s="15"/>
      <c r="E281" s="15"/>
      <c r="F281" s="15"/>
      <c r="G281" s="387"/>
      <c r="H281" s="15"/>
      <c r="I281" s="11"/>
      <c r="J281" s="11"/>
      <c r="K281" s="11"/>
      <c r="L281" s="11"/>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5.75" customHeight="1">
      <c r="A282" s="15"/>
      <c r="B282" s="21"/>
      <c r="C282" s="21"/>
      <c r="D282" s="15"/>
      <c r="E282" s="15"/>
      <c r="F282" s="15"/>
      <c r="G282" s="387"/>
      <c r="H282" s="15"/>
      <c r="I282" s="11"/>
      <c r="J282" s="11"/>
      <c r="K282" s="11"/>
      <c r="L282" s="11"/>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5.75" customHeight="1">
      <c r="A283" s="15"/>
      <c r="B283" s="21"/>
      <c r="C283" s="21"/>
      <c r="D283" s="15"/>
      <c r="E283" s="15"/>
      <c r="F283" s="15"/>
      <c r="G283" s="387"/>
      <c r="H283" s="15"/>
      <c r="I283" s="11"/>
      <c r="J283" s="11"/>
      <c r="K283" s="11"/>
      <c r="L283" s="11"/>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5.75" customHeight="1">
      <c r="A284" s="15"/>
      <c r="B284" s="21"/>
      <c r="C284" s="21"/>
      <c r="D284" s="15"/>
      <c r="E284" s="15"/>
      <c r="F284" s="15"/>
      <c r="G284" s="387"/>
      <c r="H284" s="15"/>
      <c r="I284" s="11"/>
      <c r="J284" s="11"/>
      <c r="K284" s="11"/>
      <c r="L284" s="11"/>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5.75" customHeight="1">
      <c r="A285" s="15"/>
      <c r="B285" s="21"/>
      <c r="C285" s="21"/>
      <c r="D285" s="15"/>
      <c r="E285" s="15"/>
      <c r="F285" s="15"/>
      <c r="G285" s="387"/>
      <c r="H285" s="15"/>
      <c r="I285" s="11"/>
      <c r="J285" s="11"/>
      <c r="K285" s="11"/>
      <c r="L285" s="11"/>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5.75" customHeight="1">
      <c r="A286" s="15"/>
      <c r="B286" s="21"/>
      <c r="C286" s="21"/>
      <c r="D286" s="15"/>
      <c r="E286" s="15"/>
      <c r="F286" s="15"/>
      <c r="G286" s="387"/>
      <c r="H286" s="15"/>
      <c r="I286" s="11"/>
      <c r="J286" s="11"/>
      <c r="K286" s="11"/>
      <c r="L286" s="11"/>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5.75" customHeight="1">
      <c r="A287" s="15"/>
      <c r="B287" s="21"/>
      <c r="C287" s="21"/>
      <c r="D287" s="15"/>
      <c r="E287" s="15"/>
      <c r="F287" s="15"/>
      <c r="G287" s="387"/>
      <c r="H287" s="15"/>
      <c r="I287" s="11"/>
      <c r="J287" s="11"/>
      <c r="K287" s="11"/>
      <c r="L287" s="11"/>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5.75" customHeight="1">
      <c r="A288" s="15"/>
      <c r="B288" s="21"/>
      <c r="C288" s="21"/>
      <c r="D288" s="15"/>
      <c r="E288" s="15"/>
      <c r="F288" s="15"/>
      <c r="G288" s="387"/>
      <c r="H288" s="15"/>
      <c r="I288" s="11"/>
      <c r="J288" s="11"/>
      <c r="K288" s="11"/>
      <c r="L288" s="11"/>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5.75" customHeight="1">
      <c r="A289" s="15"/>
      <c r="B289" s="21"/>
      <c r="C289" s="21"/>
      <c r="D289" s="15"/>
      <c r="E289" s="15"/>
      <c r="F289" s="15"/>
      <c r="G289" s="387"/>
      <c r="H289" s="15"/>
      <c r="I289" s="11"/>
      <c r="J289" s="11"/>
      <c r="K289" s="11"/>
      <c r="L289" s="11"/>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5.75" customHeight="1">
      <c r="A290" s="15"/>
      <c r="B290" s="21"/>
      <c r="C290" s="21"/>
      <c r="D290" s="15"/>
      <c r="E290" s="15"/>
      <c r="F290" s="15"/>
      <c r="G290" s="387"/>
      <c r="H290" s="15"/>
      <c r="I290" s="11"/>
      <c r="J290" s="11"/>
      <c r="K290" s="11"/>
      <c r="L290" s="11"/>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5.75" customHeight="1">
      <c r="A291" s="15"/>
      <c r="B291" s="21"/>
      <c r="C291" s="21"/>
      <c r="D291" s="15"/>
      <c r="E291" s="15"/>
      <c r="F291" s="15"/>
      <c r="G291" s="387"/>
      <c r="H291" s="15"/>
      <c r="I291" s="11"/>
      <c r="J291" s="11"/>
      <c r="K291" s="11"/>
      <c r="L291" s="11"/>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5.75" customHeight="1">
      <c r="A292" s="15"/>
      <c r="B292" s="21"/>
      <c r="C292" s="21"/>
      <c r="D292" s="15"/>
      <c r="E292" s="15"/>
      <c r="F292" s="15"/>
      <c r="G292" s="387"/>
      <c r="H292" s="15"/>
      <c r="I292" s="11"/>
      <c r="J292" s="11"/>
      <c r="K292" s="11"/>
      <c r="L292" s="11"/>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5.75" customHeight="1">
      <c r="A293" s="15"/>
      <c r="B293" s="21"/>
      <c r="C293" s="21"/>
      <c r="D293" s="15"/>
      <c r="E293" s="15"/>
      <c r="F293" s="15"/>
      <c r="G293" s="387"/>
      <c r="H293" s="15"/>
      <c r="I293" s="11"/>
      <c r="J293" s="11"/>
      <c r="K293" s="11"/>
      <c r="L293" s="11"/>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5.75" customHeight="1">
      <c r="A294" s="15"/>
      <c r="B294" s="21"/>
      <c r="C294" s="21"/>
      <c r="D294" s="15"/>
      <c r="E294" s="15"/>
      <c r="F294" s="15"/>
      <c r="G294" s="387"/>
      <c r="H294" s="15"/>
      <c r="I294" s="11"/>
      <c r="J294" s="11"/>
      <c r="K294" s="11"/>
      <c r="L294" s="11"/>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5.75" customHeight="1">
      <c r="A295" s="15"/>
      <c r="B295" s="21"/>
      <c r="C295" s="21"/>
      <c r="D295" s="15"/>
      <c r="E295" s="15"/>
      <c r="F295" s="15"/>
      <c r="G295" s="387"/>
      <c r="H295" s="15"/>
      <c r="I295" s="11"/>
      <c r="J295" s="11"/>
      <c r="K295" s="11"/>
      <c r="L295" s="11"/>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5.75" customHeight="1">
      <c r="A296" s="15"/>
      <c r="B296" s="21"/>
      <c r="C296" s="21"/>
      <c r="D296" s="15"/>
      <c r="E296" s="15"/>
      <c r="F296" s="15"/>
      <c r="G296" s="387"/>
      <c r="H296" s="15"/>
      <c r="I296" s="11"/>
      <c r="J296" s="11"/>
      <c r="K296" s="11"/>
      <c r="L296" s="11"/>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5.75" customHeight="1">
      <c r="A297" s="15"/>
      <c r="B297" s="21"/>
      <c r="C297" s="21"/>
      <c r="D297" s="15"/>
      <c r="E297" s="15"/>
      <c r="F297" s="15"/>
      <c r="G297" s="387"/>
      <c r="H297" s="15"/>
      <c r="I297" s="11"/>
      <c r="J297" s="11"/>
      <c r="K297" s="11"/>
      <c r="L297" s="11"/>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5.75" customHeight="1">
      <c r="A298" s="15"/>
      <c r="B298" s="21"/>
      <c r="C298" s="21"/>
      <c r="D298" s="15"/>
      <c r="E298" s="15"/>
      <c r="F298" s="15"/>
      <c r="G298" s="387"/>
      <c r="H298" s="15"/>
      <c r="I298" s="11"/>
      <c r="J298" s="11"/>
      <c r="K298" s="11"/>
      <c r="L298" s="11"/>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5.75" customHeight="1">
      <c r="A299" s="15"/>
      <c r="B299" s="21"/>
      <c r="C299" s="21"/>
      <c r="D299" s="15"/>
      <c r="E299" s="15"/>
      <c r="F299" s="15"/>
      <c r="G299" s="387"/>
      <c r="H299" s="15"/>
      <c r="I299" s="11"/>
      <c r="J299" s="11"/>
      <c r="K299" s="11"/>
      <c r="L299" s="11"/>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5.75" customHeight="1">
      <c r="A300" s="15"/>
      <c r="B300" s="21"/>
      <c r="C300" s="21"/>
      <c r="D300" s="15"/>
      <c r="E300" s="15"/>
      <c r="F300" s="15"/>
      <c r="G300" s="387"/>
      <c r="H300" s="15"/>
      <c r="I300" s="11"/>
      <c r="J300" s="11"/>
      <c r="K300" s="11"/>
      <c r="L300" s="11"/>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5.75" customHeight="1">
      <c r="A301" s="15"/>
      <c r="B301" s="21"/>
      <c r="C301" s="21"/>
      <c r="D301" s="15"/>
      <c r="E301" s="15"/>
      <c r="F301" s="15"/>
      <c r="G301" s="387"/>
      <c r="H301" s="15"/>
      <c r="I301" s="11"/>
      <c r="J301" s="11"/>
      <c r="K301" s="11"/>
      <c r="L301" s="11"/>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5.75" customHeight="1">
      <c r="A302" s="15"/>
      <c r="B302" s="21"/>
      <c r="C302" s="21"/>
      <c r="D302" s="15"/>
      <c r="E302" s="15"/>
      <c r="F302" s="15"/>
      <c r="G302" s="387"/>
      <c r="H302" s="15"/>
      <c r="I302" s="11"/>
      <c r="J302" s="11"/>
      <c r="K302" s="11"/>
      <c r="L302" s="11"/>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5.75" customHeight="1">
      <c r="A303" s="15"/>
      <c r="B303" s="21"/>
      <c r="C303" s="21"/>
      <c r="D303" s="15"/>
      <c r="E303" s="15"/>
      <c r="F303" s="15"/>
      <c r="G303" s="387"/>
      <c r="H303" s="15"/>
      <c r="I303" s="11"/>
      <c r="J303" s="11"/>
      <c r="K303" s="11"/>
      <c r="L303" s="11"/>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5.75" customHeight="1">
      <c r="A304" s="15"/>
      <c r="B304" s="21"/>
      <c r="C304" s="21"/>
      <c r="D304" s="15"/>
      <c r="E304" s="15"/>
      <c r="F304" s="15"/>
      <c r="G304" s="387"/>
      <c r="H304" s="15"/>
      <c r="I304" s="11"/>
      <c r="J304" s="11"/>
      <c r="K304" s="11"/>
      <c r="L304" s="11"/>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5.75" customHeight="1">
      <c r="A305" s="15"/>
      <c r="B305" s="21"/>
      <c r="C305" s="21"/>
      <c r="D305" s="15"/>
      <c r="E305" s="15"/>
      <c r="F305" s="15"/>
      <c r="G305" s="387"/>
      <c r="H305" s="15"/>
      <c r="I305" s="11"/>
      <c r="J305" s="11"/>
      <c r="K305" s="11"/>
      <c r="L305" s="11"/>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5.75" customHeight="1">
      <c r="A306" s="15"/>
      <c r="B306" s="21"/>
      <c r="C306" s="21"/>
      <c r="D306" s="15"/>
      <c r="E306" s="15"/>
      <c r="F306" s="15"/>
      <c r="G306" s="387"/>
      <c r="H306" s="15"/>
      <c r="I306" s="11"/>
      <c r="J306" s="11"/>
      <c r="K306" s="11"/>
      <c r="L306" s="11"/>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5.75" customHeight="1">
      <c r="A307" s="15"/>
      <c r="B307" s="21"/>
      <c r="C307" s="21"/>
      <c r="D307" s="15"/>
      <c r="E307" s="15"/>
      <c r="F307" s="15"/>
      <c r="G307" s="387"/>
      <c r="H307" s="15"/>
      <c r="I307" s="11"/>
      <c r="J307" s="11"/>
      <c r="K307" s="11"/>
      <c r="L307" s="11"/>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5.75" customHeight="1">
      <c r="A308" s="15"/>
      <c r="B308" s="21"/>
      <c r="C308" s="21"/>
      <c r="D308" s="15"/>
      <c r="E308" s="15"/>
      <c r="F308" s="15"/>
      <c r="G308" s="387"/>
      <c r="H308" s="15"/>
      <c r="I308" s="11"/>
      <c r="J308" s="11"/>
      <c r="K308" s="11"/>
      <c r="L308" s="11"/>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5.75" customHeight="1">
      <c r="A309" s="15"/>
      <c r="B309" s="21"/>
      <c r="C309" s="21"/>
      <c r="D309" s="15"/>
      <c r="E309" s="15"/>
      <c r="F309" s="15"/>
      <c r="G309" s="387"/>
      <c r="H309" s="15"/>
      <c r="I309" s="11"/>
      <c r="J309" s="11"/>
      <c r="K309" s="11"/>
      <c r="L309" s="11"/>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5.75" customHeight="1">
      <c r="A310" s="15"/>
      <c r="B310" s="21"/>
      <c r="C310" s="21"/>
      <c r="D310" s="15"/>
      <c r="E310" s="15"/>
      <c r="F310" s="15"/>
      <c r="G310" s="387"/>
      <c r="H310" s="15"/>
      <c r="I310" s="11"/>
      <c r="J310" s="11"/>
      <c r="K310" s="11"/>
      <c r="L310" s="11"/>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5.75" customHeight="1">
      <c r="A311" s="15"/>
      <c r="B311" s="21"/>
      <c r="C311" s="21"/>
      <c r="D311" s="15"/>
      <c r="E311" s="15"/>
      <c r="F311" s="15"/>
      <c r="G311" s="387"/>
      <c r="H311" s="15"/>
      <c r="I311" s="11"/>
      <c r="J311" s="11"/>
      <c r="K311" s="11"/>
      <c r="L311" s="11"/>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5.75" customHeight="1">
      <c r="A312" s="15"/>
      <c r="B312" s="21"/>
      <c r="C312" s="21"/>
      <c r="D312" s="15"/>
      <c r="E312" s="15"/>
      <c r="F312" s="15"/>
      <c r="G312" s="387"/>
      <c r="H312" s="15"/>
      <c r="I312" s="11"/>
      <c r="J312" s="11"/>
      <c r="K312" s="11"/>
      <c r="L312" s="11"/>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5.75" customHeight="1">
      <c r="A313" s="15"/>
      <c r="B313" s="21"/>
      <c r="C313" s="21"/>
      <c r="D313" s="15"/>
      <c r="E313" s="15"/>
      <c r="F313" s="15"/>
      <c r="G313" s="387"/>
      <c r="H313" s="15"/>
      <c r="I313" s="11"/>
      <c r="J313" s="11"/>
      <c r="K313" s="11"/>
      <c r="L313" s="11"/>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5.75" customHeight="1">
      <c r="A314" s="15"/>
      <c r="B314" s="21"/>
      <c r="C314" s="21"/>
      <c r="D314" s="15"/>
      <c r="E314" s="15"/>
      <c r="F314" s="15"/>
      <c r="G314" s="387"/>
      <c r="H314" s="15"/>
      <c r="I314" s="11"/>
      <c r="J314" s="11"/>
      <c r="K314" s="11"/>
      <c r="L314" s="11"/>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5.75" customHeight="1">
      <c r="A315" s="15"/>
      <c r="B315" s="21"/>
      <c r="C315" s="21"/>
      <c r="D315" s="15"/>
      <c r="E315" s="15"/>
      <c r="F315" s="15"/>
      <c r="G315" s="387"/>
      <c r="H315" s="15"/>
      <c r="I315" s="11"/>
      <c r="J315" s="11"/>
      <c r="K315" s="11"/>
      <c r="L315" s="11"/>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5.75" customHeight="1">
      <c r="A316" s="15"/>
      <c r="B316" s="21"/>
      <c r="C316" s="21"/>
      <c r="D316" s="15"/>
      <c r="E316" s="15"/>
      <c r="F316" s="15"/>
      <c r="G316" s="387"/>
      <c r="H316" s="15"/>
      <c r="I316" s="11"/>
      <c r="J316" s="11"/>
      <c r="K316" s="11"/>
      <c r="L316" s="11"/>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5.75" customHeight="1">
      <c r="A317" s="15"/>
      <c r="B317" s="21"/>
      <c r="C317" s="21"/>
      <c r="D317" s="15"/>
      <c r="E317" s="15"/>
      <c r="F317" s="15"/>
      <c r="G317" s="387"/>
      <c r="H317" s="15"/>
      <c r="I317" s="11"/>
      <c r="J317" s="11"/>
      <c r="K317" s="11"/>
      <c r="L317" s="11"/>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5.75" customHeight="1">
      <c r="A318" s="15"/>
      <c r="B318" s="21"/>
      <c r="C318" s="21"/>
      <c r="D318" s="15"/>
      <c r="E318" s="15"/>
      <c r="F318" s="15"/>
      <c r="G318" s="387"/>
      <c r="H318" s="15"/>
      <c r="I318" s="11"/>
      <c r="J318" s="11"/>
      <c r="K318" s="11"/>
      <c r="L318" s="11"/>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5.75" customHeight="1">
      <c r="A319" s="15"/>
      <c r="B319" s="21"/>
      <c r="C319" s="21"/>
      <c r="D319" s="15"/>
      <c r="E319" s="15"/>
      <c r="F319" s="15"/>
      <c r="G319" s="387"/>
      <c r="H319" s="15"/>
      <c r="I319" s="11"/>
      <c r="J319" s="11"/>
      <c r="K319" s="11"/>
      <c r="L319" s="11"/>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5.75" customHeight="1">
      <c r="A320" s="15"/>
      <c r="B320" s="21"/>
      <c r="C320" s="21"/>
      <c r="D320" s="15"/>
      <c r="E320" s="15"/>
      <c r="F320" s="15"/>
      <c r="G320" s="387"/>
      <c r="H320" s="15"/>
      <c r="I320" s="11"/>
      <c r="J320" s="11"/>
      <c r="K320" s="11"/>
      <c r="L320" s="11"/>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5.75" customHeight="1">
      <c r="A321" s="15"/>
      <c r="B321" s="21"/>
      <c r="C321" s="21"/>
      <c r="D321" s="15"/>
      <c r="E321" s="15"/>
      <c r="F321" s="15"/>
      <c r="G321" s="387"/>
      <c r="H321" s="15"/>
      <c r="I321" s="11"/>
      <c r="J321" s="11"/>
      <c r="K321" s="11"/>
      <c r="L321" s="11"/>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5.75" customHeight="1">
      <c r="A322" s="15"/>
      <c r="B322" s="21"/>
      <c r="C322" s="21"/>
      <c r="D322" s="15"/>
      <c r="E322" s="15"/>
      <c r="F322" s="15"/>
      <c r="G322" s="387"/>
      <c r="H322" s="15"/>
      <c r="I322" s="11"/>
      <c r="J322" s="11"/>
      <c r="K322" s="11"/>
      <c r="L322" s="11"/>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5.75" customHeight="1">
      <c r="A323" s="15"/>
      <c r="B323" s="21"/>
      <c r="C323" s="21"/>
      <c r="D323" s="15"/>
      <c r="E323" s="15"/>
      <c r="F323" s="15"/>
      <c r="G323" s="387"/>
      <c r="H323" s="15"/>
      <c r="I323" s="11"/>
      <c r="J323" s="11"/>
      <c r="K323" s="11"/>
      <c r="L323" s="11"/>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5.75" customHeight="1">
      <c r="A324" s="15"/>
      <c r="B324" s="21"/>
      <c r="C324" s="21"/>
      <c r="D324" s="15"/>
      <c r="E324" s="15"/>
      <c r="F324" s="15"/>
      <c r="G324" s="387"/>
      <c r="H324" s="15"/>
      <c r="I324" s="11"/>
      <c r="J324" s="11"/>
      <c r="K324" s="11"/>
      <c r="L324" s="11"/>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5.75" customHeight="1">
      <c r="A325" s="15"/>
      <c r="B325" s="21"/>
      <c r="C325" s="21"/>
      <c r="D325" s="15"/>
      <c r="E325" s="15"/>
      <c r="F325" s="15"/>
      <c r="G325" s="387"/>
      <c r="H325" s="15"/>
      <c r="I325" s="11"/>
      <c r="J325" s="11"/>
      <c r="K325" s="11"/>
      <c r="L325" s="11"/>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5.75" customHeight="1">
      <c r="A326" s="15"/>
      <c r="B326" s="21"/>
      <c r="C326" s="21"/>
      <c r="D326" s="15"/>
      <c r="E326" s="15"/>
      <c r="F326" s="15"/>
      <c r="G326" s="387"/>
      <c r="H326" s="15"/>
      <c r="I326" s="11"/>
      <c r="J326" s="11"/>
      <c r="K326" s="11"/>
      <c r="L326" s="11"/>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5.75" customHeight="1">
      <c r="A327" s="15"/>
      <c r="B327" s="21"/>
      <c r="C327" s="21"/>
      <c r="D327" s="15"/>
      <c r="E327" s="15"/>
      <c r="F327" s="15"/>
      <c r="G327" s="387"/>
      <c r="H327" s="15"/>
      <c r="I327" s="11"/>
      <c r="J327" s="11"/>
      <c r="K327" s="11"/>
      <c r="L327" s="11"/>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5.75" customHeight="1">
      <c r="A328" s="15"/>
      <c r="B328" s="21"/>
      <c r="C328" s="21"/>
      <c r="D328" s="15"/>
      <c r="E328" s="15"/>
      <c r="F328" s="15"/>
      <c r="G328" s="387"/>
      <c r="H328" s="15"/>
      <c r="I328" s="11"/>
      <c r="J328" s="11"/>
      <c r="K328" s="11"/>
      <c r="L328" s="11"/>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5.75" customHeight="1">
      <c r="A329" s="15"/>
      <c r="B329" s="21"/>
      <c r="C329" s="21"/>
      <c r="D329" s="15"/>
      <c r="E329" s="15"/>
      <c r="F329" s="15"/>
      <c r="G329" s="387"/>
      <c r="H329" s="15"/>
      <c r="I329" s="11"/>
      <c r="J329" s="11"/>
      <c r="K329" s="11"/>
      <c r="L329" s="11"/>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5.75" customHeight="1">
      <c r="A330" s="15"/>
      <c r="B330" s="21"/>
      <c r="C330" s="21"/>
      <c r="D330" s="15"/>
      <c r="E330" s="15"/>
      <c r="F330" s="15"/>
      <c r="G330" s="387"/>
      <c r="H330" s="15"/>
      <c r="I330" s="11"/>
      <c r="J330" s="11"/>
      <c r="K330" s="11"/>
      <c r="L330" s="11"/>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5.75" customHeight="1">
      <c r="A331" s="15"/>
      <c r="B331" s="21"/>
      <c r="C331" s="21"/>
      <c r="D331" s="15"/>
      <c r="E331" s="15"/>
      <c r="F331" s="15"/>
      <c r="G331" s="387"/>
      <c r="H331" s="15"/>
      <c r="I331" s="11"/>
      <c r="J331" s="11"/>
      <c r="K331" s="11"/>
      <c r="L331" s="11"/>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5.75" customHeight="1">
      <c r="A332" s="15"/>
      <c r="B332" s="21"/>
      <c r="C332" s="21"/>
      <c r="D332" s="15"/>
      <c r="E332" s="15"/>
      <c r="F332" s="15"/>
      <c r="G332" s="387"/>
      <c r="H332" s="15"/>
      <c r="I332" s="11"/>
      <c r="J332" s="11"/>
      <c r="K332" s="11"/>
      <c r="L332" s="11"/>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5.75" customHeight="1">
      <c r="A333" s="15"/>
      <c r="B333" s="21"/>
      <c r="C333" s="21"/>
      <c r="D333" s="15"/>
      <c r="E333" s="15"/>
      <c r="F333" s="15"/>
      <c r="G333" s="387"/>
      <c r="H333" s="15"/>
      <c r="I333" s="11"/>
      <c r="J333" s="11"/>
      <c r="K333" s="11"/>
      <c r="L333" s="11"/>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5.75" customHeight="1">
      <c r="A334" s="15"/>
      <c r="B334" s="21"/>
      <c r="C334" s="21"/>
      <c r="D334" s="15"/>
      <c r="E334" s="15"/>
      <c r="F334" s="15"/>
      <c r="G334" s="387"/>
      <c r="H334" s="15"/>
      <c r="I334" s="11"/>
      <c r="J334" s="11"/>
      <c r="K334" s="11"/>
      <c r="L334" s="11"/>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5.75" customHeight="1">
      <c r="A335" s="15"/>
      <c r="B335" s="21"/>
      <c r="C335" s="21"/>
      <c r="D335" s="15"/>
      <c r="E335" s="15"/>
      <c r="F335" s="15"/>
      <c r="G335" s="387"/>
      <c r="H335" s="15"/>
      <c r="I335" s="11"/>
      <c r="J335" s="11"/>
      <c r="K335" s="11"/>
      <c r="L335" s="11"/>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5.75" customHeight="1">
      <c r="A336" s="15"/>
      <c r="B336" s="21"/>
      <c r="C336" s="21"/>
      <c r="D336" s="15"/>
      <c r="E336" s="15"/>
      <c r="F336" s="15"/>
      <c r="G336" s="387"/>
      <c r="H336" s="15"/>
      <c r="I336" s="11"/>
      <c r="J336" s="11"/>
      <c r="K336" s="11"/>
      <c r="L336" s="11"/>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5.75" customHeight="1">
      <c r="A337" s="15"/>
      <c r="B337" s="21"/>
      <c r="C337" s="21"/>
      <c r="D337" s="15"/>
      <c r="E337" s="15"/>
      <c r="F337" s="15"/>
      <c r="G337" s="387"/>
      <c r="H337" s="15"/>
      <c r="I337" s="11"/>
      <c r="J337" s="11"/>
      <c r="K337" s="11"/>
      <c r="L337" s="11"/>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5.75" customHeight="1">
      <c r="A338" s="15"/>
      <c r="B338" s="21"/>
      <c r="C338" s="21"/>
      <c r="D338" s="15"/>
      <c r="E338" s="15"/>
      <c r="F338" s="15"/>
      <c r="G338" s="387"/>
      <c r="H338" s="15"/>
      <c r="I338" s="11"/>
      <c r="J338" s="11"/>
      <c r="K338" s="11"/>
      <c r="L338" s="11"/>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5.75" customHeight="1">
      <c r="A339" s="15"/>
      <c r="B339" s="21"/>
      <c r="C339" s="21"/>
      <c r="D339" s="15"/>
      <c r="E339" s="15"/>
      <c r="F339" s="15"/>
      <c r="G339" s="387"/>
      <c r="H339" s="15"/>
      <c r="I339" s="11"/>
      <c r="J339" s="11"/>
      <c r="K339" s="11"/>
      <c r="L339" s="11"/>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5.75" customHeight="1">
      <c r="A340" s="15"/>
      <c r="B340" s="21"/>
      <c r="C340" s="21"/>
      <c r="D340" s="15"/>
      <c r="E340" s="15"/>
      <c r="F340" s="15"/>
      <c r="G340" s="387"/>
      <c r="H340" s="15"/>
      <c r="I340" s="11"/>
      <c r="J340" s="11"/>
      <c r="K340" s="11"/>
      <c r="L340" s="11"/>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5.75" customHeight="1">
      <c r="A341" s="15"/>
      <c r="B341" s="21"/>
      <c r="C341" s="21"/>
      <c r="D341" s="15"/>
      <c r="E341" s="15"/>
      <c r="F341" s="15"/>
      <c r="G341" s="387"/>
      <c r="H341" s="15"/>
      <c r="I341" s="11"/>
      <c r="J341" s="11"/>
      <c r="K341" s="11"/>
      <c r="L341" s="11"/>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5.75" customHeight="1">
      <c r="A342" s="15"/>
      <c r="B342" s="21"/>
      <c r="C342" s="21"/>
      <c r="D342" s="15"/>
      <c r="E342" s="15"/>
      <c r="F342" s="15"/>
      <c r="G342" s="387"/>
      <c r="H342" s="15"/>
      <c r="I342" s="11"/>
      <c r="J342" s="11"/>
      <c r="K342" s="11"/>
      <c r="L342" s="11"/>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5.75" customHeight="1">
      <c r="A343" s="15"/>
      <c r="B343" s="21"/>
      <c r="C343" s="21"/>
      <c r="D343" s="15"/>
      <c r="E343" s="15"/>
      <c r="F343" s="15"/>
      <c r="G343" s="387"/>
      <c r="H343" s="15"/>
      <c r="I343" s="11"/>
      <c r="J343" s="11"/>
      <c r="K343" s="11"/>
      <c r="L343" s="11"/>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5.75" customHeight="1">
      <c r="A344" s="15"/>
      <c r="B344" s="21"/>
      <c r="C344" s="21"/>
      <c r="D344" s="15"/>
      <c r="E344" s="15"/>
      <c r="F344" s="15"/>
      <c r="G344" s="387"/>
      <c r="H344" s="15"/>
      <c r="I344" s="11"/>
      <c r="J344" s="11"/>
      <c r="K344" s="11"/>
      <c r="L344" s="11"/>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5.75" customHeight="1">
      <c r="A345" s="15"/>
      <c r="B345" s="21"/>
      <c r="C345" s="21"/>
      <c r="D345" s="15"/>
      <c r="E345" s="15"/>
      <c r="F345" s="15"/>
      <c r="G345" s="387"/>
      <c r="H345" s="15"/>
      <c r="I345" s="11"/>
      <c r="J345" s="11"/>
      <c r="K345" s="11"/>
      <c r="L345" s="11"/>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5.75" customHeight="1">
      <c r="A346" s="15"/>
      <c r="B346" s="21"/>
      <c r="C346" s="21"/>
      <c r="D346" s="15"/>
      <c r="E346" s="15"/>
      <c r="F346" s="15"/>
      <c r="G346" s="387"/>
      <c r="H346" s="15"/>
      <c r="I346" s="11"/>
      <c r="J346" s="11"/>
      <c r="K346" s="11"/>
      <c r="L346" s="11"/>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5.75" customHeight="1">
      <c r="A347" s="15"/>
      <c r="B347" s="21"/>
      <c r="C347" s="21"/>
      <c r="D347" s="15"/>
      <c r="E347" s="15"/>
      <c r="F347" s="15"/>
      <c r="G347" s="387"/>
      <c r="H347" s="15"/>
      <c r="I347" s="11"/>
      <c r="J347" s="11"/>
      <c r="K347" s="11"/>
      <c r="L347" s="11"/>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5.75" customHeight="1">
      <c r="A348" s="15"/>
      <c r="B348" s="21"/>
      <c r="C348" s="21"/>
      <c r="D348" s="15"/>
      <c r="E348" s="15"/>
      <c r="F348" s="15"/>
      <c r="G348" s="387"/>
      <c r="H348" s="15"/>
      <c r="I348" s="11"/>
      <c r="J348" s="11"/>
      <c r="K348" s="11"/>
      <c r="L348" s="11"/>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5.75" customHeight="1">
      <c r="A349" s="15"/>
      <c r="B349" s="21"/>
      <c r="C349" s="21"/>
      <c r="D349" s="15"/>
      <c r="E349" s="15"/>
      <c r="F349" s="15"/>
      <c r="G349" s="387"/>
      <c r="H349" s="15"/>
      <c r="I349" s="11"/>
      <c r="J349" s="11"/>
      <c r="K349" s="11"/>
      <c r="L349" s="11"/>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5.75" customHeight="1">
      <c r="A350" s="15"/>
      <c r="B350" s="21"/>
      <c r="C350" s="21"/>
      <c r="D350" s="15"/>
      <c r="E350" s="15"/>
      <c r="F350" s="15"/>
      <c r="G350" s="387"/>
      <c r="H350" s="15"/>
      <c r="I350" s="11"/>
      <c r="J350" s="11"/>
      <c r="K350" s="11"/>
      <c r="L350" s="11"/>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5.75" customHeight="1">
      <c r="A351" s="15"/>
      <c r="B351" s="21"/>
      <c r="C351" s="21"/>
      <c r="D351" s="15"/>
      <c r="E351" s="15"/>
      <c r="F351" s="15"/>
      <c r="G351" s="387"/>
      <c r="H351" s="15"/>
      <c r="I351" s="11"/>
      <c r="J351" s="11"/>
      <c r="K351" s="11"/>
      <c r="L351" s="11"/>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5.75" customHeight="1">
      <c r="A352" s="15"/>
      <c r="B352" s="21"/>
      <c r="C352" s="21"/>
      <c r="D352" s="15"/>
      <c r="E352" s="15"/>
      <c r="F352" s="15"/>
      <c r="G352" s="387"/>
      <c r="H352" s="15"/>
      <c r="I352" s="11"/>
      <c r="J352" s="11"/>
      <c r="K352" s="11"/>
      <c r="L352" s="11"/>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5.75" customHeight="1">
      <c r="A353" s="15"/>
      <c r="B353" s="21"/>
      <c r="C353" s="21"/>
      <c r="D353" s="15"/>
      <c r="E353" s="15"/>
      <c r="F353" s="15"/>
      <c r="G353" s="387"/>
      <c r="H353" s="15"/>
      <c r="I353" s="11"/>
      <c r="J353" s="11"/>
      <c r="K353" s="11"/>
      <c r="L353" s="11"/>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5.75" customHeight="1">
      <c r="A354" s="15"/>
      <c r="B354" s="21"/>
      <c r="C354" s="21"/>
      <c r="D354" s="15"/>
      <c r="E354" s="15"/>
      <c r="F354" s="15"/>
      <c r="G354" s="387"/>
      <c r="H354" s="15"/>
      <c r="I354" s="11"/>
      <c r="J354" s="11"/>
      <c r="K354" s="11"/>
      <c r="L354" s="11"/>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5.75" customHeight="1">
      <c r="A355" s="15"/>
      <c r="B355" s="21"/>
      <c r="C355" s="21"/>
      <c r="D355" s="15"/>
      <c r="E355" s="15"/>
      <c r="F355" s="15"/>
      <c r="G355" s="387"/>
      <c r="H355" s="15"/>
      <c r="I355" s="11"/>
      <c r="J355" s="11"/>
      <c r="K355" s="11"/>
      <c r="L355" s="11"/>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5.75" customHeight="1">
      <c r="A356" s="15"/>
      <c r="B356" s="21"/>
      <c r="C356" s="21"/>
      <c r="D356" s="15"/>
      <c r="E356" s="15"/>
      <c r="F356" s="15"/>
      <c r="G356" s="387"/>
      <c r="H356" s="15"/>
      <c r="I356" s="11"/>
      <c r="J356" s="11"/>
      <c r="K356" s="11"/>
      <c r="L356" s="11"/>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5.75" customHeight="1">
      <c r="A357" s="15"/>
      <c r="B357" s="21"/>
      <c r="C357" s="21"/>
      <c r="D357" s="15"/>
      <c r="E357" s="15"/>
      <c r="F357" s="15"/>
      <c r="G357" s="387"/>
      <c r="H357" s="15"/>
      <c r="I357" s="11"/>
      <c r="J357" s="11"/>
      <c r="K357" s="11"/>
      <c r="L357" s="11"/>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5.75" customHeight="1">
      <c r="A358" s="15"/>
      <c r="B358" s="21"/>
      <c r="C358" s="21"/>
      <c r="D358" s="15"/>
      <c r="E358" s="15"/>
      <c r="F358" s="15"/>
      <c r="G358" s="387"/>
      <c r="H358" s="15"/>
      <c r="I358" s="11"/>
      <c r="J358" s="11"/>
      <c r="K358" s="11"/>
      <c r="L358" s="11"/>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5.75" customHeight="1">
      <c r="A359" s="15"/>
      <c r="B359" s="21"/>
      <c r="C359" s="21"/>
      <c r="D359" s="15"/>
      <c r="E359" s="15"/>
      <c r="F359" s="15"/>
      <c r="G359" s="387"/>
      <c r="H359" s="15"/>
      <c r="I359" s="11"/>
      <c r="J359" s="11"/>
      <c r="K359" s="11"/>
      <c r="L359" s="11"/>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5.75" customHeight="1">
      <c r="A360" s="15"/>
      <c r="B360" s="21"/>
      <c r="C360" s="21"/>
      <c r="D360" s="15"/>
      <c r="E360" s="15"/>
      <c r="F360" s="15"/>
      <c r="G360" s="387"/>
      <c r="H360" s="15"/>
      <c r="I360" s="11"/>
      <c r="J360" s="11"/>
      <c r="K360" s="11"/>
      <c r="L360" s="11"/>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5.75" customHeight="1">
      <c r="A361" s="15"/>
      <c r="B361" s="21"/>
      <c r="C361" s="21"/>
      <c r="D361" s="15"/>
      <c r="E361" s="15"/>
      <c r="F361" s="15"/>
      <c r="G361" s="387"/>
      <c r="H361" s="15"/>
      <c r="I361" s="11"/>
      <c r="J361" s="11"/>
      <c r="K361" s="11"/>
      <c r="L361" s="11"/>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5.75" customHeight="1">
      <c r="A362" s="15"/>
      <c r="B362" s="21"/>
      <c r="C362" s="21"/>
      <c r="D362" s="15"/>
      <c r="E362" s="15"/>
      <c r="F362" s="15"/>
      <c r="G362" s="387"/>
      <c r="H362" s="15"/>
      <c r="I362" s="11"/>
      <c r="J362" s="11"/>
      <c r="K362" s="11"/>
      <c r="L362" s="11"/>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5.75" customHeight="1">
      <c r="A363" s="15"/>
      <c r="B363" s="21"/>
      <c r="C363" s="21"/>
      <c r="D363" s="15"/>
      <c r="E363" s="15"/>
      <c r="F363" s="15"/>
      <c r="G363" s="387"/>
      <c r="H363" s="15"/>
      <c r="I363" s="11"/>
      <c r="J363" s="11"/>
      <c r="K363" s="11"/>
      <c r="L363" s="11"/>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5.75" customHeight="1">
      <c r="A364" s="15"/>
      <c r="B364" s="21"/>
      <c r="C364" s="21"/>
      <c r="D364" s="15"/>
      <c r="E364" s="15"/>
      <c r="F364" s="15"/>
      <c r="G364" s="387"/>
      <c r="H364" s="15"/>
      <c r="I364" s="11"/>
      <c r="J364" s="11"/>
      <c r="K364" s="11"/>
      <c r="L364" s="11"/>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5.75" customHeight="1">
      <c r="A365" s="15"/>
      <c r="B365" s="21"/>
      <c r="C365" s="21"/>
      <c r="D365" s="15"/>
      <c r="E365" s="15"/>
      <c r="F365" s="15"/>
      <c r="G365" s="387"/>
      <c r="H365" s="15"/>
      <c r="I365" s="11"/>
      <c r="J365" s="11"/>
      <c r="K365" s="11"/>
      <c r="L365" s="11"/>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5.75" customHeight="1">
      <c r="A366" s="15"/>
      <c r="B366" s="21"/>
      <c r="C366" s="21"/>
      <c r="D366" s="15"/>
      <c r="E366" s="15"/>
      <c r="F366" s="15"/>
      <c r="G366" s="387"/>
      <c r="H366" s="15"/>
      <c r="I366" s="11"/>
      <c r="J366" s="11"/>
      <c r="K366" s="11"/>
      <c r="L366" s="11"/>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5.75" customHeight="1">
      <c r="A367" s="15"/>
      <c r="B367" s="21"/>
      <c r="C367" s="21"/>
      <c r="D367" s="15"/>
      <c r="E367" s="15"/>
      <c r="F367" s="15"/>
      <c r="G367" s="387"/>
      <c r="H367" s="15"/>
      <c r="I367" s="11"/>
      <c r="J367" s="11"/>
      <c r="K367" s="11"/>
      <c r="L367" s="11"/>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5.75" customHeight="1">
      <c r="A368" s="15"/>
      <c r="B368" s="21"/>
      <c r="C368" s="21"/>
      <c r="D368" s="15"/>
      <c r="E368" s="15"/>
      <c r="F368" s="15"/>
      <c r="G368" s="387"/>
      <c r="H368" s="15"/>
      <c r="I368" s="11"/>
      <c r="J368" s="11"/>
      <c r="K368" s="11"/>
      <c r="L368" s="11"/>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5.75" customHeight="1">
      <c r="A369" s="15"/>
      <c r="B369" s="21"/>
      <c r="C369" s="21"/>
      <c r="D369" s="15"/>
      <c r="E369" s="15"/>
      <c r="F369" s="15"/>
      <c r="G369" s="387"/>
      <c r="H369" s="15"/>
      <c r="I369" s="11"/>
      <c r="J369" s="11"/>
      <c r="K369" s="11"/>
      <c r="L369" s="11"/>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5.75" customHeight="1">
      <c r="A370" s="15"/>
      <c r="B370" s="21"/>
      <c r="C370" s="21"/>
      <c r="D370" s="15"/>
      <c r="E370" s="15"/>
      <c r="F370" s="15"/>
      <c r="G370" s="387"/>
      <c r="H370" s="15"/>
      <c r="I370" s="11"/>
      <c r="J370" s="11"/>
      <c r="K370" s="11"/>
      <c r="L370" s="11"/>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5.75" customHeight="1">
      <c r="A371" s="15"/>
      <c r="B371" s="21"/>
      <c r="C371" s="21"/>
      <c r="D371" s="15"/>
      <c r="E371" s="15"/>
      <c r="F371" s="15"/>
      <c r="G371" s="387"/>
      <c r="H371" s="15"/>
      <c r="I371" s="11"/>
      <c r="J371" s="11"/>
      <c r="K371" s="11"/>
      <c r="L371" s="11"/>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5.75" customHeight="1">
      <c r="A372" s="15"/>
      <c r="B372" s="21"/>
      <c r="C372" s="21"/>
      <c r="D372" s="15"/>
      <c r="E372" s="15"/>
      <c r="F372" s="15"/>
      <c r="G372" s="387"/>
      <c r="H372" s="15"/>
      <c r="I372" s="11"/>
      <c r="J372" s="11"/>
      <c r="K372" s="11"/>
      <c r="L372" s="11"/>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5.75" customHeight="1">
      <c r="A373" s="15"/>
      <c r="B373" s="21"/>
      <c r="C373" s="21"/>
      <c r="D373" s="15"/>
      <c r="E373" s="15"/>
      <c r="F373" s="15"/>
      <c r="G373" s="387"/>
      <c r="H373" s="15"/>
      <c r="I373" s="11"/>
      <c r="J373" s="11"/>
      <c r="K373" s="11"/>
      <c r="L373" s="11"/>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5.75" customHeight="1">
      <c r="A374" s="15"/>
      <c r="B374" s="21"/>
      <c r="C374" s="21"/>
      <c r="D374" s="15"/>
      <c r="E374" s="15"/>
      <c r="F374" s="15"/>
      <c r="G374" s="387"/>
      <c r="H374" s="15"/>
      <c r="I374" s="11"/>
      <c r="J374" s="11"/>
      <c r="K374" s="11"/>
      <c r="L374" s="11"/>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5.75" customHeight="1">
      <c r="A375" s="15"/>
      <c r="B375" s="21"/>
      <c r="C375" s="21"/>
      <c r="D375" s="15"/>
      <c r="E375" s="15"/>
      <c r="F375" s="15"/>
      <c r="G375" s="387"/>
      <c r="H375" s="15"/>
      <c r="I375" s="11"/>
      <c r="J375" s="11"/>
      <c r="K375" s="11"/>
      <c r="L375" s="11"/>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5.75" customHeight="1">
      <c r="A376" s="15"/>
      <c r="B376" s="21"/>
      <c r="C376" s="21"/>
      <c r="D376" s="15"/>
      <c r="E376" s="15"/>
      <c r="F376" s="15"/>
      <c r="G376" s="387"/>
      <c r="H376" s="15"/>
      <c r="I376" s="11"/>
      <c r="J376" s="11"/>
      <c r="K376" s="11"/>
      <c r="L376" s="11"/>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5.75" customHeight="1">
      <c r="A377" s="15"/>
      <c r="B377" s="21"/>
      <c r="C377" s="21"/>
      <c r="D377" s="15"/>
      <c r="E377" s="15"/>
      <c r="F377" s="15"/>
      <c r="G377" s="387"/>
      <c r="H377" s="15"/>
      <c r="I377" s="11"/>
      <c r="J377" s="11"/>
      <c r="K377" s="11"/>
      <c r="L377" s="11"/>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5.75" customHeight="1">
      <c r="A378" s="15"/>
      <c r="B378" s="21"/>
      <c r="C378" s="21"/>
      <c r="D378" s="15"/>
      <c r="E378" s="15"/>
      <c r="F378" s="15"/>
      <c r="G378" s="387"/>
      <c r="H378" s="15"/>
      <c r="I378" s="11"/>
      <c r="J378" s="11"/>
      <c r="K378" s="11"/>
      <c r="L378" s="11"/>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5.75" customHeight="1">
      <c r="A379" s="15"/>
      <c r="B379" s="21"/>
      <c r="C379" s="21"/>
      <c r="D379" s="15"/>
      <c r="E379" s="15"/>
      <c r="F379" s="15"/>
      <c r="G379" s="387"/>
      <c r="H379" s="15"/>
      <c r="I379" s="11"/>
      <c r="J379" s="11"/>
      <c r="K379" s="11"/>
      <c r="L379" s="11"/>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5.75" customHeight="1">
      <c r="A380" s="15"/>
      <c r="B380" s="21"/>
      <c r="C380" s="21"/>
      <c r="D380" s="15"/>
      <c r="E380" s="15"/>
      <c r="F380" s="15"/>
      <c r="G380" s="387"/>
      <c r="H380" s="15"/>
      <c r="I380" s="11"/>
      <c r="J380" s="11"/>
      <c r="K380" s="11"/>
      <c r="L380" s="11"/>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5.75" customHeight="1">
      <c r="A381" s="15"/>
      <c r="B381" s="21"/>
      <c r="C381" s="21"/>
      <c r="D381" s="15"/>
      <c r="E381" s="15"/>
      <c r="F381" s="15"/>
      <c r="G381" s="387"/>
      <c r="H381" s="15"/>
      <c r="I381" s="11"/>
      <c r="J381" s="11"/>
      <c r="K381" s="11"/>
      <c r="L381" s="11"/>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5.75" customHeight="1">
      <c r="A382" s="15"/>
      <c r="B382" s="21"/>
      <c r="C382" s="21"/>
      <c r="D382" s="15"/>
      <c r="E382" s="15"/>
      <c r="F382" s="15"/>
      <c r="G382" s="387"/>
      <c r="H382" s="15"/>
      <c r="I382" s="11"/>
      <c r="J382" s="11"/>
      <c r="K382" s="11"/>
      <c r="L382" s="11"/>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5.75" customHeight="1">
      <c r="A383" s="15"/>
      <c r="B383" s="21"/>
      <c r="C383" s="21"/>
      <c r="D383" s="15"/>
      <c r="E383" s="15"/>
      <c r="F383" s="15"/>
      <c r="G383" s="387"/>
      <c r="H383" s="15"/>
      <c r="I383" s="11"/>
      <c r="J383" s="11"/>
      <c r="K383" s="11"/>
      <c r="L383" s="11"/>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5.75" customHeight="1">
      <c r="A384" s="15"/>
      <c r="B384" s="21"/>
      <c r="C384" s="21"/>
      <c r="D384" s="15"/>
      <c r="E384" s="15"/>
      <c r="F384" s="15"/>
      <c r="G384" s="387"/>
      <c r="H384" s="15"/>
      <c r="I384" s="11"/>
      <c r="J384" s="11"/>
      <c r="K384" s="11"/>
      <c r="L384" s="11"/>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5.75" customHeight="1">
      <c r="A385" s="15"/>
      <c r="B385" s="21"/>
      <c r="C385" s="21"/>
      <c r="D385" s="15"/>
      <c r="E385" s="15"/>
      <c r="F385" s="15"/>
      <c r="G385" s="387"/>
      <c r="H385" s="15"/>
      <c r="I385" s="11"/>
      <c r="J385" s="11"/>
      <c r="K385" s="11"/>
      <c r="L385" s="11"/>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5.75" customHeight="1">
      <c r="A386" s="15"/>
      <c r="B386" s="21"/>
      <c r="C386" s="21"/>
      <c r="D386" s="15"/>
      <c r="E386" s="15"/>
      <c r="F386" s="15"/>
      <c r="G386" s="387"/>
      <c r="H386" s="15"/>
      <c r="I386" s="11"/>
      <c r="J386" s="11"/>
      <c r="K386" s="11"/>
      <c r="L386" s="11"/>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5.75" customHeight="1">
      <c r="A387" s="15"/>
      <c r="B387" s="21"/>
      <c r="C387" s="21"/>
      <c r="D387" s="15"/>
      <c r="E387" s="15"/>
      <c r="F387" s="15"/>
      <c r="G387" s="387"/>
      <c r="H387" s="15"/>
      <c r="I387" s="11"/>
      <c r="J387" s="11"/>
      <c r="K387" s="11"/>
      <c r="L387" s="11"/>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5.75" customHeight="1">
      <c r="A388" s="15"/>
      <c r="B388" s="21"/>
      <c r="C388" s="21"/>
      <c r="D388" s="15"/>
      <c r="E388" s="15"/>
      <c r="F388" s="15"/>
      <c r="G388" s="387"/>
      <c r="H388" s="15"/>
      <c r="I388" s="11"/>
      <c r="J388" s="11"/>
      <c r="K388" s="11"/>
      <c r="L388" s="11"/>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5.75" customHeight="1">
      <c r="A389" s="15"/>
      <c r="B389" s="21"/>
      <c r="C389" s="21"/>
      <c r="D389" s="15"/>
      <c r="E389" s="15"/>
      <c r="F389" s="15"/>
      <c r="G389" s="387"/>
      <c r="H389" s="15"/>
      <c r="I389" s="11"/>
      <c r="J389" s="11"/>
      <c r="K389" s="11"/>
      <c r="L389" s="11"/>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5.75" customHeight="1">
      <c r="A390" s="15"/>
      <c r="B390" s="21"/>
      <c r="C390" s="21"/>
      <c r="D390" s="15"/>
      <c r="E390" s="15"/>
      <c r="F390" s="15"/>
      <c r="G390" s="387"/>
      <c r="H390" s="15"/>
      <c r="I390" s="11"/>
      <c r="J390" s="11"/>
      <c r="K390" s="11"/>
      <c r="L390" s="11"/>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5.75" customHeight="1">
      <c r="A391" s="15"/>
      <c r="B391" s="21"/>
      <c r="C391" s="21"/>
      <c r="D391" s="15"/>
      <c r="E391" s="15"/>
      <c r="F391" s="15"/>
      <c r="G391" s="387"/>
      <c r="H391" s="15"/>
      <c r="I391" s="11"/>
      <c r="J391" s="11"/>
      <c r="K391" s="11"/>
      <c r="L391" s="11"/>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5.75" customHeight="1">
      <c r="A392" s="15"/>
      <c r="B392" s="21"/>
      <c r="C392" s="21"/>
      <c r="D392" s="15"/>
      <c r="E392" s="15"/>
      <c r="F392" s="15"/>
      <c r="G392" s="387"/>
      <c r="H392" s="15"/>
      <c r="I392" s="11"/>
      <c r="J392" s="11"/>
      <c r="K392" s="11"/>
      <c r="L392" s="11"/>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5.75" customHeight="1">
      <c r="A393" s="15"/>
      <c r="B393" s="21"/>
      <c r="C393" s="21"/>
      <c r="D393" s="15"/>
      <c r="E393" s="15"/>
      <c r="F393" s="15"/>
      <c r="G393" s="387"/>
      <c r="H393" s="15"/>
      <c r="I393" s="11"/>
      <c r="J393" s="11"/>
      <c r="K393" s="11"/>
      <c r="L393" s="11"/>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5.75" customHeight="1">
      <c r="A394" s="15"/>
      <c r="B394" s="21"/>
      <c r="C394" s="21"/>
      <c r="D394" s="15"/>
      <c r="E394" s="15"/>
      <c r="F394" s="15"/>
      <c r="G394" s="387"/>
      <c r="H394" s="15"/>
      <c r="I394" s="11"/>
      <c r="J394" s="11"/>
      <c r="K394" s="11"/>
      <c r="L394" s="11"/>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5.75" customHeight="1">
      <c r="A395" s="15"/>
      <c r="B395" s="21"/>
      <c r="C395" s="21"/>
      <c r="D395" s="15"/>
      <c r="E395" s="15"/>
      <c r="F395" s="15"/>
      <c r="G395" s="387"/>
      <c r="H395" s="15"/>
      <c r="I395" s="11"/>
      <c r="J395" s="11"/>
      <c r="K395" s="11"/>
      <c r="L395" s="11"/>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5.75" customHeight="1">
      <c r="A396" s="15"/>
      <c r="B396" s="21"/>
      <c r="C396" s="21"/>
      <c r="D396" s="15"/>
      <c r="E396" s="15"/>
      <c r="F396" s="15"/>
      <c r="G396" s="387"/>
      <c r="H396" s="15"/>
      <c r="I396" s="11"/>
      <c r="J396" s="11"/>
      <c r="K396" s="11"/>
      <c r="L396" s="11"/>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5.75" customHeight="1">
      <c r="A397" s="15"/>
      <c r="B397" s="21"/>
      <c r="C397" s="21"/>
      <c r="D397" s="15"/>
      <c r="E397" s="15"/>
      <c r="F397" s="15"/>
      <c r="G397" s="387"/>
      <c r="H397" s="15"/>
      <c r="I397" s="11"/>
      <c r="J397" s="11"/>
      <c r="K397" s="11"/>
      <c r="L397" s="11"/>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5.75" customHeight="1">
      <c r="A398" s="15"/>
      <c r="B398" s="21"/>
      <c r="C398" s="21"/>
      <c r="D398" s="15"/>
      <c r="E398" s="15"/>
      <c r="F398" s="15"/>
      <c r="G398" s="387"/>
      <c r="H398" s="15"/>
      <c r="I398" s="11"/>
      <c r="J398" s="11"/>
      <c r="K398" s="11"/>
      <c r="L398" s="11"/>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5.75" customHeight="1">
      <c r="A399" s="15"/>
      <c r="B399" s="21"/>
      <c r="C399" s="21"/>
      <c r="D399" s="15"/>
      <c r="E399" s="15"/>
      <c r="F399" s="15"/>
      <c r="G399" s="387"/>
      <c r="H399" s="15"/>
      <c r="I399" s="11"/>
      <c r="J399" s="11"/>
      <c r="K399" s="11"/>
      <c r="L399" s="11"/>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5.75" customHeight="1">
      <c r="A400" s="15"/>
      <c r="B400" s="21"/>
      <c r="C400" s="21"/>
      <c r="D400" s="15"/>
      <c r="E400" s="15"/>
      <c r="F400" s="15"/>
      <c r="G400" s="387"/>
      <c r="H400" s="15"/>
      <c r="I400" s="11"/>
      <c r="J400" s="11"/>
      <c r="K400" s="11"/>
      <c r="L400" s="11"/>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5.75" customHeight="1">
      <c r="A401" s="15"/>
      <c r="B401" s="21"/>
      <c r="C401" s="21"/>
      <c r="D401" s="15"/>
      <c r="E401" s="15"/>
      <c r="F401" s="15"/>
      <c r="G401" s="387"/>
      <c r="H401" s="15"/>
      <c r="I401" s="11"/>
      <c r="J401" s="11"/>
      <c r="K401" s="11"/>
      <c r="L401" s="11"/>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5.75" customHeight="1">
      <c r="A402" s="15"/>
      <c r="B402" s="21"/>
      <c r="C402" s="21"/>
      <c r="D402" s="15"/>
      <c r="E402" s="15"/>
      <c r="F402" s="15"/>
      <c r="G402" s="387"/>
      <c r="H402" s="15"/>
      <c r="I402" s="11"/>
      <c r="J402" s="11"/>
      <c r="K402" s="11"/>
      <c r="L402" s="11"/>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5.75" customHeight="1">
      <c r="A403" s="15"/>
      <c r="B403" s="21"/>
      <c r="C403" s="21"/>
      <c r="D403" s="15"/>
      <c r="E403" s="15"/>
      <c r="F403" s="15"/>
      <c r="G403" s="387"/>
      <c r="H403" s="15"/>
      <c r="I403" s="11"/>
      <c r="J403" s="11"/>
      <c r="K403" s="11"/>
      <c r="L403" s="11"/>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5.75" customHeight="1">
      <c r="A404" s="15"/>
      <c r="B404" s="21"/>
      <c r="C404" s="21"/>
      <c r="D404" s="15"/>
      <c r="E404" s="15"/>
      <c r="F404" s="15"/>
      <c r="G404" s="387"/>
      <c r="H404" s="15"/>
      <c r="I404" s="11"/>
      <c r="J404" s="11"/>
      <c r="K404" s="11"/>
      <c r="L404" s="11"/>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5.75" customHeight="1">
      <c r="A405" s="15"/>
      <c r="B405" s="21"/>
      <c r="C405" s="21"/>
      <c r="D405" s="15"/>
      <c r="E405" s="15"/>
      <c r="F405" s="15"/>
      <c r="G405" s="387"/>
      <c r="H405" s="15"/>
      <c r="I405" s="11"/>
      <c r="J405" s="11"/>
      <c r="K405" s="11"/>
      <c r="L405" s="11"/>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5.75" customHeight="1">
      <c r="A406" s="15"/>
      <c r="B406" s="21"/>
      <c r="C406" s="21"/>
      <c r="D406" s="15"/>
      <c r="E406" s="15"/>
      <c r="F406" s="15"/>
      <c r="G406" s="387"/>
      <c r="H406" s="15"/>
      <c r="I406" s="11"/>
      <c r="J406" s="11"/>
      <c r="K406" s="11"/>
      <c r="L406" s="11"/>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5.75" customHeight="1">
      <c r="A407" s="15"/>
      <c r="B407" s="21"/>
      <c r="C407" s="21"/>
      <c r="D407" s="15"/>
      <c r="E407" s="15"/>
      <c r="F407" s="15"/>
      <c r="G407" s="387"/>
      <c r="H407" s="15"/>
      <c r="I407" s="11"/>
      <c r="J407" s="11"/>
      <c r="K407" s="11"/>
      <c r="L407" s="11"/>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5.75" customHeight="1">
      <c r="A408" s="15"/>
      <c r="B408" s="21"/>
      <c r="C408" s="21"/>
      <c r="D408" s="15"/>
      <c r="E408" s="15"/>
      <c r="F408" s="15"/>
      <c r="G408" s="387"/>
      <c r="H408" s="15"/>
      <c r="I408" s="11"/>
      <c r="J408" s="11"/>
      <c r="K408" s="11"/>
      <c r="L408" s="11"/>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5.75" customHeight="1">
      <c r="A409" s="15"/>
      <c r="B409" s="21"/>
      <c r="C409" s="21"/>
      <c r="D409" s="15"/>
      <c r="E409" s="15"/>
      <c r="F409" s="15"/>
      <c r="G409" s="387"/>
      <c r="H409" s="15"/>
      <c r="I409" s="11"/>
      <c r="J409" s="11"/>
      <c r="K409" s="11"/>
      <c r="L409" s="11"/>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5.75" customHeight="1">
      <c r="A410" s="15"/>
      <c r="B410" s="21"/>
      <c r="C410" s="21"/>
      <c r="D410" s="15"/>
      <c r="E410" s="15"/>
      <c r="F410" s="15"/>
      <c r="G410" s="387"/>
      <c r="H410" s="15"/>
      <c r="I410" s="11"/>
      <c r="J410" s="11"/>
      <c r="K410" s="11"/>
      <c r="L410" s="11"/>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5.75" customHeight="1">
      <c r="A411" s="15"/>
      <c r="B411" s="21"/>
      <c r="C411" s="21"/>
      <c r="D411" s="15"/>
      <c r="E411" s="15"/>
      <c r="F411" s="15"/>
      <c r="G411" s="387"/>
      <c r="H411" s="15"/>
      <c r="I411" s="11"/>
      <c r="J411" s="11"/>
      <c r="K411" s="11"/>
      <c r="L411" s="11"/>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5.75" customHeight="1">
      <c r="A412" s="15"/>
      <c r="B412" s="21"/>
      <c r="C412" s="21"/>
      <c r="D412" s="15"/>
      <c r="E412" s="15"/>
      <c r="F412" s="15"/>
      <c r="G412" s="387"/>
      <c r="H412" s="15"/>
      <c r="I412" s="11"/>
      <c r="J412" s="11"/>
      <c r="K412" s="11"/>
      <c r="L412" s="11"/>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5.75" customHeight="1">
      <c r="A413" s="15"/>
      <c r="B413" s="21"/>
      <c r="C413" s="21"/>
      <c r="D413" s="15"/>
      <c r="E413" s="15"/>
      <c r="F413" s="15"/>
      <c r="G413" s="387"/>
      <c r="H413" s="15"/>
      <c r="I413" s="11"/>
      <c r="J413" s="11"/>
      <c r="K413" s="11"/>
      <c r="L413" s="11"/>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5.75" customHeight="1">
      <c r="A414" s="15"/>
      <c r="B414" s="21"/>
      <c r="C414" s="21"/>
      <c r="D414" s="15"/>
      <c r="E414" s="15"/>
      <c r="F414" s="15"/>
      <c r="G414" s="387"/>
      <c r="H414" s="15"/>
      <c r="I414" s="11"/>
      <c r="J414" s="11"/>
      <c r="K414" s="11"/>
      <c r="L414" s="11"/>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5.75" customHeight="1">
      <c r="A415" s="15"/>
      <c r="B415" s="21"/>
      <c r="C415" s="21"/>
      <c r="D415" s="15"/>
      <c r="E415" s="15"/>
      <c r="F415" s="15"/>
      <c r="G415" s="387"/>
      <c r="H415" s="15"/>
      <c r="I415" s="11"/>
      <c r="J415" s="11"/>
      <c r="K415" s="11"/>
      <c r="L415" s="11"/>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5.75" customHeight="1">
      <c r="A416" s="15"/>
      <c r="B416" s="21"/>
      <c r="C416" s="21"/>
      <c r="D416" s="15"/>
      <c r="E416" s="15"/>
      <c r="F416" s="15"/>
      <c r="G416" s="387"/>
      <c r="H416" s="15"/>
      <c r="I416" s="11"/>
      <c r="J416" s="11"/>
      <c r="K416" s="11"/>
      <c r="L416" s="11"/>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5.75" customHeight="1">
      <c r="A417" s="15"/>
      <c r="B417" s="21"/>
      <c r="C417" s="21"/>
      <c r="D417" s="15"/>
      <c r="E417" s="15"/>
      <c r="F417" s="15"/>
      <c r="G417" s="387"/>
      <c r="H417" s="15"/>
      <c r="I417" s="11"/>
      <c r="J417" s="11"/>
      <c r="K417" s="11"/>
      <c r="L417" s="11"/>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5.75" customHeight="1">
      <c r="A418" s="15"/>
      <c r="B418" s="21"/>
      <c r="C418" s="21"/>
      <c r="D418" s="15"/>
      <c r="E418" s="15"/>
      <c r="F418" s="15"/>
      <c r="G418" s="387"/>
      <c r="H418" s="15"/>
      <c r="I418" s="11"/>
      <c r="J418" s="11"/>
      <c r="K418" s="11"/>
      <c r="L418" s="11"/>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5.75" customHeight="1">
      <c r="A419" s="15"/>
      <c r="B419" s="21"/>
      <c r="C419" s="21"/>
      <c r="D419" s="15"/>
      <c r="E419" s="15"/>
      <c r="F419" s="15"/>
      <c r="G419" s="387"/>
      <c r="H419" s="15"/>
      <c r="I419" s="11"/>
      <c r="J419" s="11"/>
      <c r="K419" s="11"/>
      <c r="L419" s="11"/>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5.75" customHeight="1">
      <c r="A420" s="15"/>
      <c r="B420" s="21"/>
      <c r="C420" s="21"/>
      <c r="D420" s="15"/>
      <c r="E420" s="15"/>
      <c r="F420" s="15"/>
      <c r="G420" s="387"/>
      <c r="H420" s="15"/>
      <c r="I420" s="11"/>
      <c r="J420" s="11"/>
      <c r="K420" s="11"/>
      <c r="L420" s="11"/>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5.75" customHeight="1">
      <c r="A421" s="15"/>
      <c r="B421" s="21"/>
      <c r="C421" s="21"/>
      <c r="D421" s="15"/>
      <c r="E421" s="15"/>
      <c r="F421" s="15"/>
      <c r="G421" s="387"/>
      <c r="H421" s="15"/>
      <c r="I421" s="11"/>
      <c r="J421" s="11"/>
      <c r="K421" s="11"/>
      <c r="L421" s="11"/>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5.75" customHeight="1">
      <c r="A422" s="15"/>
      <c r="B422" s="21"/>
      <c r="C422" s="21"/>
      <c r="D422" s="15"/>
      <c r="E422" s="15"/>
      <c r="F422" s="15"/>
      <c r="G422" s="387"/>
      <c r="H422" s="15"/>
      <c r="I422" s="11"/>
      <c r="J422" s="11"/>
      <c r="K422" s="11"/>
      <c r="L422" s="11"/>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5.75" customHeight="1">
      <c r="A423" s="15"/>
      <c r="B423" s="21"/>
      <c r="C423" s="21"/>
      <c r="D423" s="15"/>
      <c r="E423" s="15"/>
      <c r="F423" s="15"/>
      <c r="G423" s="387"/>
      <c r="H423" s="15"/>
      <c r="I423" s="11"/>
      <c r="J423" s="11"/>
      <c r="K423" s="11"/>
      <c r="L423" s="11"/>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5.75" customHeight="1">
      <c r="A424" s="15"/>
      <c r="B424" s="21"/>
      <c r="C424" s="21"/>
      <c r="D424" s="15"/>
      <c r="E424" s="15"/>
      <c r="F424" s="15"/>
      <c r="G424" s="387"/>
      <c r="H424" s="15"/>
      <c r="I424" s="11"/>
      <c r="J424" s="11"/>
      <c r="K424" s="11"/>
      <c r="L424" s="11"/>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5.75" customHeight="1">
      <c r="A425" s="15"/>
      <c r="B425" s="21"/>
      <c r="C425" s="21"/>
      <c r="D425" s="15"/>
      <c r="E425" s="15"/>
      <c r="F425" s="15"/>
      <c r="G425" s="387"/>
      <c r="H425" s="15"/>
      <c r="I425" s="11"/>
      <c r="J425" s="11"/>
      <c r="K425" s="11"/>
      <c r="L425" s="11"/>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5.75" customHeight="1">
      <c r="A426" s="15"/>
      <c r="B426" s="21"/>
      <c r="C426" s="21"/>
      <c r="D426" s="15"/>
      <c r="E426" s="15"/>
      <c r="F426" s="15"/>
      <c r="G426" s="387"/>
      <c r="H426" s="15"/>
      <c r="I426" s="11"/>
      <c r="J426" s="11"/>
      <c r="K426" s="11"/>
      <c r="L426" s="11"/>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5.75" customHeight="1">
      <c r="A427" s="15"/>
      <c r="B427" s="21"/>
      <c r="C427" s="21"/>
      <c r="D427" s="15"/>
      <c r="E427" s="15"/>
      <c r="F427" s="15"/>
      <c r="G427" s="387"/>
      <c r="H427" s="15"/>
      <c r="I427" s="11"/>
      <c r="J427" s="11"/>
      <c r="K427" s="11"/>
      <c r="L427" s="11"/>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5.75" customHeight="1">
      <c r="A428" s="15"/>
      <c r="B428" s="21"/>
      <c r="C428" s="21"/>
      <c r="D428" s="15"/>
      <c r="E428" s="15"/>
      <c r="F428" s="15"/>
      <c r="G428" s="387"/>
      <c r="H428" s="15"/>
      <c r="I428" s="11"/>
      <c r="J428" s="11"/>
      <c r="K428" s="11"/>
      <c r="L428" s="11"/>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5.75" customHeight="1">
      <c r="A429" s="15"/>
      <c r="B429" s="21"/>
      <c r="C429" s="21"/>
      <c r="D429" s="15"/>
      <c r="E429" s="15"/>
      <c r="F429" s="15"/>
      <c r="G429" s="387"/>
      <c r="H429" s="15"/>
      <c r="I429" s="11"/>
      <c r="J429" s="11"/>
      <c r="K429" s="11"/>
      <c r="L429" s="11"/>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5.75" customHeight="1">
      <c r="A430" s="15"/>
      <c r="B430" s="21"/>
      <c r="C430" s="21"/>
      <c r="D430" s="15"/>
      <c r="E430" s="15"/>
      <c r="F430" s="15"/>
      <c r="G430" s="387"/>
      <c r="H430" s="15"/>
      <c r="I430" s="11"/>
      <c r="J430" s="11"/>
      <c r="K430" s="11"/>
      <c r="L430" s="11"/>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5.75" customHeight="1">
      <c r="A431" s="15"/>
      <c r="B431" s="21"/>
      <c r="C431" s="21"/>
      <c r="D431" s="15"/>
      <c r="E431" s="15"/>
      <c r="F431" s="15"/>
      <c r="G431" s="387"/>
      <c r="H431" s="15"/>
      <c r="I431" s="11"/>
      <c r="J431" s="11"/>
      <c r="K431" s="11"/>
      <c r="L431" s="11"/>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5.75" customHeight="1">
      <c r="A432" s="15"/>
      <c r="B432" s="21"/>
      <c r="C432" s="21"/>
      <c r="D432" s="15"/>
      <c r="E432" s="15"/>
      <c r="F432" s="15"/>
      <c r="G432" s="387"/>
      <c r="H432" s="15"/>
      <c r="I432" s="11"/>
      <c r="J432" s="11"/>
      <c r="K432" s="11"/>
      <c r="L432" s="11"/>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5.75" customHeight="1">
      <c r="A433" s="15"/>
      <c r="B433" s="21"/>
      <c r="C433" s="21"/>
      <c r="D433" s="15"/>
      <c r="E433" s="15"/>
      <c r="F433" s="15"/>
      <c r="G433" s="387"/>
      <c r="H433" s="15"/>
      <c r="I433" s="11"/>
      <c r="J433" s="11"/>
      <c r="K433" s="11"/>
      <c r="L433" s="11"/>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5.75" customHeight="1">
      <c r="A434" s="15"/>
      <c r="B434" s="21"/>
      <c r="C434" s="21"/>
      <c r="D434" s="15"/>
      <c r="E434" s="15"/>
      <c r="F434" s="15"/>
      <c r="G434" s="387"/>
      <c r="H434" s="15"/>
      <c r="I434" s="11"/>
      <c r="J434" s="11"/>
      <c r="K434" s="11"/>
      <c r="L434" s="11"/>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5.75" customHeight="1">
      <c r="A435" s="15"/>
      <c r="B435" s="21"/>
      <c r="C435" s="21"/>
      <c r="D435" s="15"/>
      <c r="E435" s="15"/>
      <c r="F435" s="15"/>
      <c r="G435" s="387"/>
      <c r="H435" s="15"/>
      <c r="I435" s="11"/>
      <c r="J435" s="11"/>
      <c r="K435" s="11"/>
      <c r="L435" s="11"/>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5.75" customHeight="1">
      <c r="A436" s="15"/>
      <c r="B436" s="21"/>
      <c r="C436" s="21"/>
      <c r="D436" s="15"/>
      <c r="E436" s="15"/>
      <c r="F436" s="15"/>
      <c r="G436" s="387"/>
      <c r="H436" s="15"/>
      <c r="I436" s="11"/>
      <c r="J436" s="11"/>
      <c r="K436" s="11"/>
      <c r="L436" s="11"/>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5.75" customHeight="1">
      <c r="A437" s="15"/>
      <c r="B437" s="21"/>
      <c r="C437" s="21"/>
      <c r="D437" s="15"/>
      <c r="E437" s="15"/>
      <c r="F437" s="15"/>
      <c r="G437" s="387"/>
      <c r="H437" s="15"/>
      <c r="I437" s="11"/>
      <c r="J437" s="11"/>
      <c r="K437" s="11"/>
      <c r="L437" s="11"/>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5.75" customHeight="1">
      <c r="A438" s="15"/>
      <c r="B438" s="21"/>
      <c r="C438" s="21"/>
      <c r="D438" s="15"/>
      <c r="E438" s="15"/>
      <c r="F438" s="15"/>
      <c r="G438" s="387"/>
      <c r="H438" s="15"/>
      <c r="I438" s="11"/>
      <c r="J438" s="11"/>
      <c r="K438" s="11"/>
      <c r="L438" s="11"/>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5.75" customHeight="1">
      <c r="A439" s="15"/>
      <c r="B439" s="21"/>
      <c r="C439" s="21"/>
      <c r="D439" s="15"/>
      <c r="E439" s="15"/>
      <c r="F439" s="15"/>
      <c r="G439" s="387"/>
      <c r="H439" s="15"/>
      <c r="I439" s="11"/>
      <c r="J439" s="11"/>
      <c r="K439" s="11"/>
      <c r="L439" s="11"/>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5.75" customHeight="1">
      <c r="A440" s="15"/>
      <c r="B440" s="21"/>
      <c r="C440" s="21"/>
      <c r="D440" s="15"/>
      <c r="E440" s="15"/>
      <c r="F440" s="15"/>
      <c r="G440" s="387"/>
      <c r="H440" s="15"/>
      <c r="I440" s="11"/>
      <c r="J440" s="11"/>
      <c r="K440" s="11"/>
      <c r="L440" s="11"/>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5.75" customHeight="1">
      <c r="A441" s="15"/>
      <c r="B441" s="21"/>
      <c r="C441" s="21"/>
      <c r="D441" s="15"/>
      <c r="E441" s="15"/>
      <c r="F441" s="15"/>
      <c r="G441" s="387"/>
      <c r="H441" s="15"/>
      <c r="I441" s="11"/>
      <c r="J441" s="11"/>
      <c r="K441" s="11"/>
      <c r="L441" s="11"/>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5.75" customHeight="1">
      <c r="A442" s="15"/>
      <c r="B442" s="21"/>
      <c r="C442" s="21"/>
      <c r="D442" s="15"/>
      <c r="E442" s="15"/>
      <c r="F442" s="15"/>
      <c r="G442" s="387"/>
      <c r="H442" s="15"/>
      <c r="I442" s="11"/>
      <c r="J442" s="11"/>
      <c r="K442" s="11"/>
      <c r="L442" s="11"/>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5.75" customHeight="1">
      <c r="A443" s="15"/>
      <c r="B443" s="21"/>
      <c r="C443" s="21"/>
      <c r="D443" s="15"/>
      <c r="E443" s="15"/>
      <c r="F443" s="15"/>
      <c r="G443" s="387"/>
      <c r="H443" s="15"/>
      <c r="I443" s="11"/>
      <c r="J443" s="11"/>
      <c r="K443" s="11"/>
      <c r="L443" s="11"/>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5.75" customHeight="1">
      <c r="A444" s="15"/>
      <c r="B444" s="21"/>
      <c r="C444" s="21"/>
      <c r="D444" s="15"/>
      <c r="E444" s="15"/>
      <c r="F444" s="15"/>
      <c r="G444" s="387"/>
      <c r="H444" s="15"/>
      <c r="I444" s="11"/>
      <c r="J444" s="11"/>
      <c r="K444" s="11"/>
      <c r="L444" s="11"/>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5.75" customHeight="1">
      <c r="A445" s="15"/>
      <c r="B445" s="21"/>
      <c r="C445" s="21"/>
      <c r="D445" s="15"/>
      <c r="E445" s="15"/>
      <c r="F445" s="15"/>
      <c r="G445" s="387"/>
      <c r="H445" s="15"/>
      <c r="I445" s="11"/>
      <c r="J445" s="11"/>
      <c r="K445" s="11"/>
      <c r="L445" s="11"/>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5.75" customHeight="1">
      <c r="A446" s="15"/>
      <c r="B446" s="21"/>
      <c r="C446" s="21"/>
      <c r="D446" s="15"/>
      <c r="E446" s="15"/>
      <c r="F446" s="15"/>
      <c r="G446" s="387"/>
      <c r="H446" s="15"/>
      <c r="I446" s="11"/>
      <c r="J446" s="11"/>
      <c r="K446" s="11"/>
      <c r="L446" s="11"/>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5.75" customHeight="1">
      <c r="A447" s="15"/>
      <c r="B447" s="21"/>
      <c r="C447" s="21"/>
      <c r="D447" s="15"/>
      <c r="E447" s="15"/>
      <c r="F447" s="15"/>
      <c r="G447" s="387"/>
      <c r="H447" s="15"/>
      <c r="I447" s="11"/>
      <c r="J447" s="11"/>
      <c r="K447" s="11"/>
      <c r="L447" s="11"/>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5.75" customHeight="1">
      <c r="A448" s="15"/>
      <c r="B448" s="21"/>
      <c r="C448" s="21"/>
      <c r="D448" s="15"/>
      <c r="E448" s="15"/>
      <c r="F448" s="15"/>
      <c r="G448" s="387"/>
      <c r="H448" s="15"/>
      <c r="I448" s="11"/>
      <c r="J448" s="11"/>
      <c r="K448" s="11"/>
      <c r="L448" s="11"/>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5.75" customHeight="1">
      <c r="A449" s="15"/>
      <c r="B449" s="21"/>
      <c r="C449" s="21"/>
      <c r="D449" s="15"/>
      <c r="E449" s="15"/>
      <c r="F449" s="15"/>
      <c r="G449" s="387"/>
      <c r="H449" s="15"/>
      <c r="I449" s="11"/>
      <c r="J449" s="11"/>
      <c r="K449" s="11"/>
      <c r="L449" s="11"/>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5.75" customHeight="1">
      <c r="A450" s="15"/>
      <c r="B450" s="21"/>
      <c r="C450" s="21"/>
      <c r="D450" s="15"/>
      <c r="E450" s="15"/>
      <c r="F450" s="15"/>
      <c r="G450" s="387"/>
      <c r="H450" s="15"/>
      <c r="I450" s="11"/>
      <c r="J450" s="11"/>
      <c r="K450" s="11"/>
      <c r="L450" s="11"/>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5.75" customHeight="1">
      <c r="A451" s="15"/>
      <c r="B451" s="21"/>
      <c r="C451" s="21"/>
      <c r="D451" s="15"/>
      <c r="E451" s="15"/>
      <c r="F451" s="15"/>
      <c r="G451" s="387"/>
      <c r="H451" s="15"/>
      <c r="I451" s="11"/>
      <c r="J451" s="11"/>
      <c r="K451" s="11"/>
      <c r="L451" s="11"/>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5.75" customHeight="1">
      <c r="A452" s="15"/>
      <c r="B452" s="21"/>
      <c r="C452" s="21"/>
      <c r="D452" s="15"/>
      <c r="E452" s="15"/>
      <c r="F452" s="15"/>
      <c r="G452" s="387"/>
      <c r="H452" s="15"/>
      <c r="I452" s="11"/>
      <c r="J452" s="11"/>
      <c r="K452" s="11"/>
      <c r="L452" s="11"/>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5.75" customHeight="1">
      <c r="A453" s="15"/>
      <c r="B453" s="21"/>
      <c r="C453" s="21"/>
      <c r="D453" s="15"/>
      <c r="E453" s="15"/>
      <c r="F453" s="15"/>
      <c r="G453" s="387"/>
      <c r="H453" s="15"/>
      <c r="I453" s="11"/>
      <c r="J453" s="11"/>
      <c r="K453" s="11"/>
      <c r="L453" s="11"/>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5.75" customHeight="1">
      <c r="A454" s="15"/>
      <c r="B454" s="21"/>
      <c r="C454" s="21"/>
      <c r="D454" s="15"/>
      <c r="E454" s="15"/>
      <c r="F454" s="15"/>
      <c r="G454" s="387"/>
      <c r="H454" s="15"/>
      <c r="I454" s="11"/>
      <c r="J454" s="11"/>
      <c r="K454" s="11"/>
      <c r="L454" s="11"/>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5.75" customHeight="1">
      <c r="A455" s="15"/>
      <c r="B455" s="21"/>
      <c r="C455" s="21"/>
      <c r="D455" s="15"/>
      <c r="E455" s="15"/>
      <c r="F455" s="15"/>
      <c r="G455" s="387"/>
      <c r="H455" s="15"/>
      <c r="I455" s="11"/>
      <c r="J455" s="11"/>
      <c r="K455" s="11"/>
      <c r="L455" s="11"/>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5.75" customHeight="1">
      <c r="A456" s="15"/>
      <c r="B456" s="21"/>
      <c r="C456" s="21"/>
      <c r="D456" s="15"/>
      <c r="E456" s="15"/>
      <c r="F456" s="15"/>
      <c r="G456" s="387"/>
      <c r="H456" s="15"/>
      <c r="I456" s="11"/>
      <c r="J456" s="11"/>
      <c r="K456" s="11"/>
      <c r="L456" s="11"/>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5.75" customHeight="1">
      <c r="A457" s="15"/>
      <c r="B457" s="21"/>
      <c r="C457" s="21"/>
      <c r="D457" s="15"/>
      <c r="E457" s="15"/>
      <c r="F457" s="15"/>
      <c r="G457" s="387"/>
      <c r="H457" s="15"/>
      <c r="I457" s="11"/>
      <c r="J457" s="11"/>
      <c r="K457" s="11"/>
      <c r="L457" s="11"/>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5.75" customHeight="1">
      <c r="A458" s="15"/>
      <c r="B458" s="21"/>
      <c r="C458" s="21"/>
      <c r="D458" s="15"/>
      <c r="E458" s="15"/>
      <c r="F458" s="15"/>
      <c r="G458" s="387"/>
      <c r="H458" s="15"/>
      <c r="I458" s="11"/>
      <c r="J458" s="11"/>
      <c r="K458" s="11"/>
      <c r="L458" s="11"/>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5.75" customHeight="1">
      <c r="A459" s="15"/>
      <c r="B459" s="21"/>
      <c r="C459" s="21"/>
      <c r="D459" s="15"/>
      <c r="E459" s="15"/>
      <c r="F459" s="15"/>
      <c r="G459" s="387"/>
      <c r="H459" s="15"/>
      <c r="I459" s="11"/>
      <c r="J459" s="11"/>
      <c r="K459" s="11"/>
      <c r="L459" s="11"/>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5.75" customHeight="1">
      <c r="A460" s="15"/>
      <c r="B460" s="21"/>
      <c r="C460" s="21"/>
      <c r="D460" s="15"/>
      <c r="E460" s="15"/>
      <c r="F460" s="15"/>
      <c r="G460" s="387"/>
      <c r="H460" s="15"/>
      <c r="I460" s="11"/>
      <c r="J460" s="11"/>
      <c r="K460" s="11"/>
      <c r="L460" s="11"/>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5.75" customHeight="1">
      <c r="A461" s="15"/>
      <c r="B461" s="21"/>
      <c r="C461" s="21"/>
      <c r="D461" s="15"/>
      <c r="E461" s="15"/>
      <c r="F461" s="15"/>
      <c r="G461" s="387"/>
      <c r="H461" s="15"/>
      <c r="I461" s="11"/>
      <c r="J461" s="11"/>
      <c r="K461" s="11"/>
      <c r="L461" s="11"/>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5.75" customHeight="1">
      <c r="A462" s="15"/>
      <c r="B462" s="21"/>
      <c r="C462" s="21"/>
      <c r="D462" s="15"/>
      <c r="E462" s="15"/>
      <c r="F462" s="15"/>
      <c r="G462" s="387"/>
      <c r="H462" s="15"/>
      <c r="I462" s="11"/>
      <c r="J462" s="11"/>
      <c r="K462" s="11"/>
      <c r="L462" s="11"/>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5.75" customHeight="1">
      <c r="A463" s="15"/>
      <c r="B463" s="21"/>
      <c r="C463" s="21"/>
      <c r="D463" s="15"/>
      <c r="E463" s="15"/>
      <c r="F463" s="15"/>
      <c r="G463" s="387"/>
      <c r="H463" s="15"/>
      <c r="I463" s="11"/>
      <c r="J463" s="11"/>
      <c r="K463" s="11"/>
      <c r="L463" s="11"/>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5.75" customHeight="1">
      <c r="A464" s="15"/>
      <c r="B464" s="21"/>
      <c r="C464" s="21"/>
      <c r="D464" s="15"/>
      <c r="E464" s="15"/>
      <c r="F464" s="15"/>
      <c r="G464" s="387"/>
      <c r="H464" s="15"/>
      <c r="I464" s="11"/>
      <c r="J464" s="11"/>
      <c r="K464" s="11"/>
      <c r="L464" s="11"/>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5.75" customHeight="1">
      <c r="A465" s="15"/>
      <c r="B465" s="21"/>
      <c r="C465" s="21"/>
      <c r="D465" s="15"/>
      <c r="E465" s="15"/>
      <c r="F465" s="15"/>
      <c r="G465" s="387"/>
      <c r="H465" s="15"/>
      <c r="I465" s="11"/>
      <c r="J465" s="11"/>
      <c r="K465" s="11"/>
      <c r="L465" s="11"/>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5.75" customHeight="1">
      <c r="A466" s="15"/>
      <c r="B466" s="21"/>
      <c r="C466" s="21"/>
      <c r="D466" s="15"/>
      <c r="E466" s="15"/>
      <c r="F466" s="15"/>
      <c r="G466" s="387"/>
      <c r="H466" s="15"/>
      <c r="I466" s="11"/>
      <c r="J466" s="11"/>
      <c r="K466" s="11"/>
      <c r="L466" s="11"/>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5.75" customHeight="1">
      <c r="A467" s="15"/>
      <c r="B467" s="21"/>
      <c r="C467" s="21"/>
      <c r="D467" s="15"/>
      <c r="E467" s="15"/>
      <c r="F467" s="15"/>
      <c r="G467" s="387"/>
      <c r="H467" s="15"/>
      <c r="I467" s="11"/>
      <c r="J467" s="11"/>
      <c r="K467" s="11"/>
      <c r="L467" s="11"/>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5.75" customHeight="1">
      <c r="A468" s="15"/>
      <c r="B468" s="21"/>
      <c r="C468" s="21"/>
      <c r="D468" s="15"/>
      <c r="E468" s="15"/>
      <c r="F468" s="15"/>
      <c r="G468" s="387"/>
      <c r="H468" s="15"/>
      <c r="I468" s="11"/>
      <c r="J468" s="11"/>
      <c r="K468" s="11"/>
      <c r="L468" s="11"/>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5.75" customHeight="1">
      <c r="A469" s="15"/>
      <c r="B469" s="21"/>
      <c r="C469" s="21"/>
      <c r="D469" s="15"/>
      <c r="E469" s="15"/>
      <c r="F469" s="15"/>
      <c r="G469" s="387"/>
      <c r="H469" s="15"/>
      <c r="I469" s="11"/>
      <c r="J469" s="11"/>
      <c r="K469" s="11"/>
      <c r="L469" s="11"/>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5.75" customHeight="1">
      <c r="A470" s="15"/>
      <c r="B470" s="21"/>
      <c r="C470" s="21"/>
      <c r="D470" s="15"/>
      <c r="E470" s="15"/>
      <c r="F470" s="15"/>
      <c r="G470" s="387"/>
      <c r="H470" s="15"/>
      <c r="I470" s="11"/>
      <c r="J470" s="11"/>
      <c r="K470" s="11"/>
      <c r="L470" s="11"/>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5.75" customHeight="1">
      <c r="A471" s="15"/>
      <c r="B471" s="21"/>
      <c r="C471" s="21"/>
      <c r="D471" s="15"/>
      <c r="E471" s="15"/>
      <c r="F471" s="15"/>
      <c r="G471" s="387"/>
      <c r="H471" s="15"/>
      <c r="I471" s="11"/>
      <c r="J471" s="11"/>
      <c r="K471" s="11"/>
      <c r="L471" s="11"/>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5.75" customHeight="1">
      <c r="A472" s="15"/>
      <c r="B472" s="21"/>
      <c r="C472" s="21"/>
      <c r="D472" s="15"/>
      <c r="E472" s="15"/>
      <c r="F472" s="15"/>
      <c r="G472" s="387"/>
      <c r="H472" s="15"/>
      <c r="I472" s="11"/>
      <c r="J472" s="11"/>
      <c r="K472" s="11"/>
      <c r="L472" s="11"/>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5.75" customHeight="1">
      <c r="A473" s="15"/>
      <c r="B473" s="21"/>
      <c r="C473" s="21"/>
      <c r="D473" s="15"/>
      <c r="E473" s="15"/>
      <c r="F473" s="15"/>
      <c r="G473" s="387"/>
      <c r="H473" s="15"/>
      <c r="I473" s="11"/>
      <c r="J473" s="11"/>
      <c r="K473" s="11"/>
      <c r="L473" s="11"/>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5.75" customHeight="1">
      <c r="A474" s="15"/>
      <c r="B474" s="21"/>
      <c r="C474" s="21"/>
      <c r="D474" s="15"/>
      <c r="E474" s="15"/>
      <c r="F474" s="15"/>
      <c r="G474" s="387"/>
      <c r="H474" s="15"/>
      <c r="I474" s="11"/>
      <c r="J474" s="11"/>
      <c r="K474" s="11"/>
      <c r="L474" s="11"/>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5.75" customHeight="1">
      <c r="A475" s="15"/>
      <c r="B475" s="21"/>
      <c r="C475" s="21"/>
      <c r="D475" s="15"/>
      <c r="E475" s="15"/>
      <c r="F475" s="15"/>
      <c r="G475" s="387"/>
      <c r="H475" s="15"/>
      <c r="I475" s="11"/>
      <c r="J475" s="11"/>
      <c r="K475" s="11"/>
      <c r="L475" s="11"/>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5.75" customHeight="1">
      <c r="A476" s="15"/>
      <c r="B476" s="21"/>
      <c r="C476" s="21"/>
      <c r="D476" s="15"/>
      <c r="E476" s="15"/>
      <c r="F476" s="15"/>
      <c r="G476" s="387"/>
      <c r="H476" s="15"/>
      <c r="I476" s="11"/>
      <c r="J476" s="11"/>
      <c r="K476" s="11"/>
      <c r="L476" s="11"/>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5.75" customHeight="1">
      <c r="A477" s="15"/>
      <c r="B477" s="21"/>
      <c r="C477" s="21"/>
      <c r="D477" s="15"/>
      <c r="E477" s="15"/>
      <c r="F477" s="15"/>
      <c r="G477" s="387"/>
      <c r="H477" s="15"/>
      <c r="I477" s="11"/>
      <c r="J477" s="11"/>
      <c r="K477" s="11"/>
      <c r="L477" s="11"/>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5.75" customHeight="1">
      <c r="A478" s="15"/>
      <c r="B478" s="21"/>
      <c r="C478" s="21"/>
      <c r="D478" s="15"/>
      <c r="E478" s="15"/>
      <c r="F478" s="15"/>
      <c r="G478" s="387"/>
      <c r="H478" s="15"/>
      <c r="I478" s="11"/>
      <c r="J478" s="11"/>
      <c r="K478" s="11"/>
      <c r="L478" s="11"/>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5.75" customHeight="1">
      <c r="A479" s="15"/>
      <c r="B479" s="21"/>
      <c r="C479" s="21"/>
      <c r="D479" s="15"/>
      <c r="E479" s="15"/>
      <c r="F479" s="15"/>
      <c r="G479" s="387"/>
      <c r="H479" s="15"/>
      <c r="I479" s="11"/>
      <c r="J479" s="11"/>
      <c r="K479" s="11"/>
      <c r="L479" s="11"/>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5.75" customHeight="1">
      <c r="A480" s="15"/>
      <c r="B480" s="21"/>
      <c r="C480" s="21"/>
      <c r="D480" s="15"/>
      <c r="E480" s="15"/>
      <c r="F480" s="15"/>
      <c r="G480" s="387"/>
      <c r="H480" s="15"/>
      <c r="I480" s="11"/>
      <c r="J480" s="11"/>
      <c r="K480" s="11"/>
      <c r="L480" s="11"/>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5.75" customHeight="1">
      <c r="A481" s="15"/>
      <c r="B481" s="21"/>
      <c r="C481" s="21"/>
      <c r="D481" s="15"/>
      <c r="E481" s="15"/>
      <c r="F481" s="15"/>
      <c r="G481" s="387"/>
      <c r="H481" s="15"/>
      <c r="I481" s="11"/>
      <c r="J481" s="11"/>
      <c r="K481" s="11"/>
      <c r="L481" s="11"/>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5.75" customHeight="1">
      <c r="A482" s="15"/>
      <c r="B482" s="21"/>
      <c r="C482" s="21"/>
      <c r="D482" s="15"/>
      <c r="E482" s="15"/>
      <c r="F482" s="15"/>
      <c r="G482" s="387"/>
      <c r="H482" s="15"/>
      <c r="I482" s="11"/>
      <c r="J482" s="11"/>
      <c r="K482" s="11"/>
      <c r="L482" s="11"/>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5.75" customHeight="1">
      <c r="A483" s="15"/>
      <c r="B483" s="21"/>
      <c r="C483" s="21"/>
      <c r="D483" s="15"/>
      <c r="E483" s="15"/>
      <c r="F483" s="15"/>
      <c r="G483" s="387"/>
      <c r="H483" s="15"/>
      <c r="I483" s="11"/>
      <c r="J483" s="11"/>
      <c r="K483" s="11"/>
      <c r="L483" s="11"/>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5.75" customHeight="1">
      <c r="A484" s="15"/>
      <c r="B484" s="21"/>
      <c r="C484" s="21"/>
      <c r="D484" s="15"/>
      <c r="E484" s="15"/>
      <c r="F484" s="15"/>
      <c r="G484" s="387"/>
      <c r="H484" s="15"/>
      <c r="I484" s="11"/>
      <c r="J484" s="11"/>
      <c r="K484" s="11"/>
      <c r="L484" s="11"/>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5.75" customHeight="1">
      <c r="A485" s="15"/>
      <c r="B485" s="21"/>
      <c r="C485" s="21"/>
      <c r="D485" s="15"/>
      <c r="E485" s="15"/>
      <c r="F485" s="15"/>
      <c r="G485" s="387"/>
      <c r="H485" s="15"/>
      <c r="I485" s="11"/>
      <c r="J485" s="11"/>
      <c r="K485" s="11"/>
      <c r="L485" s="11"/>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5.75" customHeight="1">
      <c r="A486" s="15"/>
      <c r="B486" s="21"/>
      <c r="C486" s="21"/>
      <c r="D486" s="15"/>
      <c r="E486" s="15"/>
      <c r="F486" s="15"/>
      <c r="G486" s="387"/>
      <c r="H486" s="15"/>
      <c r="I486" s="11"/>
      <c r="J486" s="11"/>
      <c r="K486" s="11"/>
      <c r="L486" s="11"/>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5.75" customHeight="1">
      <c r="A487" s="15"/>
      <c r="B487" s="21"/>
      <c r="C487" s="21"/>
      <c r="D487" s="15"/>
      <c r="E487" s="15"/>
      <c r="F487" s="15"/>
      <c r="G487" s="387"/>
      <c r="H487" s="15"/>
      <c r="I487" s="11"/>
      <c r="J487" s="11"/>
      <c r="K487" s="11"/>
      <c r="L487" s="11"/>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5.75" customHeight="1">
      <c r="A488" s="15"/>
      <c r="B488" s="21"/>
      <c r="C488" s="21"/>
      <c r="D488" s="15"/>
      <c r="E488" s="15"/>
      <c r="F488" s="15"/>
      <c r="G488" s="387"/>
      <c r="H488" s="15"/>
      <c r="I488" s="11"/>
      <c r="J488" s="11"/>
      <c r="K488" s="11"/>
      <c r="L488" s="11"/>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5.75" customHeight="1">
      <c r="A489" s="15"/>
      <c r="B489" s="21"/>
      <c r="C489" s="21"/>
      <c r="D489" s="15"/>
      <c r="E489" s="15"/>
      <c r="F489" s="15"/>
      <c r="G489" s="387"/>
      <c r="H489" s="15"/>
      <c r="I489" s="11"/>
      <c r="J489" s="11"/>
      <c r="K489" s="11"/>
      <c r="L489" s="11"/>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5.75" customHeight="1">
      <c r="A490" s="15"/>
      <c r="B490" s="21"/>
      <c r="C490" s="21"/>
      <c r="D490" s="15"/>
      <c r="E490" s="15"/>
      <c r="F490" s="15"/>
      <c r="G490" s="387"/>
      <c r="H490" s="15"/>
      <c r="I490" s="11"/>
      <c r="J490" s="11"/>
      <c r="K490" s="11"/>
      <c r="L490" s="11"/>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5.75" customHeight="1">
      <c r="A491" s="15"/>
      <c r="B491" s="21"/>
      <c r="C491" s="21"/>
      <c r="D491" s="15"/>
      <c r="E491" s="15"/>
      <c r="F491" s="15"/>
      <c r="G491" s="387"/>
      <c r="H491" s="15"/>
      <c r="I491" s="11"/>
      <c r="J491" s="11"/>
      <c r="K491" s="11"/>
      <c r="L491" s="11"/>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5.75" customHeight="1">
      <c r="A492" s="15"/>
      <c r="B492" s="21"/>
      <c r="C492" s="21"/>
      <c r="D492" s="15"/>
      <c r="E492" s="15"/>
      <c r="F492" s="15"/>
      <c r="G492" s="387"/>
      <c r="H492" s="15"/>
      <c r="I492" s="11"/>
      <c r="J492" s="11"/>
      <c r="K492" s="11"/>
      <c r="L492" s="11"/>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5.75" customHeight="1">
      <c r="A493" s="15"/>
      <c r="B493" s="21"/>
      <c r="C493" s="21"/>
      <c r="D493" s="15"/>
      <c r="E493" s="15"/>
      <c r="F493" s="15"/>
      <c r="G493" s="387"/>
      <c r="H493" s="15"/>
      <c r="I493" s="11"/>
      <c r="J493" s="11"/>
      <c r="K493" s="11"/>
      <c r="L493" s="11"/>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5.75" customHeight="1">
      <c r="A494" s="15"/>
      <c r="B494" s="21"/>
      <c r="C494" s="21"/>
      <c r="D494" s="15"/>
      <c r="E494" s="15"/>
      <c r="F494" s="15"/>
      <c r="G494" s="387"/>
      <c r="H494" s="15"/>
      <c r="I494" s="11"/>
      <c r="J494" s="11"/>
      <c r="K494" s="11"/>
      <c r="L494" s="11"/>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5.75" customHeight="1">
      <c r="A495" s="15"/>
      <c r="B495" s="21"/>
      <c r="C495" s="21"/>
      <c r="D495" s="15"/>
      <c r="E495" s="15"/>
      <c r="F495" s="15"/>
      <c r="G495" s="387"/>
      <c r="H495" s="15"/>
      <c r="I495" s="11"/>
      <c r="J495" s="11"/>
      <c r="K495" s="11"/>
      <c r="L495" s="11"/>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5.75" customHeight="1">
      <c r="A496" s="15"/>
      <c r="B496" s="21"/>
      <c r="C496" s="21"/>
      <c r="D496" s="15"/>
      <c r="E496" s="15"/>
      <c r="F496" s="15"/>
      <c r="G496" s="387"/>
      <c r="H496" s="15"/>
      <c r="I496" s="11"/>
      <c r="J496" s="11"/>
      <c r="K496" s="11"/>
      <c r="L496" s="11"/>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5.75" customHeight="1">
      <c r="A497" s="15"/>
      <c r="B497" s="21"/>
      <c r="C497" s="21"/>
      <c r="D497" s="15"/>
      <c r="E497" s="15"/>
      <c r="F497" s="15"/>
      <c r="G497" s="387"/>
      <c r="H497" s="15"/>
      <c r="I497" s="11"/>
      <c r="J497" s="11"/>
      <c r="K497" s="11"/>
      <c r="L497" s="11"/>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5.75" customHeight="1">
      <c r="A498" s="15"/>
      <c r="B498" s="21"/>
      <c r="C498" s="21"/>
      <c r="D498" s="15"/>
      <c r="E498" s="15"/>
      <c r="F498" s="15"/>
      <c r="G498" s="387"/>
      <c r="H498" s="15"/>
      <c r="I498" s="11"/>
      <c r="J498" s="11"/>
      <c r="K498" s="11"/>
      <c r="L498" s="11"/>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5.75" customHeight="1">
      <c r="A499" s="15"/>
      <c r="B499" s="21"/>
      <c r="C499" s="21"/>
      <c r="D499" s="15"/>
      <c r="E499" s="15"/>
      <c r="F499" s="15"/>
      <c r="G499" s="387"/>
      <c r="H499" s="15"/>
      <c r="I499" s="11"/>
      <c r="J499" s="11"/>
      <c r="K499" s="11"/>
      <c r="L499" s="11"/>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5.75" customHeight="1">
      <c r="A500" s="15"/>
      <c r="B500" s="21"/>
      <c r="C500" s="21"/>
      <c r="D500" s="15"/>
      <c r="E500" s="15"/>
      <c r="F500" s="15"/>
      <c r="G500" s="387"/>
      <c r="H500" s="15"/>
      <c r="I500" s="11"/>
      <c r="J500" s="11"/>
      <c r="K500" s="11"/>
      <c r="L500" s="11"/>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5.75" customHeight="1">
      <c r="A501" s="15"/>
      <c r="B501" s="21"/>
      <c r="C501" s="21"/>
      <c r="D501" s="15"/>
      <c r="E501" s="15"/>
      <c r="F501" s="15"/>
      <c r="G501" s="387"/>
      <c r="H501" s="15"/>
      <c r="I501" s="11"/>
      <c r="J501" s="11"/>
      <c r="K501" s="11"/>
      <c r="L501" s="11"/>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5.75" customHeight="1">
      <c r="A502" s="15"/>
      <c r="B502" s="21"/>
      <c r="C502" s="21"/>
      <c r="D502" s="15"/>
      <c r="E502" s="15"/>
      <c r="F502" s="15"/>
      <c r="G502" s="387"/>
      <c r="H502" s="15"/>
      <c r="I502" s="11"/>
      <c r="J502" s="11"/>
      <c r="K502" s="11"/>
      <c r="L502" s="11"/>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5.75" customHeight="1">
      <c r="A503" s="15"/>
      <c r="B503" s="21"/>
      <c r="C503" s="21"/>
      <c r="D503" s="15"/>
      <c r="E503" s="15"/>
      <c r="F503" s="15"/>
      <c r="G503" s="387"/>
      <c r="H503" s="15"/>
      <c r="I503" s="11"/>
      <c r="J503" s="11"/>
      <c r="K503" s="11"/>
      <c r="L503" s="11"/>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5.75" customHeight="1">
      <c r="A504" s="15"/>
      <c r="B504" s="21"/>
      <c r="C504" s="21"/>
      <c r="D504" s="15"/>
      <c r="E504" s="15"/>
      <c r="F504" s="15"/>
      <c r="G504" s="387"/>
      <c r="H504" s="15"/>
      <c r="I504" s="11"/>
      <c r="J504" s="11"/>
      <c r="K504" s="11"/>
      <c r="L504" s="11"/>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5.75" customHeight="1">
      <c r="A505" s="15"/>
      <c r="B505" s="21"/>
      <c r="C505" s="21"/>
      <c r="D505" s="15"/>
      <c r="E505" s="15"/>
      <c r="F505" s="15"/>
      <c r="G505" s="387"/>
      <c r="H505" s="15"/>
      <c r="I505" s="11"/>
      <c r="J505" s="11"/>
      <c r="K505" s="11"/>
      <c r="L505" s="11"/>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5.75" customHeight="1">
      <c r="A506" s="15"/>
      <c r="B506" s="21"/>
      <c r="C506" s="21"/>
      <c r="D506" s="15"/>
      <c r="E506" s="15"/>
      <c r="F506" s="15"/>
      <c r="G506" s="387"/>
      <c r="H506" s="15"/>
      <c r="I506" s="11"/>
      <c r="J506" s="11"/>
      <c r="K506" s="11"/>
      <c r="L506" s="11"/>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5.75" customHeight="1">
      <c r="A507" s="15"/>
      <c r="B507" s="21"/>
      <c r="C507" s="21"/>
      <c r="D507" s="15"/>
      <c r="E507" s="15"/>
      <c r="F507" s="15"/>
      <c r="G507" s="387"/>
      <c r="H507" s="15"/>
      <c r="I507" s="11"/>
      <c r="J507" s="11"/>
      <c r="K507" s="11"/>
      <c r="L507" s="11"/>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5.75" customHeight="1">
      <c r="A508" s="15"/>
      <c r="B508" s="21"/>
      <c r="C508" s="21"/>
      <c r="D508" s="15"/>
      <c r="E508" s="15"/>
      <c r="F508" s="15"/>
      <c r="G508" s="387"/>
      <c r="H508" s="15"/>
      <c r="I508" s="11"/>
      <c r="J508" s="11"/>
      <c r="K508" s="11"/>
      <c r="L508" s="11"/>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5.75" customHeight="1">
      <c r="A509" s="15"/>
      <c r="B509" s="21"/>
      <c r="C509" s="21"/>
      <c r="D509" s="15"/>
      <c r="E509" s="15"/>
      <c r="F509" s="15"/>
      <c r="G509" s="387"/>
      <c r="H509" s="15"/>
      <c r="I509" s="11"/>
      <c r="J509" s="11"/>
      <c r="K509" s="11"/>
      <c r="L509" s="11"/>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5.75" customHeight="1">
      <c r="A510" s="15"/>
      <c r="B510" s="21"/>
      <c r="C510" s="21"/>
      <c r="D510" s="15"/>
      <c r="E510" s="15"/>
      <c r="F510" s="15"/>
      <c r="G510" s="387"/>
      <c r="H510" s="15"/>
      <c r="I510" s="11"/>
      <c r="J510" s="11"/>
      <c r="K510" s="11"/>
      <c r="L510" s="11"/>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5.75" customHeight="1">
      <c r="A511" s="15"/>
      <c r="B511" s="21"/>
      <c r="C511" s="21"/>
      <c r="D511" s="15"/>
      <c r="E511" s="15"/>
      <c r="F511" s="15"/>
      <c r="G511" s="387"/>
      <c r="H511" s="15"/>
      <c r="I511" s="11"/>
      <c r="J511" s="11"/>
      <c r="K511" s="11"/>
      <c r="L511" s="11"/>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5.75" customHeight="1">
      <c r="A512" s="15"/>
      <c r="B512" s="21"/>
      <c r="C512" s="21"/>
      <c r="D512" s="15"/>
      <c r="E512" s="15"/>
      <c r="F512" s="15"/>
      <c r="G512" s="387"/>
      <c r="H512" s="15"/>
      <c r="I512" s="11"/>
      <c r="J512" s="11"/>
      <c r="K512" s="11"/>
      <c r="L512" s="11"/>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5.75" customHeight="1">
      <c r="A513" s="15"/>
      <c r="B513" s="21"/>
      <c r="C513" s="21"/>
      <c r="D513" s="15"/>
      <c r="E513" s="15"/>
      <c r="F513" s="15"/>
      <c r="G513" s="387"/>
      <c r="H513" s="15"/>
      <c r="I513" s="11"/>
      <c r="J513" s="11"/>
      <c r="K513" s="11"/>
      <c r="L513" s="11"/>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5.75" customHeight="1">
      <c r="A514" s="15"/>
      <c r="B514" s="21"/>
      <c r="C514" s="21"/>
      <c r="D514" s="15"/>
      <c r="E514" s="15"/>
      <c r="F514" s="15"/>
      <c r="G514" s="387"/>
      <c r="H514" s="15"/>
      <c r="I514" s="11"/>
      <c r="J514" s="11"/>
      <c r="K514" s="11"/>
      <c r="L514" s="11"/>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5.75" customHeight="1">
      <c r="A515" s="15"/>
      <c r="B515" s="21"/>
      <c r="C515" s="21"/>
      <c r="D515" s="15"/>
      <c r="E515" s="15"/>
      <c r="F515" s="15"/>
      <c r="G515" s="387"/>
      <c r="H515" s="15"/>
      <c r="I515" s="11"/>
      <c r="J515" s="11"/>
      <c r="K515" s="11"/>
      <c r="L515" s="11"/>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5.75" customHeight="1">
      <c r="A516" s="15"/>
      <c r="B516" s="21"/>
      <c r="C516" s="21"/>
      <c r="D516" s="15"/>
      <c r="E516" s="15"/>
      <c r="F516" s="15"/>
      <c r="G516" s="387"/>
      <c r="H516" s="15"/>
      <c r="I516" s="11"/>
      <c r="J516" s="11"/>
      <c r="K516" s="11"/>
      <c r="L516" s="11"/>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5.75" customHeight="1">
      <c r="A517" s="15"/>
      <c r="B517" s="21"/>
      <c r="C517" s="21"/>
      <c r="D517" s="15"/>
      <c r="E517" s="15"/>
      <c r="F517" s="15"/>
      <c r="G517" s="387"/>
      <c r="H517" s="15"/>
      <c r="I517" s="11"/>
      <c r="J517" s="11"/>
      <c r="K517" s="11"/>
      <c r="L517" s="11"/>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5.75" customHeight="1">
      <c r="A518" s="15"/>
      <c r="B518" s="21"/>
      <c r="C518" s="21"/>
      <c r="D518" s="15"/>
      <c r="E518" s="15"/>
      <c r="F518" s="15"/>
      <c r="G518" s="387"/>
      <c r="H518" s="15"/>
      <c r="I518" s="11"/>
      <c r="J518" s="11"/>
      <c r="K518" s="11"/>
      <c r="L518" s="11"/>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5.75" customHeight="1">
      <c r="A519" s="15"/>
      <c r="B519" s="21"/>
      <c r="C519" s="21"/>
      <c r="D519" s="15"/>
      <c r="E519" s="15"/>
      <c r="F519" s="15"/>
      <c r="G519" s="387"/>
      <c r="H519" s="15"/>
      <c r="I519" s="11"/>
      <c r="J519" s="11"/>
      <c r="K519" s="11"/>
      <c r="L519" s="11"/>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5.75" customHeight="1">
      <c r="A520" s="15"/>
      <c r="B520" s="21"/>
      <c r="C520" s="21"/>
      <c r="D520" s="15"/>
      <c r="E520" s="15"/>
      <c r="F520" s="15"/>
      <c r="G520" s="387"/>
      <c r="H520" s="15"/>
      <c r="I520" s="11"/>
      <c r="J520" s="11"/>
      <c r="K520" s="11"/>
      <c r="L520" s="11"/>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5.75" customHeight="1">
      <c r="A521" s="15"/>
      <c r="B521" s="21"/>
      <c r="C521" s="21"/>
      <c r="D521" s="15"/>
      <c r="E521" s="15"/>
      <c r="F521" s="15"/>
      <c r="G521" s="387"/>
      <c r="H521" s="15"/>
      <c r="I521" s="11"/>
      <c r="J521" s="11"/>
      <c r="K521" s="11"/>
      <c r="L521" s="11"/>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5.75" customHeight="1">
      <c r="A522" s="15"/>
      <c r="B522" s="21"/>
      <c r="C522" s="21"/>
      <c r="D522" s="15"/>
      <c r="E522" s="15"/>
      <c r="F522" s="15"/>
      <c r="G522" s="387"/>
      <c r="H522" s="15"/>
      <c r="I522" s="11"/>
      <c r="J522" s="11"/>
      <c r="K522" s="11"/>
      <c r="L522" s="11"/>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5.75" customHeight="1">
      <c r="A523" s="15"/>
      <c r="B523" s="21"/>
      <c r="C523" s="21"/>
      <c r="D523" s="15"/>
      <c r="E523" s="15"/>
      <c r="F523" s="15"/>
      <c r="G523" s="387"/>
      <c r="H523" s="15"/>
      <c r="I523" s="11"/>
      <c r="J523" s="11"/>
      <c r="K523" s="11"/>
      <c r="L523" s="11"/>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5.75" customHeight="1">
      <c r="A524" s="15"/>
      <c r="B524" s="21"/>
      <c r="C524" s="21"/>
      <c r="D524" s="15"/>
      <c r="E524" s="15"/>
      <c r="F524" s="15"/>
      <c r="G524" s="387"/>
      <c r="H524" s="15"/>
      <c r="I524" s="11"/>
      <c r="J524" s="11"/>
      <c r="K524" s="11"/>
      <c r="L524" s="11"/>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5.75" customHeight="1">
      <c r="A525" s="15"/>
      <c r="B525" s="21"/>
      <c r="C525" s="21"/>
      <c r="D525" s="15"/>
      <c r="E525" s="15"/>
      <c r="F525" s="15"/>
      <c r="G525" s="387"/>
      <c r="H525" s="15"/>
      <c r="I525" s="11"/>
      <c r="J525" s="11"/>
      <c r="K525" s="11"/>
      <c r="L525" s="11"/>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5.75" customHeight="1">
      <c r="A526" s="15"/>
      <c r="B526" s="21"/>
      <c r="C526" s="21"/>
      <c r="D526" s="15"/>
      <c r="E526" s="15"/>
      <c r="F526" s="15"/>
      <c r="G526" s="387"/>
      <c r="H526" s="15"/>
      <c r="I526" s="11"/>
      <c r="J526" s="11"/>
      <c r="K526" s="11"/>
      <c r="L526" s="11"/>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5.75" customHeight="1">
      <c r="A527" s="15"/>
      <c r="B527" s="21"/>
      <c r="C527" s="21"/>
      <c r="D527" s="15"/>
      <c r="E527" s="15"/>
      <c r="F527" s="15"/>
      <c r="G527" s="387"/>
      <c r="H527" s="15"/>
      <c r="I527" s="11"/>
      <c r="J527" s="11"/>
      <c r="K527" s="11"/>
      <c r="L527" s="11"/>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5.75" customHeight="1">
      <c r="A528" s="15"/>
      <c r="B528" s="21"/>
      <c r="C528" s="21"/>
      <c r="D528" s="15"/>
      <c r="E528" s="15"/>
      <c r="F528" s="15"/>
      <c r="G528" s="387"/>
      <c r="H528" s="15"/>
      <c r="I528" s="11"/>
      <c r="J528" s="11"/>
      <c r="K528" s="11"/>
      <c r="L528" s="11"/>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5.75" customHeight="1">
      <c r="A529" s="15"/>
      <c r="B529" s="21"/>
      <c r="C529" s="21"/>
      <c r="D529" s="15"/>
      <c r="E529" s="15"/>
      <c r="F529" s="15"/>
      <c r="G529" s="387"/>
      <c r="H529" s="15"/>
      <c r="I529" s="11"/>
      <c r="J529" s="11"/>
      <c r="K529" s="11"/>
      <c r="L529" s="11"/>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5.75" customHeight="1">
      <c r="A530" s="15"/>
      <c r="B530" s="21"/>
      <c r="C530" s="21"/>
      <c r="D530" s="15"/>
      <c r="E530" s="15"/>
      <c r="F530" s="15"/>
      <c r="G530" s="387"/>
      <c r="H530" s="15"/>
      <c r="I530" s="11"/>
      <c r="J530" s="11"/>
      <c r="K530" s="11"/>
      <c r="L530" s="11"/>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5.75" customHeight="1">
      <c r="A531" s="15"/>
      <c r="B531" s="21"/>
      <c r="C531" s="21"/>
      <c r="D531" s="15"/>
      <c r="E531" s="15"/>
      <c r="F531" s="15"/>
      <c r="G531" s="387"/>
      <c r="H531" s="15"/>
      <c r="I531" s="11"/>
      <c r="J531" s="11"/>
      <c r="K531" s="11"/>
      <c r="L531" s="11"/>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5.75" customHeight="1">
      <c r="A532" s="15"/>
      <c r="B532" s="21"/>
      <c r="C532" s="21"/>
      <c r="D532" s="15"/>
      <c r="E532" s="15"/>
      <c r="F532" s="15"/>
      <c r="G532" s="387"/>
      <c r="H532" s="15"/>
      <c r="I532" s="11"/>
      <c r="J532" s="11"/>
      <c r="K532" s="11"/>
      <c r="L532" s="11"/>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5.75" customHeight="1">
      <c r="A533" s="15"/>
      <c r="B533" s="21"/>
      <c r="C533" s="21"/>
      <c r="D533" s="15"/>
      <c r="E533" s="15"/>
      <c r="F533" s="15"/>
      <c r="G533" s="387"/>
      <c r="H533" s="15"/>
      <c r="I533" s="11"/>
      <c r="J533" s="11"/>
      <c r="K533" s="11"/>
      <c r="L533" s="11"/>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5.75" customHeight="1">
      <c r="A534" s="15"/>
      <c r="B534" s="21"/>
      <c r="C534" s="21"/>
      <c r="D534" s="15"/>
      <c r="E534" s="15"/>
      <c r="F534" s="15"/>
      <c r="G534" s="387"/>
      <c r="H534" s="15"/>
      <c r="I534" s="11"/>
      <c r="J534" s="11"/>
      <c r="K534" s="11"/>
      <c r="L534" s="11"/>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5.75" customHeight="1">
      <c r="A535" s="15"/>
      <c r="B535" s="21"/>
      <c r="C535" s="21"/>
      <c r="D535" s="15"/>
      <c r="E535" s="15"/>
      <c r="F535" s="15"/>
      <c r="G535" s="387"/>
      <c r="H535" s="15"/>
      <c r="I535" s="11"/>
      <c r="J535" s="11"/>
      <c r="K535" s="11"/>
      <c r="L535" s="11"/>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5.75" customHeight="1">
      <c r="A536" s="15"/>
      <c r="B536" s="21"/>
      <c r="C536" s="21"/>
      <c r="D536" s="15"/>
      <c r="E536" s="15"/>
      <c r="F536" s="15"/>
      <c r="G536" s="387"/>
      <c r="H536" s="15"/>
      <c r="I536" s="11"/>
      <c r="J536" s="11"/>
      <c r="K536" s="11"/>
      <c r="L536" s="11"/>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5.75" customHeight="1">
      <c r="A537" s="15"/>
      <c r="B537" s="21"/>
      <c r="C537" s="21"/>
      <c r="D537" s="15"/>
      <c r="E537" s="15"/>
      <c r="F537" s="15"/>
      <c r="G537" s="387"/>
      <c r="H537" s="15"/>
      <c r="I537" s="11"/>
      <c r="J537" s="11"/>
      <c r="K537" s="11"/>
      <c r="L537" s="11"/>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5.75" customHeight="1">
      <c r="A538" s="15"/>
      <c r="B538" s="21"/>
      <c r="C538" s="21"/>
      <c r="D538" s="15"/>
      <c r="E538" s="15"/>
      <c r="F538" s="15"/>
      <c r="G538" s="387"/>
      <c r="H538" s="15"/>
      <c r="I538" s="11"/>
      <c r="J538" s="11"/>
      <c r="K538" s="11"/>
      <c r="L538" s="11"/>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5.75" customHeight="1">
      <c r="A539" s="15"/>
      <c r="B539" s="21"/>
      <c r="C539" s="21"/>
      <c r="D539" s="15"/>
      <c r="E539" s="15"/>
      <c r="F539" s="15"/>
      <c r="G539" s="387"/>
      <c r="H539" s="15"/>
      <c r="I539" s="11"/>
      <c r="J539" s="11"/>
      <c r="K539" s="11"/>
      <c r="L539" s="11"/>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5.75" customHeight="1">
      <c r="A540" s="15"/>
      <c r="B540" s="21"/>
      <c r="C540" s="21"/>
      <c r="D540" s="15"/>
      <c r="E540" s="15"/>
      <c r="F540" s="15"/>
      <c r="G540" s="387"/>
      <c r="H540" s="15"/>
      <c r="I540" s="11"/>
      <c r="J540" s="11"/>
      <c r="K540" s="11"/>
      <c r="L540" s="11"/>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5.75" customHeight="1">
      <c r="A541" s="15"/>
      <c r="B541" s="21"/>
      <c r="C541" s="21"/>
      <c r="D541" s="15"/>
      <c r="E541" s="15"/>
      <c r="F541" s="15"/>
      <c r="G541" s="387"/>
      <c r="H541" s="15"/>
      <c r="I541" s="11"/>
      <c r="J541" s="11"/>
      <c r="K541" s="11"/>
      <c r="L541" s="11"/>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5.75" customHeight="1">
      <c r="A542" s="15"/>
      <c r="B542" s="21"/>
      <c r="C542" s="21"/>
      <c r="D542" s="15"/>
      <c r="E542" s="15"/>
      <c r="F542" s="15"/>
      <c r="G542" s="387"/>
      <c r="H542" s="15"/>
      <c r="I542" s="11"/>
      <c r="J542" s="11"/>
      <c r="K542" s="11"/>
      <c r="L542" s="11"/>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5.75" customHeight="1">
      <c r="A543" s="15"/>
      <c r="B543" s="21"/>
      <c r="C543" s="21"/>
      <c r="D543" s="15"/>
      <c r="E543" s="15"/>
      <c r="F543" s="15"/>
      <c r="G543" s="387"/>
      <c r="H543" s="15"/>
      <c r="I543" s="11"/>
      <c r="J543" s="11"/>
      <c r="K543" s="11"/>
      <c r="L543" s="11"/>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5.75" customHeight="1">
      <c r="A544" s="15"/>
      <c r="B544" s="21"/>
      <c r="C544" s="21"/>
      <c r="D544" s="15"/>
      <c r="E544" s="15"/>
      <c r="F544" s="15"/>
      <c r="G544" s="387"/>
      <c r="H544" s="15"/>
      <c r="I544" s="11"/>
      <c r="J544" s="11"/>
      <c r="K544" s="11"/>
      <c r="L544" s="11"/>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sheetData>
  <mergeCells count="22">
    <mergeCell ref="C3:I3"/>
    <mergeCell ref="B6:B27"/>
    <mergeCell ref="C6:C27"/>
    <mergeCell ref="D6:D27"/>
    <mergeCell ref="B28:B55"/>
    <mergeCell ref="C28:C55"/>
    <mergeCell ref="D28:D55"/>
    <mergeCell ref="C88:C114"/>
    <mergeCell ref="D88:D114"/>
    <mergeCell ref="B116:B137"/>
    <mergeCell ref="C116:C137"/>
    <mergeCell ref="D116:D137"/>
    <mergeCell ref="B139:B162"/>
    <mergeCell ref="C139:C162"/>
    <mergeCell ref="D139:D162"/>
    <mergeCell ref="B56:B71"/>
    <mergeCell ref="C56:C71"/>
    <mergeCell ref="D56:D71"/>
    <mergeCell ref="B72:B86"/>
    <mergeCell ref="C72:C86"/>
    <mergeCell ref="D72:D86"/>
    <mergeCell ref="B88:B114"/>
  </mergeCells>
  <dataValidations>
    <dataValidation type="list" allowBlank="1" sqref="H42:K43">
      <formula1>"CleanUp,GetDailyCash,UpdateDailyCash,CreateDoneAwayOrder,PricingInput,EnterAllocatePreference,CheckAllocatedGroups,GetDataClosing,VerifyLongPositionsGrid,CheckDashboardPM,GetActivityData,VerifyActivity,Unallocate,Sele,Copy of Data,SelectUnallocatedGroup"</formula1>
    </dataValidation>
    <dataValidation type="list" allowBlank="1" sqref="H46:K46">
      <formula1>"CleanUp,GetDailyCash,UpdateDailyCash,CreateDoneAwayOrder,PricingInput,EnterAllocatePreference,CheckAllocatedGroups,GetDataClosing,VerifyLongPositionsGrid,CheckDashboardPM,GetActivityData,VerifyActivity,Unallocate,Sele,Copy of Data,SelectUnallocatedGroup,A"&amp;"llocate,CheckAllocatedGroups1"</formula1>
    </dataValidation>
    <dataValidation type="list" allowBlank="1" sqref="H142:K142">
      <formula1>"CleanUp,CreateDoneAwayOrder,CheckAllocatedGroups"</formula1>
    </dataValidation>
    <dataValidation type="list" allowBlank="1" sqref="H24:K24">
      <formula1>"GetDailyCash,UpdateDailyCash,CreateDoneAwayOrder,PricingInput,SelectUnallocatedGroup,EnterAllocatePreference,GetDataAllocation,CheckAllocatedGroups,GetDataClosing,VerifyLongPositionsGrid,CheckPortfolioManagement,GetActivityData,VerifyActivity,CleanUp,Unal"&amp;"locate,Allocate"</formula1>
    </dataValidation>
    <dataValidation type="list" allowBlank="1" sqref="F9 F31 F59 F75 H75 F90 F140">
      <formula1>"OpenTTFromPST,EnterDetailsOnTT,ValidateSymbolTT,VerifyDataTT,SetUIPreferencesTT,SetBrokerWisePreferencesTT,TradeNewSub,CreateStageOrder,CreateReplaceOrder,SetGeneralPreference,CreateDoneAwayOrder,CreateNewSubOrder,TradeBloomberg,ClickSymbolLookup,VerifyTT"&amp;",,,,,,,,,,,,,,,,,,,,,,,,,,,,,,,,,,,,,,,,,,,,,,,,,,,,,,,,,,,,,,,,,,,,,,,,,,,,,,,,,,,,,,,,,,,,,,,,,,,,,,,,,,,,,,,,,,,,,,,,,,,,,,,,,,,,,,,,,,,,,,,,,,,,,,,,,,,,,,,,,,,,,,,,,,,,,,,,,,,,,,,,,,,,,,,,,,,,,,,,,,,,,,,,,,,,,,,,,,,,,,,,,,,,,,,,,,,,,,,,,,,,,,,,,,,,,,,"&amp;",,,,,,,,,,,,,,,,,,,,,,,,,,,,,,,,,,,,,,,,,,,,,,,,,,,,,,,,,,,,,,,,,,,,,,,,,,,,,,,,,,,,,,,,,,,,,,,,,,,,,,,,,,,,,,,,,,,,,,,,,,,,,,,,,,,,,,,,,,,,,,,,,,,,,,,,,,,,,,,,,,,,,,,,,,,,,,,,,,,,,,,,,,,,,,,,,,,,,,,,,,,,,,,,,,,,,,,,,,,,,,,,,,,"</formula1>
    </dataValidation>
    <dataValidation type="list" allowBlank="1" sqref="H25:K27">
      <formula1>"GetDailyCash,UpdateDailyCash,CreateDoneAwayOrder,PricingInput,SelectUnallocatedGroup,EnterAllocatePreference,GetDataAllocation,CheckAllocatedGroups,GetDataClosing,VerifyLongPositionsGrid,CheckPortfolioManagement,GetActivityData,VerifyActivity,CleanUp,Unal"&amp;"locate,Allocate,Copy of Data,VerifyShortPositionsGrid"</formula1>
    </dataValidation>
    <dataValidation type="list" allowBlank="1" sqref="H140:K140">
      <formula1>"CleanUp,CreateDoneAwayOrder"</formula1>
    </dataValidation>
    <dataValidation type="list" allowBlank="1" sqref="H17:K17">
      <formula1>"GetDailyCash,UpdateDailyCash,CreateDoneAwayOrder,PricingInput,SelectUnallocatedGroup,EnterAllocatePreference,GetDataAllocation,CheckAllocatedGroups,GetDataClosing,VerifyLongPositionsGrid"</formula1>
    </dataValidation>
    <dataValidation type="list" allowBlank="1" sqref="H37:K37">
      <formula1>"CleanUp,GetDailyCash,UpdateDailyCash,CreateDoneAwayOrder,PricingInput,EnterAllocatePreference,Copy of Data_conflict794768394,Allocate,CheckAllocatedGroups,GetDataClosing"</formula1>
    </dataValidation>
    <dataValidation type="list" allowBlank="1" sqref="F138">
      <formula1>"DeleteClientData,,,,,,,,,,,,,,,,,,,,,,,,,,,,,,,,,,,,,,,,,,,,,,,,,,,,,,,,,,,,,,,,,,,,,,,,,,,,,,,,,,,,,,,,,,,,,,,,,,,,,,,,,,,,,,,,,,,,,,,,,,,,,,,,,,,,,,,,,,,,,,,,,,,,,,,,,,,,,,,,,,,,,,,,,,,,,,,,,,,,,,,,,,,,,,,,,,,,,,,,,,,,,,,,,,,,,,,,,,,,,,,,,,,,,,,,,,,,,,,"&amp;",,,,,,,,,,,,,,,,,,,,,,,,,,,,,,,,,,,,,,,,,,,,,,,,,,,,,,,,,,,,,,,,,,,,,,,,,,,,,,,,,,,,,,,,,,,,,,,,,,,,,,,,,,,,,,,,,,,,,,,,,,,,,,,,,,,,,,,,,,,,,,,,,,,,,,,,,,,,,,,,,,,,,,,,,,,,,,,,,,,,,,,,,,,,,,,,,,,,,,,,,,,,,,,,,,,,,,,,,,,,,,,,,,,,,,,,,,,,,,,,,,,,,,,,,,,,,,,"&amp;",,"</formula1>
    </dataValidation>
    <dataValidation type="list" allowBlank="1" sqref="H45:K45">
      <formula1>"CleanUp,GetDailyCash,UpdateDailyCash,CreateDoneAwayOrder,PricingInput,EnterAllocatePreference,CheckAllocatedGroups,GetDataClosing,VerifyLongPositionsGrid,CheckDashboardPM,GetActivityData,VerifyActivity,Unallocate,Sele,Copy of Data,SelectUnallocatedGroup,A"&amp;"llocate"</formula1>
    </dataValidation>
    <dataValidation type="list" allowBlank="1" sqref="F139">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CloseCalculatedPreferences,ExportCalculatedPreference,ImportCalculatedPreferences,OpenAuditTrailUnallocatedGroup,DeleteCalculatedPreferencesTool,ImportCalculatedPreferencesTool,ExportAllCalculatedPreferTool,"&amp;"OpenAuditTrailAllocatedGroup,OpenSymbolLookupUnallocateGroup,OpenSymbolLookupAllocatedGroup,DeleteFixedPreference,EditAllocatedGroupSidePanel,CheckUnallocatedGroups,SetGeneralPreferences,GroupTrades,UngroupTrades,DeleteGroup,CloseOrder,Unallocate,CloseAll"&amp;"ocation,UpdateGRAccountValue,UpdateGRStrategyValue,UpdateGRDefaultRule,UpdateGeneralRulePref,ModifyGRPreferenceValues,AddMFPreferences,AddMFPreferenceToolbar,DeleteMFPreferences,DeleteMFPreferenceToolbar,RenameMFPreferences,SaveCloseMFPreference,SetMFPref"&amp;"AccountValues,ModifyMFPrefGeneralRuleValues,SetMFPrefStrategyValues,SetMFPrefGeneralRule,SetMFPrefFundDistribution,SetMFPreferencesDefaultRule,SetMFPrefFundDefaultRule,ClearPrefetchFilters,ExpandCollapseAllUnallocated,ExpandCollapseAllAllocated,GenerateCa"&amp;"shTransaction,SaveAllocation,UnallocateWithOutSave,EditUnallocatedGrid,EditAllocatedGrid,SaveLayoutAllocatedGrid,SaveLayoutUnallocatedGrid,SaveLayoutAllocationUI,ClearFiltersAllocatedGrid,ClearFiltersUnallocatedGrid,VerifyLayoutAllocatedGrid,VerifyLayoutU"&amp;"nallocatedGrid,,,,,,,,,,,,,,,,,,,,,,,,,,,,,,,,,,,,,,,,,,,,,,,,,,,,,,,,,,,,,,,,,,,,,,,,,,,,,,,,,,,,,,,,,,,,,,,,,,,,,,,,,,,,,,,,,,,,,,,,,,,,,,,,,,,,,,,,,,,,,,,,,,,,,,,,,,,,,,,,,,,,,,,,,,,,,,,,,,,,,,,,,,,,,,,,,,,,,,,,,,,,,,,,,,,,,,,,,,,,,,,,,,,,,,,,,,,,,,,,,"&amp;",,,,,,,,,,,,,,,,,,,,,,,,,,,,,,,,,,,,,,,,,,,,,,,,,,,,,,,,,,,,,,,,,,,,,,,,,,,,,,,,,,,,,,,,,,,,,,,,,,,,,,,,,,,,,,,,,,,,,,,,,,,,,,,,,,,,,,,,,,,,,,,,,,,,,,,,,,,,,,"</formula1>
    </dataValidation>
    <dataValidation type="list" allowBlank="1" sqref="H18:K18">
      <formula1>"GetDailyCash,UpdateDailyCash,CreateDoneAwayOrder,PricingInput,SelectUnallocatedGroup,EnterAllocatePreference,GetDataAllocation,CheckAllocatedGroups,GetDataClosing,VerifyLongPositionsGrid,CheckPortfolioManagement"</formula1>
    </dataValidation>
    <dataValidation type="list" allowBlank="1" sqref="H69:K69">
      <formula1>"CleanUp,GetDailyCash,UpdateDailyCash,CreateDoneAwayOrder,PricingInput,SelectUnallocatedGroup,EnterAllocatePreference,Allocate,GetDataAllocation,CheckAllocatedGroups,GetDataClosing,VerifyLongPositionsGrid,GetActivityData"</formula1>
    </dataValidation>
    <dataValidation type="list" allowBlank="1" sqref="F18 F26 F39 F47 F54 F71 F86 H86 F143:F144 F151 F156 F162">
      <formula1>"CheckDashboardPM,CheckPortfolioManagement,OpenPSTFromPM,ClosePM,FilterPM,GroupRowPM,CheckDashboardWithPM,RemoveFilterPM,CheckSummaryRowsPM,OpenPTTFromPM,OpenCreateTransactionFromPM,OpenClosingFromPM,OpenCorporateActionFromPM,OpenDailyValuationFromPM,Close"&amp;"PositionFromPM,ShowSummaryToolFromPM,HideSummaryToolFromPM,CloseAccountPositionFromPM,CloseSelectedTaxlotsFromPM,ExpandCollapsePM,AddCustomViewPM,AddCustomViewRightClickPM,RenameCustomViewPM,DeleteCustomViewPM,,,,,,,,,,,,,,,,,,,,,,,,,,,,,,,,,,,,,,,,,,,,,,"&amp;",,,,,,,,,,,,,,,,,,,,,,,,,,,,,,,,,,,,,,,,,,,,,,,,,,,,,,,,,,,,,,,,,,,,,,,,,,,,,,,,,,,,,,,,,,,,,,,,,,,,,,,,,,,,,,,,,,,,,,,,,,,,,,,,,,,,,,,,,,,,,,,,,,,,,,,,,,,,,,,,,,,,,,,,,,,,,,,,,,,,,,,,,,,,,,,,,,,,,,,,,,,,,,,,,,,,,,,,,,,,,,,,,,,,,,,,,,,,,,,,,,,,,,,,,,,,,,,"&amp;",,,,,,,,,,,,,,,,,,,,,,,,,,,,,,,,,,,,,,,,,,,,,,,,,,,,,,,,,,,,,,,,,,,,,,,,,,,,,,,,,,,,,,,,,,,,,,,,,,,,,,,,,,,,,,,,,,,,,,,,,,,,,,,,,,,,,,,,,,,,,,,,,,,,,,,,,,,,,,,,,,,,,,,,,,,,"</formula1>
    </dataValidation>
    <dataValidation type="list" allowBlank="1" sqref="F142 F148 F152:F155 F161 F163">
      <formula1>"Allocate,CheckAllocatedGroups,Unallocate,GetDataAllocation,SelectAllocatedGroup,EditTradesAllocated,EditTradesUnallocated,Reallocate,EditUnallocatedGroupSidePanel,TradeAttributeBulkChange,ApplyBulkUpdateOnGroups,ApplyPrefetchFilters,GeneralPreferencesDefa"&amp;"ultRule,GeneralPrefCompanyUserWise,RenameTradeAttributes,SetGroupingRules,SetMasterFundRatio,CheckFixedPreference,GetFixedPreference,AddCalculatedPreferences,BulkChangeCalculatedPreferences,DeleteCalculatedPreferences,RenameCalculatedPreferences,CopyCalcu"&amp;"latedPreferences,RunAutoGroup,BookOrUpdateSwap,RunProrata,SetDefaultRuleCalculatedPref,SetAccountValueCalculatedPref,TradeAttributeBulkChangeGroups,TradeAttributeBulkChangeTaxlots,AddCalculatedPreferenceToolbar,SetStrategyValueCalculatedPref,ApplyBulkUpda"&amp;"teOnTaxlots,CommissionBulkChangeOnGroups,CommissionBulkChangeOnTaxlots,SelectUnallocatedGroup,EnterAccountValuesToAllocate,EnterAllocatePreference,EnterStrategyValuesToAllocate,CopyCalculatedPreferenceToolbar,SetGeneralRuleCalculatedPref,ExportAllCalculat"&amp;"edPreferences,SaveCalculatedPreferences,CloseCalculatedPreferences,ExportCalculatedPreference,ImportCalculatedPreferences,OpenAuditTrailUnallocatedGroup,DeleteCalculatedPreferencesTool,ImportCalculatedPreferencesTool,ExportAllCalculatedPreferTool,OpenAudi"&amp;"tTrailAllocatedGroup,OpenSymbolLookupUnallocateGroup,OpenSymbolLookupAllocatedGroup,DeleteFixedPreference,EditAllocatedGroupSidePanel,CheckUnallocatedGroups,SetGeneralPreferences,GroupTrades,UngroupTrades,DeleteGroup,CloseOrder,Unallocate,CloseAllocation,"&amp;"UpdateGRAccountValue,UpdateGRStrategyValue,UpdateGRDefaultRule,UpdateGeneralRulePref,ModifyGRPreferenceValues,AddMFPreferences,AddMFPreferenceToolbar,DeleteMFPreferences,DeleteMFPreferenceToolbar,RenameMFPreferences,SaveCloseMFPreference,SetMFPrefAccountV"&amp;"alues,ModifyMFPrefGeneralRuleValues,SetMFPrefStrategyValues,SetMFPrefGeneralRule,SetMFPrefFundDistribution,SetMFPreferencesDefaultRule,SetMFPrefFundDefaultRule,ClearPrefetchFilters,ExpandCollapseAllUnallocated,ExpandCollapseAllAllocated,GenerateCashTransa"&amp;"ction,SaveAllocation,UnallocateWithOutSave,EditUnallocatedGrid,EditAllocatedGrid,SaveLayoutAllocatedGrid,SaveLayoutUnallocatedGrid,SaveLayoutAllocationUI,ClearFiltersAllocatedGrid,ClearFiltersUnallocatedGrid,VerifyLayoutAllocatedGrid,VerifyLayoutUnallocat"&amp;"edGrid,CleanUp,,,,,,,,,,,,,,,,,,,,,,,,,,,,,,,,,,,,,,,,,,,,,,,,,,,,,,,,,,,,,,,,,,,,,,,,,,,,,,,,,,,,,,,,,,,,,,,,,,,,,,,,,,,,,,,,,,,,,,,,,,,,,,,,,,,,,,,,,,,,,,,,,,,,,,,,,,,,,,,,,,,,,,,,,,,,,,,,,,,,,,,,,,,,,,,,,,,,,,,,,,,,,,,,,,,,,,,,,,,,,,,,,,,,,,,,,,,,,,,,,"&amp;",,,,,,,,,,,,,,,,,,,,,,,,,,,,,,,,,,,,,,,,,,,,,,,,,,,,,,,,,,,,,,,,,,,,,,,,,,,,,,,,,,,,,,,,,,,,,,,,,,,,,,,,,,,,,,,,,,,,,,,,,,,,,,,,,,,,,,,,,,,,,,,,,,,,,,,,,,,,,,"</formula1>
    </dataValidation>
    <dataValidation type="list" allowBlank="1" sqref="H30:K30 H58:K58 H89:K89">
      <formula1>"CleanUp,GetDailyCash,UpdateDailyCash"</formula1>
    </dataValidation>
    <dataValidation type="list" allowBlank="1" sqref="H144:K144">
      <formula1>"CleanUp,CreateDoneAwayOrder,CheckAllocatedGroups,GetDailyCash,UpdateDailyCash,PricingInput,GetDataClosing,CheckPortfolioManagement"</formula1>
    </dataValidation>
    <dataValidation type="list" allowBlank="1" sqref="H77:K77">
      <formula1>"CleanUp,GetDailyCash,UpdateDailyCash,CreateDoneAwayOrder,PricingInput,Copy of Data,Copy of Data 1,SelectUnallocatedGroup"</formula1>
    </dataValidation>
    <dataValidation type="list" allowBlank="1" sqref="H38:K38">
      <formula1>"CleanUp,GetDailyCash,UpdateDailyCash,CreateDoneAwayOrder,PricingInput,EnterAllocatePreference,Copy of Data_conflict794768394,Allocate,CheckAllocatedGroups,GetDataClosing,VerifyLongPositionsGrid"</formula1>
    </dataValidation>
    <dataValidation type="list" allowBlank="1" sqref="H148:K148">
      <formula1>"CleanUp,CreateDoneAwayOrder,SetGeneralPreferences,CheckAllocatedGroups,CheckPortfolioManagement,GetDataClosing,ManualClosing,VerifyClosedTrades,GetDailyCash,UpdateDailyCash,PricingInput"</formula1>
    </dataValidation>
    <dataValidation type="list" allowBlank="1" sqref="H64:K64">
      <formula1>"CleanUp,GetDailyCash,UpdateDailyCash,CreateDoneAwayOrder,PricingInput,SelectUnallocatedGroup,EnterAllocatePreference,Allocate,GetDataAllocation"</formula1>
    </dataValidation>
    <dataValidation type="list" allowBlank="1" sqref="H7:K7">
      <formula1>"GetDailyCash"</formula1>
    </dataValidation>
    <dataValidation type="list" allowBlank="1" sqref="H68:K68">
      <formula1>"CleanUp,GetDailyCash,UpdateDailyCash,CreateDoneAwayOrder,PricingInput,SelectUnallocatedGroup,EnterAllocatePreference,GetDataAllocation,CheckAllocatedGroups,GetDataClosing,VerifyLongPositionsGrid,GetActivityData,VerifyActivity,CheckPortfolioManagement,Veri"&amp;"fyShortPositionsGrid"</formula1>
    </dataValidation>
    <dataValidation type="list" allowBlank="1" sqref="H141">
      <formula1>"CleanUp,CreateDoneAwayOrder,CheckAllocatedGroups,SelectAllocatedGroup,GetDailyCash,UpdateDailyCash,PricingInput"</formula1>
    </dataValidation>
    <dataValidation type="list" allowBlank="1" sqref="H139:K139">
      <formula1>"CreateDoneAwayOrder,CleanUp"</formula1>
    </dataValidation>
    <dataValidation type="list" allowBlank="1" sqref="H10:K10">
      <formula1>"GetDailyCash,UpdateDailyCash,CreateDoneAwayOrder,PricingInput"</formula1>
    </dataValidation>
    <dataValidation type="list" allowBlank="1" sqref="H145:K145">
      <formula1>"CleanUp,CreateDoneAwayOrder,CheckAllocatedGroups,GetDailyCash,UpdateDailyCash,PricingInput,GetDataClosing"</formula1>
    </dataValidation>
    <dataValidation type="list" allowBlank="1" sqref="I141:K141">
      <formula1>"CleanUp,CreateDoneAwayOrder,SetGeneralPreferences,CheckAllocatedGroups,CheckPortfolioManagement,GetDataClosing,ManualClosing,VerifyClosedTrades,CheckAllocatedGroups1,GetDailyCash,UpdateDailyCash,PricingInput"</formula1>
    </dataValidation>
    <dataValidation type="list" allowBlank="1" sqref="H65:K65">
      <formula1>"CleanUp,GetDailyCash,UpdateDailyCash,CreateDoneAwayOrder,PricingInput,SelectUnallocatedGroup,EnterAllocatePreference,Allocate,GetDataAllocation,CheckAllocatedGroups"</formula1>
    </dataValidation>
    <dataValidation type="list" allowBlank="1" sqref="H152:K152">
      <formula1>"CleanUp,CreateDoneAwayOrder,SetGeneralPreferences,PricingInput,CheckAllocatedGroups,CheckPortfolioManagement,GetDataClosing,ManualClosing,VerifyClosedTrades,CheckAllocatedGroups1,GetDailyCash,UpdateDailyCash,CheckPortfolioManagement1,CheckUnallocatedGroup"&amp;"s,SelectUnallocatedGroup"</formula1>
    </dataValidation>
    <dataValidation type="list" allowBlank="1" sqref="H156:K156">
      <formula1>"CleanUp,CreateDoneAwayOrder,SetGeneralPreferences,PricingInput,CheckAllocatedGroups,CheckPortfolioManagement,GetDataClosing,ManualClosing,VerifyClosedTrades,CheckAllocatedGroups1,GetDailyCash,UpdateDailyCash,SelectUnallocatedGroup,EnterAllocatePreference,"&amp;"Allocate,CheckAllocatedGroups2"</formula1>
    </dataValidation>
    <dataValidation type="list" allowBlank="1" sqref="H11:K11">
      <formula1>"GetDailyCash,UpdateDailyCash,CreateDoneAwayOrder,PricingInput,SelectUnallocatedGroup"</formula1>
    </dataValidation>
    <dataValidation type="list" allowBlank="1" sqref="H28:K28 H56:K56 H87:K87">
      <formula1>"CleanUp"</formula1>
    </dataValidation>
    <dataValidation type="list" allowBlank="1" sqref="H41:K41">
      <formula1>"CleanUp,GetDailyCash,UpdateDailyCash,CreateDoneAwayOrder,PricingInput,EnterAllocatePreference,Copy of Data_conflict794768394,Allocate,CheckAllocatedGroups,GetDataClosing,VerifyLongPositionsGrid,CheckDashboardPM,VerifyActivity,GetActivityData"</formula1>
    </dataValidation>
    <dataValidation type="list" allowBlank="1" sqref="H47:K50 H52:K55">
      <formula1>"CleanUp,GetDailyCash,UpdateDailyCash,CreateDoneAwayOrder,PricingInput,EnterAllocatePreference,CheckAllocatedGroups,GetDataClosing,VerifyLongPositionsGrid,CheckDashboardPM,GetActivityData,VerifyActivity,Unallocate,Sele,Copy of Data,SelectUnallocatedGroup,A"&amp;"llocate,CheckAllocatedGroups1,CheckPortfolioManagement"</formula1>
    </dataValidation>
    <dataValidation type="list" allowBlank="1" sqref="F19:F20 F27 F40:F41 F48 F55 F69:F70 F84:F85 H84:H85">
      <formula1>"GetDataCash,EnterCashDividends,EnterNonTradingTransaction,VerifyCash,VerifyActivity,VerifyTradingTransaction,VerifyRevaluationData,GetTradingTransaction,GetActivityData,GetRevaluationData,GetAccountDetails,GetNonTradingTransaction,GetDividendData,VerifyNo"&amp;"nTradingTransaction,VerifyDividend,GetOpeningBalanceData,GetAccountBalance,SelectNonTradingTransaction,SelectNonTradingTranItem,DeleteNonTradingTransaction,DeleteNonTradingTranItem,AddNonTradingTransaction,AddNonTradingTranItem,VerifyOpeningBalanceData,Se"&amp;"lectOpeningBalanceTransaction,SelectOpeningBalanceTranItem,EditNonTradingTransaction,EditNonTradingTranItem,DeleteOpeningBalanceTransaction,DeleteOpeningBalanceTranItem,GetDayEndCash,VerifyDayEndCash,RunRevaluation,CalculateDayEndCash,GetCashTransaction,S"&amp;"electCashTransaction,DeleteCashTransaction,EditCashTransaction,AddCashTransaction,AddOpeningBalanceTransaction,AddOpeningBalanceTranItem,GetDailyCalculationsData,CalculateDailyCalculations,EditOpeningBalanceTransaction,EditOpeningBalanceTranItem,VerifyDai"&amp;"lyCalTransactions,CloseGeneralLedger,VerifyAccountDetails,SaveTransaction,,,,,,,,,,,,,,,,,,,,,,,,,,,,,,,,,,,,,,,,,,,,,,,,,,,,,,,,,,,,,,,,,,,,,,,,,,,,,,,,,,,,,,,,,,,,,,,,,,,,,,,,,,,,,,,,,,,,,,,,,,,,,,,,,,,,,,,,,,,,,,,,,,,,,,,,,,,,,,,,,,,,,,,,,,,,,,,,,,,,,,"&amp;",,,,,,,,,,,,,,,,,,,,,,,,,,,,,,,,,,,,,,,,,,,,,,,,,,,,,,,,,,,,,,,,,,,,,,,,,,,,,,,,,,,,,,,,,,,,,,,,,,,,,,,,,,,,,,,,,,,,,,,,,,,,,,,,,,,,,,,,,,,,,,,,,,,,,,,,,,,,,,,,,,,,,,,,,,,,,,,,,,,,,,,,,,,,,,,,,,,,,,,,,,,,,,,,,,,,,,,,,,,,,,,,,,,,,,,,,,,,,,,,,,,,,,,,,,,,,,,"&amp;",,,,,,,,,,,"</formula1>
    </dataValidation>
    <dataValidation type="list" allowBlank="1" sqref="H71:K71">
      <formula1>"CleanUp,GetDailyCash,UpdateDailyCash,CreateDoneAwayOrder,PricingInput,SelectUnallocatedGroup,EnterAllocatePreference,Allocate,GetDataAllocation,CheckAllocatedGroups,GetDataClosing,VerifyLongPositionsGrid,GetActivityData,VerifyActivity,CheckPortfolioManage"&amp;"ment"</formula1>
    </dataValidation>
    <dataValidation type="list" allowBlank="1" sqref="H15:K15">
      <formula1>"GetDailyCash,UpdateDailyCash,CreateDoneAwayOrder,PricingInput,SelectUnallocatedGroup,EnterAllocatePreference,GetDataAllocation,CheckAllocatedGroups"</formula1>
    </dataValidation>
    <dataValidation type="list" allowBlank="1" sqref="H70:K70">
      <formula1>"CleanUp,GetDailyCash,UpdateDailyCash,CreateDoneAwayOrder,PricingInput,SelectUnallocatedGroup,EnterAllocatePreference,Allocate,GetDataAllocation,CheckAllocatedGroups,GetDataClosing,VerifyLongPositionsGrid,GetActivityData,VerifyActivity"</formula1>
    </dataValidation>
    <dataValidation type="list" allowBlank="1" sqref="H29:K29 H57:K57 H88:K88">
      <formula1>"CleanUp,GetDailyCash"</formula1>
    </dataValidation>
    <dataValidation type="list" allowBlank="1" sqref="F149:F150">
      <formula1>"UpdateBeta,UpdateDailyCash,UpdateForexConversion,UpdateMarkPrice,CleanUp,GetMarkPriceData,GetForwardPoints,UpdateForwardPoints,GetForexConversion,DeleteNAV,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amp;",,,,,,,,,,,,,,,,,,,,,,,,,,,,,,,,,,,,,,,,,,,,,,,,,,,,,,,,,,,,,,,,,,,,,,,,,,,,,,,,,,,,,,,,,,,,,,,,,,,,,,,,,,,,,,,,,,,,,,,,,,,,,,,,,,,,,,,,,,,,,,,,,,,,,,,,,,,,,,,,,,,,,,,,,,,,,,,,,,,,,,,,,,,,,,,,,,,,,,,,,,,,,,,,,,,,,,,,,,,,,,,,,,,,,,,,,,,,,,,,,,,"</formula1>
    </dataValidation>
    <dataValidation type="list" allowBlank="1" sqref="H159:K159">
      <formula1>"CleanUp,CreateDoneAwayOrder,SetGeneralPreferences,PricingInput,CheckAllocatedGroups,CheckPortfolioManagement,GetDataClosing,ManualClosing,VerifyClosedTrades,CheckAllocatedGroups1,GetDailyCash,UpdateDailyCash,SelectUnallocatedGroup,EnterAllocatePreference,"&amp;"CheckAllocatedGroups2,CheckPortfolioManagement2,AddFillsSubOrder,EditAddFillsDetails"</formula1>
    </dataValidation>
    <dataValidation type="list" allowBlank="1" sqref="F10 F32 F60 F76 H76 F91 F141">
      <formula1>"PricingInput,UpdateSharesOutstanding,EODTPreferences,LiveData,,,,,,,,,,,,,,,,,,,,,,,,,,,,,,,,,,,,,,,,,,,,,,,,,,,,,,,,,,,,,,,,,,,,,,,,,,,,,,,,,,,,,,,,,,,,,,,,,,,,,,,,,,,,,,,,,,,,,,,,,,,,,,,,,,,,,,,,,,,,,,,,,,,,,,,,,,,,,,,,,,,,,,,,,,,,,,,,,,,,,,,,,,,,,,,,,,"&amp;",,,,,,,,,,,,,,,,,,,,,,,,,,,,,,,,,,,,,,,,,,,,,,,,,,,,,,,,,,,,,,,,,,,,,,,,,,,,,,,,,,,,,,,,,,,,,,,,,,,,,,,,,,,,,,,,,,,,,,,,,,,,,,,,,,,,,,,,,,,,,,,,,,,,,,,,,,,,,,,,,,,,,,,,,,,,,,,,,,,,,,,,,,,,,,,,,,,,,,,,,,,,,,,,,,,,,,,,,,,,,,,,,,,,,,,,,,,,,,,,,,,,,,,,,,,,,,,"&amp;",,,,,,,,,,,,,,,,,,,,,,,,,,,,,,,,,,,,,,,,,,,,"</formula1>
    </dataValidation>
    <dataValidation type="list" allowBlank="1" sqref="H62:K62 H93:K93">
      <formula1>"CleanUp,GetDailyCash,UpdateDailyCash,CreateDoneAwayOrder,PricingInput,SelectUnallocatedGroup,EnterAllocatePreference"</formula1>
    </dataValidation>
    <dataValidation type="list" allowBlank="1" sqref="F16:F17 F25 F37:F38 F46 F53 F66:F68 F82:F83 H82:H83 F96:F97 F145:F147">
      <formula1>"SwapExpire,GetDataClosing,ManualClosing,AutomaticClosing,UnwindClosing,VerifyClosedTrades,VerifyLongPositionsGrid,VerifyShortPositionsGrid,SelectTradeUnexpiredUnsettled,CashSettlementAtCost,CashSettlementAtZeroPrice,CashSettlementAtClosingDtSpotPx,Physica"&amp;"lSettlement,Expire,ExerciseAssignment,ExerciseAssignmentAtZero,SwapExpireAndRollover,SwapExpire,VerifyExpiredSettledGrid,VerifyUnExpiredUnSettledGrid,UnWindTradeSettlement,CloseOrder,VerifyCloseOrder,UnWindCloseOrder,ClosingCleanUp,CloseClosingUI,SetClosi"&amp;"ngPreference,,,,,,,,,,,,,,,,,,,,,,,,,,,,,,,,,,,,,,,,,,,,,,,,,,,,,,,,,,,,,,,,,,,,,,,,,,,,,,,,,,,,,,,,,,,,,,,,,,,,,,,,,,,,,,,,,,,,,,,,,,,,,,,,,,,,,,,,,,,,,,,,,,,,,,,,,,,,,,,,,,,,,,,,,,,,,,,,,,,,,,,,,,,,,,,,,,,,,,,,,,,,,,,,,,,,,,,,,,,,,,,,,,,,,,,,,,,,,,,,,,,"&amp;",,,,,,,,,,,,,,,,,,,,,,,,,,,,,,,,,,,,,,,,,,,,,,,,,,,,,,,,,,,,,,,,,,,,,,,,,,,,,,,,,,,,,,,,,,,,,,,,,,,,,,,,,,,,,,,,,,,,,,,,,,,,,,,,,,,,,,,,,,,,,,,,,,,,,,,,,,,,,,,,,,,,,,,,,,,,,,,,,,,,,,,,,,,,,,,,,,,,,,,,,,,,,,,,,,,,,,,,,,,,,,,,,,,"</formula1>
    </dataValidation>
    <dataValidation type="list" allowBlank="1" sqref="H9:K9">
      <formula1>"GetDailyCash,UpdateDailyCash,CreateDoneAwayOrder"</formula1>
    </dataValidation>
    <dataValidation type="list" allowBlank="1" sqref="H94:K94">
      <formula1>"CleanUp,GetDailyCash,UpdateDailyCash,CreateDoneAwayOrder,PricingInput,SelectUnallocatedGroup,EnterAllocatePreference,Allocate"</formula1>
    </dataValidation>
    <dataValidation type="list" allowBlank="1" sqref="E6:E97 E103:E107 E138:E163 E186:E544">
      <formula1>'_Modules'!$A$4:$A544</formula1>
    </dataValidation>
    <dataValidation type="list" allowBlank="1" sqref="H8:K8">
      <formula1>"GetDailyCash,UpdateDailyCash"</formula1>
    </dataValidation>
    <dataValidation type="list" allowBlank="1" sqref="H96:K96">
      <formula1>"CleanUp,GetDailyCash,UpdateDailyCash,CreateDoneAwayOrder,PricingInput,SelectUnallocatedGroup,EnterAllocatePreference,Allocate,CheckAllocatedGroups,GetDataClosing"</formula1>
    </dataValidation>
    <dataValidation type="list" allowBlank="1" sqref="F157:F160">
      <formula1>"ReplaceFillsOnBlotter,CheckBlotter,BlotterFunctionalities,TransferToUserWorkingSubs,CancelWorkingSubs,ReplaceWorkingSubs,ViewAllocationDetailsWorkingSub,SelectTradeOnOrderGrid,ShowDetailsForAlgoTradeSubOrder,SelectTradeOrderBlotter,AddFillsWorkingSubs,Edi"&amp;"tAddFillsDetails,ShowDetailsForAlgoTradeWorkingSubs,VerifyWorkingSubs,TransferToUserOrder,EditOrder,SelectTradeSubOrderBlotter,VerifyOrder,VerifySubOrder,RemoveSelectedOrders,CancelAllSelectedSubs,MultiTradingTicket,AuditTrailOrderBlotter,TradeNewSubOrder"&amp;",RemoveStageOrder,TransferToUserSubOrder,DetailsForAlgoTradeOrder,AddFillsSubOrder,ViewAllocationDetailsSubOrder,CancelAllSubs,CancelSubOrder,EditStageOrder,ReplaceSubOrder,SelectTradeWorkingSubsBlotter,VerifyAlgoDetails,VerifyTransferToUserOrder,VerifyTr"&amp;"ansferToUserSubOdr,VerifyTransferToUserWorkSub,SaveLayoutOrderGrid,ReplaceStageOrder,MultiTradingTicketFromBlotter,,,,,,,,,,,,,,,,,,,,,,,,,,,,,,,,,,,,,,,,,,,,,,,,,,,,,,,,,,,,,,,,,,,,,,,,,,,,,,,,,,,,,,,,,,,,,,,,,,,,,,,,,,,,,,,,,,,,,,,,,,,,,,,,,,,,,,,,,,,,,"&amp;",,,,,,,,,,,,,,,,,,,,,,,,,,,,,,,,,,,,,,,,,,,,,,,,,,,,,,,,,,,,,,,,,,,,,,,,,,,,,,,,,,,,,,,,,,,,,,,,,,,,,,,,,,,,,,,,,,,,,,,,,,,,,,,,,,,,,,,,,,,,,,,,,,,,,,,,,,,,,,,,,,,,,,,,,,,,,,,,,,,,,,,,,,,,,,,,,,,,,,,,,,,,,,,,,,,,,,,,,,,,,,,,,,,,,,,,,,,,,,,,,,,,,,,,,,,,,,,"&amp;",,,,,,,,,,,,,,,,,,,,,,,,,,,,,,,,,,,,,,,,,,,,,,,,,,,,,,,,,,,,"</formula1>
    </dataValidation>
    <dataValidation type="list" allowBlank="1" sqref="H32:K32 H60:K60 H91:K91">
      <formula1>"CleanUp,GetDailyCash,UpdateDailyCash,CreateDoneAwayOrder,PricingInput"</formula1>
    </dataValidation>
    <dataValidation type="list" allowBlank="1" sqref="F57:F58 F73:F74 H73:H74 F88:F89">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UpdateMarkPriceMonthly.,UpdateMarkPriceMonthly,,,,,,,,,,,,,,,,,,,,,,,,,,,,,,,,,,,,,,,,,,,,,,,,,,,,,,,,,,,,,,,,,,,,,,,,,,,,,,,,,,,,,,,,,,,,,,,,,,,,,,,,,,,,,,,,,,,,,,,,,,,,,,,,,,,,,,,,,,,,,,,,,,,,,,,,,,,,,,,,,,,,,,,,,,,,,,,,,,,,,,,,,,,,,,,,,,,,,,,"&amp;",,,,,,,,,,,,,,,,,,,,,,,,,,,,,,,,,,,,,,,,,,,,,,,,,,,,,,,,,,,,,,,,,,,,,,,,,,,,,,,,,,,,,,,,,,,,,,,,,,,,,,,,,,,,,,,,,,,,,,,,,,,,,,,,,,,,,,,,,,,,,,,,,,,,,,,,,,,,,,,,,,,,,,,,,,,,,,,,,,,,,,,,,,,,,,,,,,,,,,,,,,,,,,,,,,,,,,,,,,,,,,,,,,,,,,,,,,,,,,,,,,,,,,,,,,,,,,,"&amp;",,,,,,,,,,,"</formula1>
    </dataValidation>
    <dataValidation type="list" allowBlank="1" sqref="H20:K20">
      <formula1>"GetDailyCash,UpdateDailyCash,CreateDoneAwayOrder,PricingInput,SelectUnallocatedGroup,EnterAllocatePreference,GetDataAllocation,CheckAllocatedGroups,GetDataClosing,VerifyLongPositionsGrid,CheckPortfolioManagement,GetActivityData,VerifyActivity"</formula1>
    </dataValidation>
    <dataValidation type="list" allowBlank="1" sqref="H67:K67">
      <formula1>"CleanUp,GetDailyCash,UpdateDailyCash,CreateDoneAwayOrder,PricingInput,SelectUnallocatedGroup,EnterAllocatePreference,Allocate,GetDataAllocation,CheckAllocatedGroups,GetDataClosing,VerifyLongPositionsGrid"</formula1>
    </dataValidation>
    <dataValidation type="list" allowBlank="1" sqref="H95:K95">
      <formula1>"CleanUp,GetDailyCash,UpdateDailyCash,CreateDoneAwayOrder,PricingInput,SelectUnallocatedGroup,EnterAllocatePreference,Allocate,CheckAllocatedGroups"</formula1>
    </dataValidation>
    <dataValidation type="list" allowBlank="1" sqref="H6:K6">
      <formula1>"GetDailyCash,UpdateDailyCash,CreateDoneAwayOrder,PricingInput,SelectUnallocatedGroup,EnterAllocatePreference,GetDataAllocation,CheckAllocatedGroups,GetDataClosing,VerifyLongPositionsGrid,CheckPortfolioManagement,GetActivityData,VerifyActivity,CleanUp"</formula1>
    </dataValidation>
    <dataValidation type="list" allowBlank="1" sqref="F7:F8 F29:F30">
      <formula1>"UpdateBeta,UpdateDailyCash,UpdateForexConversion,UpdateMarkPrice,CleanUp,GetMarkPriceData,GetForwardPoints,UpdateForwardPoints,DeleteNAV,GetForexConversion,GetDailyCash,GetDailyBeta,GetDailyVolatility,GetDailyDividendYield,GetDailyTradingVolume,GetDailyOu"&amp;"tstandings,GetDailyDelta,UpdateDailyVolatility,UpdateDividendYield,UpdateTradingVolume,UpdateDailyDelta,UpdateDailyOutstandings,UpdateBeta,UpdateNAV,UpdateDailyCash,UpdateDailyCreditLimt,RemoveDailyCreditLimit,RemoveDailyCash,RemoveNAV,UpdateForexConversi"&amp;"onMonthly,,,,,,,,,,,,,,,,,,,,,,,,,,,,,,,,,,,,,,,,,,,,,,,,,,,,,,,,,,,,,,,,,,,,,,,,,,,,,,,,,,,,,,,,,,,,,,,,,,,,,,,,,,,,,,,,,,,,,,,,,,,,,,,,,,,,,,,,,,,,,,,,,,,,,,,,,,,,,,,,,,,,,,,,,,,,,,,,,,,,,,,,,,,,,,,,,,,,,,,,,,,,,,,,,,,,,,,,,,,,,,,,,,,,,,,,,,,,,,,,,,,,,,"&amp;",,,,,,,,,,,,,,,,,,,,,,,,,,,,,,,,,,,,,,,,,,,,,,,,,,,,,,,,,,,,,,,,,,,,,,,,,,,,,,,,,,,,,,,,,,,,,,,,,,,,,,,,,,,,,,,,,,,,,,,,,,,,,,,,,,,,,,,,,,,,,,,,,,,,,,,,,,,,,,,,,,,,,,,,,,,,,,,,,,,,,,,,,,,,,,,,,,,,,,,,,,,,,,,,,,,,,,,,,,,,,"</formula1>
    </dataValidation>
    <dataValidation type="list" allowBlank="1" sqref="H146:K146">
      <formula1>"CleanUp,CreateDoneAwayOrder,CheckAllocatedGroups,CheckPortfolioManagement,GetDailyCash,UpdateDailyCash,PricingInput,GetDataClosing,ManualClosing"</formula1>
    </dataValidation>
    <dataValidation type="list" allowBlank="1" sqref="H40:K40">
      <formula1>"CleanUp,GetDailyCash,UpdateDailyCash,CreateDoneAwayOrder,PricingInput,EnterAllocatePreference,Copy of Data_conflict794768394,Allocate,CheckAllocatedGroups,GetDataClosing,VerifyLongPositionsGrid,CheckDashboardPM,GetActivityData"</formula1>
    </dataValidation>
    <dataValidation type="list" allowBlank="1" sqref="H153:K153">
      <formula1>"CleanUp,CreateDoneAwayOrder,SetGeneralPreferences,PricingInput,CheckAllocatedGroups,CheckPortfolioManagement,GetDataClosing,ManualClosing,VerifyClosedTrades,CheckAllocatedGroups1,GetDailyCash,UpdateDailyCash,SelectUnallocatedGroup,EnterAllocatePreference"</formula1>
    </dataValidation>
    <dataValidation type="list" allowBlank="1" sqref="H160:K162">
      <formula1>"CleanUp,CreateDoneAwayOrder,SetGeneralPreferences,PricingInput,CheckAllocatedGroups,CheckPortfolioManagement,GetDataClosing,ManualClosing,VerifyClosedTrades,CheckAllocatedGroups1,GetDailyCash,UpdateDailyCash,SelectUnallocatedGroup,EnterAllocatePreference,"&amp;"CheckAllocatedGroups2,CheckPortfolioManagement2,AddFillsSubOrder,EditAddFillsDetails,VerifyOrder"</formula1>
    </dataValidation>
    <dataValidation type="list" allowBlank="1" sqref="H12:K12">
      <formula1>"GetDailyCash,UpdateDailyCash,CreateDoneAwayOrder,PricingInput,SelectUnallocatedGroup,EnterAllocatePreference"</formula1>
    </dataValidation>
    <dataValidation type="list" allowBlank="1" sqref="H66:K66">
      <formula1>"CleanUp,GetDailyCash,UpdateDailyCash,CreateDoneAwayOrder,PricingInput,SelectUnallocatedGroup,EnterAllocatePreference,Allocate,GetDataAllocation,CheckAllocatedGroups,GetDataClosing"</formula1>
    </dataValidation>
    <dataValidation type="list" allowBlank="1" sqref="H150:K150">
      <formula1>"CleanUp,CreateDoneAwayOrder,CheckAllocatedGroups,SelectAllocatedGroup,GetDailyCash,UpdateDailyCash"</formula1>
    </dataValidation>
    <dataValidation type="list" allowBlank="1" sqref="H39:K39">
      <formula1>"CleanUp,GetDailyCash,UpdateDailyCash,CreateDoneAwayOrder,PricingInput,EnterAllocatePreference,CheckAllocatedGroups,GetDataClosing,VerifyLongPositionsGrid,CheckDashboardPM,GetActivityData,VerifyActivity,SelectUnallocatedGroup,CheckAllocatedGroups1,CheckPor"&amp;"tfolioManagement,VerifyLongPositionsGrid1,CheckPortfolioManagement1,VerifyActivity1,SelectUnallocatedGroup2,CheckAllocatedGroups2,VerifyLongPositionsGrid2,CheckPortfolioManagement2,VerifyActivity2"</formula1>
    </dataValidation>
    <dataValidation type="list" allowBlank="1" sqref="H151:K151">
      <formula1>"CleanUp,CreateDoneAwayOrder,SetGeneralPreferences,PricingInput,CheckAllocatedGroups,CheckPortfolioManagement,GetDataClosing,ManualClosing,VerifyClosedTrades,CheckAllocatedGroups1,GetDailyCash,UpdateDailyCash,SelectUnallocatedGroup,EnterAllocatePreference,"&amp;"CheckAllocatedGroups2,CheckPortfolioManagement2,AddFillsSubOrder,EditAddFillsDetails,VerifyOrder,CheckAllocatedGroups3,CheckPortfolioManagement3"</formula1>
    </dataValidation>
    <dataValidation type="list" allowBlank="1" sqref="H34:K34">
      <formula1>"CleanUp,GetDailyCash,UpdateDailyCash,CreateDoneAwayOrder,PricingInput,EnterAllocatePreference,Copy of Data_conflict794768394"</formula1>
    </dataValidation>
    <dataValidation type="list" allowBlank="1" sqref="H16:K16">
      <formula1>"GetDailyCash,UpdateDailyCash,CreateDoneAwayOrder,PricingInput,SelectUnallocatedGroup,EnterAllocatePreference,GetDataAllocation,CheckAllocatedGroups,GetDataClosing"</formula1>
    </dataValidation>
    <dataValidation type="list" allowBlank="1" sqref="H21:K22">
      <formula1>"GetDailyCash,UpdateDailyCash,CreateDoneAwayOrder,PricingInput,SelectUnallocatedGroup,EnterAllocatePreference,GetDataAllocation,CheckAllocatedGroups,GetDataClosing,VerifyLongPositionsGrid,CheckPortfolioManagement,GetActivityData,VerifyActivity,CleanUp,Unal"&amp;"locate"</formula1>
    </dataValidation>
    <dataValidation type="list" allowBlank="1" sqref="D6 D28 D56 D72 D87:D88 D138:D139 D163 D186:D544">
      <formula1>'_Categories'!$A$4:$A544</formula1>
    </dataValidation>
    <dataValidation type="list" allowBlank="1" sqref="H61:K61 H92:K92">
      <formula1>"CleanUp,GetDailyCash,UpdateDailyCash,CreateDoneAwayOrder,PricingInput,SelectUnallocatedGroup"</formula1>
    </dataValidation>
    <dataValidation type="list" allowBlank="1" sqref="H149:K149">
      <formula1>"CleanUp,CreateDoneAwayOrder,CheckAllocatedGroups,SelectAllocatedGroup,GetDailyCash"</formula1>
    </dataValidation>
    <dataValidation type="list" allowBlank="1" sqref="H14:K14">
      <formula1>"GetDailyCash,UpdateDailyCash,CreateDoneAwayOrder,PricingInput,SelectUnallocatedGroup,EnterAllocatePreference,GetDataAllocation"</formula1>
    </dataValidation>
    <dataValidation type="list" allowBlank="1" sqref="F6 F11:F15 F21:F24 F28 F33:F36 F42:F45 F49:F52 F56 F61:F65 F72 H72 H78 F77:F81 H80:H81 F87 F92:F95">
      <formula1>"Allocate,CheckAllocatedGroups,Unallocate,GetDataAllocation,SelectAllocatedGroup,EditTradesAllocated,EditTradesUnallocated,Reallocate,CleanUp,EditUnallocatedGroupSidePanel,TradeAttributeBulkChange,ApplyBulkUpdateOnGroups,ApplyPrefetchFilters,GeneralPrefere"&amp;"ncesDefaultRule,GeneralPrefCompanyUserWise,RenameTradeAttributes,SetGroupingRules,SetMasterFundRatio,CheckFixedPreference,GetFixedPreference,AddCalculatedPreferences,BulkChangeCalculatedPreferences,DeleteCalculatedPreferences,RenameCalculatedPreferences,C"&amp;"opyCalculatedPreferences,RunAutoGroup,BookOrUpdateSwap,RunProrata,SetDefaultRuleCalculatedPref,SetAccountValueCalculatedPref,TradeAttributeBulkChangeGroups,TradeAttributeBulkChangeTaxlots,AddCalculatedPreferenceToolbar,SetStrategyValueCalculatedPref,Apply"&amp;"BulkUpdateOnTaxlots,CommissionBulkChangeOnGroups,CommissionBulkChangeOnTaxlots,SelectUnallocatedGroup,EnterAccountValuesToAllocate,EnterAllocatePreference,EnterStrategyValuesToAllocate,CopyCalculatedPreferenceToolbar,SetGeneralRuleCalculatedPref,ExportAll"&amp;"CalculatedPreferences,SaveCalculatedPreferences,SaveCalculatedPreferences,CloseCalculatedPreferences,ExportCalculatedPreference,ImportCalculatedPreferences,OpenAuditTrailUnallocatedGroup,DeleteCalculatedPreferencesTool,ImportCalculatedPreferencesTool,Expo"&amp;"rtAllCalculatedPreferTool,OpenAuditTrailAllocatedGroup,OpenSymbolLookupUnallocateGroup,OpenSymbolLookupAllocatedGroup,DeleteFixedPreference,EditAllocatedGroupSidePanel,CheckUnallocatedGroups,SetGeneralPreferences,UngroupTrades,GroupTrades,DeleteGroup,Clos"&amp;"eOrder,Unallocate,CloseAllocation,UpdateGRAccountValue,UpdateGRStrategyValue,UpdateGRDefaultRule,UpdateGeneralRulePref,ModifyGRPreferenceValues,AddMFPreferences,AddMFPreferenceToolbar,DeleteMFPreferences,DeleteMFPreferenceToolbar,RenameMFPreferences,SaveC"&amp;"loseMFPreference,SetMFPrefAccountValues,ModifyMFPrefGeneralRuleValues,SetMFPrefStrategyValues,SetMFPrefGeneralRule,SetMFPrefFundDistribution,SetMFPreferencesDefaultRule,SetMFPrefFundDefaultRule,ClearPrefetchFilters,ExpandCollapseAllUnallocated,ExpandColla"&amp;"pseAllAllocated,GenerateCashTransaction,SaveAllocation,SaveAllocation,UnallocateWithOutSave,EditUnallocatedGrid,EditAllocatedGrid,SaveLayoutAllocatedGrid,SaveLayoutUnallocatedGrid,SaveLayoutAllocationUI,ClearFiltersAllocatedGrid,ClearFiltersUnallocatedGri"&amp;"d,VerifyLayoutAllocatedGrid,VerifyLayoutUnallocatedGrid,,,,,,,,,,,,,,,,,,,,,,,,,,,,,,,,,,,,,,,,,,,,,,,,,,,,,,,,,,,,,,,,,,,,,,,,,,,,,,,,,,,,,,,,,,,,,,,,,,,,,,,,,,,,,,,,,,,,,,,,,,,,,,,,,,,,,,,,,,,,,,,,,,,,,,,,,,,,,,,,,,,,,,,,,,,,,,,,,,,,,,,,,,,,,,,,,,,,,,,,"&amp;",,,,,,,,,,,,,,,,,,,,,,,,,,,,,,,,,,,,,,,,,,,,,,,,,,,,,,,,,,,,,,,,,,,,,,,,,,,,,,,,,,,,,,,,,,,,,,,,,,,,,,,,,,,,,,,,,,,,,,,,,,,,,,,,,,,,,,,,,,,,,,,,,,,,,,,,,,,,,,,,,,,,,,,,,,,,,,,,,,,,,,,,,,,,,,,,,,,,,"</formula1>
    </dataValidation>
    <dataValidation type="list" allowBlank="1" sqref="H155:K155">
      <formula1>"CleanUp,CreateDoneAwayOrder,SetGeneralPreferences,PricingInput,CheckAllocatedGroups,CheckPortfolioManagement,GetDataClosing,ManualClosing,VerifyClosedTrades,CheckAllocatedGroups1,GetDailyCash,UpdateDailyCash,SelectUnallocatedGroup,EnterAllocatePreference,"&amp;"Allocate"</formula1>
    </dataValidation>
    <dataValidation type="list" allowBlank="1" sqref="H97:K97">
      <formula1>"CleanUp,GetDailyCash,UpdateDailyCash,CreateDoneAwayOrder,PricingInput,SelectUnallocatedGroup,EnterAllocatePreference,Allocate,CheckAllocatedGroups,GetDataClosing,VerifyLongPositionsGrid"</formula1>
    </dataValidation>
    <dataValidation type="list" allowBlank="1" sqref="H147:K147">
      <formula1>"CleanUp,CreateDoneAwayOrder,CheckAllocatedGroups,CheckPortfolioManagement,GetDailyCash,UpdateDailyCash,PricingInput,GetDataClosing,ManualClosing,VerifyClosedTrades"</formula1>
    </dataValidation>
    <dataValidation type="list" allowBlank="1" sqref="H158:K158">
      <formula1>"CleanUp,CreateDoneAwayOrder,SetGeneralPreferences,PricingInput,CheckAllocatedGroups,CheckPortfolioManagement,GetDataClosing,ManualClosing,VerifyClosedTrades,CheckAllocatedGroups1,GetDailyCash,UpdateDailyCash,SelectUnallocatedGroup,EnterAllocatePreference,"&amp;"CheckAllocatedGroups2,CheckPortfolioManagement2,AddFillsSubOrder"</formula1>
    </dataValidation>
    <dataValidation type="list" allowBlank="1" sqref="H19:K19">
      <formula1>"GetDailyCash,UpdateDailyCash,CreateDoneAwayOrder,PricingInput,SelectUnallocatedGroup,EnterAllocatePreference,GetDataAllocation,CheckAllocatedGroups,GetDataClosing,VerifyLongPositionsGrid,CheckPortfolioManagement,GetActivityData"</formula1>
    </dataValidation>
    <dataValidation type="list" allowBlank="1" sqref="H36:K36">
      <formula1>"CleanUp,GetDailyCash,UpdateDailyCash,CreateDoneAwayOrder,PricingInput,EnterAllocatePreference,Copy of Data_conflict794768394,Allocate,CheckAllocatedGroups"</formula1>
    </dataValidation>
    <dataValidation type="list" allowBlank="1" sqref="H157:K157">
      <formula1>"CleanUp,CreateDoneAwayOrder,PricingInput,CheckAllocatedGroups,CheckPortfolioManagement,GetDataClosing,ManualClosing,VerifyClosedTrades,CheckAllocatedGroups1,GetDailyCash,UpdateDailyCash,CheckPortfolioManagement1,SelectUnallocatedGroup,EnterAllocatePrefere"&amp;"nce,CheckAllocatedGroups2,CheckPortfolioManagement2,AddFillsSubOrder,EditAddFillsDetails,VerifyOrder,CheckAllocatedGroups3,CheckPortfolioManagement3,SelectTradeOnOrderGrid"</formula1>
    </dataValidation>
    <dataValidation type="list" allowBlank="1" sqref="H31:K31 H59:K59 H90:K90">
      <formula1>"CleanUp,GetDailyCash,UpdateDailyCash,CreateDoneAwayOrder"</formula1>
    </dataValidation>
  </dataValidations>
  <hyperlinks>
    <hyperlink r:id="rId1" location="gid=206679609" ref="G6"/>
    <hyperlink r:id="rId2" location="gid=2026632457" ref="G7"/>
    <hyperlink r:id="rId3" location="gid=1194605144" ref="G8"/>
    <hyperlink r:id="rId4" location="gid=1370694653" ref="G9"/>
    <hyperlink r:id="rId5" location="gid=520624758" ref="G10"/>
    <hyperlink r:id="rId6" location="gid=630414509" ref="G11"/>
    <hyperlink r:id="rId7" location="gid=1800365642" ref="G12"/>
    <hyperlink r:id="rId8" location="gid=1898079004" ref="G14"/>
    <hyperlink r:id="rId9" location="gid=576885033" ref="G15"/>
    <hyperlink r:id="rId10" location="gid=31429580" ref="G16"/>
    <hyperlink r:id="rId11" location="gid=317238644" ref="G17"/>
    <hyperlink r:id="rId12" location="gid=1752433969" ref="G18"/>
    <hyperlink r:id="rId13" location="gid=2115274167" ref="G19"/>
    <hyperlink r:id="rId14" location="gid=1313061459" ref="G20"/>
    <hyperlink r:id="rId15" location="gid=1869893266" ref="G21"/>
    <hyperlink r:id="rId16" location="gid=698235373" ref="G22"/>
    <hyperlink r:id="rId17" location="gid=2144319226" ref="G24"/>
    <hyperlink r:id="rId18" location="gid=2026632457" ref="G25"/>
    <hyperlink r:id="rId19" location="gid=1194605144" ref="G26"/>
    <hyperlink r:id="rId20" location="gid=1370694653" ref="G27"/>
    <hyperlink r:id="rId21" location="gid=440733960" ref="G28"/>
    <hyperlink r:id="rId22" location="gid=1648605150" ref="G29"/>
    <hyperlink r:id="rId23" location="gid=1653381431" ref="G30"/>
    <hyperlink r:id="rId24" location="gid=446860632" ref="G31"/>
    <hyperlink r:id="rId25" location="gid=351148742" ref="G32"/>
    <hyperlink r:id="rId26" location="gid=632377348" ref="G33"/>
    <hyperlink r:id="rId27" location="gid=803666536" ref="G34"/>
    <hyperlink r:id="rId28" location="gid=25434778" ref="G36"/>
    <hyperlink r:id="rId29" location="gid=1538507347" ref="G37"/>
    <hyperlink r:id="rId30" location="gid=931365246" ref="G38"/>
    <hyperlink r:id="rId31" location="gid=395853456" ref="G39"/>
    <hyperlink r:id="rId32" location="gid=246997131" ref="G40"/>
    <hyperlink r:id="rId33" location="gid=862609639" ref="G41"/>
    <hyperlink r:id="rId34" location="gid=1287513517" ref="G42"/>
    <hyperlink r:id="rId35" location="gid=803666536" ref="G43"/>
    <hyperlink r:id="rId36" location="gid=518015695" ref="G45"/>
    <hyperlink r:id="rId37" location="gid=942993562" ref="G46"/>
    <hyperlink r:id="rId38" location="gid=1910715026" ref="G47"/>
    <hyperlink r:id="rId39" location="gid=1169623152" ref="G48"/>
    <hyperlink r:id="rId40" location="gid=112288304" ref="G49"/>
    <hyperlink r:id="rId41" location="gid=1920446534" ref="G50"/>
    <hyperlink r:id="rId42" location="gid=574146583" ref="G52"/>
    <hyperlink r:id="rId43" location="gid=887519972" ref="G53"/>
    <hyperlink r:id="rId44" location="gid=502791046" ref="G54"/>
    <hyperlink r:id="rId45" location="gid=44110207" ref="G55"/>
    <hyperlink r:id="rId46" location="gid=638912915" ref="G56"/>
    <hyperlink r:id="rId47" location="gid=1055371323" ref="G57"/>
    <hyperlink r:id="rId48" location="gid=59160264" ref="G58"/>
    <hyperlink r:id="rId49" location="gid=856537793" ref="G59"/>
    <hyperlink r:id="rId50" location="gid=1988127730" ref="G60"/>
    <hyperlink r:id="rId51" location="gid=680450947" ref="G61"/>
    <hyperlink r:id="rId52" location="gid=1103035560" ref="G62"/>
    <hyperlink r:id="rId53" location="gid=1089583172" ref="G64"/>
    <hyperlink r:id="rId54" location="gid=1893076520" ref="G65"/>
    <hyperlink r:id="rId55" location="gid=594242617" ref="G66"/>
    <hyperlink r:id="rId56" location="gid=1679728225" ref="G67"/>
    <hyperlink r:id="rId57" location="gid=866735970" ref="G68"/>
    <hyperlink r:id="rId58" location="gid=1838128978" ref="G69"/>
    <hyperlink r:id="rId59" location="gid=739751371" ref="G70"/>
    <hyperlink r:id="rId60" location="gid=830718844" ref="G71"/>
    <hyperlink r:id="rId61" location="gid=5121208" ref="G72"/>
    <hyperlink r:id="rId62" location="gid=1963628113" ref="G73"/>
    <hyperlink r:id="rId63" location="gid=2021937918" ref="G74"/>
    <hyperlink r:id="rId64" location="gid=1252845889" ref="G75"/>
    <hyperlink r:id="rId65" location="gid=2488699" ref="G76"/>
    <hyperlink r:id="rId66" location="gid=705084497" ref="G77"/>
    <hyperlink r:id="rId67" location="gid=2026981211" ref="G78"/>
    <hyperlink r:id="rId68" location="gid=1106224571" ref="G80"/>
    <hyperlink r:id="rId69" location="gid=1573888183" ref="G81"/>
    <hyperlink r:id="rId70" location="gid=336931597" ref="G82"/>
    <hyperlink r:id="rId71" location="gid=658768196" ref="G83"/>
    <hyperlink r:id="rId72" location="gid=1100988395" ref="G84"/>
    <hyperlink r:id="rId73" location="gid=1877648456" ref="G85"/>
    <hyperlink r:id="rId74" location="gid=1477298831" ref="G86"/>
    <hyperlink r:id="rId75" location="gid=370182025" ref="G88"/>
    <hyperlink r:id="rId76" location="gid=1097615548" ref="G89"/>
    <hyperlink r:id="rId77" location="gid=1514688862" ref="G90"/>
    <hyperlink r:id="rId78" location="gid=1189717969" ref="G91"/>
    <hyperlink r:id="rId79" location="gid=1441124049" ref="G92"/>
    <hyperlink r:id="rId80" location="gid=670077948" ref="G93"/>
    <hyperlink r:id="rId81" location="gid=1248491562" ref="G94"/>
    <hyperlink r:id="rId82" location="gid=1646096756" ref="G95"/>
    <hyperlink r:id="rId83" location="gid=1041341364" ref="G96"/>
    <hyperlink r:id="rId84" location="gid=996607157" ref="G97"/>
    <hyperlink r:id="rId85" location="gid=24929473" ref="G98"/>
    <hyperlink r:id="rId86" location="gid=1763707549" ref="G99"/>
    <hyperlink r:id="rId87" location="gid=1108990623" ref="G100"/>
    <hyperlink r:id="rId88" location="gid=1505728708" ref="G101"/>
    <hyperlink r:id="rId89" location="gid=148143981" ref="G102"/>
    <hyperlink r:id="rId90" location="gid=1178395074" ref="G103"/>
    <hyperlink r:id="rId91" location="gid=1755092229" ref="G104"/>
    <hyperlink r:id="rId92" location="gid=868624948" ref="G105"/>
    <hyperlink r:id="rId93" location="gid=1406811710" ref="G106"/>
    <hyperlink r:id="rId94" location="gid=1954500959" ref="G107"/>
    <hyperlink r:id="rId95" location="gid=2124588847" ref="G108"/>
    <hyperlink r:id="rId96" location="gid=409944311" ref="G109"/>
    <hyperlink r:id="rId97" location="gid=586762925" ref="G110"/>
    <hyperlink r:id="rId98" location="gid=710629702" ref="G111"/>
    <hyperlink r:id="rId99" location="gid=2026211166" ref="G112"/>
    <hyperlink r:id="rId100" location="gid=820385788" ref="G113"/>
    <hyperlink r:id="rId101" location="gid=1878170260" ref="G114"/>
    <hyperlink r:id="rId102" location="gid=561111255" ref="G116"/>
    <hyperlink r:id="rId103" location="gid=57610290" ref="G117"/>
    <hyperlink r:id="rId104" location="gid=1122300933" ref="G118"/>
    <hyperlink r:id="rId105" location="gid=1927739386" ref="G119"/>
    <hyperlink r:id="rId106" location="gid=1589304177" ref="G120"/>
    <hyperlink r:id="rId107" location="gid=51240999" ref="G123"/>
    <hyperlink r:id="rId108" location="gid=14836248" ref="G124"/>
    <hyperlink r:id="rId109" location="gid=82805763" ref="G125"/>
    <hyperlink r:id="rId110" location="gid=1168406598" ref="G126"/>
    <hyperlink r:id="rId111" location="gid=2114617666" ref="G127"/>
    <hyperlink r:id="rId112" location="gid=229135741" ref="G128"/>
    <hyperlink r:id="rId113" location="gid=1307468395" ref="G129"/>
    <hyperlink r:id="rId114" location="gid=854405853" ref="G130"/>
    <hyperlink r:id="rId115" location="gid=1547713383" ref="G131"/>
    <hyperlink r:id="rId116" location="gid=229135741" ref="G132"/>
    <hyperlink r:id="rId117" location="gid=1513791186" ref="G133"/>
    <hyperlink r:id="rId118" location="gid=1018669038" ref="G134"/>
    <hyperlink r:id="rId119" location="gid=1656347192" ref="G135"/>
    <hyperlink r:id="rId120" location="gid=1054626048" ref="G136"/>
    <hyperlink r:id="rId121" location="gid=163124582" ref="G137"/>
    <hyperlink r:id="rId122" location="gid=731848428" ref="G139"/>
    <hyperlink r:id="rId123" location="gid=693221343" ref="G140"/>
    <hyperlink r:id="rId124" location="gid=130187808" ref="G141"/>
    <hyperlink r:id="rId125" location="gid=1554821722" ref="G142"/>
    <hyperlink r:id="rId126" location="gid=1907519673" ref="G144"/>
    <hyperlink r:id="rId127" location="gid=1064417676" ref="G145"/>
    <hyperlink r:id="rId128" location="gid=319228446" ref="G146"/>
    <hyperlink r:id="rId129" location="gid=600447870" ref="G147"/>
    <hyperlink r:id="rId130" location="gid=718713868" ref="G148"/>
    <hyperlink r:id="rId131" location="gid=1649258802" ref="G149"/>
    <hyperlink r:id="rId132" location="gid=995072435" ref="G150"/>
    <hyperlink r:id="rId133" location="gid=936445751" ref="G151"/>
    <hyperlink r:id="rId134" location="gid=2411237" ref="G152"/>
    <hyperlink r:id="rId135" location="gid=450956232" ref="G153"/>
    <hyperlink r:id="rId136" location="gid=628168623" ref="G155"/>
    <hyperlink r:id="rId137" location="gid=1389910499" ref="G156"/>
    <hyperlink r:id="rId138" location="gid=97432360" ref="G157"/>
    <hyperlink r:id="rId139" location="gid=998614309" ref="G158"/>
    <hyperlink r:id="rId140" location="gid=252731563" ref="G159"/>
    <hyperlink r:id="rId141" location="gid=708541227" ref="G160"/>
    <hyperlink r:id="rId142" location="gid=446291216" ref="G161"/>
    <hyperlink r:id="rId143" location="gid=2081873531" ref="G162"/>
  </hyperlinks>
  <drawing r:id="rId144"/>
</worksheet>
</file>